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isa\Downloads\"/>
    </mc:Choice>
  </mc:AlternateContent>
  <xr:revisionPtr revIDLastSave="0" documentId="8_{9AB6FE3D-651D-46A4-B243-ADB06EAC0212}" xr6:coauthVersionLast="47" xr6:coauthVersionMax="47" xr10:uidLastSave="{00000000-0000-0000-0000-000000000000}"/>
  <bookViews>
    <workbookView xWindow="-110" yWindow="-110" windowWidth="19420" windowHeight="10300" xr2:uid="{00000000-000D-0000-FFFF-FFFF00000000}"/>
  </bookViews>
  <sheets>
    <sheet name="Registro_Actividades" sheetId="1" r:id="rId1"/>
    <sheet name="Registro_Territorio" sheetId="2" r:id="rId2"/>
    <sheet name="Registro_Poblacion" sheetId="3" r:id="rId3"/>
    <sheet name="Regitro_Evidencia" sheetId="4" r:id="rId4"/>
    <sheet name="Dashboard_Master" sheetId="5" r:id="rId5"/>
    <sheet name="Cat_Recintos" sheetId="6" r:id="rId6"/>
    <sheet name="Cat_Tipo_Espacio" sheetId="7" r:id="rId7"/>
    <sheet name="Cat_Agentes_Culturales" sheetId="8" r:id="rId8"/>
    <sheet name="Cat_Disciplina" sheetId="9" r:id="rId9"/>
    <sheet name="Cat_Actividades" sheetId="10" r:id="rId10"/>
    <sheet name="Cat_Indicadores" sheetId="11" r:id="rId11"/>
    <sheet name="Cat_Enfoque" sheetId="12" r:id="rId12"/>
    <sheet name="Cat_Alineacion" sheetId="13" r:id="rId13"/>
    <sheet name="Cat_Tipo_Actividad" sheetId="14" r:id="rId14"/>
    <sheet name="Cat_Formato" sheetId="15" r:id="rId15"/>
    <sheet name="Cat_Costo" sheetId="16" r:id="rId16"/>
    <sheet name="Cat_Grupo_Etario" sheetId="17" r:id="rId17"/>
    <sheet name="Cat_Genero" sheetId="18" r:id="rId18"/>
    <sheet name="Cat_Grupo_Prioritario" sheetId="19" r:id="rId19"/>
    <sheet name="Cat_Tipo_Asentamiento" sheetId="20" r:id="rId20"/>
    <sheet name="Cat_Municipio" sheetId="21" r:id="rId21"/>
    <sheet name="Cat_Comunidades" sheetId="22" r:id="rId22"/>
    <sheet name="Cat_Comunidades_Limpio" sheetId="23" r:id="rId23"/>
  </sheets>
  <definedNames>
    <definedName name="_xlnm._FilterDatabase" localSheetId="12" hidden="1">Cat_Alineacion!$A$1:$H$100</definedName>
    <definedName name="_xlnm._FilterDatabase" localSheetId="0" hidden="1">Registro_Actividades!$A$1:$BT$965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S1496" i="5" l="1"/>
  <c r="CM1496" i="5"/>
  <c r="CS1495" i="5"/>
  <c r="CM1495" i="5"/>
  <c r="CS1494" i="5"/>
  <c r="CM1494" i="5"/>
  <c r="CS1493" i="5"/>
  <c r="CM1493" i="5"/>
  <c r="CS1492" i="5"/>
  <c r="CM1492" i="5"/>
  <c r="CS1491" i="5"/>
  <c r="CM1491" i="5"/>
  <c r="CS1490" i="5"/>
  <c r="CM1490" i="5"/>
  <c r="CS1489" i="5"/>
  <c r="CM1489" i="5"/>
  <c r="CS1488" i="5"/>
  <c r="CM1488" i="5"/>
  <c r="CS1487" i="5"/>
  <c r="CM1487" i="5"/>
  <c r="CS1486" i="5"/>
  <c r="CM1486" i="5"/>
  <c r="CS1485" i="5"/>
  <c r="CM1485" i="5"/>
  <c r="CS1484" i="5"/>
  <c r="CM1484" i="5"/>
  <c r="CS1483" i="5"/>
  <c r="CM1483" i="5"/>
  <c r="CS1482" i="5"/>
  <c r="CM1482" i="5"/>
  <c r="CS1481" i="5"/>
  <c r="CM1481" i="5"/>
  <c r="CS1480" i="5"/>
  <c r="CM1480" i="5"/>
  <c r="CS1479" i="5"/>
  <c r="CM1479" i="5"/>
  <c r="CS1478" i="5"/>
  <c r="CM1478" i="5"/>
  <c r="CS1477" i="5"/>
  <c r="CM1477" i="5"/>
  <c r="CS1476" i="5"/>
  <c r="CM1476" i="5"/>
  <c r="CS1475" i="5"/>
  <c r="CM1475" i="5"/>
  <c r="CS1474" i="5"/>
  <c r="CM1474" i="5"/>
  <c r="CS1473" i="5"/>
  <c r="CM1473" i="5"/>
  <c r="CS1472" i="5"/>
  <c r="CM1472" i="5"/>
  <c r="CS1471" i="5"/>
  <c r="CM1471" i="5"/>
  <c r="CS1470" i="5"/>
  <c r="CM1470" i="5"/>
  <c r="CS1469" i="5"/>
  <c r="CM1469" i="5"/>
  <c r="CS1468" i="5"/>
  <c r="CM1468" i="5"/>
  <c r="CS1467" i="5"/>
  <c r="CM1467" i="5"/>
  <c r="CS1466" i="5"/>
  <c r="CM1466" i="5"/>
  <c r="CS1465" i="5"/>
  <c r="CM1465" i="5"/>
  <c r="CS1464" i="5"/>
  <c r="CM1464" i="5"/>
  <c r="CS1463" i="5"/>
  <c r="CM1463" i="5"/>
  <c r="CS1462" i="5"/>
  <c r="CM1462" i="5"/>
  <c r="CS1461" i="5"/>
  <c r="CM1461" i="5"/>
  <c r="CS1460" i="5"/>
  <c r="CM1460" i="5"/>
  <c r="CS1459" i="5"/>
  <c r="CM1459" i="5"/>
  <c r="CS1458" i="5"/>
  <c r="CM1458" i="5"/>
  <c r="CS1457" i="5"/>
  <c r="CM1457" i="5"/>
  <c r="CS1456" i="5"/>
  <c r="CM1456" i="5"/>
  <c r="CS1455" i="5"/>
  <c r="CM1455" i="5"/>
  <c r="CS1454" i="5"/>
  <c r="CM1454" i="5"/>
  <c r="CS1453" i="5"/>
  <c r="CM1453" i="5"/>
  <c r="CS1452" i="5"/>
  <c r="CM1452" i="5"/>
  <c r="CS1451" i="5"/>
  <c r="CM1451" i="5"/>
  <c r="CS1450" i="5"/>
  <c r="CM1450" i="5"/>
  <c r="CS1449" i="5"/>
  <c r="CM1449" i="5"/>
  <c r="CS1448" i="5"/>
  <c r="CM1448" i="5"/>
  <c r="CS1447" i="5"/>
  <c r="CM1447" i="5"/>
  <c r="CS1446" i="5"/>
  <c r="CM1446" i="5"/>
  <c r="CS1445" i="5"/>
  <c r="CM1445" i="5"/>
  <c r="CS1444" i="5"/>
  <c r="CM1444" i="5"/>
  <c r="CS1443" i="5"/>
  <c r="CM1443" i="5"/>
  <c r="CS1442" i="5"/>
  <c r="CM1442" i="5"/>
  <c r="CS1441" i="5"/>
  <c r="CM1441" i="5"/>
  <c r="CS1440" i="5"/>
  <c r="CM1440" i="5"/>
  <c r="CS1439" i="5"/>
  <c r="CM1439" i="5"/>
  <c r="CS1438" i="5"/>
  <c r="CM1438" i="5"/>
  <c r="CS1437" i="5"/>
  <c r="CM1437" i="5"/>
  <c r="CS1436" i="5"/>
  <c r="CM1436" i="5"/>
  <c r="CS1435" i="5"/>
  <c r="CM1435" i="5"/>
  <c r="CS1434" i="5"/>
  <c r="CM1434" i="5"/>
  <c r="CS1433" i="5"/>
  <c r="CM1433" i="5"/>
  <c r="CS1432" i="5"/>
  <c r="CM1432" i="5"/>
  <c r="CS1431" i="5"/>
  <c r="CM1431" i="5"/>
  <c r="CS1430" i="5"/>
  <c r="CM1430" i="5"/>
  <c r="CS1429" i="5"/>
  <c r="CM1429" i="5"/>
  <c r="CS1428" i="5"/>
  <c r="CM1428" i="5"/>
  <c r="CS1427" i="5"/>
  <c r="CM1427" i="5"/>
  <c r="CS1426" i="5"/>
  <c r="CM1426" i="5"/>
  <c r="CS1425" i="5"/>
  <c r="CM1425" i="5"/>
  <c r="CS1424" i="5"/>
  <c r="CM1424" i="5"/>
  <c r="CS1423" i="5"/>
  <c r="CM1423" i="5"/>
  <c r="CS1422" i="5"/>
  <c r="CM1422" i="5"/>
  <c r="CS1421" i="5"/>
  <c r="CM1421" i="5"/>
  <c r="CS1420" i="5"/>
  <c r="CM1420" i="5"/>
  <c r="CS1419" i="5"/>
  <c r="CM1419" i="5"/>
  <c r="CS1418" i="5"/>
  <c r="CM1418" i="5"/>
  <c r="CS1417" i="5"/>
  <c r="CM1417" i="5"/>
  <c r="CS1416" i="5"/>
  <c r="CM1416" i="5"/>
  <c r="CS1415" i="5"/>
  <c r="CM1415" i="5"/>
  <c r="CS1414" i="5"/>
  <c r="CM1414" i="5"/>
  <c r="CS1413" i="5"/>
  <c r="CM1413" i="5"/>
  <c r="CS1412" i="5"/>
  <c r="CM1412" i="5"/>
  <c r="CS1411" i="5"/>
  <c r="CM1411" i="5"/>
  <c r="CS1410" i="5"/>
  <c r="CM1410" i="5"/>
  <c r="CS1409" i="5"/>
  <c r="CM1409" i="5"/>
  <c r="CS1408" i="5"/>
  <c r="CM1408" i="5"/>
  <c r="CS1407" i="5"/>
  <c r="CM1407" i="5"/>
  <c r="CS1406" i="5"/>
  <c r="CM1406" i="5"/>
  <c r="CS1405" i="5"/>
  <c r="CM1405" i="5"/>
  <c r="CS1404" i="5"/>
  <c r="CM1404" i="5"/>
  <c r="CS1403" i="5"/>
  <c r="CM1403" i="5"/>
  <c r="CS1402" i="5"/>
  <c r="CM1402" i="5"/>
  <c r="CS1401" i="5"/>
  <c r="CM1401" i="5"/>
  <c r="CS1400" i="5"/>
  <c r="CM1400" i="5"/>
  <c r="CS1399" i="5"/>
  <c r="CM1399" i="5"/>
  <c r="CS1398" i="5"/>
  <c r="CM1398" i="5"/>
  <c r="CS1397" i="5"/>
  <c r="CM1397" i="5"/>
  <c r="CS1396" i="5"/>
  <c r="CM1396" i="5"/>
  <c r="CS1395" i="5"/>
  <c r="CM1395" i="5"/>
  <c r="CS1394" i="5"/>
  <c r="CM1394" i="5"/>
  <c r="CS1393" i="5"/>
  <c r="CM1393" i="5"/>
  <c r="CS1392" i="5"/>
  <c r="CM1392" i="5"/>
  <c r="CS1391" i="5"/>
  <c r="CM1391" i="5"/>
  <c r="CS1390" i="5"/>
  <c r="CM1390" i="5"/>
  <c r="CS1389" i="5"/>
  <c r="CM1389" i="5"/>
  <c r="CS1388" i="5"/>
  <c r="CM1388" i="5"/>
  <c r="CS1387" i="5"/>
  <c r="CM1387" i="5"/>
  <c r="CS1386" i="5"/>
  <c r="CM1386" i="5"/>
  <c r="CS1385" i="5"/>
  <c r="CM1385" i="5"/>
  <c r="CS1384" i="5"/>
  <c r="CM1384" i="5"/>
  <c r="CS1383" i="5"/>
  <c r="CM1383" i="5"/>
  <c r="CS1382" i="5"/>
  <c r="CM1382" i="5"/>
  <c r="CS1381" i="5"/>
  <c r="CM1381" i="5"/>
  <c r="CS1380" i="5"/>
  <c r="CM1380" i="5"/>
  <c r="CS1379" i="5"/>
  <c r="CM1379" i="5"/>
  <c r="CS1378" i="5"/>
  <c r="CM1378" i="5"/>
  <c r="CS1377" i="5"/>
  <c r="CM1377" i="5"/>
  <c r="CS1376" i="5"/>
  <c r="CM1376" i="5"/>
  <c r="CS1375" i="5"/>
  <c r="CM1375" i="5"/>
  <c r="CS1374" i="5"/>
  <c r="CM1374" i="5"/>
  <c r="CS1373" i="5"/>
  <c r="CM1373" i="5"/>
  <c r="CS1372" i="5"/>
  <c r="CM1372" i="5"/>
  <c r="CS1371" i="5"/>
  <c r="CM1371" i="5"/>
  <c r="CS1370" i="5"/>
  <c r="CM1370" i="5"/>
  <c r="CS1369" i="5"/>
  <c r="CM1369" i="5"/>
  <c r="CS1368" i="5"/>
  <c r="CM1368" i="5"/>
  <c r="CS1367" i="5"/>
  <c r="CM1367" i="5"/>
  <c r="CS1366" i="5"/>
  <c r="CM1366" i="5"/>
  <c r="CS1365" i="5"/>
  <c r="CM1365" i="5"/>
  <c r="CS1364" i="5"/>
  <c r="CM1364" i="5"/>
  <c r="CS1363" i="5"/>
  <c r="CM1363" i="5"/>
  <c r="CS1362" i="5"/>
  <c r="CM1362" i="5"/>
  <c r="CS1361" i="5"/>
  <c r="CM1361" i="5"/>
  <c r="CS1360" i="5"/>
  <c r="CM1360" i="5"/>
  <c r="CS1359" i="5"/>
  <c r="CM1359" i="5"/>
  <c r="CS1358" i="5"/>
  <c r="CM1358" i="5"/>
  <c r="CS1357" i="5"/>
  <c r="CM1357" i="5"/>
  <c r="CS1356" i="5"/>
  <c r="CM1356" i="5"/>
  <c r="CS1355" i="5"/>
  <c r="CM1355" i="5"/>
  <c r="CS1354" i="5"/>
  <c r="CM1354" i="5"/>
  <c r="CS1353" i="5"/>
  <c r="CM1353" i="5"/>
  <c r="CS1352" i="5"/>
  <c r="CM1352" i="5"/>
  <c r="CS1351" i="5"/>
  <c r="CM1351" i="5"/>
  <c r="CS1350" i="5"/>
  <c r="CM1350" i="5"/>
  <c r="CS1349" i="5"/>
  <c r="CM1349" i="5"/>
  <c r="CS1348" i="5"/>
  <c r="CM1348" i="5"/>
  <c r="CS1347" i="5"/>
  <c r="CM1347" i="5"/>
  <c r="CS1346" i="5"/>
  <c r="CM1346" i="5"/>
  <c r="CS1345" i="5"/>
  <c r="CM1345" i="5"/>
  <c r="CS1344" i="5"/>
  <c r="CM1344" i="5"/>
  <c r="CS1343" i="5"/>
  <c r="CM1343" i="5"/>
  <c r="CS1342" i="5"/>
  <c r="CM1342" i="5"/>
  <c r="CS1341" i="5"/>
  <c r="CM1341" i="5"/>
  <c r="CS1340" i="5"/>
  <c r="CM1340" i="5"/>
  <c r="CS1339" i="5"/>
  <c r="CM1339" i="5"/>
  <c r="CS1338" i="5"/>
  <c r="CM1338" i="5"/>
  <c r="CS1337" i="5"/>
  <c r="CM1337" i="5"/>
  <c r="CS1336" i="5"/>
  <c r="CM1336" i="5"/>
  <c r="CS1335" i="5"/>
  <c r="CM1335" i="5"/>
  <c r="CS1334" i="5"/>
  <c r="CM1334" i="5"/>
  <c r="CS1333" i="5"/>
  <c r="CM1333" i="5"/>
  <c r="CS1332" i="5"/>
  <c r="CM1332" i="5"/>
  <c r="CS1331" i="5"/>
  <c r="CM1331" i="5"/>
  <c r="CS1330" i="5"/>
  <c r="CM1330" i="5"/>
  <c r="CS1329" i="5"/>
  <c r="CM1329" i="5"/>
  <c r="CS1328" i="5"/>
  <c r="CM1328" i="5"/>
  <c r="CS1327" i="5"/>
  <c r="CM1327" i="5"/>
  <c r="CS1326" i="5"/>
  <c r="CM1326" i="5"/>
  <c r="CS1325" i="5"/>
  <c r="CM1325" i="5"/>
  <c r="CS1324" i="5"/>
  <c r="CM1324" i="5"/>
  <c r="CS1323" i="5"/>
  <c r="CM1323" i="5"/>
  <c r="CS1322" i="5"/>
  <c r="CM1322" i="5"/>
  <c r="CS1321" i="5"/>
  <c r="CM1321" i="5"/>
  <c r="CS1320" i="5"/>
  <c r="CM1320" i="5"/>
  <c r="CS1319" i="5"/>
  <c r="CM1319" i="5"/>
  <c r="CS1318" i="5"/>
  <c r="CM1318" i="5"/>
  <c r="CS1317" i="5"/>
  <c r="CM1317" i="5"/>
  <c r="CS1316" i="5"/>
  <c r="CM1316" i="5"/>
  <c r="CS1315" i="5"/>
  <c r="CM1315" i="5"/>
  <c r="CS1314" i="5"/>
  <c r="CM1314" i="5"/>
  <c r="CS1313" i="5"/>
  <c r="CM1313" i="5"/>
  <c r="CS1312" i="5"/>
  <c r="CM1312" i="5"/>
  <c r="CS1311" i="5"/>
  <c r="CM1311" i="5"/>
  <c r="CS1310" i="5"/>
  <c r="CM1310" i="5"/>
  <c r="CS1309" i="5"/>
  <c r="CM1309" i="5"/>
  <c r="CS1308" i="5"/>
  <c r="CM1308" i="5"/>
  <c r="CS1307" i="5"/>
  <c r="CM1307" i="5"/>
  <c r="CS1306" i="5"/>
  <c r="CM1306" i="5"/>
  <c r="CS1305" i="5"/>
  <c r="CM1305" i="5"/>
  <c r="CS1304" i="5"/>
  <c r="CM1304" i="5"/>
  <c r="CS1303" i="5"/>
  <c r="CM1303" i="5"/>
  <c r="CS1302" i="5"/>
  <c r="CM1302" i="5"/>
  <c r="CS1301" i="5"/>
  <c r="CM1301" i="5"/>
  <c r="CS1300" i="5"/>
  <c r="CM1300" i="5"/>
  <c r="CS1299" i="5"/>
  <c r="CM1299" i="5"/>
  <c r="CS1298" i="5"/>
  <c r="CM1298" i="5"/>
  <c r="CS1297" i="5"/>
  <c r="CM1297" i="5"/>
  <c r="CS1296" i="5"/>
  <c r="CM1296" i="5"/>
  <c r="CS1295" i="5"/>
  <c r="CM1295" i="5"/>
  <c r="CS1294" i="5"/>
  <c r="CM1294" i="5"/>
  <c r="CS1293" i="5"/>
  <c r="CM1293" i="5"/>
  <c r="CS1292" i="5"/>
  <c r="CM1292" i="5"/>
  <c r="CS1291" i="5"/>
  <c r="CM1291" i="5"/>
  <c r="CS1290" i="5"/>
  <c r="CM1290" i="5"/>
  <c r="CS1289" i="5"/>
  <c r="CM1289" i="5"/>
  <c r="CS1288" i="5"/>
  <c r="CM1288" i="5"/>
  <c r="CS1287" i="5"/>
  <c r="CM1287" i="5"/>
  <c r="CS1286" i="5"/>
  <c r="CM1286" i="5"/>
  <c r="CS1285" i="5"/>
  <c r="CM1285" i="5"/>
  <c r="CS1284" i="5"/>
  <c r="CM1284" i="5"/>
  <c r="CS1283" i="5"/>
  <c r="CM1283" i="5"/>
  <c r="CS1282" i="5"/>
  <c r="CM1282" i="5"/>
  <c r="CS1281" i="5"/>
  <c r="CM1281" i="5"/>
  <c r="CS1280" i="5"/>
  <c r="CM1280" i="5"/>
  <c r="CS1279" i="5"/>
  <c r="CM1279" i="5"/>
  <c r="CS1278" i="5"/>
  <c r="CM1278" i="5"/>
  <c r="CS1277" i="5"/>
  <c r="CM1277" i="5"/>
  <c r="CS1276" i="5"/>
  <c r="CM1276" i="5"/>
  <c r="CS1275" i="5"/>
  <c r="CM1275" i="5"/>
  <c r="CS1274" i="5"/>
  <c r="CM1274" i="5"/>
  <c r="CS1273" i="5"/>
  <c r="CM1273" i="5"/>
  <c r="CS1272" i="5"/>
  <c r="CM1272" i="5"/>
  <c r="CS1271" i="5"/>
  <c r="CM1271" i="5"/>
  <c r="CS1270" i="5"/>
  <c r="CM1270" i="5"/>
  <c r="CS1269" i="5"/>
  <c r="CM1269" i="5"/>
  <c r="CS1268" i="5"/>
  <c r="CM1268" i="5"/>
  <c r="CS1267" i="5"/>
  <c r="CM1267" i="5"/>
  <c r="CS1266" i="5"/>
  <c r="CM1266" i="5"/>
  <c r="CS1265" i="5"/>
  <c r="CM1265" i="5"/>
  <c r="CS1264" i="5"/>
  <c r="CM1264" i="5"/>
  <c r="CS1263" i="5"/>
  <c r="CM1263" i="5"/>
  <c r="CS1262" i="5"/>
  <c r="CM1262" i="5"/>
  <c r="CS1261" i="5"/>
  <c r="CM1261" i="5"/>
  <c r="CS1260" i="5"/>
  <c r="CM1260" i="5"/>
  <c r="CS1259" i="5"/>
  <c r="CM1259" i="5"/>
  <c r="CS1258" i="5"/>
  <c r="CM1258" i="5"/>
  <c r="CS1257" i="5"/>
  <c r="CM1257" i="5"/>
  <c r="CS1256" i="5"/>
  <c r="CM1256" i="5"/>
  <c r="CS1255" i="5"/>
  <c r="CM1255" i="5"/>
  <c r="CS1254" i="5"/>
  <c r="CM1254" i="5"/>
  <c r="CS1253" i="5"/>
  <c r="CM1253" i="5"/>
  <c r="CS1252" i="5"/>
  <c r="CM1252" i="5"/>
  <c r="CS1251" i="5"/>
  <c r="CM1251" i="5"/>
  <c r="CS1250" i="5"/>
  <c r="CM1250" i="5"/>
  <c r="CS1249" i="5"/>
  <c r="CM1249" i="5"/>
  <c r="CS1248" i="5"/>
  <c r="CM1248" i="5"/>
  <c r="CS1247" i="5"/>
  <c r="CM1247" i="5"/>
  <c r="CS1246" i="5"/>
  <c r="CM1246" i="5"/>
  <c r="CS1245" i="5"/>
  <c r="CM1245" i="5"/>
  <c r="CS1244" i="5"/>
  <c r="CM1244" i="5"/>
  <c r="CS1243" i="5"/>
  <c r="CM1243" i="5"/>
  <c r="CS1242" i="5"/>
  <c r="CM1242" i="5"/>
  <c r="CS1241" i="5"/>
  <c r="CM1241" i="5"/>
  <c r="CS1240" i="5"/>
  <c r="CM1240" i="5"/>
  <c r="CS1239" i="5"/>
  <c r="CM1239" i="5"/>
  <c r="CS1238" i="5"/>
  <c r="CM1238" i="5"/>
  <c r="CS1237" i="5"/>
  <c r="CM1237" i="5"/>
  <c r="CS1236" i="5"/>
  <c r="CM1236" i="5"/>
  <c r="CS1235" i="5"/>
  <c r="CM1235" i="5"/>
  <c r="CS1234" i="5"/>
  <c r="CM1234" i="5"/>
  <c r="CS1233" i="5"/>
  <c r="CM1233" i="5"/>
  <c r="CS1232" i="5"/>
  <c r="CM1232" i="5"/>
  <c r="CS1231" i="5"/>
  <c r="CM1231" i="5"/>
  <c r="CS1230" i="5"/>
  <c r="CM1230" i="5"/>
  <c r="CS1229" i="5"/>
  <c r="CM1229" i="5"/>
  <c r="CS1228" i="5"/>
  <c r="CM1228" i="5"/>
  <c r="CS1227" i="5"/>
  <c r="CM1227" i="5"/>
  <c r="CS1226" i="5"/>
  <c r="CM1226" i="5"/>
  <c r="CS1225" i="5"/>
  <c r="CM1225" i="5"/>
  <c r="CS1224" i="5"/>
  <c r="CM1224" i="5"/>
  <c r="CS1223" i="5"/>
  <c r="CM1223" i="5"/>
  <c r="CS1222" i="5"/>
  <c r="CM1222" i="5"/>
  <c r="CS1221" i="5"/>
  <c r="CM1221" i="5"/>
  <c r="CS1220" i="5"/>
  <c r="CM1220" i="5"/>
  <c r="CS1219" i="5"/>
  <c r="CM1219" i="5"/>
  <c r="CS1218" i="5"/>
  <c r="CM1218" i="5"/>
  <c r="CS1217" i="5"/>
  <c r="CM1217" i="5"/>
  <c r="CS1216" i="5"/>
  <c r="CM1216" i="5"/>
  <c r="CS1215" i="5"/>
  <c r="CM1215" i="5"/>
  <c r="CS1214" i="5"/>
  <c r="CM1214" i="5"/>
  <c r="CS1213" i="5"/>
  <c r="CM1213" i="5"/>
  <c r="CS1212" i="5"/>
  <c r="CM1212" i="5"/>
  <c r="CS1211" i="5"/>
  <c r="CM1211" i="5"/>
  <c r="CS1210" i="5"/>
  <c r="CM1210" i="5"/>
  <c r="CS1209" i="5"/>
  <c r="CM1209" i="5"/>
  <c r="CS1208" i="5"/>
  <c r="CM1208" i="5"/>
  <c r="CS1207" i="5"/>
  <c r="CM1207" i="5"/>
  <c r="CS1206" i="5"/>
  <c r="CM1206" i="5"/>
  <c r="CS1205" i="5"/>
  <c r="CM1205" i="5"/>
  <c r="CS1204" i="5"/>
  <c r="CM1204" i="5"/>
  <c r="CS1203" i="5"/>
  <c r="CM1203" i="5"/>
  <c r="CS1202" i="5"/>
  <c r="CM1202" i="5"/>
  <c r="CS1201" i="5"/>
  <c r="CM1201" i="5"/>
  <c r="CS1200" i="5"/>
  <c r="CM1200" i="5"/>
  <c r="CS1199" i="5"/>
  <c r="CM1199" i="5"/>
  <c r="CS1198" i="5"/>
  <c r="CM1198" i="5"/>
  <c r="CS1197" i="5"/>
  <c r="CM1197" i="5"/>
  <c r="CS1196" i="5"/>
  <c r="CM1196" i="5"/>
  <c r="CS1195" i="5"/>
  <c r="CM1195" i="5"/>
  <c r="CS1194" i="5"/>
  <c r="CM1194" i="5"/>
  <c r="CS1193" i="5"/>
  <c r="CM1193" i="5"/>
  <c r="CS1192" i="5"/>
  <c r="CM1192" i="5"/>
  <c r="CS1191" i="5"/>
  <c r="CM1191" i="5"/>
  <c r="CS1190" i="5"/>
  <c r="CM1190" i="5"/>
  <c r="CS1189" i="5"/>
  <c r="CM1189" i="5"/>
  <c r="CS1188" i="5"/>
  <c r="CM1188" i="5"/>
  <c r="CS1187" i="5"/>
  <c r="CM1187" i="5"/>
  <c r="CS1186" i="5"/>
  <c r="CM1186" i="5"/>
  <c r="CS1185" i="5"/>
  <c r="CM1185" i="5"/>
  <c r="CS1184" i="5"/>
  <c r="CM1184" i="5"/>
  <c r="CS1183" i="5"/>
  <c r="CM1183" i="5"/>
  <c r="CS1182" i="5"/>
  <c r="CM1182" i="5"/>
  <c r="CS1181" i="5"/>
  <c r="CM1181" i="5"/>
  <c r="CS1180" i="5"/>
  <c r="CM1180" i="5"/>
  <c r="CS1179" i="5"/>
  <c r="CM1179" i="5"/>
  <c r="CS1178" i="5"/>
  <c r="CM1178" i="5"/>
  <c r="CS1177" i="5"/>
  <c r="CM1177" i="5"/>
  <c r="CS1176" i="5"/>
  <c r="CM1176" i="5"/>
  <c r="CS1175" i="5"/>
  <c r="CM1175" i="5"/>
  <c r="CS1174" i="5"/>
  <c r="CM1174" i="5"/>
  <c r="CS1173" i="5"/>
  <c r="CM1173" i="5"/>
  <c r="CS1172" i="5"/>
  <c r="CM1172" i="5"/>
  <c r="CS1171" i="5"/>
  <c r="CM1171" i="5"/>
  <c r="CS1170" i="5"/>
  <c r="CM1170" i="5"/>
  <c r="CS1169" i="5"/>
  <c r="CM1169" i="5"/>
  <c r="CS1168" i="5"/>
  <c r="CM1168" i="5"/>
  <c r="CS1167" i="5"/>
  <c r="CM1167" i="5"/>
  <c r="CS1166" i="5"/>
  <c r="CM1166" i="5"/>
  <c r="CS1165" i="5"/>
  <c r="CM1165" i="5"/>
  <c r="CS1164" i="5"/>
  <c r="CM1164" i="5"/>
  <c r="CS1163" i="5"/>
  <c r="CM1163" i="5"/>
  <c r="CS1162" i="5"/>
  <c r="CM1162" i="5"/>
  <c r="CS1161" i="5"/>
  <c r="CM1161" i="5"/>
  <c r="CS1160" i="5"/>
  <c r="CM1160" i="5"/>
  <c r="CS1159" i="5"/>
  <c r="CM1159" i="5"/>
  <c r="CS1158" i="5"/>
  <c r="CM1158" i="5"/>
  <c r="CS1157" i="5"/>
  <c r="CM1157" i="5"/>
  <c r="CS1156" i="5"/>
  <c r="CM1156" i="5"/>
  <c r="CS1155" i="5"/>
  <c r="CM1155" i="5"/>
  <c r="CS1154" i="5"/>
  <c r="CM1154" i="5"/>
  <c r="CS1153" i="5"/>
  <c r="CM1153" i="5"/>
  <c r="CS1152" i="5"/>
  <c r="CM1152" i="5"/>
  <c r="CS1151" i="5"/>
  <c r="CM1151" i="5"/>
  <c r="CS1150" i="5"/>
  <c r="CM1150" i="5"/>
  <c r="CS1149" i="5"/>
  <c r="CM1149" i="5"/>
  <c r="CS1148" i="5"/>
  <c r="CM1148" i="5"/>
  <c r="CS1147" i="5"/>
  <c r="CM1147" i="5"/>
  <c r="CS1146" i="5"/>
  <c r="CM1146" i="5"/>
  <c r="CS1145" i="5"/>
  <c r="CM1145" i="5"/>
  <c r="CS1144" i="5"/>
  <c r="CM1144" i="5"/>
  <c r="CS1143" i="5"/>
  <c r="CM1143" i="5"/>
  <c r="CS1142" i="5"/>
  <c r="CM1142" i="5"/>
  <c r="CS1141" i="5"/>
  <c r="CM1141" i="5"/>
  <c r="CS1140" i="5"/>
  <c r="CM1140" i="5"/>
  <c r="CS1139" i="5"/>
  <c r="CM1139" i="5"/>
  <c r="CS1138" i="5"/>
  <c r="CM1138" i="5"/>
  <c r="CS1137" i="5"/>
  <c r="CM1137" i="5"/>
  <c r="CS1136" i="5"/>
  <c r="CM1136" i="5"/>
  <c r="CS1135" i="5"/>
  <c r="CM1135" i="5"/>
  <c r="CS1134" i="5"/>
  <c r="CM1134" i="5"/>
  <c r="CS1133" i="5"/>
  <c r="CM1133" i="5"/>
  <c r="CS1132" i="5"/>
  <c r="CM1132" i="5"/>
  <c r="CS1131" i="5"/>
  <c r="CM1131" i="5"/>
  <c r="CS1130" i="5"/>
  <c r="CM1130" i="5"/>
  <c r="CS1129" i="5"/>
  <c r="CM1129" i="5"/>
  <c r="CS1128" i="5"/>
  <c r="CM1128" i="5"/>
  <c r="CS1127" i="5"/>
  <c r="CM1127" i="5"/>
  <c r="CS1126" i="5"/>
  <c r="CM1126" i="5"/>
  <c r="CS1125" i="5"/>
  <c r="CM1125" i="5"/>
  <c r="CS1124" i="5"/>
  <c r="CM1124" i="5"/>
  <c r="CS1123" i="5"/>
  <c r="CM1123" i="5"/>
  <c r="CS1122" i="5"/>
  <c r="CM1122" i="5"/>
  <c r="CS1121" i="5"/>
  <c r="CM1121" i="5"/>
  <c r="CS1120" i="5"/>
  <c r="CM1120" i="5"/>
  <c r="CS1119" i="5"/>
  <c r="CM1119" i="5"/>
  <c r="CS1118" i="5"/>
  <c r="CM1118" i="5"/>
  <c r="CS1117" i="5"/>
  <c r="CM1117" i="5"/>
  <c r="CS1116" i="5"/>
  <c r="CM1116" i="5"/>
  <c r="CS1115" i="5"/>
  <c r="CM1115" i="5"/>
  <c r="CS1114" i="5"/>
  <c r="CM1114" i="5"/>
  <c r="CS1113" i="5"/>
  <c r="CM1113" i="5"/>
  <c r="CS1112" i="5"/>
  <c r="CM1112" i="5"/>
  <c r="CS1111" i="5"/>
  <c r="CM1111" i="5"/>
  <c r="CS1110" i="5"/>
  <c r="CM1110" i="5"/>
  <c r="CS1109" i="5"/>
  <c r="CM1109" i="5"/>
  <c r="CS1108" i="5"/>
  <c r="CM1108" i="5"/>
  <c r="CS1107" i="5"/>
  <c r="CM1107" i="5"/>
  <c r="CS1106" i="5"/>
  <c r="CM1106" i="5"/>
  <c r="CS1105" i="5"/>
  <c r="CM1105" i="5"/>
  <c r="CS1104" i="5"/>
  <c r="CM1104" i="5"/>
  <c r="CS1103" i="5"/>
  <c r="CM1103" i="5"/>
  <c r="CS1102" i="5"/>
  <c r="CM1102" i="5"/>
  <c r="CS1101" i="5"/>
  <c r="CM1101" i="5"/>
  <c r="CS1100" i="5"/>
  <c r="CM1100" i="5"/>
  <c r="CS1099" i="5"/>
  <c r="CM1099" i="5"/>
  <c r="CS1098" i="5"/>
  <c r="CM1098" i="5"/>
  <c r="CS1097" i="5"/>
  <c r="CM1097" i="5"/>
  <c r="CS1096" i="5"/>
  <c r="CM1096" i="5"/>
  <c r="CS1095" i="5"/>
  <c r="CM1095" i="5"/>
  <c r="CS1094" i="5"/>
  <c r="CM1094" i="5"/>
  <c r="CS1093" i="5"/>
  <c r="CM1093" i="5"/>
  <c r="CS1092" i="5"/>
  <c r="CM1092" i="5"/>
  <c r="CS1091" i="5"/>
  <c r="CM1091" i="5"/>
  <c r="CS1090" i="5"/>
  <c r="CM1090" i="5"/>
  <c r="CS1089" i="5"/>
  <c r="CM1089" i="5"/>
  <c r="CS1088" i="5"/>
  <c r="CM1088" i="5"/>
  <c r="CS1087" i="5"/>
  <c r="CM1087" i="5"/>
  <c r="CS1086" i="5"/>
  <c r="CM1086" i="5"/>
  <c r="CS1085" i="5"/>
  <c r="CM1085" i="5"/>
  <c r="CS1084" i="5"/>
  <c r="CM1084" i="5"/>
  <c r="CS1083" i="5"/>
  <c r="CM1083" i="5"/>
  <c r="CS1082" i="5"/>
  <c r="CM1082" i="5"/>
  <c r="CS1081" i="5"/>
  <c r="CM1081" i="5"/>
  <c r="CS1080" i="5"/>
  <c r="CM1080" i="5"/>
  <c r="CS1079" i="5"/>
  <c r="CM1079" i="5"/>
  <c r="CS1078" i="5"/>
  <c r="CM1078" i="5"/>
  <c r="CS1077" i="5"/>
  <c r="CM1077" i="5"/>
  <c r="CS1076" i="5"/>
  <c r="CM1076" i="5"/>
  <c r="CS1075" i="5"/>
  <c r="CM1075" i="5"/>
  <c r="CS1074" i="5"/>
  <c r="CM1074" i="5"/>
  <c r="CS1073" i="5"/>
  <c r="CM1073" i="5"/>
  <c r="CS1072" i="5"/>
  <c r="CM1072" i="5"/>
  <c r="CS1071" i="5"/>
  <c r="CM1071" i="5"/>
  <c r="CS1070" i="5"/>
  <c r="CM1070" i="5"/>
  <c r="CS1069" i="5"/>
  <c r="CM1069" i="5"/>
  <c r="CS1068" i="5"/>
  <c r="CM1068" i="5"/>
  <c r="CS1067" i="5"/>
  <c r="CM1067" i="5"/>
  <c r="CS1066" i="5"/>
  <c r="CM1066" i="5"/>
  <c r="CS1065" i="5"/>
  <c r="CM1065" i="5"/>
  <c r="CS1064" i="5"/>
  <c r="CM1064" i="5"/>
  <c r="CS1063" i="5"/>
  <c r="CM1063" i="5"/>
  <c r="CS1062" i="5"/>
  <c r="CM1062" i="5"/>
  <c r="CS1061" i="5"/>
  <c r="CM1061" i="5"/>
  <c r="CS1060" i="5"/>
  <c r="CM1060" i="5"/>
  <c r="CG1060" i="5"/>
  <c r="CF1060" i="5"/>
  <c r="CE1060" i="5"/>
  <c r="CD1060" i="5"/>
  <c r="CC1060" i="5"/>
  <c r="CS1059" i="5"/>
  <c r="CM1059" i="5"/>
  <c r="CG1059" i="5"/>
  <c r="CF1059" i="5"/>
  <c r="CE1059" i="5"/>
  <c r="CD1059" i="5"/>
  <c r="CC1059" i="5"/>
  <c r="CS1058" i="5"/>
  <c r="CM1058" i="5"/>
  <c r="CG1058" i="5"/>
  <c r="CF1058" i="5"/>
  <c r="CE1058" i="5"/>
  <c r="CD1058" i="5"/>
  <c r="CC1058" i="5"/>
  <c r="CS1057" i="5"/>
  <c r="CM1057" i="5"/>
  <c r="CG1057" i="5"/>
  <c r="CF1057" i="5"/>
  <c r="CE1057" i="5"/>
  <c r="CD1057" i="5"/>
  <c r="CC1057" i="5"/>
  <c r="CS1056" i="5"/>
  <c r="CM1056" i="5"/>
  <c r="CG1056" i="5"/>
  <c r="CF1056" i="5"/>
  <c r="CE1056" i="5"/>
  <c r="CD1056" i="5"/>
  <c r="CC1056" i="5"/>
  <c r="CS1055" i="5"/>
  <c r="CM1055" i="5"/>
  <c r="CG1055" i="5"/>
  <c r="CF1055" i="5"/>
  <c r="CE1055" i="5"/>
  <c r="CD1055" i="5"/>
  <c r="CC1055" i="5"/>
  <c r="CS1054" i="5"/>
  <c r="CM1054" i="5"/>
  <c r="CG1054" i="5"/>
  <c r="CF1054" i="5"/>
  <c r="CE1054" i="5"/>
  <c r="CD1054" i="5"/>
  <c r="CC1054" i="5"/>
  <c r="CS1053" i="5"/>
  <c r="CM1053" i="5"/>
  <c r="CG1053" i="5"/>
  <c r="CF1053" i="5"/>
  <c r="CE1053" i="5"/>
  <c r="CD1053" i="5"/>
  <c r="CC1053" i="5"/>
  <c r="CS1052" i="5"/>
  <c r="CM1052" i="5"/>
  <c r="CG1052" i="5"/>
  <c r="CF1052" i="5"/>
  <c r="CE1052" i="5"/>
  <c r="CD1052" i="5"/>
  <c r="CC1052" i="5"/>
  <c r="CS1051" i="5"/>
  <c r="CM1051" i="5"/>
  <c r="CG1051" i="5"/>
  <c r="CF1051" i="5"/>
  <c r="CE1051" i="5"/>
  <c r="CD1051" i="5"/>
  <c r="CC1051" i="5"/>
  <c r="CS1050" i="5"/>
  <c r="CM1050" i="5"/>
  <c r="CG1050" i="5"/>
  <c r="CF1050" i="5"/>
  <c r="CE1050" i="5"/>
  <c r="CD1050" i="5"/>
  <c r="CC1050" i="5"/>
  <c r="CS1049" i="5"/>
  <c r="CM1049" i="5"/>
  <c r="CG1049" i="5"/>
  <c r="CF1049" i="5"/>
  <c r="CE1049" i="5"/>
  <c r="CD1049" i="5"/>
  <c r="CC1049" i="5"/>
  <c r="CS1048" i="5"/>
  <c r="CM1048" i="5"/>
  <c r="CG1048" i="5"/>
  <c r="CF1048" i="5"/>
  <c r="CE1048" i="5"/>
  <c r="CD1048" i="5"/>
  <c r="CC1048" i="5"/>
  <c r="CS1047" i="5"/>
  <c r="CM1047" i="5"/>
  <c r="CG1047" i="5"/>
  <c r="CF1047" i="5"/>
  <c r="CE1047" i="5"/>
  <c r="CD1047" i="5"/>
  <c r="CC1047" i="5"/>
  <c r="CS1046" i="5"/>
  <c r="CM1046" i="5"/>
  <c r="CG1046" i="5"/>
  <c r="CF1046" i="5"/>
  <c r="CE1046" i="5"/>
  <c r="CD1046" i="5"/>
  <c r="CC1046" i="5"/>
  <c r="CS1045" i="5"/>
  <c r="CM1045" i="5"/>
  <c r="CG1045" i="5"/>
  <c r="CF1045" i="5"/>
  <c r="CE1045" i="5"/>
  <c r="CD1045" i="5"/>
  <c r="CC1045" i="5"/>
  <c r="CS1044" i="5"/>
  <c r="CM1044" i="5"/>
  <c r="CG1044" i="5"/>
  <c r="CF1044" i="5"/>
  <c r="CE1044" i="5"/>
  <c r="CD1044" i="5"/>
  <c r="CC1044" i="5"/>
  <c r="CS1043" i="5"/>
  <c r="CM1043" i="5"/>
  <c r="CG1043" i="5"/>
  <c r="CF1043" i="5"/>
  <c r="CE1043" i="5"/>
  <c r="CD1043" i="5"/>
  <c r="CC1043" i="5"/>
  <c r="CS1042" i="5"/>
  <c r="CM1042" i="5"/>
  <c r="CG1042" i="5"/>
  <c r="CF1042" i="5"/>
  <c r="CE1042" i="5"/>
  <c r="CD1042" i="5"/>
  <c r="CC1042" i="5"/>
  <c r="CS1041" i="5"/>
  <c r="CM1041" i="5"/>
  <c r="CG1041" i="5"/>
  <c r="CF1041" i="5"/>
  <c r="CE1041" i="5"/>
  <c r="CD1041" i="5"/>
  <c r="CC1041" i="5"/>
  <c r="CS1040" i="5"/>
  <c r="CM1040" i="5"/>
  <c r="CG1040" i="5"/>
  <c r="CF1040" i="5"/>
  <c r="CE1040" i="5"/>
  <c r="CD1040" i="5"/>
  <c r="CC1040" i="5"/>
  <c r="CS1039" i="5"/>
  <c r="CM1039" i="5"/>
  <c r="CG1039" i="5"/>
  <c r="CF1039" i="5"/>
  <c r="CE1039" i="5"/>
  <c r="CD1039" i="5"/>
  <c r="CC1039" i="5"/>
  <c r="CS1038" i="5"/>
  <c r="CM1038" i="5"/>
  <c r="CG1038" i="5"/>
  <c r="CF1038" i="5"/>
  <c r="CE1038" i="5"/>
  <c r="CD1038" i="5"/>
  <c r="CC1038" i="5"/>
  <c r="CS1037" i="5"/>
  <c r="CM1037" i="5"/>
  <c r="CG1037" i="5"/>
  <c r="CF1037" i="5"/>
  <c r="CE1037" i="5"/>
  <c r="CD1037" i="5"/>
  <c r="CC1037" i="5"/>
  <c r="CS1036" i="5"/>
  <c r="CM1036" i="5"/>
  <c r="CG1036" i="5"/>
  <c r="CF1036" i="5"/>
  <c r="CE1036" i="5"/>
  <c r="CD1036" i="5"/>
  <c r="CC1036" i="5"/>
  <c r="CS1035" i="5"/>
  <c r="CM1035" i="5"/>
  <c r="CG1035" i="5"/>
  <c r="CF1035" i="5"/>
  <c r="CE1035" i="5"/>
  <c r="CD1035" i="5"/>
  <c r="CC1035" i="5"/>
  <c r="CS1034" i="5"/>
  <c r="CM1034" i="5"/>
  <c r="CG1034" i="5"/>
  <c r="CF1034" i="5"/>
  <c r="CE1034" i="5"/>
  <c r="CD1034" i="5"/>
  <c r="CC1034" i="5"/>
  <c r="CS1033" i="5"/>
  <c r="CM1033" i="5"/>
  <c r="CG1033" i="5"/>
  <c r="CF1033" i="5"/>
  <c r="CE1033" i="5"/>
  <c r="CD1033" i="5"/>
  <c r="CC1033" i="5"/>
  <c r="CS1032" i="5"/>
  <c r="CM1032" i="5"/>
  <c r="CG1032" i="5"/>
  <c r="CF1032" i="5"/>
  <c r="CE1032" i="5"/>
  <c r="CD1032" i="5"/>
  <c r="CC1032" i="5"/>
  <c r="CS1031" i="5"/>
  <c r="CM1031" i="5"/>
  <c r="CG1031" i="5"/>
  <c r="CF1031" i="5"/>
  <c r="CE1031" i="5"/>
  <c r="CD1031" i="5"/>
  <c r="CC1031" i="5"/>
  <c r="CS1030" i="5"/>
  <c r="CM1030" i="5"/>
  <c r="CG1030" i="5"/>
  <c r="CF1030" i="5"/>
  <c r="CE1030" i="5"/>
  <c r="CD1030" i="5"/>
  <c r="CC1030" i="5"/>
  <c r="CS1029" i="5"/>
  <c r="CM1029" i="5"/>
  <c r="CG1029" i="5"/>
  <c r="CF1029" i="5"/>
  <c r="CE1029" i="5"/>
  <c r="CD1029" i="5"/>
  <c r="CC1029" i="5"/>
  <c r="CS1028" i="5"/>
  <c r="CM1028" i="5"/>
  <c r="CG1028" i="5"/>
  <c r="CF1028" i="5"/>
  <c r="CE1028" i="5"/>
  <c r="CD1028" i="5"/>
  <c r="CC1028" i="5"/>
  <c r="CS1027" i="5"/>
  <c r="CM1027" i="5"/>
  <c r="CG1027" i="5"/>
  <c r="CF1027" i="5"/>
  <c r="CE1027" i="5"/>
  <c r="CD1027" i="5"/>
  <c r="CC1027" i="5"/>
  <c r="CS1026" i="5"/>
  <c r="CM1026" i="5"/>
  <c r="CG1026" i="5"/>
  <c r="CF1026" i="5"/>
  <c r="CE1026" i="5"/>
  <c r="CD1026" i="5"/>
  <c r="CC1026" i="5"/>
  <c r="CS1025" i="5"/>
  <c r="CM1025" i="5"/>
  <c r="CG1025" i="5"/>
  <c r="CF1025" i="5"/>
  <c r="CE1025" i="5"/>
  <c r="CD1025" i="5"/>
  <c r="CC1025" i="5"/>
  <c r="CS1024" i="5"/>
  <c r="CM1024" i="5"/>
  <c r="CG1024" i="5"/>
  <c r="CF1024" i="5"/>
  <c r="CE1024" i="5"/>
  <c r="CD1024" i="5"/>
  <c r="CC1024" i="5"/>
  <c r="CS1023" i="5"/>
  <c r="CM1023" i="5"/>
  <c r="CG1023" i="5"/>
  <c r="CF1023" i="5"/>
  <c r="CE1023" i="5"/>
  <c r="CD1023" i="5"/>
  <c r="CC1023" i="5"/>
  <c r="CS1022" i="5"/>
  <c r="CM1022" i="5"/>
  <c r="CG1022" i="5"/>
  <c r="CF1022" i="5"/>
  <c r="CE1022" i="5"/>
  <c r="CD1022" i="5"/>
  <c r="CC1022" i="5"/>
  <c r="CS1021" i="5"/>
  <c r="CM1021" i="5"/>
  <c r="CG1021" i="5"/>
  <c r="CF1021" i="5"/>
  <c r="CE1021" i="5"/>
  <c r="CD1021" i="5"/>
  <c r="CC1021" i="5"/>
  <c r="CS1020" i="5"/>
  <c r="CM1020" i="5"/>
  <c r="CG1020" i="5"/>
  <c r="CF1020" i="5"/>
  <c r="CE1020" i="5"/>
  <c r="CD1020" i="5"/>
  <c r="CC1020" i="5"/>
  <c r="CS1019" i="5"/>
  <c r="CM1019" i="5"/>
  <c r="CG1019" i="5"/>
  <c r="CF1019" i="5"/>
  <c r="CE1019" i="5"/>
  <c r="CD1019" i="5"/>
  <c r="CC1019" i="5"/>
  <c r="CS1018" i="5"/>
  <c r="CM1018" i="5"/>
  <c r="CG1018" i="5"/>
  <c r="CF1018" i="5"/>
  <c r="CE1018" i="5"/>
  <c r="CD1018" i="5"/>
  <c r="CC1018" i="5"/>
  <c r="CS1017" i="5"/>
  <c r="CM1017" i="5"/>
  <c r="CG1017" i="5"/>
  <c r="CF1017" i="5"/>
  <c r="CE1017" i="5"/>
  <c r="CD1017" i="5"/>
  <c r="CC1017" i="5"/>
  <c r="CS1016" i="5"/>
  <c r="CM1016" i="5"/>
  <c r="CG1016" i="5"/>
  <c r="CF1016" i="5"/>
  <c r="CE1016" i="5"/>
  <c r="CD1016" i="5"/>
  <c r="CC1016" i="5"/>
  <c r="CS1015" i="5"/>
  <c r="CM1015" i="5"/>
  <c r="CG1015" i="5"/>
  <c r="CF1015" i="5"/>
  <c r="CE1015" i="5"/>
  <c r="CD1015" i="5"/>
  <c r="CC1015" i="5"/>
  <c r="CS1014" i="5"/>
  <c r="CM1014" i="5"/>
  <c r="CG1014" i="5"/>
  <c r="CF1014" i="5"/>
  <c r="CE1014" i="5"/>
  <c r="CD1014" i="5"/>
  <c r="CC1014" i="5"/>
  <c r="CS1013" i="5"/>
  <c r="CM1013" i="5"/>
  <c r="CG1013" i="5"/>
  <c r="CF1013" i="5"/>
  <c r="CE1013" i="5"/>
  <c r="CD1013" i="5"/>
  <c r="CC1013" i="5"/>
  <c r="CS1012" i="5"/>
  <c r="CM1012" i="5"/>
  <c r="CG1012" i="5"/>
  <c r="CF1012" i="5"/>
  <c r="CE1012" i="5"/>
  <c r="CD1012" i="5"/>
  <c r="CC1012" i="5"/>
  <c r="CS1011" i="5"/>
  <c r="CM1011" i="5"/>
  <c r="CG1011" i="5"/>
  <c r="CF1011" i="5"/>
  <c r="CE1011" i="5"/>
  <c r="CD1011" i="5"/>
  <c r="CC1011" i="5"/>
  <c r="CS1010" i="5"/>
  <c r="CM1010" i="5"/>
  <c r="CG1010" i="5"/>
  <c r="CF1010" i="5"/>
  <c r="CE1010" i="5"/>
  <c r="CD1010" i="5"/>
  <c r="CC1010" i="5"/>
  <c r="CS1009" i="5"/>
  <c r="CM1009" i="5"/>
  <c r="CG1009" i="5"/>
  <c r="CF1009" i="5"/>
  <c r="CE1009" i="5"/>
  <c r="CD1009" i="5"/>
  <c r="CC1009" i="5"/>
  <c r="CS1008" i="5"/>
  <c r="CM1008" i="5"/>
  <c r="CG1008" i="5"/>
  <c r="CF1008" i="5"/>
  <c r="CE1008" i="5"/>
  <c r="CD1008" i="5"/>
  <c r="CC1008" i="5"/>
  <c r="CS1007" i="5"/>
  <c r="CM1007" i="5"/>
  <c r="CG1007" i="5"/>
  <c r="CF1007" i="5"/>
  <c r="CE1007" i="5"/>
  <c r="CD1007" i="5"/>
  <c r="CC1007" i="5"/>
  <c r="CS1006" i="5"/>
  <c r="CM1006" i="5"/>
  <c r="CG1006" i="5"/>
  <c r="CF1006" i="5"/>
  <c r="CE1006" i="5"/>
  <c r="CD1006" i="5"/>
  <c r="CC1006" i="5"/>
  <c r="CS1005" i="5"/>
  <c r="CM1005" i="5"/>
  <c r="CG1005" i="5"/>
  <c r="CF1005" i="5"/>
  <c r="CE1005" i="5"/>
  <c r="CD1005" i="5"/>
  <c r="CC1005" i="5"/>
  <c r="CS1004" i="5"/>
  <c r="CM1004" i="5"/>
  <c r="CG1004" i="5"/>
  <c r="CF1004" i="5"/>
  <c r="CE1004" i="5"/>
  <c r="CD1004" i="5"/>
  <c r="CC1004" i="5"/>
  <c r="CS1003" i="5"/>
  <c r="CM1003" i="5"/>
  <c r="CG1003" i="5"/>
  <c r="CF1003" i="5"/>
  <c r="CE1003" i="5"/>
  <c r="CD1003" i="5"/>
  <c r="CC1003" i="5"/>
  <c r="CS1002" i="5"/>
  <c r="CM1002" i="5"/>
  <c r="CG1002" i="5"/>
  <c r="CF1002" i="5"/>
  <c r="CE1002" i="5"/>
  <c r="CD1002" i="5"/>
  <c r="CC1002" i="5"/>
  <c r="CS1001" i="5"/>
  <c r="CM1001" i="5"/>
  <c r="CG1001" i="5"/>
  <c r="CF1001" i="5"/>
  <c r="CE1001" i="5"/>
  <c r="CD1001" i="5"/>
  <c r="CC1001" i="5"/>
  <c r="CS1000" i="5"/>
  <c r="CM1000" i="5"/>
  <c r="CG1000" i="5"/>
  <c r="CF1000" i="5"/>
  <c r="CE1000" i="5"/>
  <c r="CD1000" i="5"/>
  <c r="CC1000" i="5"/>
  <c r="CS999" i="5"/>
  <c r="CM999" i="5"/>
  <c r="CG999" i="5"/>
  <c r="CF999" i="5"/>
  <c r="CE999" i="5"/>
  <c r="CD999" i="5"/>
  <c r="CC999" i="5"/>
  <c r="CS998" i="5"/>
  <c r="CM998" i="5"/>
  <c r="CG998" i="5"/>
  <c r="CF998" i="5"/>
  <c r="CE998" i="5"/>
  <c r="CD998" i="5"/>
  <c r="CC998" i="5"/>
  <c r="CS997" i="5"/>
  <c r="CM997" i="5"/>
  <c r="CG997" i="5"/>
  <c r="CF997" i="5"/>
  <c r="CE997" i="5"/>
  <c r="CD997" i="5"/>
  <c r="CC997" i="5"/>
  <c r="CS996" i="5"/>
  <c r="CM996" i="5"/>
  <c r="CG996" i="5"/>
  <c r="CF996" i="5"/>
  <c r="CE996" i="5"/>
  <c r="CD996" i="5"/>
  <c r="CC996" i="5"/>
  <c r="CS995" i="5"/>
  <c r="CM995" i="5"/>
  <c r="CG995" i="5"/>
  <c r="CF995" i="5"/>
  <c r="CE995" i="5"/>
  <c r="CD995" i="5"/>
  <c r="CC995" i="5"/>
  <c r="CS994" i="5"/>
  <c r="CM994" i="5"/>
  <c r="CG994" i="5"/>
  <c r="CF994" i="5"/>
  <c r="CE994" i="5"/>
  <c r="CD994" i="5"/>
  <c r="CC994" i="5"/>
  <c r="CS993" i="5"/>
  <c r="CM993" i="5"/>
  <c r="CG993" i="5"/>
  <c r="CF993" i="5"/>
  <c r="CE993" i="5"/>
  <c r="CD993" i="5"/>
  <c r="CC993" i="5"/>
  <c r="CS992" i="5"/>
  <c r="CM992" i="5"/>
  <c r="CG992" i="5"/>
  <c r="CF992" i="5"/>
  <c r="CE992" i="5"/>
  <c r="CD992" i="5"/>
  <c r="CC992" i="5"/>
  <c r="CS991" i="5"/>
  <c r="CM991" i="5"/>
  <c r="CG991" i="5"/>
  <c r="CF991" i="5"/>
  <c r="CE991" i="5"/>
  <c r="CD991" i="5"/>
  <c r="CC991" i="5"/>
  <c r="CS990" i="5"/>
  <c r="CM990" i="5"/>
  <c r="CG990" i="5"/>
  <c r="CF990" i="5"/>
  <c r="CE990" i="5"/>
  <c r="CD990" i="5"/>
  <c r="CC990" i="5"/>
  <c r="CS989" i="5"/>
  <c r="CM989" i="5"/>
  <c r="CG989" i="5"/>
  <c r="CF989" i="5"/>
  <c r="CE989" i="5"/>
  <c r="CD989" i="5"/>
  <c r="CC989" i="5"/>
  <c r="CS988" i="5"/>
  <c r="CM988" i="5"/>
  <c r="CG988" i="5"/>
  <c r="CF988" i="5"/>
  <c r="CE988" i="5"/>
  <c r="CD988" i="5"/>
  <c r="CC988" i="5"/>
  <c r="CS987" i="5"/>
  <c r="CM987" i="5"/>
  <c r="CG987" i="5"/>
  <c r="CF987" i="5"/>
  <c r="CE987" i="5"/>
  <c r="CD987" i="5"/>
  <c r="CC987" i="5"/>
  <c r="CS986" i="5"/>
  <c r="CM986" i="5"/>
  <c r="CG986" i="5"/>
  <c r="CF986" i="5"/>
  <c r="CE986" i="5"/>
  <c r="CD986" i="5"/>
  <c r="CC986" i="5"/>
  <c r="CS985" i="5"/>
  <c r="CM985" i="5"/>
  <c r="CG985" i="5"/>
  <c r="CF985" i="5"/>
  <c r="CE985" i="5"/>
  <c r="CD985" i="5"/>
  <c r="CC985" i="5"/>
  <c r="CS984" i="5"/>
  <c r="CM984" i="5"/>
  <c r="CG984" i="5"/>
  <c r="CF984" i="5"/>
  <c r="CE984" i="5"/>
  <c r="CD984" i="5"/>
  <c r="CC984" i="5"/>
  <c r="CS983" i="5"/>
  <c r="CM983" i="5"/>
  <c r="CG983" i="5"/>
  <c r="CF983" i="5"/>
  <c r="CE983" i="5"/>
  <c r="CD983" i="5"/>
  <c r="CC983" i="5"/>
  <c r="CS982" i="5"/>
  <c r="CM982" i="5"/>
  <c r="CG982" i="5"/>
  <c r="CF982" i="5"/>
  <c r="CE982" i="5"/>
  <c r="CD982" i="5"/>
  <c r="CC982" i="5"/>
  <c r="CS981" i="5"/>
  <c r="CM981" i="5"/>
  <c r="CG981" i="5"/>
  <c r="CF981" i="5"/>
  <c r="CE981" i="5"/>
  <c r="CD981" i="5"/>
  <c r="CC981" i="5"/>
  <c r="CS980" i="5"/>
  <c r="CM980" i="5"/>
  <c r="CG980" i="5"/>
  <c r="CF980" i="5"/>
  <c r="CE980" i="5"/>
  <c r="CD980" i="5"/>
  <c r="CC980" i="5"/>
  <c r="CS979" i="5"/>
  <c r="CM979" i="5"/>
  <c r="CG979" i="5"/>
  <c r="CF979" i="5"/>
  <c r="CE979" i="5"/>
  <c r="CD979" i="5"/>
  <c r="CC979" i="5"/>
  <c r="CS978" i="5"/>
  <c r="CM978" i="5"/>
  <c r="CG978" i="5"/>
  <c r="CF978" i="5"/>
  <c r="CE978" i="5"/>
  <c r="CD978" i="5"/>
  <c r="CC978" i="5"/>
  <c r="CS977" i="5"/>
  <c r="CM977" i="5"/>
  <c r="CG977" i="5"/>
  <c r="CF977" i="5"/>
  <c r="CE977" i="5"/>
  <c r="CD977" i="5"/>
  <c r="CC977" i="5"/>
  <c r="CS976" i="5"/>
  <c r="CM976" i="5"/>
  <c r="CG976" i="5"/>
  <c r="CF976" i="5"/>
  <c r="CE976" i="5"/>
  <c r="CD976" i="5"/>
  <c r="CC976" i="5"/>
  <c r="CS975" i="5"/>
  <c r="CM975" i="5"/>
  <c r="CG975" i="5"/>
  <c r="CF975" i="5"/>
  <c r="CE975" i="5"/>
  <c r="CD975" i="5"/>
  <c r="CC975" i="5"/>
  <c r="CS974" i="5"/>
  <c r="CM974" i="5"/>
  <c r="CG974" i="5"/>
  <c r="CF974" i="5"/>
  <c r="CE974" i="5"/>
  <c r="CD974" i="5"/>
  <c r="CC974" i="5"/>
  <c r="CS973" i="5"/>
  <c r="CM973" i="5"/>
  <c r="CG973" i="5"/>
  <c r="CF973" i="5"/>
  <c r="CE973" i="5"/>
  <c r="CD973" i="5"/>
  <c r="CC973" i="5"/>
  <c r="CS972" i="5"/>
  <c r="CM972" i="5"/>
  <c r="CG972" i="5"/>
  <c r="CF972" i="5"/>
  <c r="CE972" i="5"/>
  <c r="CD972" i="5"/>
  <c r="CC972" i="5"/>
  <c r="CS971" i="5"/>
  <c r="CM971" i="5"/>
  <c r="CG971" i="5"/>
  <c r="CF971" i="5"/>
  <c r="CE971" i="5"/>
  <c r="CD971" i="5"/>
  <c r="CC971" i="5"/>
  <c r="CS970" i="5"/>
  <c r="CM970" i="5"/>
  <c r="CG970" i="5"/>
  <c r="CF970" i="5"/>
  <c r="CE970" i="5"/>
  <c r="CD970" i="5"/>
  <c r="CC970" i="5"/>
  <c r="CS969" i="5"/>
  <c r="CM969" i="5"/>
  <c r="CG969" i="5"/>
  <c r="CF969" i="5"/>
  <c r="CE969" i="5"/>
  <c r="CD969" i="5"/>
  <c r="CC969" i="5"/>
  <c r="CS968" i="5"/>
  <c r="CM968" i="5"/>
  <c r="CG968" i="5"/>
  <c r="CF968" i="5"/>
  <c r="CE968" i="5"/>
  <c r="CD968" i="5"/>
  <c r="CC968" i="5"/>
  <c r="CS967" i="5"/>
  <c r="CM967" i="5"/>
  <c r="CG967" i="5"/>
  <c r="CF967" i="5"/>
  <c r="CE967" i="5"/>
  <c r="CD967" i="5"/>
  <c r="CC967" i="5"/>
  <c r="CS966" i="5"/>
  <c r="CM966" i="5"/>
  <c r="CG966" i="5"/>
  <c r="CF966" i="5"/>
  <c r="CE966" i="5"/>
  <c r="CD966" i="5"/>
  <c r="CC966" i="5"/>
  <c r="CS965" i="5"/>
  <c r="CM965" i="5"/>
  <c r="CG965" i="5"/>
  <c r="CF965" i="5"/>
  <c r="CE965" i="5"/>
  <c r="CD965" i="5"/>
  <c r="CC965" i="5"/>
  <c r="CS964" i="5"/>
  <c r="CM964" i="5"/>
  <c r="CG964" i="5"/>
  <c r="CF964" i="5"/>
  <c r="CE964" i="5"/>
  <c r="CD964" i="5"/>
  <c r="CC964" i="5"/>
  <c r="CS963" i="5"/>
  <c r="CM963" i="5"/>
  <c r="CG963" i="5"/>
  <c r="CF963" i="5"/>
  <c r="CE963" i="5"/>
  <c r="CD963" i="5"/>
  <c r="CC963" i="5"/>
  <c r="CS962" i="5"/>
  <c r="CM962" i="5"/>
  <c r="CG962" i="5"/>
  <c r="CF962" i="5"/>
  <c r="CE962" i="5"/>
  <c r="CD962" i="5"/>
  <c r="CC962" i="5"/>
  <c r="CS961" i="5"/>
  <c r="CM961" i="5"/>
  <c r="CG961" i="5"/>
  <c r="CF961" i="5"/>
  <c r="CE961" i="5"/>
  <c r="CD961" i="5"/>
  <c r="CC961" i="5"/>
  <c r="CS960" i="5"/>
  <c r="CM960" i="5"/>
  <c r="CG960" i="5"/>
  <c r="CF960" i="5"/>
  <c r="CE960" i="5"/>
  <c r="CD960" i="5"/>
  <c r="CC960" i="5"/>
  <c r="CS959" i="5"/>
  <c r="CM959" i="5"/>
  <c r="CG959" i="5"/>
  <c r="CF959" i="5"/>
  <c r="CE959" i="5"/>
  <c r="CD959" i="5"/>
  <c r="CC959" i="5"/>
  <c r="CS958" i="5"/>
  <c r="CM958" i="5"/>
  <c r="CG958" i="5"/>
  <c r="CF958" i="5"/>
  <c r="CE958" i="5"/>
  <c r="CD958" i="5"/>
  <c r="CC958" i="5"/>
  <c r="CS957" i="5"/>
  <c r="CM957" i="5"/>
  <c r="CG957" i="5"/>
  <c r="CF957" i="5"/>
  <c r="CE957" i="5"/>
  <c r="CD957" i="5"/>
  <c r="CC957" i="5"/>
  <c r="CS956" i="5"/>
  <c r="CM956" i="5"/>
  <c r="CG956" i="5"/>
  <c r="CF956" i="5"/>
  <c r="CE956" i="5"/>
  <c r="CD956" i="5"/>
  <c r="CC956" i="5"/>
  <c r="CS955" i="5"/>
  <c r="CM955" i="5"/>
  <c r="CG955" i="5"/>
  <c r="CF955" i="5"/>
  <c r="CE955" i="5"/>
  <c r="CD955" i="5"/>
  <c r="CC955" i="5"/>
  <c r="CS954" i="5"/>
  <c r="CM954" i="5"/>
  <c r="CG954" i="5"/>
  <c r="CF954" i="5"/>
  <c r="CE954" i="5"/>
  <c r="CD954" i="5"/>
  <c r="CC954" i="5"/>
  <c r="CS953" i="5"/>
  <c r="CM953" i="5"/>
  <c r="CG953" i="5"/>
  <c r="CF953" i="5"/>
  <c r="CE953" i="5"/>
  <c r="CD953" i="5"/>
  <c r="CC953" i="5"/>
  <c r="CS952" i="5"/>
  <c r="CM952" i="5"/>
  <c r="CG952" i="5"/>
  <c r="CF952" i="5"/>
  <c r="CE952" i="5"/>
  <c r="CD952" i="5"/>
  <c r="CC952" i="5"/>
  <c r="CS951" i="5"/>
  <c r="CM951" i="5"/>
  <c r="CG951" i="5"/>
  <c r="CF951" i="5"/>
  <c r="CE951" i="5"/>
  <c r="CD951" i="5"/>
  <c r="CC951" i="5"/>
  <c r="CS950" i="5"/>
  <c r="CM950" i="5"/>
  <c r="CG950" i="5"/>
  <c r="CF950" i="5"/>
  <c r="CE950" i="5"/>
  <c r="CD950" i="5"/>
  <c r="CC950" i="5"/>
  <c r="CS949" i="5"/>
  <c r="CM949" i="5"/>
  <c r="CG949" i="5"/>
  <c r="CF949" i="5"/>
  <c r="CE949" i="5"/>
  <c r="CD949" i="5"/>
  <c r="CC949" i="5"/>
  <c r="CS948" i="5"/>
  <c r="CM948" i="5"/>
  <c r="CG948" i="5"/>
  <c r="CF948" i="5"/>
  <c r="CE948" i="5"/>
  <c r="CD948" i="5"/>
  <c r="CC948" i="5"/>
  <c r="CS947" i="5"/>
  <c r="CM947" i="5"/>
  <c r="CG947" i="5"/>
  <c r="CF947" i="5"/>
  <c r="CE947" i="5"/>
  <c r="CD947" i="5"/>
  <c r="CC947" i="5"/>
  <c r="CS946" i="5"/>
  <c r="CM946" i="5"/>
  <c r="CG946" i="5"/>
  <c r="CF946" i="5"/>
  <c r="CE946" i="5"/>
  <c r="CD946" i="5"/>
  <c r="CC946" i="5"/>
  <c r="CS945" i="5"/>
  <c r="CM945" i="5"/>
  <c r="CG945" i="5"/>
  <c r="CF945" i="5"/>
  <c r="CE945" i="5"/>
  <c r="CD945" i="5"/>
  <c r="CC945" i="5"/>
  <c r="CS944" i="5"/>
  <c r="CM944" i="5"/>
  <c r="CG944" i="5"/>
  <c r="CF944" i="5"/>
  <c r="CE944" i="5"/>
  <c r="CD944" i="5"/>
  <c r="CC944" i="5"/>
  <c r="CS943" i="5"/>
  <c r="CM943" i="5"/>
  <c r="CG943" i="5"/>
  <c r="CF943" i="5"/>
  <c r="CE943" i="5"/>
  <c r="CD943" i="5"/>
  <c r="CC943" i="5"/>
  <c r="CS942" i="5"/>
  <c r="CM942" i="5"/>
  <c r="CG942" i="5"/>
  <c r="CF942" i="5"/>
  <c r="CE942" i="5"/>
  <c r="CD942" i="5"/>
  <c r="CC942" i="5"/>
  <c r="CS941" i="5"/>
  <c r="CM941" i="5"/>
  <c r="CG941" i="5"/>
  <c r="CF941" i="5"/>
  <c r="CE941" i="5"/>
  <c r="CD941" i="5"/>
  <c r="CC941" i="5"/>
  <c r="CS940" i="5"/>
  <c r="CM940" i="5"/>
  <c r="CG940" i="5"/>
  <c r="CF940" i="5"/>
  <c r="CE940" i="5"/>
  <c r="CD940" i="5"/>
  <c r="CC940" i="5"/>
  <c r="CS939" i="5"/>
  <c r="CM939" i="5"/>
  <c r="CG939" i="5"/>
  <c r="CF939" i="5"/>
  <c r="CE939" i="5"/>
  <c r="CD939" i="5"/>
  <c r="CC939" i="5"/>
  <c r="CS938" i="5"/>
  <c r="CM938" i="5"/>
  <c r="CG938" i="5"/>
  <c r="CF938" i="5"/>
  <c r="CE938" i="5"/>
  <c r="CD938" i="5"/>
  <c r="CC938" i="5"/>
  <c r="CS937" i="5"/>
  <c r="CM937" i="5"/>
  <c r="CG937" i="5"/>
  <c r="CF937" i="5"/>
  <c r="CE937" i="5"/>
  <c r="CD937" i="5"/>
  <c r="CC937" i="5"/>
  <c r="CS936" i="5"/>
  <c r="CM936" i="5"/>
  <c r="CG936" i="5"/>
  <c r="CF936" i="5"/>
  <c r="CE936" i="5"/>
  <c r="CD936" i="5"/>
  <c r="CC936" i="5"/>
  <c r="CS935" i="5"/>
  <c r="CM935" i="5"/>
  <c r="CG935" i="5"/>
  <c r="CF935" i="5"/>
  <c r="CE935" i="5"/>
  <c r="CD935" i="5"/>
  <c r="CC935" i="5"/>
  <c r="CS934" i="5"/>
  <c r="CM934" i="5"/>
  <c r="CG934" i="5"/>
  <c r="CF934" i="5"/>
  <c r="CE934" i="5"/>
  <c r="CD934" i="5"/>
  <c r="CC934" i="5"/>
  <c r="CS933" i="5"/>
  <c r="CM933" i="5"/>
  <c r="CG933" i="5"/>
  <c r="CF933" i="5"/>
  <c r="CE933" i="5"/>
  <c r="CD933" i="5"/>
  <c r="CC933" i="5"/>
  <c r="CS932" i="5"/>
  <c r="CM932" i="5"/>
  <c r="CG932" i="5"/>
  <c r="CF932" i="5"/>
  <c r="CE932" i="5"/>
  <c r="CD932" i="5"/>
  <c r="CC932" i="5"/>
  <c r="CS931" i="5"/>
  <c r="CM931" i="5"/>
  <c r="CG931" i="5"/>
  <c r="CF931" i="5"/>
  <c r="CE931" i="5"/>
  <c r="CD931" i="5"/>
  <c r="CC931" i="5"/>
  <c r="CS930" i="5"/>
  <c r="CM930" i="5"/>
  <c r="CG930" i="5"/>
  <c r="CF930" i="5"/>
  <c r="CE930" i="5"/>
  <c r="CD930" i="5"/>
  <c r="CC930" i="5"/>
  <c r="CS929" i="5"/>
  <c r="CM929" i="5"/>
  <c r="CG929" i="5"/>
  <c r="CF929" i="5"/>
  <c r="CE929" i="5"/>
  <c r="CD929" i="5"/>
  <c r="CC929" i="5"/>
  <c r="CS928" i="5"/>
  <c r="CM928" i="5"/>
  <c r="CG928" i="5"/>
  <c r="CF928" i="5"/>
  <c r="CE928" i="5"/>
  <c r="CD928" i="5"/>
  <c r="CC928" i="5"/>
  <c r="CS927" i="5"/>
  <c r="CM927" i="5"/>
  <c r="CG927" i="5"/>
  <c r="CF927" i="5"/>
  <c r="CE927" i="5"/>
  <c r="CD927" i="5"/>
  <c r="CC927" i="5"/>
  <c r="CS926" i="5"/>
  <c r="CM926" i="5"/>
  <c r="CG926" i="5"/>
  <c r="CF926" i="5"/>
  <c r="CE926" i="5"/>
  <c r="CD926" i="5"/>
  <c r="CC926" i="5"/>
  <c r="CS925" i="5"/>
  <c r="CM925" i="5"/>
  <c r="CG925" i="5"/>
  <c r="CF925" i="5"/>
  <c r="CE925" i="5"/>
  <c r="CD925" i="5"/>
  <c r="CC925" i="5"/>
  <c r="CS924" i="5"/>
  <c r="CM924" i="5"/>
  <c r="CG924" i="5"/>
  <c r="CF924" i="5"/>
  <c r="CE924" i="5"/>
  <c r="CD924" i="5"/>
  <c r="CC924" i="5"/>
  <c r="CS923" i="5"/>
  <c r="CM923" i="5"/>
  <c r="CG923" i="5"/>
  <c r="CF923" i="5"/>
  <c r="CE923" i="5"/>
  <c r="CD923" i="5"/>
  <c r="CC923" i="5"/>
  <c r="CS922" i="5"/>
  <c r="CM922" i="5"/>
  <c r="CG922" i="5"/>
  <c r="CF922" i="5"/>
  <c r="CE922" i="5"/>
  <c r="CD922" i="5"/>
  <c r="CC922" i="5"/>
  <c r="CS921" i="5"/>
  <c r="CM921" i="5"/>
  <c r="CG921" i="5"/>
  <c r="CF921" i="5"/>
  <c r="CE921" i="5"/>
  <c r="CD921" i="5"/>
  <c r="CC921" i="5"/>
  <c r="CS920" i="5"/>
  <c r="CM920" i="5"/>
  <c r="CG920" i="5"/>
  <c r="CF920" i="5"/>
  <c r="CE920" i="5"/>
  <c r="CD920" i="5"/>
  <c r="CC920" i="5"/>
  <c r="CS919" i="5"/>
  <c r="CM919" i="5"/>
  <c r="CG919" i="5"/>
  <c r="CF919" i="5"/>
  <c r="CE919" i="5"/>
  <c r="CD919" i="5"/>
  <c r="CC919" i="5"/>
  <c r="CS918" i="5"/>
  <c r="CM918" i="5"/>
  <c r="CG918" i="5"/>
  <c r="CF918" i="5"/>
  <c r="CE918" i="5"/>
  <c r="CD918" i="5"/>
  <c r="CC918" i="5"/>
  <c r="CS917" i="5"/>
  <c r="CM917" i="5"/>
  <c r="CG917" i="5"/>
  <c r="CF917" i="5"/>
  <c r="CE917" i="5"/>
  <c r="CD917" i="5"/>
  <c r="CC917" i="5"/>
  <c r="CS916" i="5"/>
  <c r="CM916" i="5"/>
  <c r="CG916" i="5"/>
  <c r="CF916" i="5"/>
  <c r="CE916" i="5"/>
  <c r="CD916" i="5"/>
  <c r="CC916" i="5"/>
  <c r="CS915" i="5"/>
  <c r="CM915" i="5"/>
  <c r="CG915" i="5"/>
  <c r="CF915" i="5"/>
  <c r="CE915" i="5"/>
  <c r="CD915" i="5"/>
  <c r="CC915" i="5"/>
  <c r="CS914" i="5"/>
  <c r="CM914" i="5"/>
  <c r="CG914" i="5"/>
  <c r="CF914" i="5"/>
  <c r="CE914" i="5"/>
  <c r="CD914" i="5"/>
  <c r="CC914" i="5"/>
  <c r="CS913" i="5"/>
  <c r="CM913" i="5"/>
  <c r="CG913" i="5"/>
  <c r="CF913" i="5"/>
  <c r="CE913" i="5"/>
  <c r="CD913" i="5"/>
  <c r="CC913" i="5"/>
  <c r="CS912" i="5"/>
  <c r="CM912" i="5"/>
  <c r="CG912" i="5"/>
  <c r="CF912" i="5"/>
  <c r="CE912" i="5"/>
  <c r="CD912" i="5"/>
  <c r="CC912" i="5"/>
  <c r="CS911" i="5"/>
  <c r="CM911" i="5"/>
  <c r="CG911" i="5"/>
  <c r="CF911" i="5"/>
  <c r="CE911" i="5"/>
  <c r="CD911" i="5"/>
  <c r="CC911" i="5"/>
  <c r="CS910" i="5"/>
  <c r="CM910" i="5"/>
  <c r="CG910" i="5"/>
  <c r="CF910" i="5"/>
  <c r="CE910" i="5"/>
  <c r="CD910" i="5"/>
  <c r="CC910" i="5"/>
  <c r="CS909" i="5"/>
  <c r="CM909" i="5"/>
  <c r="CG909" i="5"/>
  <c r="CF909" i="5"/>
  <c r="CE909" i="5"/>
  <c r="CD909" i="5"/>
  <c r="CC909" i="5"/>
  <c r="CS908" i="5"/>
  <c r="CM908" i="5"/>
  <c r="CG908" i="5"/>
  <c r="CF908" i="5"/>
  <c r="CE908" i="5"/>
  <c r="CD908" i="5"/>
  <c r="CC908" i="5"/>
  <c r="CS907" i="5"/>
  <c r="CM907" i="5"/>
  <c r="CG907" i="5"/>
  <c r="CF907" i="5"/>
  <c r="CE907" i="5"/>
  <c r="CD907" i="5"/>
  <c r="CC907" i="5"/>
  <c r="CS906" i="5"/>
  <c r="CM906" i="5"/>
  <c r="CG906" i="5"/>
  <c r="CF906" i="5"/>
  <c r="CE906" i="5"/>
  <c r="CD906" i="5"/>
  <c r="CC906" i="5"/>
  <c r="CS905" i="5"/>
  <c r="CM905" i="5"/>
  <c r="CG905" i="5"/>
  <c r="CF905" i="5"/>
  <c r="CE905" i="5"/>
  <c r="CD905" i="5"/>
  <c r="CC905" i="5"/>
  <c r="CS904" i="5"/>
  <c r="CM904" i="5"/>
  <c r="CG904" i="5"/>
  <c r="CF904" i="5"/>
  <c r="CE904" i="5"/>
  <c r="CD904" i="5"/>
  <c r="CC904" i="5"/>
  <c r="CS903" i="5"/>
  <c r="CM903" i="5"/>
  <c r="CG903" i="5"/>
  <c r="CF903" i="5"/>
  <c r="CE903" i="5"/>
  <c r="CD903" i="5"/>
  <c r="CC903" i="5"/>
  <c r="CS902" i="5"/>
  <c r="CM902" i="5"/>
  <c r="CG902" i="5"/>
  <c r="CF902" i="5"/>
  <c r="CE902" i="5"/>
  <c r="CD902" i="5"/>
  <c r="CC902" i="5"/>
  <c r="CS901" i="5"/>
  <c r="CM901" i="5"/>
  <c r="CG901" i="5"/>
  <c r="CF901" i="5"/>
  <c r="CE901" i="5"/>
  <c r="CD901" i="5"/>
  <c r="CC901" i="5"/>
  <c r="CS900" i="5"/>
  <c r="CM900" i="5"/>
  <c r="CG900" i="5"/>
  <c r="CF900" i="5"/>
  <c r="CE900" i="5"/>
  <c r="CD900" i="5"/>
  <c r="CC900" i="5"/>
  <c r="CS899" i="5"/>
  <c r="CM899" i="5"/>
  <c r="CG899" i="5"/>
  <c r="CF899" i="5"/>
  <c r="CE899" i="5"/>
  <c r="CD899" i="5"/>
  <c r="CC899" i="5"/>
  <c r="CS898" i="5"/>
  <c r="CM898" i="5"/>
  <c r="CG898" i="5"/>
  <c r="CF898" i="5"/>
  <c r="CE898" i="5"/>
  <c r="CD898" i="5"/>
  <c r="CC898" i="5"/>
  <c r="CS897" i="5"/>
  <c r="CM897" i="5"/>
  <c r="CG897" i="5"/>
  <c r="CF897" i="5"/>
  <c r="CE897" i="5"/>
  <c r="CD897" i="5"/>
  <c r="CC897" i="5"/>
  <c r="CS896" i="5"/>
  <c r="CM896" i="5"/>
  <c r="CG896" i="5"/>
  <c r="CF896" i="5"/>
  <c r="CE896" i="5"/>
  <c r="CD896" i="5"/>
  <c r="CC896" i="5"/>
  <c r="CS895" i="5"/>
  <c r="CM895" i="5"/>
  <c r="CG895" i="5"/>
  <c r="CF895" i="5"/>
  <c r="CE895" i="5"/>
  <c r="CD895" i="5"/>
  <c r="CC895" i="5"/>
  <c r="CS894" i="5"/>
  <c r="CM894" i="5"/>
  <c r="CG894" i="5"/>
  <c r="CF894" i="5"/>
  <c r="CE894" i="5"/>
  <c r="CD894" i="5"/>
  <c r="CC894" i="5"/>
  <c r="CS893" i="5"/>
  <c r="CM893" i="5"/>
  <c r="CG893" i="5"/>
  <c r="CF893" i="5"/>
  <c r="CE893" i="5"/>
  <c r="CD893" i="5"/>
  <c r="CC893" i="5"/>
  <c r="CS892" i="5"/>
  <c r="CM892" i="5"/>
  <c r="CG892" i="5"/>
  <c r="CF892" i="5"/>
  <c r="CE892" i="5"/>
  <c r="CD892" i="5"/>
  <c r="CC892" i="5"/>
  <c r="CS891" i="5"/>
  <c r="CM891" i="5"/>
  <c r="CG891" i="5"/>
  <c r="CF891" i="5"/>
  <c r="CE891" i="5"/>
  <c r="CD891" i="5"/>
  <c r="CC891" i="5"/>
  <c r="CS890" i="5"/>
  <c r="CM890" i="5"/>
  <c r="CG890" i="5"/>
  <c r="CF890" i="5"/>
  <c r="CE890" i="5"/>
  <c r="CD890" i="5"/>
  <c r="CC890" i="5"/>
  <c r="CS889" i="5"/>
  <c r="CM889" i="5"/>
  <c r="CG889" i="5"/>
  <c r="CF889" i="5"/>
  <c r="CE889" i="5"/>
  <c r="CD889" i="5"/>
  <c r="CC889" i="5"/>
  <c r="CS888" i="5"/>
  <c r="CM888" i="5"/>
  <c r="CG888" i="5"/>
  <c r="CF888" i="5"/>
  <c r="CE888" i="5"/>
  <c r="CD888" i="5"/>
  <c r="CC888" i="5"/>
  <c r="CS887" i="5"/>
  <c r="CM887" i="5"/>
  <c r="CG887" i="5"/>
  <c r="CF887" i="5"/>
  <c r="CE887" i="5"/>
  <c r="CD887" i="5"/>
  <c r="CC887" i="5"/>
  <c r="CS886" i="5"/>
  <c r="CM886" i="5"/>
  <c r="CG886" i="5"/>
  <c r="CF886" i="5"/>
  <c r="CE886" i="5"/>
  <c r="CD886" i="5"/>
  <c r="CC886" i="5"/>
  <c r="CS885" i="5"/>
  <c r="CM885" i="5"/>
  <c r="CG885" i="5"/>
  <c r="CF885" i="5"/>
  <c r="CE885" i="5"/>
  <c r="CD885" i="5"/>
  <c r="CC885" i="5"/>
  <c r="CS884" i="5"/>
  <c r="CM884" i="5"/>
  <c r="CG884" i="5"/>
  <c r="CF884" i="5"/>
  <c r="CE884" i="5"/>
  <c r="CD884" i="5"/>
  <c r="CC884" i="5"/>
  <c r="CS883" i="5"/>
  <c r="CM883" i="5"/>
  <c r="CG883" i="5"/>
  <c r="CF883" i="5"/>
  <c r="CE883" i="5"/>
  <c r="CD883" i="5"/>
  <c r="CC883" i="5"/>
  <c r="CS882" i="5"/>
  <c r="CM882" i="5"/>
  <c r="CG882" i="5"/>
  <c r="CF882" i="5"/>
  <c r="CE882" i="5"/>
  <c r="CD882" i="5"/>
  <c r="CC882" i="5"/>
  <c r="CS881" i="5"/>
  <c r="CM881" i="5"/>
  <c r="CG881" i="5"/>
  <c r="CF881" i="5"/>
  <c r="CE881" i="5"/>
  <c r="CD881" i="5"/>
  <c r="CC881" i="5"/>
  <c r="CS880" i="5"/>
  <c r="CM880" i="5"/>
  <c r="CG880" i="5"/>
  <c r="CF880" i="5"/>
  <c r="CE880" i="5"/>
  <c r="CD880" i="5"/>
  <c r="CC880" i="5"/>
  <c r="CS879" i="5"/>
  <c r="CM879" i="5"/>
  <c r="CG879" i="5"/>
  <c r="CF879" i="5"/>
  <c r="CE879" i="5"/>
  <c r="CD879" i="5"/>
  <c r="CC879" i="5"/>
  <c r="CS878" i="5"/>
  <c r="CM878" i="5"/>
  <c r="CG878" i="5"/>
  <c r="CF878" i="5"/>
  <c r="CE878" i="5"/>
  <c r="CD878" i="5"/>
  <c r="CC878" i="5"/>
  <c r="CS877" i="5"/>
  <c r="CM877" i="5"/>
  <c r="CG877" i="5"/>
  <c r="CF877" i="5"/>
  <c r="CE877" i="5"/>
  <c r="CD877" i="5"/>
  <c r="CC877" i="5"/>
  <c r="CS876" i="5"/>
  <c r="CM876" i="5"/>
  <c r="CG876" i="5"/>
  <c r="CF876" i="5"/>
  <c r="CE876" i="5"/>
  <c r="CD876" i="5"/>
  <c r="CC876" i="5"/>
  <c r="CS875" i="5"/>
  <c r="CM875" i="5"/>
  <c r="CG875" i="5"/>
  <c r="CF875" i="5"/>
  <c r="CE875" i="5"/>
  <c r="CD875" i="5"/>
  <c r="CC875" i="5"/>
  <c r="CS874" i="5"/>
  <c r="CM874" i="5"/>
  <c r="CG874" i="5"/>
  <c r="CF874" i="5"/>
  <c r="CE874" i="5"/>
  <c r="CD874" i="5"/>
  <c r="CC874" i="5"/>
  <c r="CS873" i="5"/>
  <c r="CM873" i="5"/>
  <c r="CG873" i="5"/>
  <c r="CF873" i="5"/>
  <c r="CE873" i="5"/>
  <c r="CD873" i="5"/>
  <c r="CC873" i="5"/>
  <c r="CS872" i="5"/>
  <c r="CM872" i="5"/>
  <c r="CG872" i="5"/>
  <c r="CF872" i="5"/>
  <c r="CE872" i="5"/>
  <c r="CD872" i="5"/>
  <c r="CC872" i="5"/>
  <c r="CS871" i="5"/>
  <c r="CM871" i="5"/>
  <c r="CG871" i="5"/>
  <c r="CF871" i="5"/>
  <c r="CE871" i="5"/>
  <c r="CD871" i="5"/>
  <c r="CC871" i="5"/>
  <c r="CS870" i="5"/>
  <c r="CM870" i="5"/>
  <c r="CG870" i="5"/>
  <c r="CF870" i="5"/>
  <c r="CE870" i="5"/>
  <c r="CD870" i="5"/>
  <c r="CC870" i="5"/>
  <c r="CS869" i="5"/>
  <c r="CM869" i="5"/>
  <c r="CG869" i="5"/>
  <c r="CF869" i="5"/>
  <c r="CE869" i="5"/>
  <c r="CD869" i="5"/>
  <c r="CC869" i="5"/>
  <c r="CS868" i="5"/>
  <c r="CM868" i="5"/>
  <c r="CG868" i="5"/>
  <c r="CF868" i="5"/>
  <c r="CE868" i="5"/>
  <c r="CD868" i="5"/>
  <c r="CC868" i="5"/>
  <c r="CS867" i="5"/>
  <c r="CM867" i="5"/>
  <c r="CG867" i="5"/>
  <c r="CF867" i="5"/>
  <c r="CE867" i="5"/>
  <c r="CD867" i="5"/>
  <c r="CC867" i="5"/>
  <c r="CS866" i="5"/>
  <c r="CM866" i="5"/>
  <c r="CG866" i="5"/>
  <c r="CF866" i="5"/>
  <c r="CE866" i="5"/>
  <c r="CD866" i="5"/>
  <c r="CC866" i="5"/>
  <c r="CS865" i="5"/>
  <c r="CM865" i="5"/>
  <c r="CG865" i="5"/>
  <c r="CF865" i="5"/>
  <c r="CE865" i="5"/>
  <c r="CD865" i="5"/>
  <c r="CC865" i="5"/>
  <c r="CS864" i="5"/>
  <c r="CM864" i="5"/>
  <c r="CG864" i="5"/>
  <c r="CF864" i="5"/>
  <c r="CE864" i="5"/>
  <c r="CD864" i="5"/>
  <c r="CC864" i="5"/>
  <c r="CS863" i="5"/>
  <c r="CM863" i="5"/>
  <c r="CG863" i="5"/>
  <c r="CF863" i="5"/>
  <c r="CE863" i="5"/>
  <c r="CD863" i="5"/>
  <c r="CC863" i="5"/>
  <c r="CS862" i="5"/>
  <c r="CM862" i="5"/>
  <c r="CG862" i="5"/>
  <c r="CF862" i="5"/>
  <c r="CE862" i="5"/>
  <c r="CD862" i="5"/>
  <c r="CC862" i="5"/>
  <c r="CS861" i="5"/>
  <c r="CM861" i="5"/>
  <c r="CG861" i="5"/>
  <c r="CF861" i="5"/>
  <c r="CE861" i="5"/>
  <c r="CD861" i="5"/>
  <c r="CC861" i="5"/>
  <c r="CS860" i="5"/>
  <c r="CM860" i="5"/>
  <c r="CG860" i="5"/>
  <c r="CF860" i="5"/>
  <c r="CE860" i="5"/>
  <c r="CD860" i="5"/>
  <c r="CC860" i="5"/>
  <c r="CS859" i="5"/>
  <c r="CM859" i="5"/>
  <c r="CG859" i="5"/>
  <c r="CF859" i="5"/>
  <c r="CE859" i="5"/>
  <c r="CD859" i="5"/>
  <c r="CC859" i="5"/>
  <c r="CS858" i="5"/>
  <c r="CM858" i="5"/>
  <c r="CG858" i="5"/>
  <c r="CF858" i="5"/>
  <c r="CE858" i="5"/>
  <c r="CD858" i="5"/>
  <c r="CC858" i="5"/>
  <c r="CS857" i="5"/>
  <c r="CM857" i="5"/>
  <c r="CG857" i="5"/>
  <c r="CF857" i="5"/>
  <c r="CE857" i="5"/>
  <c r="CD857" i="5"/>
  <c r="CC857" i="5"/>
  <c r="CS856" i="5"/>
  <c r="CM856" i="5"/>
  <c r="CG856" i="5"/>
  <c r="CF856" i="5"/>
  <c r="CE856" i="5"/>
  <c r="CD856" i="5"/>
  <c r="CC856" i="5"/>
  <c r="CS855" i="5"/>
  <c r="CM855" i="5"/>
  <c r="CG855" i="5"/>
  <c r="CF855" i="5"/>
  <c r="CE855" i="5"/>
  <c r="CD855" i="5"/>
  <c r="CC855" i="5"/>
  <c r="CS854" i="5"/>
  <c r="CM854" i="5"/>
  <c r="CG854" i="5"/>
  <c r="CF854" i="5"/>
  <c r="CE854" i="5"/>
  <c r="CD854" i="5"/>
  <c r="CC854" i="5"/>
  <c r="CS853" i="5"/>
  <c r="CM853" i="5"/>
  <c r="CG853" i="5"/>
  <c r="CF853" i="5"/>
  <c r="CE853" i="5"/>
  <c r="CD853" i="5"/>
  <c r="CC853" i="5"/>
  <c r="CS852" i="5"/>
  <c r="CM852" i="5"/>
  <c r="CG852" i="5"/>
  <c r="CF852" i="5"/>
  <c r="CE852" i="5"/>
  <c r="CD852" i="5"/>
  <c r="CC852" i="5"/>
  <c r="CS851" i="5"/>
  <c r="CM851" i="5"/>
  <c r="CG851" i="5"/>
  <c r="CF851" i="5"/>
  <c r="CE851" i="5"/>
  <c r="CD851" i="5"/>
  <c r="CC851" i="5"/>
  <c r="CS850" i="5"/>
  <c r="CM850" i="5"/>
  <c r="CG850" i="5"/>
  <c r="CF850" i="5"/>
  <c r="CE850" i="5"/>
  <c r="CD850" i="5"/>
  <c r="CC850" i="5"/>
  <c r="CS849" i="5"/>
  <c r="CM849" i="5"/>
  <c r="CG849" i="5"/>
  <c r="CF849" i="5"/>
  <c r="CE849" i="5"/>
  <c r="CD849" i="5"/>
  <c r="CC849" i="5"/>
  <c r="CS848" i="5"/>
  <c r="CM848" i="5"/>
  <c r="CG848" i="5"/>
  <c r="CF848" i="5"/>
  <c r="CE848" i="5"/>
  <c r="CD848" i="5"/>
  <c r="CC848" i="5"/>
  <c r="CS847" i="5"/>
  <c r="CM847" i="5"/>
  <c r="CG847" i="5"/>
  <c r="CF847" i="5"/>
  <c r="CE847" i="5"/>
  <c r="CD847" i="5"/>
  <c r="CC847" i="5"/>
  <c r="CS846" i="5"/>
  <c r="CM846" i="5"/>
  <c r="CG846" i="5"/>
  <c r="CF846" i="5"/>
  <c r="CE846" i="5"/>
  <c r="CD846" i="5"/>
  <c r="CC846" i="5"/>
  <c r="CS845" i="5"/>
  <c r="CM845" i="5"/>
  <c r="CG845" i="5"/>
  <c r="CF845" i="5"/>
  <c r="CE845" i="5"/>
  <c r="CD845" i="5"/>
  <c r="CC845" i="5"/>
  <c r="CS844" i="5"/>
  <c r="CM844" i="5"/>
  <c r="CG844" i="5"/>
  <c r="CF844" i="5"/>
  <c r="CE844" i="5"/>
  <c r="CD844" i="5"/>
  <c r="CC844" i="5"/>
  <c r="CS843" i="5"/>
  <c r="CM843" i="5"/>
  <c r="CG843" i="5"/>
  <c r="CF843" i="5"/>
  <c r="CE843" i="5"/>
  <c r="CD843" i="5"/>
  <c r="CC843" i="5"/>
  <c r="CS842" i="5"/>
  <c r="CM842" i="5"/>
  <c r="CG842" i="5"/>
  <c r="CF842" i="5"/>
  <c r="CE842" i="5"/>
  <c r="CD842" i="5"/>
  <c r="CC842" i="5"/>
  <c r="CS841" i="5"/>
  <c r="CM841" i="5"/>
  <c r="CG841" i="5"/>
  <c r="CF841" i="5"/>
  <c r="CE841" i="5"/>
  <c r="CD841" i="5"/>
  <c r="CC841" i="5"/>
  <c r="CS840" i="5"/>
  <c r="CM840" i="5"/>
  <c r="CG840" i="5"/>
  <c r="CF840" i="5"/>
  <c r="CE840" i="5"/>
  <c r="CD840" i="5"/>
  <c r="CC840" i="5"/>
  <c r="CS839" i="5"/>
  <c r="CM839" i="5"/>
  <c r="CG839" i="5"/>
  <c r="CF839" i="5"/>
  <c r="CE839" i="5"/>
  <c r="CD839" i="5"/>
  <c r="CC839" i="5"/>
  <c r="CS838" i="5"/>
  <c r="CM838" i="5"/>
  <c r="CG838" i="5"/>
  <c r="CF838" i="5"/>
  <c r="CE838" i="5"/>
  <c r="CD838" i="5"/>
  <c r="CC838" i="5"/>
  <c r="CS837" i="5"/>
  <c r="CM837" i="5"/>
  <c r="CG837" i="5"/>
  <c r="CF837" i="5"/>
  <c r="CE837" i="5"/>
  <c r="CD837" i="5"/>
  <c r="CC837" i="5"/>
  <c r="CS836" i="5"/>
  <c r="CM836" i="5"/>
  <c r="CG836" i="5"/>
  <c r="CF836" i="5"/>
  <c r="CE836" i="5"/>
  <c r="CD836" i="5"/>
  <c r="CC836" i="5"/>
  <c r="CS835" i="5"/>
  <c r="CM835" i="5"/>
  <c r="CG835" i="5"/>
  <c r="CF835" i="5"/>
  <c r="CE835" i="5"/>
  <c r="CD835" i="5"/>
  <c r="CC835" i="5"/>
  <c r="CS834" i="5"/>
  <c r="CM834" i="5"/>
  <c r="CG834" i="5"/>
  <c r="CF834" i="5"/>
  <c r="CE834" i="5"/>
  <c r="CD834" i="5"/>
  <c r="CC834" i="5"/>
  <c r="CS833" i="5"/>
  <c r="CM833" i="5"/>
  <c r="CG833" i="5"/>
  <c r="CF833" i="5"/>
  <c r="CE833" i="5"/>
  <c r="CD833" i="5"/>
  <c r="CC833" i="5"/>
  <c r="CS832" i="5"/>
  <c r="CM832" i="5"/>
  <c r="CG832" i="5"/>
  <c r="CF832" i="5"/>
  <c r="CE832" i="5"/>
  <c r="CD832" i="5"/>
  <c r="CC832" i="5"/>
  <c r="CS831" i="5"/>
  <c r="CM831" i="5"/>
  <c r="CG831" i="5"/>
  <c r="CF831" i="5"/>
  <c r="CE831" i="5"/>
  <c r="CD831" i="5"/>
  <c r="CC831" i="5"/>
  <c r="CS830" i="5"/>
  <c r="CM830" i="5"/>
  <c r="CG830" i="5"/>
  <c r="CF830" i="5"/>
  <c r="CE830" i="5"/>
  <c r="CD830" i="5"/>
  <c r="CC830" i="5"/>
  <c r="CS829" i="5"/>
  <c r="CM829" i="5"/>
  <c r="CG829" i="5"/>
  <c r="CF829" i="5"/>
  <c r="CE829" i="5"/>
  <c r="CD829" i="5"/>
  <c r="CC829" i="5"/>
  <c r="CS828" i="5"/>
  <c r="CM828" i="5"/>
  <c r="CG828" i="5"/>
  <c r="CF828" i="5"/>
  <c r="CE828" i="5"/>
  <c r="CD828" i="5"/>
  <c r="CC828" i="5"/>
  <c r="CS827" i="5"/>
  <c r="CM827" i="5"/>
  <c r="CG827" i="5"/>
  <c r="CF827" i="5"/>
  <c r="CE827" i="5"/>
  <c r="CD827" i="5"/>
  <c r="CC827" i="5"/>
  <c r="CS826" i="5"/>
  <c r="CM826" i="5"/>
  <c r="CG826" i="5"/>
  <c r="CF826" i="5"/>
  <c r="CE826" i="5"/>
  <c r="CD826" i="5"/>
  <c r="CC826" i="5"/>
  <c r="CS825" i="5"/>
  <c r="CM825" i="5"/>
  <c r="CG825" i="5"/>
  <c r="CF825" i="5"/>
  <c r="CE825" i="5"/>
  <c r="CD825" i="5"/>
  <c r="CC825" i="5"/>
  <c r="CS824" i="5"/>
  <c r="CM824" i="5"/>
  <c r="CG824" i="5"/>
  <c r="CF824" i="5"/>
  <c r="CE824" i="5"/>
  <c r="CD824" i="5"/>
  <c r="CC824" i="5"/>
  <c r="CS823" i="5"/>
  <c r="CM823" i="5"/>
  <c r="CG823" i="5"/>
  <c r="CF823" i="5"/>
  <c r="CE823" i="5"/>
  <c r="CD823" i="5"/>
  <c r="CC823" i="5"/>
  <c r="CS822" i="5"/>
  <c r="CM822" i="5"/>
  <c r="CG822" i="5"/>
  <c r="CF822" i="5"/>
  <c r="CE822" i="5"/>
  <c r="CD822" i="5"/>
  <c r="CC822" i="5"/>
  <c r="CS821" i="5"/>
  <c r="CM821" i="5"/>
  <c r="CG821" i="5"/>
  <c r="CF821" i="5"/>
  <c r="CE821" i="5"/>
  <c r="CD821" i="5"/>
  <c r="CC821" i="5"/>
  <c r="CS820" i="5"/>
  <c r="CM820" i="5"/>
  <c r="CG820" i="5"/>
  <c r="CF820" i="5"/>
  <c r="CE820" i="5"/>
  <c r="CD820" i="5"/>
  <c r="CC820" i="5"/>
  <c r="CS819" i="5"/>
  <c r="CM819" i="5"/>
  <c r="CG819" i="5"/>
  <c r="CF819" i="5"/>
  <c r="CE819" i="5"/>
  <c r="CD819" i="5"/>
  <c r="CC819" i="5"/>
  <c r="CS818" i="5"/>
  <c r="CM818" i="5"/>
  <c r="CG818" i="5"/>
  <c r="CF818" i="5"/>
  <c r="CE818" i="5"/>
  <c r="CD818" i="5"/>
  <c r="CC818" i="5"/>
  <c r="CS817" i="5"/>
  <c r="CM817" i="5"/>
  <c r="CG817" i="5"/>
  <c r="CF817" i="5"/>
  <c r="CE817" i="5"/>
  <c r="CD817" i="5"/>
  <c r="CC817" i="5"/>
  <c r="CS816" i="5"/>
  <c r="CM816" i="5"/>
  <c r="CG816" i="5"/>
  <c r="CF816" i="5"/>
  <c r="CE816" i="5"/>
  <c r="CD816" i="5"/>
  <c r="CC816" i="5"/>
  <c r="CS815" i="5"/>
  <c r="CM815" i="5"/>
  <c r="CG815" i="5"/>
  <c r="CF815" i="5"/>
  <c r="CE815" i="5"/>
  <c r="CD815" i="5"/>
  <c r="CC815" i="5"/>
  <c r="CS814" i="5"/>
  <c r="CM814" i="5"/>
  <c r="CG814" i="5"/>
  <c r="CF814" i="5"/>
  <c r="CE814" i="5"/>
  <c r="CD814" i="5"/>
  <c r="CC814" i="5"/>
  <c r="CS813" i="5"/>
  <c r="CM813" i="5"/>
  <c r="CG813" i="5"/>
  <c r="CF813" i="5"/>
  <c r="CE813" i="5"/>
  <c r="CD813" i="5"/>
  <c r="CC813" i="5"/>
  <c r="CS812" i="5"/>
  <c r="CM812" i="5"/>
  <c r="CG812" i="5"/>
  <c r="CF812" i="5"/>
  <c r="CE812" i="5"/>
  <c r="CD812" i="5"/>
  <c r="CC812" i="5"/>
  <c r="CS811" i="5"/>
  <c r="CM811" i="5"/>
  <c r="CG811" i="5"/>
  <c r="CF811" i="5"/>
  <c r="CE811" i="5"/>
  <c r="CD811" i="5"/>
  <c r="CC811" i="5"/>
  <c r="CS810" i="5"/>
  <c r="CM810" i="5"/>
  <c r="CG810" i="5"/>
  <c r="CF810" i="5"/>
  <c r="CE810" i="5"/>
  <c r="CD810" i="5"/>
  <c r="CC810" i="5"/>
  <c r="CS809" i="5"/>
  <c r="CM809" i="5"/>
  <c r="CG809" i="5"/>
  <c r="CF809" i="5"/>
  <c r="CE809" i="5"/>
  <c r="CD809" i="5"/>
  <c r="CC809" i="5"/>
  <c r="CS808" i="5"/>
  <c r="CM808" i="5"/>
  <c r="CG808" i="5"/>
  <c r="CF808" i="5"/>
  <c r="CE808" i="5"/>
  <c r="CD808" i="5"/>
  <c r="CC808" i="5"/>
  <c r="CS807" i="5"/>
  <c r="CM807" i="5"/>
  <c r="CG807" i="5"/>
  <c r="CF807" i="5"/>
  <c r="CE807" i="5"/>
  <c r="CD807" i="5"/>
  <c r="CC807" i="5"/>
  <c r="CS806" i="5"/>
  <c r="CM806" i="5"/>
  <c r="CG806" i="5"/>
  <c r="CF806" i="5"/>
  <c r="CE806" i="5"/>
  <c r="CD806" i="5"/>
  <c r="CC806" i="5"/>
  <c r="CS805" i="5"/>
  <c r="CM805" i="5"/>
  <c r="CG805" i="5"/>
  <c r="CF805" i="5"/>
  <c r="CE805" i="5"/>
  <c r="CD805" i="5"/>
  <c r="CC805" i="5"/>
  <c r="CS804" i="5"/>
  <c r="CM804" i="5"/>
  <c r="CG804" i="5"/>
  <c r="CF804" i="5"/>
  <c r="CE804" i="5"/>
  <c r="CD804" i="5"/>
  <c r="CC804" i="5"/>
  <c r="CS803" i="5"/>
  <c r="CM803" i="5"/>
  <c r="CG803" i="5"/>
  <c r="CF803" i="5"/>
  <c r="CE803" i="5"/>
  <c r="CD803" i="5"/>
  <c r="CC803" i="5"/>
  <c r="CS802" i="5"/>
  <c r="CM802" i="5"/>
  <c r="CG802" i="5"/>
  <c r="CF802" i="5"/>
  <c r="CE802" i="5"/>
  <c r="CD802" i="5"/>
  <c r="CC802" i="5"/>
  <c r="CS801" i="5"/>
  <c r="CM801" i="5"/>
  <c r="CG801" i="5"/>
  <c r="CF801" i="5"/>
  <c r="CE801" i="5"/>
  <c r="CD801" i="5"/>
  <c r="CC801" i="5"/>
  <c r="CS800" i="5"/>
  <c r="CM800" i="5"/>
  <c r="CG800" i="5"/>
  <c r="CF800" i="5"/>
  <c r="CE800" i="5"/>
  <c r="CD800" i="5"/>
  <c r="CC800" i="5"/>
  <c r="CS799" i="5"/>
  <c r="CM799" i="5"/>
  <c r="CG799" i="5"/>
  <c r="CF799" i="5"/>
  <c r="CE799" i="5"/>
  <c r="CD799" i="5"/>
  <c r="CC799" i="5"/>
  <c r="CS798" i="5"/>
  <c r="CM798" i="5"/>
  <c r="CG798" i="5"/>
  <c r="CF798" i="5"/>
  <c r="CE798" i="5"/>
  <c r="CD798" i="5"/>
  <c r="CC798" i="5"/>
  <c r="CS797" i="5"/>
  <c r="CM797" i="5"/>
  <c r="CG797" i="5"/>
  <c r="CF797" i="5"/>
  <c r="CE797" i="5"/>
  <c r="CD797" i="5"/>
  <c r="CC797" i="5"/>
  <c r="CS796" i="5"/>
  <c r="CM796" i="5"/>
  <c r="CG796" i="5"/>
  <c r="CF796" i="5"/>
  <c r="CE796" i="5"/>
  <c r="CD796" i="5"/>
  <c r="CC796" i="5"/>
  <c r="CS795" i="5"/>
  <c r="CM795" i="5"/>
  <c r="CG795" i="5"/>
  <c r="CF795" i="5"/>
  <c r="CE795" i="5"/>
  <c r="CD795" i="5"/>
  <c r="CC795" i="5"/>
  <c r="CS794" i="5"/>
  <c r="CM794" i="5"/>
  <c r="CG794" i="5"/>
  <c r="CF794" i="5"/>
  <c r="CE794" i="5"/>
  <c r="CD794" i="5"/>
  <c r="CC794" i="5"/>
  <c r="CS793" i="5"/>
  <c r="CM793" i="5"/>
  <c r="CG793" i="5"/>
  <c r="CF793" i="5"/>
  <c r="CE793" i="5"/>
  <c r="CD793" i="5"/>
  <c r="CC793" i="5"/>
  <c r="CS792" i="5"/>
  <c r="CM792" i="5"/>
  <c r="CG792" i="5"/>
  <c r="CF792" i="5"/>
  <c r="CE792" i="5"/>
  <c r="CD792" i="5"/>
  <c r="CC792" i="5"/>
  <c r="CS791" i="5"/>
  <c r="CM791" i="5"/>
  <c r="CG791" i="5"/>
  <c r="CF791" i="5"/>
  <c r="CE791" i="5"/>
  <c r="CD791" i="5"/>
  <c r="CC791" i="5"/>
  <c r="CS790" i="5"/>
  <c r="CM790" i="5"/>
  <c r="CG790" i="5"/>
  <c r="CF790" i="5"/>
  <c r="CE790" i="5"/>
  <c r="CD790" i="5"/>
  <c r="CC790" i="5"/>
  <c r="CS789" i="5"/>
  <c r="CM789" i="5"/>
  <c r="CG789" i="5"/>
  <c r="CF789" i="5"/>
  <c r="CE789" i="5"/>
  <c r="CD789" i="5"/>
  <c r="CC789" i="5"/>
  <c r="CS788" i="5"/>
  <c r="CM788" i="5"/>
  <c r="CG788" i="5"/>
  <c r="CF788" i="5"/>
  <c r="CE788" i="5"/>
  <c r="CD788" i="5"/>
  <c r="CC788" i="5"/>
  <c r="CS787" i="5"/>
  <c r="CM787" i="5"/>
  <c r="CG787" i="5"/>
  <c r="CF787" i="5"/>
  <c r="CE787" i="5"/>
  <c r="CD787" i="5"/>
  <c r="CC787" i="5"/>
  <c r="CS786" i="5"/>
  <c r="CM786" i="5"/>
  <c r="CG786" i="5"/>
  <c r="CF786" i="5"/>
  <c r="CE786" i="5"/>
  <c r="CD786" i="5"/>
  <c r="CC786" i="5"/>
  <c r="CS785" i="5"/>
  <c r="CM785" i="5"/>
  <c r="CG785" i="5"/>
  <c r="CF785" i="5"/>
  <c r="CE785" i="5"/>
  <c r="CD785" i="5"/>
  <c r="CC785" i="5"/>
  <c r="CS784" i="5"/>
  <c r="CM784" i="5"/>
  <c r="CG784" i="5"/>
  <c r="CF784" i="5"/>
  <c r="CE784" i="5"/>
  <c r="CD784" i="5"/>
  <c r="CC784" i="5"/>
  <c r="CS783" i="5"/>
  <c r="CM783" i="5"/>
  <c r="CG783" i="5"/>
  <c r="CF783" i="5"/>
  <c r="CE783" i="5"/>
  <c r="CD783" i="5"/>
  <c r="CC783" i="5"/>
  <c r="CS782" i="5"/>
  <c r="CM782" i="5"/>
  <c r="CG782" i="5"/>
  <c r="CF782" i="5"/>
  <c r="CE782" i="5"/>
  <c r="CD782" i="5"/>
  <c r="CC782" i="5"/>
  <c r="CS781" i="5"/>
  <c r="CM781" i="5"/>
  <c r="CG781" i="5"/>
  <c r="CF781" i="5"/>
  <c r="CE781" i="5"/>
  <c r="CD781" i="5"/>
  <c r="CC781" i="5"/>
  <c r="CS780" i="5"/>
  <c r="CM780" i="5"/>
  <c r="CG780" i="5"/>
  <c r="CF780" i="5"/>
  <c r="CE780" i="5"/>
  <c r="CD780" i="5"/>
  <c r="CC780" i="5"/>
  <c r="CS779" i="5"/>
  <c r="CM779" i="5"/>
  <c r="CG779" i="5"/>
  <c r="CF779" i="5"/>
  <c r="CE779" i="5"/>
  <c r="CD779" i="5"/>
  <c r="CC779" i="5"/>
  <c r="CS778" i="5"/>
  <c r="CM778" i="5"/>
  <c r="CG778" i="5"/>
  <c r="CF778" i="5"/>
  <c r="CE778" i="5"/>
  <c r="CD778" i="5"/>
  <c r="CC778" i="5"/>
  <c r="CS777" i="5"/>
  <c r="CM777" i="5"/>
  <c r="CG777" i="5"/>
  <c r="CF777" i="5"/>
  <c r="CE777" i="5"/>
  <c r="CD777" i="5"/>
  <c r="CC777" i="5"/>
  <c r="CS776" i="5"/>
  <c r="CM776" i="5"/>
  <c r="CG776" i="5"/>
  <c r="CF776" i="5"/>
  <c r="CE776" i="5"/>
  <c r="CD776" i="5"/>
  <c r="CC776" i="5"/>
  <c r="CS775" i="5"/>
  <c r="CM775" i="5"/>
  <c r="CG775" i="5"/>
  <c r="CF775" i="5"/>
  <c r="CE775" i="5"/>
  <c r="CD775" i="5"/>
  <c r="CC775" i="5"/>
  <c r="CS774" i="5"/>
  <c r="CM774" i="5"/>
  <c r="CG774" i="5"/>
  <c r="CF774" i="5"/>
  <c r="CE774" i="5"/>
  <c r="CD774" i="5"/>
  <c r="CC774" i="5"/>
  <c r="CS773" i="5"/>
  <c r="CM773" i="5"/>
  <c r="CG773" i="5"/>
  <c r="CF773" i="5"/>
  <c r="CE773" i="5"/>
  <c r="CD773" i="5"/>
  <c r="CC773" i="5"/>
  <c r="CS772" i="5"/>
  <c r="CM772" i="5"/>
  <c r="CG772" i="5"/>
  <c r="CF772" i="5"/>
  <c r="CE772" i="5"/>
  <c r="CD772" i="5"/>
  <c r="CC772" i="5"/>
  <c r="CS771" i="5"/>
  <c r="CM771" i="5"/>
  <c r="CG771" i="5"/>
  <c r="CF771" i="5"/>
  <c r="CE771" i="5"/>
  <c r="CD771" i="5"/>
  <c r="CC771" i="5"/>
  <c r="CS770" i="5"/>
  <c r="CM770" i="5"/>
  <c r="CG770" i="5"/>
  <c r="CF770" i="5"/>
  <c r="CE770" i="5"/>
  <c r="CD770" i="5"/>
  <c r="CC770" i="5"/>
  <c r="CS769" i="5"/>
  <c r="CM769" i="5"/>
  <c r="CG769" i="5"/>
  <c r="CF769" i="5"/>
  <c r="CE769" i="5"/>
  <c r="CD769" i="5"/>
  <c r="CC769" i="5"/>
  <c r="CS768" i="5"/>
  <c r="CM768" i="5"/>
  <c r="CG768" i="5"/>
  <c r="CF768" i="5"/>
  <c r="CE768" i="5"/>
  <c r="CD768" i="5"/>
  <c r="CC768" i="5"/>
  <c r="CS767" i="5"/>
  <c r="CM767" i="5"/>
  <c r="CG767" i="5"/>
  <c r="CF767" i="5"/>
  <c r="CE767" i="5"/>
  <c r="CD767" i="5"/>
  <c r="CC767" i="5"/>
  <c r="CS766" i="5"/>
  <c r="CM766" i="5"/>
  <c r="CG766" i="5"/>
  <c r="CF766" i="5"/>
  <c r="CE766" i="5"/>
  <c r="CD766" i="5"/>
  <c r="CC766" i="5"/>
  <c r="CS765" i="5"/>
  <c r="CM765" i="5"/>
  <c r="CG765" i="5"/>
  <c r="CF765" i="5"/>
  <c r="CE765" i="5"/>
  <c r="CD765" i="5"/>
  <c r="CC765" i="5"/>
  <c r="CS764" i="5"/>
  <c r="CM764" i="5"/>
  <c r="CG764" i="5"/>
  <c r="CF764" i="5"/>
  <c r="CE764" i="5"/>
  <c r="CD764" i="5"/>
  <c r="CC764" i="5"/>
  <c r="CS763" i="5"/>
  <c r="CM763" i="5"/>
  <c r="CG763" i="5"/>
  <c r="CF763" i="5"/>
  <c r="CE763" i="5"/>
  <c r="CD763" i="5"/>
  <c r="CC763" i="5"/>
  <c r="CS762" i="5"/>
  <c r="CM762" i="5"/>
  <c r="CG762" i="5"/>
  <c r="CF762" i="5"/>
  <c r="CE762" i="5"/>
  <c r="CD762" i="5"/>
  <c r="CC762" i="5"/>
  <c r="CS761" i="5"/>
  <c r="CM761" i="5"/>
  <c r="CG761" i="5"/>
  <c r="CF761" i="5"/>
  <c r="CE761" i="5"/>
  <c r="CD761" i="5"/>
  <c r="CC761" i="5"/>
  <c r="CS760" i="5"/>
  <c r="CM760" i="5"/>
  <c r="CG760" i="5"/>
  <c r="CF760" i="5"/>
  <c r="CE760" i="5"/>
  <c r="CD760" i="5"/>
  <c r="CC760" i="5"/>
  <c r="CS759" i="5"/>
  <c r="CM759" i="5"/>
  <c r="CG759" i="5"/>
  <c r="CF759" i="5"/>
  <c r="CE759" i="5"/>
  <c r="CD759" i="5"/>
  <c r="CC759" i="5"/>
  <c r="CS758" i="5"/>
  <c r="CM758" i="5"/>
  <c r="CG758" i="5"/>
  <c r="CF758" i="5"/>
  <c r="CE758" i="5"/>
  <c r="CD758" i="5"/>
  <c r="CC758" i="5"/>
  <c r="CS757" i="5"/>
  <c r="CM757" i="5"/>
  <c r="CG757" i="5"/>
  <c r="CF757" i="5"/>
  <c r="CE757" i="5"/>
  <c r="CD757" i="5"/>
  <c r="CC757" i="5"/>
  <c r="CS756" i="5"/>
  <c r="CM756" i="5"/>
  <c r="CG756" i="5"/>
  <c r="CF756" i="5"/>
  <c r="CE756" i="5"/>
  <c r="CD756" i="5"/>
  <c r="CC756" i="5"/>
  <c r="CS755" i="5"/>
  <c r="CM755" i="5"/>
  <c r="CG755" i="5"/>
  <c r="CF755" i="5"/>
  <c r="CE755" i="5"/>
  <c r="CD755" i="5"/>
  <c r="CC755" i="5"/>
  <c r="CS754" i="5"/>
  <c r="CM754" i="5"/>
  <c r="CG754" i="5"/>
  <c r="CF754" i="5"/>
  <c r="CE754" i="5"/>
  <c r="CD754" i="5"/>
  <c r="CC754" i="5"/>
  <c r="CS753" i="5"/>
  <c r="CM753" i="5"/>
  <c r="CG753" i="5"/>
  <c r="CF753" i="5"/>
  <c r="CE753" i="5"/>
  <c r="CD753" i="5"/>
  <c r="CC753" i="5"/>
  <c r="CS752" i="5"/>
  <c r="CM752" i="5"/>
  <c r="CG752" i="5"/>
  <c r="CF752" i="5"/>
  <c r="CE752" i="5"/>
  <c r="CD752" i="5"/>
  <c r="CC752" i="5"/>
  <c r="CS751" i="5"/>
  <c r="CM751" i="5"/>
  <c r="CG751" i="5"/>
  <c r="CF751" i="5"/>
  <c r="CE751" i="5"/>
  <c r="CD751" i="5"/>
  <c r="CC751" i="5"/>
  <c r="CS750" i="5"/>
  <c r="CM750" i="5"/>
  <c r="CG750" i="5"/>
  <c r="CF750" i="5"/>
  <c r="CE750" i="5"/>
  <c r="CD750" i="5"/>
  <c r="CC750" i="5"/>
  <c r="CS749" i="5"/>
  <c r="CM749" i="5"/>
  <c r="CG749" i="5"/>
  <c r="CF749" i="5"/>
  <c r="CE749" i="5"/>
  <c r="CD749" i="5"/>
  <c r="CC749" i="5"/>
  <c r="CS748" i="5"/>
  <c r="CM748" i="5"/>
  <c r="CG748" i="5"/>
  <c r="CF748" i="5"/>
  <c r="CE748" i="5"/>
  <c r="CD748" i="5"/>
  <c r="CC748" i="5"/>
  <c r="CS747" i="5"/>
  <c r="CM747" i="5"/>
  <c r="CG747" i="5"/>
  <c r="CF747" i="5"/>
  <c r="CE747" i="5"/>
  <c r="CD747" i="5"/>
  <c r="CC747" i="5"/>
  <c r="CS746" i="5"/>
  <c r="CM746" i="5"/>
  <c r="CG746" i="5"/>
  <c r="CF746" i="5"/>
  <c r="CE746" i="5"/>
  <c r="CD746" i="5"/>
  <c r="CC746" i="5"/>
  <c r="CS745" i="5"/>
  <c r="CM745" i="5"/>
  <c r="CG745" i="5"/>
  <c r="CF745" i="5"/>
  <c r="CE745" i="5"/>
  <c r="CD745" i="5"/>
  <c r="CC745" i="5"/>
  <c r="CS744" i="5"/>
  <c r="CM744" i="5"/>
  <c r="CG744" i="5"/>
  <c r="CF744" i="5"/>
  <c r="CE744" i="5"/>
  <c r="CD744" i="5"/>
  <c r="CC744" i="5"/>
  <c r="CS743" i="5"/>
  <c r="CM743" i="5"/>
  <c r="CG743" i="5"/>
  <c r="CF743" i="5"/>
  <c r="CE743" i="5"/>
  <c r="CD743" i="5"/>
  <c r="CC743" i="5"/>
  <c r="CS742" i="5"/>
  <c r="CM742" i="5"/>
  <c r="CG742" i="5"/>
  <c r="CF742" i="5"/>
  <c r="CE742" i="5"/>
  <c r="CD742" i="5"/>
  <c r="CC742" i="5"/>
  <c r="CS741" i="5"/>
  <c r="CM741" i="5"/>
  <c r="CG741" i="5"/>
  <c r="CF741" i="5"/>
  <c r="CE741" i="5"/>
  <c r="CD741" i="5"/>
  <c r="CC741" i="5"/>
  <c r="CS740" i="5"/>
  <c r="CM740" i="5"/>
  <c r="CG740" i="5"/>
  <c r="CF740" i="5"/>
  <c r="CE740" i="5"/>
  <c r="CD740" i="5"/>
  <c r="CC740" i="5"/>
  <c r="CS739" i="5"/>
  <c r="CM739" i="5"/>
  <c r="CG739" i="5"/>
  <c r="CF739" i="5"/>
  <c r="CE739" i="5"/>
  <c r="CD739" i="5"/>
  <c r="CC739" i="5"/>
  <c r="CS738" i="5"/>
  <c r="CM738" i="5"/>
  <c r="CG738" i="5"/>
  <c r="CF738" i="5"/>
  <c r="CE738" i="5"/>
  <c r="CD738" i="5"/>
  <c r="CC738" i="5"/>
  <c r="CS737" i="5"/>
  <c r="CM737" i="5"/>
  <c r="CG737" i="5"/>
  <c r="CF737" i="5"/>
  <c r="CE737" i="5"/>
  <c r="CD737" i="5"/>
  <c r="CC737" i="5"/>
  <c r="CS736" i="5"/>
  <c r="CM736" i="5"/>
  <c r="CG736" i="5"/>
  <c r="CF736" i="5"/>
  <c r="CE736" i="5"/>
  <c r="CD736" i="5"/>
  <c r="CC736" i="5"/>
  <c r="CS735" i="5"/>
  <c r="CM735" i="5"/>
  <c r="CG735" i="5"/>
  <c r="CF735" i="5"/>
  <c r="CE735" i="5"/>
  <c r="CD735" i="5"/>
  <c r="CC735" i="5"/>
  <c r="CS734" i="5"/>
  <c r="CM734" i="5"/>
  <c r="CG734" i="5"/>
  <c r="CF734" i="5"/>
  <c r="CE734" i="5"/>
  <c r="CD734" i="5"/>
  <c r="CC734" i="5"/>
  <c r="CS733" i="5"/>
  <c r="CM733" i="5"/>
  <c r="CG733" i="5"/>
  <c r="CF733" i="5"/>
  <c r="CE733" i="5"/>
  <c r="CD733" i="5"/>
  <c r="CC733" i="5"/>
  <c r="CS732" i="5"/>
  <c r="CM732" i="5"/>
  <c r="CG732" i="5"/>
  <c r="CF732" i="5"/>
  <c r="CE732" i="5"/>
  <c r="CD732" i="5"/>
  <c r="CC732" i="5"/>
  <c r="CS731" i="5"/>
  <c r="CM731" i="5"/>
  <c r="CG731" i="5"/>
  <c r="CF731" i="5"/>
  <c r="CE731" i="5"/>
  <c r="CD731" i="5"/>
  <c r="CC731" i="5"/>
  <c r="CS730" i="5"/>
  <c r="CM730" i="5"/>
  <c r="CG730" i="5"/>
  <c r="CF730" i="5"/>
  <c r="CE730" i="5"/>
  <c r="CD730" i="5"/>
  <c r="CC730" i="5"/>
  <c r="CS729" i="5"/>
  <c r="CM729" i="5"/>
  <c r="CG729" i="5"/>
  <c r="CF729" i="5"/>
  <c r="CE729" i="5"/>
  <c r="CD729" i="5"/>
  <c r="CC729" i="5"/>
  <c r="CS728" i="5"/>
  <c r="CM728" i="5"/>
  <c r="CG728" i="5"/>
  <c r="CF728" i="5"/>
  <c r="CE728" i="5"/>
  <c r="CD728" i="5"/>
  <c r="CC728" i="5"/>
  <c r="CS727" i="5"/>
  <c r="CM727" i="5"/>
  <c r="CG727" i="5"/>
  <c r="CF727" i="5"/>
  <c r="CE727" i="5"/>
  <c r="CD727" i="5"/>
  <c r="CC727" i="5"/>
  <c r="CS726" i="5"/>
  <c r="CM726" i="5"/>
  <c r="CG726" i="5"/>
  <c r="CF726" i="5"/>
  <c r="CE726" i="5"/>
  <c r="CD726" i="5"/>
  <c r="CC726" i="5"/>
  <c r="CS725" i="5"/>
  <c r="CM725" i="5"/>
  <c r="CG725" i="5"/>
  <c r="CF725" i="5"/>
  <c r="CE725" i="5"/>
  <c r="CD725" i="5"/>
  <c r="CC725" i="5"/>
  <c r="CS724" i="5"/>
  <c r="CM724" i="5"/>
  <c r="CG724" i="5"/>
  <c r="CF724" i="5"/>
  <c r="CE724" i="5"/>
  <c r="CD724" i="5"/>
  <c r="CC724" i="5"/>
  <c r="CS723" i="5"/>
  <c r="CM723" i="5"/>
  <c r="CG723" i="5"/>
  <c r="CF723" i="5"/>
  <c r="CE723" i="5"/>
  <c r="CD723" i="5"/>
  <c r="CC723" i="5"/>
  <c r="CS722" i="5"/>
  <c r="CM722" i="5"/>
  <c r="CG722" i="5"/>
  <c r="CF722" i="5"/>
  <c r="CE722" i="5"/>
  <c r="CD722" i="5"/>
  <c r="CC722" i="5"/>
  <c r="CS721" i="5"/>
  <c r="CM721" i="5"/>
  <c r="CG721" i="5"/>
  <c r="CF721" i="5"/>
  <c r="CE721" i="5"/>
  <c r="CD721" i="5"/>
  <c r="CC721" i="5"/>
  <c r="CS720" i="5"/>
  <c r="CM720" i="5"/>
  <c r="CG720" i="5"/>
  <c r="CF720" i="5"/>
  <c r="CE720" i="5"/>
  <c r="CD720" i="5"/>
  <c r="CC720" i="5"/>
  <c r="CS719" i="5"/>
  <c r="CM719" i="5"/>
  <c r="CG719" i="5"/>
  <c r="CF719" i="5"/>
  <c r="CE719" i="5"/>
  <c r="CD719" i="5"/>
  <c r="CC719" i="5"/>
  <c r="CS718" i="5"/>
  <c r="CM718" i="5"/>
  <c r="CG718" i="5"/>
  <c r="CF718" i="5"/>
  <c r="CE718" i="5"/>
  <c r="CD718" i="5"/>
  <c r="CC718" i="5"/>
  <c r="CS717" i="5"/>
  <c r="CM717" i="5"/>
  <c r="CG717" i="5"/>
  <c r="CF717" i="5"/>
  <c r="CE717" i="5"/>
  <c r="CD717" i="5"/>
  <c r="CC717" i="5"/>
  <c r="CS716" i="5"/>
  <c r="CM716" i="5"/>
  <c r="CG716" i="5"/>
  <c r="CF716" i="5"/>
  <c r="CE716" i="5"/>
  <c r="CD716" i="5"/>
  <c r="CC716" i="5"/>
  <c r="CS715" i="5"/>
  <c r="CM715" i="5"/>
  <c r="CG715" i="5"/>
  <c r="CF715" i="5"/>
  <c r="CE715" i="5"/>
  <c r="CD715" i="5"/>
  <c r="CC715" i="5"/>
  <c r="CS714" i="5"/>
  <c r="CM714" i="5"/>
  <c r="CG714" i="5"/>
  <c r="CF714" i="5"/>
  <c r="CE714" i="5"/>
  <c r="CD714" i="5"/>
  <c r="CC714" i="5"/>
  <c r="CS713" i="5"/>
  <c r="CM713" i="5"/>
  <c r="CG713" i="5"/>
  <c r="CF713" i="5"/>
  <c r="CE713" i="5"/>
  <c r="CD713" i="5"/>
  <c r="CC713" i="5"/>
  <c r="CS712" i="5"/>
  <c r="CM712" i="5"/>
  <c r="CG712" i="5"/>
  <c r="CF712" i="5"/>
  <c r="CE712" i="5"/>
  <c r="CD712" i="5"/>
  <c r="CC712" i="5"/>
  <c r="CS711" i="5"/>
  <c r="CM711" i="5"/>
  <c r="CG711" i="5"/>
  <c r="CF711" i="5"/>
  <c r="CE711" i="5"/>
  <c r="CD711" i="5"/>
  <c r="CC711" i="5"/>
  <c r="CS710" i="5"/>
  <c r="CM710" i="5"/>
  <c r="CG710" i="5"/>
  <c r="CF710" i="5"/>
  <c r="CE710" i="5"/>
  <c r="CD710" i="5"/>
  <c r="CC710" i="5"/>
  <c r="CS709" i="5"/>
  <c r="CM709" i="5"/>
  <c r="CG709" i="5"/>
  <c r="CF709" i="5"/>
  <c r="CE709" i="5"/>
  <c r="CD709" i="5"/>
  <c r="CC709" i="5"/>
  <c r="CS708" i="5"/>
  <c r="CM708" i="5"/>
  <c r="CG708" i="5"/>
  <c r="CF708" i="5"/>
  <c r="CE708" i="5"/>
  <c r="CD708" i="5"/>
  <c r="CC708" i="5"/>
  <c r="CS707" i="5"/>
  <c r="CM707" i="5"/>
  <c r="CG707" i="5"/>
  <c r="CF707" i="5"/>
  <c r="CE707" i="5"/>
  <c r="CD707" i="5"/>
  <c r="CC707" i="5"/>
  <c r="CS706" i="5"/>
  <c r="CM706" i="5"/>
  <c r="CG706" i="5"/>
  <c r="CF706" i="5"/>
  <c r="CE706" i="5"/>
  <c r="CD706" i="5"/>
  <c r="CC706" i="5"/>
  <c r="CS705" i="5"/>
  <c r="CM705" i="5"/>
  <c r="CG705" i="5"/>
  <c r="CF705" i="5"/>
  <c r="CE705" i="5"/>
  <c r="CD705" i="5"/>
  <c r="CC705" i="5"/>
  <c r="CS704" i="5"/>
  <c r="CM704" i="5"/>
  <c r="CG704" i="5"/>
  <c r="CF704" i="5"/>
  <c r="CE704" i="5"/>
  <c r="CD704" i="5"/>
  <c r="CC704" i="5"/>
  <c r="CS703" i="5"/>
  <c r="CM703" i="5"/>
  <c r="CG703" i="5"/>
  <c r="CF703" i="5"/>
  <c r="CE703" i="5"/>
  <c r="CD703" i="5"/>
  <c r="CC703" i="5"/>
  <c r="CS702" i="5"/>
  <c r="CM702" i="5"/>
  <c r="CG702" i="5"/>
  <c r="CF702" i="5"/>
  <c r="CE702" i="5"/>
  <c r="CD702" i="5"/>
  <c r="CC702" i="5"/>
  <c r="CS701" i="5"/>
  <c r="CM701" i="5"/>
  <c r="CG701" i="5"/>
  <c r="CF701" i="5"/>
  <c r="CE701" i="5"/>
  <c r="CD701" i="5"/>
  <c r="CC701" i="5"/>
  <c r="CS700" i="5"/>
  <c r="CM700" i="5"/>
  <c r="CG700" i="5"/>
  <c r="CF700" i="5"/>
  <c r="CE700" i="5"/>
  <c r="CD700" i="5"/>
  <c r="CC700" i="5"/>
  <c r="CS699" i="5"/>
  <c r="CM699" i="5"/>
  <c r="CG699" i="5"/>
  <c r="CF699" i="5"/>
  <c r="CE699" i="5"/>
  <c r="CD699" i="5"/>
  <c r="CC699" i="5"/>
  <c r="CS698" i="5"/>
  <c r="CM698" i="5"/>
  <c r="CG698" i="5"/>
  <c r="CF698" i="5"/>
  <c r="CE698" i="5"/>
  <c r="CD698" i="5"/>
  <c r="CC698" i="5"/>
  <c r="CS697" i="5"/>
  <c r="CM697" i="5"/>
  <c r="CG697" i="5"/>
  <c r="CF697" i="5"/>
  <c r="CE697" i="5"/>
  <c r="CD697" i="5"/>
  <c r="CC697" i="5"/>
  <c r="CS696" i="5"/>
  <c r="CM696" i="5"/>
  <c r="CG696" i="5"/>
  <c r="CF696" i="5"/>
  <c r="CE696" i="5"/>
  <c r="CD696" i="5"/>
  <c r="CC696" i="5"/>
  <c r="CS695" i="5"/>
  <c r="CM695" i="5"/>
  <c r="CG695" i="5"/>
  <c r="CF695" i="5"/>
  <c r="CE695" i="5"/>
  <c r="CD695" i="5"/>
  <c r="CC695" i="5"/>
  <c r="CS694" i="5"/>
  <c r="CM694" i="5"/>
  <c r="CG694" i="5"/>
  <c r="CF694" i="5"/>
  <c r="CE694" i="5"/>
  <c r="CD694" i="5"/>
  <c r="CC694" i="5"/>
  <c r="CS693" i="5"/>
  <c r="CM693" i="5"/>
  <c r="CG693" i="5"/>
  <c r="CF693" i="5"/>
  <c r="CE693" i="5"/>
  <c r="CD693" i="5"/>
  <c r="CC693" i="5"/>
  <c r="CS692" i="5"/>
  <c r="CM692" i="5"/>
  <c r="CG692" i="5"/>
  <c r="CF692" i="5"/>
  <c r="CE692" i="5"/>
  <c r="CD692" i="5"/>
  <c r="CC692" i="5"/>
  <c r="CS691" i="5"/>
  <c r="CM691" i="5"/>
  <c r="CG691" i="5"/>
  <c r="CF691" i="5"/>
  <c r="CE691" i="5"/>
  <c r="CD691" i="5"/>
  <c r="CC691" i="5"/>
  <c r="CS690" i="5"/>
  <c r="CM690" i="5"/>
  <c r="CG690" i="5"/>
  <c r="CF690" i="5"/>
  <c r="CE690" i="5"/>
  <c r="CD690" i="5"/>
  <c r="CC690" i="5"/>
  <c r="CS689" i="5"/>
  <c r="CM689" i="5"/>
  <c r="CG689" i="5"/>
  <c r="CF689" i="5"/>
  <c r="CE689" i="5"/>
  <c r="CD689" i="5"/>
  <c r="CC689" i="5"/>
  <c r="CS688" i="5"/>
  <c r="CM688" i="5"/>
  <c r="CG688" i="5"/>
  <c r="CF688" i="5"/>
  <c r="CE688" i="5"/>
  <c r="CD688" i="5"/>
  <c r="CC688" i="5"/>
  <c r="CS687" i="5"/>
  <c r="CM687" i="5"/>
  <c r="CG687" i="5"/>
  <c r="CF687" i="5"/>
  <c r="CE687" i="5"/>
  <c r="CD687" i="5"/>
  <c r="CC687" i="5"/>
  <c r="CS686" i="5"/>
  <c r="CM686" i="5"/>
  <c r="CG686" i="5"/>
  <c r="CF686" i="5"/>
  <c r="CE686" i="5"/>
  <c r="CD686" i="5"/>
  <c r="CC686" i="5"/>
  <c r="CS685" i="5"/>
  <c r="CM685" i="5"/>
  <c r="CG685" i="5"/>
  <c r="CF685" i="5"/>
  <c r="CE685" i="5"/>
  <c r="CD685" i="5"/>
  <c r="CC685" i="5"/>
  <c r="CS684" i="5"/>
  <c r="CM684" i="5"/>
  <c r="CG684" i="5"/>
  <c r="CF684" i="5"/>
  <c r="CE684" i="5"/>
  <c r="CD684" i="5"/>
  <c r="CC684" i="5"/>
  <c r="CS683" i="5"/>
  <c r="CM683" i="5"/>
  <c r="CG683" i="5"/>
  <c r="CF683" i="5"/>
  <c r="CE683" i="5"/>
  <c r="CD683" i="5"/>
  <c r="CC683" i="5"/>
  <c r="CS682" i="5"/>
  <c r="CM682" i="5"/>
  <c r="CG682" i="5"/>
  <c r="CF682" i="5"/>
  <c r="CE682" i="5"/>
  <c r="CD682" i="5"/>
  <c r="CC682" i="5"/>
  <c r="CS681" i="5"/>
  <c r="CM681" i="5"/>
  <c r="CG681" i="5"/>
  <c r="CF681" i="5"/>
  <c r="CE681" i="5"/>
  <c r="CD681" i="5"/>
  <c r="CC681" i="5"/>
  <c r="CS680" i="5"/>
  <c r="CM680" i="5"/>
  <c r="CG680" i="5"/>
  <c r="CF680" i="5"/>
  <c r="CE680" i="5"/>
  <c r="CD680" i="5"/>
  <c r="CC680" i="5"/>
  <c r="CS679" i="5"/>
  <c r="CM679" i="5"/>
  <c r="CG679" i="5"/>
  <c r="CF679" i="5"/>
  <c r="CE679" i="5"/>
  <c r="CD679" i="5"/>
  <c r="CC679" i="5"/>
  <c r="CS678" i="5"/>
  <c r="CM678" i="5"/>
  <c r="CG678" i="5"/>
  <c r="CF678" i="5"/>
  <c r="CE678" i="5"/>
  <c r="CD678" i="5"/>
  <c r="CC678" i="5"/>
  <c r="CS677" i="5"/>
  <c r="CM677" i="5"/>
  <c r="CG677" i="5"/>
  <c r="CF677" i="5"/>
  <c r="CE677" i="5"/>
  <c r="CD677" i="5"/>
  <c r="CC677" i="5"/>
  <c r="CS676" i="5"/>
  <c r="CM676" i="5"/>
  <c r="CG676" i="5"/>
  <c r="CF676" i="5"/>
  <c r="CE676" i="5"/>
  <c r="CD676" i="5"/>
  <c r="CC676" i="5"/>
  <c r="CS675" i="5"/>
  <c r="CM675" i="5"/>
  <c r="CG675" i="5"/>
  <c r="CF675" i="5"/>
  <c r="CE675" i="5"/>
  <c r="CD675" i="5"/>
  <c r="CC675" i="5"/>
  <c r="CS674" i="5"/>
  <c r="CM674" i="5"/>
  <c r="CG674" i="5"/>
  <c r="CF674" i="5"/>
  <c r="CE674" i="5"/>
  <c r="CD674" i="5"/>
  <c r="CC674" i="5"/>
  <c r="CS673" i="5"/>
  <c r="CM673" i="5"/>
  <c r="CG673" i="5"/>
  <c r="CF673" i="5"/>
  <c r="CE673" i="5"/>
  <c r="CD673" i="5"/>
  <c r="CC673" i="5"/>
  <c r="CS672" i="5"/>
  <c r="CM672" i="5"/>
  <c r="CG672" i="5"/>
  <c r="CF672" i="5"/>
  <c r="CE672" i="5"/>
  <c r="CD672" i="5"/>
  <c r="CC672" i="5"/>
  <c r="CS671" i="5"/>
  <c r="CM671" i="5"/>
  <c r="CG671" i="5"/>
  <c r="CF671" i="5"/>
  <c r="CE671" i="5"/>
  <c r="CD671" i="5"/>
  <c r="CC671" i="5"/>
  <c r="CS670" i="5"/>
  <c r="CM670" i="5"/>
  <c r="CG670" i="5"/>
  <c r="CF670" i="5"/>
  <c r="CE670" i="5"/>
  <c r="CD670" i="5"/>
  <c r="CC670" i="5"/>
  <c r="CS669" i="5"/>
  <c r="CM669" i="5"/>
  <c r="CG669" i="5"/>
  <c r="CF669" i="5"/>
  <c r="CE669" i="5"/>
  <c r="CD669" i="5"/>
  <c r="CC669" i="5"/>
  <c r="CS668" i="5"/>
  <c r="CM668" i="5"/>
  <c r="CG668" i="5"/>
  <c r="CF668" i="5"/>
  <c r="CE668" i="5"/>
  <c r="CD668" i="5"/>
  <c r="CC668" i="5"/>
  <c r="CS667" i="5"/>
  <c r="CM667" i="5"/>
  <c r="CG667" i="5"/>
  <c r="CF667" i="5"/>
  <c r="CE667" i="5"/>
  <c r="CD667" i="5"/>
  <c r="CC667" i="5"/>
  <c r="CS666" i="5"/>
  <c r="CM666" i="5"/>
  <c r="CG666" i="5"/>
  <c r="CF666" i="5"/>
  <c r="CE666" i="5"/>
  <c r="CD666" i="5"/>
  <c r="CC666" i="5"/>
  <c r="CS665" i="5"/>
  <c r="CM665" i="5"/>
  <c r="CG665" i="5"/>
  <c r="CF665" i="5"/>
  <c r="CE665" i="5"/>
  <c r="CD665" i="5"/>
  <c r="CC665" i="5"/>
  <c r="CS664" i="5"/>
  <c r="CM664" i="5"/>
  <c r="CG664" i="5"/>
  <c r="CF664" i="5"/>
  <c r="CE664" i="5"/>
  <c r="CD664" i="5"/>
  <c r="CC664" i="5"/>
  <c r="CS663" i="5"/>
  <c r="CM663" i="5"/>
  <c r="CG663" i="5"/>
  <c r="CF663" i="5"/>
  <c r="CE663" i="5"/>
  <c r="CD663" i="5"/>
  <c r="CC663" i="5"/>
  <c r="CS662" i="5"/>
  <c r="CM662" i="5"/>
  <c r="CG662" i="5"/>
  <c r="CF662" i="5"/>
  <c r="CE662" i="5"/>
  <c r="CD662" i="5"/>
  <c r="CC662" i="5"/>
  <c r="CS661" i="5"/>
  <c r="CM661" i="5"/>
  <c r="CG661" i="5"/>
  <c r="CF661" i="5"/>
  <c r="CE661" i="5"/>
  <c r="CD661" i="5"/>
  <c r="CC661" i="5"/>
  <c r="CS660" i="5"/>
  <c r="CM660" i="5"/>
  <c r="CG660" i="5"/>
  <c r="CF660" i="5"/>
  <c r="CE660" i="5"/>
  <c r="CD660" i="5"/>
  <c r="CC660" i="5"/>
  <c r="CS659" i="5"/>
  <c r="CM659" i="5"/>
  <c r="CG659" i="5"/>
  <c r="CF659" i="5"/>
  <c r="CE659" i="5"/>
  <c r="CD659" i="5"/>
  <c r="CC659" i="5"/>
  <c r="CS658" i="5"/>
  <c r="CM658" i="5"/>
  <c r="CG658" i="5"/>
  <c r="CF658" i="5"/>
  <c r="CE658" i="5"/>
  <c r="CD658" i="5"/>
  <c r="CC658" i="5"/>
  <c r="CS657" i="5"/>
  <c r="CM657" i="5"/>
  <c r="CG657" i="5"/>
  <c r="CF657" i="5"/>
  <c r="CE657" i="5"/>
  <c r="CD657" i="5"/>
  <c r="CC657" i="5"/>
  <c r="CS656" i="5"/>
  <c r="CM656" i="5"/>
  <c r="CG656" i="5"/>
  <c r="CF656" i="5"/>
  <c r="CE656" i="5"/>
  <c r="CD656" i="5"/>
  <c r="CC656" i="5"/>
  <c r="CS655" i="5"/>
  <c r="CM655" i="5"/>
  <c r="CG655" i="5"/>
  <c r="CF655" i="5"/>
  <c r="CE655" i="5"/>
  <c r="CD655" i="5"/>
  <c r="CC655" i="5"/>
  <c r="CS654" i="5"/>
  <c r="CM654" i="5"/>
  <c r="CG654" i="5"/>
  <c r="CF654" i="5"/>
  <c r="CE654" i="5"/>
  <c r="CD654" i="5"/>
  <c r="CC654" i="5"/>
  <c r="CS653" i="5"/>
  <c r="CM653" i="5"/>
  <c r="CG653" i="5"/>
  <c r="CF653" i="5"/>
  <c r="CE653" i="5"/>
  <c r="CD653" i="5"/>
  <c r="CC653" i="5"/>
  <c r="CS652" i="5"/>
  <c r="CM652" i="5"/>
  <c r="CG652" i="5"/>
  <c r="CF652" i="5"/>
  <c r="CE652" i="5"/>
  <c r="CD652" i="5"/>
  <c r="CC652" i="5"/>
  <c r="CS651" i="5"/>
  <c r="CM651" i="5"/>
  <c r="CG651" i="5"/>
  <c r="CF651" i="5"/>
  <c r="CE651" i="5"/>
  <c r="CD651" i="5"/>
  <c r="CC651" i="5"/>
  <c r="CS650" i="5"/>
  <c r="CM650" i="5"/>
  <c r="CG650" i="5"/>
  <c r="CF650" i="5"/>
  <c r="CE650" i="5"/>
  <c r="CD650" i="5"/>
  <c r="CC650" i="5"/>
  <c r="CS649" i="5"/>
  <c r="CM649" i="5"/>
  <c r="CG649" i="5"/>
  <c r="CF649" i="5"/>
  <c r="CE649" i="5"/>
  <c r="CD649" i="5"/>
  <c r="CC649" i="5"/>
  <c r="CS648" i="5"/>
  <c r="CM648" i="5"/>
  <c r="CG648" i="5"/>
  <c r="CF648" i="5"/>
  <c r="CE648" i="5"/>
  <c r="CD648" i="5"/>
  <c r="CC648" i="5"/>
  <c r="CS647" i="5"/>
  <c r="CM647" i="5"/>
  <c r="CG647" i="5"/>
  <c r="CF647" i="5"/>
  <c r="CE647" i="5"/>
  <c r="CD647" i="5"/>
  <c r="CC647" i="5"/>
  <c r="CS646" i="5"/>
  <c r="CM646" i="5"/>
  <c r="CG646" i="5"/>
  <c r="CF646" i="5"/>
  <c r="CE646" i="5"/>
  <c r="CD646" i="5"/>
  <c r="CC646" i="5"/>
  <c r="CS645" i="5"/>
  <c r="CM645" i="5"/>
  <c r="CG645" i="5"/>
  <c r="CF645" i="5"/>
  <c r="CE645" i="5"/>
  <c r="CD645" i="5"/>
  <c r="CC645" i="5"/>
  <c r="CS644" i="5"/>
  <c r="CM644" i="5"/>
  <c r="CG644" i="5"/>
  <c r="CF644" i="5"/>
  <c r="CE644" i="5"/>
  <c r="CD644" i="5"/>
  <c r="CC644" i="5"/>
  <c r="CS643" i="5"/>
  <c r="CM643" i="5"/>
  <c r="CG643" i="5"/>
  <c r="CF643" i="5"/>
  <c r="CE643" i="5"/>
  <c r="CD643" i="5"/>
  <c r="CC643" i="5"/>
  <c r="CS642" i="5"/>
  <c r="CM642" i="5"/>
  <c r="CG642" i="5"/>
  <c r="CF642" i="5"/>
  <c r="CE642" i="5"/>
  <c r="CD642" i="5"/>
  <c r="CC642" i="5"/>
  <c r="CS641" i="5"/>
  <c r="CM641" i="5"/>
  <c r="CG641" i="5"/>
  <c r="CF641" i="5"/>
  <c r="CE641" i="5"/>
  <c r="CD641" i="5"/>
  <c r="CC641" i="5"/>
  <c r="CS640" i="5"/>
  <c r="CM640" i="5"/>
  <c r="CG640" i="5"/>
  <c r="CF640" i="5"/>
  <c r="CE640" i="5"/>
  <c r="CD640" i="5"/>
  <c r="CC640" i="5"/>
  <c r="CS639" i="5"/>
  <c r="CM639" i="5"/>
  <c r="CG639" i="5"/>
  <c r="CF639" i="5"/>
  <c r="CE639" i="5"/>
  <c r="CD639" i="5"/>
  <c r="CC639" i="5"/>
  <c r="CS638" i="5"/>
  <c r="CM638" i="5"/>
  <c r="CG638" i="5"/>
  <c r="CF638" i="5"/>
  <c r="CE638" i="5"/>
  <c r="CD638" i="5"/>
  <c r="CC638" i="5"/>
  <c r="CS637" i="5"/>
  <c r="CM637" i="5"/>
  <c r="CG637" i="5"/>
  <c r="CF637" i="5"/>
  <c r="CE637" i="5"/>
  <c r="CD637" i="5"/>
  <c r="CC637" i="5"/>
  <c r="CS636" i="5"/>
  <c r="CM636" i="5"/>
  <c r="CG636" i="5"/>
  <c r="CF636" i="5"/>
  <c r="CE636" i="5"/>
  <c r="CD636" i="5"/>
  <c r="CC636" i="5"/>
  <c r="CS635" i="5"/>
  <c r="CM635" i="5"/>
  <c r="CG635" i="5"/>
  <c r="CF635" i="5"/>
  <c r="CE635" i="5"/>
  <c r="CD635" i="5"/>
  <c r="CC635" i="5"/>
  <c r="CS634" i="5"/>
  <c r="CM634" i="5"/>
  <c r="CG634" i="5"/>
  <c r="CF634" i="5"/>
  <c r="CE634" i="5"/>
  <c r="CD634" i="5"/>
  <c r="CC634" i="5"/>
  <c r="CS633" i="5"/>
  <c r="CM633" i="5"/>
  <c r="CG633" i="5"/>
  <c r="CF633" i="5"/>
  <c r="CE633" i="5"/>
  <c r="CD633" i="5"/>
  <c r="CC633" i="5"/>
  <c r="CS632" i="5"/>
  <c r="CM632" i="5"/>
  <c r="CG632" i="5"/>
  <c r="CF632" i="5"/>
  <c r="CE632" i="5"/>
  <c r="CD632" i="5"/>
  <c r="CC632" i="5"/>
  <c r="CS631" i="5"/>
  <c r="CM631" i="5"/>
  <c r="CG631" i="5"/>
  <c r="CF631" i="5"/>
  <c r="CE631" i="5"/>
  <c r="CD631" i="5"/>
  <c r="CC631" i="5"/>
  <c r="CS630" i="5"/>
  <c r="CM630" i="5"/>
  <c r="CG630" i="5"/>
  <c r="CF630" i="5"/>
  <c r="CE630" i="5"/>
  <c r="CD630" i="5"/>
  <c r="CC630" i="5"/>
  <c r="CS629" i="5"/>
  <c r="CM629" i="5"/>
  <c r="CG629" i="5"/>
  <c r="CF629" i="5"/>
  <c r="CE629" i="5"/>
  <c r="CD629" i="5"/>
  <c r="CC629" i="5"/>
  <c r="CS628" i="5"/>
  <c r="CM628" i="5"/>
  <c r="CG628" i="5"/>
  <c r="CF628" i="5"/>
  <c r="CE628" i="5"/>
  <c r="CD628" i="5"/>
  <c r="CC628" i="5"/>
  <c r="CS627" i="5"/>
  <c r="CM627" i="5"/>
  <c r="CG627" i="5"/>
  <c r="CF627" i="5"/>
  <c r="CE627" i="5"/>
  <c r="CD627" i="5"/>
  <c r="CC627" i="5"/>
  <c r="CS626" i="5"/>
  <c r="CM626" i="5"/>
  <c r="CG626" i="5"/>
  <c r="CF626" i="5"/>
  <c r="CE626" i="5"/>
  <c r="CD626" i="5"/>
  <c r="CC626" i="5"/>
  <c r="CS625" i="5"/>
  <c r="CM625" i="5"/>
  <c r="CG625" i="5"/>
  <c r="CF625" i="5"/>
  <c r="CE625" i="5"/>
  <c r="CD625" i="5"/>
  <c r="CC625" i="5"/>
  <c r="CS624" i="5"/>
  <c r="CM624" i="5"/>
  <c r="CG624" i="5"/>
  <c r="CF624" i="5"/>
  <c r="CE624" i="5"/>
  <c r="CD624" i="5"/>
  <c r="CC624" i="5"/>
  <c r="CS623" i="5"/>
  <c r="CM623" i="5"/>
  <c r="CG623" i="5"/>
  <c r="CF623" i="5"/>
  <c r="CE623" i="5"/>
  <c r="CD623" i="5"/>
  <c r="CC623" i="5"/>
  <c r="CS622" i="5"/>
  <c r="CM622" i="5"/>
  <c r="CG622" i="5"/>
  <c r="CF622" i="5"/>
  <c r="CE622" i="5"/>
  <c r="CD622" i="5"/>
  <c r="CC622" i="5"/>
  <c r="CS621" i="5"/>
  <c r="CM621" i="5"/>
  <c r="CG621" i="5"/>
  <c r="CF621" i="5"/>
  <c r="CE621" i="5"/>
  <c r="CD621" i="5"/>
  <c r="CC621" i="5"/>
  <c r="CS620" i="5"/>
  <c r="CM620" i="5"/>
  <c r="CG620" i="5"/>
  <c r="CF620" i="5"/>
  <c r="CE620" i="5"/>
  <c r="CD620" i="5"/>
  <c r="CC620" i="5"/>
  <c r="CS619" i="5"/>
  <c r="CM619" i="5"/>
  <c r="CG619" i="5"/>
  <c r="CF619" i="5"/>
  <c r="CE619" i="5"/>
  <c r="CD619" i="5"/>
  <c r="CC619" i="5"/>
  <c r="CS618" i="5"/>
  <c r="CM618" i="5"/>
  <c r="CG618" i="5"/>
  <c r="CF618" i="5"/>
  <c r="CE618" i="5"/>
  <c r="CD618" i="5"/>
  <c r="CC618" i="5"/>
  <c r="CS617" i="5"/>
  <c r="CM617" i="5"/>
  <c r="CG617" i="5"/>
  <c r="CF617" i="5"/>
  <c r="CE617" i="5"/>
  <c r="CD617" i="5"/>
  <c r="CC617" i="5"/>
  <c r="CS616" i="5"/>
  <c r="CM616" i="5"/>
  <c r="CG616" i="5"/>
  <c r="CF616" i="5"/>
  <c r="CE616" i="5"/>
  <c r="CD616" i="5"/>
  <c r="CC616" i="5"/>
  <c r="CS615" i="5"/>
  <c r="CM615" i="5"/>
  <c r="CG615" i="5"/>
  <c r="CF615" i="5"/>
  <c r="CE615" i="5"/>
  <c r="CD615" i="5"/>
  <c r="CC615" i="5"/>
  <c r="CS614" i="5"/>
  <c r="CM614" i="5"/>
  <c r="CG614" i="5"/>
  <c r="CF614" i="5"/>
  <c r="CE614" i="5"/>
  <c r="CD614" i="5"/>
  <c r="CC614" i="5"/>
  <c r="CS613" i="5"/>
  <c r="CM613" i="5"/>
  <c r="CG613" i="5"/>
  <c r="CF613" i="5"/>
  <c r="CE613" i="5"/>
  <c r="CD613" i="5"/>
  <c r="CC613" i="5"/>
  <c r="CS612" i="5"/>
  <c r="CM612" i="5"/>
  <c r="CG612" i="5"/>
  <c r="CF612" i="5"/>
  <c r="CE612" i="5"/>
  <c r="CD612" i="5"/>
  <c r="CC612" i="5"/>
  <c r="CS611" i="5"/>
  <c r="CM611" i="5"/>
  <c r="CG611" i="5"/>
  <c r="CF611" i="5"/>
  <c r="CE611" i="5"/>
  <c r="CD611" i="5"/>
  <c r="CC611" i="5"/>
  <c r="CS610" i="5"/>
  <c r="CM610" i="5"/>
  <c r="CG610" i="5"/>
  <c r="CF610" i="5"/>
  <c r="CE610" i="5"/>
  <c r="CD610" i="5"/>
  <c r="CC610" i="5"/>
  <c r="CS609" i="5"/>
  <c r="CM609" i="5"/>
  <c r="CG609" i="5"/>
  <c r="CF609" i="5"/>
  <c r="CE609" i="5"/>
  <c r="CD609" i="5"/>
  <c r="CC609" i="5"/>
  <c r="CS608" i="5"/>
  <c r="CM608" i="5"/>
  <c r="CG608" i="5"/>
  <c r="CF608" i="5"/>
  <c r="CE608" i="5"/>
  <c r="CD608" i="5"/>
  <c r="CC608" i="5"/>
  <c r="CS607" i="5"/>
  <c r="CM607" i="5"/>
  <c r="CG607" i="5"/>
  <c r="CF607" i="5"/>
  <c r="CE607" i="5"/>
  <c r="CD607" i="5"/>
  <c r="CC607" i="5"/>
  <c r="CS606" i="5"/>
  <c r="CM606" i="5"/>
  <c r="CG606" i="5"/>
  <c r="CF606" i="5"/>
  <c r="CE606" i="5"/>
  <c r="CD606" i="5"/>
  <c r="CC606" i="5"/>
  <c r="CS605" i="5"/>
  <c r="CM605" i="5"/>
  <c r="CG605" i="5"/>
  <c r="CF605" i="5"/>
  <c r="CE605" i="5"/>
  <c r="CD605" i="5"/>
  <c r="CC605" i="5"/>
  <c r="CS604" i="5"/>
  <c r="CM604" i="5"/>
  <c r="CG604" i="5"/>
  <c r="CF604" i="5"/>
  <c r="CE604" i="5"/>
  <c r="CD604" i="5"/>
  <c r="CC604" i="5"/>
  <c r="CS603" i="5"/>
  <c r="CM603" i="5"/>
  <c r="CG603" i="5"/>
  <c r="CF603" i="5"/>
  <c r="CE603" i="5"/>
  <c r="CD603" i="5"/>
  <c r="CC603" i="5"/>
  <c r="CS602" i="5"/>
  <c r="CM602" i="5"/>
  <c r="CG602" i="5"/>
  <c r="CF602" i="5"/>
  <c r="CE602" i="5"/>
  <c r="CD602" i="5"/>
  <c r="CC602" i="5"/>
  <c r="CS601" i="5"/>
  <c r="CM601" i="5"/>
  <c r="CG601" i="5"/>
  <c r="CF601" i="5"/>
  <c r="CE601" i="5"/>
  <c r="CD601" i="5"/>
  <c r="CC601" i="5"/>
  <c r="CS600" i="5"/>
  <c r="CM600" i="5"/>
  <c r="CG600" i="5"/>
  <c r="CF600" i="5"/>
  <c r="CE600" i="5"/>
  <c r="CD600" i="5"/>
  <c r="CC600" i="5"/>
  <c r="BM600" i="5"/>
  <c r="BF600" i="5"/>
  <c r="BC600" i="5"/>
  <c r="AZ600" i="5"/>
  <c r="AY600" i="5"/>
  <c r="AX600" i="5"/>
  <c r="AW600" i="5"/>
  <c r="AV600" i="5"/>
  <c r="AU600" i="5"/>
  <c r="AT600" i="5"/>
  <c r="AR600" i="5"/>
  <c r="AQ600" i="5"/>
  <c r="AP600" i="5"/>
  <c r="AO600" i="5"/>
  <c r="AN600" i="5"/>
  <c r="AM600" i="5"/>
  <c r="AL600" i="5"/>
  <c r="AH600" i="5"/>
  <c r="AF600" i="5"/>
  <c r="AD600" i="5"/>
  <c r="AB600" i="5"/>
  <c r="Y600" i="5"/>
  <c r="X600" i="5"/>
  <c r="W600" i="5"/>
  <c r="V600" i="5"/>
  <c r="U600" i="5"/>
  <c r="T600" i="5"/>
  <c r="S600" i="5"/>
  <c r="R600" i="5"/>
  <c r="Q600" i="5"/>
  <c r="P600" i="5"/>
  <c r="O600" i="5"/>
  <c r="N600" i="5"/>
  <c r="M600" i="5"/>
  <c r="L600" i="5"/>
  <c r="K600" i="5"/>
  <c r="J600" i="5"/>
  <c r="I600" i="5"/>
  <c r="H600" i="5"/>
  <c r="G600" i="5"/>
  <c r="F600" i="5"/>
  <c r="E600" i="5"/>
  <c r="D600" i="5"/>
  <c r="C600" i="5"/>
  <c r="B600" i="5"/>
  <c r="A600" i="5"/>
  <c r="CS599" i="5"/>
  <c r="CM599" i="5"/>
  <c r="CG599" i="5"/>
  <c r="CF599" i="5"/>
  <c r="CE599" i="5"/>
  <c r="CD599" i="5"/>
  <c r="CC599" i="5"/>
  <c r="BM599" i="5"/>
  <c r="BF599" i="5"/>
  <c r="BC599" i="5"/>
  <c r="AZ599" i="5"/>
  <c r="AY599" i="5"/>
  <c r="AX599" i="5"/>
  <c r="AW599" i="5"/>
  <c r="AV599" i="5"/>
  <c r="AU599" i="5"/>
  <c r="AT599" i="5"/>
  <c r="AR599" i="5"/>
  <c r="AQ599" i="5"/>
  <c r="AP599" i="5"/>
  <c r="AO599" i="5"/>
  <c r="AN599" i="5"/>
  <c r="AM599" i="5"/>
  <c r="AL599" i="5"/>
  <c r="AH599" i="5"/>
  <c r="AF599" i="5"/>
  <c r="AD599" i="5"/>
  <c r="AB599" i="5"/>
  <c r="Y599" i="5"/>
  <c r="X599" i="5"/>
  <c r="W599" i="5"/>
  <c r="V599" i="5"/>
  <c r="U599" i="5"/>
  <c r="T599" i="5"/>
  <c r="S599" i="5"/>
  <c r="R599" i="5"/>
  <c r="Q599" i="5"/>
  <c r="P599" i="5"/>
  <c r="O599" i="5"/>
  <c r="N599" i="5"/>
  <c r="M599" i="5"/>
  <c r="L599" i="5"/>
  <c r="K599" i="5"/>
  <c r="J599" i="5"/>
  <c r="I599" i="5"/>
  <c r="H599" i="5"/>
  <c r="G599" i="5"/>
  <c r="F599" i="5"/>
  <c r="E599" i="5"/>
  <c r="D599" i="5"/>
  <c r="C599" i="5"/>
  <c r="B599" i="5"/>
  <c r="A599" i="5"/>
  <c r="CS598" i="5"/>
  <c r="CM598" i="5"/>
  <c r="CG598" i="5"/>
  <c r="CF598" i="5"/>
  <c r="CE598" i="5"/>
  <c r="CD598" i="5"/>
  <c r="CC598" i="5"/>
  <c r="BM598" i="5"/>
  <c r="BF598" i="5"/>
  <c r="BC598" i="5"/>
  <c r="AZ598" i="5"/>
  <c r="AY598" i="5"/>
  <c r="AX598" i="5"/>
  <c r="AW598" i="5"/>
  <c r="AV598" i="5"/>
  <c r="AU598" i="5"/>
  <c r="AT598" i="5"/>
  <c r="AR598" i="5"/>
  <c r="AQ598" i="5"/>
  <c r="AP598" i="5"/>
  <c r="AO598" i="5"/>
  <c r="AN598" i="5"/>
  <c r="AM598" i="5"/>
  <c r="AL598" i="5"/>
  <c r="AH598" i="5"/>
  <c r="AF598" i="5"/>
  <c r="AD598" i="5"/>
  <c r="AB598" i="5"/>
  <c r="Y598" i="5"/>
  <c r="X598" i="5"/>
  <c r="W598" i="5"/>
  <c r="V598" i="5"/>
  <c r="U598" i="5"/>
  <c r="T598" i="5"/>
  <c r="S598" i="5"/>
  <c r="R598" i="5"/>
  <c r="Q598" i="5"/>
  <c r="P598" i="5"/>
  <c r="O598" i="5"/>
  <c r="N598" i="5"/>
  <c r="M598" i="5"/>
  <c r="L598" i="5"/>
  <c r="K598" i="5"/>
  <c r="J598" i="5"/>
  <c r="I598" i="5"/>
  <c r="H598" i="5"/>
  <c r="G598" i="5"/>
  <c r="F598" i="5"/>
  <c r="E598" i="5"/>
  <c r="D598" i="5"/>
  <c r="C598" i="5"/>
  <c r="B598" i="5"/>
  <c r="A598" i="5"/>
  <c r="CS597" i="5"/>
  <c r="CM597" i="5"/>
  <c r="CG597" i="5"/>
  <c r="CF597" i="5"/>
  <c r="CE597" i="5"/>
  <c r="CD597" i="5"/>
  <c r="CC597" i="5"/>
  <c r="BM597" i="5"/>
  <c r="BF597" i="5"/>
  <c r="BC597" i="5"/>
  <c r="AZ597" i="5"/>
  <c r="AY597" i="5"/>
  <c r="AX597" i="5"/>
  <c r="AW597" i="5"/>
  <c r="AV597" i="5"/>
  <c r="AU597" i="5"/>
  <c r="AT597" i="5"/>
  <c r="AR597" i="5"/>
  <c r="AQ597" i="5"/>
  <c r="AP597" i="5"/>
  <c r="AO597" i="5"/>
  <c r="AN597" i="5"/>
  <c r="AM597" i="5"/>
  <c r="AL597" i="5"/>
  <c r="AH597" i="5"/>
  <c r="AF597" i="5"/>
  <c r="AD597" i="5"/>
  <c r="AB597" i="5"/>
  <c r="Y597" i="5"/>
  <c r="X597" i="5"/>
  <c r="W597" i="5"/>
  <c r="V597" i="5"/>
  <c r="U597" i="5"/>
  <c r="T597" i="5"/>
  <c r="S597" i="5"/>
  <c r="R597" i="5"/>
  <c r="Q597" i="5"/>
  <c r="P597" i="5"/>
  <c r="O597" i="5"/>
  <c r="N597" i="5"/>
  <c r="M597" i="5"/>
  <c r="L597" i="5"/>
  <c r="K597" i="5"/>
  <c r="J597" i="5"/>
  <c r="I597" i="5"/>
  <c r="H597" i="5"/>
  <c r="G597" i="5"/>
  <c r="F597" i="5"/>
  <c r="E597" i="5"/>
  <c r="D597" i="5"/>
  <c r="C597" i="5"/>
  <c r="B597" i="5"/>
  <c r="A597" i="5"/>
  <c r="CS596" i="5"/>
  <c r="CM596" i="5"/>
  <c r="CG596" i="5"/>
  <c r="CF596" i="5"/>
  <c r="CE596" i="5"/>
  <c r="CD596" i="5"/>
  <c r="CC596" i="5"/>
  <c r="BM596" i="5"/>
  <c r="BF596" i="5"/>
  <c r="BC596" i="5"/>
  <c r="AZ596" i="5"/>
  <c r="AY596" i="5"/>
  <c r="AX596" i="5"/>
  <c r="AW596" i="5"/>
  <c r="AV596" i="5"/>
  <c r="AU596" i="5"/>
  <c r="AT596" i="5"/>
  <c r="AR596" i="5"/>
  <c r="AQ596" i="5"/>
  <c r="AP596" i="5"/>
  <c r="AO596" i="5"/>
  <c r="AN596" i="5"/>
  <c r="AM596" i="5"/>
  <c r="AL596" i="5"/>
  <c r="AH596" i="5"/>
  <c r="AF596" i="5"/>
  <c r="AD596" i="5"/>
  <c r="AB596" i="5"/>
  <c r="Y596" i="5"/>
  <c r="X596" i="5"/>
  <c r="W596" i="5"/>
  <c r="V596" i="5"/>
  <c r="U596" i="5"/>
  <c r="T596" i="5"/>
  <c r="S596" i="5"/>
  <c r="R596" i="5"/>
  <c r="Q596" i="5"/>
  <c r="P596" i="5"/>
  <c r="O596" i="5"/>
  <c r="N596" i="5"/>
  <c r="M596" i="5"/>
  <c r="L596" i="5"/>
  <c r="K596" i="5"/>
  <c r="J596" i="5"/>
  <c r="I596" i="5"/>
  <c r="H596" i="5"/>
  <c r="G596" i="5"/>
  <c r="F596" i="5"/>
  <c r="E596" i="5"/>
  <c r="D596" i="5"/>
  <c r="C596" i="5"/>
  <c r="B596" i="5"/>
  <c r="A596" i="5"/>
  <c r="CS595" i="5"/>
  <c r="CM595" i="5"/>
  <c r="CG595" i="5"/>
  <c r="CF595" i="5"/>
  <c r="CE595" i="5"/>
  <c r="CD595" i="5"/>
  <c r="CC595" i="5"/>
  <c r="BM595" i="5"/>
  <c r="BF595" i="5"/>
  <c r="BC595" i="5"/>
  <c r="AZ595" i="5"/>
  <c r="AY595" i="5"/>
  <c r="AX595" i="5"/>
  <c r="AW595" i="5"/>
  <c r="AV595" i="5"/>
  <c r="AU595" i="5"/>
  <c r="AT595" i="5"/>
  <c r="AR595" i="5"/>
  <c r="AQ595" i="5"/>
  <c r="AP595" i="5"/>
  <c r="AO595" i="5"/>
  <c r="AN595" i="5"/>
  <c r="AM595" i="5"/>
  <c r="AL595" i="5"/>
  <c r="AH595" i="5"/>
  <c r="AF595" i="5"/>
  <c r="AD595" i="5"/>
  <c r="AB595" i="5"/>
  <c r="Y595" i="5"/>
  <c r="X595" i="5"/>
  <c r="W595" i="5"/>
  <c r="V595" i="5"/>
  <c r="U595" i="5"/>
  <c r="T595" i="5"/>
  <c r="S595" i="5"/>
  <c r="R595" i="5"/>
  <c r="Q595" i="5"/>
  <c r="P595" i="5"/>
  <c r="O595" i="5"/>
  <c r="N595" i="5"/>
  <c r="M595" i="5"/>
  <c r="L595" i="5"/>
  <c r="K595" i="5"/>
  <c r="J595" i="5"/>
  <c r="I595" i="5"/>
  <c r="H595" i="5"/>
  <c r="G595" i="5"/>
  <c r="F595" i="5"/>
  <c r="E595" i="5"/>
  <c r="D595" i="5"/>
  <c r="C595" i="5"/>
  <c r="B595" i="5"/>
  <c r="A595" i="5"/>
  <c r="CS594" i="5"/>
  <c r="CM594" i="5"/>
  <c r="CG594" i="5"/>
  <c r="CF594" i="5"/>
  <c r="CE594" i="5"/>
  <c r="CD594" i="5"/>
  <c r="CC594" i="5"/>
  <c r="BM594" i="5"/>
  <c r="BF594" i="5"/>
  <c r="BC594" i="5"/>
  <c r="AZ594" i="5"/>
  <c r="AY594" i="5"/>
  <c r="AX594" i="5"/>
  <c r="AW594" i="5"/>
  <c r="AV594" i="5"/>
  <c r="AU594" i="5"/>
  <c r="AT594" i="5"/>
  <c r="AR594" i="5"/>
  <c r="AQ594" i="5"/>
  <c r="AP594" i="5"/>
  <c r="AO594" i="5"/>
  <c r="AN594" i="5"/>
  <c r="AM594" i="5"/>
  <c r="AL594" i="5"/>
  <c r="AH594" i="5"/>
  <c r="AF594" i="5"/>
  <c r="AD594" i="5"/>
  <c r="AB594" i="5"/>
  <c r="Y594" i="5"/>
  <c r="X594" i="5"/>
  <c r="W594" i="5"/>
  <c r="V594" i="5"/>
  <c r="U594" i="5"/>
  <c r="T594" i="5"/>
  <c r="S594" i="5"/>
  <c r="R594" i="5"/>
  <c r="Q594" i="5"/>
  <c r="P594" i="5"/>
  <c r="O594" i="5"/>
  <c r="N594" i="5"/>
  <c r="M594" i="5"/>
  <c r="L594" i="5"/>
  <c r="K594" i="5"/>
  <c r="J594" i="5"/>
  <c r="I594" i="5"/>
  <c r="H594" i="5"/>
  <c r="G594" i="5"/>
  <c r="F594" i="5"/>
  <c r="E594" i="5"/>
  <c r="D594" i="5"/>
  <c r="C594" i="5"/>
  <c r="B594" i="5"/>
  <c r="A594" i="5"/>
  <c r="CS593" i="5"/>
  <c r="CM593" i="5"/>
  <c r="CG593" i="5"/>
  <c r="CF593" i="5"/>
  <c r="CE593" i="5"/>
  <c r="CD593" i="5"/>
  <c r="CC593" i="5"/>
  <c r="BM593" i="5"/>
  <c r="BF593" i="5"/>
  <c r="BC593" i="5"/>
  <c r="AZ593" i="5"/>
  <c r="AY593" i="5"/>
  <c r="AX593" i="5"/>
  <c r="AW593" i="5"/>
  <c r="AV593" i="5"/>
  <c r="AU593" i="5"/>
  <c r="AT593" i="5"/>
  <c r="AR593" i="5"/>
  <c r="AQ593" i="5"/>
  <c r="AP593" i="5"/>
  <c r="AO593" i="5"/>
  <c r="AN593" i="5"/>
  <c r="AM593" i="5"/>
  <c r="AL593" i="5"/>
  <c r="AH593" i="5"/>
  <c r="AF593" i="5"/>
  <c r="AD593" i="5"/>
  <c r="AB593" i="5"/>
  <c r="Y593" i="5"/>
  <c r="X593" i="5"/>
  <c r="W593" i="5"/>
  <c r="V593" i="5"/>
  <c r="U593" i="5"/>
  <c r="T593" i="5"/>
  <c r="S593" i="5"/>
  <c r="R593" i="5"/>
  <c r="Q593" i="5"/>
  <c r="P593" i="5"/>
  <c r="O593" i="5"/>
  <c r="N593" i="5"/>
  <c r="M593" i="5"/>
  <c r="L593" i="5"/>
  <c r="K593" i="5"/>
  <c r="J593" i="5"/>
  <c r="I593" i="5"/>
  <c r="H593" i="5"/>
  <c r="G593" i="5"/>
  <c r="F593" i="5"/>
  <c r="E593" i="5"/>
  <c r="D593" i="5"/>
  <c r="C593" i="5"/>
  <c r="B593" i="5"/>
  <c r="A593" i="5"/>
  <c r="CS592" i="5"/>
  <c r="CM592" i="5"/>
  <c r="CG592" i="5"/>
  <c r="CF592" i="5"/>
  <c r="CE592" i="5"/>
  <c r="CD592" i="5"/>
  <c r="CC592" i="5"/>
  <c r="BM592" i="5"/>
  <c r="BF592" i="5"/>
  <c r="BC592" i="5"/>
  <c r="AZ592" i="5"/>
  <c r="AY592" i="5"/>
  <c r="AX592" i="5"/>
  <c r="AW592" i="5"/>
  <c r="AV592" i="5"/>
  <c r="AU592" i="5"/>
  <c r="AT592" i="5"/>
  <c r="AR592" i="5"/>
  <c r="AQ592" i="5"/>
  <c r="AP592" i="5"/>
  <c r="AO592" i="5"/>
  <c r="AN592" i="5"/>
  <c r="AM592" i="5"/>
  <c r="AL592" i="5"/>
  <c r="AH592" i="5"/>
  <c r="AF592" i="5"/>
  <c r="AD592" i="5"/>
  <c r="AB592" i="5"/>
  <c r="Y592" i="5"/>
  <c r="X592" i="5"/>
  <c r="W592" i="5"/>
  <c r="V592" i="5"/>
  <c r="U592" i="5"/>
  <c r="T592" i="5"/>
  <c r="S592" i="5"/>
  <c r="R592" i="5"/>
  <c r="Q592" i="5"/>
  <c r="P592" i="5"/>
  <c r="O592" i="5"/>
  <c r="N592" i="5"/>
  <c r="M592" i="5"/>
  <c r="L592" i="5"/>
  <c r="K592" i="5"/>
  <c r="J592" i="5"/>
  <c r="I592" i="5"/>
  <c r="H592" i="5"/>
  <c r="G592" i="5"/>
  <c r="F592" i="5"/>
  <c r="E592" i="5"/>
  <c r="D592" i="5"/>
  <c r="C592" i="5"/>
  <c r="B592" i="5"/>
  <c r="A592" i="5"/>
  <c r="CS591" i="5"/>
  <c r="CM591" i="5"/>
  <c r="CG591" i="5"/>
  <c r="CF591" i="5"/>
  <c r="CE591" i="5"/>
  <c r="CD591" i="5"/>
  <c r="CC591" i="5"/>
  <c r="BM591" i="5"/>
  <c r="BF591" i="5"/>
  <c r="BC591" i="5"/>
  <c r="AZ591" i="5"/>
  <c r="AY591" i="5"/>
  <c r="AX591" i="5"/>
  <c r="AW591" i="5"/>
  <c r="AV591" i="5"/>
  <c r="AU591" i="5"/>
  <c r="AT591" i="5"/>
  <c r="AR591" i="5"/>
  <c r="AQ591" i="5"/>
  <c r="AP591" i="5"/>
  <c r="AO591" i="5"/>
  <c r="AN591" i="5"/>
  <c r="AM591" i="5"/>
  <c r="AL591" i="5"/>
  <c r="AH591" i="5"/>
  <c r="AF591" i="5"/>
  <c r="AD591" i="5"/>
  <c r="AB591" i="5"/>
  <c r="Y591" i="5"/>
  <c r="X591" i="5"/>
  <c r="W591" i="5"/>
  <c r="V591" i="5"/>
  <c r="U591" i="5"/>
  <c r="T591" i="5"/>
  <c r="S591" i="5"/>
  <c r="R591" i="5"/>
  <c r="Q591" i="5"/>
  <c r="P591" i="5"/>
  <c r="O591" i="5"/>
  <c r="N591" i="5"/>
  <c r="M591" i="5"/>
  <c r="L591" i="5"/>
  <c r="K591" i="5"/>
  <c r="J591" i="5"/>
  <c r="I591" i="5"/>
  <c r="H591" i="5"/>
  <c r="G591" i="5"/>
  <c r="F591" i="5"/>
  <c r="E591" i="5"/>
  <c r="D591" i="5"/>
  <c r="C591" i="5"/>
  <c r="B591" i="5"/>
  <c r="A591" i="5"/>
  <c r="CS590" i="5"/>
  <c r="CM590" i="5"/>
  <c r="CG590" i="5"/>
  <c r="CF590" i="5"/>
  <c r="CE590" i="5"/>
  <c r="CD590" i="5"/>
  <c r="CC590" i="5"/>
  <c r="BM590" i="5"/>
  <c r="BF590" i="5"/>
  <c r="BC590" i="5"/>
  <c r="AZ590" i="5"/>
  <c r="AY590" i="5"/>
  <c r="AX590" i="5"/>
  <c r="AW590" i="5"/>
  <c r="AV590" i="5"/>
  <c r="AU590" i="5"/>
  <c r="AT590" i="5"/>
  <c r="AR590" i="5"/>
  <c r="AQ590" i="5"/>
  <c r="AP590" i="5"/>
  <c r="AO590" i="5"/>
  <c r="AN590" i="5"/>
  <c r="AM590" i="5"/>
  <c r="AL590" i="5"/>
  <c r="AH590" i="5"/>
  <c r="AF590" i="5"/>
  <c r="AD590" i="5"/>
  <c r="AB590" i="5"/>
  <c r="Y590" i="5"/>
  <c r="X590" i="5"/>
  <c r="W590" i="5"/>
  <c r="V590" i="5"/>
  <c r="U590" i="5"/>
  <c r="T590" i="5"/>
  <c r="S590" i="5"/>
  <c r="R590" i="5"/>
  <c r="Q590" i="5"/>
  <c r="P590" i="5"/>
  <c r="O590" i="5"/>
  <c r="N590" i="5"/>
  <c r="M590" i="5"/>
  <c r="L590" i="5"/>
  <c r="K590" i="5"/>
  <c r="J590" i="5"/>
  <c r="I590" i="5"/>
  <c r="H590" i="5"/>
  <c r="G590" i="5"/>
  <c r="F590" i="5"/>
  <c r="E590" i="5"/>
  <c r="D590" i="5"/>
  <c r="C590" i="5"/>
  <c r="B590" i="5"/>
  <c r="A590" i="5"/>
  <c r="CS589" i="5"/>
  <c r="CM589" i="5"/>
  <c r="CG589" i="5"/>
  <c r="CF589" i="5"/>
  <c r="CE589" i="5"/>
  <c r="CD589" i="5"/>
  <c r="CC589" i="5"/>
  <c r="CB589" i="5"/>
  <c r="CA589" i="5"/>
  <c r="BY589" i="5"/>
  <c r="BX589" i="5"/>
  <c r="BW589" i="5"/>
  <c r="BV589" i="5"/>
  <c r="BU589" i="5"/>
  <c r="BQ589" i="5"/>
  <c r="BP589" i="5"/>
  <c r="BO589" i="5"/>
  <c r="BM589" i="5"/>
  <c r="BF589" i="5"/>
  <c r="BC589" i="5"/>
  <c r="AZ589" i="5"/>
  <c r="AY589" i="5"/>
  <c r="AX589" i="5"/>
  <c r="AW589" i="5"/>
  <c r="AV589" i="5"/>
  <c r="AU589" i="5"/>
  <c r="AT589" i="5"/>
  <c r="AR589" i="5"/>
  <c r="AQ589" i="5"/>
  <c r="AP589" i="5"/>
  <c r="AO589" i="5"/>
  <c r="AN589" i="5"/>
  <c r="AM589" i="5"/>
  <c r="AL589" i="5"/>
  <c r="AH589" i="5"/>
  <c r="AF589" i="5"/>
  <c r="AD589" i="5"/>
  <c r="AB589" i="5"/>
  <c r="Y589" i="5"/>
  <c r="X589" i="5"/>
  <c r="W589" i="5"/>
  <c r="V589" i="5"/>
  <c r="U589" i="5"/>
  <c r="T589" i="5"/>
  <c r="S589" i="5"/>
  <c r="R589" i="5"/>
  <c r="Q589" i="5"/>
  <c r="P589" i="5"/>
  <c r="O589" i="5"/>
  <c r="N589" i="5"/>
  <c r="M589" i="5"/>
  <c r="L589" i="5"/>
  <c r="K589" i="5"/>
  <c r="J589" i="5"/>
  <c r="I589" i="5"/>
  <c r="H589" i="5"/>
  <c r="G589" i="5"/>
  <c r="F589" i="5"/>
  <c r="E589" i="5"/>
  <c r="D589" i="5"/>
  <c r="C589" i="5"/>
  <c r="B589" i="5"/>
  <c r="A589" i="5"/>
  <c r="CS588" i="5"/>
  <c r="CM588" i="5"/>
  <c r="CG588" i="5"/>
  <c r="CF588" i="5"/>
  <c r="CE588" i="5"/>
  <c r="CD588" i="5"/>
  <c r="CC588" i="5"/>
  <c r="CB588" i="5"/>
  <c r="CA588" i="5"/>
  <c r="BY588" i="5"/>
  <c r="BX588" i="5"/>
  <c r="BW588" i="5"/>
  <c r="BV588" i="5"/>
  <c r="BU588" i="5"/>
  <c r="BQ588" i="5"/>
  <c r="BP588" i="5"/>
  <c r="BO588" i="5"/>
  <c r="BM588" i="5"/>
  <c r="BF588" i="5"/>
  <c r="BC588" i="5"/>
  <c r="AZ588" i="5"/>
  <c r="AY588" i="5"/>
  <c r="AX588" i="5"/>
  <c r="AW588" i="5"/>
  <c r="AV588" i="5"/>
  <c r="AU588" i="5"/>
  <c r="AT588" i="5"/>
  <c r="AR588" i="5"/>
  <c r="AQ588" i="5"/>
  <c r="AP588" i="5"/>
  <c r="AO588" i="5"/>
  <c r="AN588" i="5"/>
  <c r="AM588" i="5"/>
  <c r="AL588" i="5"/>
  <c r="AH588" i="5"/>
  <c r="AF588" i="5"/>
  <c r="AD588" i="5"/>
  <c r="AB588" i="5"/>
  <c r="Y588" i="5"/>
  <c r="X588" i="5"/>
  <c r="W588" i="5"/>
  <c r="V588" i="5"/>
  <c r="U588" i="5"/>
  <c r="T588" i="5"/>
  <c r="S588" i="5"/>
  <c r="R588" i="5"/>
  <c r="Q588" i="5"/>
  <c r="P588" i="5"/>
  <c r="O588" i="5"/>
  <c r="N588" i="5"/>
  <c r="M588" i="5"/>
  <c r="L588" i="5"/>
  <c r="K588" i="5"/>
  <c r="J588" i="5"/>
  <c r="I588" i="5"/>
  <c r="H588" i="5"/>
  <c r="G588" i="5"/>
  <c r="F588" i="5"/>
  <c r="E588" i="5"/>
  <c r="D588" i="5"/>
  <c r="C588" i="5"/>
  <c r="B588" i="5"/>
  <c r="A588" i="5"/>
  <c r="CS587" i="5"/>
  <c r="CM587" i="5"/>
  <c r="CG587" i="5"/>
  <c r="CF587" i="5"/>
  <c r="CE587" i="5"/>
  <c r="CD587" i="5"/>
  <c r="CC587" i="5"/>
  <c r="CB587" i="5"/>
  <c r="CA587" i="5"/>
  <c r="BY587" i="5"/>
  <c r="BX587" i="5"/>
  <c r="BW587" i="5"/>
  <c r="BV587" i="5"/>
  <c r="BU587" i="5"/>
  <c r="BQ587" i="5"/>
  <c r="BP587" i="5"/>
  <c r="BO587" i="5"/>
  <c r="BM587" i="5"/>
  <c r="BF587" i="5"/>
  <c r="BC587" i="5"/>
  <c r="AZ587" i="5"/>
  <c r="AY587" i="5"/>
  <c r="AX587" i="5"/>
  <c r="AW587" i="5"/>
  <c r="AV587" i="5"/>
  <c r="AU587" i="5"/>
  <c r="AT587" i="5"/>
  <c r="AR587" i="5"/>
  <c r="AQ587" i="5"/>
  <c r="AP587" i="5"/>
  <c r="AO587" i="5"/>
  <c r="AN587" i="5"/>
  <c r="AM587" i="5"/>
  <c r="AL587" i="5"/>
  <c r="AH587" i="5"/>
  <c r="AF587" i="5"/>
  <c r="AD587" i="5"/>
  <c r="AB587" i="5"/>
  <c r="Y587" i="5"/>
  <c r="X587" i="5"/>
  <c r="W587" i="5"/>
  <c r="V587" i="5"/>
  <c r="U587" i="5"/>
  <c r="T587" i="5"/>
  <c r="S587" i="5"/>
  <c r="R587" i="5"/>
  <c r="Q587" i="5"/>
  <c r="P587" i="5"/>
  <c r="O587" i="5"/>
  <c r="N587" i="5"/>
  <c r="M587" i="5"/>
  <c r="L587" i="5"/>
  <c r="K587" i="5"/>
  <c r="J587" i="5"/>
  <c r="I587" i="5"/>
  <c r="H587" i="5"/>
  <c r="G587" i="5"/>
  <c r="F587" i="5"/>
  <c r="E587" i="5"/>
  <c r="D587" i="5"/>
  <c r="C587" i="5"/>
  <c r="B587" i="5"/>
  <c r="A587" i="5"/>
  <c r="CS586" i="5"/>
  <c r="CM586" i="5"/>
  <c r="CG586" i="5"/>
  <c r="CF586" i="5"/>
  <c r="CE586" i="5"/>
  <c r="CD586" i="5"/>
  <c r="CC586" i="5"/>
  <c r="CB586" i="5"/>
  <c r="CA586" i="5"/>
  <c r="BY586" i="5"/>
  <c r="BX586" i="5"/>
  <c r="BW586" i="5"/>
  <c r="BV586" i="5"/>
  <c r="BU586" i="5"/>
  <c r="BQ586" i="5"/>
  <c r="BP586" i="5"/>
  <c r="BO586" i="5"/>
  <c r="BM586" i="5"/>
  <c r="BF586" i="5"/>
  <c r="BC586" i="5"/>
  <c r="AY586" i="5"/>
  <c r="AX586" i="5"/>
  <c r="AW586" i="5"/>
  <c r="AV586" i="5"/>
  <c r="AU586" i="5"/>
  <c r="AT586" i="5"/>
  <c r="AR586" i="5"/>
  <c r="AQ586" i="5"/>
  <c r="AP586" i="5"/>
  <c r="AO586" i="5"/>
  <c r="AN586" i="5"/>
  <c r="AM586" i="5"/>
  <c r="AL586" i="5"/>
  <c r="AH586" i="5"/>
  <c r="AF586" i="5"/>
  <c r="AD586" i="5"/>
  <c r="AB586" i="5"/>
  <c r="Y586" i="5"/>
  <c r="X586" i="5"/>
  <c r="W586" i="5"/>
  <c r="V586" i="5"/>
  <c r="U586" i="5"/>
  <c r="T586" i="5"/>
  <c r="S586" i="5"/>
  <c r="R586" i="5"/>
  <c r="Q586" i="5"/>
  <c r="P586" i="5"/>
  <c r="O586" i="5"/>
  <c r="N586" i="5"/>
  <c r="M586" i="5"/>
  <c r="L586" i="5"/>
  <c r="K586" i="5"/>
  <c r="J586" i="5"/>
  <c r="I586" i="5"/>
  <c r="H586" i="5"/>
  <c r="G586" i="5"/>
  <c r="F586" i="5"/>
  <c r="E586" i="5"/>
  <c r="D586" i="5"/>
  <c r="C586" i="5"/>
  <c r="B586" i="5"/>
  <c r="A586" i="5"/>
  <c r="CS585" i="5"/>
  <c r="CM585" i="5"/>
  <c r="CG585" i="5"/>
  <c r="CF585" i="5"/>
  <c r="CE585" i="5"/>
  <c r="CD585" i="5"/>
  <c r="CC585" i="5"/>
  <c r="CB585" i="5"/>
  <c r="CA585" i="5"/>
  <c r="BY585" i="5"/>
  <c r="BX585" i="5"/>
  <c r="BW585" i="5"/>
  <c r="BV585" i="5"/>
  <c r="BU585" i="5"/>
  <c r="BQ585" i="5"/>
  <c r="BP585" i="5"/>
  <c r="BO585" i="5"/>
  <c r="BM585" i="5"/>
  <c r="BF585" i="5"/>
  <c r="BC585" i="5"/>
  <c r="AZ585" i="5"/>
  <c r="AY585" i="5"/>
  <c r="AX585" i="5"/>
  <c r="AW585" i="5"/>
  <c r="AV585" i="5"/>
  <c r="AU585" i="5"/>
  <c r="AT585" i="5"/>
  <c r="AR585" i="5"/>
  <c r="AQ585" i="5"/>
  <c r="AP585" i="5"/>
  <c r="AO585" i="5"/>
  <c r="AN585" i="5"/>
  <c r="AM585" i="5"/>
  <c r="AL585" i="5"/>
  <c r="AH585" i="5"/>
  <c r="AF585" i="5"/>
  <c r="AD585" i="5"/>
  <c r="AB585" i="5"/>
  <c r="Y585" i="5"/>
  <c r="X585" i="5"/>
  <c r="W585" i="5"/>
  <c r="V585" i="5"/>
  <c r="U585" i="5"/>
  <c r="T585" i="5"/>
  <c r="S585" i="5"/>
  <c r="R585" i="5"/>
  <c r="Q585" i="5"/>
  <c r="P585" i="5"/>
  <c r="O585" i="5"/>
  <c r="N585" i="5"/>
  <c r="M585" i="5"/>
  <c r="L585" i="5"/>
  <c r="K585" i="5"/>
  <c r="J585" i="5"/>
  <c r="I585" i="5"/>
  <c r="H585" i="5"/>
  <c r="G585" i="5"/>
  <c r="F585" i="5"/>
  <c r="E585" i="5"/>
  <c r="D585" i="5"/>
  <c r="C585" i="5"/>
  <c r="B585" i="5"/>
  <c r="A585" i="5"/>
  <c r="CS584" i="5"/>
  <c r="CM584" i="5"/>
  <c r="CG584" i="5"/>
  <c r="CF584" i="5"/>
  <c r="CE584" i="5"/>
  <c r="CD584" i="5"/>
  <c r="CC584" i="5"/>
  <c r="CB584" i="5"/>
  <c r="CA584" i="5"/>
  <c r="BY584" i="5"/>
  <c r="BX584" i="5"/>
  <c r="BW584" i="5"/>
  <c r="BV584" i="5"/>
  <c r="BU584" i="5"/>
  <c r="BQ584" i="5"/>
  <c r="BP584" i="5"/>
  <c r="BO584" i="5"/>
  <c r="BM584" i="5"/>
  <c r="BF584" i="5"/>
  <c r="BC584" i="5"/>
  <c r="AZ584" i="5"/>
  <c r="AY584" i="5"/>
  <c r="AX584" i="5"/>
  <c r="AW584" i="5"/>
  <c r="AV584" i="5"/>
  <c r="AU584" i="5"/>
  <c r="AT584" i="5"/>
  <c r="AR584" i="5"/>
  <c r="AQ584" i="5"/>
  <c r="AP584" i="5"/>
  <c r="AO584" i="5"/>
  <c r="AN584" i="5"/>
  <c r="AM584" i="5"/>
  <c r="AL584" i="5"/>
  <c r="AH584" i="5"/>
  <c r="AF584" i="5"/>
  <c r="AD584" i="5"/>
  <c r="AB584" i="5"/>
  <c r="Y584" i="5"/>
  <c r="X584" i="5"/>
  <c r="W584" i="5"/>
  <c r="V584" i="5"/>
  <c r="U584" i="5"/>
  <c r="T584" i="5"/>
  <c r="S584" i="5"/>
  <c r="R584" i="5"/>
  <c r="Q584" i="5"/>
  <c r="P584" i="5"/>
  <c r="O584" i="5"/>
  <c r="N584" i="5"/>
  <c r="M584" i="5"/>
  <c r="L584" i="5"/>
  <c r="K584" i="5"/>
  <c r="J584" i="5"/>
  <c r="I584" i="5"/>
  <c r="H584" i="5"/>
  <c r="G584" i="5"/>
  <c r="F584" i="5"/>
  <c r="E584" i="5"/>
  <c r="D584" i="5"/>
  <c r="C584" i="5"/>
  <c r="B584" i="5"/>
  <c r="A584" i="5"/>
  <c r="CS583" i="5"/>
  <c r="CM583" i="5"/>
  <c r="CG583" i="5"/>
  <c r="CF583" i="5"/>
  <c r="CE583" i="5"/>
  <c r="CD583" i="5"/>
  <c r="CC583" i="5"/>
  <c r="CB583" i="5"/>
  <c r="CA583" i="5"/>
  <c r="BY583" i="5"/>
  <c r="BW583" i="5"/>
  <c r="BV583" i="5"/>
  <c r="BU583" i="5"/>
  <c r="BQ583" i="5"/>
  <c r="BP583" i="5"/>
  <c r="BO583" i="5"/>
  <c r="BN583" i="5"/>
  <c r="BM583" i="5"/>
  <c r="BG583" i="5"/>
  <c r="BF583" i="5"/>
  <c r="BC583" i="5"/>
  <c r="AY583" i="5"/>
  <c r="AX583" i="5"/>
  <c r="AW583" i="5"/>
  <c r="AV583" i="5"/>
  <c r="AU583" i="5"/>
  <c r="AT583" i="5"/>
  <c r="AR583" i="5"/>
  <c r="AQ583" i="5"/>
  <c r="AP583" i="5"/>
  <c r="AO583" i="5"/>
  <c r="AN583" i="5"/>
  <c r="AM583" i="5"/>
  <c r="AL583" i="5"/>
  <c r="AH583" i="5"/>
  <c r="AF583" i="5"/>
  <c r="AD583" i="5"/>
  <c r="AB583" i="5"/>
  <c r="Z583" i="5"/>
  <c r="X583" i="5"/>
  <c r="W583" i="5"/>
  <c r="V583" i="5"/>
  <c r="U583" i="5"/>
  <c r="T583" i="5"/>
  <c r="S583" i="5"/>
  <c r="R583" i="5"/>
  <c r="Q583" i="5"/>
  <c r="P583" i="5"/>
  <c r="O583" i="5"/>
  <c r="N583" i="5"/>
  <c r="M583" i="5"/>
  <c r="L583" i="5"/>
  <c r="K583" i="5"/>
  <c r="J583" i="5"/>
  <c r="I583" i="5"/>
  <c r="H583" i="5"/>
  <c r="G583" i="5"/>
  <c r="F583" i="5"/>
  <c r="E583" i="5"/>
  <c r="D583" i="5"/>
  <c r="C583" i="5"/>
  <c r="B583" i="5"/>
  <c r="A583" i="5"/>
  <c r="CS582" i="5"/>
  <c r="CM582" i="5"/>
  <c r="CG582" i="5"/>
  <c r="CF582" i="5"/>
  <c r="CE582" i="5"/>
  <c r="CD582" i="5"/>
  <c r="CC582" i="5"/>
  <c r="CB582" i="5"/>
  <c r="CA582" i="5"/>
  <c r="BY582" i="5"/>
  <c r="BW582" i="5"/>
  <c r="BV582" i="5"/>
  <c r="BU582" i="5"/>
  <c r="BQ582" i="5"/>
  <c r="BP582" i="5"/>
  <c r="BO582" i="5"/>
  <c r="BN582" i="5"/>
  <c r="BM582" i="5"/>
  <c r="BG582" i="5"/>
  <c r="BF582" i="5"/>
  <c r="BC582" i="5"/>
  <c r="AZ582" i="5"/>
  <c r="AY582" i="5"/>
  <c r="AX582" i="5"/>
  <c r="AW582" i="5"/>
  <c r="AV582" i="5"/>
  <c r="AU582" i="5"/>
  <c r="AT582" i="5"/>
  <c r="AR582" i="5"/>
  <c r="AQ582" i="5"/>
  <c r="AP582" i="5"/>
  <c r="AO582" i="5"/>
  <c r="AN582" i="5"/>
  <c r="AM582" i="5"/>
  <c r="AL582" i="5"/>
  <c r="AH582" i="5"/>
  <c r="AF582" i="5"/>
  <c r="AE582" i="5"/>
  <c r="AD582" i="5"/>
  <c r="AB582" i="5"/>
  <c r="Y582" i="5"/>
  <c r="X582" i="5"/>
  <c r="W582" i="5"/>
  <c r="V582" i="5"/>
  <c r="U582" i="5"/>
  <c r="T582" i="5"/>
  <c r="S582" i="5"/>
  <c r="R582" i="5"/>
  <c r="Q582" i="5"/>
  <c r="P582" i="5"/>
  <c r="O582" i="5"/>
  <c r="N582" i="5"/>
  <c r="M582" i="5"/>
  <c r="L582" i="5"/>
  <c r="K582" i="5"/>
  <c r="J582" i="5"/>
  <c r="I582" i="5"/>
  <c r="H582" i="5"/>
  <c r="G582" i="5"/>
  <c r="F582" i="5"/>
  <c r="E582" i="5"/>
  <c r="D582" i="5"/>
  <c r="C582" i="5"/>
  <c r="B582" i="5"/>
  <c r="A582" i="5"/>
  <c r="CS581" i="5"/>
  <c r="CM581" i="5"/>
  <c r="CG581" i="5"/>
  <c r="CF581" i="5"/>
  <c r="CE581" i="5"/>
  <c r="CD581" i="5"/>
  <c r="CC581" i="5"/>
  <c r="CB581" i="5"/>
  <c r="CA581" i="5"/>
  <c r="BY581" i="5"/>
  <c r="BX581" i="5"/>
  <c r="BW581" i="5"/>
  <c r="BV581" i="5"/>
  <c r="BU581" i="5"/>
  <c r="BQ581" i="5"/>
  <c r="BP581" i="5"/>
  <c r="BO581" i="5"/>
  <c r="BM581" i="5"/>
  <c r="BF581" i="5"/>
  <c r="BC581" i="5"/>
  <c r="AZ581" i="5"/>
  <c r="AY581" i="5"/>
  <c r="AX581" i="5"/>
  <c r="AW581" i="5"/>
  <c r="AV581" i="5"/>
  <c r="AU581" i="5"/>
  <c r="AT581" i="5"/>
  <c r="AR581" i="5"/>
  <c r="AQ581" i="5"/>
  <c r="AP581" i="5"/>
  <c r="AO581" i="5"/>
  <c r="AN581" i="5"/>
  <c r="AM581" i="5"/>
  <c r="AL581" i="5"/>
  <c r="AK581" i="5"/>
  <c r="AJ581" i="5"/>
  <c r="AI581" i="5"/>
  <c r="AH581" i="5"/>
  <c r="AF581" i="5"/>
  <c r="AE581" i="5"/>
  <c r="AD581" i="5"/>
  <c r="AB581" i="5"/>
  <c r="Y581" i="5"/>
  <c r="X581" i="5"/>
  <c r="W581" i="5"/>
  <c r="V581" i="5"/>
  <c r="U581" i="5"/>
  <c r="T581" i="5"/>
  <c r="S581" i="5"/>
  <c r="R581" i="5"/>
  <c r="Q581" i="5"/>
  <c r="P581" i="5"/>
  <c r="O581" i="5"/>
  <c r="N581" i="5"/>
  <c r="M581" i="5"/>
  <c r="L581" i="5"/>
  <c r="K581" i="5"/>
  <c r="J581" i="5"/>
  <c r="I581" i="5"/>
  <c r="H581" i="5"/>
  <c r="G581" i="5"/>
  <c r="F581" i="5"/>
  <c r="E581" i="5"/>
  <c r="D581" i="5"/>
  <c r="C581" i="5"/>
  <c r="B581" i="5"/>
  <c r="A581" i="5"/>
  <c r="CS580" i="5"/>
  <c r="CM580" i="5"/>
  <c r="CG580" i="5"/>
  <c r="CF580" i="5"/>
  <c r="CE580" i="5"/>
  <c r="CD580" i="5"/>
  <c r="CC580" i="5"/>
  <c r="CB580" i="5"/>
  <c r="CA580" i="5"/>
  <c r="BY580" i="5"/>
  <c r="BX580" i="5"/>
  <c r="BW580" i="5"/>
  <c r="BV580" i="5"/>
  <c r="BU580" i="5"/>
  <c r="BQ580" i="5"/>
  <c r="BP580" i="5"/>
  <c r="BO580" i="5"/>
  <c r="BM580" i="5"/>
  <c r="BF580" i="5"/>
  <c r="BC580" i="5"/>
  <c r="AZ580" i="5"/>
  <c r="AY580" i="5"/>
  <c r="AX580" i="5"/>
  <c r="AW580" i="5"/>
  <c r="AV580" i="5"/>
  <c r="AU580" i="5"/>
  <c r="AT580" i="5"/>
  <c r="AR580" i="5"/>
  <c r="AQ580" i="5"/>
  <c r="AP580" i="5"/>
  <c r="AO580" i="5"/>
  <c r="AN580" i="5"/>
  <c r="AM580" i="5"/>
  <c r="AL580" i="5"/>
  <c r="AK580" i="5"/>
  <c r="AJ580" i="5"/>
  <c r="AI580" i="5"/>
  <c r="AH580" i="5"/>
  <c r="AF580" i="5"/>
  <c r="AE580" i="5"/>
  <c r="AD580" i="5"/>
  <c r="AB580" i="5"/>
  <c r="Y580" i="5"/>
  <c r="X580" i="5"/>
  <c r="W580" i="5"/>
  <c r="V580" i="5"/>
  <c r="U580" i="5"/>
  <c r="T580" i="5"/>
  <c r="S580" i="5"/>
  <c r="R580" i="5"/>
  <c r="Q580" i="5"/>
  <c r="P580" i="5"/>
  <c r="O580" i="5"/>
  <c r="N580" i="5"/>
  <c r="M580" i="5"/>
  <c r="L580" i="5"/>
  <c r="K580" i="5"/>
  <c r="J580" i="5"/>
  <c r="I580" i="5"/>
  <c r="H580" i="5"/>
  <c r="G580" i="5"/>
  <c r="F580" i="5"/>
  <c r="E580" i="5"/>
  <c r="D580" i="5"/>
  <c r="C580" i="5"/>
  <c r="B580" i="5"/>
  <c r="A580" i="5"/>
  <c r="CS579" i="5"/>
  <c r="CM579" i="5"/>
  <c r="CG579" i="5"/>
  <c r="CF579" i="5"/>
  <c r="CE579" i="5"/>
  <c r="CD579" i="5"/>
  <c r="CC579" i="5"/>
  <c r="CB579" i="5"/>
  <c r="CA579" i="5"/>
  <c r="BY579" i="5"/>
  <c r="BX579" i="5"/>
  <c r="BW579" i="5"/>
  <c r="BV579" i="5"/>
  <c r="BU579" i="5"/>
  <c r="BQ579" i="5"/>
  <c r="BP579" i="5"/>
  <c r="BO579" i="5"/>
  <c r="BM579" i="5"/>
  <c r="BF579" i="5"/>
  <c r="BC579" i="5"/>
  <c r="AZ579" i="5"/>
  <c r="AY579" i="5"/>
  <c r="AX579" i="5"/>
  <c r="AW579" i="5"/>
  <c r="AV579" i="5"/>
  <c r="AU579" i="5"/>
  <c r="AT579" i="5"/>
  <c r="AR579" i="5"/>
  <c r="AQ579" i="5"/>
  <c r="AP579" i="5"/>
  <c r="AO579" i="5"/>
  <c r="AN579" i="5"/>
  <c r="AM579" i="5"/>
  <c r="AL579" i="5"/>
  <c r="AH579" i="5"/>
  <c r="AF579" i="5"/>
  <c r="AD579" i="5"/>
  <c r="AB579" i="5"/>
  <c r="Y579" i="5"/>
  <c r="X579" i="5"/>
  <c r="W579" i="5"/>
  <c r="V579" i="5"/>
  <c r="U579" i="5"/>
  <c r="T579" i="5"/>
  <c r="S579" i="5"/>
  <c r="R579" i="5"/>
  <c r="Q579" i="5"/>
  <c r="P579" i="5"/>
  <c r="O579" i="5"/>
  <c r="N579" i="5"/>
  <c r="M579" i="5"/>
  <c r="L579" i="5"/>
  <c r="K579" i="5"/>
  <c r="J579" i="5"/>
  <c r="I579" i="5"/>
  <c r="H579" i="5"/>
  <c r="G579" i="5"/>
  <c r="F579" i="5"/>
  <c r="E579" i="5"/>
  <c r="D579" i="5"/>
  <c r="C579" i="5"/>
  <c r="B579" i="5"/>
  <c r="A579" i="5"/>
  <c r="CS578" i="5"/>
  <c r="CM578" i="5"/>
  <c r="CG578" i="5"/>
  <c r="CF578" i="5"/>
  <c r="CE578" i="5"/>
  <c r="CD578" i="5"/>
  <c r="CC578" i="5"/>
  <c r="CB578" i="5"/>
  <c r="CA578" i="5"/>
  <c r="BY578" i="5"/>
  <c r="BX578" i="5"/>
  <c r="BW578" i="5"/>
  <c r="BV578" i="5"/>
  <c r="BU578" i="5"/>
  <c r="BQ578" i="5"/>
  <c r="BP578" i="5"/>
  <c r="BO578" i="5"/>
  <c r="BM578" i="5"/>
  <c r="BF578" i="5"/>
  <c r="BC578" i="5"/>
  <c r="AZ578" i="5"/>
  <c r="AY578" i="5"/>
  <c r="AX578" i="5"/>
  <c r="AW578" i="5"/>
  <c r="AV578" i="5"/>
  <c r="AU578" i="5"/>
  <c r="AT578" i="5"/>
  <c r="AR578" i="5"/>
  <c r="AQ578" i="5"/>
  <c r="AP578" i="5"/>
  <c r="AO578" i="5"/>
  <c r="AN578" i="5"/>
  <c r="AM578" i="5"/>
  <c r="AL578" i="5"/>
  <c r="AH578" i="5"/>
  <c r="AF578" i="5"/>
  <c r="AD578" i="5"/>
  <c r="AB578" i="5"/>
  <c r="Y578" i="5"/>
  <c r="X578" i="5"/>
  <c r="W578" i="5"/>
  <c r="V578" i="5"/>
  <c r="U578" i="5"/>
  <c r="T578" i="5"/>
  <c r="S578" i="5"/>
  <c r="R578" i="5"/>
  <c r="Q578" i="5"/>
  <c r="P578" i="5"/>
  <c r="O578" i="5"/>
  <c r="N578" i="5"/>
  <c r="M578" i="5"/>
  <c r="L578" i="5"/>
  <c r="K578" i="5"/>
  <c r="J578" i="5"/>
  <c r="I578" i="5"/>
  <c r="H578" i="5"/>
  <c r="G578" i="5"/>
  <c r="F578" i="5"/>
  <c r="E578" i="5"/>
  <c r="D578" i="5"/>
  <c r="C578" i="5"/>
  <c r="B578" i="5"/>
  <c r="A578" i="5"/>
  <c r="CS577" i="5"/>
  <c r="CM577" i="5"/>
  <c r="CG577" i="5"/>
  <c r="CF577" i="5"/>
  <c r="CE577" i="5"/>
  <c r="CD577" i="5"/>
  <c r="CC577" i="5"/>
  <c r="CB577" i="5"/>
  <c r="CA577" i="5"/>
  <c r="BY577" i="5"/>
  <c r="BX577" i="5"/>
  <c r="BW577" i="5"/>
  <c r="BV577" i="5"/>
  <c r="BU577" i="5"/>
  <c r="BQ577" i="5"/>
  <c r="BP577" i="5"/>
  <c r="BO577" i="5"/>
  <c r="BN577" i="5"/>
  <c r="BM577" i="5"/>
  <c r="BF577" i="5"/>
  <c r="BD577" i="5"/>
  <c r="BC577" i="5"/>
  <c r="AZ577" i="5"/>
  <c r="AY577" i="5"/>
  <c r="AX577" i="5"/>
  <c r="AW577" i="5"/>
  <c r="AV577" i="5"/>
  <c r="AU577" i="5"/>
  <c r="AT577" i="5"/>
  <c r="AR577" i="5"/>
  <c r="AQ577" i="5"/>
  <c r="AP577" i="5"/>
  <c r="AO577" i="5"/>
  <c r="AN577" i="5"/>
  <c r="AM577" i="5"/>
  <c r="AL577" i="5"/>
  <c r="AH577" i="5"/>
  <c r="AF577" i="5"/>
  <c r="AE577" i="5"/>
  <c r="AD577" i="5"/>
  <c r="AB577" i="5"/>
  <c r="Y577" i="5"/>
  <c r="X577" i="5"/>
  <c r="W577" i="5"/>
  <c r="V577" i="5"/>
  <c r="U577" i="5"/>
  <c r="T577" i="5"/>
  <c r="S577" i="5"/>
  <c r="R577" i="5"/>
  <c r="Q577" i="5"/>
  <c r="P577" i="5"/>
  <c r="O577" i="5"/>
  <c r="N577" i="5"/>
  <c r="M577" i="5"/>
  <c r="L577" i="5"/>
  <c r="K577" i="5"/>
  <c r="J577" i="5"/>
  <c r="I577" i="5"/>
  <c r="H577" i="5"/>
  <c r="G577" i="5"/>
  <c r="F577" i="5"/>
  <c r="E577" i="5"/>
  <c r="D577" i="5"/>
  <c r="C577" i="5"/>
  <c r="B577" i="5"/>
  <c r="A577" i="5"/>
  <c r="CS576" i="5"/>
  <c r="CM576" i="5"/>
  <c r="CG576" i="5"/>
  <c r="CF576" i="5"/>
  <c r="CE576" i="5"/>
  <c r="CD576" i="5"/>
  <c r="CC576" i="5"/>
  <c r="CB576" i="5"/>
  <c r="CA576" i="5"/>
  <c r="BY576" i="5"/>
  <c r="BX576" i="5"/>
  <c r="BW576" i="5"/>
  <c r="BV576" i="5"/>
  <c r="BU576" i="5"/>
  <c r="BQ576" i="5"/>
  <c r="BP576" i="5"/>
  <c r="BO576" i="5"/>
  <c r="BM576" i="5"/>
  <c r="BF576" i="5"/>
  <c r="BC576" i="5"/>
  <c r="AY576" i="5"/>
  <c r="AX576" i="5"/>
  <c r="AW576" i="5"/>
  <c r="AV576" i="5"/>
  <c r="AU576" i="5"/>
  <c r="AT576" i="5"/>
  <c r="AR576" i="5"/>
  <c r="AQ576" i="5"/>
  <c r="AP576" i="5"/>
  <c r="AO576" i="5"/>
  <c r="AN576" i="5"/>
  <c r="AM576" i="5"/>
  <c r="AL576" i="5"/>
  <c r="AH576" i="5"/>
  <c r="AF576" i="5"/>
  <c r="AE576" i="5"/>
  <c r="AD576" i="5"/>
  <c r="AB576" i="5"/>
  <c r="Y576" i="5"/>
  <c r="X576" i="5"/>
  <c r="W576" i="5"/>
  <c r="V576" i="5"/>
  <c r="U576" i="5"/>
  <c r="T576" i="5"/>
  <c r="S576" i="5"/>
  <c r="R576" i="5"/>
  <c r="Q576" i="5"/>
  <c r="P576" i="5"/>
  <c r="O576" i="5"/>
  <c r="N576" i="5"/>
  <c r="M576" i="5"/>
  <c r="L576" i="5"/>
  <c r="K576" i="5"/>
  <c r="J576" i="5"/>
  <c r="I576" i="5"/>
  <c r="H576" i="5"/>
  <c r="G576" i="5"/>
  <c r="F576" i="5"/>
  <c r="E576" i="5"/>
  <c r="D576" i="5"/>
  <c r="C576" i="5"/>
  <c r="B576" i="5"/>
  <c r="A576" i="5"/>
  <c r="CS575" i="5"/>
  <c r="CM575" i="5"/>
  <c r="CG575" i="5"/>
  <c r="CF575" i="5"/>
  <c r="CE575" i="5"/>
  <c r="CD575" i="5"/>
  <c r="CC575" i="5"/>
  <c r="CB575" i="5"/>
  <c r="CA575" i="5"/>
  <c r="BY575" i="5"/>
  <c r="BX575" i="5"/>
  <c r="BW575" i="5"/>
  <c r="BV575" i="5"/>
  <c r="BU575" i="5"/>
  <c r="BQ575" i="5"/>
  <c r="BP575" i="5"/>
  <c r="BO575" i="5"/>
  <c r="BM575" i="5"/>
  <c r="BF575" i="5"/>
  <c r="BC575" i="5"/>
  <c r="AY575" i="5"/>
  <c r="AX575" i="5"/>
  <c r="AW575" i="5"/>
  <c r="AV575" i="5"/>
  <c r="AU575" i="5"/>
  <c r="AT575" i="5"/>
  <c r="AR575" i="5"/>
  <c r="AQ575" i="5"/>
  <c r="AP575" i="5"/>
  <c r="AO575" i="5"/>
  <c r="AN575" i="5"/>
  <c r="AM575" i="5"/>
  <c r="AL575" i="5"/>
  <c r="AH575" i="5"/>
  <c r="AF575" i="5"/>
  <c r="AE575" i="5"/>
  <c r="AD575" i="5"/>
  <c r="AB575" i="5"/>
  <c r="Y575" i="5"/>
  <c r="X575" i="5"/>
  <c r="W575" i="5"/>
  <c r="V575" i="5"/>
  <c r="U575" i="5"/>
  <c r="T575" i="5"/>
  <c r="S575" i="5"/>
  <c r="R575" i="5"/>
  <c r="Q575" i="5"/>
  <c r="P575" i="5"/>
  <c r="O575" i="5"/>
  <c r="N575" i="5"/>
  <c r="M575" i="5"/>
  <c r="L575" i="5"/>
  <c r="K575" i="5"/>
  <c r="J575" i="5"/>
  <c r="I575" i="5"/>
  <c r="H575" i="5"/>
  <c r="G575" i="5"/>
  <c r="F575" i="5"/>
  <c r="E575" i="5"/>
  <c r="D575" i="5"/>
  <c r="C575" i="5"/>
  <c r="B575" i="5"/>
  <c r="A575" i="5"/>
  <c r="CS574" i="5"/>
  <c r="CM574" i="5"/>
  <c r="CG574" i="5"/>
  <c r="CF574" i="5"/>
  <c r="CE574" i="5"/>
  <c r="CD574" i="5"/>
  <c r="CC574" i="5"/>
  <c r="CB574" i="5"/>
  <c r="CA574" i="5"/>
  <c r="BY574" i="5"/>
  <c r="BX574" i="5"/>
  <c r="BW574" i="5"/>
  <c r="BV574" i="5"/>
  <c r="BU574" i="5"/>
  <c r="BQ574" i="5"/>
  <c r="BP574" i="5"/>
  <c r="BO574" i="5"/>
  <c r="BN574" i="5"/>
  <c r="BM574" i="5"/>
  <c r="BF574" i="5"/>
  <c r="BC574" i="5"/>
  <c r="AZ574" i="5"/>
  <c r="AY574" i="5"/>
  <c r="AX574" i="5"/>
  <c r="AW574" i="5"/>
  <c r="AV574" i="5"/>
  <c r="AU574" i="5"/>
  <c r="AT574" i="5"/>
  <c r="AR574" i="5"/>
  <c r="AQ574" i="5"/>
  <c r="AP574" i="5"/>
  <c r="AO574" i="5"/>
  <c r="AN574" i="5"/>
  <c r="AM574" i="5"/>
  <c r="AL574" i="5"/>
  <c r="AH574" i="5"/>
  <c r="AF574" i="5"/>
  <c r="AE574" i="5"/>
  <c r="AD574" i="5"/>
  <c r="AB574" i="5"/>
  <c r="Z574" i="5"/>
  <c r="Y574" i="5"/>
  <c r="X574" i="5"/>
  <c r="W574" i="5"/>
  <c r="V574" i="5"/>
  <c r="U574" i="5"/>
  <c r="T574" i="5"/>
  <c r="S574" i="5"/>
  <c r="R574" i="5"/>
  <c r="Q574" i="5"/>
  <c r="P574" i="5"/>
  <c r="O574" i="5"/>
  <c r="N574" i="5"/>
  <c r="M574" i="5"/>
  <c r="L574" i="5"/>
  <c r="K574" i="5"/>
  <c r="J574" i="5"/>
  <c r="I574" i="5"/>
  <c r="H574" i="5"/>
  <c r="G574" i="5"/>
  <c r="F574" i="5"/>
  <c r="E574" i="5"/>
  <c r="D574" i="5"/>
  <c r="C574" i="5"/>
  <c r="B574" i="5"/>
  <c r="A574" i="5"/>
  <c r="CS573" i="5"/>
  <c r="CM573" i="5"/>
  <c r="CG573" i="5"/>
  <c r="CF573" i="5"/>
  <c r="CE573" i="5"/>
  <c r="CD573" i="5"/>
  <c r="CC573" i="5"/>
  <c r="CB573" i="5"/>
  <c r="CA573" i="5"/>
  <c r="BY573" i="5"/>
  <c r="BW573" i="5"/>
  <c r="BV573" i="5"/>
  <c r="BU573" i="5"/>
  <c r="BQ573" i="5"/>
  <c r="BP573" i="5"/>
  <c r="BO573" i="5"/>
  <c r="BN573" i="5"/>
  <c r="BM573" i="5"/>
  <c r="BF573" i="5"/>
  <c r="BC573" i="5"/>
  <c r="AZ573" i="5"/>
  <c r="AY573" i="5"/>
  <c r="AX573" i="5"/>
  <c r="AW573" i="5"/>
  <c r="AV573" i="5"/>
  <c r="AU573" i="5"/>
  <c r="AT573" i="5"/>
  <c r="AR573" i="5"/>
  <c r="AQ573" i="5"/>
  <c r="AP573" i="5"/>
  <c r="AO573" i="5"/>
  <c r="AN573" i="5"/>
  <c r="AM573" i="5"/>
  <c r="AL573" i="5"/>
  <c r="AH573" i="5"/>
  <c r="AF573" i="5"/>
  <c r="AE573" i="5"/>
  <c r="AD573" i="5"/>
  <c r="AB573" i="5"/>
  <c r="Y573" i="5"/>
  <c r="X573" i="5"/>
  <c r="W573" i="5"/>
  <c r="V573" i="5"/>
  <c r="U573" i="5"/>
  <c r="T573" i="5"/>
  <c r="S573" i="5"/>
  <c r="R573" i="5"/>
  <c r="Q573" i="5"/>
  <c r="P573" i="5"/>
  <c r="O573" i="5"/>
  <c r="N573" i="5"/>
  <c r="M573" i="5"/>
  <c r="L573" i="5"/>
  <c r="K573" i="5"/>
  <c r="J573" i="5"/>
  <c r="I573" i="5"/>
  <c r="H573" i="5"/>
  <c r="G573" i="5"/>
  <c r="F573" i="5"/>
  <c r="E573" i="5"/>
  <c r="D573" i="5"/>
  <c r="C573" i="5"/>
  <c r="B573" i="5"/>
  <c r="A573" i="5"/>
  <c r="CS572" i="5"/>
  <c r="CM572" i="5"/>
  <c r="CG572" i="5"/>
  <c r="CF572" i="5"/>
  <c r="CE572" i="5"/>
  <c r="CD572" i="5"/>
  <c r="CC572" i="5"/>
  <c r="CB572" i="5"/>
  <c r="CA572" i="5"/>
  <c r="BY572" i="5"/>
  <c r="BW572" i="5"/>
  <c r="BV572" i="5"/>
  <c r="BU572" i="5"/>
  <c r="BQ572" i="5"/>
  <c r="BP572" i="5"/>
  <c r="BO572" i="5"/>
  <c r="BN572" i="5"/>
  <c r="BM572" i="5"/>
  <c r="BL572" i="5"/>
  <c r="BG572" i="5"/>
  <c r="BF572" i="5"/>
  <c r="BC572" i="5"/>
  <c r="AZ572" i="5"/>
  <c r="AY572" i="5"/>
  <c r="AX572" i="5"/>
  <c r="AW572" i="5"/>
  <c r="AV572" i="5"/>
  <c r="AU572" i="5"/>
  <c r="AT572" i="5"/>
  <c r="AR572" i="5"/>
  <c r="AQ572" i="5"/>
  <c r="AP572" i="5"/>
  <c r="AO572" i="5"/>
  <c r="AN572" i="5"/>
  <c r="AM572" i="5"/>
  <c r="AL572" i="5"/>
  <c r="AH572" i="5"/>
  <c r="AF572" i="5"/>
  <c r="AE572" i="5"/>
  <c r="AD572" i="5"/>
  <c r="AB572" i="5"/>
  <c r="Y572" i="5"/>
  <c r="X572" i="5"/>
  <c r="W572" i="5"/>
  <c r="V572" i="5"/>
  <c r="U572" i="5"/>
  <c r="T572" i="5"/>
  <c r="S572" i="5"/>
  <c r="R572" i="5"/>
  <c r="Q572" i="5"/>
  <c r="P572" i="5"/>
  <c r="O572" i="5"/>
  <c r="N572" i="5"/>
  <c r="M572" i="5"/>
  <c r="L572" i="5"/>
  <c r="K572" i="5"/>
  <c r="J572" i="5"/>
  <c r="I572" i="5"/>
  <c r="H572" i="5"/>
  <c r="G572" i="5"/>
  <c r="F572" i="5"/>
  <c r="E572" i="5"/>
  <c r="D572" i="5"/>
  <c r="C572" i="5"/>
  <c r="B572" i="5"/>
  <c r="A572" i="5"/>
  <c r="CS571" i="5"/>
  <c r="CM571" i="5"/>
  <c r="CG571" i="5"/>
  <c r="CF571" i="5"/>
  <c r="CE571" i="5"/>
  <c r="CD571" i="5"/>
  <c r="CC571" i="5"/>
  <c r="CB571" i="5"/>
  <c r="CA571" i="5"/>
  <c r="BY571" i="5"/>
  <c r="BX571" i="5"/>
  <c r="BW571" i="5"/>
  <c r="BV571" i="5"/>
  <c r="BU571" i="5"/>
  <c r="BQ571" i="5"/>
  <c r="BP571" i="5"/>
  <c r="BO571" i="5"/>
  <c r="BN571" i="5"/>
  <c r="BM571" i="5"/>
  <c r="BF571" i="5"/>
  <c r="BC571" i="5"/>
  <c r="AZ571" i="5"/>
  <c r="AY571" i="5"/>
  <c r="AX571" i="5"/>
  <c r="AW571" i="5"/>
  <c r="AV571" i="5"/>
  <c r="AU571" i="5"/>
  <c r="AT571" i="5"/>
  <c r="AR571" i="5"/>
  <c r="AQ571" i="5"/>
  <c r="AP571" i="5"/>
  <c r="AO571" i="5"/>
  <c r="AN571" i="5"/>
  <c r="AM571" i="5"/>
  <c r="AL571" i="5"/>
  <c r="AH571" i="5"/>
  <c r="AF571" i="5"/>
  <c r="AD571" i="5"/>
  <c r="AB571" i="5"/>
  <c r="Y571" i="5"/>
  <c r="X571" i="5"/>
  <c r="W571" i="5"/>
  <c r="V571" i="5"/>
  <c r="U571" i="5"/>
  <c r="T571" i="5"/>
  <c r="S571" i="5"/>
  <c r="R571" i="5"/>
  <c r="Q571" i="5"/>
  <c r="P571" i="5"/>
  <c r="O571" i="5"/>
  <c r="N571" i="5"/>
  <c r="M571" i="5"/>
  <c r="L571" i="5"/>
  <c r="K571" i="5"/>
  <c r="J571" i="5"/>
  <c r="I571" i="5"/>
  <c r="H571" i="5"/>
  <c r="G571" i="5"/>
  <c r="F571" i="5"/>
  <c r="E571" i="5"/>
  <c r="D571" i="5"/>
  <c r="C571" i="5"/>
  <c r="B571" i="5"/>
  <c r="A571" i="5"/>
  <c r="CS570" i="5"/>
  <c r="CM570" i="5"/>
  <c r="CG570" i="5"/>
  <c r="CF570" i="5"/>
  <c r="CE570" i="5"/>
  <c r="CD570" i="5"/>
  <c r="CC570" i="5"/>
  <c r="CB570" i="5"/>
  <c r="CA570" i="5"/>
  <c r="BY570" i="5"/>
  <c r="BX570" i="5"/>
  <c r="BW570" i="5"/>
  <c r="BV570" i="5"/>
  <c r="BU570" i="5"/>
  <c r="BQ570" i="5"/>
  <c r="BP570" i="5"/>
  <c r="BO570" i="5"/>
  <c r="BM570" i="5"/>
  <c r="BF570" i="5"/>
  <c r="BC570" i="5"/>
  <c r="AZ570" i="5"/>
  <c r="AY570" i="5"/>
  <c r="AX570" i="5"/>
  <c r="AW570" i="5"/>
  <c r="AV570" i="5"/>
  <c r="AU570" i="5"/>
  <c r="AT570" i="5"/>
  <c r="AR570" i="5"/>
  <c r="AQ570" i="5"/>
  <c r="AP570" i="5"/>
  <c r="AO570" i="5"/>
  <c r="AN570" i="5"/>
  <c r="AM570" i="5"/>
  <c r="AL570" i="5"/>
  <c r="AH570" i="5"/>
  <c r="AF570" i="5"/>
  <c r="AD570" i="5"/>
  <c r="AB570" i="5"/>
  <c r="Y570" i="5"/>
  <c r="X570" i="5"/>
  <c r="W570" i="5"/>
  <c r="V570" i="5"/>
  <c r="U570" i="5"/>
  <c r="T570" i="5"/>
  <c r="S570" i="5"/>
  <c r="R570" i="5"/>
  <c r="Q570" i="5"/>
  <c r="P570" i="5"/>
  <c r="O570" i="5"/>
  <c r="N570" i="5"/>
  <c r="M570" i="5"/>
  <c r="L570" i="5"/>
  <c r="K570" i="5"/>
  <c r="J570" i="5"/>
  <c r="I570" i="5"/>
  <c r="H570" i="5"/>
  <c r="G570" i="5"/>
  <c r="F570" i="5"/>
  <c r="E570" i="5"/>
  <c r="D570" i="5"/>
  <c r="C570" i="5"/>
  <c r="B570" i="5"/>
  <c r="A570" i="5"/>
  <c r="CS569" i="5"/>
  <c r="CM569" i="5"/>
  <c r="CG569" i="5"/>
  <c r="CF569" i="5"/>
  <c r="CE569" i="5"/>
  <c r="CD569" i="5"/>
  <c r="CC569" i="5"/>
  <c r="CB569" i="5"/>
  <c r="CA569" i="5"/>
  <c r="BY569" i="5"/>
  <c r="BX569" i="5"/>
  <c r="BW569" i="5"/>
  <c r="BV569" i="5"/>
  <c r="BU569" i="5"/>
  <c r="BQ569" i="5"/>
  <c r="BP569" i="5"/>
  <c r="BO569" i="5"/>
  <c r="BM569" i="5"/>
  <c r="BF569" i="5"/>
  <c r="BC569" i="5"/>
  <c r="AY569" i="5"/>
  <c r="AX569" i="5"/>
  <c r="AW569" i="5"/>
  <c r="AV569" i="5"/>
  <c r="AU569" i="5"/>
  <c r="AT569" i="5"/>
  <c r="AR569" i="5"/>
  <c r="AQ569" i="5"/>
  <c r="AP569" i="5"/>
  <c r="AO569" i="5"/>
  <c r="AN569" i="5"/>
  <c r="AM569" i="5"/>
  <c r="AL569" i="5"/>
  <c r="AH569" i="5"/>
  <c r="AF569" i="5"/>
  <c r="AD569" i="5"/>
  <c r="AB569" i="5"/>
  <c r="Y569" i="5"/>
  <c r="X569" i="5"/>
  <c r="W569" i="5"/>
  <c r="V569" i="5"/>
  <c r="U569" i="5"/>
  <c r="T569" i="5"/>
  <c r="S569" i="5"/>
  <c r="R569" i="5"/>
  <c r="Q569" i="5"/>
  <c r="P569" i="5"/>
  <c r="O569" i="5"/>
  <c r="N569" i="5"/>
  <c r="M569" i="5"/>
  <c r="L569" i="5"/>
  <c r="K569" i="5"/>
  <c r="J569" i="5"/>
  <c r="I569" i="5"/>
  <c r="H569" i="5"/>
  <c r="G569" i="5"/>
  <c r="F569" i="5"/>
  <c r="E569" i="5"/>
  <c r="D569" i="5"/>
  <c r="C569" i="5"/>
  <c r="B569" i="5"/>
  <c r="A569" i="5"/>
  <c r="CS568" i="5"/>
  <c r="CM568" i="5"/>
  <c r="CG568" i="5"/>
  <c r="CF568" i="5"/>
  <c r="CE568" i="5"/>
  <c r="CD568" i="5"/>
  <c r="CC568" i="5"/>
  <c r="CB568" i="5"/>
  <c r="CA568" i="5"/>
  <c r="BY568" i="5"/>
  <c r="BX568" i="5"/>
  <c r="BW568" i="5"/>
  <c r="BV568" i="5"/>
  <c r="BU568" i="5"/>
  <c r="BQ568" i="5"/>
  <c r="BP568" i="5"/>
  <c r="BO568" i="5"/>
  <c r="BM568" i="5"/>
  <c r="BF568" i="5"/>
  <c r="BC568" i="5"/>
  <c r="AY568" i="5"/>
  <c r="AX568" i="5"/>
  <c r="AW568" i="5"/>
  <c r="AV568" i="5"/>
  <c r="AU568" i="5"/>
  <c r="AT568" i="5"/>
  <c r="AR568" i="5"/>
  <c r="AQ568" i="5"/>
  <c r="AP568" i="5"/>
  <c r="AO568" i="5"/>
  <c r="AN568" i="5"/>
  <c r="AM568" i="5"/>
  <c r="AL568" i="5"/>
  <c r="AH568" i="5"/>
  <c r="AF568" i="5"/>
  <c r="AD568" i="5"/>
  <c r="AB568" i="5"/>
  <c r="Y568" i="5"/>
  <c r="X568" i="5"/>
  <c r="W568" i="5"/>
  <c r="V568" i="5"/>
  <c r="U568" i="5"/>
  <c r="T568" i="5"/>
  <c r="S568" i="5"/>
  <c r="R568" i="5"/>
  <c r="Q568" i="5"/>
  <c r="P568" i="5"/>
  <c r="O568" i="5"/>
  <c r="N568" i="5"/>
  <c r="M568" i="5"/>
  <c r="L568" i="5"/>
  <c r="K568" i="5"/>
  <c r="J568" i="5"/>
  <c r="I568" i="5"/>
  <c r="H568" i="5"/>
  <c r="G568" i="5"/>
  <c r="F568" i="5"/>
  <c r="E568" i="5"/>
  <c r="D568" i="5"/>
  <c r="C568" i="5"/>
  <c r="B568" i="5"/>
  <c r="A568" i="5"/>
  <c r="CS567" i="5"/>
  <c r="CM567" i="5"/>
  <c r="CG567" i="5"/>
  <c r="CF567" i="5"/>
  <c r="CE567" i="5"/>
  <c r="CD567" i="5"/>
  <c r="CC567" i="5"/>
  <c r="CB567" i="5"/>
  <c r="CA567" i="5"/>
  <c r="BY567" i="5"/>
  <c r="BW567" i="5"/>
  <c r="BV567" i="5"/>
  <c r="BU567" i="5"/>
  <c r="BQ567" i="5"/>
  <c r="BP567" i="5"/>
  <c r="BO567" i="5"/>
  <c r="BM567" i="5"/>
  <c r="BF567" i="5"/>
  <c r="BC567" i="5"/>
  <c r="AY567" i="5"/>
  <c r="AX567" i="5"/>
  <c r="AW567" i="5"/>
  <c r="AV567" i="5"/>
  <c r="AU567" i="5"/>
  <c r="AT567" i="5"/>
  <c r="AR567" i="5"/>
  <c r="AQ567" i="5"/>
  <c r="AP567" i="5"/>
  <c r="AO567" i="5"/>
  <c r="AN567" i="5"/>
  <c r="AM567" i="5"/>
  <c r="AL567" i="5"/>
  <c r="AH567" i="5"/>
  <c r="AF567" i="5"/>
  <c r="AD567" i="5"/>
  <c r="AB567" i="5"/>
  <c r="Y567" i="5"/>
  <c r="X567" i="5"/>
  <c r="W567" i="5"/>
  <c r="V567" i="5"/>
  <c r="U567" i="5"/>
  <c r="T567" i="5"/>
  <c r="S567" i="5"/>
  <c r="R567" i="5"/>
  <c r="Q567" i="5"/>
  <c r="P567" i="5"/>
  <c r="O567" i="5"/>
  <c r="N567" i="5"/>
  <c r="M567" i="5"/>
  <c r="L567" i="5"/>
  <c r="K567" i="5"/>
  <c r="J567" i="5"/>
  <c r="I567" i="5"/>
  <c r="H567" i="5"/>
  <c r="G567" i="5"/>
  <c r="F567" i="5"/>
  <c r="E567" i="5"/>
  <c r="D567" i="5"/>
  <c r="C567" i="5"/>
  <c r="B567" i="5"/>
  <c r="A567" i="5"/>
  <c r="CS566" i="5"/>
  <c r="CM566" i="5"/>
  <c r="CG566" i="5"/>
  <c r="CF566" i="5"/>
  <c r="CE566" i="5"/>
  <c r="CD566" i="5"/>
  <c r="CC566" i="5"/>
  <c r="CB566" i="5"/>
  <c r="CA566" i="5"/>
  <c r="BY566" i="5"/>
  <c r="BW566" i="5"/>
  <c r="BV566" i="5"/>
  <c r="BU566" i="5"/>
  <c r="BQ566" i="5"/>
  <c r="BP566" i="5"/>
  <c r="BO566" i="5"/>
  <c r="BM566" i="5"/>
  <c r="BF566" i="5"/>
  <c r="BC566" i="5"/>
  <c r="AY566" i="5"/>
  <c r="AX566" i="5"/>
  <c r="AW566" i="5"/>
  <c r="AV566" i="5"/>
  <c r="AU566" i="5"/>
  <c r="AT566" i="5"/>
  <c r="AR566" i="5"/>
  <c r="AQ566" i="5"/>
  <c r="AP566" i="5"/>
  <c r="AO566" i="5"/>
  <c r="AN566" i="5"/>
  <c r="AM566" i="5"/>
  <c r="AL566" i="5"/>
  <c r="AH566" i="5"/>
  <c r="AF566" i="5"/>
  <c r="AD566" i="5"/>
  <c r="AB566" i="5"/>
  <c r="Y566" i="5"/>
  <c r="X566" i="5"/>
  <c r="W566" i="5"/>
  <c r="V566" i="5"/>
  <c r="U566" i="5"/>
  <c r="T566" i="5"/>
  <c r="S566" i="5"/>
  <c r="R566" i="5"/>
  <c r="Q566" i="5"/>
  <c r="P566" i="5"/>
  <c r="O566" i="5"/>
  <c r="N566" i="5"/>
  <c r="M566" i="5"/>
  <c r="L566" i="5"/>
  <c r="K566" i="5"/>
  <c r="J566" i="5"/>
  <c r="I566" i="5"/>
  <c r="H566" i="5"/>
  <c r="G566" i="5"/>
  <c r="F566" i="5"/>
  <c r="E566" i="5"/>
  <c r="D566" i="5"/>
  <c r="C566" i="5"/>
  <c r="B566" i="5"/>
  <c r="A566" i="5"/>
  <c r="CS565" i="5"/>
  <c r="CM565" i="5"/>
  <c r="CG565" i="5"/>
  <c r="CF565" i="5"/>
  <c r="CE565" i="5"/>
  <c r="CD565" i="5"/>
  <c r="CC565" i="5"/>
  <c r="CB565" i="5"/>
  <c r="CA565" i="5"/>
  <c r="BY565" i="5"/>
  <c r="BW565" i="5"/>
  <c r="BV565" i="5"/>
  <c r="BU565" i="5"/>
  <c r="BQ565" i="5"/>
  <c r="BP565" i="5"/>
  <c r="BO565" i="5"/>
  <c r="BM565" i="5"/>
  <c r="BF565" i="5"/>
  <c r="BC565" i="5"/>
  <c r="AY565" i="5"/>
  <c r="AX565" i="5"/>
  <c r="AW565" i="5"/>
  <c r="AV565" i="5"/>
  <c r="AU565" i="5"/>
  <c r="AT565" i="5"/>
  <c r="AR565" i="5"/>
  <c r="AQ565" i="5"/>
  <c r="AP565" i="5"/>
  <c r="AO565" i="5"/>
  <c r="AN565" i="5"/>
  <c r="AM565" i="5"/>
  <c r="AL565" i="5"/>
  <c r="AH565" i="5"/>
  <c r="AF565" i="5"/>
  <c r="AD565" i="5"/>
  <c r="AB565" i="5"/>
  <c r="Y565" i="5"/>
  <c r="X565" i="5"/>
  <c r="W565" i="5"/>
  <c r="V565" i="5"/>
  <c r="U565" i="5"/>
  <c r="T565" i="5"/>
  <c r="S565" i="5"/>
  <c r="R565" i="5"/>
  <c r="Q565" i="5"/>
  <c r="P565" i="5"/>
  <c r="O565" i="5"/>
  <c r="N565" i="5"/>
  <c r="M565" i="5"/>
  <c r="L565" i="5"/>
  <c r="K565" i="5"/>
  <c r="J565" i="5"/>
  <c r="I565" i="5"/>
  <c r="H565" i="5"/>
  <c r="G565" i="5"/>
  <c r="F565" i="5"/>
  <c r="E565" i="5"/>
  <c r="D565" i="5"/>
  <c r="C565" i="5"/>
  <c r="B565" i="5"/>
  <c r="A565" i="5"/>
  <c r="CS564" i="5"/>
  <c r="CM564" i="5"/>
  <c r="CG564" i="5"/>
  <c r="CF564" i="5"/>
  <c r="CE564" i="5"/>
  <c r="CD564" i="5"/>
  <c r="CC564" i="5"/>
  <c r="CB564" i="5"/>
  <c r="CA564" i="5"/>
  <c r="BY564" i="5"/>
  <c r="BX564" i="5"/>
  <c r="BW564" i="5"/>
  <c r="BV564" i="5"/>
  <c r="BU564" i="5"/>
  <c r="BQ564" i="5"/>
  <c r="BP564" i="5"/>
  <c r="BO564" i="5"/>
  <c r="BM564" i="5"/>
  <c r="BF564" i="5"/>
  <c r="BC564" i="5"/>
  <c r="AY564" i="5"/>
  <c r="AX564" i="5"/>
  <c r="AW564" i="5"/>
  <c r="AV564" i="5"/>
  <c r="AU564" i="5"/>
  <c r="AT564" i="5"/>
  <c r="AR564" i="5"/>
  <c r="AQ564" i="5"/>
  <c r="AP564" i="5"/>
  <c r="AO564" i="5"/>
  <c r="AN564" i="5"/>
  <c r="AM564" i="5"/>
  <c r="AL564" i="5"/>
  <c r="AH564" i="5"/>
  <c r="AF564" i="5"/>
  <c r="AD564" i="5"/>
  <c r="AB564" i="5"/>
  <c r="Y564" i="5"/>
  <c r="X564" i="5"/>
  <c r="W564" i="5"/>
  <c r="V564" i="5"/>
  <c r="U564" i="5"/>
  <c r="T564" i="5"/>
  <c r="S564" i="5"/>
  <c r="R564" i="5"/>
  <c r="Q564" i="5"/>
  <c r="P564" i="5"/>
  <c r="O564" i="5"/>
  <c r="N564" i="5"/>
  <c r="M564" i="5"/>
  <c r="L564" i="5"/>
  <c r="K564" i="5"/>
  <c r="J564" i="5"/>
  <c r="I564" i="5"/>
  <c r="H564" i="5"/>
  <c r="G564" i="5"/>
  <c r="F564" i="5"/>
  <c r="E564" i="5"/>
  <c r="D564" i="5"/>
  <c r="C564" i="5"/>
  <c r="B564" i="5"/>
  <c r="A564" i="5"/>
  <c r="CS563" i="5"/>
  <c r="CM563" i="5"/>
  <c r="CG563" i="5"/>
  <c r="CF563" i="5"/>
  <c r="CE563" i="5"/>
  <c r="CD563" i="5"/>
  <c r="CC563" i="5"/>
  <c r="CB563" i="5"/>
  <c r="CA563" i="5"/>
  <c r="BY563" i="5"/>
  <c r="BW563" i="5"/>
  <c r="BV563" i="5"/>
  <c r="BU563" i="5"/>
  <c r="BQ563" i="5"/>
  <c r="BP563" i="5"/>
  <c r="BO563" i="5"/>
  <c r="BM563" i="5"/>
  <c r="BF563" i="5"/>
  <c r="BC563" i="5"/>
  <c r="AY563" i="5"/>
  <c r="AX563" i="5"/>
  <c r="AW563" i="5"/>
  <c r="AV563" i="5"/>
  <c r="AU563" i="5"/>
  <c r="AT563" i="5"/>
  <c r="AR563" i="5"/>
  <c r="AQ563" i="5"/>
  <c r="AP563" i="5"/>
  <c r="AO563" i="5"/>
  <c r="AN563" i="5"/>
  <c r="AM563" i="5"/>
  <c r="AL563" i="5"/>
  <c r="AH563" i="5"/>
  <c r="AF563" i="5"/>
  <c r="AD563" i="5"/>
  <c r="AB563" i="5"/>
  <c r="Y563" i="5"/>
  <c r="X563" i="5"/>
  <c r="W563" i="5"/>
  <c r="V563" i="5"/>
  <c r="U563" i="5"/>
  <c r="T563" i="5"/>
  <c r="S563" i="5"/>
  <c r="R563" i="5"/>
  <c r="Q563" i="5"/>
  <c r="P563" i="5"/>
  <c r="O563" i="5"/>
  <c r="N563" i="5"/>
  <c r="M563" i="5"/>
  <c r="L563" i="5"/>
  <c r="K563" i="5"/>
  <c r="J563" i="5"/>
  <c r="I563" i="5"/>
  <c r="H563" i="5"/>
  <c r="G563" i="5"/>
  <c r="F563" i="5"/>
  <c r="E563" i="5"/>
  <c r="D563" i="5"/>
  <c r="C563" i="5"/>
  <c r="B563" i="5"/>
  <c r="A563" i="5"/>
  <c r="CS562" i="5"/>
  <c r="CM562" i="5"/>
  <c r="CG562" i="5"/>
  <c r="CF562" i="5"/>
  <c r="CE562" i="5"/>
  <c r="CD562" i="5"/>
  <c r="CC562" i="5"/>
  <c r="CB562" i="5"/>
  <c r="CA562" i="5"/>
  <c r="BY562" i="5"/>
  <c r="BW562" i="5"/>
  <c r="BV562" i="5"/>
  <c r="BU562" i="5"/>
  <c r="BQ562" i="5"/>
  <c r="BP562" i="5"/>
  <c r="BO562" i="5"/>
  <c r="BM562" i="5"/>
  <c r="BF562" i="5"/>
  <c r="BC562" i="5"/>
  <c r="AY562" i="5"/>
  <c r="AX562" i="5"/>
  <c r="AW562" i="5"/>
  <c r="AV562" i="5"/>
  <c r="AU562" i="5"/>
  <c r="AT562" i="5"/>
  <c r="AR562" i="5"/>
  <c r="AQ562" i="5"/>
  <c r="AP562" i="5"/>
  <c r="AO562" i="5"/>
  <c r="AN562" i="5"/>
  <c r="AM562" i="5"/>
  <c r="AL562" i="5"/>
  <c r="AH562" i="5"/>
  <c r="AF562" i="5"/>
  <c r="AD562" i="5"/>
  <c r="AB562" i="5"/>
  <c r="Y562" i="5"/>
  <c r="X562" i="5"/>
  <c r="W562" i="5"/>
  <c r="V562" i="5"/>
  <c r="U562" i="5"/>
  <c r="T562" i="5"/>
  <c r="S562" i="5"/>
  <c r="R562" i="5"/>
  <c r="Q562" i="5"/>
  <c r="P562" i="5"/>
  <c r="O562" i="5"/>
  <c r="N562" i="5"/>
  <c r="M562" i="5"/>
  <c r="L562" i="5"/>
  <c r="K562" i="5"/>
  <c r="J562" i="5"/>
  <c r="I562" i="5"/>
  <c r="H562" i="5"/>
  <c r="G562" i="5"/>
  <c r="F562" i="5"/>
  <c r="E562" i="5"/>
  <c r="D562" i="5"/>
  <c r="C562" i="5"/>
  <c r="B562" i="5"/>
  <c r="A562" i="5"/>
  <c r="CS561" i="5"/>
  <c r="CM561" i="5"/>
  <c r="CG561" i="5"/>
  <c r="CF561" i="5"/>
  <c r="CE561" i="5"/>
  <c r="CD561" i="5"/>
  <c r="CC561" i="5"/>
  <c r="CB561" i="5"/>
  <c r="CA561" i="5"/>
  <c r="BY561" i="5"/>
  <c r="BW561" i="5"/>
  <c r="BV561" i="5"/>
  <c r="BU561" i="5"/>
  <c r="BQ561" i="5"/>
  <c r="BP561" i="5"/>
  <c r="BO561" i="5"/>
  <c r="BM561" i="5"/>
  <c r="BF561" i="5"/>
  <c r="BC561" i="5"/>
  <c r="AY561" i="5"/>
  <c r="AX561" i="5"/>
  <c r="AW561" i="5"/>
  <c r="AV561" i="5"/>
  <c r="AU561" i="5"/>
  <c r="AT561" i="5"/>
  <c r="AR561" i="5"/>
  <c r="AQ561" i="5"/>
  <c r="AP561" i="5"/>
  <c r="AO561" i="5"/>
  <c r="AN561" i="5"/>
  <c r="AM561" i="5"/>
  <c r="AL561" i="5"/>
  <c r="AH561" i="5"/>
  <c r="AF561" i="5"/>
  <c r="AD561" i="5"/>
  <c r="AB561" i="5"/>
  <c r="Y561" i="5"/>
  <c r="X561" i="5"/>
  <c r="W561" i="5"/>
  <c r="V561" i="5"/>
  <c r="U561" i="5"/>
  <c r="T561" i="5"/>
  <c r="S561" i="5"/>
  <c r="R561" i="5"/>
  <c r="Q561" i="5"/>
  <c r="P561" i="5"/>
  <c r="O561" i="5"/>
  <c r="N561" i="5"/>
  <c r="M561" i="5"/>
  <c r="L561" i="5"/>
  <c r="K561" i="5"/>
  <c r="J561" i="5"/>
  <c r="I561" i="5"/>
  <c r="H561" i="5"/>
  <c r="G561" i="5"/>
  <c r="F561" i="5"/>
  <c r="E561" i="5"/>
  <c r="D561" i="5"/>
  <c r="C561" i="5"/>
  <c r="B561" i="5"/>
  <c r="A561" i="5"/>
  <c r="CS560" i="5"/>
  <c r="CM560" i="5"/>
  <c r="CG560" i="5"/>
  <c r="CF560" i="5"/>
  <c r="CE560" i="5"/>
  <c r="CD560" i="5"/>
  <c r="CC560" i="5"/>
  <c r="CB560" i="5"/>
  <c r="CA560" i="5"/>
  <c r="BY560" i="5"/>
  <c r="BW560" i="5"/>
  <c r="BV560" i="5"/>
  <c r="BU560" i="5"/>
  <c r="BQ560" i="5"/>
  <c r="BP560" i="5"/>
  <c r="BO560" i="5"/>
  <c r="BM560" i="5"/>
  <c r="BF560" i="5"/>
  <c r="BC560" i="5"/>
  <c r="AY560" i="5"/>
  <c r="AX560" i="5"/>
  <c r="AW560" i="5"/>
  <c r="AV560" i="5"/>
  <c r="AU560" i="5"/>
  <c r="AT560" i="5"/>
  <c r="AR560" i="5"/>
  <c r="AQ560" i="5"/>
  <c r="AP560" i="5"/>
  <c r="AO560" i="5"/>
  <c r="AN560" i="5"/>
  <c r="AM560" i="5"/>
  <c r="AL560" i="5"/>
  <c r="AH560" i="5"/>
  <c r="AF560" i="5"/>
  <c r="AD560" i="5"/>
  <c r="AB560" i="5"/>
  <c r="Y560" i="5"/>
  <c r="X560" i="5"/>
  <c r="W560" i="5"/>
  <c r="V560" i="5"/>
  <c r="U560" i="5"/>
  <c r="T560" i="5"/>
  <c r="S560" i="5"/>
  <c r="R560" i="5"/>
  <c r="Q560" i="5"/>
  <c r="P560" i="5"/>
  <c r="O560" i="5"/>
  <c r="N560" i="5"/>
  <c r="M560" i="5"/>
  <c r="L560" i="5"/>
  <c r="K560" i="5"/>
  <c r="J560" i="5"/>
  <c r="I560" i="5"/>
  <c r="H560" i="5"/>
  <c r="G560" i="5"/>
  <c r="F560" i="5"/>
  <c r="E560" i="5"/>
  <c r="D560" i="5"/>
  <c r="C560" i="5"/>
  <c r="B560" i="5"/>
  <c r="A560" i="5"/>
  <c r="CS559" i="5"/>
  <c r="CM559" i="5"/>
  <c r="CG559" i="5"/>
  <c r="CF559" i="5"/>
  <c r="CE559" i="5"/>
  <c r="CD559" i="5"/>
  <c r="CC559" i="5"/>
  <c r="CB559" i="5"/>
  <c r="CA559" i="5"/>
  <c r="BY559" i="5"/>
  <c r="BW559" i="5"/>
  <c r="BV559" i="5"/>
  <c r="BU559" i="5"/>
  <c r="BQ559" i="5"/>
  <c r="BP559" i="5"/>
  <c r="BO559" i="5"/>
  <c r="BM559" i="5"/>
  <c r="BF559" i="5"/>
  <c r="BC559" i="5"/>
  <c r="AY559" i="5"/>
  <c r="AX559" i="5"/>
  <c r="AW559" i="5"/>
  <c r="AV559" i="5"/>
  <c r="AU559" i="5"/>
  <c r="AT559" i="5"/>
  <c r="AS559" i="5"/>
  <c r="AR559" i="5"/>
  <c r="AQ559" i="5"/>
  <c r="AP559" i="5"/>
  <c r="AO559" i="5"/>
  <c r="AN559" i="5"/>
  <c r="AM559" i="5"/>
  <c r="AL559" i="5"/>
  <c r="AH559" i="5"/>
  <c r="AF559" i="5"/>
  <c r="AD559" i="5"/>
  <c r="AB559" i="5"/>
  <c r="Z559" i="5"/>
  <c r="X559" i="5"/>
  <c r="W559" i="5"/>
  <c r="V559" i="5"/>
  <c r="U559" i="5"/>
  <c r="T559" i="5"/>
  <c r="S559" i="5"/>
  <c r="R559" i="5"/>
  <c r="Q559" i="5"/>
  <c r="P559" i="5"/>
  <c r="O559" i="5"/>
  <c r="N559" i="5"/>
  <c r="M559" i="5"/>
  <c r="L559" i="5"/>
  <c r="K559" i="5"/>
  <c r="J559" i="5"/>
  <c r="I559" i="5"/>
  <c r="H559" i="5"/>
  <c r="G559" i="5"/>
  <c r="F559" i="5"/>
  <c r="E559" i="5"/>
  <c r="D559" i="5"/>
  <c r="C559" i="5"/>
  <c r="B559" i="5"/>
  <c r="A559" i="5"/>
  <c r="CS558" i="5"/>
  <c r="CM558" i="5"/>
  <c r="CG558" i="5"/>
  <c r="CF558" i="5"/>
  <c r="CE558" i="5"/>
  <c r="CD558" i="5"/>
  <c r="CC558" i="5"/>
  <c r="CB558" i="5"/>
  <c r="CA558" i="5"/>
  <c r="BY558" i="5"/>
  <c r="BW558" i="5"/>
  <c r="BV558" i="5"/>
  <c r="BU558" i="5"/>
  <c r="BQ558" i="5"/>
  <c r="BP558" i="5"/>
  <c r="BO558" i="5"/>
  <c r="BN558" i="5"/>
  <c r="BM558" i="5"/>
  <c r="BL558" i="5"/>
  <c r="BF558" i="5"/>
  <c r="BC558" i="5"/>
  <c r="AZ558" i="5"/>
  <c r="AY558" i="5"/>
  <c r="AX558" i="5"/>
  <c r="AW558" i="5"/>
  <c r="AV558" i="5"/>
  <c r="AU558" i="5"/>
  <c r="AT558" i="5"/>
  <c r="AS558" i="5"/>
  <c r="AR558" i="5"/>
  <c r="AQ558" i="5"/>
  <c r="AP558" i="5"/>
  <c r="AO558" i="5"/>
  <c r="AN558" i="5"/>
  <c r="AM558" i="5"/>
  <c r="AL558" i="5"/>
  <c r="AH558" i="5"/>
  <c r="AF558" i="5"/>
  <c r="AD558" i="5"/>
  <c r="AB558" i="5"/>
  <c r="Z558" i="5"/>
  <c r="X558" i="5"/>
  <c r="W558" i="5"/>
  <c r="V558" i="5"/>
  <c r="U558" i="5"/>
  <c r="T558" i="5"/>
  <c r="S558" i="5"/>
  <c r="R558" i="5"/>
  <c r="Q558" i="5"/>
  <c r="P558" i="5"/>
  <c r="O558" i="5"/>
  <c r="N558" i="5"/>
  <c r="M558" i="5"/>
  <c r="L558" i="5"/>
  <c r="K558" i="5"/>
  <c r="J558" i="5"/>
  <c r="I558" i="5"/>
  <c r="H558" i="5"/>
  <c r="G558" i="5"/>
  <c r="F558" i="5"/>
  <c r="E558" i="5"/>
  <c r="D558" i="5"/>
  <c r="C558" i="5"/>
  <c r="B558" i="5"/>
  <c r="A558" i="5"/>
  <c r="CS557" i="5"/>
  <c r="CM557" i="5"/>
  <c r="CG557" i="5"/>
  <c r="CF557" i="5"/>
  <c r="CE557" i="5"/>
  <c r="CD557" i="5"/>
  <c r="CC557" i="5"/>
  <c r="CB557" i="5"/>
  <c r="CA557" i="5"/>
  <c r="BY557" i="5"/>
  <c r="BW557" i="5"/>
  <c r="BV557" i="5"/>
  <c r="BU557" i="5"/>
  <c r="BQ557" i="5"/>
  <c r="BP557" i="5"/>
  <c r="BO557" i="5"/>
  <c r="BN557" i="5"/>
  <c r="BM557" i="5"/>
  <c r="BL557" i="5"/>
  <c r="BF557" i="5"/>
  <c r="BC557" i="5"/>
  <c r="AZ557" i="5"/>
  <c r="AY557" i="5"/>
  <c r="AX557" i="5"/>
  <c r="AW557" i="5"/>
  <c r="AV557" i="5"/>
  <c r="AU557" i="5"/>
  <c r="AT557" i="5"/>
  <c r="AS557" i="5"/>
  <c r="AR557" i="5"/>
  <c r="AQ557" i="5"/>
  <c r="AP557" i="5"/>
  <c r="AO557" i="5"/>
  <c r="AN557" i="5"/>
  <c r="AM557" i="5"/>
  <c r="AL557" i="5"/>
  <c r="AH557" i="5"/>
  <c r="AF557" i="5"/>
  <c r="AD557" i="5"/>
  <c r="AB557" i="5"/>
  <c r="Z557" i="5"/>
  <c r="X557" i="5"/>
  <c r="W557" i="5"/>
  <c r="V557" i="5"/>
  <c r="U557" i="5"/>
  <c r="T557" i="5"/>
  <c r="S557" i="5"/>
  <c r="R557" i="5"/>
  <c r="Q557" i="5"/>
  <c r="P557" i="5"/>
  <c r="O557" i="5"/>
  <c r="N557" i="5"/>
  <c r="M557" i="5"/>
  <c r="L557" i="5"/>
  <c r="K557" i="5"/>
  <c r="J557" i="5"/>
  <c r="I557" i="5"/>
  <c r="H557" i="5"/>
  <c r="G557" i="5"/>
  <c r="F557" i="5"/>
  <c r="E557" i="5"/>
  <c r="D557" i="5"/>
  <c r="C557" i="5"/>
  <c r="B557" i="5"/>
  <c r="A557" i="5"/>
  <c r="CS556" i="5"/>
  <c r="CM556" i="5"/>
  <c r="CG556" i="5"/>
  <c r="CF556" i="5"/>
  <c r="CE556" i="5"/>
  <c r="CD556" i="5"/>
  <c r="CC556" i="5"/>
  <c r="CB556" i="5"/>
  <c r="CA556" i="5"/>
  <c r="BY556" i="5"/>
  <c r="BW556" i="5"/>
  <c r="BV556" i="5"/>
  <c r="BU556" i="5"/>
  <c r="BQ556" i="5"/>
  <c r="BP556" i="5"/>
  <c r="BO556" i="5"/>
  <c r="BN556" i="5"/>
  <c r="BM556" i="5"/>
  <c r="BL556" i="5"/>
  <c r="BF556" i="5"/>
  <c r="BC556" i="5"/>
  <c r="AZ556" i="5"/>
  <c r="AY556" i="5"/>
  <c r="AX556" i="5"/>
  <c r="AW556" i="5"/>
  <c r="AV556" i="5"/>
  <c r="AU556" i="5"/>
  <c r="AT556" i="5"/>
  <c r="AS556" i="5"/>
  <c r="AR556" i="5"/>
  <c r="AQ556" i="5"/>
  <c r="AP556" i="5"/>
  <c r="AO556" i="5"/>
  <c r="AN556" i="5"/>
  <c r="AM556" i="5"/>
  <c r="AL556" i="5"/>
  <c r="AH556" i="5"/>
  <c r="AF556" i="5"/>
  <c r="AD556" i="5"/>
  <c r="AB556" i="5"/>
  <c r="Z556" i="5"/>
  <c r="X556" i="5"/>
  <c r="W556" i="5"/>
  <c r="V556" i="5"/>
  <c r="U556" i="5"/>
  <c r="T556" i="5"/>
  <c r="S556" i="5"/>
  <c r="R556" i="5"/>
  <c r="Q556" i="5"/>
  <c r="P556" i="5"/>
  <c r="O556" i="5"/>
  <c r="N556" i="5"/>
  <c r="M556" i="5"/>
  <c r="L556" i="5"/>
  <c r="K556" i="5"/>
  <c r="J556" i="5"/>
  <c r="I556" i="5"/>
  <c r="H556" i="5"/>
  <c r="G556" i="5"/>
  <c r="F556" i="5"/>
  <c r="E556" i="5"/>
  <c r="D556" i="5"/>
  <c r="C556" i="5"/>
  <c r="B556" i="5"/>
  <c r="A556" i="5"/>
  <c r="CS555" i="5"/>
  <c r="CM555" i="5"/>
  <c r="CG555" i="5"/>
  <c r="CF555" i="5"/>
  <c r="CE555" i="5"/>
  <c r="CD555" i="5"/>
  <c r="CC555" i="5"/>
  <c r="CB555" i="5"/>
  <c r="CA555" i="5"/>
  <c r="BY555" i="5"/>
  <c r="BW555" i="5"/>
  <c r="BV555" i="5"/>
  <c r="BU555" i="5"/>
  <c r="BQ555" i="5"/>
  <c r="BP555" i="5"/>
  <c r="BO555" i="5"/>
  <c r="BN555" i="5"/>
  <c r="BM555" i="5"/>
  <c r="BL555" i="5"/>
  <c r="BF555" i="5"/>
  <c r="BC555" i="5"/>
  <c r="AZ555" i="5"/>
  <c r="AY555" i="5"/>
  <c r="AX555" i="5"/>
  <c r="AW555" i="5"/>
  <c r="AV555" i="5"/>
  <c r="AU555" i="5"/>
  <c r="AT555" i="5"/>
  <c r="AS555" i="5"/>
  <c r="AR555" i="5"/>
  <c r="AQ555" i="5"/>
  <c r="AP555" i="5"/>
  <c r="AO555" i="5"/>
  <c r="AN555" i="5"/>
  <c r="AM555" i="5"/>
  <c r="AL555" i="5"/>
  <c r="AH555" i="5"/>
  <c r="AF555" i="5"/>
  <c r="AD555" i="5"/>
  <c r="AB555" i="5"/>
  <c r="Y555" i="5"/>
  <c r="X555" i="5"/>
  <c r="W555" i="5"/>
  <c r="V555" i="5"/>
  <c r="U555" i="5"/>
  <c r="T555" i="5"/>
  <c r="S555" i="5"/>
  <c r="R555" i="5"/>
  <c r="Q555" i="5"/>
  <c r="P555" i="5"/>
  <c r="O555" i="5"/>
  <c r="N555" i="5"/>
  <c r="M555" i="5"/>
  <c r="L555" i="5"/>
  <c r="K555" i="5"/>
  <c r="J555" i="5"/>
  <c r="I555" i="5"/>
  <c r="H555" i="5"/>
  <c r="G555" i="5"/>
  <c r="F555" i="5"/>
  <c r="E555" i="5"/>
  <c r="D555" i="5"/>
  <c r="C555" i="5"/>
  <c r="B555" i="5"/>
  <c r="A555" i="5"/>
  <c r="CS554" i="5"/>
  <c r="CM554" i="5"/>
  <c r="CG554" i="5"/>
  <c r="CF554" i="5"/>
  <c r="CE554" i="5"/>
  <c r="CD554" i="5"/>
  <c r="CC554" i="5"/>
  <c r="CB554" i="5"/>
  <c r="CA554" i="5"/>
  <c r="BY554" i="5"/>
  <c r="BW554" i="5"/>
  <c r="BV554" i="5"/>
  <c r="BU554" i="5"/>
  <c r="BQ554" i="5"/>
  <c r="BP554" i="5"/>
  <c r="BO554" i="5"/>
  <c r="BN554" i="5"/>
  <c r="BM554" i="5"/>
  <c r="BL554" i="5"/>
  <c r="BF554" i="5"/>
  <c r="BC554" i="5"/>
  <c r="BA554" i="5"/>
  <c r="AZ554" i="5"/>
  <c r="AY554" i="5"/>
  <c r="AX554" i="5"/>
  <c r="AW554" i="5"/>
  <c r="AV554" i="5"/>
  <c r="AU554" i="5"/>
  <c r="AT554" i="5"/>
  <c r="AS554" i="5"/>
  <c r="AR554" i="5"/>
  <c r="AQ554" i="5"/>
  <c r="AP554" i="5"/>
  <c r="AO554" i="5"/>
  <c r="AN554" i="5"/>
  <c r="AM554" i="5"/>
  <c r="AL554" i="5"/>
  <c r="AH554" i="5"/>
  <c r="AF554" i="5"/>
  <c r="AD554" i="5"/>
  <c r="AB554" i="5"/>
  <c r="Z554" i="5"/>
  <c r="X554" i="5"/>
  <c r="W554" i="5"/>
  <c r="V554" i="5"/>
  <c r="U554" i="5"/>
  <c r="T554" i="5"/>
  <c r="S554" i="5"/>
  <c r="R554" i="5"/>
  <c r="Q554" i="5"/>
  <c r="P554" i="5"/>
  <c r="O554" i="5"/>
  <c r="N554" i="5"/>
  <c r="M554" i="5"/>
  <c r="L554" i="5"/>
  <c r="K554" i="5"/>
  <c r="J554" i="5"/>
  <c r="I554" i="5"/>
  <c r="H554" i="5"/>
  <c r="G554" i="5"/>
  <c r="F554" i="5"/>
  <c r="E554" i="5"/>
  <c r="D554" i="5"/>
  <c r="C554" i="5"/>
  <c r="B554" i="5"/>
  <c r="A554" i="5"/>
  <c r="CS553" i="5"/>
  <c r="CM553" i="5"/>
  <c r="CG553" i="5"/>
  <c r="CF553" i="5"/>
  <c r="CE553" i="5"/>
  <c r="CD553" i="5"/>
  <c r="CC553" i="5"/>
  <c r="CB553" i="5"/>
  <c r="CA553" i="5"/>
  <c r="BZ553" i="5"/>
  <c r="BY553" i="5"/>
  <c r="BX553" i="5"/>
  <c r="BW553" i="5"/>
  <c r="BV553" i="5"/>
  <c r="BU553" i="5"/>
  <c r="BS553" i="5"/>
  <c r="BR553" i="5"/>
  <c r="BQ553" i="5"/>
  <c r="BP553" i="5"/>
  <c r="BO553" i="5"/>
  <c r="BM553" i="5"/>
  <c r="BF553" i="5"/>
  <c r="BC553" i="5"/>
  <c r="AY553" i="5"/>
  <c r="AX553" i="5"/>
  <c r="AW553" i="5"/>
  <c r="AV553" i="5"/>
  <c r="AU553" i="5"/>
  <c r="AT553" i="5"/>
  <c r="AR553" i="5"/>
  <c r="AQ553" i="5"/>
  <c r="AP553" i="5"/>
  <c r="AO553" i="5"/>
  <c r="AN553" i="5"/>
  <c r="AM553" i="5"/>
  <c r="AL553" i="5"/>
  <c r="AH553" i="5"/>
  <c r="AF553" i="5"/>
  <c r="AD553" i="5"/>
  <c r="AB553" i="5"/>
  <c r="Y553" i="5"/>
  <c r="X553" i="5"/>
  <c r="W553" i="5"/>
  <c r="V553" i="5"/>
  <c r="U553" i="5"/>
  <c r="T553" i="5"/>
  <c r="S553" i="5"/>
  <c r="R553" i="5"/>
  <c r="Q553" i="5"/>
  <c r="P553" i="5"/>
  <c r="O553" i="5"/>
  <c r="N553" i="5"/>
  <c r="M553" i="5"/>
  <c r="L553" i="5"/>
  <c r="K553" i="5"/>
  <c r="J553" i="5"/>
  <c r="I553" i="5"/>
  <c r="H553" i="5"/>
  <c r="G553" i="5"/>
  <c r="F553" i="5"/>
  <c r="E553" i="5"/>
  <c r="D553" i="5"/>
  <c r="C553" i="5"/>
  <c r="B553" i="5"/>
  <c r="A553" i="5"/>
  <c r="CS552" i="5"/>
  <c r="CM552" i="5"/>
  <c r="CG552" i="5"/>
  <c r="CF552" i="5"/>
  <c r="CE552" i="5"/>
  <c r="CD552" i="5"/>
  <c r="CC552" i="5"/>
  <c r="CB552" i="5"/>
  <c r="CA552" i="5"/>
  <c r="BZ552" i="5"/>
  <c r="BY552" i="5"/>
  <c r="BX552" i="5"/>
  <c r="BW552" i="5"/>
  <c r="BV552" i="5"/>
  <c r="BU552" i="5"/>
  <c r="BS552" i="5"/>
  <c r="BR552" i="5"/>
  <c r="BQ552" i="5"/>
  <c r="BP552" i="5"/>
  <c r="BO552" i="5"/>
  <c r="BN552" i="5"/>
  <c r="BM552" i="5"/>
  <c r="BL552" i="5"/>
  <c r="BG552" i="5"/>
  <c r="BF552" i="5"/>
  <c r="BC552" i="5"/>
  <c r="BA552" i="5"/>
  <c r="AZ552" i="5"/>
  <c r="AY552" i="5"/>
  <c r="AX552" i="5"/>
  <c r="AW552" i="5"/>
  <c r="AV552" i="5"/>
  <c r="AU552" i="5"/>
  <c r="AT552" i="5"/>
  <c r="AS552" i="5"/>
  <c r="AR552" i="5"/>
  <c r="AQ552" i="5"/>
  <c r="AP552" i="5"/>
  <c r="AO552" i="5"/>
  <c r="AN552" i="5"/>
  <c r="AM552" i="5"/>
  <c r="AL552" i="5"/>
  <c r="AH552" i="5"/>
  <c r="AF552" i="5"/>
  <c r="AE552" i="5"/>
  <c r="AD552" i="5"/>
  <c r="AB552" i="5"/>
  <c r="Y552" i="5"/>
  <c r="X552" i="5"/>
  <c r="W552" i="5"/>
  <c r="V552" i="5"/>
  <c r="U552" i="5"/>
  <c r="T552" i="5"/>
  <c r="S552" i="5"/>
  <c r="R552" i="5"/>
  <c r="Q552" i="5"/>
  <c r="P552" i="5"/>
  <c r="O552" i="5"/>
  <c r="N552" i="5"/>
  <c r="M552" i="5"/>
  <c r="L552" i="5"/>
  <c r="K552" i="5"/>
  <c r="J552" i="5"/>
  <c r="I552" i="5"/>
  <c r="H552" i="5"/>
  <c r="G552" i="5"/>
  <c r="F552" i="5"/>
  <c r="E552" i="5"/>
  <c r="D552" i="5"/>
  <c r="C552" i="5"/>
  <c r="B552" i="5"/>
  <c r="A552" i="5"/>
  <c r="CS551" i="5"/>
  <c r="CM551" i="5"/>
  <c r="CG551" i="5"/>
  <c r="CF551" i="5"/>
  <c r="CE551" i="5"/>
  <c r="CD551" i="5"/>
  <c r="CC551" i="5"/>
  <c r="CB551" i="5"/>
  <c r="CA551" i="5"/>
  <c r="BZ551" i="5"/>
  <c r="BY551" i="5"/>
  <c r="BX551" i="5"/>
  <c r="BW551" i="5"/>
  <c r="BV551" i="5"/>
  <c r="BU551" i="5"/>
  <c r="BS551" i="5"/>
  <c r="BR551" i="5"/>
  <c r="BQ551" i="5"/>
  <c r="BP551" i="5"/>
  <c r="BO551" i="5"/>
  <c r="BN551" i="5"/>
  <c r="BM551" i="5"/>
  <c r="BG551" i="5"/>
  <c r="BF551" i="5"/>
  <c r="BD551" i="5"/>
  <c r="BC551" i="5"/>
  <c r="BA551" i="5"/>
  <c r="AZ551" i="5"/>
  <c r="AY551" i="5"/>
  <c r="AX551" i="5"/>
  <c r="AW551" i="5"/>
  <c r="AV551" i="5"/>
  <c r="AU551" i="5"/>
  <c r="AT551" i="5"/>
  <c r="AS551" i="5"/>
  <c r="AR551" i="5"/>
  <c r="AQ551" i="5"/>
  <c r="AP551" i="5"/>
  <c r="AO551" i="5"/>
  <c r="AN551" i="5"/>
  <c r="AM551" i="5"/>
  <c r="AL551" i="5"/>
  <c r="AH551" i="5"/>
  <c r="AF551" i="5"/>
  <c r="AE551" i="5"/>
  <c r="AD551" i="5"/>
  <c r="AB551" i="5"/>
  <c r="Z551" i="5"/>
  <c r="Y551" i="5"/>
  <c r="X551" i="5"/>
  <c r="W551" i="5"/>
  <c r="V551" i="5"/>
  <c r="U551" i="5"/>
  <c r="T551" i="5"/>
  <c r="S551" i="5"/>
  <c r="R551" i="5"/>
  <c r="Q551" i="5"/>
  <c r="P551" i="5"/>
  <c r="O551" i="5"/>
  <c r="N551" i="5"/>
  <c r="M551" i="5"/>
  <c r="L551" i="5"/>
  <c r="K551" i="5"/>
  <c r="J551" i="5"/>
  <c r="I551" i="5"/>
  <c r="H551" i="5"/>
  <c r="G551" i="5"/>
  <c r="F551" i="5"/>
  <c r="E551" i="5"/>
  <c r="D551" i="5"/>
  <c r="C551" i="5"/>
  <c r="B551" i="5"/>
  <c r="A551" i="5"/>
  <c r="CS550" i="5"/>
  <c r="CM550" i="5"/>
  <c r="CG550" i="5"/>
  <c r="CF550" i="5"/>
  <c r="CE550" i="5"/>
  <c r="CD550" i="5"/>
  <c r="CC550" i="5"/>
  <c r="CB550" i="5"/>
  <c r="CA550" i="5"/>
  <c r="BZ550" i="5"/>
  <c r="BY550" i="5"/>
  <c r="BX550" i="5"/>
  <c r="BW550" i="5"/>
  <c r="BV550" i="5"/>
  <c r="BU550" i="5"/>
  <c r="BS550" i="5"/>
  <c r="BR550" i="5"/>
  <c r="BQ550" i="5"/>
  <c r="BP550" i="5"/>
  <c r="BO550" i="5"/>
  <c r="BM550" i="5"/>
  <c r="BF550" i="5"/>
  <c r="BC550" i="5"/>
  <c r="BB550" i="5"/>
  <c r="AZ550" i="5"/>
  <c r="AY550" i="5"/>
  <c r="AX550" i="5"/>
  <c r="AW550" i="5"/>
  <c r="AV550" i="5"/>
  <c r="AU550" i="5"/>
  <c r="AT550" i="5"/>
  <c r="AS550" i="5"/>
  <c r="AR550" i="5"/>
  <c r="AQ550" i="5"/>
  <c r="AP550" i="5"/>
  <c r="AO550" i="5"/>
  <c r="AN550" i="5"/>
  <c r="AM550" i="5"/>
  <c r="AL550" i="5"/>
  <c r="AH550" i="5"/>
  <c r="AF550" i="5"/>
  <c r="AD550" i="5"/>
  <c r="AB550" i="5"/>
  <c r="X550" i="5"/>
  <c r="W550" i="5"/>
  <c r="V550" i="5"/>
  <c r="U550" i="5"/>
  <c r="T550" i="5"/>
  <c r="S550" i="5"/>
  <c r="R550" i="5"/>
  <c r="Q550" i="5"/>
  <c r="P550" i="5"/>
  <c r="O550" i="5"/>
  <c r="N550" i="5"/>
  <c r="M550" i="5"/>
  <c r="L550" i="5"/>
  <c r="K550" i="5"/>
  <c r="J550" i="5"/>
  <c r="I550" i="5"/>
  <c r="H550" i="5"/>
  <c r="G550" i="5"/>
  <c r="F550" i="5"/>
  <c r="E550" i="5"/>
  <c r="D550" i="5"/>
  <c r="C550" i="5"/>
  <c r="B550" i="5"/>
  <c r="A550" i="5"/>
  <c r="CS549" i="5"/>
  <c r="CM549" i="5"/>
  <c r="CG549" i="5"/>
  <c r="CF549" i="5"/>
  <c r="CE549" i="5"/>
  <c r="CD549" i="5"/>
  <c r="CC549" i="5"/>
  <c r="CB549" i="5"/>
  <c r="CA549" i="5"/>
  <c r="BY549" i="5"/>
  <c r="BX549" i="5"/>
  <c r="BW549" i="5"/>
  <c r="BV549" i="5"/>
  <c r="BU549" i="5"/>
  <c r="BQ549" i="5"/>
  <c r="BP549" i="5"/>
  <c r="BO549" i="5"/>
  <c r="BM549" i="5"/>
  <c r="BF549" i="5"/>
  <c r="BC549" i="5"/>
  <c r="AY549" i="5"/>
  <c r="AX549" i="5"/>
  <c r="AW549" i="5"/>
  <c r="AV549" i="5"/>
  <c r="AU549" i="5"/>
  <c r="AT549" i="5"/>
  <c r="AR549" i="5"/>
  <c r="AQ549" i="5"/>
  <c r="AP549" i="5"/>
  <c r="AO549" i="5"/>
  <c r="AN549" i="5"/>
  <c r="AM549" i="5"/>
  <c r="AL549" i="5"/>
  <c r="AH549" i="5"/>
  <c r="AF549" i="5"/>
  <c r="AD549" i="5"/>
  <c r="AB549" i="5"/>
  <c r="Y549" i="5"/>
  <c r="X549" i="5"/>
  <c r="W549" i="5"/>
  <c r="V549" i="5"/>
  <c r="U549" i="5"/>
  <c r="T549" i="5"/>
  <c r="S549" i="5"/>
  <c r="R549" i="5"/>
  <c r="Q549" i="5"/>
  <c r="P549" i="5"/>
  <c r="O549" i="5"/>
  <c r="N549" i="5"/>
  <c r="M549" i="5"/>
  <c r="L549" i="5"/>
  <c r="K549" i="5"/>
  <c r="J549" i="5"/>
  <c r="I549" i="5"/>
  <c r="H549" i="5"/>
  <c r="G549" i="5"/>
  <c r="F549" i="5"/>
  <c r="E549" i="5"/>
  <c r="D549" i="5"/>
  <c r="C549" i="5"/>
  <c r="B549" i="5"/>
  <c r="A549" i="5"/>
  <c r="CS548" i="5"/>
  <c r="CM548" i="5"/>
  <c r="CG548" i="5"/>
  <c r="CF548" i="5"/>
  <c r="CE548" i="5"/>
  <c r="CD548" i="5"/>
  <c r="CC548" i="5"/>
  <c r="CB548" i="5"/>
  <c r="CA548" i="5"/>
  <c r="BY548" i="5"/>
  <c r="BX548" i="5"/>
  <c r="BW548" i="5"/>
  <c r="BV548" i="5"/>
  <c r="BU548" i="5"/>
  <c r="BQ548" i="5"/>
  <c r="BP548" i="5"/>
  <c r="BO548" i="5"/>
  <c r="BM548" i="5"/>
  <c r="BH548" i="5"/>
  <c r="BG548" i="5"/>
  <c r="BF548" i="5"/>
  <c r="BE548" i="5"/>
  <c r="BD548" i="5"/>
  <c r="BC548" i="5"/>
  <c r="BB548" i="5"/>
  <c r="BA548" i="5"/>
  <c r="AZ548" i="5"/>
  <c r="AY548" i="5"/>
  <c r="AX548" i="5"/>
  <c r="AW548" i="5"/>
  <c r="AV548" i="5"/>
  <c r="AU548" i="5"/>
  <c r="AT548" i="5"/>
  <c r="AS548" i="5"/>
  <c r="AR548" i="5"/>
  <c r="AQ548" i="5"/>
  <c r="AP548" i="5"/>
  <c r="AO548" i="5"/>
  <c r="AN548" i="5"/>
  <c r="AM548" i="5"/>
  <c r="AL548" i="5"/>
  <c r="AH548" i="5"/>
  <c r="AF548" i="5"/>
  <c r="AE548" i="5"/>
  <c r="AD548" i="5"/>
  <c r="AB548" i="5"/>
  <c r="X548" i="5"/>
  <c r="W548" i="5"/>
  <c r="V548" i="5"/>
  <c r="U548" i="5"/>
  <c r="T548" i="5"/>
  <c r="S548" i="5"/>
  <c r="R548" i="5"/>
  <c r="Q548" i="5"/>
  <c r="P548" i="5"/>
  <c r="O548" i="5"/>
  <c r="N548" i="5"/>
  <c r="M548" i="5"/>
  <c r="L548" i="5"/>
  <c r="K548" i="5"/>
  <c r="J548" i="5"/>
  <c r="I548" i="5"/>
  <c r="H548" i="5"/>
  <c r="G548" i="5"/>
  <c r="F548" i="5"/>
  <c r="E548" i="5"/>
  <c r="D548" i="5"/>
  <c r="C548" i="5"/>
  <c r="B548" i="5"/>
  <c r="A548" i="5"/>
  <c r="CS547" i="5"/>
  <c r="CM547" i="5"/>
  <c r="CG547" i="5"/>
  <c r="CF547" i="5"/>
  <c r="CE547" i="5"/>
  <c r="CD547" i="5"/>
  <c r="CC547" i="5"/>
  <c r="CB547" i="5"/>
  <c r="CA547" i="5"/>
  <c r="BZ547" i="5"/>
  <c r="BY547" i="5"/>
  <c r="BX547" i="5"/>
  <c r="BW547" i="5"/>
  <c r="BV547" i="5"/>
  <c r="BU547" i="5"/>
  <c r="BS547" i="5"/>
  <c r="BR547" i="5"/>
  <c r="BQ547" i="5"/>
  <c r="BP547" i="5"/>
  <c r="BO547" i="5"/>
  <c r="BM547" i="5"/>
  <c r="BH547" i="5"/>
  <c r="BG547" i="5"/>
  <c r="BF547" i="5"/>
  <c r="BE547" i="5"/>
  <c r="BD547" i="5"/>
  <c r="BC547" i="5"/>
  <c r="BB547" i="5"/>
  <c r="BA547" i="5"/>
  <c r="AZ547" i="5"/>
  <c r="AY547" i="5"/>
  <c r="AX547" i="5"/>
  <c r="AW547" i="5"/>
  <c r="AV547" i="5"/>
  <c r="AU547" i="5"/>
  <c r="AT547" i="5"/>
  <c r="AS547" i="5"/>
  <c r="AR547" i="5"/>
  <c r="AQ547" i="5"/>
  <c r="AP547" i="5"/>
  <c r="AO547" i="5"/>
  <c r="AN547" i="5"/>
  <c r="AM547" i="5"/>
  <c r="AL547" i="5"/>
  <c r="AH547" i="5"/>
  <c r="AF547" i="5"/>
  <c r="AE547" i="5"/>
  <c r="AD547" i="5"/>
  <c r="AB547" i="5"/>
  <c r="X547" i="5"/>
  <c r="W547" i="5"/>
  <c r="V547" i="5"/>
  <c r="U547" i="5"/>
  <c r="T547" i="5"/>
  <c r="S547" i="5"/>
  <c r="R547" i="5"/>
  <c r="Q547" i="5"/>
  <c r="P547" i="5"/>
  <c r="O547" i="5"/>
  <c r="N547" i="5"/>
  <c r="M547" i="5"/>
  <c r="L547" i="5"/>
  <c r="K547" i="5"/>
  <c r="J547" i="5"/>
  <c r="I547" i="5"/>
  <c r="H547" i="5"/>
  <c r="G547" i="5"/>
  <c r="F547" i="5"/>
  <c r="E547" i="5"/>
  <c r="D547" i="5"/>
  <c r="C547" i="5"/>
  <c r="B547" i="5"/>
  <c r="A547" i="5"/>
  <c r="CS546" i="5"/>
  <c r="CM546" i="5"/>
  <c r="CG546" i="5"/>
  <c r="CF546" i="5"/>
  <c r="CE546" i="5"/>
  <c r="CD546" i="5"/>
  <c r="CC546" i="5"/>
  <c r="CB546" i="5"/>
  <c r="CA546" i="5"/>
  <c r="BY546" i="5"/>
  <c r="BX546" i="5"/>
  <c r="BW546" i="5"/>
  <c r="BV546" i="5"/>
  <c r="BU546" i="5"/>
  <c r="BQ546" i="5"/>
  <c r="BP546" i="5"/>
  <c r="BO546" i="5"/>
  <c r="BM546" i="5"/>
  <c r="BF546" i="5"/>
  <c r="BC546" i="5"/>
  <c r="BB546" i="5"/>
  <c r="AZ546" i="5"/>
  <c r="AY546" i="5"/>
  <c r="AX546" i="5"/>
  <c r="AW546" i="5"/>
  <c r="AV546" i="5"/>
  <c r="AU546" i="5"/>
  <c r="AT546" i="5"/>
  <c r="AS546" i="5"/>
  <c r="AR546" i="5"/>
  <c r="AQ546" i="5"/>
  <c r="AP546" i="5"/>
  <c r="AO546" i="5"/>
  <c r="AN546" i="5"/>
  <c r="AM546" i="5"/>
  <c r="AL546" i="5"/>
  <c r="AH546" i="5"/>
  <c r="AF546" i="5"/>
  <c r="AD546" i="5"/>
  <c r="AB546" i="5"/>
  <c r="X546" i="5"/>
  <c r="W546" i="5"/>
  <c r="V546" i="5"/>
  <c r="U546" i="5"/>
  <c r="T546" i="5"/>
  <c r="S546" i="5"/>
  <c r="R546" i="5"/>
  <c r="Q546" i="5"/>
  <c r="P546" i="5"/>
  <c r="O546" i="5"/>
  <c r="N546" i="5"/>
  <c r="M546" i="5"/>
  <c r="L546" i="5"/>
  <c r="K546" i="5"/>
  <c r="J546" i="5"/>
  <c r="I546" i="5"/>
  <c r="H546" i="5"/>
  <c r="G546" i="5"/>
  <c r="F546" i="5"/>
  <c r="E546" i="5"/>
  <c r="D546" i="5"/>
  <c r="C546" i="5"/>
  <c r="B546" i="5"/>
  <c r="A546" i="5"/>
  <c r="CS545" i="5"/>
  <c r="CM545" i="5"/>
  <c r="CG545" i="5"/>
  <c r="CF545" i="5"/>
  <c r="CE545" i="5"/>
  <c r="CD545" i="5"/>
  <c r="CC545" i="5"/>
  <c r="CB545" i="5"/>
  <c r="CA545" i="5"/>
  <c r="BY545" i="5"/>
  <c r="BW545" i="5"/>
  <c r="BV545" i="5"/>
  <c r="BU545" i="5"/>
  <c r="BQ545" i="5"/>
  <c r="BP545" i="5"/>
  <c r="BO545" i="5"/>
  <c r="BM545" i="5"/>
  <c r="BF545" i="5"/>
  <c r="BC545" i="5"/>
  <c r="AY545" i="5"/>
  <c r="AX545" i="5"/>
  <c r="AW545" i="5"/>
  <c r="AV545" i="5"/>
  <c r="AU545" i="5"/>
  <c r="AT545" i="5"/>
  <c r="AR545" i="5"/>
  <c r="AQ545" i="5"/>
  <c r="AP545" i="5"/>
  <c r="AO545" i="5"/>
  <c r="AN545" i="5"/>
  <c r="AM545" i="5"/>
  <c r="AL545" i="5"/>
  <c r="AH545" i="5"/>
  <c r="AF545" i="5"/>
  <c r="AD545" i="5"/>
  <c r="AB545" i="5"/>
  <c r="Y545" i="5"/>
  <c r="X545" i="5"/>
  <c r="W545" i="5"/>
  <c r="V545" i="5"/>
  <c r="U545" i="5"/>
  <c r="T545" i="5"/>
  <c r="S545" i="5"/>
  <c r="R545" i="5"/>
  <c r="Q545" i="5"/>
  <c r="P545" i="5"/>
  <c r="O545" i="5"/>
  <c r="N545" i="5"/>
  <c r="M545" i="5"/>
  <c r="L545" i="5"/>
  <c r="K545" i="5"/>
  <c r="J545" i="5"/>
  <c r="I545" i="5"/>
  <c r="H545" i="5"/>
  <c r="G545" i="5"/>
  <c r="F545" i="5"/>
  <c r="E545" i="5"/>
  <c r="D545" i="5"/>
  <c r="C545" i="5"/>
  <c r="B545" i="5"/>
  <c r="A545" i="5"/>
  <c r="CS544" i="5"/>
  <c r="CM544" i="5"/>
  <c r="CG544" i="5"/>
  <c r="CF544" i="5"/>
  <c r="CE544" i="5"/>
  <c r="CD544" i="5"/>
  <c r="CC544" i="5"/>
  <c r="CB544" i="5"/>
  <c r="CA544" i="5"/>
  <c r="BZ544" i="5"/>
  <c r="BY544" i="5"/>
  <c r="BX544" i="5"/>
  <c r="BW544" i="5"/>
  <c r="BV544" i="5"/>
  <c r="BU544" i="5"/>
  <c r="BS544" i="5"/>
  <c r="BR544" i="5"/>
  <c r="BQ544" i="5"/>
  <c r="BP544" i="5"/>
  <c r="BO544" i="5"/>
  <c r="BM544" i="5"/>
  <c r="BF544" i="5"/>
  <c r="BC544" i="5"/>
  <c r="AY544" i="5"/>
  <c r="AX544" i="5"/>
  <c r="AW544" i="5"/>
  <c r="AV544" i="5"/>
  <c r="AU544" i="5"/>
  <c r="AT544" i="5"/>
  <c r="AR544" i="5"/>
  <c r="AQ544" i="5"/>
  <c r="AP544" i="5"/>
  <c r="AO544" i="5"/>
  <c r="AN544" i="5"/>
  <c r="AM544" i="5"/>
  <c r="AL544" i="5"/>
  <c r="AH544" i="5"/>
  <c r="AF544" i="5"/>
  <c r="AD544" i="5"/>
  <c r="AB544" i="5"/>
  <c r="Y544" i="5"/>
  <c r="X544" i="5"/>
  <c r="W544" i="5"/>
  <c r="V544" i="5"/>
  <c r="U544" i="5"/>
  <c r="T544" i="5"/>
  <c r="S544" i="5"/>
  <c r="R544" i="5"/>
  <c r="Q544" i="5"/>
  <c r="P544" i="5"/>
  <c r="O544" i="5"/>
  <c r="N544" i="5"/>
  <c r="M544" i="5"/>
  <c r="L544" i="5"/>
  <c r="K544" i="5"/>
  <c r="J544" i="5"/>
  <c r="I544" i="5"/>
  <c r="H544" i="5"/>
  <c r="G544" i="5"/>
  <c r="F544" i="5"/>
  <c r="E544" i="5"/>
  <c r="D544" i="5"/>
  <c r="C544" i="5"/>
  <c r="B544" i="5"/>
  <c r="A544" i="5"/>
  <c r="CS543" i="5"/>
  <c r="CM543" i="5"/>
  <c r="CG543" i="5"/>
  <c r="CF543" i="5"/>
  <c r="CE543" i="5"/>
  <c r="CD543" i="5"/>
  <c r="CC543" i="5"/>
  <c r="CB543" i="5"/>
  <c r="CA543" i="5"/>
  <c r="BZ543" i="5"/>
  <c r="BY543" i="5"/>
  <c r="BX543" i="5"/>
  <c r="BW543" i="5"/>
  <c r="BV543" i="5"/>
  <c r="BU543" i="5"/>
  <c r="BS543" i="5"/>
  <c r="BR543" i="5"/>
  <c r="BQ543" i="5"/>
  <c r="BP543" i="5"/>
  <c r="BO543" i="5"/>
  <c r="BM543" i="5"/>
  <c r="BF543" i="5"/>
  <c r="BC543" i="5"/>
  <c r="AY543" i="5"/>
  <c r="AX543" i="5"/>
  <c r="AW543" i="5"/>
  <c r="AV543" i="5"/>
  <c r="AU543" i="5"/>
  <c r="AT543" i="5"/>
  <c r="AR543" i="5"/>
  <c r="AQ543" i="5"/>
  <c r="AP543" i="5"/>
  <c r="AO543" i="5"/>
  <c r="AN543" i="5"/>
  <c r="AM543" i="5"/>
  <c r="AL543" i="5"/>
  <c r="AH543" i="5"/>
  <c r="AF543" i="5"/>
  <c r="AD543" i="5"/>
  <c r="AB543" i="5"/>
  <c r="Y543" i="5"/>
  <c r="X543" i="5"/>
  <c r="W543" i="5"/>
  <c r="V543" i="5"/>
  <c r="U543" i="5"/>
  <c r="T543" i="5"/>
  <c r="S543" i="5"/>
  <c r="R543" i="5"/>
  <c r="Q543" i="5"/>
  <c r="P543" i="5"/>
  <c r="O543" i="5"/>
  <c r="N543" i="5"/>
  <c r="M543" i="5"/>
  <c r="L543" i="5"/>
  <c r="K543" i="5"/>
  <c r="J543" i="5"/>
  <c r="I543" i="5"/>
  <c r="H543" i="5"/>
  <c r="G543" i="5"/>
  <c r="F543" i="5"/>
  <c r="E543" i="5"/>
  <c r="D543" i="5"/>
  <c r="C543" i="5"/>
  <c r="B543" i="5"/>
  <c r="A543" i="5"/>
  <c r="CS542" i="5"/>
  <c r="CM542" i="5"/>
  <c r="CG542" i="5"/>
  <c r="CF542" i="5"/>
  <c r="CE542" i="5"/>
  <c r="CD542" i="5"/>
  <c r="CC542" i="5"/>
  <c r="CB542" i="5"/>
  <c r="CA542" i="5"/>
  <c r="BZ542" i="5"/>
  <c r="BY542" i="5"/>
  <c r="BX542" i="5"/>
  <c r="BW542" i="5"/>
  <c r="BV542" i="5"/>
  <c r="BU542" i="5"/>
  <c r="BS542" i="5"/>
  <c r="BR542" i="5"/>
  <c r="BQ542" i="5"/>
  <c r="BP542" i="5"/>
  <c r="BO542" i="5"/>
  <c r="BN542" i="5"/>
  <c r="BM542" i="5"/>
  <c r="BF542" i="5"/>
  <c r="BC542" i="5"/>
  <c r="AY542" i="5"/>
  <c r="AX542" i="5"/>
  <c r="AW542" i="5"/>
  <c r="AV542" i="5"/>
  <c r="AU542" i="5"/>
  <c r="AT542" i="5"/>
  <c r="AR542" i="5"/>
  <c r="AQ542" i="5"/>
  <c r="AP542" i="5"/>
  <c r="AO542" i="5"/>
  <c r="AN542" i="5"/>
  <c r="AM542" i="5"/>
  <c r="AL542" i="5"/>
  <c r="AH542" i="5"/>
  <c r="AF542" i="5"/>
  <c r="AE542" i="5"/>
  <c r="AD542" i="5"/>
  <c r="AB542" i="5"/>
  <c r="Y542" i="5"/>
  <c r="X542" i="5"/>
  <c r="W542" i="5"/>
  <c r="V542" i="5"/>
  <c r="U542" i="5"/>
  <c r="T542" i="5"/>
  <c r="S542" i="5"/>
  <c r="R542" i="5"/>
  <c r="Q542" i="5"/>
  <c r="P542" i="5"/>
  <c r="O542" i="5"/>
  <c r="N542" i="5"/>
  <c r="M542" i="5"/>
  <c r="L542" i="5"/>
  <c r="K542" i="5"/>
  <c r="J542" i="5"/>
  <c r="I542" i="5"/>
  <c r="H542" i="5"/>
  <c r="G542" i="5"/>
  <c r="F542" i="5"/>
  <c r="E542" i="5"/>
  <c r="D542" i="5"/>
  <c r="C542" i="5"/>
  <c r="B542" i="5"/>
  <c r="A542" i="5"/>
  <c r="CS541" i="5"/>
  <c r="CM541" i="5"/>
  <c r="CG541" i="5"/>
  <c r="CF541" i="5"/>
  <c r="CE541" i="5"/>
  <c r="CD541" i="5"/>
  <c r="CC541" i="5"/>
  <c r="CB541" i="5"/>
  <c r="CA541" i="5"/>
  <c r="BY541" i="5"/>
  <c r="BX541" i="5"/>
  <c r="BW541" i="5"/>
  <c r="BV541" i="5"/>
  <c r="BU541" i="5"/>
  <c r="BQ541" i="5"/>
  <c r="BP541" i="5"/>
  <c r="BO541" i="5"/>
  <c r="BM541" i="5"/>
  <c r="BF541" i="5"/>
  <c r="BE541" i="5"/>
  <c r="BD541" i="5"/>
  <c r="BC541" i="5"/>
  <c r="BB541" i="5"/>
  <c r="BA541" i="5"/>
  <c r="AZ541" i="5"/>
  <c r="AY541" i="5"/>
  <c r="AX541" i="5"/>
  <c r="AW541" i="5"/>
  <c r="AV541" i="5"/>
  <c r="AU541" i="5"/>
  <c r="AT541" i="5"/>
  <c r="AS541" i="5"/>
  <c r="AR541" i="5"/>
  <c r="AQ541" i="5"/>
  <c r="AP541" i="5"/>
  <c r="AO541" i="5"/>
  <c r="AN541" i="5"/>
  <c r="AM541" i="5"/>
  <c r="AL541" i="5"/>
  <c r="AH541" i="5"/>
  <c r="AF541" i="5"/>
  <c r="AD541" i="5"/>
  <c r="AB541" i="5"/>
  <c r="X541" i="5"/>
  <c r="W541" i="5"/>
  <c r="V541" i="5"/>
  <c r="U541" i="5"/>
  <c r="T541" i="5"/>
  <c r="S541" i="5"/>
  <c r="R541" i="5"/>
  <c r="Q541" i="5"/>
  <c r="P541" i="5"/>
  <c r="O541" i="5"/>
  <c r="N541" i="5"/>
  <c r="M541" i="5"/>
  <c r="L541" i="5"/>
  <c r="K541" i="5"/>
  <c r="J541" i="5"/>
  <c r="I541" i="5"/>
  <c r="H541" i="5"/>
  <c r="G541" i="5"/>
  <c r="F541" i="5"/>
  <c r="E541" i="5"/>
  <c r="D541" i="5"/>
  <c r="C541" i="5"/>
  <c r="B541" i="5"/>
  <c r="A541" i="5"/>
  <c r="CS540" i="5"/>
  <c r="CM540" i="5"/>
  <c r="CG540" i="5"/>
  <c r="CF540" i="5"/>
  <c r="CE540" i="5"/>
  <c r="CD540" i="5"/>
  <c r="CC540" i="5"/>
  <c r="CB540" i="5"/>
  <c r="CA540" i="5"/>
  <c r="BZ540" i="5"/>
  <c r="BY540" i="5"/>
  <c r="BX540" i="5"/>
  <c r="BW540" i="5"/>
  <c r="BV540" i="5"/>
  <c r="BU540" i="5"/>
  <c r="BS540" i="5"/>
  <c r="BR540" i="5"/>
  <c r="BQ540" i="5"/>
  <c r="BP540" i="5"/>
  <c r="BO540" i="5"/>
  <c r="BM540" i="5"/>
  <c r="BF540" i="5"/>
  <c r="BC540" i="5"/>
  <c r="AZ540" i="5"/>
  <c r="AY540" i="5"/>
  <c r="AX540" i="5"/>
  <c r="AW540" i="5"/>
  <c r="AV540" i="5"/>
  <c r="AU540" i="5"/>
  <c r="AT540" i="5"/>
  <c r="AR540" i="5"/>
  <c r="AQ540" i="5"/>
  <c r="AP540" i="5"/>
  <c r="AO540" i="5"/>
  <c r="AN540" i="5"/>
  <c r="AM540" i="5"/>
  <c r="AL540" i="5"/>
  <c r="AH540" i="5"/>
  <c r="AF540" i="5"/>
  <c r="AD540" i="5"/>
  <c r="AB540" i="5"/>
  <c r="Y540" i="5"/>
  <c r="X540" i="5"/>
  <c r="W540" i="5"/>
  <c r="V540" i="5"/>
  <c r="U540" i="5"/>
  <c r="T540" i="5"/>
  <c r="S540" i="5"/>
  <c r="R540" i="5"/>
  <c r="Q540" i="5"/>
  <c r="P540" i="5"/>
  <c r="O540" i="5"/>
  <c r="N540" i="5"/>
  <c r="M540" i="5"/>
  <c r="L540" i="5"/>
  <c r="K540" i="5"/>
  <c r="J540" i="5"/>
  <c r="I540" i="5"/>
  <c r="H540" i="5"/>
  <c r="G540" i="5"/>
  <c r="F540" i="5"/>
  <c r="E540" i="5"/>
  <c r="D540" i="5"/>
  <c r="C540" i="5"/>
  <c r="B540" i="5"/>
  <c r="A540" i="5"/>
  <c r="CS539" i="5"/>
  <c r="CM539" i="5"/>
  <c r="CG539" i="5"/>
  <c r="CF539" i="5"/>
  <c r="CE539" i="5"/>
  <c r="CD539" i="5"/>
  <c r="CC539" i="5"/>
  <c r="CB539" i="5"/>
  <c r="CA539" i="5"/>
  <c r="BZ539" i="5"/>
  <c r="BY539" i="5"/>
  <c r="BX539" i="5"/>
  <c r="BW539" i="5"/>
  <c r="BV539" i="5"/>
  <c r="BU539" i="5"/>
  <c r="BS539" i="5"/>
  <c r="BR539" i="5"/>
  <c r="BQ539" i="5"/>
  <c r="BP539" i="5"/>
  <c r="BO539" i="5"/>
  <c r="BM539" i="5"/>
  <c r="BF539" i="5"/>
  <c r="BC539" i="5"/>
  <c r="AZ539" i="5"/>
  <c r="AY539" i="5"/>
  <c r="AX539" i="5"/>
  <c r="AW539" i="5"/>
  <c r="AV539" i="5"/>
  <c r="AU539" i="5"/>
  <c r="AT539" i="5"/>
  <c r="AR539" i="5"/>
  <c r="AQ539" i="5"/>
  <c r="AP539" i="5"/>
  <c r="AO539" i="5"/>
  <c r="AN539" i="5"/>
  <c r="AM539" i="5"/>
  <c r="AL539" i="5"/>
  <c r="AH539" i="5"/>
  <c r="AF539" i="5"/>
  <c r="AD539" i="5"/>
  <c r="AB539" i="5"/>
  <c r="Y539" i="5"/>
  <c r="X539" i="5"/>
  <c r="W539" i="5"/>
  <c r="V539" i="5"/>
  <c r="U539" i="5"/>
  <c r="T539" i="5"/>
  <c r="S539" i="5"/>
  <c r="R539" i="5"/>
  <c r="Q539" i="5"/>
  <c r="P539" i="5"/>
  <c r="O539" i="5"/>
  <c r="N539" i="5"/>
  <c r="M539" i="5"/>
  <c r="L539" i="5"/>
  <c r="K539" i="5"/>
  <c r="J539" i="5"/>
  <c r="I539" i="5"/>
  <c r="H539" i="5"/>
  <c r="G539" i="5"/>
  <c r="F539" i="5"/>
  <c r="E539" i="5"/>
  <c r="D539" i="5"/>
  <c r="C539" i="5"/>
  <c r="B539" i="5"/>
  <c r="A539" i="5"/>
  <c r="CS538" i="5"/>
  <c r="CM538" i="5"/>
  <c r="CG538" i="5"/>
  <c r="CF538" i="5"/>
  <c r="CE538" i="5"/>
  <c r="CD538" i="5"/>
  <c r="CC538" i="5"/>
  <c r="CB538" i="5"/>
  <c r="CA538" i="5"/>
  <c r="BZ538" i="5"/>
  <c r="BY538" i="5"/>
  <c r="BX538" i="5"/>
  <c r="BW538" i="5"/>
  <c r="BV538" i="5"/>
  <c r="BU538" i="5"/>
  <c r="BS538" i="5"/>
  <c r="BR538" i="5"/>
  <c r="BQ538" i="5"/>
  <c r="BP538" i="5"/>
  <c r="BO538" i="5"/>
  <c r="BM538" i="5"/>
  <c r="BF538" i="5"/>
  <c r="BC538" i="5"/>
  <c r="AZ538" i="5"/>
  <c r="AY538" i="5"/>
  <c r="AX538" i="5"/>
  <c r="AW538" i="5"/>
  <c r="AV538" i="5"/>
  <c r="AU538" i="5"/>
  <c r="AT538" i="5"/>
  <c r="AR538" i="5"/>
  <c r="AQ538" i="5"/>
  <c r="AP538" i="5"/>
  <c r="AO538" i="5"/>
  <c r="AN538" i="5"/>
  <c r="AM538" i="5"/>
  <c r="AL538" i="5"/>
  <c r="AH538" i="5"/>
  <c r="AF538" i="5"/>
  <c r="AD538" i="5"/>
  <c r="AB538" i="5"/>
  <c r="Y538" i="5"/>
  <c r="X538" i="5"/>
  <c r="W538" i="5"/>
  <c r="V538" i="5"/>
  <c r="U538" i="5"/>
  <c r="T538" i="5"/>
  <c r="S538" i="5"/>
  <c r="R538" i="5"/>
  <c r="Q538" i="5"/>
  <c r="P538" i="5"/>
  <c r="O538" i="5"/>
  <c r="N538" i="5"/>
  <c r="M538" i="5"/>
  <c r="L538" i="5"/>
  <c r="K538" i="5"/>
  <c r="J538" i="5"/>
  <c r="I538" i="5"/>
  <c r="H538" i="5"/>
  <c r="G538" i="5"/>
  <c r="F538" i="5"/>
  <c r="E538" i="5"/>
  <c r="D538" i="5"/>
  <c r="C538" i="5"/>
  <c r="B538" i="5"/>
  <c r="A538" i="5"/>
  <c r="CS537" i="5"/>
  <c r="CM537" i="5"/>
  <c r="CG537" i="5"/>
  <c r="CF537" i="5"/>
  <c r="CE537" i="5"/>
  <c r="CD537" i="5"/>
  <c r="CC537" i="5"/>
  <c r="CB537" i="5"/>
  <c r="CA537" i="5"/>
  <c r="BY537" i="5"/>
  <c r="BW537" i="5"/>
  <c r="BV537" i="5"/>
  <c r="BU537" i="5"/>
  <c r="BQ537" i="5"/>
  <c r="BP537" i="5"/>
  <c r="BO537" i="5"/>
  <c r="BM537" i="5"/>
  <c r="BF537" i="5"/>
  <c r="BC537" i="5"/>
  <c r="AZ537" i="5"/>
  <c r="AY537" i="5"/>
  <c r="AX537" i="5"/>
  <c r="AW537" i="5"/>
  <c r="AV537" i="5"/>
  <c r="AU537" i="5"/>
  <c r="AT537" i="5"/>
  <c r="AR537" i="5"/>
  <c r="AQ537" i="5"/>
  <c r="AP537" i="5"/>
  <c r="AO537" i="5"/>
  <c r="AN537" i="5"/>
  <c r="AM537" i="5"/>
  <c r="AL537" i="5"/>
  <c r="AH537" i="5"/>
  <c r="AF537" i="5"/>
  <c r="AD537" i="5"/>
  <c r="AB537" i="5"/>
  <c r="Y537" i="5"/>
  <c r="X537" i="5"/>
  <c r="W537" i="5"/>
  <c r="V537" i="5"/>
  <c r="U537" i="5"/>
  <c r="T537" i="5"/>
  <c r="S537" i="5"/>
  <c r="R537" i="5"/>
  <c r="Q537" i="5"/>
  <c r="P537" i="5"/>
  <c r="O537" i="5"/>
  <c r="N537" i="5"/>
  <c r="M537" i="5"/>
  <c r="L537" i="5"/>
  <c r="K537" i="5"/>
  <c r="J537" i="5"/>
  <c r="I537" i="5"/>
  <c r="H537" i="5"/>
  <c r="G537" i="5"/>
  <c r="F537" i="5"/>
  <c r="E537" i="5"/>
  <c r="D537" i="5"/>
  <c r="C537" i="5"/>
  <c r="B537" i="5"/>
  <c r="A537" i="5"/>
  <c r="CS536" i="5"/>
  <c r="CM536" i="5"/>
  <c r="CG536" i="5"/>
  <c r="CF536" i="5"/>
  <c r="CE536" i="5"/>
  <c r="CD536" i="5"/>
  <c r="CC536" i="5"/>
  <c r="CB536" i="5"/>
  <c r="CA536" i="5"/>
  <c r="BY536" i="5"/>
  <c r="BW536" i="5"/>
  <c r="BV536" i="5"/>
  <c r="BU536" i="5"/>
  <c r="BQ536" i="5"/>
  <c r="BP536" i="5"/>
  <c r="BO536" i="5"/>
  <c r="BM536" i="5"/>
  <c r="BF536" i="5"/>
  <c r="BC536" i="5"/>
  <c r="AZ536" i="5"/>
  <c r="AY536" i="5"/>
  <c r="AX536" i="5"/>
  <c r="AW536" i="5"/>
  <c r="AV536" i="5"/>
  <c r="AU536" i="5"/>
  <c r="AT536" i="5"/>
  <c r="AR536" i="5"/>
  <c r="AQ536" i="5"/>
  <c r="AP536" i="5"/>
  <c r="AO536" i="5"/>
  <c r="AN536" i="5"/>
  <c r="AM536" i="5"/>
  <c r="AL536" i="5"/>
  <c r="AH536" i="5"/>
  <c r="AF536" i="5"/>
  <c r="AD536" i="5"/>
  <c r="AB536" i="5"/>
  <c r="Y536" i="5"/>
  <c r="X536" i="5"/>
  <c r="W536" i="5"/>
  <c r="V536" i="5"/>
  <c r="U536" i="5"/>
  <c r="T536" i="5"/>
  <c r="S536" i="5"/>
  <c r="R536" i="5"/>
  <c r="Q536" i="5"/>
  <c r="P536" i="5"/>
  <c r="O536" i="5"/>
  <c r="N536" i="5"/>
  <c r="M536" i="5"/>
  <c r="L536" i="5"/>
  <c r="K536" i="5"/>
  <c r="J536" i="5"/>
  <c r="I536" i="5"/>
  <c r="H536" i="5"/>
  <c r="G536" i="5"/>
  <c r="F536" i="5"/>
  <c r="E536" i="5"/>
  <c r="D536" i="5"/>
  <c r="C536" i="5"/>
  <c r="B536" i="5"/>
  <c r="A536" i="5"/>
  <c r="CS535" i="5"/>
  <c r="CM535" i="5"/>
  <c r="CG535" i="5"/>
  <c r="CF535" i="5"/>
  <c r="CE535" i="5"/>
  <c r="CD535" i="5"/>
  <c r="CC535" i="5"/>
  <c r="CB535" i="5"/>
  <c r="CA535" i="5"/>
  <c r="BY535" i="5"/>
  <c r="BW535" i="5"/>
  <c r="BV535" i="5"/>
  <c r="BU535" i="5"/>
  <c r="BQ535" i="5"/>
  <c r="BP535" i="5"/>
  <c r="BO535" i="5"/>
  <c r="BM535" i="5"/>
  <c r="BH535" i="5"/>
  <c r="BG535" i="5"/>
  <c r="BF535" i="5"/>
  <c r="BE535" i="5"/>
  <c r="BD535" i="5"/>
  <c r="BC535" i="5"/>
  <c r="BB535" i="5"/>
  <c r="BA535" i="5"/>
  <c r="AZ535" i="5"/>
  <c r="AY535" i="5"/>
  <c r="AX535" i="5"/>
  <c r="AW535" i="5"/>
  <c r="AV535" i="5"/>
  <c r="AU535" i="5"/>
  <c r="AT535" i="5"/>
  <c r="AS535" i="5"/>
  <c r="AR535" i="5"/>
  <c r="AQ535" i="5"/>
  <c r="AP535" i="5"/>
  <c r="AO535" i="5"/>
  <c r="AN535" i="5"/>
  <c r="AM535" i="5"/>
  <c r="AL535" i="5"/>
  <c r="AH535" i="5"/>
  <c r="AF535" i="5"/>
  <c r="AE535" i="5"/>
  <c r="AD535" i="5"/>
  <c r="AB535" i="5"/>
  <c r="X535" i="5"/>
  <c r="W535" i="5"/>
  <c r="V535" i="5"/>
  <c r="U535" i="5"/>
  <c r="T535" i="5"/>
  <c r="S535" i="5"/>
  <c r="R535" i="5"/>
  <c r="Q535" i="5"/>
  <c r="P535" i="5"/>
  <c r="O535" i="5"/>
  <c r="N535" i="5"/>
  <c r="M535" i="5"/>
  <c r="L535" i="5"/>
  <c r="K535" i="5"/>
  <c r="J535" i="5"/>
  <c r="I535" i="5"/>
  <c r="H535" i="5"/>
  <c r="G535" i="5"/>
  <c r="F535" i="5"/>
  <c r="E535" i="5"/>
  <c r="D535" i="5"/>
  <c r="C535" i="5"/>
  <c r="B535" i="5"/>
  <c r="A535" i="5"/>
  <c r="CS534" i="5"/>
  <c r="CM534" i="5"/>
  <c r="CG534" i="5"/>
  <c r="CF534" i="5"/>
  <c r="CE534" i="5"/>
  <c r="CD534" i="5"/>
  <c r="CC534" i="5"/>
  <c r="CB534" i="5"/>
  <c r="CA534" i="5"/>
  <c r="BY534" i="5"/>
  <c r="BW534" i="5"/>
  <c r="BV534" i="5"/>
  <c r="BU534" i="5"/>
  <c r="BQ534" i="5"/>
  <c r="BP534" i="5"/>
  <c r="BO534" i="5"/>
  <c r="BM534" i="5"/>
  <c r="BF534" i="5"/>
  <c r="BE534" i="5"/>
  <c r="BD534" i="5"/>
  <c r="BC534" i="5"/>
  <c r="BB534" i="5"/>
  <c r="AZ534" i="5"/>
  <c r="AY534" i="5"/>
  <c r="AX534" i="5"/>
  <c r="AW534" i="5"/>
  <c r="AV534" i="5"/>
  <c r="AU534" i="5"/>
  <c r="AT534" i="5"/>
  <c r="AS534" i="5"/>
  <c r="AR534" i="5"/>
  <c r="AQ534" i="5"/>
  <c r="AP534" i="5"/>
  <c r="AO534" i="5"/>
  <c r="AN534" i="5"/>
  <c r="AM534" i="5"/>
  <c r="AL534" i="5"/>
  <c r="AH534" i="5"/>
  <c r="AF534" i="5"/>
  <c r="AD534" i="5"/>
  <c r="AB534" i="5"/>
  <c r="Z534" i="5"/>
  <c r="X534" i="5"/>
  <c r="W534" i="5"/>
  <c r="V534" i="5"/>
  <c r="U534" i="5"/>
  <c r="T534" i="5"/>
  <c r="S534" i="5"/>
  <c r="R534" i="5"/>
  <c r="Q534" i="5"/>
  <c r="P534" i="5"/>
  <c r="O534" i="5"/>
  <c r="N534" i="5"/>
  <c r="M534" i="5"/>
  <c r="L534" i="5"/>
  <c r="K534" i="5"/>
  <c r="J534" i="5"/>
  <c r="I534" i="5"/>
  <c r="H534" i="5"/>
  <c r="G534" i="5"/>
  <c r="F534" i="5"/>
  <c r="E534" i="5"/>
  <c r="D534" i="5"/>
  <c r="C534" i="5"/>
  <c r="B534" i="5"/>
  <c r="A534" i="5"/>
  <c r="CS533" i="5"/>
  <c r="CM533" i="5"/>
  <c r="CG533" i="5"/>
  <c r="CF533" i="5"/>
  <c r="CE533" i="5"/>
  <c r="CD533" i="5"/>
  <c r="CC533" i="5"/>
  <c r="CB533" i="5"/>
  <c r="CA533" i="5"/>
  <c r="BZ533" i="5"/>
  <c r="BY533" i="5"/>
  <c r="BX533" i="5"/>
  <c r="BW533" i="5"/>
  <c r="BV533" i="5"/>
  <c r="BU533" i="5"/>
  <c r="BS533" i="5"/>
  <c r="BR533" i="5"/>
  <c r="BQ533" i="5"/>
  <c r="BP533" i="5"/>
  <c r="BO533" i="5"/>
  <c r="BM533" i="5"/>
  <c r="BF533" i="5"/>
  <c r="BE533" i="5"/>
  <c r="BD533" i="5"/>
  <c r="BC533" i="5"/>
  <c r="BB533" i="5"/>
  <c r="AZ533" i="5"/>
  <c r="AY533" i="5"/>
  <c r="AX533" i="5"/>
  <c r="AW533" i="5"/>
  <c r="AV533" i="5"/>
  <c r="AU533" i="5"/>
  <c r="AT533" i="5"/>
  <c r="AS533" i="5"/>
  <c r="AR533" i="5"/>
  <c r="AQ533" i="5"/>
  <c r="AP533" i="5"/>
  <c r="AO533" i="5"/>
  <c r="AN533" i="5"/>
  <c r="AM533" i="5"/>
  <c r="AL533" i="5"/>
  <c r="AH533" i="5"/>
  <c r="AF533" i="5"/>
  <c r="AD533" i="5"/>
  <c r="AB533" i="5"/>
  <c r="Z533" i="5"/>
  <c r="X533" i="5"/>
  <c r="W533" i="5"/>
  <c r="V533" i="5"/>
  <c r="U533" i="5"/>
  <c r="T533" i="5"/>
  <c r="S533" i="5"/>
  <c r="R533" i="5"/>
  <c r="Q533" i="5"/>
  <c r="P533" i="5"/>
  <c r="O533" i="5"/>
  <c r="N533" i="5"/>
  <c r="M533" i="5"/>
  <c r="L533" i="5"/>
  <c r="K533" i="5"/>
  <c r="J533" i="5"/>
  <c r="I533" i="5"/>
  <c r="H533" i="5"/>
  <c r="G533" i="5"/>
  <c r="F533" i="5"/>
  <c r="E533" i="5"/>
  <c r="D533" i="5"/>
  <c r="C533" i="5"/>
  <c r="B533" i="5"/>
  <c r="A533" i="5"/>
  <c r="CS532" i="5"/>
  <c r="CM532" i="5"/>
  <c r="CG532" i="5"/>
  <c r="CF532" i="5"/>
  <c r="CE532" i="5"/>
  <c r="CD532" i="5"/>
  <c r="CC532" i="5"/>
  <c r="CB532" i="5"/>
  <c r="CA532" i="5"/>
  <c r="BY532" i="5"/>
  <c r="BW532" i="5"/>
  <c r="BV532" i="5"/>
  <c r="BU532" i="5"/>
  <c r="BQ532" i="5"/>
  <c r="BP532" i="5"/>
  <c r="BO532" i="5"/>
  <c r="BM532" i="5"/>
  <c r="BF532" i="5"/>
  <c r="BE532" i="5"/>
  <c r="BD532" i="5"/>
  <c r="BC532" i="5"/>
  <c r="BB532" i="5"/>
  <c r="AZ532" i="5"/>
  <c r="AY532" i="5"/>
  <c r="AX532" i="5"/>
  <c r="AW532" i="5"/>
  <c r="AV532" i="5"/>
  <c r="AU532" i="5"/>
  <c r="AT532" i="5"/>
  <c r="AS532" i="5"/>
  <c r="AR532" i="5"/>
  <c r="AQ532" i="5"/>
  <c r="AP532" i="5"/>
  <c r="AO532" i="5"/>
  <c r="AN532" i="5"/>
  <c r="AM532" i="5"/>
  <c r="AL532" i="5"/>
  <c r="AH532" i="5"/>
  <c r="AF532" i="5"/>
  <c r="AD532" i="5"/>
  <c r="AB532" i="5"/>
  <c r="Z532" i="5"/>
  <c r="X532" i="5"/>
  <c r="W532" i="5"/>
  <c r="V532" i="5"/>
  <c r="U532" i="5"/>
  <c r="T532" i="5"/>
  <c r="S532" i="5"/>
  <c r="R532" i="5"/>
  <c r="Q532" i="5"/>
  <c r="P532" i="5"/>
  <c r="O532" i="5"/>
  <c r="N532" i="5"/>
  <c r="M532" i="5"/>
  <c r="L532" i="5"/>
  <c r="K532" i="5"/>
  <c r="J532" i="5"/>
  <c r="I532" i="5"/>
  <c r="H532" i="5"/>
  <c r="G532" i="5"/>
  <c r="F532" i="5"/>
  <c r="E532" i="5"/>
  <c r="D532" i="5"/>
  <c r="C532" i="5"/>
  <c r="B532" i="5"/>
  <c r="A532" i="5"/>
  <c r="CS531" i="5"/>
  <c r="CM531" i="5"/>
  <c r="CG531" i="5"/>
  <c r="CF531" i="5"/>
  <c r="CE531" i="5"/>
  <c r="CD531" i="5"/>
  <c r="CC531" i="5"/>
  <c r="CB531" i="5"/>
  <c r="CA531" i="5"/>
  <c r="BY531" i="5"/>
  <c r="BX531" i="5"/>
  <c r="BW531" i="5"/>
  <c r="BV531" i="5"/>
  <c r="BU531" i="5"/>
  <c r="BQ531" i="5"/>
  <c r="BP531" i="5"/>
  <c r="BO531" i="5"/>
  <c r="BM531" i="5"/>
  <c r="BF531" i="5"/>
  <c r="BE531" i="5"/>
  <c r="BD531" i="5"/>
  <c r="BC531" i="5"/>
  <c r="BB531" i="5"/>
  <c r="AZ531" i="5"/>
  <c r="AY531" i="5"/>
  <c r="AX531" i="5"/>
  <c r="AW531" i="5"/>
  <c r="AV531" i="5"/>
  <c r="AU531" i="5"/>
  <c r="AT531" i="5"/>
  <c r="AS531" i="5"/>
  <c r="AR531" i="5"/>
  <c r="AQ531" i="5"/>
  <c r="AP531" i="5"/>
  <c r="AO531" i="5"/>
  <c r="AN531" i="5"/>
  <c r="AM531" i="5"/>
  <c r="AL531" i="5"/>
  <c r="AH531" i="5"/>
  <c r="AF531" i="5"/>
  <c r="AD531" i="5"/>
  <c r="AB531" i="5"/>
  <c r="Z531" i="5"/>
  <c r="X531" i="5"/>
  <c r="W531" i="5"/>
  <c r="V531" i="5"/>
  <c r="U531" i="5"/>
  <c r="T531" i="5"/>
  <c r="S531" i="5"/>
  <c r="R531" i="5"/>
  <c r="Q531" i="5"/>
  <c r="P531" i="5"/>
  <c r="O531" i="5"/>
  <c r="N531" i="5"/>
  <c r="M531" i="5"/>
  <c r="L531" i="5"/>
  <c r="K531" i="5"/>
  <c r="J531" i="5"/>
  <c r="I531" i="5"/>
  <c r="H531" i="5"/>
  <c r="G531" i="5"/>
  <c r="F531" i="5"/>
  <c r="E531" i="5"/>
  <c r="D531" i="5"/>
  <c r="C531" i="5"/>
  <c r="B531" i="5"/>
  <c r="A531" i="5"/>
  <c r="CS530" i="5"/>
  <c r="CM530" i="5"/>
  <c r="CG530" i="5"/>
  <c r="CF530" i="5"/>
  <c r="CE530" i="5"/>
  <c r="CD530" i="5"/>
  <c r="CC530" i="5"/>
  <c r="CB530" i="5"/>
  <c r="CA530" i="5"/>
  <c r="BY530" i="5"/>
  <c r="BW530" i="5"/>
  <c r="BV530" i="5"/>
  <c r="BU530" i="5"/>
  <c r="BQ530" i="5"/>
  <c r="BP530" i="5"/>
  <c r="BO530" i="5"/>
  <c r="BM530" i="5"/>
  <c r="BF530" i="5"/>
  <c r="BC530" i="5"/>
  <c r="AZ530" i="5"/>
  <c r="AY530" i="5"/>
  <c r="AX530" i="5"/>
  <c r="AW530" i="5"/>
  <c r="AV530" i="5"/>
  <c r="AU530" i="5"/>
  <c r="AT530" i="5"/>
  <c r="AR530" i="5"/>
  <c r="AQ530" i="5"/>
  <c r="AP530" i="5"/>
  <c r="AO530" i="5"/>
  <c r="AN530" i="5"/>
  <c r="AM530" i="5"/>
  <c r="AL530" i="5"/>
  <c r="AH530" i="5"/>
  <c r="AF530" i="5"/>
  <c r="AD530" i="5"/>
  <c r="AB530" i="5"/>
  <c r="Y530" i="5"/>
  <c r="X530" i="5"/>
  <c r="W530" i="5"/>
  <c r="V530" i="5"/>
  <c r="U530" i="5"/>
  <c r="T530" i="5"/>
  <c r="S530" i="5"/>
  <c r="R530" i="5"/>
  <c r="Q530" i="5"/>
  <c r="P530" i="5"/>
  <c r="O530" i="5"/>
  <c r="N530" i="5"/>
  <c r="M530" i="5"/>
  <c r="L530" i="5"/>
  <c r="K530" i="5"/>
  <c r="J530" i="5"/>
  <c r="I530" i="5"/>
  <c r="H530" i="5"/>
  <c r="G530" i="5"/>
  <c r="F530" i="5"/>
  <c r="E530" i="5"/>
  <c r="D530" i="5"/>
  <c r="C530" i="5"/>
  <c r="B530" i="5"/>
  <c r="A530" i="5"/>
  <c r="CS529" i="5"/>
  <c r="CM529" i="5"/>
  <c r="CG529" i="5"/>
  <c r="CF529" i="5"/>
  <c r="CE529" i="5"/>
  <c r="CD529" i="5"/>
  <c r="CC529" i="5"/>
  <c r="CB529" i="5"/>
  <c r="CA529" i="5"/>
  <c r="BY529" i="5"/>
  <c r="BW529" i="5"/>
  <c r="BV529" i="5"/>
  <c r="BU529" i="5"/>
  <c r="BQ529" i="5"/>
  <c r="BP529" i="5"/>
  <c r="BO529" i="5"/>
  <c r="BM529" i="5"/>
  <c r="BF529" i="5"/>
  <c r="BC529" i="5"/>
  <c r="AZ529" i="5"/>
  <c r="AY529" i="5"/>
  <c r="AX529" i="5"/>
  <c r="AW529" i="5"/>
  <c r="AV529" i="5"/>
  <c r="AU529" i="5"/>
  <c r="AT529" i="5"/>
  <c r="AR529" i="5"/>
  <c r="AQ529" i="5"/>
  <c r="AP529" i="5"/>
  <c r="AO529" i="5"/>
  <c r="AN529" i="5"/>
  <c r="AM529" i="5"/>
  <c r="AL529" i="5"/>
  <c r="AH529" i="5"/>
  <c r="AF529" i="5"/>
  <c r="AD529" i="5"/>
  <c r="AB529" i="5"/>
  <c r="Y529" i="5"/>
  <c r="X529" i="5"/>
  <c r="W529" i="5"/>
  <c r="V529" i="5"/>
  <c r="U529" i="5"/>
  <c r="T529" i="5"/>
  <c r="S529" i="5"/>
  <c r="R529" i="5"/>
  <c r="Q529" i="5"/>
  <c r="P529" i="5"/>
  <c r="O529" i="5"/>
  <c r="N529" i="5"/>
  <c r="M529" i="5"/>
  <c r="L529" i="5"/>
  <c r="K529" i="5"/>
  <c r="J529" i="5"/>
  <c r="I529" i="5"/>
  <c r="H529" i="5"/>
  <c r="G529" i="5"/>
  <c r="F529" i="5"/>
  <c r="E529" i="5"/>
  <c r="D529" i="5"/>
  <c r="C529" i="5"/>
  <c r="B529" i="5"/>
  <c r="A529" i="5"/>
  <c r="CS528" i="5"/>
  <c r="CM528" i="5"/>
  <c r="CG528" i="5"/>
  <c r="CF528" i="5"/>
  <c r="CE528" i="5"/>
  <c r="CD528" i="5"/>
  <c r="CC528" i="5"/>
  <c r="CB528" i="5"/>
  <c r="CA528" i="5"/>
  <c r="BY528" i="5"/>
  <c r="BW528" i="5"/>
  <c r="BV528" i="5"/>
  <c r="BU528" i="5"/>
  <c r="BQ528" i="5"/>
  <c r="BP528" i="5"/>
  <c r="BO528" i="5"/>
  <c r="BM528" i="5"/>
  <c r="BF528" i="5"/>
  <c r="BC528" i="5"/>
  <c r="AZ528" i="5"/>
  <c r="AY528" i="5"/>
  <c r="AX528" i="5"/>
  <c r="AW528" i="5"/>
  <c r="AV528" i="5"/>
  <c r="AU528" i="5"/>
  <c r="AT528" i="5"/>
  <c r="AR528" i="5"/>
  <c r="AQ528" i="5"/>
  <c r="AP528" i="5"/>
  <c r="AO528" i="5"/>
  <c r="AN528" i="5"/>
  <c r="AM528" i="5"/>
  <c r="AL528" i="5"/>
  <c r="AH528" i="5"/>
  <c r="AF528" i="5"/>
  <c r="AD528" i="5"/>
  <c r="AB528" i="5"/>
  <c r="Y528" i="5"/>
  <c r="X528" i="5"/>
  <c r="W528" i="5"/>
  <c r="V528" i="5"/>
  <c r="U528" i="5"/>
  <c r="T528" i="5"/>
  <c r="S528" i="5"/>
  <c r="R528" i="5"/>
  <c r="Q528" i="5"/>
  <c r="P528" i="5"/>
  <c r="O528" i="5"/>
  <c r="N528" i="5"/>
  <c r="M528" i="5"/>
  <c r="L528" i="5"/>
  <c r="K528" i="5"/>
  <c r="J528" i="5"/>
  <c r="I528" i="5"/>
  <c r="H528" i="5"/>
  <c r="G528" i="5"/>
  <c r="F528" i="5"/>
  <c r="E528" i="5"/>
  <c r="D528" i="5"/>
  <c r="C528" i="5"/>
  <c r="B528" i="5"/>
  <c r="A528" i="5"/>
  <c r="CS527" i="5"/>
  <c r="CM527" i="5"/>
  <c r="CG527" i="5"/>
  <c r="CF527" i="5"/>
  <c r="CE527" i="5"/>
  <c r="CD527" i="5"/>
  <c r="CC527" i="5"/>
  <c r="CB527" i="5"/>
  <c r="CA527" i="5"/>
  <c r="BZ527" i="5"/>
  <c r="BY527" i="5"/>
  <c r="BX527" i="5"/>
  <c r="BW527" i="5"/>
  <c r="BV527" i="5"/>
  <c r="BU527" i="5"/>
  <c r="BS527" i="5"/>
  <c r="BR527" i="5"/>
  <c r="BQ527" i="5"/>
  <c r="BP527" i="5"/>
  <c r="BO527" i="5"/>
  <c r="BM527" i="5"/>
  <c r="BF527" i="5"/>
  <c r="BC527" i="5"/>
  <c r="AZ527" i="5"/>
  <c r="AY527" i="5"/>
  <c r="AX527" i="5"/>
  <c r="AW527" i="5"/>
  <c r="AV527" i="5"/>
  <c r="AU527" i="5"/>
  <c r="AT527" i="5"/>
  <c r="AR527" i="5"/>
  <c r="AQ527" i="5"/>
  <c r="AP527" i="5"/>
  <c r="AO527" i="5"/>
  <c r="AN527" i="5"/>
  <c r="AM527" i="5"/>
  <c r="AL527" i="5"/>
  <c r="AH527" i="5"/>
  <c r="AF527" i="5"/>
  <c r="AD527" i="5"/>
  <c r="AB527" i="5"/>
  <c r="Y527" i="5"/>
  <c r="X527" i="5"/>
  <c r="W527" i="5"/>
  <c r="V527" i="5"/>
  <c r="U527" i="5"/>
  <c r="T527" i="5"/>
  <c r="S527" i="5"/>
  <c r="R527" i="5"/>
  <c r="Q527" i="5"/>
  <c r="P527" i="5"/>
  <c r="O527" i="5"/>
  <c r="N527" i="5"/>
  <c r="M527" i="5"/>
  <c r="L527" i="5"/>
  <c r="K527" i="5"/>
  <c r="J527" i="5"/>
  <c r="I527" i="5"/>
  <c r="H527" i="5"/>
  <c r="G527" i="5"/>
  <c r="F527" i="5"/>
  <c r="E527" i="5"/>
  <c r="D527" i="5"/>
  <c r="C527" i="5"/>
  <c r="B527" i="5"/>
  <c r="A527" i="5"/>
  <c r="CS526" i="5"/>
  <c r="CM526" i="5"/>
  <c r="CG526" i="5"/>
  <c r="CF526" i="5"/>
  <c r="CE526" i="5"/>
  <c r="CD526" i="5"/>
  <c r="CC526" i="5"/>
  <c r="CB526" i="5"/>
  <c r="CA526" i="5"/>
  <c r="BZ526" i="5"/>
  <c r="BY526" i="5"/>
  <c r="BX526" i="5"/>
  <c r="BW526" i="5"/>
  <c r="BV526" i="5"/>
  <c r="BU526" i="5"/>
  <c r="BT526" i="5"/>
  <c r="BQ526" i="5"/>
  <c r="BP526" i="5"/>
  <c r="BO526" i="5"/>
  <c r="BM526" i="5"/>
  <c r="BF526" i="5"/>
  <c r="BC526" i="5"/>
  <c r="AZ526" i="5"/>
  <c r="AY526" i="5"/>
  <c r="AX526" i="5"/>
  <c r="AW526" i="5"/>
  <c r="AV526" i="5"/>
  <c r="AU526" i="5"/>
  <c r="AT526" i="5"/>
  <c r="AR526" i="5"/>
  <c r="AQ526" i="5"/>
  <c r="AP526" i="5"/>
  <c r="AO526" i="5"/>
  <c r="AN526" i="5"/>
  <c r="AM526" i="5"/>
  <c r="AL526" i="5"/>
  <c r="AH526" i="5"/>
  <c r="AF526" i="5"/>
  <c r="AD526" i="5"/>
  <c r="AB526" i="5"/>
  <c r="Y526" i="5"/>
  <c r="X526" i="5"/>
  <c r="W526" i="5"/>
  <c r="V526" i="5"/>
  <c r="U526" i="5"/>
  <c r="T526" i="5"/>
  <c r="S526" i="5"/>
  <c r="R526" i="5"/>
  <c r="Q526" i="5"/>
  <c r="P526" i="5"/>
  <c r="O526" i="5"/>
  <c r="N526" i="5"/>
  <c r="M526" i="5"/>
  <c r="L526" i="5"/>
  <c r="K526" i="5"/>
  <c r="J526" i="5"/>
  <c r="I526" i="5"/>
  <c r="H526" i="5"/>
  <c r="G526" i="5"/>
  <c r="F526" i="5"/>
  <c r="E526" i="5"/>
  <c r="D526" i="5"/>
  <c r="C526" i="5"/>
  <c r="B526" i="5"/>
  <c r="A526" i="5"/>
  <c r="CS525" i="5"/>
  <c r="CM525" i="5"/>
  <c r="CG525" i="5"/>
  <c r="CF525" i="5"/>
  <c r="CE525" i="5"/>
  <c r="CD525" i="5"/>
  <c r="CC525" i="5"/>
  <c r="CB525" i="5"/>
  <c r="CA525" i="5"/>
  <c r="BZ525" i="5"/>
  <c r="BY525" i="5"/>
  <c r="BX525" i="5"/>
  <c r="BW525" i="5"/>
  <c r="BV525" i="5"/>
  <c r="BU525" i="5"/>
  <c r="BS525" i="5"/>
  <c r="BR525" i="5"/>
  <c r="BQ525" i="5"/>
  <c r="BP525" i="5"/>
  <c r="BO525" i="5"/>
  <c r="BM525" i="5"/>
  <c r="BF525" i="5"/>
  <c r="BC525" i="5"/>
  <c r="AZ525" i="5"/>
  <c r="AY525" i="5"/>
  <c r="AX525" i="5"/>
  <c r="AW525" i="5"/>
  <c r="AV525" i="5"/>
  <c r="AU525" i="5"/>
  <c r="AT525" i="5"/>
  <c r="AR525" i="5"/>
  <c r="AQ525" i="5"/>
  <c r="AP525" i="5"/>
  <c r="AO525" i="5"/>
  <c r="AN525" i="5"/>
  <c r="AM525" i="5"/>
  <c r="AL525" i="5"/>
  <c r="AH525" i="5"/>
  <c r="AF525" i="5"/>
  <c r="AD525" i="5"/>
  <c r="AB525" i="5"/>
  <c r="Y525" i="5"/>
  <c r="X525" i="5"/>
  <c r="W525" i="5"/>
  <c r="V525" i="5"/>
  <c r="U525" i="5"/>
  <c r="T525" i="5"/>
  <c r="S525" i="5"/>
  <c r="R525" i="5"/>
  <c r="Q525" i="5"/>
  <c r="P525" i="5"/>
  <c r="O525" i="5"/>
  <c r="N525" i="5"/>
  <c r="M525" i="5"/>
  <c r="L525" i="5"/>
  <c r="K525" i="5"/>
  <c r="J525" i="5"/>
  <c r="I525" i="5"/>
  <c r="H525" i="5"/>
  <c r="G525" i="5"/>
  <c r="F525" i="5"/>
  <c r="E525" i="5"/>
  <c r="D525" i="5"/>
  <c r="C525" i="5"/>
  <c r="B525" i="5"/>
  <c r="A525" i="5"/>
  <c r="CS524" i="5"/>
  <c r="CM524" i="5"/>
  <c r="CG524" i="5"/>
  <c r="CF524" i="5"/>
  <c r="CE524" i="5"/>
  <c r="CD524" i="5"/>
  <c r="CC524" i="5"/>
  <c r="CB524" i="5"/>
  <c r="CA524" i="5"/>
  <c r="BZ524" i="5"/>
  <c r="BY524" i="5"/>
  <c r="BX524" i="5"/>
  <c r="BW524" i="5"/>
  <c r="BV524" i="5"/>
  <c r="BU524" i="5"/>
  <c r="BS524" i="5"/>
  <c r="BR524" i="5"/>
  <c r="BQ524" i="5"/>
  <c r="BP524" i="5"/>
  <c r="BO524" i="5"/>
  <c r="BM524" i="5"/>
  <c r="BH524" i="5"/>
  <c r="BG524" i="5"/>
  <c r="BF524" i="5"/>
  <c r="BE524" i="5"/>
  <c r="BD524" i="5"/>
  <c r="BC524" i="5"/>
  <c r="BB524" i="5"/>
  <c r="BA524" i="5"/>
  <c r="AZ524" i="5"/>
  <c r="AY524" i="5"/>
  <c r="AX524" i="5"/>
  <c r="AW524" i="5"/>
  <c r="AV524" i="5"/>
  <c r="AU524" i="5"/>
  <c r="AT524" i="5"/>
  <c r="AS524" i="5"/>
  <c r="AR524" i="5"/>
  <c r="AQ524" i="5"/>
  <c r="AP524" i="5"/>
  <c r="AO524" i="5"/>
  <c r="AN524" i="5"/>
  <c r="AM524" i="5"/>
  <c r="AL524" i="5"/>
  <c r="AH524" i="5"/>
  <c r="AF524" i="5"/>
  <c r="AE524" i="5"/>
  <c r="AD524" i="5"/>
  <c r="AB524" i="5"/>
  <c r="X524" i="5"/>
  <c r="W524" i="5"/>
  <c r="V524" i="5"/>
  <c r="U524" i="5"/>
  <c r="T524" i="5"/>
  <c r="S524" i="5"/>
  <c r="R524" i="5"/>
  <c r="Q524" i="5"/>
  <c r="P524" i="5"/>
  <c r="O524" i="5"/>
  <c r="N524" i="5"/>
  <c r="M524" i="5"/>
  <c r="L524" i="5"/>
  <c r="K524" i="5"/>
  <c r="J524" i="5"/>
  <c r="I524" i="5"/>
  <c r="H524" i="5"/>
  <c r="G524" i="5"/>
  <c r="F524" i="5"/>
  <c r="E524" i="5"/>
  <c r="D524" i="5"/>
  <c r="C524" i="5"/>
  <c r="B524" i="5"/>
  <c r="A524" i="5"/>
  <c r="CS523" i="5"/>
  <c r="CM523" i="5"/>
  <c r="CG523" i="5"/>
  <c r="CF523" i="5"/>
  <c r="CE523" i="5"/>
  <c r="CD523" i="5"/>
  <c r="CC523" i="5"/>
  <c r="CB523" i="5"/>
  <c r="CA523" i="5"/>
  <c r="BZ523" i="5"/>
  <c r="BY523" i="5"/>
  <c r="BX523" i="5"/>
  <c r="BW523" i="5"/>
  <c r="BV523" i="5"/>
  <c r="BU523" i="5"/>
  <c r="BS523" i="5"/>
  <c r="BR523" i="5"/>
  <c r="BQ523" i="5"/>
  <c r="BP523" i="5"/>
  <c r="BO523" i="5"/>
  <c r="BM523" i="5"/>
  <c r="BF523" i="5"/>
  <c r="BC523" i="5"/>
  <c r="AZ523" i="5"/>
  <c r="AY523" i="5"/>
  <c r="AX523" i="5"/>
  <c r="AW523" i="5"/>
  <c r="AV523" i="5"/>
  <c r="AU523" i="5"/>
  <c r="AT523" i="5"/>
  <c r="AR523" i="5"/>
  <c r="AQ523" i="5"/>
  <c r="AP523" i="5"/>
  <c r="AO523" i="5"/>
  <c r="AN523" i="5"/>
  <c r="AM523" i="5"/>
  <c r="AL523" i="5"/>
  <c r="AH523" i="5"/>
  <c r="AF523" i="5"/>
  <c r="AD523" i="5"/>
  <c r="AB523" i="5"/>
  <c r="Y523" i="5"/>
  <c r="X523" i="5"/>
  <c r="W523" i="5"/>
  <c r="V523" i="5"/>
  <c r="U523" i="5"/>
  <c r="T523" i="5"/>
  <c r="S523" i="5"/>
  <c r="R523" i="5"/>
  <c r="Q523" i="5"/>
  <c r="P523" i="5"/>
  <c r="O523" i="5"/>
  <c r="N523" i="5"/>
  <c r="M523" i="5"/>
  <c r="L523" i="5"/>
  <c r="K523" i="5"/>
  <c r="J523" i="5"/>
  <c r="I523" i="5"/>
  <c r="H523" i="5"/>
  <c r="G523" i="5"/>
  <c r="F523" i="5"/>
  <c r="E523" i="5"/>
  <c r="D523" i="5"/>
  <c r="C523" i="5"/>
  <c r="B523" i="5"/>
  <c r="A523" i="5"/>
  <c r="CS522" i="5"/>
  <c r="CM522" i="5"/>
  <c r="CG522" i="5"/>
  <c r="CF522" i="5"/>
  <c r="CE522" i="5"/>
  <c r="CD522" i="5"/>
  <c r="CC522" i="5"/>
  <c r="CB522" i="5"/>
  <c r="CA522" i="5"/>
  <c r="BY522" i="5"/>
  <c r="BW522" i="5"/>
  <c r="BV522" i="5"/>
  <c r="BU522" i="5"/>
  <c r="BQ522" i="5"/>
  <c r="BP522" i="5"/>
  <c r="BO522" i="5"/>
  <c r="BM522" i="5"/>
  <c r="BF522" i="5"/>
  <c r="BC522" i="5"/>
  <c r="AZ522" i="5"/>
  <c r="AY522" i="5"/>
  <c r="AX522" i="5"/>
  <c r="AW522" i="5"/>
  <c r="AV522" i="5"/>
  <c r="AU522" i="5"/>
  <c r="AT522" i="5"/>
  <c r="AR522" i="5"/>
  <c r="AQ522" i="5"/>
  <c r="AP522" i="5"/>
  <c r="AO522" i="5"/>
  <c r="AN522" i="5"/>
  <c r="AM522" i="5"/>
  <c r="AL522" i="5"/>
  <c r="AH522" i="5"/>
  <c r="AF522" i="5"/>
  <c r="AD522" i="5"/>
  <c r="AB522" i="5"/>
  <c r="Y522" i="5"/>
  <c r="X522" i="5"/>
  <c r="W522" i="5"/>
  <c r="V522" i="5"/>
  <c r="U522" i="5"/>
  <c r="T522" i="5"/>
  <c r="S522" i="5"/>
  <c r="R522" i="5"/>
  <c r="Q522" i="5"/>
  <c r="P522" i="5"/>
  <c r="O522" i="5"/>
  <c r="N522" i="5"/>
  <c r="M522" i="5"/>
  <c r="L522" i="5"/>
  <c r="K522" i="5"/>
  <c r="J522" i="5"/>
  <c r="I522" i="5"/>
  <c r="H522" i="5"/>
  <c r="G522" i="5"/>
  <c r="F522" i="5"/>
  <c r="E522" i="5"/>
  <c r="D522" i="5"/>
  <c r="C522" i="5"/>
  <c r="B522" i="5"/>
  <c r="A522" i="5"/>
  <c r="CS521" i="5"/>
  <c r="CM521" i="5"/>
  <c r="CG521" i="5"/>
  <c r="CF521" i="5"/>
  <c r="CE521" i="5"/>
  <c r="CD521" i="5"/>
  <c r="CC521" i="5"/>
  <c r="CB521" i="5"/>
  <c r="CA521" i="5"/>
  <c r="BY521" i="5"/>
  <c r="BW521" i="5"/>
  <c r="BV521" i="5"/>
  <c r="BU521" i="5"/>
  <c r="BQ521" i="5"/>
  <c r="BP521" i="5"/>
  <c r="BO521" i="5"/>
  <c r="BM521" i="5"/>
  <c r="BF521" i="5"/>
  <c r="BC521" i="5"/>
  <c r="AZ521" i="5"/>
  <c r="AY521" i="5"/>
  <c r="AX521" i="5"/>
  <c r="AW521" i="5"/>
  <c r="AV521" i="5"/>
  <c r="AU521" i="5"/>
  <c r="AT521" i="5"/>
  <c r="AR521" i="5"/>
  <c r="AQ521" i="5"/>
  <c r="AP521" i="5"/>
  <c r="AO521" i="5"/>
  <c r="AN521" i="5"/>
  <c r="AM521" i="5"/>
  <c r="AL521" i="5"/>
  <c r="AH521" i="5"/>
  <c r="AF521" i="5"/>
  <c r="AD521" i="5"/>
  <c r="AB521" i="5"/>
  <c r="Y521" i="5"/>
  <c r="X521" i="5"/>
  <c r="W521" i="5"/>
  <c r="V521" i="5"/>
  <c r="U521" i="5"/>
  <c r="T521" i="5"/>
  <c r="S521" i="5"/>
  <c r="R521" i="5"/>
  <c r="Q521" i="5"/>
  <c r="P521" i="5"/>
  <c r="O521" i="5"/>
  <c r="N521" i="5"/>
  <c r="M521" i="5"/>
  <c r="L521" i="5"/>
  <c r="K521" i="5"/>
  <c r="J521" i="5"/>
  <c r="I521" i="5"/>
  <c r="H521" i="5"/>
  <c r="G521" i="5"/>
  <c r="F521" i="5"/>
  <c r="E521" i="5"/>
  <c r="D521" i="5"/>
  <c r="C521" i="5"/>
  <c r="B521" i="5"/>
  <c r="A521" i="5"/>
  <c r="CS520" i="5"/>
  <c r="CM520" i="5"/>
  <c r="CG520" i="5"/>
  <c r="CF520" i="5"/>
  <c r="CE520" i="5"/>
  <c r="CD520" i="5"/>
  <c r="CC520" i="5"/>
  <c r="CB520" i="5"/>
  <c r="CA520" i="5"/>
  <c r="BY520" i="5"/>
  <c r="BW520" i="5"/>
  <c r="BV520" i="5"/>
  <c r="BU520" i="5"/>
  <c r="BQ520" i="5"/>
  <c r="BP520" i="5"/>
  <c r="BO520" i="5"/>
  <c r="BM520" i="5"/>
  <c r="BF520" i="5"/>
  <c r="BC520" i="5"/>
  <c r="AY520" i="5"/>
  <c r="AX520" i="5"/>
  <c r="AW520" i="5"/>
  <c r="AV520" i="5"/>
  <c r="AU520" i="5"/>
  <c r="AT520" i="5"/>
  <c r="AR520" i="5"/>
  <c r="AQ520" i="5"/>
  <c r="AP520" i="5"/>
  <c r="AO520" i="5"/>
  <c r="AN520" i="5"/>
  <c r="AM520" i="5"/>
  <c r="AL520" i="5"/>
  <c r="AH520" i="5"/>
  <c r="AF520" i="5"/>
  <c r="AD520" i="5"/>
  <c r="AB520" i="5"/>
  <c r="Z520" i="5"/>
  <c r="X520" i="5"/>
  <c r="W520" i="5"/>
  <c r="V520" i="5"/>
  <c r="U520" i="5"/>
  <c r="T520" i="5"/>
  <c r="S520" i="5"/>
  <c r="R520" i="5"/>
  <c r="Q520" i="5"/>
  <c r="P520" i="5"/>
  <c r="O520" i="5"/>
  <c r="N520" i="5"/>
  <c r="M520" i="5"/>
  <c r="L520" i="5"/>
  <c r="K520" i="5"/>
  <c r="J520" i="5"/>
  <c r="I520" i="5"/>
  <c r="H520" i="5"/>
  <c r="G520" i="5"/>
  <c r="F520" i="5"/>
  <c r="E520" i="5"/>
  <c r="D520" i="5"/>
  <c r="C520" i="5"/>
  <c r="B520" i="5"/>
  <c r="A520" i="5"/>
  <c r="CS519" i="5"/>
  <c r="CM519" i="5"/>
  <c r="CG519" i="5"/>
  <c r="CF519" i="5"/>
  <c r="CE519" i="5"/>
  <c r="CD519" i="5"/>
  <c r="CC519" i="5"/>
  <c r="CB519" i="5"/>
  <c r="CA519" i="5"/>
  <c r="BY519" i="5"/>
  <c r="BW519" i="5"/>
  <c r="BV519" i="5"/>
  <c r="BU519" i="5"/>
  <c r="BQ519" i="5"/>
  <c r="BP519" i="5"/>
  <c r="BO519" i="5"/>
  <c r="BM519" i="5"/>
  <c r="BF519" i="5"/>
  <c r="BC519" i="5"/>
  <c r="AZ519" i="5"/>
  <c r="AY519" i="5"/>
  <c r="AX519" i="5"/>
  <c r="AW519" i="5"/>
  <c r="AV519" i="5"/>
  <c r="AU519" i="5"/>
  <c r="AT519" i="5"/>
  <c r="AR519" i="5"/>
  <c r="AQ519" i="5"/>
  <c r="AP519" i="5"/>
  <c r="AO519" i="5"/>
  <c r="AN519" i="5"/>
  <c r="AM519" i="5"/>
  <c r="AL519" i="5"/>
  <c r="AH519" i="5"/>
  <c r="AF519" i="5"/>
  <c r="AD519" i="5"/>
  <c r="AB519" i="5"/>
  <c r="Y519" i="5"/>
  <c r="X519" i="5"/>
  <c r="W519" i="5"/>
  <c r="V519" i="5"/>
  <c r="U519" i="5"/>
  <c r="T519" i="5"/>
  <c r="S519" i="5"/>
  <c r="R519" i="5"/>
  <c r="Q519" i="5"/>
  <c r="P519" i="5"/>
  <c r="O519" i="5"/>
  <c r="N519" i="5"/>
  <c r="M519" i="5"/>
  <c r="L519" i="5"/>
  <c r="K519" i="5"/>
  <c r="J519" i="5"/>
  <c r="I519" i="5"/>
  <c r="H519" i="5"/>
  <c r="G519" i="5"/>
  <c r="F519" i="5"/>
  <c r="E519" i="5"/>
  <c r="D519" i="5"/>
  <c r="C519" i="5"/>
  <c r="B519" i="5"/>
  <c r="A519" i="5"/>
  <c r="CS518" i="5"/>
  <c r="CM518" i="5"/>
  <c r="CG518" i="5"/>
  <c r="CF518" i="5"/>
  <c r="CE518" i="5"/>
  <c r="CD518" i="5"/>
  <c r="CC518" i="5"/>
  <c r="CB518" i="5"/>
  <c r="CA518" i="5"/>
  <c r="BY518" i="5"/>
  <c r="BX518" i="5"/>
  <c r="BW518" i="5"/>
  <c r="BV518" i="5"/>
  <c r="BU518" i="5"/>
  <c r="BQ518" i="5"/>
  <c r="BP518" i="5"/>
  <c r="BO518" i="5"/>
  <c r="BM518" i="5"/>
  <c r="BF518" i="5"/>
  <c r="BE518" i="5"/>
  <c r="BD518" i="5"/>
  <c r="BC518" i="5"/>
  <c r="BB518" i="5"/>
  <c r="AY518" i="5"/>
  <c r="AX518" i="5"/>
  <c r="AW518" i="5"/>
  <c r="AV518" i="5"/>
  <c r="AU518" i="5"/>
  <c r="AT518" i="5"/>
  <c r="AR518" i="5"/>
  <c r="AQ518" i="5"/>
  <c r="AP518" i="5"/>
  <c r="AO518" i="5"/>
  <c r="AN518" i="5"/>
  <c r="AM518" i="5"/>
  <c r="AL518" i="5"/>
  <c r="AH518" i="5"/>
  <c r="AF518" i="5"/>
  <c r="AD518" i="5"/>
  <c r="AB518" i="5"/>
  <c r="Z518" i="5"/>
  <c r="X518" i="5"/>
  <c r="W518" i="5"/>
  <c r="V518" i="5"/>
  <c r="U518" i="5"/>
  <c r="T518" i="5"/>
  <c r="S518" i="5"/>
  <c r="R518" i="5"/>
  <c r="Q518" i="5"/>
  <c r="P518" i="5"/>
  <c r="O518" i="5"/>
  <c r="N518" i="5"/>
  <c r="M518" i="5"/>
  <c r="L518" i="5"/>
  <c r="K518" i="5"/>
  <c r="J518" i="5"/>
  <c r="I518" i="5"/>
  <c r="H518" i="5"/>
  <c r="G518" i="5"/>
  <c r="F518" i="5"/>
  <c r="E518" i="5"/>
  <c r="D518" i="5"/>
  <c r="C518" i="5"/>
  <c r="B518" i="5"/>
  <c r="A518" i="5"/>
  <c r="CS517" i="5"/>
  <c r="CM517" i="5"/>
  <c r="CG517" i="5"/>
  <c r="CF517" i="5"/>
  <c r="CE517" i="5"/>
  <c r="CD517" i="5"/>
  <c r="CC517" i="5"/>
  <c r="CB517" i="5"/>
  <c r="CA517" i="5"/>
  <c r="BY517" i="5"/>
  <c r="BX517" i="5"/>
  <c r="BW517" i="5"/>
  <c r="BV517" i="5"/>
  <c r="BU517" i="5"/>
  <c r="BQ517" i="5"/>
  <c r="BP517" i="5"/>
  <c r="BO517" i="5"/>
  <c r="BM517" i="5"/>
  <c r="BF517" i="5"/>
  <c r="BC517" i="5"/>
  <c r="AZ517" i="5"/>
  <c r="AY517" i="5"/>
  <c r="AX517" i="5"/>
  <c r="AW517" i="5"/>
  <c r="AV517" i="5"/>
  <c r="AU517" i="5"/>
  <c r="AT517" i="5"/>
  <c r="AR517" i="5"/>
  <c r="AQ517" i="5"/>
  <c r="AP517" i="5"/>
  <c r="AO517" i="5"/>
  <c r="AN517" i="5"/>
  <c r="AM517" i="5"/>
  <c r="AL517" i="5"/>
  <c r="AH517" i="5"/>
  <c r="AF517" i="5"/>
  <c r="AD517" i="5"/>
  <c r="AB517" i="5"/>
  <c r="Y517" i="5"/>
  <c r="X517" i="5"/>
  <c r="W517" i="5"/>
  <c r="V517" i="5"/>
  <c r="U517" i="5"/>
  <c r="T517" i="5"/>
  <c r="S517" i="5"/>
  <c r="R517" i="5"/>
  <c r="Q517" i="5"/>
  <c r="P517" i="5"/>
  <c r="O517" i="5"/>
  <c r="N517" i="5"/>
  <c r="M517" i="5"/>
  <c r="L517" i="5"/>
  <c r="K517" i="5"/>
  <c r="J517" i="5"/>
  <c r="I517" i="5"/>
  <c r="H517" i="5"/>
  <c r="G517" i="5"/>
  <c r="F517" i="5"/>
  <c r="E517" i="5"/>
  <c r="D517" i="5"/>
  <c r="C517" i="5"/>
  <c r="B517" i="5"/>
  <c r="A517" i="5"/>
  <c r="CS516" i="5"/>
  <c r="CM516" i="5"/>
  <c r="CG516" i="5"/>
  <c r="CF516" i="5"/>
  <c r="CE516" i="5"/>
  <c r="CD516" i="5"/>
  <c r="CC516" i="5"/>
  <c r="CB516" i="5"/>
  <c r="CA516" i="5"/>
  <c r="BZ516" i="5"/>
  <c r="BY516" i="5"/>
  <c r="BX516" i="5"/>
  <c r="BW516" i="5"/>
  <c r="BV516" i="5"/>
  <c r="BU516" i="5"/>
  <c r="BS516" i="5"/>
  <c r="BR516" i="5"/>
  <c r="BQ516" i="5"/>
  <c r="BP516" i="5"/>
  <c r="BO516" i="5"/>
  <c r="BM516" i="5"/>
  <c r="BF516" i="5"/>
  <c r="BC516" i="5"/>
  <c r="AZ516" i="5"/>
  <c r="AY516" i="5"/>
  <c r="AX516" i="5"/>
  <c r="AW516" i="5"/>
  <c r="AV516" i="5"/>
  <c r="AU516" i="5"/>
  <c r="AT516" i="5"/>
  <c r="AR516" i="5"/>
  <c r="AQ516" i="5"/>
  <c r="AP516" i="5"/>
  <c r="AO516" i="5"/>
  <c r="AN516" i="5"/>
  <c r="AM516" i="5"/>
  <c r="AL516" i="5"/>
  <c r="AH516" i="5"/>
  <c r="AF516" i="5"/>
  <c r="AD516" i="5"/>
  <c r="AB516" i="5"/>
  <c r="Y516" i="5"/>
  <c r="X516" i="5"/>
  <c r="W516" i="5"/>
  <c r="V516" i="5"/>
  <c r="U516" i="5"/>
  <c r="T516" i="5"/>
  <c r="S516" i="5"/>
  <c r="R516" i="5"/>
  <c r="Q516" i="5"/>
  <c r="P516" i="5"/>
  <c r="O516" i="5"/>
  <c r="N516" i="5"/>
  <c r="M516" i="5"/>
  <c r="L516" i="5"/>
  <c r="K516" i="5"/>
  <c r="J516" i="5"/>
  <c r="I516" i="5"/>
  <c r="H516" i="5"/>
  <c r="G516" i="5"/>
  <c r="F516" i="5"/>
  <c r="E516" i="5"/>
  <c r="D516" i="5"/>
  <c r="C516" i="5"/>
  <c r="B516" i="5"/>
  <c r="A516" i="5"/>
  <c r="CS515" i="5"/>
  <c r="CM515" i="5"/>
  <c r="CG515" i="5"/>
  <c r="CF515" i="5"/>
  <c r="CE515" i="5"/>
  <c r="CD515" i="5"/>
  <c r="CC515" i="5"/>
  <c r="CB515" i="5"/>
  <c r="CA515" i="5"/>
  <c r="BY515" i="5"/>
  <c r="BX515" i="5"/>
  <c r="BW515" i="5"/>
  <c r="BV515" i="5"/>
  <c r="BU515" i="5"/>
  <c r="BQ515" i="5"/>
  <c r="BP515" i="5"/>
  <c r="BO515" i="5"/>
  <c r="BM515" i="5"/>
  <c r="BG515" i="5"/>
  <c r="BF515" i="5"/>
  <c r="BE515" i="5"/>
  <c r="BD515" i="5"/>
  <c r="BC515" i="5"/>
  <c r="BB515" i="5"/>
  <c r="BA515" i="5"/>
  <c r="AZ515" i="5"/>
  <c r="AY515" i="5"/>
  <c r="AX515" i="5"/>
  <c r="AW515" i="5"/>
  <c r="AV515" i="5"/>
  <c r="AU515" i="5"/>
  <c r="AT515" i="5"/>
  <c r="AR515" i="5"/>
  <c r="AQ515" i="5"/>
  <c r="AP515" i="5"/>
  <c r="AO515" i="5"/>
  <c r="AN515" i="5"/>
  <c r="AM515" i="5"/>
  <c r="AL515" i="5"/>
  <c r="AH515" i="5"/>
  <c r="AF515" i="5"/>
  <c r="AE515" i="5"/>
  <c r="AD515" i="5"/>
  <c r="AB515" i="5"/>
  <c r="Z515" i="5"/>
  <c r="X515" i="5"/>
  <c r="W515" i="5"/>
  <c r="V515" i="5"/>
  <c r="U515" i="5"/>
  <c r="T515" i="5"/>
  <c r="S515" i="5"/>
  <c r="R515" i="5"/>
  <c r="Q515" i="5"/>
  <c r="P515" i="5"/>
  <c r="O515" i="5"/>
  <c r="N515" i="5"/>
  <c r="M515" i="5"/>
  <c r="L515" i="5"/>
  <c r="K515" i="5"/>
  <c r="J515" i="5"/>
  <c r="I515" i="5"/>
  <c r="H515" i="5"/>
  <c r="G515" i="5"/>
  <c r="F515" i="5"/>
  <c r="E515" i="5"/>
  <c r="D515" i="5"/>
  <c r="C515" i="5"/>
  <c r="B515" i="5"/>
  <c r="A515" i="5"/>
  <c r="CS514" i="5"/>
  <c r="CM514" i="5"/>
  <c r="CG514" i="5"/>
  <c r="CF514" i="5"/>
  <c r="CE514" i="5"/>
  <c r="CD514" i="5"/>
  <c r="CC514" i="5"/>
  <c r="CB514" i="5"/>
  <c r="CA514" i="5"/>
  <c r="BY514" i="5"/>
  <c r="BW514" i="5"/>
  <c r="BV514" i="5"/>
  <c r="BU514" i="5"/>
  <c r="BQ514" i="5"/>
  <c r="BP514" i="5"/>
  <c r="BO514" i="5"/>
  <c r="BM514" i="5"/>
  <c r="BF514" i="5"/>
  <c r="BC514" i="5"/>
  <c r="AZ514" i="5"/>
  <c r="AY514" i="5"/>
  <c r="AX514" i="5"/>
  <c r="AW514" i="5"/>
  <c r="AV514" i="5"/>
  <c r="AU514" i="5"/>
  <c r="AT514" i="5"/>
  <c r="AR514" i="5"/>
  <c r="AQ514" i="5"/>
  <c r="AP514" i="5"/>
  <c r="AO514" i="5"/>
  <c r="AN514" i="5"/>
  <c r="AM514" i="5"/>
  <c r="AL514" i="5"/>
  <c r="AH514" i="5"/>
  <c r="AF514" i="5"/>
  <c r="AD514" i="5"/>
  <c r="AB514" i="5"/>
  <c r="Y514" i="5"/>
  <c r="X514" i="5"/>
  <c r="W514" i="5"/>
  <c r="V514" i="5"/>
  <c r="U514" i="5"/>
  <c r="T514" i="5"/>
  <c r="S514" i="5"/>
  <c r="R514" i="5"/>
  <c r="Q514" i="5"/>
  <c r="P514" i="5"/>
  <c r="O514" i="5"/>
  <c r="N514" i="5"/>
  <c r="M514" i="5"/>
  <c r="L514" i="5"/>
  <c r="K514" i="5"/>
  <c r="J514" i="5"/>
  <c r="I514" i="5"/>
  <c r="H514" i="5"/>
  <c r="G514" i="5"/>
  <c r="F514" i="5"/>
  <c r="E514" i="5"/>
  <c r="D514" i="5"/>
  <c r="C514" i="5"/>
  <c r="B514" i="5"/>
  <c r="A514" i="5"/>
  <c r="CS513" i="5"/>
  <c r="CM513" i="5"/>
  <c r="CG513" i="5"/>
  <c r="CF513" i="5"/>
  <c r="CE513" i="5"/>
  <c r="CD513" i="5"/>
  <c r="CC513" i="5"/>
  <c r="CB513" i="5"/>
  <c r="CA513" i="5"/>
  <c r="BY513" i="5"/>
  <c r="BW513" i="5"/>
  <c r="BV513" i="5"/>
  <c r="BU513" i="5"/>
  <c r="BQ513" i="5"/>
  <c r="BP513" i="5"/>
  <c r="BO513" i="5"/>
  <c r="BM513" i="5"/>
  <c r="BF513" i="5"/>
  <c r="BC513" i="5"/>
  <c r="AZ513" i="5"/>
  <c r="AY513" i="5"/>
  <c r="AX513" i="5"/>
  <c r="AW513" i="5"/>
  <c r="AV513" i="5"/>
  <c r="AU513" i="5"/>
  <c r="AT513" i="5"/>
  <c r="AR513" i="5"/>
  <c r="AQ513" i="5"/>
  <c r="AP513" i="5"/>
  <c r="AO513" i="5"/>
  <c r="AN513" i="5"/>
  <c r="AM513" i="5"/>
  <c r="AL513" i="5"/>
  <c r="AH513" i="5"/>
  <c r="AF513" i="5"/>
  <c r="AD513" i="5"/>
  <c r="AB513" i="5"/>
  <c r="Y513" i="5"/>
  <c r="X513" i="5"/>
  <c r="W513" i="5"/>
  <c r="V513" i="5"/>
  <c r="U513" i="5"/>
  <c r="T513" i="5"/>
  <c r="S513" i="5"/>
  <c r="R513" i="5"/>
  <c r="Q513" i="5"/>
  <c r="P513" i="5"/>
  <c r="O513" i="5"/>
  <c r="N513" i="5"/>
  <c r="M513" i="5"/>
  <c r="L513" i="5"/>
  <c r="K513" i="5"/>
  <c r="J513" i="5"/>
  <c r="I513" i="5"/>
  <c r="H513" i="5"/>
  <c r="G513" i="5"/>
  <c r="F513" i="5"/>
  <c r="E513" i="5"/>
  <c r="D513" i="5"/>
  <c r="C513" i="5"/>
  <c r="B513" i="5"/>
  <c r="A513" i="5"/>
  <c r="CS512" i="5"/>
  <c r="CM512" i="5"/>
  <c r="CG512" i="5"/>
  <c r="CF512" i="5"/>
  <c r="CE512" i="5"/>
  <c r="CD512" i="5"/>
  <c r="CC512" i="5"/>
  <c r="CB512" i="5"/>
  <c r="CA512" i="5"/>
  <c r="BY512" i="5"/>
  <c r="BW512" i="5"/>
  <c r="BV512" i="5"/>
  <c r="BU512" i="5"/>
  <c r="BQ512" i="5"/>
  <c r="BP512" i="5"/>
  <c r="BO512" i="5"/>
  <c r="BM512" i="5"/>
  <c r="BF512" i="5"/>
  <c r="BC512" i="5"/>
  <c r="AZ512" i="5"/>
  <c r="AY512" i="5"/>
  <c r="AX512" i="5"/>
  <c r="AW512" i="5"/>
  <c r="AV512" i="5"/>
  <c r="AU512" i="5"/>
  <c r="AT512" i="5"/>
  <c r="AR512" i="5"/>
  <c r="AQ512" i="5"/>
  <c r="AP512" i="5"/>
  <c r="AO512" i="5"/>
  <c r="AN512" i="5"/>
  <c r="AM512" i="5"/>
  <c r="AL512" i="5"/>
  <c r="AH512" i="5"/>
  <c r="AF512" i="5"/>
  <c r="AD512" i="5"/>
  <c r="AB512" i="5"/>
  <c r="Y512" i="5"/>
  <c r="X512" i="5"/>
  <c r="W512" i="5"/>
  <c r="V512" i="5"/>
  <c r="U512" i="5"/>
  <c r="T512" i="5"/>
  <c r="S512" i="5"/>
  <c r="R512" i="5"/>
  <c r="Q512" i="5"/>
  <c r="P512" i="5"/>
  <c r="O512" i="5"/>
  <c r="N512" i="5"/>
  <c r="M512" i="5"/>
  <c r="L512" i="5"/>
  <c r="K512" i="5"/>
  <c r="J512" i="5"/>
  <c r="I512" i="5"/>
  <c r="H512" i="5"/>
  <c r="G512" i="5"/>
  <c r="F512" i="5"/>
  <c r="E512" i="5"/>
  <c r="D512" i="5"/>
  <c r="C512" i="5"/>
  <c r="B512" i="5"/>
  <c r="A512" i="5"/>
  <c r="CS511" i="5"/>
  <c r="CM511" i="5"/>
  <c r="CG511" i="5"/>
  <c r="CF511" i="5"/>
  <c r="CE511" i="5"/>
  <c r="CD511" i="5"/>
  <c r="CC511" i="5"/>
  <c r="CB511" i="5"/>
  <c r="CA511" i="5"/>
  <c r="BY511" i="5"/>
  <c r="BW511" i="5"/>
  <c r="BV511" i="5"/>
  <c r="BU511" i="5"/>
  <c r="BQ511" i="5"/>
  <c r="BP511" i="5"/>
  <c r="BO511" i="5"/>
  <c r="BM511" i="5"/>
  <c r="BF511" i="5"/>
  <c r="BC511" i="5"/>
  <c r="AZ511" i="5"/>
  <c r="AY511" i="5"/>
  <c r="AX511" i="5"/>
  <c r="AW511" i="5"/>
  <c r="AV511" i="5"/>
  <c r="AU511" i="5"/>
  <c r="AT511" i="5"/>
  <c r="AR511" i="5"/>
  <c r="AQ511" i="5"/>
  <c r="AP511" i="5"/>
  <c r="AO511" i="5"/>
  <c r="AN511" i="5"/>
  <c r="AM511" i="5"/>
  <c r="AL511" i="5"/>
  <c r="AH511" i="5"/>
  <c r="AF511" i="5"/>
  <c r="AD511" i="5"/>
  <c r="AB511" i="5"/>
  <c r="Y511" i="5"/>
  <c r="X511" i="5"/>
  <c r="W511" i="5"/>
  <c r="V511" i="5"/>
  <c r="U511" i="5"/>
  <c r="T511" i="5"/>
  <c r="S511" i="5"/>
  <c r="R511" i="5"/>
  <c r="Q511" i="5"/>
  <c r="P511" i="5"/>
  <c r="O511" i="5"/>
  <c r="N511" i="5"/>
  <c r="M511" i="5"/>
  <c r="L511" i="5"/>
  <c r="K511" i="5"/>
  <c r="J511" i="5"/>
  <c r="I511" i="5"/>
  <c r="H511" i="5"/>
  <c r="G511" i="5"/>
  <c r="F511" i="5"/>
  <c r="E511" i="5"/>
  <c r="D511" i="5"/>
  <c r="C511" i="5"/>
  <c r="B511" i="5"/>
  <c r="A511" i="5"/>
  <c r="CS510" i="5"/>
  <c r="CM510" i="5"/>
  <c r="CG510" i="5"/>
  <c r="CF510" i="5"/>
  <c r="CE510" i="5"/>
  <c r="CD510" i="5"/>
  <c r="CC510" i="5"/>
  <c r="CB510" i="5"/>
  <c r="CA510" i="5"/>
  <c r="BZ510" i="5"/>
  <c r="BY510" i="5"/>
  <c r="BX510" i="5"/>
  <c r="BW510" i="5"/>
  <c r="BV510" i="5"/>
  <c r="BU510" i="5"/>
  <c r="BS510" i="5"/>
  <c r="BR510" i="5"/>
  <c r="BQ510" i="5"/>
  <c r="BP510" i="5"/>
  <c r="BO510" i="5"/>
  <c r="BM510" i="5"/>
  <c r="BF510" i="5"/>
  <c r="BE510" i="5"/>
  <c r="BD510" i="5"/>
  <c r="BC510" i="5"/>
  <c r="BB510" i="5"/>
  <c r="BA510" i="5"/>
  <c r="AZ510" i="5"/>
  <c r="AY510" i="5"/>
  <c r="AX510" i="5"/>
  <c r="AW510" i="5"/>
  <c r="AV510" i="5"/>
  <c r="AU510" i="5"/>
  <c r="AT510" i="5"/>
  <c r="AS510" i="5"/>
  <c r="AR510" i="5"/>
  <c r="AQ510" i="5"/>
  <c r="AP510" i="5"/>
  <c r="AO510" i="5"/>
  <c r="AN510" i="5"/>
  <c r="AM510" i="5"/>
  <c r="AL510" i="5"/>
  <c r="AH510" i="5"/>
  <c r="AF510" i="5"/>
  <c r="AD510" i="5"/>
  <c r="AB510" i="5"/>
  <c r="X510" i="5"/>
  <c r="W510" i="5"/>
  <c r="V510" i="5"/>
  <c r="U510" i="5"/>
  <c r="T510" i="5"/>
  <c r="S510" i="5"/>
  <c r="R510" i="5"/>
  <c r="Q510" i="5"/>
  <c r="P510" i="5"/>
  <c r="O510" i="5"/>
  <c r="N510" i="5"/>
  <c r="M510" i="5"/>
  <c r="L510" i="5"/>
  <c r="K510" i="5"/>
  <c r="J510" i="5"/>
  <c r="I510" i="5"/>
  <c r="H510" i="5"/>
  <c r="G510" i="5"/>
  <c r="F510" i="5"/>
  <c r="E510" i="5"/>
  <c r="D510" i="5"/>
  <c r="C510" i="5"/>
  <c r="B510" i="5"/>
  <c r="A510" i="5"/>
  <c r="CS509" i="5"/>
  <c r="CM509" i="5"/>
  <c r="CG509" i="5"/>
  <c r="CF509" i="5"/>
  <c r="CE509" i="5"/>
  <c r="CD509" i="5"/>
  <c r="CC509" i="5"/>
  <c r="CB509" i="5"/>
  <c r="CA509" i="5"/>
  <c r="BY509" i="5"/>
  <c r="BX509" i="5"/>
  <c r="BW509" i="5"/>
  <c r="BV509" i="5"/>
  <c r="BU509" i="5"/>
  <c r="BQ509" i="5"/>
  <c r="BP509" i="5"/>
  <c r="BO509" i="5"/>
  <c r="BM509" i="5"/>
  <c r="BF509" i="5"/>
  <c r="BC509" i="5"/>
  <c r="AZ509" i="5"/>
  <c r="AY509" i="5"/>
  <c r="AX509" i="5"/>
  <c r="AW509" i="5"/>
  <c r="AV509" i="5"/>
  <c r="AU509" i="5"/>
  <c r="AT509" i="5"/>
  <c r="AR509" i="5"/>
  <c r="AQ509" i="5"/>
  <c r="AP509" i="5"/>
  <c r="AO509" i="5"/>
  <c r="AN509" i="5"/>
  <c r="AM509" i="5"/>
  <c r="AL509" i="5"/>
  <c r="AH509" i="5"/>
  <c r="AF509" i="5"/>
  <c r="AD509" i="5"/>
  <c r="AB509" i="5"/>
  <c r="Y509" i="5"/>
  <c r="X509" i="5"/>
  <c r="W509" i="5"/>
  <c r="V509" i="5"/>
  <c r="U509" i="5"/>
  <c r="T509" i="5"/>
  <c r="S509" i="5"/>
  <c r="R509" i="5"/>
  <c r="Q509" i="5"/>
  <c r="P509" i="5"/>
  <c r="O509" i="5"/>
  <c r="N509" i="5"/>
  <c r="M509" i="5"/>
  <c r="L509" i="5"/>
  <c r="K509" i="5"/>
  <c r="J509" i="5"/>
  <c r="I509" i="5"/>
  <c r="H509" i="5"/>
  <c r="G509" i="5"/>
  <c r="F509" i="5"/>
  <c r="E509" i="5"/>
  <c r="D509" i="5"/>
  <c r="C509" i="5"/>
  <c r="B509" i="5"/>
  <c r="A509" i="5"/>
  <c r="CS508" i="5"/>
  <c r="CM508" i="5"/>
  <c r="CG508" i="5"/>
  <c r="CF508" i="5"/>
  <c r="CE508" i="5"/>
  <c r="CD508" i="5"/>
  <c r="CC508" i="5"/>
  <c r="CB508" i="5"/>
  <c r="CA508" i="5"/>
  <c r="BY508" i="5"/>
  <c r="BW508" i="5"/>
  <c r="BV508" i="5"/>
  <c r="BU508" i="5"/>
  <c r="BQ508" i="5"/>
  <c r="BP508" i="5"/>
  <c r="BO508" i="5"/>
  <c r="BM508" i="5"/>
  <c r="BF508" i="5"/>
  <c r="BC508" i="5"/>
  <c r="AZ508" i="5"/>
  <c r="AY508" i="5"/>
  <c r="AX508" i="5"/>
  <c r="AW508" i="5"/>
  <c r="AV508" i="5"/>
  <c r="AU508" i="5"/>
  <c r="AT508" i="5"/>
  <c r="AR508" i="5"/>
  <c r="AQ508" i="5"/>
  <c r="AP508" i="5"/>
  <c r="AO508" i="5"/>
  <c r="AN508" i="5"/>
  <c r="AM508" i="5"/>
  <c r="AL508" i="5"/>
  <c r="AH508" i="5"/>
  <c r="AF508" i="5"/>
  <c r="AD508" i="5"/>
  <c r="AB508" i="5"/>
  <c r="Y508" i="5"/>
  <c r="X508" i="5"/>
  <c r="W508" i="5"/>
  <c r="V508" i="5"/>
  <c r="U508" i="5"/>
  <c r="T508" i="5"/>
  <c r="S508" i="5"/>
  <c r="R508" i="5"/>
  <c r="Q508" i="5"/>
  <c r="P508" i="5"/>
  <c r="O508" i="5"/>
  <c r="N508" i="5"/>
  <c r="M508" i="5"/>
  <c r="L508" i="5"/>
  <c r="K508" i="5"/>
  <c r="J508" i="5"/>
  <c r="I508" i="5"/>
  <c r="H508" i="5"/>
  <c r="G508" i="5"/>
  <c r="F508" i="5"/>
  <c r="E508" i="5"/>
  <c r="D508" i="5"/>
  <c r="C508" i="5"/>
  <c r="B508" i="5"/>
  <c r="A508" i="5"/>
  <c r="CS507" i="5"/>
  <c r="CM507" i="5"/>
  <c r="CG507" i="5"/>
  <c r="CF507" i="5"/>
  <c r="CE507" i="5"/>
  <c r="CD507" i="5"/>
  <c r="CC507" i="5"/>
  <c r="CB507" i="5"/>
  <c r="CA507" i="5"/>
  <c r="BY507" i="5"/>
  <c r="BX507" i="5"/>
  <c r="BW507" i="5"/>
  <c r="BV507" i="5"/>
  <c r="BU507" i="5"/>
  <c r="BQ507" i="5"/>
  <c r="BP507" i="5"/>
  <c r="BO507" i="5"/>
  <c r="BM507" i="5"/>
  <c r="BF507" i="5"/>
  <c r="BC507" i="5"/>
  <c r="AZ507" i="5"/>
  <c r="AY507" i="5"/>
  <c r="AX507" i="5"/>
  <c r="AW507" i="5"/>
  <c r="AV507" i="5"/>
  <c r="AU507" i="5"/>
  <c r="AT507" i="5"/>
  <c r="AR507" i="5"/>
  <c r="AQ507" i="5"/>
  <c r="AP507" i="5"/>
  <c r="AO507" i="5"/>
  <c r="AN507" i="5"/>
  <c r="AM507" i="5"/>
  <c r="AL507" i="5"/>
  <c r="AH507" i="5"/>
  <c r="AF507" i="5"/>
  <c r="AD507" i="5"/>
  <c r="AB507" i="5"/>
  <c r="Y507" i="5"/>
  <c r="X507" i="5"/>
  <c r="W507" i="5"/>
  <c r="V507" i="5"/>
  <c r="U507" i="5"/>
  <c r="T507" i="5"/>
  <c r="S507" i="5"/>
  <c r="R507" i="5"/>
  <c r="Q507" i="5"/>
  <c r="P507" i="5"/>
  <c r="O507" i="5"/>
  <c r="N507" i="5"/>
  <c r="M507" i="5"/>
  <c r="L507" i="5"/>
  <c r="K507" i="5"/>
  <c r="J507" i="5"/>
  <c r="I507" i="5"/>
  <c r="H507" i="5"/>
  <c r="G507" i="5"/>
  <c r="F507" i="5"/>
  <c r="E507" i="5"/>
  <c r="D507" i="5"/>
  <c r="C507" i="5"/>
  <c r="B507" i="5"/>
  <c r="A507" i="5"/>
  <c r="CS506" i="5"/>
  <c r="CM506" i="5"/>
  <c r="CG506" i="5"/>
  <c r="CF506" i="5"/>
  <c r="CE506" i="5"/>
  <c r="CD506" i="5"/>
  <c r="CC506" i="5"/>
  <c r="CB506" i="5"/>
  <c r="CA506" i="5"/>
  <c r="BY506" i="5"/>
  <c r="BW506" i="5"/>
  <c r="BV506" i="5"/>
  <c r="BU506" i="5"/>
  <c r="BQ506" i="5"/>
  <c r="BP506" i="5"/>
  <c r="BO506" i="5"/>
  <c r="BM506" i="5"/>
  <c r="BF506" i="5"/>
  <c r="BC506" i="5"/>
  <c r="AZ506" i="5"/>
  <c r="AY506" i="5"/>
  <c r="AX506" i="5"/>
  <c r="AW506" i="5"/>
  <c r="AV506" i="5"/>
  <c r="AU506" i="5"/>
  <c r="AT506" i="5"/>
  <c r="AR506" i="5"/>
  <c r="AQ506" i="5"/>
  <c r="AP506" i="5"/>
  <c r="AO506" i="5"/>
  <c r="AN506" i="5"/>
  <c r="AM506" i="5"/>
  <c r="AL506" i="5"/>
  <c r="AH506" i="5"/>
  <c r="AF506" i="5"/>
  <c r="AD506" i="5"/>
  <c r="AB506" i="5"/>
  <c r="Y506" i="5"/>
  <c r="X506" i="5"/>
  <c r="W506" i="5"/>
  <c r="V506" i="5"/>
  <c r="U506" i="5"/>
  <c r="T506" i="5"/>
  <c r="S506" i="5"/>
  <c r="R506" i="5"/>
  <c r="Q506" i="5"/>
  <c r="P506" i="5"/>
  <c r="O506" i="5"/>
  <c r="N506" i="5"/>
  <c r="M506" i="5"/>
  <c r="L506" i="5"/>
  <c r="K506" i="5"/>
  <c r="J506" i="5"/>
  <c r="I506" i="5"/>
  <c r="H506" i="5"/>
  <c r="G506" i="5"/>
  <c r="F506" i="5"/>
  <c r="E506" i="5"/>
  <c r="D506" i="5"/>
  <c r="C506" i="5"/>
  <c r="B506" i="5"/>
  <c r="A506" i="5"/>
  <c r="CS505" i="5"/>
  <c r="CM505" i="5"/>
  <c r="CG505" i="5"/>
  <c r="CF505" i="5"/>
  <c r="CE505" i="5"/>
  <c r="CD505" i="5"/>
  <c r="CC505" i="5"/>
  <c r="CB505" i="5"/>
  <c r="CA505" i="5"/>
  <c r="BY505" i="5"/>
  <c r="BW505" i="5"/>
  <c r="BV505" i="5"/>
  <c r="BU505" i="5"/>
  <c r="BQ505" i="5"/>
  <c r="BP505" i="5"/>
  <c r="BO505" i="5"/>
  <c r="BM505" i="5"/>
  <c r="BF505" i="5"/>
  <c r="BC505" i="5"/>
  <c r="AZ505" i="5"/>
  <c r="AY505" i="5"/>
  <c r="AX505" i="5"/>
  <c r="AW505" i="5"/>
  <c r="AV505" i="5"/>
  <c r="AU505" i="5"/>
  <c r="AT505" i="5"/>
  <c r="AR505" i="5"/>
  <c r="AQ505" i="5"/>
  <c r="AP505" i="5"/>
  <c r="AO505" i="5"/>
  <c r="AN505" i="5"/>
  <c r="AM505" i="5"/>
  <c r="AL505" i="5"/>
  <c r="AH505" i="5"/>
  <c r="AF505" i="5"/>
  <c r="AD505" i="5"/>
  <c r="AB505" i="5"/>
  <c r="Y505" i="5"/>
  <c r="X505" i="5"/>
  <c r="W505" i="5"/>
  <c r="V505" i="5"/>
  <c r="U505" i="5"/>
  <c r="T505" i="5"/>
  <c r="S505" i="5"/>
  <c r="R505" i="5"/>
  <c r="Q505" i="5"/>
  <c r="P505" i="5"/>
  <c r="O505" i="5"/>
  <c r="N505" i="5"/>
  <c r="M505" i="5"/>
  <c r="L505" i="5"/>
  <c r="K505" i="5"/>
  <c r="J505" i="5"/>
  <c r="I505" i="5"/>
  <c r="H505" i="5"/>
  <c r="G505" i="5"/>
  <c r="F505" i="5"/>
  <c r="E505" i="5"/>
  <c r="D505" i="5"/>
  <c r="C505" i="5"/>
  <c r="B505" i="5"/>
  <c r="A505" i="5"/>
  <c r="CS504" i="5"/>
  <c r="CM504" i="5"/>
  <c r="CG504" i="5"/>
  <c r="CF504" i="5"/>
  <c r="CE504" i="5"/>
  <c r="CD504" i="5"/>
  <c r="CC504" i="5"/>
  <c r="CB504" i="5"/>
  <c r="CA504" i="5"/>
  <c r="BY504" i="5"/>
  <c r="BW504" i="5"/>
  <c r="BV504" i="5"/>
  <c r="BU504" i="5"/>
  <c r="BQ504" i="5"/>
  <c r="BP504" i="5"/>
  <c r="BO504" i="5"/>
  <c r="BM504" i="5"/>
  <c r="BF504" i="5"/>
  <c r="BC504" i="5"/>
  <c r="AZ504" i="5"/>
  <c r="AY504" i="5"/>
  <c r="AX504" i="5"/>
  <c r="AW504" i="5"/>
  <c r="AV504" i="5"/>
  <c r="AU504" i="5"/>
  <c r="AT504" i="5"/>
  <c r="AR504" i="5"/>
  <c r="AQ504" i="5"/>
  <c r="AP504" i="5"/>
  <c r="AO504" i="5"/>
  <c r="AN504" i="5"/>
  <c r="AM504" i="5"/>
  <c r="AL504" i="5"/>
  <c r="AH504" i="5"/>
  <c r="AF504" i="5"/>
  <c r="AD504" i="5"/>
  <c r="AB504" i="5"/>
  <c r="Y504" i="5"/>
  <c r="X504" i="5"/>
  <c r="W504" i="5"/>
  <c r="V504" i="5"/>
  <c r="U504" i="5"/>
  <c r="T504" i="5"/>
  <c r="S504" i="5"/>
  <c r="R504" i="5"/>
  <c r="Q504" i="5"/>
  <c r="P504" i="5"/>
  <c r="O504" i="5"/>
  <c r="N504" i="5"/>
  <c r="M504" i="5"/>
  <c r="L504" i="5"/>
  <c r="K504" i="5"/>
  <c r="J504" i="5"/>
  <c r="I504" i="5"/>
  <c r="H504" i="5"/>
  <c r="G504" i="5"/>
  <c r="F504" i="5"/>
  <c r="E504" i="5"/>
  <c r="D504" i="5"/>
  <c r="C504" i="5"/>
  <c r="B504" i="5"/>
  <c r="A504" i="5"/>
  <c r="CS503" i="5"/>
  <c r="CM503" i="5"/>
  <c r="CG503" i="5"/>
  <c r="CF503" i="5"/>
  <c r="CE503" i="5"/>
  <c r="CD503" i="5"/>
  <c r="CC503" i="5"/>
  <c r="CB503" i="5"/>
  <c r="CA503" i="5"/>
  <c r="BY503" i="5"/>
  <c r="BW503" i="5"/>
  <c r="BV503" i="5"/>
  <c r="BU503" i="5"/>
  <c r="BQ503" i="5"/>
  <c r="BP503" i="5"/>
  <c r="BO503" i="5"/>
  <c r="BM503" i="5"/>
  <c r="BF503" i="5"/>
  <c r="BC503" i="5"/>
  <c r="AZ503" i="5"/>
  <c r="AY503" i="5"/>
  <c r="AX503" i="5"/>
  <c r="AW503" i="5"/>
  <c r="AV503" i="5"/>
  <c r="AU503" i="5"/>
  <c r="AT503" i="5"/>
  <c r="AR503" i="5"/>
  <c r="AQ503" i="5"/>
  <c r="AP503" i="5"/>
  <c r="AO503" i="5"/>
  <c r="AN503" i="5"/>
  <c r="AM503" i="5"/>
  <c r="AL503" i="5"/>
  <c r="AH503" i="5"/>
  <c r="AF503" i="5"/>
  <c r="AD503" i="5"/>
  <c r="AB503" i="5"/>
  <c r="Y503" i="5"/>
  <c r="X503" i="5"/>
  <c r="W503" i="5"/>
  <c r="V503" i="5"/>
  <c r="U503" i="5"/>
  <c r="T503" i="5"/>
  <c r="S503" i="5"/>
  <c r="R503" i="5"/>
  <c r="Q503" i="5"/>
  <c r="P503" i="5"/>
  <c r="O503" i="5"/>
  <c r="N503" i="5"/>
  <c r="M503" i="5"/>
  <c r="L503" i="5"/>
  <c r="K503" i="5"/>
  <c r="J503" i="5"/>
  <c r="I503" i="5"/>
  <c r="H503" i="5"/>
  <c r="G503" i="5"/>
  <c r="F503" i="5"/>
  <c r="E503" i="5"/>
  <c r="D503" i="5"/>
  <c r="C503" i="5"/>
  <c r="B503" i="5"/>
  <c r="A503" i="5"/>
  <c r="CS502" i="5"/>
  <c r="CM502" i="5"/>
  <c r="CG502" i="5"/>
  <c r="CF502" i="5"/>
  <c r="CE502" i="5"/>
  <c r="CD502" i="5"/>
  <c r="CC502" i="5"/>
  <c r="CB502" i="5"/>
  <c r="CA502" i="5"/>
  <c r="BZ502" i="5"/>
  <c r="BY502" i="5"/>
  <c r="BX502" i="5"/>
  <c r="BW502" i="5"/>
  <c r="BV502" i="5"/>
  <c r="BU502" i="5"/>
  <c r="BS502" i="5"/>
  <c r="BR502" i="5"/>
  <c r="BQ502" i="5"/>
  <c r="BP502" i="5"/>
  <c r="BO502" i="5"/>
  <c r="BM502" i="5"/>
  <c r="BF502" i="5"/>
  <c r="BC502" i="5"/>
  <c r="AZ502" i="5"/>
  <c r="AY502" i="5"/>
  <c r="AX502" i="5"/>
  <c r="AW502" i="5"/>
  <c r="AV502" i="5"/>
  <c r="AU502" i="5"/>
  <c r="AT502" i="5"/>
  <c r="AR502" i="5"/>
  <c r="AQ502" i="5"/>
  <c r="AP502" i="5"/>
  <c r="AO502" i="5"/>
  <c r="AN502" i="5"/>
  <c r="AM502" i="5"/>
  <c r="AL502" i="5"/>
  <c r="AH502" i="5"/>
  <c r="AF502" i="5"/>
  <c r="AD502" i="5"/>
  <c r="AB502" i="5"/>
  <c r="Y502" i="5"/>
  <c r="X502" i="5"/>
  <c r="W502" i="5"/>
  <c r="V502" i="5"/>
  <c r="U502" i="5"/>
  <c r="T502" i="5"/>
  <c r="S502" i="5"/>
  <c r="R502" i="5"/>
  <c r="Q502" i="5"/>
  <c r="P502" i="5"/>
  <c r="O502" i="5"/>
  <c r="N502" i="5"/>
  <c r="M502" i="5"/>
  <c r="L502" i="5"/>
  <c r="K502" i="5"/>
  <c r="J502" i="5"/>
  <c r="I502" i="5"/>
  <c r="H502" i="5"/>
  <c r="G502" i="5"/>
  <c r="F502" i="5"/>
  <c r="E502" i="5"/>
  <c r="D502" i="5"/>
  <c r="C502" i="5"/>
  <c r="B502" i="5"/>
  <c r="A502" i="5"/>
  <c r="CS501" i="5"/>
  <c r="CM501" i="5"/>
  <c r="CG501" i="5"/>
  <c r="CF501" i="5"/>
  <c r="CE501" i="5"/>
  <c r="CD501" i="5"/>
  <c r="CC501" i="5"/>
  <c r="CB501" i="5"/>
  <c r="CA501" i="5"/>
  <c r="BY501" i="5"/>
  <c r="BW501" i="5"/>
  <c r="BV501" i="5"/>
  <c r="BU501" i="5"/>
  <c r="BQ501" i="5"/>
  <c r="BP501" i="5"/>
  <c r="BO501" i="5"/>
  <c r="BM501" i="5"/>
  <c r="BF501" i="5"/>
  <c r="BC501" i="5"/>
  <c r="AZ501" i="5"/>
  <c r="AY501" i="5"/>
  <c r="AX501" i="5"/>
  <c r="AW501" i="5"/>
  <c r="AV501" i="5"/>
  <c r="AU501" i="5"/>
  <c r="AT501" i="5"/>
  <c r="AR501" i="5"/>
  <c r="AQ501" i="5"/>
  <c r="AP501" i="5"/>
  <c r="AO501" i="5"/>
  <c r="AN501" i="5"/>
  <c r="AM501" i="5"/>
  <c r="AL501" i="5"/>
  <c r="AH501" i="5"/>
  <c r="AF501" i="5"/>
  <c r="AD501" i="5"/>
  <c r="AB501" i="5"/>
  <c r="Y501" i="5"/>
  <c r="X501" i="5"/>
  <c r="W501" i="5"/>
  <c r="V501" i="5"/>
  <c r="U501" i="5"/>
  <c r="T501" i="5"/>
  <c r="S501" i="5"/>
  <c r="R501" i="5"/>
  <c r="Q501" i="5"/>
  <c r="P501" i="5"/>
  <c r="O501" i="5"/>
  <c r="N501" i="5"/>
  <c r="M501" i="5"/>
  <c r="L501" i="5"/>
  <c r="K501" i="5"/>
  <c r="J501" i="5"/>
  <c r="I501" i="5"/>
  <c r="H501" i="5"/>
  <c r="G501" i="5"/>
  <c r="F501" i="5"/>
  <c r="E501" i="5"/>
  <c r="D501" i="5"/>
  <c r="C501" i="5"/>
  <c r="B501" i="5"/>
  <c r="A501" i="5"/>
  <c r="CS500" i="5"/>
  <c r="CM500" i="5"/>
  <c r="CG500" i="5"/>
  <c r="CF500" i="5"/>
  <c r="CE500" i="5"/>
  <c r="CD500" i="5"/>
  <c r="CC500" i="5"/>
  <c r="CB500" i="5"/>
  <c r="CA500" i="5"/>
  <c r="BY500" i="5"/>
  <c r="BW500" i="5"/>
  <c r="BV500" i="5"/>
  <c r="BU500" i="5"/>
  <c r="BQ500" i="5"/>
  <c r="BP500" i="5"/>
  <c r="BO500" i="5"/>
  <c r="BM500" i="5"/>
  <c r="BF500" i="5"/>
  <c r="BC500" i="5"/>
  <c r="AZ500" i="5"/>
  <c r="AY500" i="5"/>
  <c r="AX500" i="5"/>
  <c r="AW500" i="5"/>
  <c r="AV500" i="5"/>
  <c r="AU500" i="5"/>
  <c r="AT500" i="5"/>
  <c r="AR500" i="5"/>
  <c r="AQ500" i="5"/>
  <c r="AP500" i="5"/>
  <c r="AO500" i="5"/>
  <c r="AN500" i="5"/>
  <c r="AM500" i="5"/>
  <c r="AL500" i="5"/>
  <c r="AH500" i="5"/>
  <c r="AF500" i="5"/>
  <c r="AD500" i="5"/>
  <c r="AB500" i="5"/>
  <c r="Y500" i="5"/>
  <c r="X500" i="5"/>
  <c r="W500" i="5"/>
  <c r="V500" i="5"/>
  <c r="U500" i="5"/>
  <c r="T500" i="5"/>
  <c r="S500" i="5"/>
  <c r="R500" i="5"/>
  <c r="Q500" i="5"/>
  <c r="P500" i="5"/>
  <c r="O500" i="5"/>
  <c r="N500" i="5"/>
  <c r="M500" i="5"/>
  <c r="L500" i="5"/>
  <c r="K500" i="5"/>
  <c r="J500" i="5"/>
  <c r="I500" i="5"/>
  <c r="H500" i="5"/>
  <c r="G500" i="5"/>
  <c r="F500" i="5"/>
  <c r="E500" i="5"/>
  <c r="D500" i="5"/>
  <c r="C500" i="5"/>
  <c r="B500" i="5"/>
  <c r="A500" i="5"/>
  <c r="CS499" i="5"/>
  <c r="CM499" i="5"/>
  <c r="CG499" i="5"/>
  <c r="CF499" i="5"/>
  <c r="CE499" i="5"/>
  <c r="CD499" i="5"/>
  <c r="CC499" i="5"/>
  <c r="CB499" i="5"/>
  <c r="CA499" i="5"/>
  <c r="BY499" i="5"/>
  <c r="BW499" i="5"/>
  <c r="BV499" i="5"/>
  <c r="BU499" i="5"/>
  <c r="BQ499" i="5"/>
  <c r="BP499" i="5"/>
  <c r="BO499" i="5"/>
  <c r="BM499" i="5"/>
  <c r="BF499" i="5"/>
  <c r="BC499" i="5"/>
  <c r="AZ499" i="5"/>
  <c r="AY499" i="5"/>
  <c r="AX499" i="5"/>
  <c r="AW499" i="5"/>
  <c r="AV499" i="5"/>
  <c r="AU499" i="5"/>
  <c r="AT499" i="5"/>
  <c r="AR499" i="5"/>
  <c r="AQ499" i="5"/>
  <c r="AP499" i="5"/>
  <c r="AO499" i="5"/>
  <c r="AN499" i="5"/>
  <c r="AM499" i="5"/>
  <c r="AL499" i="5"/>
  <c r="AH499" i="5"/>
  <c r="AF499" i="5"/>
  <c r="AD499" i="5"/>
  <c r="AB499" i="5"/>
  <c r="Y499" i="5"/>
  <c r="X499" i="5"/>
  <c r="W499" i="5"/>
  <c r="V499" i="5"/>
  <c r="U499" i="5"/>
  <c r="T499" i="5"/>
  <c r="S499" i="5"/>
  <c r="R499" i="5"/>
  <c r="Q499" i="5"/>
  <c r="P499" i="5"/>
  <c r="O499" i="5"/>
  <c r="N499" i="5"/>
  <c r="M499" i="5"/>
  <c r="L499" i="5"/>
  <c r="K499" i="5"/>
  <c r="J499" i="5"/>
  <c r="I499" i="5"/>
  <c r="H499" i="5"/>
  <c r="G499" i="5"/>
  <c r="F499" i="5"/>
  <c r="E499" i="5"/>
  <c r="D499" i="5"/>
  <c r="C499" i="5"/>
  <c r="B499" i="5"/>
  <c r="A499" i="5"/>
  <c r="CS498" i="5"/>
  <c r="CM498" i="5"/>
  <c r="CG498" i="5"/>
  <c r="CF498" i="5"/>
  <c r="CE498" i="5"/>
  <c r="CD498" i="5"/>
  <c r="CC498" i="5"/>
  <c r="CB498" i="5"/>
  <c r="CA498" i="5"/>
  <c r="BY498" i="5"/>
  <c r="BW498" i="5"/>
  <c r="BV498" i="5"/>
  <c r="BU498" i="5"/>
  <c r="BQ498" i="5"/>
  <c r="BP498" i="5"/>
  <c r="BO498" i="5"/>
  <c r="BM498" i="5"/>
  <c r="BF498" i="5"/>
  <c r="BC498" i="5"/>
  <c r="AZ498" i="5"/>
  <c r="AY498" i="5"/>
  <c r="AX498" i="5"/>
  <c r="AW498" i="5"/>
  <c r="AV498" i="5"/>
  <c r="AU498" i="5"/>
  <c r="AT498" i="5"/>
  <c r="AR498" i="5"/>
  <c r="AQ498" i="5"/>
  <c r="AP498" i="5"/>
  <c r="AO498" i="5"/>
  <c r="AN498" i="5"/>
  <c r="AM498" i="5"/>
  <c r="AL498" i="5"/>
  <c r="AH498" i="5"/>
  <c r="AF498" i="5"/>
  <c r="AD498" i="5"/>
  <c r="AB498" i="5"/>
  <c r="Y498" i="5"/>
  <c r="X498" i="5"/>
  <c r="W498" i="5"/>
  <c r="V498" i="5"/>
  <c r="U498" i="5"/>
  <c r="T498" i="5"/>
  <c r="S498" i="5"/>
  <c r="R498" i="5"/>
  <c r="Q498" i="5"/>
  <c r="P498" i="5"/>
  <c r="O498" i="5"/>
  <c r="N498" i="5"/>
  <c r="M498" i="5"/>
  <c r="L498" i="5"/>
  <c r="K498" i="5"/>
  <c r="J498" i="5"/>
  <c r="I498" i="5"/>
  <c r="H498" i="5"/>
  <c r="G498" i="5"/>
  <c r="F498" i="5"/>
  <c r="E498" i="5"/>
  <c r="D498" i="5"/>
  <c r="C498" i="5"/>
  <c r="B498" i="5"/>
  <c r="A498" i="5"/>
  <c r="CS497" i="5"/>
  <c r="CM497" i="5"/>
  <c r="CG497" i="5"/>
  <c r="CF497" i="5"/>
  <c r="CE497" i="5"/>
  <c r="CD497" i="5"/>
  <c r="CC497" i="5"/>
  <c r="CB497" i="5"/>
  <c r="CA497" i="5"/>
  <c r="BY497" i="5"/>
  <c r="BW497" i="5"/>
  <c r="BV497" i="5"/>
  <c r="BU497" i="5"/>
  <c r="BQ497" i="5"/>
  <c r="BP497" i="5"/>
  <c r="BO497" i="5"/>
  <c r="BM497" i="5"/>
  <c r="BF497" i="5"/>
  <c r="BC497" i="5"/>
  <c r="AZ497" i="5"/>
  <c r="AY497" i="5"/>
  <c r="AX497" i="5"/>
  <c r="AW497" i="5"/>
  <c r="AV497" i="5"/>
  <c r="AU497" i="5"/>
  <c r="AT497" i="5"/>
  <c r="AR497" i="5"/>
  <c r="AQ497" i="5"/>
  <c r="AP497" i="5"/>
  <c r="AO497" i="5"/>
  <c r="AN497" i="5"/>
  <c r="AM497" i="5"/>
  <c r="AL497" i="5"/>
  <c r="AH497" i="5"/>
  <c r="AF497" i="5"/>
  <c r="AD497" i="5"/>
  <c r="AB497" i="5"/>
  <c r="Y497" i="5"/>
  <c r="X497" i="5"/>
  <c r="W497" i="5"/>
  <c r="V497" i="5"/>
  <c r="U497" i="5"/>
  <c r="T497" i="5"/>
  <c r="S497" i="5"/>
  <c r="R497" i="5"/>
  <c r="Q497" i="5"/>
  <c r="P497" i="5"/>
  <c r="O497" i="5"/>
  <c r="N497" i="5"/>
  <c r="M497" i="5"/>
  <c r="L497" i="5"/>
  <c r="K497" i="5"/>
  <c r="J497" i="5"/>
  <c r="I497" i="5"/>
  <c r="H497" i="5"/>
  <c r="G497" i="5"/>
  <c r="F497" i="5"/>
  <c r="E497" i="5"/>
  <c r="D497" i="5"/>
  <c r="C497" i="5"/>
  <c r="B497" i="5"/>
  <c r="A497" i="5"/>
  <c r="CS496" i="5"/>
  <c r="CM496" i="5"/>
  <c r="CG496" i="5"/>
  <c r="CF496" i="5"/>
  <c r="CE496" i="5"/>
  <c r="CD496" i="5"/>
  <c r="CC496" i="5"/>
  <c r="CB496" i="5"/>
  <c r="CA496" i="5"/>
  <c r="BY496" i="5"/>
  <c r="BW496" i="5"/>
  <c r="BV496" i="5"/>
  <c r="BU496" i="5"/>
  <c r="BQ496" i="5"/>
  <c r="BP496" i="5"/>
  <c r="BO496" i="5"/>
  <c r="BM496" i="5"/>
  <c r="BF496" i="5"/>
  <c r="BC496" i="5"/>
  <c r="AZ496" i="5"/>
  <c r="AY496" i="5"/>
  <c r="AX496" i="5"/>
  <c r="AW496" i="5"/>
  <c r="AV496" i="5"/>
  <c r="AU496" i="5"/>
  <c r="AT496" i="5"/>
  <c r="AR496" i="5"/>
  <c r="AQ496" i="5"/>
  <c r="AP496" i="5"/>
  <c r="AO496" i="5"/>
  <c r="AN496" i="5"/>
  <c r="AM496" i="5"/>
  <c r="AL496" i="5"/>
  <c r="AH496" i="5"/>
  <c r="AF496" i="5"/>
  <c r="AD496" i="5"/>
  <c r="AB496" i="5"/>
  <c r="Y496" i="5"/>
  <c r="X496" i="5"/>
  <c r="W496" i="5"/>
  <c r="V496" i="5"/>
  <c r="U496" i="5"/>
  <c r="T496" i="5"/>
  <c r="S496" i="5"/>
  <c r="R496" i="5"/>
  <c r="Q496" i="5"/>
  <c r="P496" i="5"/>
  <c r="O496" i="5"/>
  <c r="N496" i="5"/>
  <c r="M496" i="5"/>
  <c r="L496" i="5"/>
  <c r="K496" i="5"/>
  <c r="J496" i="5"/>
  <c r="I496" i="5"/>
  <c r="H496" i="5"/>
  <c r="G496" i="5"/>
  <c r="F496" i="5"/>
  <c r="E496" i="5"/>
  <c r="D496" i="5"/>
  <c r="C496" i="5"/>
  <c r="B496" i="5"/>
  <c r="A496" i="5"/>
  <c r="CS495" i="5"/>
  <c r="CM495" i="5"/>
  <c r="CG495" i="5"/>
  <c r="CF495" i="5"/>
  <c r="CE495" i="5"/>
  <c r="CD495" i="5"/>
  <c r="CC495" i="5"/>
  <c r="CB495" i="5"/>
  <c r="CA495" i="5"/>
  <c r="BY495" i="5"/>
  <c r="BW495" i="5"/>
  <c r="BV495" i="5"/>
  <c r="BU495" i="5"/>
  <c r="BQ495" i="5"/>
  <c r="BP495" i="5"/>
  <c r="BO495" i="5"/>
  <c r="BM495" i="5"/>
  <c r="BF495" i="5"/>
  <c r="BC495" i="5"/>
  <c r="AZ495" i="5"/>
  <c r="AY495" i="5"/>
  <c r="AX495" i="5"/>
  <c r="AW495" i="5"/>
  <c r="AV495" i="5"/>
  <c r="AU495" i="5"/>
  <c r="AT495" i="5"/>
  <c r="AR495" i="5"/>
  <c r="AQ495" i="5"/>
  <c r="AP495" i="5"/>
  <c r="AO495" i="5"/>
  <c r="AN495" i="5"/>
  <c r="AM495" i="5"/>
  <c r="AL495" i="5"/>
  <c r="AH495" i="5"/>
  <c r="AF495" i="5"/>
  <c r="AD495" i="5"/>
  <c r="AB495" i="5"/>
  <c r="Y495" i="5"/>
  <c r="X495" i="5"/>
  <c r="W495" i="5"/>
  <c r="V495" i="5"/>
  <c r="U495" i="5"/>
  <c r="T495" i="5"/>
  <c r="S495" i="5"/>
  <c r="R495" i="5"/>
  <c r="Q495" i="5"/>
  <c r="P495" i="5"/>
  <c r="O495" i="5"/>
  <c r="N495" i="5"/>
  <c r="M495" i="5"/>
  <c r="L495" i="5"/>
  <c r="K495" i="5"/>
  <c r="J495" i="5"/>
  <c r="I495" i="5"/>
  <c r="H495" i="5"/>
  <c r="G495" i="5"/>
  <c r="F495" i="5"/>
  <c r="E495" i="5"/>
  <c r="D495" i="5"/>
  <c r="C495" i="5"/>
  <c r="B495" i="5"/>
  <c r="A495" i="5"/>
  <c r="CS494" i="5"/>
  <c r="CM494" i="5"/>
  <c r="CG494" i="5"/>
  <c r="CF494" i="5"/>
  <c r="CE494" i="5"/>
  <c r="CD494" i="5"/>
  <c r="CC494" i="5"/>
  <c r="CB494" i="5"/>
  <c r="CA494" i="5"/>
  <c r="BY494" i="5"/>
  <c r="BW494" i="5"/>
  <c r="BV494" i="5"/>
  <c r="BU494" i="5"/>
  <c r="BQ494" i="5"/>
  <c r="BP494" i="5"/>
  <c r="BO494" i="5"/>
  <c r="BM494" i="5"/>
  <c r="BF494" i="5"/>
  <c r="BC494" i="5"/>
  <c r="AZ494" i="5"/>
  <c r="AY494" i="5"/>
  <c r="AX494" i="5"/>
  <c r="AW494" i="5"/>
  <c r="AV494" i="5"/>
  <c r="AU494" i="5"/>
  <c r="AT494" i="5"/>
  <c r="AR494" i="5"/>
  <c r="AQ494" i="5"/>
  <c r="AP494" i="5"/>
  <c r="AO494" i="5"/>
  <c r="AN494" i="5"/>
  <c r="AM494" i="5"/>
  <c r="AL494" i="5"/>
  <c r="AH494" i="5"/>
  <c r="AF494" i="5"/>
  <c r="AD494" i="5"/>
  <c r="AB494" i="5"/>
  <c r="Y494" i="5"/>
  <c r="X494" i="5"/>
  <c r="W494" i="5"/>
  <c r="V494" i="5"/>
  <c r="U494" i="5"/>
  <c r="T494" i="5"/>
  <c r="S494" i="5"/>
  <c r="R494" i="5"/>
  <c r="Q494" i="5"/>
  <c r="P494" i="5"/>
  <c r="O494" i="5"/>
  <c r="N494" i="5"/>
  <c r="M494" i="5"/>
  <c r="L494" i="5"/>
  <c r="K494" i="5"/>
  <c r="J494" i="5"/>
  <c r="I494" i="5"/>
  <c r="H494" i="5"/>
  <c r="G494" i="5"/>
  <c r="F494" i="5"/>
  <c r="E494" i="5"/>
  <c r="D494" i="5"/>
  <c r="C494" i="5"/>
  <c r="B494" i="5"/>
  <c r="A494" i="5"/>
  <c r="CS493" i="5"/>
  <c r="CM493" i="5"/>
  <c r="CG493" i="5"/>
  <c r="CF493" i="5"/>
  <c r="CE493" i="5"/>
  <c r="CD493" i="5"/>
  <c r="CC493" i="5"/>
  <c r="CB493" i="5"/>
  <c r="CA493" i="5"/>
  <c r="BY493" i="5"/>
  <c r="BW493" i="5"/>
  <c r="BV493" i="5"/>
  <c r="BU493" i="5"/>
  <c r="BQ493" i="5"/>
  <c r="BP493" i="5"/>
  <c r="BO493" i="5"/>
  <c r="BM493" i="5"/>
  <c r="BF493" i="5"/>
  <c r="BC493" i="5"/>
  <c r="AY493" i="5"/>
  <c r="AX493" i="5"/>
  <c r="AW493" i="5"/>
  <c r="AV493" i="5"/>
  <c r="AU493" i="5"/>
  <c r="AT493" i="5"/>
  <c r="AR493" i="5"/>
  <c r="AQ493" i="5"/>
  <c r="AP493" i="5"/>
  <c r="AO493" i="5"/>
  <c r="AN493" i="5"/>
  <c r="AM493" i="5"/>
  <c r="AL493" i="5"/>
  <c r="AH493" i="5"/>
  <c r="AF493" i="5"/>
  <c r="AD493" i="5"/>
  <c r="AB493" i="5"/>
  <c r="Y493" i="5"/>
  <c r="X493" i="5"/>
  <c r="W493" i="5"/>
  <c r="V493" i="5"/>
  <c r="U493" i="5"/>
  <c r="T493" i="5"/>
  <c r="S493" i="5"/>
  <c r="R493" i="5"/>
  <c r="Q493" i="5"/>
  <c r="P493" i="5"/>
  <c r="O493" i="5"/>
  <c r="N493" i="5"/>
  <c r="M493" i="5"/>
  <c r="L493" i="5"/>
  <c r="K493" i="5"/>
  <c r="J493" i="5"/>
  <c r="I493" i="5"/>
  <c r="H493" i="5"/>
  <c r="G493" i="5"/>
  <c r="F493" i="5"/>
  <c r="E493" i="5"/>
  <c r="D493" i="5"/>
  <c r="C493" i="5"/>
  <c r="B493" i="5"/>
  <c r="A493" i="5"/>
  <c r="CS492" i="5"/>
  <c r="CM492" i="5"/>
  <c r="CG492" i="5"/>
  <c r="CF492" i="5"/>
  <c r="CE492" i="5"/>
  <c r="CD492" i="5"/>
  <c r="CC492" i="5"/>
  <c r="CB492" i="5"/>
  <c r="CA492" i="5"/>
  <c r="BY492" i="5"/>
  <c r="BW492" i="5"/>
  <c r="BV492" i="5"/>
  <c r="BU492" i="5"/>
  <c r="BQ492" i="5"/>
  <c r="BP492" i="5"/>
  <c r="BO492" i="5"/>
  <c r="BM492" i="5"/>
  <c r="BF492" i="5"/>
  <c r="BC492" i="5"/>
  <c r="AY492" i="5"/>
  <c r="AX492" i="5"/>
  <c r="AW492" i="5"/>
  <c r="AV492" i="5"/>
  <c r="AU492" i="5"/>
  <c r="AT492" i="5"/>
  <c r="AR492" i="5"/>
  <c r="AQ492" i="5"/>
  <c r="AP492" i="5"/>
  <c r="AO492" i="5"/>
  <c r="AN492" i="5"/>
  <c r="AM492" i="5"/>
  <c r="AL492" i="5"/>
  <c r="AH492" i="5"/>
  <c r="AF492" i="5"/>
  <c r="AD492" i="5"/>
  <c r="AB492" i="5"/>
  <c r="Y492" i="5"/>
  <c r="X492" i="5"/>
  <c r="W492" i="5"/>
  <c r="V492" i="5"/>
  <c r="U492" i="5"/>
  <c r="T492" i="5"/>
  <c r="S492" i="5"/>
  <c r="R492" i="5"/>
  <c r="Q492" i="5"/>
  <c r="P492" i="5"/>
  <c r="O492" i="5"/>
  <c r="N492" i="5"/>
  <c r="M492" i="5"/>
  <c r="L492" i="5"/>
  <c r="K492" i="5"/>
  <c r="J492" i="5"/>
  <c r="I492" i="5"/>
  <c r="H492" i="5"/>
  <c r="G492" i="5"/>
  <c r="F492" i="5"/>
  <c r="E492" i="5"/>
  <c r="D492" i="5"/>
  <c r="C492" i="5"/>
  <c r="B492" i="5"/>
  <c r="A492" i="5"/>
  <c r="CS491" i="5"/>
  <c r="CM491" i="5"/>
  <c r="CG491" i="5"/>
  <c r="CF491" i="5"/>
  <c r="CE491" i="5"/>
  <c r="CD491" i="5"/>
  <c r="CC491" i="5"/>
  <c r="CB491" i="5"/>
  <c r="CA491" i="5"/>
  <c r="BY491" i="5"/>
  <c r="BW491" i="5"/>
  <c r="BV491" i="5"/>
  <c r="BU491" i="5"/>
  <c r="BQ491" i="5"/>
  <c r="BP491" i="5"/>
  <c r="BO491" i="5"/>
  <c r="BM491" i="5"/>
  <c r="BH491" i="5"/>
  <c r="BG491" i="5"/>
  <c r="BF491" i="5"/>
  <c r="BE491" i="5"/>
  <c r="BD491" i="5"/>
  <c r="BC491" i="5"/>
  <c r="BB491" i="5"/>
  <c r="AZ491" i="5"/>
  <c r="AY491" i="5"/>
  <c r="AX491" i="5"/>
  <c r="AW491" i="5"/>
  <c r="AV491" i="5"/>
  <c r="AU491" i="5"/>
  <c r="AT491" i="5"/>
  <c r="AS491" i="5"/>
  <c r="AR491" i="5"/>
  <c r="AQ491" i="5"/>
  <c r="AP491" i="5"/>
  <c r="AO491" i="5"/>
  <c r="AN491" i="5"/>
  <c r="AM491" i="5"/>
  <c r="AL491" i="5"/>
  <c r="AH491" i="5"/>
  <c r="AF491" i="5"/>
  <c r="AE491" i="5"/>
  <c r="AD491" i="5"/>
  <c r="AB491" i="5"/>
  <c r="X491" i="5"/>
  <c r="W491" i="5"/>
  <c r="V491" i="5"/>
  <c r="U491" i="5"/>
  <c r="T491" i="5"/>
  <c r="S491" i="5"/>
  <c r="R491" i="5"/>
  <c r="Q491" i="5"/>
  <c r="P491" i="5"/>
  <c r="O491" i="5"/>
  <c r="N491" i="5"/>
  <c r="M491" i="5"/>
  <c r="L491" i="5"/>
  <c r="K491" i="5"/>
  <c r="J491" i="5"/>
  <c r="I491" i="5"/>
  <c r="H491" i="5"/>
  <c r="G491" i="5"/>
  <c r="F491" i="5"/>
  <c r="E491" i="5"/>
  <c r="D491" i="5"/>
  <c r="C491" i="5"/>
  <c r="B491" i="5"/>
  <c r="A491" i="5"/>
  <c r="CS490" i="5"/>
  <c r="CM490" i="5"/>
  <c r="CG490" i="5"/>
  <c r="CF490" i="5"/>
  <c r="CE490" i="5"/>
  <c r="CD490" i="5"/>
  <c r="CC490" i="5"/>
  <c r="CB490" i="5"/>
  <c r="CA490" i="5"/>
  <c r="BY490" i="5"/>
  <c r="BW490" i="5"/>
  <c r="BV490" i="5"/>
  <c r="BU490" i="5"/>
  <c r="BQ490" i="5"/>
  <c r="BP490" i="5"/>
  <c r="BO490" i="5"/>
  <c r="BM490" i="5"/>
  <c r="BH490" i="5"/>
  <c r="BG490" i="5"/>
  <c r="BF490" i="5"/>
  <c r="BE490" i="5"/>
  <c r="BD490" i="5"/>
  <c r="BC490" i="5"/>
  <c r="BB490" i="5"/>
  <c r="AZ490" i="5"/>
  <c r="AY490" i="5"/>
  <c r="AX490" i="5"/>
  <c r="AW490" i="5"/>
  <c r="AV490" i="5"/>
  <c r="AU490" i="5"/>
  <c r="AT490" i="5"/>
  <c r="AS490" i="5"/>
  <c r="AR490" i="5"/>
  <c r="AQ490" i="5"/>
  <c r="AP490" i="5"/>
  <c r="AO490" i="5"/>
  <c r="AN490" i="5"/>
  <c r="AM490" i="5"/>
  <c r="AL490" i="5"/>
  <c r="AH490" i="5"/>
  <c r="AF490" i="5"/>
  <c r="AE490" i="5"/>
  <c r="AD490" i="5"/>
  <c r="AB490" i="5"/>
  <c r="X490" i="5"/>
  <c r="W490" i="5"/>
  <c r="V490" i="5"/>
  <c r="U490" i="5"/>
  <c r="T490" i="5"/>
  <c r="S490" i="5"/>
  <c r="R490" i="5"/>
  <c r="Q490" i="5"/>
  <c r="P490" i="5"/>
  <c r="O490" i="5"/>
  <c r="N490" i="5"/>
  <c r="M490" i="5"/>
  <c r="L490" i="5"/>
  <c r="K490" i="5"/>
  <c r="J490" i="5"/>
  <c r="I490" i="5"/>
  <c r="H490" i="5"/>
  <c r="G490" i="5"/>
  <c r="F490" i="5"/>
  <c r="E490" i="5"/>
  <c r="D490" i="5"/>
  <c r="C490" i="5"/>
  <c r="B490" i="5"/>
  <c r="A490" i="5"/>
  <c r="CS489" i="5"/>
  <c r="CM489" i="5"/>
  <c r="CG489" i="5"/>
  <c r="CF489" i="5"/>
  <c r="CE489" i="5"/>
  <c r="CD489" i="5"/>
  <c r="CC489" i="5"/>
  <c r="CB489" i="5"/>
  <c r="CA489" i="5"/>
  <c r="BY489" i="5"/>
  <c r="BW489" i="5"/>
  <c r="BV489" i="5"/>
  <c r="BU489" i="5"/>
  <c r="BQ489" i="5"/>
  <c r="BP489" i="5"/>
  <c r="BO489" i="5"/>
  <c r="BM489" i="5"/>
  <c r="BH489" i="5"/>
  <c r="BG489" i="5"/>
  <c r="BF489" i="5"/>
  <c r="BE489" i="5"/>
  <c r="BD489" i="5"/>
  <c r="BC489" i="5"/>
  <c r="BB489" i="5"/>
  <c r="AZ489" i="5"/>
  <c r="AY489" i="5"/>
  <c r="AX489" i="5"/>
  <c r="AW489" i="5"/>
  <c r="AV489" i="5"/>
  <c r="AU489" i="5"/>
  <c r="AT489" i="5"/>
  <c r="AS489" i="5"/>
  <c r="AR489" i="5"/>
  <c r="AQ489" i="5"/>
  <c r="AP489" i="5"/>
  <c r="AO489" i="5"/>
  <c r="AN489" i="5"/>
  <c r="AM489" i="5"/>
  <c r="AL489" i="5"/>
  <c r="AH489" i="5"/>
  <c r="AF489" i="5"/>
  <c r="AE489" i="5"/>
  <c r="AD489" i="5"/>
  <c r="AB489" i="5"/>
  <c r="X489" i="5"/>
  <c r="W489" i="5"/>
  <c r="V489" i="5"/>
  <c r="U489" i="5"/>
  <c r="T489" i="5"/>
  <c r="S489" i="5"/>
  <c r="R489" i="5"/>
  <c r="Q489" i="5"/>
  <c r="P489" i="5"/>
  <c r="O489" i="5"/>
  <c r="N489" i="5"/>
  <c r="M489" i="5"/>
  <c r="L489" i="5"/>
  <c r="K489" i="5"/>
  <c r="J489" i="5"/>
  <c r="I489" i="5"/>
  <c r="H489" i="5"/>
  <c r="G489" i="5"/>
  <c r="F489" i="5"/>
  <c r="E489" i="5"/>
  <c r="D489" i="5"/>
  <c r="C489" i="5"/>
  <c r="B489" i="5"/>
  <c r="A489" i="5"/>
  <c r="CS488" i="5"/>
  <c r="CM488" i="5"/>
  <c r="CG488" i="5"/>
  <c r="CF488" i="5"/>
  <c r="CE488" i="5"/>
  <c r="CD488" i="5"/>
  <c r="CC488" i="5"/>
  <c r="CB488" i="5"/>
  <c r="CA488" i="5"/>
  <c r="BY488" i="5"/>
  <c r="BX488" i="5"/>
  <c r="BW488" i="5"/>
  <c r="BV488" i="5"/>
  <c r="BU488" i="5"/>
  <c r="BQ488" i="5"/>
  <c r="BP488" i="5"/>
  <c r="BO488" i="5"/>
  <c r="BM488" i="5"/>
  <c r="BH488" i="5"/>
  <c r="BG488" i="5"/>
  <c r="BF488" i="5"/>
  <c r="BE488" i="5"/>
  <c r="BD488" i="5"/>
  <c r="BC488" i="5"/>
  <c r="BB488" i="5"/>
  <c r="AZ488" i="5"/>
  <c r="AY488" i="5"/>
  <c r="AX488" i="5"/>
  <c r="AW488" i="5"/>
  <c r="AV488" i="5"/>
  <c r="AU488" i="5"/>
  <c r="AT488" i="5"/>
  <c r="AS488" i="5"/>
  <c r="AR488" i="5"/>
  <c r="AQ488" i="5"/>
  <c r="AP488" i="5"/>
  <c r="AO488" i="5"/>
  <c r="AN488" i="5"/>
  <c r="AM488" i="5"/>
  <c r="AL488" i="5"/>
  <c r="AH488" i="5"/>
  <c r="AF488" i="5"/>
  <c r="AE488" i="5"/>
  <c r="AD488" i="5"/>
  <c r="AB488" i="5"/>
  <c r="Y488" i="5"/>
  <c r="X488" i="5"/>
  <c r="W488" i="5"/>
  <c r="V488" i="5"/>
  <c r="U488" i="5"/>
  <c r="T488" i="5"/>
  <c r="S488" i="5"/>
  <c r="R488" i="5"/>
  <c r="Q488" i="5"/>
  <c r="P488" i="5"/>
  <c r="O488" i="5"/>
  <c r="N488" i="5"/>
  <c r="M488" i="5"/>
  <c r="L488" i="5"/>
  <c r="K488" i="5"/>
  <c r="J488" i="5"/>
  <c r="I488" i="5"/>
  <c r="H488" i="5"/>
  <c r="G488" i="5"/>
  <c r="F488" i="5"/>
  <c r="E488" i="5"/>
  <c r="D488" i="5"/>
  <c r="C488" i="5"/>
  <c r="B488" i="5"/>
  <c r="A488" i="5"/>
  <c r="CS487" i="5"/>
  <c r="CM487" i="5"/>
  <c r="CG487" i="5"/>
  <c r="CF487" i="5"/>
  <c r="CE487" i="5"/>
  <c r="CD487" i="5"/>
  <c r="CC487" i="5"/>
  <c r="CB487" i="5"/>
  <c r="CA487" i="5"/>
  <c r="BY487" i="5"/>
  <c r="BW487" i="5"/>
  <c r="BV487" i="5"/>
  <c r="BU487" i="5"/>
  <c r="BQ487" i="5"/>
  <c r="BP487" i="5"/>
  <c r="BO487" i="5"/>
  <c r="BM487" i="5"/>
  <c r="BF487" i="5"/>
  <c r="BD487" i="5"/>
  <c r="BC487" i="5"/>
  <c r="BB487" i="5"/>
  <c r="AZ487" i="5"/>
  <c r="AY487" i="5"/>
  <c r="AX487" i="5"/>
  <c r="AW487" i="5"/>
  <c r="AV487" i="5"/>
  <c r="AU487" i="5"/>
  <c r="AT487" i="5"/>
  <c r="AR487" i="5"/>
  <c r="AQ487" i="5"/>
  <c r="AP487" i="5"/>
  <c r="AO487" i="5"/>
  <c r="AN487" i="5"/>
  <c r="AM487" i="5"/>
  <c r="AL487" i="5"/>
  <c r="AH487" i="5"/>
  <c r="AF487" i="5"/>
  <c r="AD487" i="5"/>
  <c r="AB487" i="5"/>
  <c r="Y487" i="5"/>
  <c r="X487" i="5"/>
  <c r="W487" i="5"/>
  <c r="V487" i="5"/>
  <c r="U487" i="5"/>
  <c r="T487" i="5"/>
  <c r="S487" i="5"/>
  <c r="R487" i="5"/>
  <c r="Q487" i="5"/>
  <c r="P487" i="5"/>
  <c r="O487" i="5"/>
  <c r="N487" i="5"/>
  <c r="M487" i="5"/>
  <c r="L487" i="5"/>
  <c r="K487" i="5"/>
  <c r="J487" i="5"/>
  <c r="I487" i="5"/>
  <c r="H487" i="5"/>
  <c r="G487" i="5"/>
  <c r="F487" i="5"/>
  <c r="E487" i="5"/>
  <c r="D487" i="5"/>
  <c r="C487" i="5"/>
  <c r="B487" i="5"/>
  <c r="A487" i="5"/>
  <c r="CS486" i="5"/>
  <c r="CM486" i="5"/>
  <c r="CG486" i="5"/>
  <c r="CF486" i="5"/>
  <c r="CE486" i="5"/>
  <c r="CD486" i="5"/>
  <c r="CC486" i="5"/>
  <c r="CB486" i="5"/>
  <c r="CA486" i="5"/>
  <c r="BY486" i="5"/>
  <c r="BW486" i="5"/>
  <c r="BV486" i="5"/>
  <c r="BU486" i="5"/>
  <c r="BQ486" i="5"/>
  <c r="BP486" i="5"/>
  <c r="BO486" i="5"/>
  <c r="BM486" i="5"/>
  <c r="BF486" i="5"/>
  <c r="BE486" i="5"/>
  <c r="BD486" i="5"/>
  <c r="BC486" i="5"/>
  <c r="BB486" i="5"/>
  <c r="BA486" i="5"/>
  <c r="AZ486" i="5"/>
  <c r="AY486" i="5"/>
  <c r="AX486" i="5"/>
  <c r="AW486" i="5"/>
  <c r="AV486" i="5"/>
  <c r="AU486" i="5"/>
  <c r="AT486" i="5"/>
  <c r="AS486" i="5"/>
  <c r="AR486" i="5"/>
  <c r="AQ486" i="5"/>
  <c r="AP486" i="5"/>
  <c r="AO486" i="5"/>
  <c r="AN486" i="5"/>
  <c r="AM486" i="5"/>
  <c r="AL486" i="5"/>
  <c r="AH486" i="5"/>
  <c r="AF486" i="5"/>
  <c r="AD486" i="5"/>
  <c r="AB486" i="5"/>
  <c r="Z486" i="5"/>
  <c r="X486" i="5"/>
  <c r="W486" i="5"/>
  <c r="V486" i="5"/>
  <c r="U486" i="5"/>
  <c r="T486" i="5"/>
  <c r="S486" i="5"/>
  <c r="R486" i="5"/>
  <c r="Q486" i="5"/>
  <c r="P486" i="5"/>
  <c r="O486" i="5"/>
  <c r="N486" i="5"/>
  <c r="M486" i="5"/>
  <c r="L486" i="5"/>
  <c r="K486" i="5"/>
  <c r="J486" i="5"/>
  <c r="I486" i="5"/>
  <c r="H486" i="5"/>
  <c r="G486" i="5"/>
  <c r="F486" i="5"/>
  <c r="E486" i="5"/>
  <c r="D486" i="5"/>
  <c r="C486" i="5"/>
  <c r="B486" i="5"/>
  <c r="A486" i="5"/>
  <c r="CS485" i="5"/>
  <c r="CM485" i="5"/>
  <c r="CG485" i="5"/>
  <c r="CF485" i="5"/>
  <c r="CE485" i="5"/>
  <c r="CD485" i="5"/>
  <c r="CC485" i="5"/>
  <c r="CB485" i="5"/>
  <c r="CA485" i="5"/>
  <c r="BY485" i="5"/>
  <c r="BW485" i="5"/>
  <c r="BV485" i="5"/>
  <c r="BU485" i="5"/>
  <c r="BQ485" i="5"/>
  <c r="BP485" i="5"/>
  <c r="BO485" i="5"/>
  <c r="BM485" i="5"/>
  <c r="BF485" i="5"/>
  <c r="BE485" i="5"/>
  <c r="BD485" i="5"/>
  <c r="BC485" i="5"/>
  <c r="BB485" i="5"/>
  <c r="BA485" i="5"/>
  <c r="AZ485" i="5"/>
  <c r="AY485" i="5"/>
  <c r="AX485" i="5"/>
  <c r="AW485" i="5"/>
  <c r="AV485" i="5"/>
  <c r="AU485" i="5"/>
  <c r="AT485" i="5"/>
  <c r="AS485" i="5"/>
  <c r="AR485" i="5"/>
  <c r="AQ485" i="5"/>
  <c r="AP485" i="5"/>
  <c r="AO485" i="5"/>
  <c r="AN485" i="5"/>
  <c r="AM485" i="5"/>
  <c r="AL485" i="5"/>
  <c r="AH485" i="5"/>
  <c r="AF485" i="5"/>
  <c r="AD485" i="5"/>
  <c r="AB485" i="5"/>
  <c r="X485" i="5"/>
  <c r="W485" i="5"/>
  <c r="V485" i="5"/>
  <c r="U485" i="5"/>
  <c r="T485" i="5"/>
  <c r="S485" i="5"/>
  <c r="R485" i="5"/>
  <c r="Q485" i="5"/>
  <c r="P485" i="5"/>
  <c r="O485" i="5"/>
  <c r="N485" i="5"/>
  <c r="M485" i="5"/>
  <c r="L485" i="5"/>
  <c r="K485" i="5"/>
  <c r="J485" i="5"/>
  <c r="I485" i="5"/>
  <c r="H485" i="5"/>
  <c r="G485" i="5"/>
  <c r="F485" i="5"/>
  <c r="E485" i="5"/>
  <c r="D485" i="5"/>
  <c r="C485" i="5"/>
  <c r="B485" i="5"/>
  <c r="A485" i="5"/>
  <c r="CS484" i="5"/>
  <c r="CM484" i="5"/>
  <c r="CG484" i="5"/>
  <c r="CF484" i="5"/>
  <c r="CE484" i="5"/>
  <c r="CD484" i="5"/>
  <c r="CC484" i="5"/>
  <c r="CB484" i="5"/>
  <c r="CA484" i="5"/>
  <c r="BY484" i="5"/>
  <c r="BW484" i="5"/>
  <c r="BV484" i="5"/>
  <c r="BU484" i="5"/>
  <c r="BQ484" i="5"/>
  <c r="BP484" i="5"/>
  <c r="BO484" i="5"/>
  <c r="BM484" i="5"/>
  <c r="BF484" i="5"/>
  <c r="BE484" i="5"/>
  <c r="BD484" i="5"/>
  <c r="BC484" i="5"/>
  <c r="BB484" i="5"/>
  <c r="BA484" i="5"/>
  <c r="AZ484" i="5"/>
  <c r="AY484" i="5"/>
  <c r="AX484" i="5"/>
  <c r="AW484" i="5"/>
  <c r="AV484" i="5"/>
  <c r="AU484" i="5"/>
  <c r="AT484" i="5"/>
  <c r="AS484" i="5"/>
  <c r="AR484" i="5"/>
  <c r="AQ484" i="5"/>
  <c r="AP484" i="5"/>
  <c r="AO484" i="5"/>
  <c r="AN484" i="5"/>
  <c r="AM484" i="5"/>
  <c r="AL484" i="5"/>
  <c r="AH484" i="5"/>
  <c r="AF484" i="5"/>
  <c r="AD484" i="5"/>
  <c r="AB484" i="5"/>
  <c r="X484" i="5"/>
  <c r="W484" i="5"/>
  <c r="V484" i="5"/>
  <c r="U484" i="5"/>
  <c r="T484" i="5"/>
  <c r="S484" i="5"/>
  <c r="R484" i="5"/>
  <c r="Q484" i="5"/>
  <c r="P484" i="5"/>
  <c r="O484" i="5"/>
  <c r="N484" i="5"/>
  <c r="M484" i="5"/>
  <c r="L484" i="5"/>
  <c r="K484" i="5"/>
  <c r="J484" i="5"/>
  <c r="I484" i="5"/>
  <c r="H484" i="5"/>
  <c r="G484" i="5"/>
  <c r="F484" i="5"/>
  <c r="E484" i="5"/>
  <c r="D484" i="5"/>
  <c r="C484" i="5"/>
  <c r="B484" i="5"/>
  <c r="A484" i="5"/>
  <c r="CS483" i="5"/>
  <c r="CM483" i="5"/>
  <c r="CG483" i="5"/>
  <c r="CF483" i="5"/>
  <c r="CE483" i="5"/>
  <c r="CD483" i="5"/>
  <c r="CC483" i="5"/>
  <c r="CB483" i="5"/>
  <c r="CA483" i="5"/>
  <c r="BZ483" i="5"/>
  <c r="BY483" i="5"/>
  <c r="BX483" i="5"/>
  <c r="BW483" i="5"/>
  <c r="BV483" i="5"/>
  <c r="BU483" i="5"/>
  <c r="BS483" i="5"/>
  <c r="BR483" i="5"/>
  <c r="BQ483" i="5"/>
  <c r="BP483" i="5"/>
  <c r="BO483" i="5"/>
  <c r="BM483" i="5"/>
  <c r="BH483" i="5"/>
  <c r="BG483" i="5"/>
  <c r="BF483" i="5"/>
  <c r="BE483" i="5"/>
  <c r="BD483" i="5"/>
  <c r="BC483" i="5"/>
  <c r="BB483" i="5"/>
  <c r="AZ483" i="5"/>
  <c r="AY483" i="5"/>
  <c r="AX483" i="5"/>
  <c r="AW483" i="5"/>
  <c r="AV483" i="5"/>
  <c r="AU483" i="5"/>
  <c r="AT483" i="5"/>
  <c r="AS483" i="5"/>
  <c r="AR483" i="5"/>
  <c r="AQ483" i="5"/>
  <c r="AP483" i="5"/>
  <c r="AO483" i="5"/>
  <c r="AN483" i="5"/>
  <c r="AM483" i="5"/>
  <c r="AL483" i="5"/>
  <c r="AH483" i="5"/>
  <c r="AF483" i="5"/>
  <c r="AE483" i="5"/>
  <c r="AD483" i="5"/>
  <c r="AB483" i="5"/>
  <c r="X483" i="5"/>
  <c r="W483" i="5"/>
  <c r="V483" i="5"/>
  <c r="U483" i="5"/>
  <c r="T483" i="5"/>
  <c r="S483" i="5"/>
  <c r="R483" i="5"/>
  <c r="Q483" i="5"/>
  <c r="P483" i="5"/>
  <c r="O483" i="5"/>
  <c r="N483" i="5"/>
  <c r="M483" i="5"/>
  <c r="L483" i="5"/>
  <c r="K483" i="5"/>
  <c r="J483" i="5"/>
  <c r="I483" i="5"/>
  <c r="H483" i="5"/>
  <c r="G483" i="5"/>
  <c r="F483" i="5"/>
  <c r="E483" i="5"/>
  <c r="D483" i="5"/>
  <c r="C483" i="5"/>
  <c r="B483" i="5"/>
  <c r="A483" i="5"/>
  <c r="CS482" i="5"/>
  <c r="CM482" i="5"/>
  <c r="CG482" i="5"/>
  <c r="CF482" i="5"/>
  <c r="CE482" i="5"/>
  <c r="CD482" i="5"/>
  <c r="CC482" i="5"/>
  <c r="CB482" i="5"/>
  <c r="CA482" i="5"/>
  <c r="BZ482" i="5"/>
  <c r="BY482" i="5"/>
  <c r="BX482" i="5"/>
  <c r="BW482" i="5"/>
  <c r="BV482" i="5"/>
  <c r="BU482" i="5"/>
  <c r="BS482" i="5"/>
  <c r="BR482" i="5"/>
  <c r="BQ482" i="5"/>
  <c r="BP482" i="5"/>
  <c r="BO482" i="5"/>
  <c r="BM482" i="5"/>
  <c r="BH482" i="5"/>
  <c r="BG482" i="5"/>
  <c r="BF482" i="5"/>
  <c r="BE482" i="5"/>
  <c r="BD482" i="5"/>
  <c r="BC482" i="5"/>
  <c r="BB482" i="5"/>
  <c r="AZ482" i="5"/>
  <c r="AY482" i="5"/>
  <c r="AX482" i="5"/>
  <c r="AW482" i="5"/>
  <c r="AV482" i="5"/>
  <c r="AU482" i="5"/>
  <c r="AT482" i="5"/>
  <c r="AS482" i="5"/>
  <c r="AR482" i="5"/>
  <c r="AQ482" i="5"/>
  <c r="AP482" i="5"/>
  <c r="AO482" i="5"/>
  <c r="AN482" i="5"/>
  <c r="AM482" i="5"/>
  <c r="AL482" i="5"/>
  <c r="AH482" i="5"/>
  <c r="AF482" i="5"/>
  <c r="AE482" i="5"/>
  <c r="AD482" i="5"/>
  <c r="AB482" i="5"/>
  <c r="X482" i="5"/>
  <c r="W482" i="5"/>
  <c r="V482" i="5"/>
  <c r="U482" i="5"/>
  <c r="T482" i="5"/>
  <c r="S482" i="5"/>
  <c r="R482" i="5"/>
  <c r="Q482" i="5"/>
  <c r="P482" i="5"/>
  <c r="O482" i="5"/>
  <c r="N482" i="5"/>
  <c r="M482" i="5"/>
  <c r="L482" i="5"/>
  <c r="K482" i="5"/>
  <c r="J482" i="5"/>
  <c r="I482" i="5"/>
  <c r="H482" i="5"/>
  <c r="G482" i="5"/>
  <c r="F482" i="5"/>
  <c r="E482" i="5"/>
  <c r="D482" i="5"/>
  <c r="C482" i="5"/>
  <c r="B482" i="5"/>
  <c r="A482" i="5"/>
  <c r="CS481" i="5"/>
  <c r="CM481" i="5"/>
  <c r="CG481" i="5"/>
  <c r="CF481" i="5"/>
  <c r="CE481" i="5"/>
  <c r="CD481" i="5"/>
  <c r="CC481" i="5"/>
  <c r="CB481" i="5"/>
  <c r="CA481" i="5"/>
  <c r="BZ481" i="5"/>
  <c r="BY481" i="5"/>
  <c r="BX481" i="5"/>
  <c r="BW481" i="5"/>
  <c r="BV481" i="5"/>
  <c r="BU481" i="5"/>
  <c r="BS481" i="5"/>
  <c r="BR481" i="5"/>
  <c r="BQ481" i="5"/>
  <c r="BP481" i="5"/>
  <c r="BO481" i="5"/>
  <c r="BM481" i="5"/>
  <c r="BH481" i="5"/>
  <c r="BG481" i="5"/>
  <c r="BF481" i="5"/>
  <c r="BE481" i="5"/>
  <c r="BD481" i="5"/>
  <c r="BC481" i="5"/>
  <c r="BB481" i="5"/>
  <c r="AZ481" i="5"/>
  <c r="AY481" i="5"/>
  <c r="AX481" i="5"/>
  <c r="AW481" i="5"/>
  <c r="AV481" i="5"/>
  <c r="AU481" i="5"/>
  <c r="AT481" i="5"/>
  <c r="AS481" i="5"/>
  <c r="AR481" i="5"/>
  <c r="AQ481" i="5"/>
  <c r="AP481" i="5"/>
  <c r="AO481" i="5"/>
  <c r="AN481" i="5"/>
  <c r="AM481" i="5"/>
  <c r="AL481" i="5"/>
  <c r="AH481" i="5"/>
  <c r="AF481" i="5"/>
  <c r="AE481" i="5"/>
  <c r="AD481" i="5"/>
  <c r="AB481" i="5"/>
  <c r="X481" i="5"/>
  <c r="W481" i="5"/>
  <c r="V481" i="5"/>
  <c r="U481" i="5"/>
  <c r="T481" i="5"/>
  <c r="S481" i="5"/>
  <c r="R481" i="5"/>
  <c r="Q481" i="5"/>
  <c r="P481" i="5"/>
  <c r="O481" i="5"/>
  <c r="N481" i="5"/>
  <c r="M481" i="5"/>
  <c r="L481" i="5"/>
  <c r="K481" i="5"/>
  <c r="J481" i="5"/>
  <c r="I481" i="5"/>
  <c r="H481" i="5"/>
  <c r="G481" i="5"/>
  <c r="F481" i="5"/>
  <c r="E481" i="5"/>
  <c r="D481" i="5"/>
  <c r="C481" i="5"/>
  <c r="B481" i="5"/>
  <c r="A481" i="5"/>
  <c r="CS480" i="5"/>
  <c r="CM480" i="5"/>
  <c r="CG480" i="5"/>
  <c r="CF480" i="5"/>
  <c r="CE480" i="5"/>
  <c r="CD480" i="5"/>
  <c r="CC480" i="5"/>
  <c r="CB480" i="5"/>
  <c r="CA480" i="5"/>
  <c r="BZ480" i="5"/>
  <c r="BY480" i="5"/>
  <c r="BX480" i="5"/>
  <c r="BW480" i="5"/>
  <c r="BV480" i="5"/>
  <c r="BU480" i="5"/>
  <c r="BS480" i="5"/>
  <c r="BR480" i="5"/>
  <c r="BQ480" i="5"/>
  <c r="BP480" i="5"/>
  <c r="BO480" i="5"/>
  <c r="BM480" i="5"/>
  <c r="BH480" i="5"/>
  <c r="BG480" i="5"/>
  <c r="BF480" i="5"/>
  <c r="BE480" i="5"/>
  <c r="BD480" i="5"/>
  <c r="BC480" i="5"/>
  <c r="BB480" i="5"/>
  <c r="AZ480" i="5"/>
  <c r="AY480" i="5"/>
  <c r="AX480" i="5"/>
  <c r="AW480" i="5"/>
  <c r="AV480" i="5"/>
  <c r="AU480" i="5"/>
  <c r="AT480" i="5"/>
  <c r="AS480" i="5"/>
  <c r="AR480" i="5"/>
  <c r="AQ480" i="5"/>
  <c r="AP480" i="5"/>
  <c r="AO480" i="5"/>
  <c r="AN480" i="5"/>
  <c r="AM480" i="5"/>
  <c r="AL480" i="5"/>
  <c r="AH480" i="5"/>
  <c r="AF480" i="5"/>
  <c r="AE480" i="5"/>
  <c r="AD480" i="5"/>
  <c r="AB480" i="5"/>
  <c r="X480" i="5"/>
  <c r="W480" i="5"/>
  <c r="V480" i="5"/>
  <c r="U480" i="5"/>
  <c r="T480" i="5"/>
  <c r="S480" i="5"/>
  <c r="R480" i="5"/>
  <c r="Q480" i="5"/>
  <c r="P480" i="5"/>
  <c r="O480" i="5"/>
  <c r="N480" i="5"/>
  <c r="M480" i="5"/>
  <c r="L480" i="5"/>
  <c r="K480" i="5"/>
  <c r="J480" i="5"/>
  <c r="I480" i="5"/>
  <c r="H480" i="5"/>
  <c r="G480" i="5"/>
  <c r="F480" i="5"/>
  <c r="E480" i="5"/>
  <c r="D480" i="5"/>
  <c r="C480" i="5"/>
  <c r="B480" i="5"/>
  <c r="A480" i="5"/>
  <c r="CS479" i="5"/>
  <c r="CM479" i="5"/>
  <c r="CG479" i="5"/>
  <c r="CF479" i="5"/>
  <c r="CE479" i="5"/>
  <c r="CD479" i="5"/>
  <c r="CC479" i="5"/>
  <c r="CB479" i="5"/>
  <c r="CA479" i="5"/>
  <c r="BZ479" i="5"/>
  <c r="BY479" i="5"/>
  <c r="BX479" i="5"/>
  <c r="BW479" i="5"/>
  <c r="BV479" i="5"/>
  <c r="BU479" i="5"/>
  <c r="BS479" i="5"/>
  <c r="BR479" i="5"/>
  <c r="BQ479" i="5"/>
  <c r="BP479" i="5"/>
  <c r="BO479" i="5"/>
  <c r="BM479" i="5"/>
  <c r="BH479" i="5"/>
  <c r="BG479" i="5"/>
  <c r="BF479" i="5"/>
  <c r="BE479" i="5"/>
  <c r="BD479" i="5"/>
  <c r="BC479" i="5"/>
  <c r="BB479" i="5"/>
  <c r="AZ479" i="5"/>
  <c r="AY479" i="5"/>
  <c r="AX479" i="5"/>
  <c r="AW479" i="5"/>
  <c r="AV479" i="5"/>
  <c r="AU479" i="5"/>
  <c r="AT479" i="5"/>
  <c r="AS479" i="5"/>
  <c r="AR479" i="5"/>
  <c r="AQ479" i="5"/>
  <c r="AP479" i="5"/>
  <c r="AO479" i="5"/>
  <c r="AN479" i="5"/>
  <c r="AM479" i="5"/>
  <c r="AL479" i="5"/>
  <c r="AH479" i="5"/>
  <c r="AF479" i="5"/>
  <c r="AE479" i="5"/>
  <c r="AD479" i="5"/>
  <c r="AB479" i="5"/>
  <c r="X479" i="5"/>
  <c r="W479" i="5"/>
  <c r="V479" i="5"/>
  <c r="U479" i="5"/>
  <c r="T479" i="5"/>
  <c r="S479" i="5"/>
  <c r="R479" i="5"/>
  <c r="Q479" i="5"/>
  <c r="P479" i="5"/>
  <c r="O479" i="5"/>
  <c r="N479" i="5"/>
  <c r="M479" i="5"/>
  <c r="L479" i="5"/>
  <c r="K479" i="5"/>
  <c r="J479" i="5"/>
  <c r="I479" i="5"/>
  <c r="H479" i="5"/>
  <c r="G479" i="5"/>
  <c r="F479" i="5"/>
  <c r="E479" i="5"/>
  <c r="D479" i="5"/>
  <c r="C479" i="5"/>
  <c r="B479" i="5"/>
  <c r="A479" i="5"/>
  <c r="CS478" i="5"/>
  <c r="CM478" i="5"/>
  <c r="CG478" i="5"/>
  <c r="CF478" i="5"/>
  <c r="CE478" i="5"/>
  <c r="CD478" i="5"/>
  <c r="CC478" i="5"/>
  <c r="CB478" i="5"/>
  <c r="CA478" i="5"/>
  <c r="BZ478" i="5"/>
  <c r="BY478" i="5"/>
  <c r="BX478" i="5"/>
  <c r="BW478" i="5"/>
  <c r="BV478" i="5"/>
  <c r="BU478" i="5"/>
  <c r="BS478" i="5"/>
  <c r="BR478" i="5"/>
  <c r="BQ478" i="5"/>
  <c r="BP478" i="5"/>
  <c r="BO478" i="5"/>
  <c r="BM478" i="5"/>
  <c r="BF478" i="5"/>
  <c r="BC478" i="5"/>
  <c r="AY478" i="5"/>
  <c r="AX478" i="5"/>
  <c r="AW478" i="5"/>
  <c r="AV478" i="5"/>
  <c r="AU478" i="5"/>
  <c r="AT478" i="5"/>
  <c r="AR478" i="5"/>
  <c r="AQ478" i="5"/>
  <c r="AP478" i="5"/>
  <c r="AO478" i="5"/>
  <c r="AN478" i="5"/>
  <c r="AM478" i="5"/>
  <c r="AL478" i="5"/>
  <c r="AH478" i="5"/>
  <c r="AF478" i="5"/>
  <c r="AD478" i="5"/>
  <c r="AB478" i="5"/>
  <c r="Y478" i="5"/>
  <c r="X478" i="5"/>
  <c r="W478" i="5"/>
  <c r="V478" i="5"/>
  <c r="U478" i="5"/>
  <c r="T478" i="5"/>
  <c r="S478" i="5"/>
  <c r="R478" i="5"/>
  <c r="Q478" i="5"/>
  <c r="P478" i="5"/>
  <c r="O478" i="5"/>
  <c r="N478" i="5"/>
  <c r="M478" i="5"/>
  <c r="L478" i="5"/>
  <c r="K478" i="5"/>
  <c r="J478" i="5"/>
  <c r="I478" i="5"/>
  <c r="H478" i="5"/>
  <c r="G478" i="5"/>
  <c r="F478" i="5"/>
  <c r="E478" i="5"/>
  <c r="D478" i="5"/>
  <c r="C478" i="5"/>
  <c r="B478" i="5"/>
  <c r="A478" i="5"/>
  <c r="CS477" i="5"/>
  <c r="CM477" i="5"/>
  <c r="CG477" i="5"/>
  <c r="CF477" i="5"/>
  <c r="CE477" i="5"/>
  <c r="CD477" i="5"/>
  <c r="CC477" i="5"/>
  <c r="CB477" i="5"/>
  <c r="CA477" i="5"/>
  <c r="BZ477" i="5"/>
  <c r="BY477" i="5"/>
  <c r="BX477" i="5"/>
  <c r="BW477" i="5"/>
  <c r="BV477" i="5"/>
  <c r="BU477" i="5"/>
  <c r="BS477" i="5"/>
  <c r="BR477" i="5"/>
  <c r="BQ477" i="5"/>
  <c r="BP477" i="5"/>
  <c r="BO477" i="5"/>
  <c r="BM477" i="5"/>
  <c r="BF477" i="5"/>
  <c r="BC477" i="5"/>
  <c r="AY477" i="5"/>
  <c r="AX477" i="5"/>
  <c r="AW477" i="5"/>
  <c r="AV477" i="5"/>
  <c r="AU477" i="5"/>
  <c r="AT477" i="5"/>
  <c r="AR477" i="5"/>
  <c r="AQ477" i="5"/>
  <c r="AP477" i="5"/>
  <c r="AO477" i="5"/>
  <c r="AN477" i="5"/>
  <c r="AM477" i="5"/>
  <c r="AL477" i="5"/>
  <c r="AH477" i="5"/>
  <c r="AF477" i="5"/>
  <c r="AD477" i="5"/>
  <c r="AB477" i="5"/>
  <c r="Y477" i="5"/>
  <c r="X477" i="5"/>
  <c r="W477" i="5"/>
  <c r="V477" i="5"/>
  <c r="U477" i="5"/>
  <c r="T477" i="5"/>
  <c r="S477" i="5"/>
  <c r="R477" i="5"/>
  <c r="Q477" i="5"/>
  <c r="P477" i="5"/>
  <c r="O477" i="5"/>
  <c r="N477" i="5"/>
  <c r="M477" i="5"/>
  <c r="L477" i="5"/>
  <c r="K477" i="5"/>
  <c r="J477" i="5"/>
  <c r="I477" i="5"/>
  <c r="H477" i="5"/>
  <c r="G477" i="5"/>
  <c r="F477" i="5"/>
  <c r="E477" i="5"/>
  <c r="D477" i="5"/>
  <c r="C477" i="5"/>
  <c r="B477" i="5"/>
  <c r="A477" i="5"/>
  <c r="CS476" i="5"/>
  <c r="CM476" i="5"/>
  <c r="CG476" i="5"/>
  <c r="CF476" i="5"/>
  <c r="CE476" i="5"/>
  <c r="CD476" i="5"/>
  <c r="CC476" i="5"/>
  <c r="CB476" i="5"/>
  <c r="CA476" i="5"/>
  <c r="BZ476" i="5"/>
  <c r="BY476" i="5"/>
  <c r="BX476" i="5"/>
  <c r="BW476" i="5"/>
  <c r="BV476" i="5"/>
  <c r="BU476" i="5"/>
  <c r="BS476" i="5"/>
  <c r="BR476" i="5"/>
  <c r="BQ476" i="5"/>
  <c r="BP476" i="5"/>
  <c r="BO476" i="5"/>
  <c r="BM476" i="5"/>
  <c r="BF476" i="5"/>
  <c r="BC476" i="5"/>
  <c r="AY476" i="5"/>
  <c r="AX476" i="5"/>
  <c r="AW476" i="5"/>
  <c r="AV476" i="5"/>
  <c r="AU476" i="5"/>
  <c r="AT476" i="5"/>
  <c r="AS476" i="5"/>
  <c r="AR476" i="5"/>
  <c r="AQ476" i="5"/>
  <c r="AP476" i="5"/>
  <c r="AO476" i="5"/>
  <c r="AN476" i="5"/>
  <c r="AM476" i="5"/>
  <c r="AL476" i="5"/>
  <c r="AH476" i="5"/>
  <c r="AF476" i="5"/>
  <c r="AD476" i="5"/>
  <c r="AB476" i="5"/>
  <c r="Y476" i="5"/>
  <c r="X476" i="5"/>
  <c r="W476" i="5"/>
  <c r="V476" i="5"/>
  <c r="U476" i="5"/>
  <c r="T476" i="5"/>
  <c r="S476" i="5"/>
  <c r="R476" i="5"/>
  <c r="Q476" i="5"/>
  <c r="P476" i="5"/>
  <c r="O476" i="5"/>
  <c r="N476" i="5"/>
  <c r="M476" i="5"/>
  <c r="L476" i="5"/>
  <c r="K476" i="5"/>
  <c r="J476" i="5"/>
  <c r="I476" i="5"/>
  <c r="H476" i="5"/>
  <c r="G476" i="5"/>
  <c r="F476" i="5"/>
  <c r="E476" i="5"/>
  <c r="D476" i="5"/>
  <c r="C476" i="5"/>
  <c r="B476" i="5"/>
  <c r="A476" i="5"/>
  <c r="CS475" i="5"/>
  <c r="CM475" i="5"/>
  <c r="CG475" i="5"/>
  <c r="CF475" i="5"/>
  <c r="CE475" i="5"/>
  <c r="CD475" i="5"/>
  <c r="CC475" i="5"/>
  <c r="CB475" i="5"/>
  <c r="CA475" i="5"/>
  <c r="BZ475" i="5"/>
  <c r="BY475" i="5"/>
  <c r="BX475" i="5"/>
  <c r="BW475" i="5"/>
  <c r="BV475" i="5"/>
  <c r="BU475" i="5"/>
  <c r="BS475" i="5"/>
  <c r="BR475" i="5"/>
  <c r="BQ475" i="5"/>
  <c r="BP475" i="5"/>
  <c r="BO475" i="5"/>
  <c r="BM475" i="5"/>
  <c r="BF475" i="5"/>
  <c r="BC475" i="5"/>
  <c r="AY475" i="5"/>
  <c r="AX475" i="5"/>
  <c r="AW475" i="5"/>
  <c r="AV475" i="5"/>
  <c r="AU475" i="5"/>
  <c r="AT475" i="5"/>
  <c r="AR475" i="5"/>
  <c r="AQ475" i="5"/>
  <c r="AP475" i="5"/>
  <c r="AO475" i="5"/>
  <c r="AN475" i="5"/>
  <c r="AM475" i="5"/>
  <c r="AL475" i="5"/>
  <c r="AH475" i="5"/>
  <c r="AF475" i="5"/>
  <c r="AD475" i="5"/>
  <c r="AB475" i="5"/>
  <c r="Y475" i="5"/>
  <c r="X475" i="5"/>
  <c r="W475" i="5"/>
  <c r="V475" i="5"/>
  <c r="U475" i="5"/>
  <c r="T475" i="5"/>
  <c r="S475" i="5"/>
  <c r="R475" i="5"/>
  <c r="Q475" i="5"/>
  <c r="P475" i="5"/>
  <c r="O475" i="5"/>
  <c r="N475" i="5"/>
  <c r="M475" i="5"/>
  <c r="L475" i="5"/>
  <c r="K475" i="5"/>
  <c r="J475" i="5"/>
  <c r="I475" i="5"/>
  <c r="H475" i="5"/>
  <c r="G475" i="5"/>
  <c r="F475" i="5"/>
  <c r="E475" i="5"/>
  <c r="D475" i="5"/>
  <c r="C475" i="5"/>
  <c r="B475" i="5"/>
  <c r="A475" i="5"/>
  <c r="CS474" i="5"/>
  <c r="CM474" i="5"/>
  <c r="CG474" i="5"/>
  <c r="CF474" i="5"/>
  <c r="CE474" i="5"/>
  <c r="CD474" i="5"/>
  <c r="CC474" i="5"/>
  <c r="CB474" i="5"/>
  <c r="CA474" i="5"/>
  <c r="BZ474" i="5"/>
  <c r="BY474" i="5"/>
  <c r="BX474" i="5"/>
  <c r="BW474" i="5"/>
  <c r="BV474" i="5"/>
  <c r="BU474" i="5"/>
  <c r="BS474" i="5"/>
  <c r="BR474" i="5"/>
  <c r="BQ474" i="5"/>
  <c r="BP474" i="5"/>
  <c r="BO474" i="5"/>
  <c r="BN474" i="5"/>
  <c r="BM474" i="5"/>
  <c r="BL474" i="5"/>
  <c r="BF474" i="5"/>
  <c r="BC474" i="5"/>
  <c r="AZ474" i="5"/>
  <c r="AY474" i="5"/>
  <c r="AX474" i="5"/>
  <c r="AW474" i="5"/>
  <c r="AV474" i="5"/>
  <c r="AU474" i="5"/>
  <c r="AT474" i="5"/>
  <c r="AR474" i="5"/>
  <c r="AQ474" i="5"/>
  <c r="AP474" i="5"/>
  <c r="AO474" i="5"/>
  <c r="AN474" i="5"/>
  <c r="AM474" i="5"/>
  <c r="AL474" i="5"/>
  <c r="AH474" i="5"/>
  <c r="AF474" i="5"/>
  <c r="AD474" i="5"/>
  <c r="AB474" i="5"/>
  <c r="Y474" i="5"/>
  <c r="X474" i="5"/>
  <c r="W474" i="5"/>
  <c r="V474" i="5"/>
  <c r="U474" i="5"/>
  <c r="T474" i="5"/>
  <c r="S474" i="5"/>
  <c r="R474" i="5"/>
  <c r="Q474" i="5"/>
  <c r="P474" i="5"/>
  <c r="O474" i="5"/>
  <c r="N474" i="5"/>
  <c r="M474" i="5"/>
  <c r="L474" i="5"/>
  <c r="K474" i="5"/>
  <c r="J474" i="5"/>
  <c r="I474" i="5"/>
  <c r="H474" i="5"/>
  <c r="G474" i="5"/>
  <c r="F474" i="5"/>
  <c r="E474" i="5"/>
  <c r="D474" i="5"/>
  <c r="C474" i="5"/>
  <c r="B474" i="5"/>
  <c r="A474" i="5"/>
  <c r="CS473" i="5"/>
  <c r="CM473" i="5"/>
  <c r="CG473" i="5"/>
  <c r="CF473" i="5"/>
  <c r="CE473" i="5"/>
  <c r="CD473" i="5"/>
  <c r="CC473" i="5"/>
  <c r="CB473" i="5"/>
  <c r="CA473" i="5"/>
  <c r="BZ473" i="5"/>
  <c r="BY473" i="5"/>
  <c r="BX473" i="5"/>
  <c r="BW473" i="5"/>
  <c r="BV473" i="5"/>
  <c r="BU473" i="5"/>
  <c r="BS473" i="5"/>
  <c r="BR473" i="5"/>
  <c r="BQ473" i="5"/>
  <c r="BP473" i="5"/>
  <c r="BO473" i="5"/>
  <c r="BN473" i="5"/>
  <c r="BM473" i="5"/>
  <c r="BL473" i="5"/>
  <c r="BG473" i="5"/>
  <c r="BF473" i="5"/>
  <c r="BC473" i="5"/>
  <c r="BA473" i="5"/>
  <c r="AZ473" i="5"/>
  <c r="AY473" i="5"/>
  <c r="AX473" i="5"/>
  <c r="AW473" i="5"/>
  <c r="AV473" i="5"/>
  <c r="AU473" i="5"/>
  <c r="AT473" i="5"/>
  <c r="AS473" i="5"/>
  <c r="AR473" i="5"/>
  <c r="AQ473" i="5"/>
  <c r="AP473" i="5"/>
  <c r="AO473" i="5"/>
  <c r="AN473" i="5"/>
  <c r="AM473" i="5"/>
  <c r="AL473" i="5"/>
  <c r="AH473" i="5"/>
  <c r="AF473" i="5"/>
  <c r="AE473" i="5"/>
  <c r="AD473" i="5"/>
  <c r="AB473" i="5"/>
  <c r="Y473" i="5"/>
  <c r="X473" i="5"/>
  <c r="W473" i="5"/>
  <c r="V473" i="5"/>
  <c r="U473" i="5"/>
  <c r="T473" i="5"/>
  <c r="S473" i="5"/>
  <c r="R473" i="5"/>
  <c r="Q473" i="5"/>
  <c r="P473" i="5"/>
  <c r="O473" i="5"/>
  <c r="N473" i="5"/>
  <c r="M473" i="5"/>
  <c r="L473" i="5"/>
  <c r="K473" i="5"/>
  <c r="J473" i="5"/>
  <c r="I473" i="5"/>
  <c r="H473" i="5"/>
  <c r="G473" i="5"/>
  <c r="F473" i="5"/>
  <c r="E473" i="5"/>
  <c r="D473" i="5"/>
  <c r="C473" i="5"/>
  <c r="B473" i="5"/>
  <c r="A473" i="5"/>
  <c r="CS472" i="5"/>
  <c r="CM472" i="5"/>
  <c r="CG472" i="5"/>
  <c r="CF472" i="5"/>
  <c r="CE472" i="5"/>
  <c r="CD472" i="5"/>
  <c r="CC472" i="5"/>
  <c r="CB472" i="5"/>
  <c r="CA472" i="5"/>
  <c r="BZ472" i="5"/>
  <c r="BY472" i="5"/>
  <c r="BX472" i="5"/>
  <c r="BW472" i="5"/>
  <c r="BV472" i="5"/>
  <c r="BU472" i="5"/>
  <c r="BS472" i="5"/>
  <c r="BR472" i="5"/>
  <c r="BQ472" i="5"/>
  <c r="BP472" i="5"/>
  <c r="BO472" i="5"/>
  <c r="BN472" i="5"/>
  <c r="BM472" i="5"/>
  <c r="BL472" i="5"/>
  <c r="BH472" i="5"/>
  <c r="BG472" i="5"/>
  <c r="BF472" i="5"/>
  <c r="BC472" i="5"/>
  <c r="AY472" i="5"/>
  <c r="AX472" i="5"/>
  <c r="AW472" i="5"/>
  <c r="AV472" i="5"/>
  <c r="AU472" i="5"/>
  <c r="AT472" i="5"/>
  <c r="AR472" i="5"/>
  <c r="AQ472" i="5"/>
  <c r="AP472" i="5"/>
  <c r="AO472" i="5"/>
  <c r="AN472" i="5"/>
  <c r="AM472" i="5"/>
  <c r="AL472" i="5"/>
  <c r="AH472" i="5"/>
  <c r="AF472" i="5"/>
  <c r="AD472" i="5"/>
  <c r="AB472" i="5"/>
  <c r="Z472" i="5"/>
  <c r="X472" i="5"/>
  <c r="W472" i="5"/>
  <c r="V472" i="5"/>
  <c r="U472" i="5"/>
  <c r="T472" i="5"/>
  <c r="S472" i="5"/>
  <c r="R472" i="5"/>
  <c r="Q472" i="5"/>
  <c r="P472" i="5"/>
  <c r="O472" i="5"/>
  <c r="N472" i="5"/>
  <c r="M472" i="5"/>
  <c r="L472" i="5"/>
  <c r="K472" i="5"/>
  <c r="J472" i="5"/>
  <c r="I472" i="5"/>
  <c r="H472" i="5"/>
  <c r="G472" i="5"/>
  <c r="F472" i="5"/>
  <c r="E472" i="5"/>
  <c r="D472" i="5"/>
  <c r="C472" i="5"/>
  <c r="B472" i="5"/>
  <c r="A472" i="5"/>
  <c r="CS471" i="5"/>
  <c r="CM471" i="5"/>
  <c r="CG471" i="5"/>
  <c r="CF471" i="5"/>
  <c r="CE471" i="5"/>
  <c r="CD471" i="5"/>
  <c r="CC471" i="5"/>
  <c r="CB471" i="5"/>
  <c r="CA471" i="5"/>
  <c r="BY471" i="5"/>
  <c r="BW471" i="5"/>
  <c r="BV471" i="5"/>
  <c r="BU471" i="5"/>
  <c r="BQ471" i="5"/>
  <c r="BP471" i="5"/>
  <c r="BO471" i="5"/>
  <c r="BM471" i="5"/>
  <c r="BH471" i="5"/>
  <c r="BG471" i="5"/>
  <c r="BF471" i="5"/>
  <c r="BD471" i="5"/>
  <c r="BC471" i="5"/>
  <c r="BB471" i="5"/>
  <c r="AY471" i="5"/>
  <c r="AX471" i="5"/>
  <c r="AW471" i="5"/>
  <c r="AV471" i="5"/>
  <c r="AU471" i="5"/>
  <c r="AT471" i="5"/>
  <c r="AR471" i="5"/>
  <c r="AQ471" i="5"/>
  <c r="AP471" i="5"/>
  <c r="AO471" i="5"/>
  <c r="AN471" i="5"/>
  <c r="AM471" i="5"/>
  <c r="AL471" i="5"/>
  <c r="AH471" i="5"/>
  <c r="AF471" i="5"/>
  <c r="AE471" i="5"/>
  <c r="AD471" i="5"/>
  <c r="AB471" i="5"/>
  <c r="Y471" i="5"/>
  <c r="X471" i="5"/>
  <c r="W471" i="5"/>
  <c r="V471" i="5"/>
  <c r="U471" i="5"/>
  <c r="T471" i="5"/>
  <c r="S471" i="5"/>
  <c r="R471" i="5"/>
  <c r="Q471" i="5"/>
  <c r="P471" i="5"/>
  <c r="O471" i="5"/>
  <c r="N471" i="5"/>
  <c r="M471" i="5"/>
  <c r="L471" i="5"/>
  <c r="K471" i="5"/>
  <c r="J471" i="5"/>
  <c r="I471" i="5"/>
  <c r="H471" i="5"/>
  <c r="G471" i="5"/>
  <c r="F471" i="5"/>
  <c r="E471" i="5"/>
  <c r="D471" i="5"/>
  <c r="C471" i="5"/>
  <c r="B471" i="5"/>
  <c r="A471" i="5"/>
  <c r="CS470" i="5"/>
  <c r="CM470" i="5"/>
  <c r="CG470" i="5"/>
  <c r="CF470" i="5"/>
  <c r="CE470" i="5"/>
  <c r="CD470" i="5"/>
  <c r="CC470" i="5"/>
  <c r="CB470" i="5"/>
  <c r="CA470" i="5"/>
  <c r="BY470" i="5"/>
  <c r="BW470" i="5"/>
  <c r="BV470" i="5"/>
  <c r="BU470" i="5"/>
  <c r="BQ470" i="5"/>
  <c r="BP470" i="5"/>
  <c r="BO470" i="5"/>
  <c r="BN470" i="5"/>
  <c r="BM470" i="5"/>
  <c r="BL470" i="5"/>
  <c r="BH470" i="5"/>
  <c r="BG470" i="5"/>
  <c r="BF470" i="5"/>
  <c r="BD470" i="5"/>
  <c r="BC470" i="5"/>
  <c r="BB470" i="5"/>
  <c r="AY470" i="5"/>
  <c r="AX470" i="5"/>
  <c r="AW470" i="5"/>
  <c r="AV470" i="5"/>
  <c r="AU470" i="5"/>
  <c r="AT470" i="5"/>
  <c r="AR470" i="5"/>
  <c r="AQ470" i="5"/>
  <c r="AP470" i="5"/>
  <c r="AO470" i="5"/>
  <c r="AN470" i="5"/>
  <c r="AM470" i="5"/>
  <c r="AL470" i="5"/>
  <c r="AH470" i="5"/>
  <c r="AF470" i="5"/>
  <c r="AD470" i="5"/>
  <c r="AB470" i="5"/>
  <c r="Y470" i="5"/>
  <c r="X470" i="5"/>
  <c r="W470" i="5"/>
  <c r="V470" i="5"/>
  <c r="U470" i="5"/>
  <c r="T470" i="5"/>
  <c r="S470" i="5"/>
  <c r="R470" i="5"/>
  <c r="Q470" i="5"/>
  <c r="P470" i="5"/>
  <c r="O470" i="5"/>
  <c r="N470" i="5"/>
  <c r="M470" i="5"/>
  <c r="L470" i="5"/>
  <c r="K470" i="5"/>
  <c r="J470" i="5"/>
  <c r="I470" i="5"/>
  <c r="H470" i="5"/>
  <c r="G470" i="5"/>
  <c r="F470" i="5"/>
  <c r="E470" i="5"/>
  <c r="D470" i="5"/>
  <c r="C470" i="5"/>
  <c r="B470" i="5"/>
  <c r="A470" i="5"/>
  <c r="CS469" i="5"/>
  <c r="CM469" i="5"/>
  <c r="CG469" i="5"/>
  <c r="CF469" i="5"/>
  <c r="CE469" i="5"/>
  <c r="CD469" i="5"/>
  <c r="CC469" i="5"/>
  <c r="CB469" i="5"/>
  <c r="CA469" i="5"/>
  <c r="BY469" i="5"/>
  <c r="BW469" i="5"/>
  <c r="BV469" i="5"/>
  <c r="BU469" i="5"/>
  <c r="BQ469" i="5"/>
  <c r="BP469" i="5"/>
  <c r="BO469" i="5"/>
  <c r="BN469" i="5"/>
  <c r="BM469" i="5"/>
  <c r="BL469" i="5"/>
  <c r="BF469" i="5"/>
  <c r="BC469" i="5"/>
  <c r="AY469" i="5"/>
  <c r="AX469" i="5"/>
  <c r="AW469" i="5"/>
  <c r="AV469" i="5"/>
  <c r="AU469" i="5"/>
  <c r="AT469" i="5"/>
  <c r="AR469" i="5"/>
  <c r="AQ469" i="5"/>
  <c r="AP469" i="5"/>
  <c r="AO469" i="5"/>
  <c r="AN469" i="5"/>
  <c r="AM469" i="5"/>
  <c r="AL469" i="5"/>
  <c r="AH469" i="5"/>
  <c r="AF469" i="5"/>
  <c r="AD469" i="5"/>
  <c r="AB469" i="5"/>
  <c r="Y469" i="5"/>
  <c r="X469" i="5"/>
  <c r="W469" i="5"/>
  <c r="V469" i="5"/>
  <c r="U469" i="5"/>
  <c r="T469" i="5"/>
  <c r="S469" i="5"/>
  <c r="R469" i="5"/>
  <c r="Q469" i="5"/>
  <c r="P469" i="5"/>
  <c r="O469" i="5"/>
  <c r="N469" i="5"/>
  <c r="M469" i="5"/>
  <c r="L469" i="5"/>
  <c r="K469" i="5"/>
  <c r="J469" i="5"/>
  <c r="I469" i="5"/>
  <c r="H469" i="5"/>
  <c r="G469" i="5"/>
  <c r="F469" i="5"/>
  <c r="E469" i="5"/>
  <c r="D469" i="5"/>
  <c r="C469" i="5"/>
  <c r="B469" i="5"/>
  <c r="A469" i="5"/>
  <c r="CS468" i="5"/>
  <c r="CM468" i="5"/>
  <c r="CG468" i="5"/>
  <c r="CF468" i="5"/>
  <c r="CE468" i="5"/>
  <c r="CD468" i="5"/>
  <c r="CC468" i="5"/>
  <c r="CB468" i="5"/>
  <c r="CA468" i="5"/>
  <c r="BY468" i="5"/>
  <c r="BW468" i="5"/>
  <c r="BV468" i="5"/>
  <c r="BU468" i="5"/>
  <c r="BQ468" i="5"/>
  <c r="BP468" i="5"/>
  <c r="BO468" i="5"/>
  <c r="BN468" i="5"/>
  <c r="BM468" i="5"/>
  <c r="BL468" i="5"/>
  <c r="BH468" i="5"/>
  <c r="BG468" i="5"/>
  <c r="BF468" i="5"/>
  <c r="BD468" i="5"/>
  <c r="BC468" i="5"/>
  <c r="BB468" i="5"/>
  <c r="AY468" i="5"/>
  <c r="AX468" i="5"/>
  <c r="AW468" i="5"/>
  <c r="AV468" i="5"/>
  <c r="AU468" i="5"/>
  <c r="AT468" i="5"/>
  <c r="AR468" i="5"/>
  <c r="AQ468" i="5"/>
  <c r="AP468" i="5"/>
  <c r="AO468" i="5"/>
  <c r="AN468" i="5"/>
  <c r="AM468" i="5"/>
  <c r="AL468" i="5"/>
  <c r="AH468" i="5"/>
  <c r="AF468" i="5"/>
  <c r="AD468" i="5"/>
  <c r="AB468" i="5"/>
  <c r="Y468" i="5"/>
  <c r="X468" i="5"/>
  <c r="W468" i="5"/>
  <c r="V468" i="5"/>
  <c r="U468" i="5"/>
  <c r="T468" i="5"/>
  <c r="S468" i="5"/>
  <c r="R468" i="5"/>
  <c r="Q468" i="5"/>
  <c r="P468" i="5"/>
  <c r="O468" i="5"/>
  <c r="N468" i="5"/>
  <c r="M468" i="5"/>
  <c r="L468" i="5"/>
  <c r="K468" i="5"/>
  <c r="J468" i="5"/>
  <c r="I468" i="5"/>
  <c r="H468" i="5"/>
  <c r="G468" i="5"/>
  <c r="F468" i="5"/>
  <c r="E468" i="5"/>
  <c r="D468" i="5"/>
  <c r="C468" i="5"/>
  <c r="B468" i="5"/>
  <c r="A468" i="5"/>
  <c r="CS467" i="5"/>
  <c r="CM467" i="5"/>
  <c r="CG467" i="5"/>
  <c r="CF467" i="5"/>
  <c r="CE467" i="5"/>
  <c r="CD467" i="5"/>
  <c r="CC467" i="5"/>
  <c r="CB467" i="5"/>
  <c r="CA467" i="5"/>
  <c r="BY467" i="5"/>
  <c r="BX467" i="5"/>
  <c r="BW467" i="5"/>
  <c r="BV467" i="5"/>
  <c r="BU467" i="5"/>
  <c r="BQ467" i="5"/>
  <c r="BP467" i="5"/>
  <c r="BO467" i="5"/>
  <c r="BN467" i="5"/>
  <c r="BM467" i="5"/>
  <c r="BL467" i="5"/>
  <c r="BH467" i="5"/>
  <c r="BG467" i="5"/>
  <c r="BF467" i="5"/>
  <c r="BD467" i="5"/>
  <c r="BC467" i="5"/>
  <c r="AY467" i="5"/>
  <c r="AX467" i="5"/>
  <c r="AW467" i="5"/>
  <c r="AV467" i="5"/>
  <c r="AU467" i="5"/>
  <c r="AT467" i="5"/>
  <c r="AR467" i="5"/>
  <c r="AQ467" i="5"/>
  <c r="AP467" i="5"/>
  <c r="AO467" i="5"/>
  <c r="AN467" i="5"/>
  <c r="AM467" i="5"/>
  <c r="AL467" i="5"/>
  <c r="AH467" i="5"/>
  <c r="AF467" i="5"/>
  <c r="AD467" i="5"/>
  <c r="AB467" i="5"/>
  <c r="Z467" i="5"/>
  <c r="X467" i="5"/>
  <c r="W467" i="5"/>
  <c r="V467" i="5"/>
  <c r="U467" i="5"/>
  <c r="T467" i="5"/>
  <c r="S467" i="5"/>
  <c r="R467" i="5"/>
  <c r="Q467" i="5"/>
  <c r="P467" i="5"/>
  <c r="O467" i="5"/>
  <c r="N467" i="5"/>
  <c r="M467" i="5"/>
  <c r="L467" i="5"/>
  <c r="K467" i="5"/>
  <c r="J467" i="5"/>
  <c r="I467" i="5"/>
  <c r="H467" i="5"/>
  <c r="G467" i="5"/>
  <c r="F467" i="5"/>
  <c r="E467" i="5"/>
  <c r="D467" i="5"/>
  <c r="C467" i="5"/>
  <c r="B467" i="5"/>
  <c r="A467" i="5"/>
  <c r="CS466" i="5"/>
  <c r="CM466" i="5"/>
  <c r="CG466" i="5"/>
  <c r="CF466" i="5"/>
  <c r="CE466" i="5"/>
  <c r="CD466" i="5"/>
  <c r="CC466" i="5"/>
  <c r="CB466" i="5"/>
  <c r="CA466" i="5"/>
  <c r="BY466" i="5"/>
  <c r="BX466" i="5"/>
  <c r="BW466" i="5"/>
  <c r="BV466" i="5"/>
  <c r="BU466" i="5"/>
  <c r="BQ466" i="5"/>
  <c r="BP466" i="5"/>
  <c r="BO466" i="5"/>
  <c r="BM466" i="5"/>
  <c r="BH466" i="5"/>
  <c r="BG466" i="5"/>
  <c r="BF466" i="5"/>
  <c r="BE466" i="5"/>
  <c r="BD466" i="5"/>
  <c r="BC466" i="5"/>
  <c r="BB466" i="5"/>
  <c r="BA466" i="5"/>
  <c r="AZ466" i="5"/>
  <c r="AY466" i="5"/>
  <c r="AX466" i="5"/>
  <c r="AW466" i="5"/>
  <c r="AV466" i="5"/>
  <c r="AU466" i="5"/>
  <c r="AT466" i="5"/>
  <c r="AS466" i="5"/>
  <c r="AR466" i="5"/>
  <c r="AQ466" i="5"/>
  <c r="AP466" i="5"/>
  <c r="AO466" i="5"/>
  <c r="AN466" i="5"/>
  <c r="AM466" i="5"/>
  <c r="AL466" i="5"/>
  <c r="AH466" i="5"/>
  <c r="AF466" i="5"/>
  <c r="AE466" i="5"/>
  <c r="AD466" i="5"/>
  <c r="AB466" i="5"/>
  <c r="X466" i="5"/>
  <c r="W466" i="5"/>
  <c r="V466" i="5"/>
  <c r="U466" i="5"/>
  <c r="T466" i="5"/>
  <c r="S466" i="5"/>
  <c r="R466" i="5"/>
  <c r="Q466" i="5"/>
  <c r="P466" i="5"/>
  <c r="O466" i="5"/>
  <c r="N466" i="5"/>
  <c r="M466" i="5"/>
  <c r="L466" i="5"/>
  <c r="K466" i="5"/>
  <c r="J466" i="5"/>
  <c r="I466" i="5"/>
  <c r="H466" i="5"/>
  <c r="G466" i="5"/>
  <c r="F466" i="5"/>
  <c r="E466" i="5"/>
  <c r="D466" i="5"/>
  <c r="C466" i="5"/>
  <c r="B466" i="5"/>
  <c r="A466" i="5"/>
  <c r="CS465" i="5"/>
  <c r="CM465" i="5"/>
  <c r="CG465" i="5"/>
  <c r="CF465" i="5"/>
  <c r="CE465" i="5"/>
  <c r="CD465" i="5"/>
  <c r="CC465" i="5"/>
  <c r="CB465" i="5"/>
  <c r="CA465" i="5"/>
  <c r="BZ465" i="5"/>
  <c r="BY465" i="5"/>
  <c r="BW465" i="5"/>
  <c r="BV465" i="5"/>
  <c r="BU465" i="5"/>
  <c r="BS465" i="5"/>
  <c r="BR465" i="5"/>
  <c r="BQ465" i="5"/>
  <c r="BP465" i="5"/>
  <c r="BO465" i="5"/>
  <c r="BM465" i="5"/>
  <c r="BF465" i="5"/>
  <c r="BC465" i="5"/>
  <c r="BB465" i="5"/>
  <c r="AZ465" i="5"/>
  <c r="AY465" i="5"/>
  <c r="AX465" i="5"/>
  <c r="AW465" i="5"/>
  <c r="AV465" i="5"/>
  <c r="AU465" i="5"/>
  <c r="AT465" i="5"/>
  <c r="AS465" i="5"/>
  <c r="AR465" i="5"/>
  <c r="AQ465" i="5"/>
  <c r="AP465" i="5"/>
  <c r="AO465" i="5"/>
  <c r="AN465" i="5"/>
  <c r="AM465" i="5"/>
  <c r="AL465" i="5"/>
  <c r="AH465" i="5"/>
  <c r="AF465" i="5"/>
  <c r="AD465" i="5"/>
  <c r="AB465" i="5"/>
  <c r="X465" i="5"/>
  <c r="W465" i="5"/>
  <c r="V465" i="5"/>
  <c r="U465" i="5"/>
  <c r="T465" i="5"/>
  <c r="S465" i="5"/>
  <c r="R465" i="5"/>
  <c r="Q465" i="5"/>
  <c r="P465" i="5"/>
  <c r="O465" i="5"/>
  <c r="N465" i="5"/>
  <c r="M465" i="5"/>
  <c r="L465" i="5"/>
  <c r="K465" i="5"/>
  <c r="J465" i="5"/>
  <c r="I465" i="5"/>
  <c r="H465" i="5"/>
  <c r="G465" i="5"/>
  <c r="F465" i="5"/>
  <c r="E465" i="5"/>
  <c r="D465" i="5"/>
  <c r="C465" i="5"/>
  <c r="B465" i="5"/>
  <c r="A465" i="5"/>
  <c r="CS464" i="5"/>
  <c r="CM464" i="5"/>
  <c r="CG464" i="5"/>
  <c r="CF464" i="5"/>
  <c r="CE464" i="5"/>
  <c r="CD464" i="5"/>
  <c r="CC464" i="5"/>
  <c r="CB464" i="5"/>
  <c r="CA464" i="5"/>
  <c r="BZ464" i="5"/>
  <c r="BY464" i="5"/>
  <c r="BW464" i="5"/>
  <c r="BV464" i="5"/>
  <c r="BU464" i="5"/>
  <c r="BS464" i="5"/>
  <c r="BR464" i="5"/>
  <c r="BQ464" i="5"/>
  <c r="BP464" i="5"/>
  <c r="BO464" i="5"/>
  <c r="BM464" i="5"/>
  <c r="BH464" i="5"/>
  <c r="BG464" i="5"/>
  <c r="BF464" i="5"/>
  <c r="BE464" i="5"/>
  <c r="BD464" i="5"/>
  <c r="BC464" i="5"/>
  <c r="BB464" i="5"/>
  <c r="BA464" i="5"/>
  <c r="AZ464" i="5"/>
  <c r="AY464" i="5"/>
  <c r="AX464" i="5"/>
  <c r="AW464" i="5"/>
  <c r="AV464" i="5"/>
  <c r="AU464" i="5"/>
  <c r="AT464" i="5"/>
  <c r="AS464" i="5"/>
  <c r="AR464" i="5"/>
  <c r="AQ464" i="5"/>
  <c r="AP464" i="5"/>
  <c r="AO464" i="5"/>
  <c r="AN464" i="5"/>
  <c r="AM464" i="5"/>
  <c r="AL464" i="5"/>
  <c r="AH464" i="5"/>
  <c r="AF464" i="5"/>
  <c r="AE464" i="5"/>
  <c r="AD464" i="5"/>
  <c r="AB464" i="5"/>
  <c r="X464" i="5"/>
  <c r="W464" i="5"/>
  <c r="V464" i="5"/>
  <c r="U464" i="5"/>
  <c r="T464" i="5"/>
  <c r="S464" i="5"/>
  <c r="R464" i="5"/>
  <c r="Q464" i="5"/>
  <c r="P464" i="5"/>
  <c r="O464" i="5"/>
  <c r="N464" i="5"/>
  <c r="M464" i="5"/>
  <c r="L464" i="5"/>
  <c r="K464" i="5"/>
  <c r="J464" i="5"/>
  <c r="I464" i="5"/>
  <c r="H464" i="5"/>
  <c r="G464" i="5"/>
  <c r="F464" i="5"/>
  <c r="E464" i="5"/>
  <c r="D464" i="5"/>
  <c r="C464" i="5"/>
  <c r="B464" i="5"/>
  <c r="A464" i="5"/>
  <c r="CS463" i="5"/>
  <c r="CM463" i="5"/>
  <c r="CG463" i="5"/>
  <c r="CF463" i="5"/>
  <c r="CE463" i="5"/>
  <c r="CD463" i="5"/>
  <c r="CC463" i="5"/>
  <c r="CB463" i="5"/>
  <c r="CA463" i="5"/>
  <c r="BZ463" i="5"/>
  <c r="BY463" i="5"/>
  <c r="BW463" i="5"/>
  <c r="BV463" i="5"/>
  <c r="BU463" i="5"/>
  <c r="BS463" i="5"/>
  <c r="BR463" i="5"/>
  <c r="BQ463" i="5"/>
  <c r="BP463" i="5"/>
  <c r="BO463" i="5"/>
  <c r="BM463" i="5"/>
  <c r="BF463" i="5"/>
  <c r="BE463" i="5"/>
  <c r="BD463" i="5"/>
  <c r="BC463" i="5"/>
  <c r="BB463" i="5"/>
  <c r="BA463" i="5"/>
  <c r="AZ463" i="5"/>
  <c r="AY463" i="5"/>
  <c r="AX463" i="5"/>
  <c r="AW463" i="5"/>
  <c r="AV463" i="5"/>
  <c r="AU463" i="5"/>
  <c r="AT463" i="5"/>
  <c r="AS463" i="5"/>
  <c r="AR463" i="5"/>
  <c r="AQ463" i="5"/>
  <c r="AP463" i="5"/>
  <c r="AO463" i="5"/>
  <c r="AN463" i="5"/>
  <c r="AM463" i="5"/>
  <c r="AL463" i="5"/>
  <c r="AH463" i="5"/>
  <c r="AF463" i="5"/>
  <c r="AD463" i="5"/>
  <c r="AB463" i="5"/>
  <c r="X463" i="5"/>
  <c r="W463" i="5"/>
  <c r="V463" i="5"/>
  <c r="U463" i="5"/>
  <c r="T463" i="5"/>
  <c r="S463" i="5"/>
  <c r="R463" i="5"/>
  <c r="Q463" i="5"/>
  <c r="P463" i="5"/>
  <c r="O463" i="5"/>
  <c r="N463" i="5"/>
  <c r="M463" i="5"/>
  <c r="L463" i="5"/>
  <c r="K463" i="5"/>
  <c r="J463" i="5"/>
  <c r="I463" i="5"/>
  <c r="H463" i="5"/>
  <c r="G463" i="5"/>
  <c r="F463" i="5"/>
  <c r="E463" i="5"/>
  <c r="D463" i="5"/>
  <c r="C463" i="5"/>
  <c r="B463" i="5"/>
  <c r="A463" i="5"/>
  <c r="CS462" i="5"/>
  <c r="CM462" i="5"/>
  <c r="CG462" i="5"/>
  <c r="CF462" i="5"/>
  <c r="CE462" i="5"/>
  <c r="CD462" i="5"/>
  <c r="CC462" i="5"/>
  <c r="CB462" i="5"/>
  <c r="CA462" i="5"/>
  <c r="BZ462" i="5"/>
  <c r="BY462" i="5"/>
  <c r="BW462" i="5"/>
  <c r="BV462" i="5"/>
  <c r="BU462" i="5"/>
  <c r="BS462" i="5"/>
  <c r="BR462" i="5"/>
  <c r="BQ462" i="5"/>
  <c r="BP462" i="5"/>
  <c r="BO462" i="5"/>
  <c r="BM462" i="5"/>
  <c r="BF462" i="5"/>
  <c r="BC462" i="5"/>
  <c r="AY462" i="5"/>
  <c r="AX462" i="5"/>
  <c r="AW462" i="5"/>
  <c r="AV462" i="5"/>
  <c r="AU462" i="5"/>
  <c r="AT462" i="5"/>
  <c r="AR462" i="5"/>
  <c r="AQ462" i="5"/>
  <c r="AP462" i="5"/>
  <c r="AO462" i="5"/>
  <c r="AN462" i="5"/>
  <c r="AM462" i="5"/>
  <c r="AL462" i="5"/>
  <c r="AH462" i="5"/>
  <c r="AF462" i="5"/>
  <c r="AD462" i="5"/>
  <c r="AB462" i="5"/>
  <c r="Y462" i="5"/>
  <c r="X462" i="5"/>
  <c r="W462" i="5"/>
  <c r="V462" i="5"/>
  <c r="U462" i="5"/>
  <c r="T462" i="5"/>
  <c r="S462" i="5"/>
  <c r="R462" i="5"/>
  <c r="Q462" i="5"/>
  <c r="P462" i="5"/>
  <c r="O462" i="5"/>
  <c r="N462" i="5"/>
  <c r="M462" i="5"/>
  <c r="L462" i="5"/>
  <c r="K462" i="5"/>
  <c r="J462" i="5"/>
  <c r="I462" i="5"/>
  <c r="H462" i="5"/>
  <c r="G462" i="5"/>
  <c r="F462" i="5"/>
  <c r="E462" i="5"/>
  <c r="D462" i="5"/>
  <c r="C462" i="5"/>
  <c r="B462" i="5"/>
  <c r="A462" i="5"/>
  <c r="CS461" i="5"/>
  <c r="CM461" i="5"/>
  <c r="CG461" i="5"/>
  <c r="CF461" i="5"/>
  <c r="CE461" i="5"/>
  <c r="CD461" i="5"/>
  <c r="CC461" i="5"/>
  <c r="CB461" i="5"/>
  <c r="CA461" i="5"/>
  <c r="BZ461" i="5"/>
  <c r="BY461" i="5"/>
  <c r="BX461" i="5"/>
  <c r="BW461" i="5"/>
  <c r="BV461" i="5"/>
  <c r="BU461" i="5"/>
  <c r="BS461" i="5"/>
  <c r="BR461" i="5"/>
  <c r="BQ461" i="5"/>
  <c r="BP461" i="5"/>
  <c r="BO461" i="5"/>
  <c r="BM461" i="5"/>
  <c r="BF461" i="5"/>
  <c r="BC461" i="5"/>
  <c r="AY461" i="5"/>
  <c r="AX461" i="5"/>
  <c r="AW461" i="5"/>
  <c r="AV461" i="5"/>
  <c r="AU461" i="5"/>
  <c r="AT461" i="5"/>
  <c r="AR461" i="5"/>
  <c r="AQ461" i="5"/>
  <c r="AP461" i="5"/>
  <c r="AO461" i="5"/>
  <c r="AN461" i="5"/>
  <c r="AM461" i="5"/>
  <c r="AL461" i="5"/>
  <c r="AH461" i="5"/>
  <c r="AF461" i="5"/>
  <c r="AD461" i="5"/>
  <c r="AB461" i="5"/>
  <c r="Y461" i="5"/>
  <c r="X461" i="5"/>
  <c r="W461" i="5"/>
  <c r="V461" i="5"/>
  <c r="U461" i="5"/>
  <c r="T461" i="5"/>
  <c r="S461" i="5"/>
  <c r="R461" i="5"/>
  <c r="Q461" i="5"/>
  <c r="P461" i="5"/>
  <c r="O461" i="5"/>
  <c r="N461" i="5"/>
  <c r="M461" i="5"/>
  <c r="L461" i="5"/>
  <c r="K461" i="5"/>
  <c r="J461" i="5"/>
  <c r="I461" i="5"/>
  <c r="H461" i="5"/>
  <c r="G461" i="5"/>
  <c r="F461" i="5"/>
  <c r="E461" i="5"/>
  <c r="D461" i="5"/>
  <c r="C461" i="5"/>
  <c r="B461" i="5"/>
  <c r="A461" i="5"/>
  <c r="CS460" i="5"/>
  <c r="CM460" i="5"/>
  <c r="CG460" i="5"/>
  <c r="CF460" i="5"/>
  <c r="CE460" i="5"/>
  <c r="CD460" i="5"/>
  <c r="CC460" i="5"/>
  <c r="CB460" i="5"/>
  <c r="CA460" i="5"/>
  <c r="BZ460" i="5"/>
  <c r="BY460" i="5"/>
  <c r="BX460" i="5"/>
  <c r="BW460" i="5"/>
  <c r="BV460" i="5"/>
  <c r="BU460" i="5"/>
  <c r="BS460" i="5"/>
  <c r="BR460" i="5"/>
  <c r="BQ460" i="5"/>
  <c r="BP460" i="5"/>
  <c r="BO460" i="5"/>
  <c r="BN460" i="5"/>
  <c r="BM460" i="5"/>
  <c r="BL460" i="5"/>
  <c r="BF460" i="5"/>
  <c r="BC460" i="5"/>
  <c r="AY460" i="5"/>
  <c r="AX460" i="5"/>
  <c r="AW460" i="5"/>
  <c r="AV460" i="5"/>
  <c r="AU460" i="5"/>
  <c r="AT460" i="5"/>
  <c r="AR460" i="5"/>
  <c r="AQ460" i="5"/>
  <c r="AP460" i="5"/>
  <c r="AO460" i="5"/>
  <c r="AN460" i="5"/>
  <c r="AM460" i="5"/>
  <c r="AL460" i="5"/>
  <c r="AH460" i="5"/>
  <c r="AF460" i="5"/>
  <c r="AD460" i="5"/>
  <c r="AB460" i="5"/>
  <c r="Y460" i="5"/>
  <c r="X460" i="5"/>
  <c r="W460" i="5"/>
  <c r="V460" i="5"/>
  <c r="U460" i="5"/>
  <c r="T460" i="5"/>
  <c r="S460" i="5"/>
  <c r="R460" i="5"/>
  <c r="Q460" i="5"/>
  <c r="P460" i="5"/>
  <c r="O460" i="5"/>
  <c r="N460" i="5"/>
  <c r="M460" i="5"/>
  <c r="L460" i="5"/>
  <c r="K460" i="5"/>
  <c r="J460" i="5"/>
  <c r="I460" i="5"/>
  <c r="H460" i="5"/>
  <c r="G460" i="5"/>
  <c r="F460" i="5"/>
  <c r="E460" i="5"/>
  <c r="D460" i="5"/>
  <c r="C460" i="5"/>
  <c r="B460" i="5"/>
  <c r="A460" i="5"/>
  <c r="CS459" i="5"/>
  <c r="CM459" i="5"/>
  <c r="CG459" i="5"/>
  <c r="CF459" i="5"/>
  <c r="CE459" i="5"/>
  <c r="CD459" i="5"/>
  <c r="CC459" i="5"/>
  <c r="CB459" i="5"/>
  <c r="CA459" i="5"/>
  <c r="BZ459" i="5"/>
  <c r="BY459" i="5"/>
  <c r="BX459" i="5"/>
  <c r="BW459" i="5"/>
  <c r="BV459" i="5"/>
  <c r="BU459" i="5"/>
  <c r="BS459" i="5"/>
  <c r="BR459" i="5"/>
  <c r="BQ459" i="5"/>
  <c r="BP459" i="5"/>
  <c r="BO459" i="5"/>
  <c r="BM459" i="5"/>
  <c r="BG459" i="5"/>
  <c r="BF459" i="5"/>
  <c r="BD459" i="5"/>
  <c r="BC459" i="5"/>
  <c r="BB459" i="5"/>
  <c r="BA459" i="5"/>
  <c r="AZ459" i="5"/>
  <c r="AY459" i="5"/>
  <c r="AX459" i="5"/>
  <c r="AW459" i="5"/>
  <c r="AV459" i="5"/>
  <c r="AU459" i="5"/>
  <c r="AT459" i="5"/>
  <c r="AR459" i="5"/>
  <c r="AQ459" i="5"/>
  <c r="AP459" i="5"/>
  <c r="AO459" i="5"/>
  <c r="AN459" i="5"/>
  <c r="AM459" i="5"/>
  <c r="AL459" i="5"/>
  <c r="AH459" i="5"/>
  <c r="AF459" i="5"/>
  <c r="AE459" i="5"/>
  <c r="AD459" i="5"/>
  <c r="AB459" i="5"/>
  <c r="Z459" i="5"/>
  <c r="X459" i="5"/>
  <c r="W459" i="5"/>
  <c r="V459" i="5"/>
  <c r="U459" i="5"/>
  <c r="T459" i="5"/>
  <c r="S459" i="5"/>
  <c r="R459" i="5"/>
  <c r="Q459" i="5"/>
  <c r="P459" i="5"/>
  <c r="O459" i="5"/>
  <c r="N459" i="5"/>
  <c r="M459" i="5"/>
  <c r="L459" i="5"/>
  <c r="K459" i="5"/>
  <c r="J459" i="5"/>
  <c r="I459" i="5"/>
  <c r="H459" i="5"/>
  <c r="G459" i="5"/>
  <c r="F459" i="5"/>
  <c r="E459" i="5"/>
  <c r="D459" i="5"/>
  <c r="C459" i="5"/>
  <c r="B459" i="5"/>
  <c r="A459" i="5"/>
  <c r="CS458" i="5"/>
  <c r="CM458" i="5"/>
  <c r="CG458" i="5"/>
  <c r="CF458" i="5"/>
  <c r="CE458" i="5"/>
  <c r="CD458" i="5"/>
  <c r="CC458" i="5"/>
  <c r="CB458" i="5"/>
  <c r="CA458" i="5"/>
  <c r="BZ458" i="5"/>
  <c r="BY458" i="5"/>
  <c r="BW458" i="5"/>
  <c r="BV458" i="5"/>
  <c r="BU458" i="5"/>
  <c r="BS458" i="5"/>
  <c r="BR458" i="5"/>
  <c r="BQ458" i="5"/>
  <c r="BP458" i="5"/>
  <c r="BO458" i="5"/>
  <c r="BM458" i="5"/>
  <c r="BF458" i="5"/>
  <c r="BC458" i="5"/>
  <c r="BB458" i="5"/>
  <c r="AY458" i="5"/>
  <c r="AX458" i="5"/>
  <c r="AW458" i="5"/>
  <c r="AV458" i="5"/>
  <c r="AU458" i="5"/>
  <c r="AT458" i="5"/>
  <c r="AR458" i="5"/>
  <c r="AQ458" i="5"/>
  <c r="AP458" i="5"/>
  <c r="AO458" i="5"/>
  <c r="AN458" i="5"/>
  <c r="AM458" i="5"/>
  <c r="AL458" i="5"/>
  <c r="AH458" i="5"/>
  <c r="AF458" i="5"/>
  <c r="AE458" i="5"/>
  <c r="AD458" i="5"/>
  <c r="AB458" i="5"/>
  <c r="X458" i="5"/>
  <c r="W458" i="5"/>
  <c r="V458" i="5"/>
  <c r="U458" i="5"/>
  <c r="T458" i="5"/>
  <c r="S458" i="5"/>
  <c r="R458" i="5"/>
  <c r="Q458" i="5"/>
  <c r="P458" i="5"/>
  <c r="O458" i="5"/>
  <c r="N458" i="5"/>
  <c r="M458" i="5"/>
  <c r="L458" i="5"/>
  <c r="K458" i="5"/>
  <c r="J458" i="5"/>
  <c r="I458" i="5"/>
  <c r="H458" i="5"/>
  <c r="G458" i="5"/>
  <c r="F458" i="5"/>
  <c r="E458" i="5"/>
  <c r="D458" i="5"/>
  <c r="C458" i="5"/>
  <c r="B458" i="5"/>
  <c r="A458" i="5"/>
  <c r="CS457" i="5"/>
  <c r="CM457" i="5"/>
  <c r="CG457" i="5"/>
  <c r="CF457" i="5"/>
  <c r="CE457" i="5"/>
  <c r="CD457" i="5"/>
  <c r="CC457" i="5"/>
  <c r="CB457" i="5"/>
  <c r="CA457" i="5"/>
  <c r="BZ457" i="5"/>
  <c r="BY457" i="5"/>
  <c r="BX457" i="5"/>
  <c r="BW457" i="5"/>
  <c r="BV457" i="5"/>
  <c r="BU457" i="5"/>
  <c r="BS457" i="5"/>
  <c r="BR457" i="5"/>
  <c r="BQ457" i="5"/>
  <c r="BP457" i="5"/>
  <c r="BO457" i="5"/>
  <c r="BM457" i="5"/>
  <c r="BF457" i="5"/>
  <c r="BC457" i="5"/>
  <c r="AY457" i="5"/>
  <c r="AX457" i="5"/>
  <c r="AW457" i="5"/>
  <c r="AV457" i="5"/>
  <c r="AU457" i="5"/>
  <c r="AT457" i="5"/>
  <c r="AR457" i="5"/>
  <c r="AQ457" i="5"/>
  <c r="AP457" i="5"/>
  <c r="AO457" i="5"/>
  <c r="AN457" i="5"/>
  <c r="AM457" i="5"/>
  <c r="AL457" i="5"/>
  <c r="AH457" i="5"/>
  <c r="AF457" i="5"/>
  <c r="AE457" i="5"/>
  <c r="AD457" i="5"/>
  <c r="AB457" i="5"/>
  <c r="X457" i="5"/>
  <c r="W457" i="5"/>
  <c r="V457" i="5"/>
  <c r="U457" i="5"/>
  <c r="T457" i="5"/>
  <c r="S457" i="5"/>
  <c r="R457" i="5"/>
  <c r="Q457" i="5"/>
  <c r="P457" i="5"/>
  <c r="O457" i="5"/>
  <c r="N457" i="5"/>
  <c r="M457" i="5"/>
  <c r="L457" i="5"/>
  <c r="K457" i="5"/>
  <c r="J457" i="5"/>
  <c r="I457" i="5"/>
  <c r="H457" i="5"/>
  <c r="G457" i="5"/>
  <c r="F457" i="5"/>
  <c r="E457" i="5"/>
  <c r="D457" i="5"/>
  <c r="C457" i="5"/>
  <c r="B457" i="5"/>
  <c r="A457" i="5"/>
  <c r="CS456" i="5"/>
  <c r="CM456" i="5"/>
  <c r="CG456" i="5"/>
  <c r="CF456" i="5"/>
  <c r="CE456" i="5"/>
  <c r="CD456" i="5"/>
  <c r="CC456" i="5"/>
  <c r="CB456" i="5"/>
  <c r="CA456" i="5"/>
  <c r="BZ456" i="5"/>
  <c r="BY456" i="5"/>
  <c r="BX456" i="5"/>
  <c r="BW456" i="5"/>
  <c r="BV456" i="5"/>
  <c r="BU456" i="5"/>
  <c r="BS456" i="5"/>
  <c r="BR456" i="5"/>
  <c r="BQ456" i="5"/>
  <c r="BP456" i="5"/>
  <c r="BO456" i="5"/>
  <c r="BN456" i="5"/>
  <c r="BM456" i="5"/>
  <c r="BL456" i="5"/>
  <c r="BF456" i="5"/>
  <c r="BC456" i="5"/>
  <c r="AZ456" i="5"/>
  <c r="AY456" i="5"/>
  <c r="AX456" i="5"/>
  <c r="AW456" i="5"/>
  <c r="AV456" i="5"/>
  <c r="AU456" i="5"/>
  <c r="AT456" i="5"/>
  <c r="AR456" i="5"/>
  <c r="AQ456" i="5"/>
  <c r="AP456" i="5"/>
  <c r="AO456" i="5"/>
  <c r="AN456" i="5"/>
  <c r="AM456" i="5"/>
  <c r="AL456" i="5"/>
  <c r="AH456" i="5"/>
  <c r="AF456" i="5"/>
  <c r="AD456" i="5"/>
  <c r="AB456" i="5"/>
  <c r="Y456" i="5"/>
  <c r="X456" i="5"/>
  <c r="W456" i="5"/>
  <c r="V456" i="5"/>
  <c r="U456" i="5"/>
  <c r="T456" i="5"/>
  <c r="S456" i="5"/>
  <c r="R456" i="5"/>
  <c r="Q456" i="5"/>
  <c r="P456" i="5"/>
  <c r="O456" i="5"/>
  <c r="N456" i="5"/>
  <c r="M456" i="5"/>
  <c r="L456" i="5"/>
  <c r="K456" i="5"/>
  <c r="J456" i="5"/>
  <c r="I456" i="5"/>
  <c r="H456" i="5"/>
  <c r="G456" i="5"/>
  <c r="F456" i="5"/>
  <c r="E456" i="5"/>
  <c r="D456" i="5"/>
  <c r="C456" i="5"/>
  <c r="B456" i="5"/>
  <c r="A456" i="5"/>
  <c r="CS455" i="5"/>
  <c r="CM455" i="5"/>
  <c r="CG455" i="5"/>
  <c r="CF455" i="5"/>
  <c r="CE455" i="5"/>
  <c r="CD455" i="5"/>
  <c r="CC455" i="5"/>
  <c r="CB455" i="5"/>
  <c r="CA455" i="5"/>
  <c r="BY455" i="5"/>
  <c r="BW455" i="5"/>
  <c r="BV455" i="5"/>
  <c r="BU455" i="5"/>
  <c r="BQ455" i="5"/>
  <c r="BP455" i="5"/>
  <c r="BO455" i="5"/>
  <c r="BN455" i="5"/>
  <c r="BM455" i="5"/>
  <c r="BL455" i="5"/>
  <c r="BF455" i="5"/>
  <c r="BC455" i="5"/>
  <c r="AZ455" i="5"/>
  <c r="AY455" i="5"/>
  <c r="AX455" i="5"/>
  <c r="AW455" i="5"/>
  <c r="AV455" i="5"/>
  <c r="AU455" i="5"/>
  <c r="AT455" i="5"/>
  <c r="AR455" i="5"/>
  <c r="AQ455" i="5"/>
  <c r="AP455" i="5"/>
  <c r="AO455" i="5"/>
  <c r="AN455" i="5"/>
  <c r="AM455" i="5"/>
  <c r="AL455" i="5"/>
  <c r="AH455" i="5"/>
  <c r="AF455" i="5"/>
  <c r="AD455" i="5"/>
  <c r="AB455" i="5"/>
  <c r="Y455" i="5"/>
  <c r="X455" i="5"/>
  <c r="W455" i="5"/>
  <c r="V455" i="5"/>
  <c r="U455" i="5"/>
  <c r="T455" i="5"/>
  <c r="S455" i="5"/>
  <c r="R455" i="5"/>
  <c r="Q455" i="5"/>
  <c r="P455" i="5"/>
  <c r="O455" i="5"/>
  <c r="N455" i="5"/>
  <c r="M455" i="5"/>
  <c r="L455" i="5"/>
  <c r="K455" i="5"/>
  <c r="J455" i="5"/>
  <c r="I455" i="5"/>
  <c r="H455" i="5"/>
  <c r="G455" i="5"/>
  <c r="F455" i="5"/>
  <c r="E455" i="5"/>
  <c r="D455" i="5"/>
  <c r="C455" i="5"/>
  <c r="B455" i="5"/>
  <c r="A455" i="5"/>
  <c r="CS454" i="5"/>
  <c r="CM454" i="5"/>
  <c r="CG454" i="5"/>
  <c r="CF454" i="5"/>
  <c r="CE454" i="5"/>
  <c r="CD454" i="5"/>
  <c r="CC454" i="5"/>
  <c r="CB454" i="5"/>
  <c r="CA454" i="5"/>
  <c r="BZ454" i="5"/>
  <c r="BY454" i="5"/>
  <c r="BW454" i="5"/>
  <c r="BV454" i="5"/>
  <c r="BU454" i="5"/>
  <c r="BS454" i="5"/>
  <c r="BR454" i="5"/>
  <c r="BQ454" i="5"/>
  <c r="BP454" i="5"/>
  <c r="BO454" i="5"/>
  <c r="BM454" i="5"/>
  <c r="BH454" i="5"/>
  <c r="BF454" i="5"/>
  <c r="BE454" i="5"/>
  <c r="BD454" i="5"/>
  <c r="BC454" i="5"/>
  <c r="BB454" i="5"/>
  <c r="AY454" i="5"/>
  <c r="AX454" i="5"/>
  <c r="AW454" i="5"/>
  <c r="AV454" i="5"/>
  <c r="AU454" i="5"/>
  <c r="AT454" i="5"/>
  <c r="AR454" i="5"/>
  <c r="AQ454" i="5"/>
  <c r="AP454" i="5"/>
  <c r="AO454" i="5"/>
  <c r="AN454" i="5"/>
  <c r="AM454" i="5"/>
  <c r="AL454" i="5"/>
  <c r="AH454" i="5"/>
  <c r="AF454" i="5"/>
  <c r="AE454" i="5"/>
  <c r="AD454" i="5"/>
  <c r="AB454" i="5"/>
  <c r="X454" i="5"/>
  <c r="W454" i="5"/>
  <c r="V454" i="5"/>
  <c r="U454" i="5"/>
  <c r="T454" i="5"/>
  <c r="S454" i="5"/>
  <c r="R454" i="5"/>
  <c r="Q454" i="5"/>
  <c r="P454" i="5"/>
  <c r="O454" i="5"/>
  <c r="N454" i="5"/>
  <c r="M454" i="5"/>
  <c r="L454" i="5"/>
  <c r="K454" i="5"/>
  <c r="J454" i="5"/>
  <c r="I454" i="5"/>
  <c r="H454" i="5"/>
  <c r="G454" i="5"/>
  <c r="F454" i="5"/>
  <c r="E454" i="5"/>
  <c r="D454" i="5"/>
  <c r="C454" i="5"/>
  <c r="B454" i="5"/>
  <c r="A454" i="5"/>
  <c r="CS453" i="5"/>
  <c r="CM453" i="5"/>
  <c r="CG453" i="5"/>
  <c r="CF453" i="5"/>
  <c r="CE453" i="5"/>
  <c r="CD453" i="5"/>
  <c r="CC453" i="5"/>
  <c r="CB453" i="5"/>
  <c r="CA453" i="5"/>
  <c r="BZ453" i="5"/>
  <c r="BY453" i="5"/>
  <c r="BW453" i="5"/>
  <c r="BV453" i="5"/>
  <c r="BU453" i="5"/>
  <c r="BS453" i="5"/>
  <c r="BR453" i="5"/>
  <c r="BQ453" i="5"/>
  <c r="BP453" i="5"/>
  <c r="BO453" i="5"/>
  <c r="BM453" i="5"/>
  <c r="BF453" i="5"/>
  <c r="BC453" i="5"/>
  <c r="AY453" i="5"/>
  <c r="AX453" i="5"/>
  <c r="AW453" i="5"/>
  <c r="AV453" i="5"/>
  <c r="AU453" i="5"/>
  <c r="AT453" i="5"/>
  <c r="AR453" i="5"/>
  <c r="AQ453" i="5"/>
  <c r="AP453" i="5"/>
  <c r="AO453" i="5"/>
  <c r="AN453" i="5"/>
  <c r="AM453" i="5"/>
  <c r="AL453" i="5"/>
  <c r="AH453" i="5"/>
  <c r="AF453" i="5"/>
  <c r="AD453" i="5"/>
  <c r="AB453" i="5"/>
  <c r="Y453" i="5"/>
  <c r="X453" i="5"/>
  <c r="W453" i="5"/>
  <c r="V453" i="5"/>
  <c r="U453" i="5"/>
  <c r="T453" i="5"/>
  <c r="S453" i="5"/>
  <c r="R453" i="5"/>
  <c r="Q453" i="5"/>
  <c r="P453" i="5"/>
  <c r="O453" i="5"/>
  <c r="N453" i="5"/>
  <c r="M453" i="5"/>
  <c r="L453" i="5"/>
  <c r="K453" i="5"/>
  <c r="J453" i="5"/>
  <c r="I453" i="5"/>
  <c r="H453" i="5"/>
  <c r="G453" i="5"/>
  <c r="F453" i="5"/>
  <c r="E453" i="5"/>
  <c r="D453" i="5"/>
  <c r="C453" i="5"/>
  <c r="B453" i="5"/>
  <c r="A453" i="5"/>
  <c r="CS452" i="5"/>
  <c r="CM452" i="5"/>
  <c r="CG452" i="5"/>
  <c r="CF452" i="5"/>
  <c r="CE452" i="5"/>
  <c r="CD452" i="5"/>
  <c r="CC452" i="5"/>
  <c r="CB452" i="5"/>
  <c r="CA452" i="5"/>
  <c r="BZ452" i="5"/>
  <c r="BY452" i="5"/>
  <c r="BW452" i="5"/>
  <c r="BV452" i="5"/>
  <c r="BU452" i="5"/>
  <c r="BS452" i="5"/>
  <c r="BR452" i="5"/>
  <c r="BQ452" i="5"/>
  <c r="BP452" i="5"/>
  <c r="BO452" i="5"/>
  <c r="BM452" i="5"/>
  <c r="BF452" i="5"/>
  <c r="BE452" i="5"/>
  <c r="BD452" i="5"/>
  <c r="BC452" i="5"/>
  <c r="BB452" i="5"/>
  <c r="AZ452" i="5"/>
  <c r="AY452" i="5"/>
  <c r="AX452" i="5"/>
  <c r="AW452" i="5"/>
  <c r="AV452" i="5"/>
  <c r="AU452" i="5"/>
  <c r="AT452" i="5"/>
  <c r="AS452" i="5"/>
  <c r="AR452" i="5"/>
  <c r="AQ452" i="5"/>
  <c r="AP452" i="5"/>
  <c r="AO452" i="5"/>
  <c r="AN452" i="5"/>
  <c r="AM452" i="5"/>
  <c r="AL452" i="5"/>
  <c r="AH452" i="5"/>
  <c r="AF452" i="5"/>
  <c r="AD452" i="5"/>
  <c r="AB452" i="5"/>
  <c r="Z452" i="5"/>
  <c r="X452" i="5"/>
  <c r="W452" i="5"/>
  <c r="V452" i="5"/>
  <c r="U452" i="5"/>
  <c r="T452" i="5"/>
  <c r="S452" i="5"/>
  <c r="R452" i="5"/>
  <c r="Q452" i="5"/>
  <c r="P452" i="5"/>
  <c r="O452" i="5"/>
  <c r="N452" i="5"/>
  <c r="M452" i="5"/>
  <c r="L452" i="5"/>
  <c r="K452" i="5"/>
  <c r="J452" i="5"/>
  <c r="I452" i="5"/>
  <c r="H452" i="5"/>
  <c r="G452" i="5"/>
  <c r="F452" i="5"/>
  <c r="E452" i="5"/>
  <c r="D452" i="5"/>
  <c r="C452" i="5"/>
  <c r="B452" i="5"/>
  <c r="A452" i="5"/>
  <c r="CS451" i="5"/>
  <c r="CM451" i="5"/>
  <c r="CG451" i="5"/>
  <c r="CF451" i="5"/>
  <c r="CE451" i="5"/>
  <c r="CD451" i="5"/>
  <c r="CC451" i="5"/>
  <c r="CB451" i="5"/>
  <c r="CA451" i="5"/>
  <c r="BZ451" i="5"/>
  <c r="BY451" i="5"/>
  <c r="BW451" i="5"/>
  <c r="BV451" i="5"/>
  <c r="BU451" i="5"/>
  <c r="BS451" i="5"/>
  <c r="BR451" i="5"/>
  <c r="BQ451" i="5"/>
  <c r="BP451" i="5"/>
  <c r="BO451" i="5"/>
  <c r="BM451" i="5"/>
  <c r="BH451" i="5"/>
  <c r="BG451" i="5"/>
  <c r="BF451" i="5"/>
  <c r="BE451" i="5"/>
  <c r="BD451" i="5"/>
  <c r="BC451" i="5"/>
  <c r="BB451" i="5"/>
  <c r="BA451" i="5"/>
  <c r="AZ451" i="5"/>
  <c r="AY451" i="5"/>
  <c r="AX451" i="5"/>
  <c r="AW451" i="5"/>
  <c r="AV451" i="5"/>
  <c r="AU451" i="5"/>
  <c r="AT451" i="5"/>
  <c r="AS451" i="5"/>
  <c r="AR451" i="5"/>
  <c r="AQ451" i="5"/>
  <c r="AP451" i="5"/>
  <c r="AO451" i="5"/>
  <c r="AN451" i="5"/>
  <c r="AM451" i="5"/>
  <c r="AL451" i="5"/>
  <c r="AH451" i="5"/>
  <c r="AF451" i="5"/>
  <c r="AE451" i="5"/>
  <c r="AD451" i="5"/>
  <c r="AB451" i="5"/>
  <c r="X451" i="5"/>
  <c r="W451" i="5"/>
  <c r="V451" i="5"/>
  <c r="U451" i="5"/>
  <c r="T451" i="5"/>
  <c r="S451" i="5"/>
  <c r="R451" i="5"/>
  <c r="Q451" i="5"/>
  <c r="P451" i="5"/>
  <c r="O451" i="5"/>
  <c r="N451" i="5"/>
  <c r="M451" i="5"/>
  <c r="L451" i="5"/>
  <c r="K451" i="5"/>
  <c r="J451" i="5"/>
  <c r="I451" i="5"/>
  <c r="H451" i="5"/>
  <c r="G451" i="5"/>
  <c r="F451" i="5"/>
  <c r="E451" i="5"/>
  <c r="D451" i="5"/>
  <c r="C451" i="5"/>
  <c r="B451" i="5"/>
  <c r="A451" i="5"/>
  <c r="CS450" i="5"/>
  <c r="CM450" i="5"/>
  <c r="CG450" i="5"/>
  <c r="CF450" i="5"/>
  <c r="CE450" i="5"/>
  <c r="CD450" i="5"/>
  <c r="CC450" i="5"/>
  <c r="CB450" i="5"/>
  <c r="CA450" i="5"/>
  <c r="BY450" i="5"/>
  <c r="BX450" i="5"/>
  <c r="BW450" i="5"/>
  <c r="BV450" i="5"/>
  <c r="BU450" i="5"/>
  <c r="BQ450" i="5"/>
  <c r="BP450" i="5"/>
  <c r="BO450" i="5"/>
  <c r="BM450" i="5"/>
  <c r="BF450" i="5"/>
  <c r="BC450" i="5"/>
  <c r="BB450" i="5"/>
  <c r="AZ450" i="5"/>
  <c r="AY450" i="5"/>
  <c r="AX450" i="5"/>
  <c r="AW450" i="5"/>
  <c r="AV450" i="5"/>
  <c r="AU450" i="5"/>
  <c r="AT450" i="5"/>
  <c r="AS450" i="5"/>
  <c r="AR450" i="5"/>
  <c r="AQ450" i="5"/>
  <c r="AP450" i="5"/>
  <c r="AO450" i="5"/>
  <c r="AN450" i="5"/>
  <c r="AM450" i="5"/>
  <c r="AL450" i="5"/>
  <c r="AH450" i="5"/>
  <c r="AF450" i="5"/>
  <c r="AD450" i="5"/>
  <c r="AB450" i="5"/>
  <c r="X450" i="5"/>
  <c r="W450" i="5"/>
  <c r="V450" i="5"/>
  <c r="U450" i="5"/>
  <c r="T450" i="5"/>
  <c r="S450" i="5"/>
  <c r="R450" i="5"/>
  <c r="Q450" i="5"/>
  <c r="P450" i="5"/>
  <c r="O450" i="5"/>
  <c r="N450" i="5"/>
  <c r="M450" i="5"/>
  <c r="L450" i="5"/>
  <c r="K450" i="5"/>
  <c r="J450" i="5"/>
  <c r="I450" i="5"/>
  <c r="H450" i="5"/>
  <c r="G450" i="5"/>
  <c r="F450" i="5"/>
  <c r="E450" i="5"/>
  <c r="D450" i="5"/>
  <c r="C450" i="5"/>
  <c r="B450" i="5"/>
  <c r="A450" i="5"/>
  <c r="CS449" i="5"/>
  <c r="CM449" i="5"/>
  <c r="CG449" i="5"/>
  <c r="CF449" i="5"/>
  <c r="CE449" i="5"/>
  <c r="CD449" i="5"/>
  <c r="CC449" i="5"/>
  <c r="CB449" i="5"/>
  <c r="CA449" i="5"/>
  <c r="BZ449" i="5"/>
  <c r="BY449" i="5"/>
  <c r="BW449" i="5"/>
  <c r="BV449" i="5"/>
  <c r="BU449" i="5"/>
  <c r="BS449" i="5"/>
  <c r="BR449" i="5"/>
  <c r="BQ449" i="5"/>
  <c r="BP449" i="5"/>
  <c r="BO449" i="5"/>
  <c r="BM449" i="5"/>
  <c r="BH449" i="5"/>
  <c r="BG449" i="5"/>
  <c r="BF449" i="5"/>
  <c r="BE449" i="5"/>
  <c r="BD449" i="5"/>
  <c r="BC449" i="5"/>
  <c r="BB449" i="5"/>
  <c r="AZ449" i="5"/>
  <c r="AY449" i="5"/>
  <c r="AX449" i="5"/>
  <c r="AW449" i="5"/>
  <c r="AV449" i="5"/>
  <c r="AU449" i="5"/>
  <c r="AT449" i="5"/>
  <c r="AS449" i="5"/>
  <c r="AR449" i="5"/>
  <c r="AQ449" i="5"/>
  <c r="AP449" i="5"/>
  <c r="AO449" i="5"/>
  <c r="AN449" i="5"/>
  <c r="AM449" i="5"/>
  <c r="AL449" i="5"/>
  <c r="AH449" i="5"/>
  <c r="AF449" i="5"/>
  <c r="AE449" i="5"/>
  <c r="AD449" i="5"/>
  <c r="AB449" i="5"/>
  <c r="X449" i="5"/>
  <c r="W449" i="5"/>
  <c r="V449" i="5"/>
  <c r="U449" i="5"/>
  <c r="T449" i="5"/>
  <c r="S449" i="5"/>
  <c r="R449" i="5"/>
  <c r="Q449" i="5"/>
  <c r="P449" i="5"/>
  <c r="O449" i="5"/>
  <c r="N449" i="5"/>
  <c r="M449" i="5"/>
  <c r="L449" i="5"/>
  <c r="K449" i="5"/>
  <c r="J449" i="5"/>
  <c r="I449" i="5"/>
  <c r="H449" i="5"/>
  <c r="G449" i="5"/>
  <c r="F449" i="5"/>
  <c r="E449" i="5"/>
  <c r="D449" i="5"/>
  <c r="C449" i="5"/>
  <c r="B449" i="5"/>
  <c r="A449" i="5"/>
  <c r="CS448" i="5"/>
  <c r="CM448" i="5"/>
  <c r="CG448" i="5"/>
  <c r="CF448" i="5"/>
  <c r="CE448" i="5"/>
  <c r="CD448" i="5"/>
  <c r="CC448" i="5"/>
  <c r="CB448" i="5"/>
  <c r="CA448" i="5"/>
  <c r="BZ448" i="5"/>
  <c r="BY448" i="5"/>
  <c r="BW448" i="5"/>
  <c r="BV448" i="5"/>
  <c r="BU448" i="5"/>
  <c r="BS448" i="5"/>
  <c r="BR448" i="5"/>
  <c r="BQ448" i="5"/>
  <c r="BP448" i="5"/>
  <c r="BO448" i="5"/>
  <c r="BM448" i="5"/>
  <c r="BF448" i="5"/>
  <c r="BC448" i="5"/>
  <c r="AY448" i="5"/>
  <c r="AX448" i="5"/>
  <c r="AW448" i="5"/>
  <c r="AV448" i="5"/>
  <c r="AU448" i="5"/>
  <c r="AT448" i="5"/>
  <c r="AR448" i="5"/>
  <c r="AQ448" i="5"/>
  <c r="AP448" i="5"/>
  <c r="AO448" i="5"/>
  <c r="AN448" i="5"/>
  <c r="AM448" i="5"/>
  <c r="AL448" i="5"/>
  <c r="AH448" i="5"/>
  <c r="AF448" i="5"/>
  <c r="AE448" i="5"/>
  <c r="AD448" i="5"/>
  <c r="AB448" i="5"/>
  <c r="X448" i="5"/>
  <c r="W448" i="5"/>
  <c r="V448" i="5"/>
  <c r="U448" i="5"/>
  <c r="T448" i="5"/>
  <c r="S448" i="5"/>
  <c r="R448" i="5"/>
  <c r="Q448" i="5"/>
  <c r="P448" i="5"/>
  <c r="O448" i="5"/>
  <c r="N448" i="5"/>
  <c r="M448" i="5"/>
  <c r="L448" i="5"/>
  <c r="K448" i="5"/>
  <c r="J448" i="5"/>
  <c r="I448" i="5"/>
  <c r="H448" i="5"/>
  <c r="G448" i="5"/>
  <c r="F448" i="5"/>
  <c r="E448" i="5"/>
  <c r="D448" i="5"/>
  <c r="C448" i="5"/>
  <c r="B448" i="5"/>
  <c r="A448" i="5"/>
  <c r="CS447" i="5"/>
  <c r="CM447" i="5"/>
  <c r="CG447" i="5"/>
  <c r="CF447" i="5"/>
  <c r="CE447" i="5"/>
  <c r="CD447" i="5"/>
  <c r="CC447" i="5"/>
  <c r="CB447" i="5"/>
  <c r="CA447" i="5"/>
  <c r="BZ447" i="5"/>
  <c r="BY447" i="5"/>
  <c r="BW447" i="5"/>
  <c r="BV447" i="5"/>
  <c r="BU447" i="5"/>
  <c r="BS447" i="5"/>
  <c r="BR447" i="5"/>
  <c r="BQ447" i="5"/>
  <c r="BP447" i="5"/>
  <c r="BO447" i="5"/>
  <c r="BM447" i="5"/>
  <c r="BF447" i="5"/>
  <c r="BC447" i="5"/>
  <c r="AY447" i="5"/>
  <c r="AX447" i="5"/>
  <c r="AW447" i="5"/>
  <c r="AV447" i="5"/>
  <c r="AU447" i="5"/>
  <c r="AT447" i="5"/>
  <c r="AR447" i="5"/>
  <c r="AQ447" i="5"/>
  <c r="AP447" i="5"/>
  <c r="AO447" i="5"/>
  <c r="AN447" i="5"/>
  <c r="AM447" i="5"/>
  <c r="AL447" i="5"/>
  <c r="AH447" i="5"/>
  <c r="AF447" i="5"/>
  <c r="AD447" i="5"/>
  <c r="AB447" i="5"/>
  <c r="Y447" i="5"/>
  <c r="X447" i="5"/>
  <c r="W447" i="5"/>
  <c r="V447" i="5"/>
  <c r="U447" i="5"/>
  <c r="T447" i="5"/>
  <c r="S447" i="5"/>
  <c r="R447" i="5"/>
  <c r="Q447" i="5"/>
  <c r="P447" i="5"/>
  <c r="O447" i="5"/>
  <c r="N447" i="5"/>
  <c r="M447" i="5"/>
  <c r="L447" i="5"/>
  <c r="K447" i="5"/>
  <c r="J447" i="5"/>
  <c r="I447" i="5"/>
  <c r="H447" i="5"/>
  <c r="G447" i="5"/>
  <c r="F447" i="5"/>
  <c r="E447" i="5"/>
  <c r="D447" i="5"/>
  <c r="C447" i="5"/>
  <c r="B447" i="5"/>
  <c r="A447" i="5"/>
  <c r="CS446" i="5"/>
  <c r="CM446" i="5"/>
  <c r="CG446" i="5"/>
  <c r="CF446" i="5"/>
  <c r="CE446" i="5"/>
  <c r="CD446" i="5"/>
  <c r="CC446" i="5"/>
  <c r="CB446" i="5"/>
  <c r="CA446" i="5"/>
  <c r="BZ446" i="5"/>
  <c r="BY446" i="5"/>
  <c r="BX446" i="5"/>
  <c r="BW446" i="5"/>
  <c r="BV446" i="5"/>
  <c r="BU446" i="5"/>
  <c r="BS446" i="5"/>
  <c r="BR446" i="5"/>
  <c r="BQ446" i="5"/>
  <c r="BP446" i="5"/>
  <c r="BO446" i="5"/>
  <c r="BM446" i="5"/>
  <c r="BF446" i="5"/>
  <c r="BC446" i="5"/>
  <c r="AY446" i="5"/>
  <c r="AX446" i="5"/>
  <c r="AW446" i="5"/>
  <c r="AV446" i="5"/>
  <c r="AU446" i="5"/>
  <c r="AT446" i="5"/>
  <c r="AS446" i="5"/>
  <c r="AR446" i="5"/>
  <c r="AQ446" i="5"/>
  <c r="AP446" i="5"/>
  <c r="AO446" i="5"/>
  <c r="AN446" i="5"/>
  <c r="AM446" i="5"/>
  <c r="AL446" i="5"/>
  <c r="AH446" i="5"/>
  <c r="AF446" i="5"/>
  <c r="AD446" i="5"/>
  <c r="AB446" i="5"/>
  <c r="Y446" i="5"/>
  <c r="X446" i="5"/>
  <c r="W446" i="5"/>
  <c r="V446" i="5"/>
  <c r="U446" i="5"/>
  <c r="T446" i="5"/>
  <c r="S446" i="5"/>
  <c r="R446" i="5"/>
  <c r="Q446" i="5"/>
  <c r="P446" i="5"/>
  <c r="O446" i="5"/>
  <c r="N446" i="5"/>
  <c r="M446" i="5"/>
  <c r="L446" i="5"/>
  <c r="K446" i="5"/>
  <c r="J446" i="5"/>
  <c r="I446" i="5"/>
  <c r="H446" i="5"/>
  <c r="G446" i="5"/>
  <c r="F446" i="5"/>
  <c r="E446" i="5"/>
  <c r="D446" i="5"/>
  <c r="C446" i="5"/>
  <c r="B446" i="5"/>
  <c r="A446" i="5"/>
  <c r="CS445" i="5"/>
  <c r="CM445" i="5"/>
  <c r="CG445" i="5"/>
  <c r="CF445" i="5"/>
  <c r="CE445" i="5"/>
  <c r="CD445" i="5"/>
  <c r="CC445" i="5"/>
  <c r="CB445" i="5"/>
  <c r="CA445" i="5"/>
  <c r="BZ445" i="5"/>
  <c r="BY445" i="5"/>
  <c r="BX445" i="5"/>
  <c r="BW445" i="5"/>
  <c r="BV445" i="5"/>
  <c r="BU445" i="5"/>
  <c r="BS445" i="5"/>
  <c r="BR445" i="5"/>
  <c r="BQ445" i="5"/>
  <c r="BP445" i="5"/>
  <c r="BO445" i="5"/>
  <c r="BM445" i="5"/>
  <c r="BF445" i="5"/>
  <c r="BC445" i="5"/>
  <c r="AY445" i="5"/>
  <c r="AX445" i="5"/>
  <c r="AW445" i="5"/>
  <c r="AV445" i="5"/>
  <c r="AU445" i="5"/>
  <c r="AT445" i="5"/>
  <c r="AR445" i="5"/>
  <c r="AQ445" i="5"/>
  <c r="AP445" i="5"/>
  <c r="AO445" i="5"/>
  <c r="AN445" i="5"/>
  <c r="AM445" i="5"/>
  <c r="AL445" i="5"/>
  <c r="AH445" i="5"/>
  <c r="AF445" i="5"/>
  <c r="AD445" i="5"/>
  <c r="AB445" i="5"/>
  <c r="Y445" i="5"/>
  <c r="X445" i="5"/>
  <c r="W445" i="5"/>
  <c r="V445" i="5"/>
  <c r="U445" i="5"/>
  <c r="T445" i="5"/>
  <c r="S445" i="5"/>
  <c r="R445" i="5"/>
  <c r="Q445" i="5"/>
  <c r="P445" i="5"/>
  <c r="O445" i="5"/>
  <c r="N445" i="5"/>
  <c r="M445" i="5"/>
  <c r="L445" i="5"/>
  <c r="K445" i="5"/>
  <c r="J445" i="5"/>
  <c r="I445" i="5"/>
  <c r="H445" i="5"/>
  <c r="G445" i="5"/>
  <c r="F445" i="5"/>
  <c r="E445" i="5"/>
  <c r="D445" i="5"/>
  <c r="C445" i="5"/>
  <c r="B445" i="5"/>
  <c r="A445" i="5"/>
  <c r="CS444" i="5"/>
  <c r="CM444" i="5"/>
  <c r="CG444" i="5"/>
  <c r="CF444" i="5"/>
  <c r="CE444" i="5"/>
  <c r="CD444" i="5"/>
  <c r="CC444" i="5"/>
  <c r="CB444" i="5"/>
  <c r="CA444" i="5"/>
  <c r="BZ444" i="5"/>
  <c r="BY444" i="5"/>
  <c r="BX444" i="5"/>
  <c r="BW444" i="5"/>
  <c r="BV444" i="5"/>
  <c r="BU444" i="5"/>
  <c r="BS444" i="5"/>
  <c r="BR444" i="5"/>
  <c r="BQ444" i="5"/>
  <c r="BP444" i="5"/>
  <c r="BO444" i="5"/>
  <c r="BM444" i="5"/>
  <c r="BG444" i="5"/>
  <c r="BF444" i="5"/>
  <c r="BE444" i="5"/>
  <c r="BD444" i="5"/>
  <c r="BC444" i="5"/>
  <c r="BB444" i="5"/>
  <c r="AZ444" i="5"/>
  <c r="AY444" i="5"/>
  <c r="AX444" i="5"/>
  <c r="AW444" i="5"/>
  <c r="AV444" i="5"/>
  <c r="AU444" i="5"/>
  <c r="AT444" i="5"/>
  <c r="AS444" i="5"/>
  <c r="AR444" i="5"/>
  <c r="AQ444" i="5"/>
  <c r="AP444" i="5"/>
  <c r="AO444" i="5"/>
  <c r="AN444" i="5"/>
  <c r="AM444" i="5"/>
  <c r="AL444" i="5"/>
  <c r="AH444" i="5"/>
  <c r="AF444" i="5"/>
  <c r="AD444" i="5"/>
  <c r="AB444" i="5"/>
  <c r="X444" i="5"/>
  <c r="W444" i="5"/>
  <c r="V444" i="5"/>
  <c r="U444" i="5"/>
  <c r="T444" i="5"/>
  <c r="S444" i="5"/>
  <c r="R444" i="5"/>
  <c r="Q444" i="5"/>
  <c r="P444" i="5"/>
  <c r="O444" i="5"/>
  <c r="N444" i="5"/>
  <c r="M444" i="5"/>
  <c r="L444" i="5"/>
  <c r="K444" i="5"/>
  <c r="J444" i="5"/>
  <c r="I444" i="5"/>
  <c r="H444" i="5"/>
  <c r="G444" i="5"/>
  <c r="F444" i="5"/>
  <c r="E444" i="5"/>
  <c r="D444" i="5"/>
  <c r="C444" i="5"/>
  <c r="B444" i="5"/>
  <c r="A444" i="5"/>
  <c r="CS443" i="5"/>
  <c r="CM443" i="5"/>
  <c r="CG443" i="5"/>
  <c r="CF443" i="5"/>
  <c r="CE443" i="5"/>
  <c r="CD443" i="5"/>
  <c r="CC443" i="5"/>
  <c r="CB443" i="5"/>
  <c r="CA443" i="5"/>
  <c r="BZ443" i="5"/>
  <c r="BY443" i="5"/>
  <c r="BX443" i="5"/>
  <c r="BW443" i="5"/>
  <c r="BV443" i="5"/>
  <c r="BU443" i="5"/>
  <c r="BS443" i="5"/>
  <c r="BR443" i="5"/>
  <c r="BQ443" i="5"/>
  <c r="BP443" i="5"/>
  <c r="BO443" i="5"/>
  <c r="BM443" i="5"/>
  <c r="BH443" i="5"/>
  <c r="BG443" i="5"/>
  <c r="BF443" i="5"/>
  <c r="BE443" i="5"/>
  <c r="BD443" i="5"/>
  <c r="BC443" i="5"/>
  <c r="BB443" i="5"/>
  <c r="BA443" i="5"/>
  <c r="AZ443" i="5"/>
  <c r="AY443" i="5"/>
  <c r="AX443" i="5"/>
  <c r="AW443" i="5"/>
  <c r="AV443" i="5"/>
  <c r="AU443" i="5"/>
  <c r="AT443" i="5"/>
  <c r="AS443" i="5"/>
  <c r="AR443" i="5"/>
  <c r="AQ443" i="5"/>
  <c r="AP443" i="5"/>
  <c r="AO443" i="5"/>
  <c r="AN443" i="5"/>
  <c r="AM443" i="5"/>
  <c r="AL443" i="5"/>
  <c r="AH443" i="5"/>
  <c r="AF443" i="5"/>
  <c r="AE443" i="5"/>
  <c r="AD443" i="5"/>
  <c r="AB443" i="5"/>
  <c r="X443" i="5"/>
  <c r="W443" i="5"/>
  <c r="V443" i="5"/>
  <c r="U443" i="5"/>
  <c r="T443" i="5"/>
  <c r="S443" i="5"/>
  <c r="R443" i="5"/>
  <c r="Q443" i="5"/>
  <c r="P443" i="5"/>
  <c r="O443" i="5"/>
  <c r="N443" i="5"/>
  <c r="M443" i="5"/>
  <c r="L443" i="5"/>
  <c r="K443" i="5"/>
  <c r="J443" i="5"/>
  <c r="I443" i="5"/>
  <c r="H443" i="5"/>
  <c r="G443" i="5"/>
  <c r="F443" i="5"/>
  <c r="E443" i="5"/>
  <c r="D443" i="5"/>
  <c r="C443" i="5"/>
  <c r="B443" i="5"/>
  <c r="A443" i="5"/>
  <c r="CS442" i="5"/>
  <c r="CM442" i="5"/>
  <c r="CG442" i="5"/>
  <c r="CF442" i="5"/>
  <c r="CE442" i="5"/>
  <c r="CD442" i="5"/>
  <c r="CC442" i="5"/>
  <c r="CB442" i="5"/>
  <c r="CA442" i="5"/>
  <c r="BZ442" i="5"/>
  <c r="BY442" i="5"/>
  <c r="BW442" i="5"/>
  <c r="BV442" i="5"/>
  <c r="BU442" i="5"/>
  <c r="BS442" i="5"/>
  <c r="BR442" i="5"/>
  <c r="BQ442" i="5"/>
  <c r="BP442" i="5"/>
  <c r="BO442" i="5"/>
  <c r="BM442" i="5"/>
  <c r="BF442" i="5"/>
  <c r="BC442" i="5"/>
  <c r="BB442" i="5"/>
  <c r="AZ442" i="5"/>
  <c r="AY442" i="5"/>
  <c r="AX442" i="5"/>
  <c r="AW442" i="5"/>
  <c r="AV442" i="5"/>
  <c r="AU442" i="5"/>
  <c r="AT442" i="5"/>
  <c r="AR442" i="5"/>
  <c r="AQ442" i="5"/>
  <c r="AP442" i="5"/>
  <c r="AO442" i="5"/>
  <c r="AN442" i="5"/>
  <c r="AM442" i="5"/>
  <c r="AL442" i="5"/>
  <c r="AH442" i="5"/>
  <c r="AF442" i="5"/>
  <c r="AE442" i="5"/>
  <c r="AD442" i="5"/>
  <c r="AB442" i="5"/>
  <c r="X442" i="5"/>
  <c r="W442" i="5"/>
  <c r="V442" i="5"/>
  <c r="U442" i="5"/>
  <c r="T442" i="5"/>
  <c r="S442" i="5"/>
  <c r="R442" i="5"/>
  <c r="Q442" i="5"/>
  <c r="P442" i="5"/>
  <c r="O442" i="5"/>
  <c r="N442" i="5"/>
  <c r="M442" i="5"/>
  <c r="L442" i="5"/>
  <c r="K442" i="5"/>
  <c r="J442" i="5"/>
  <c r="I442" i="5"/>
  <c r="H442" i="5"/>
  <c r="G442" i="5"/>
  <c r="F442" i="5"/>
  <c r="E442" i="5"/>
  <c r="D442" i="5"/>
  <c r="C442" i="5"/>
  <c r="B442" i="5"/>
  <c r="A442" i="5"/>
  <c r="CS441" i="5"/>
  <c r="CM441" i="5"/>
  <c r="CG441" i="5"/>
  <c r="CF441" i="5"/>
  <c r="CE441" i="5"/>
  <c r="CD441" i="5"/>
  <c r="CC441" i="5"/>
  <c r="CB441" i="5"/>
  <c r="CA441" i="5"/>
  <c r="BY441" i="5"/>
  <c r="BW441" i="5"/>
  <c r="BV441" i="5"/>
  <c r="BU441" i="5"/>
  <c r="BQ441" i="5"/>
  <c r="BP441" i="5"/>
  <c r="BO441" i="5"/>
  <c r="BM441" i="5"/>
  <c r="BF441" i="5"/>
  <c r="BD441" i="5"/>
  <c r="BC441" i="5"/>
  <c r="BB441" i="5"/>
  <c r="AZ441" i="5"/>
  <c r="AY441" i="5"/>
  <c r="AX441" i="5"/>
  <c r="AW441" i="5"/>
  <c r="AV441" i="5"/>
  <c r="AU441" i="5"/>
  <c r="AT441" i="5"/>
  <c r="AR441" i="5"/>
  <c r="AQ441" i="5"/>
  <c r="AP441" i="5"/>
  <c r="AO441" i="5"/>
  <c r="AN441" i="5"/>
  <c r="AM441" i="5"/>
  <c r="AL441" i="5"/>
  <c r="AH441" i="5"/>
  <c r="AF441" i="5"/>
  <c r="AD441" i="5"/>
  <c r="AB441" i="5"/>
  <c r="Z441" i="5"/>
  <c r="X441" i="5"/>
  <c r="W441" i="5"/>
  <c r="V441" i="5"/>
  <c r="U441" i="5"/>
  <c r="T441" i="5"/>
  <c r="S441" i="5"/>
  <c r="R441" i="5"/>
  <c r="Q441" i="5"/>
  <c r="P441" i="5"/>
  <c r="O441" i="5"/>
  <c r="N441" i="5"/>
  <c r="M441" i="5"/>
  <c r="L441" i="5"/>
  <c r="K441" i="5"/>
  <c r="J441" i="5"/>
  <c r="I441" i="5"/>
  <c r="H441" i="5"/>
  <c r="G441" i="5"/>
  <c r="F441" i="5"/>
  <c r="E441" i="5"/>
  <c r="D441" i="5"/>
  <c r="C441" i="5"/>
  <c r="B441" i="5"/>
  <c r="A441" i="5"/>
  <c r="CS440" i="5"/>
  <c r="CM440" i="5"/>
  <c r="CG440" i="5"/>
  <c r="CF440" i="5"/>
  <c r="CE440" i="5"/>
  <c r="CD440" i="5"/>
  <c r="CC440" i="5"/>
  <c r="CB440" i="5"/>
  <c r="CA440" i="5"/>
  <c r="BY440" i="5"/>
  <c r="BW440" i="5"/>
  <c r="BV440" i="5"/>
  <c r="BU440" i="5"/>
  <c r="BQ440" i="5"/>
  <c r="BP440" i="5"/>
  <c r="BO440" i="5"/>
  <c r="BM440" i="5"/>
  <c r="BH440" i="5"/>
  <c r="BG440" i="5"/>
  <c r="BF440" i="5"/>
  <c r="BE440" i="5"/>
  <c r="BD440" i="5"/>
  <c r="BC440" i="5"/>
  <c r="BB440" i="5"/>
  <c r="AZ440" i="5"/>
  <c r="AY440" i="5"/>
  <c r="AX440" i="5"/>
  <c r="AW440" i="5"/>
  <c r="AV440" i="5"/>
  <c r="AU440" i="5"/>
  <c r="AT440" i="5"/>
  <c r="AS440" i="5"/>
  <c r="AR440" i="5"/>
  <c r="AQ440" i="5"/>
  <c r="AP440" i="5"/>
  <c r="AO440" i="5"/>
  <c r="AN440" i="5"/>
  <c r="AM440" i="5"/>
  <c r="AL440" i="5"/>
  <c r="AH440" i="5"/>
  <c r="AF440" i="5"/>
  <c r="AE440" i="5"/>
  <c r="AD440" i="5"/>
  <c r="AB440" i="5"/>
  <c r="X440" i="5"/>
  <c r="W440" i="5"/>
  <c r="V440" i="5"/>
  <c r="U440" i="5"/>
  <c r="T440" i="5"/>
  <c r="S440" i="5"/>
  <c r="R440" i="5"/>
  <c r="Q440" i="5"/>
  <c r="P440" i="5"/>
  <c r="O440" i="5"/>
  <c r="N440" i="5"/>
  <c r="M440" i="5"/>
  <c r="L440" i="5"/>
  <c r="K440" i="5"/>
  <c r="J440" i="5"/>
  <c r="I440" i="5"/>
  <c r="H440" i="5"/>
  <c r="G440" i="5"/>
  <c r="F440" i="5"/>
  <c r="E440" i="5"/>
  <c r="D440" i="5"/>
  <c r="C440" i="5"/>
  <c r="B440" i="5"/>
  <c r="A440" i="5"/>
  <c r="CS439" i="5"/>
  <c r="CM439" i="5"/>
  <c r="CG439" i="5"/>
  <c r="CF439" i="5"/>
  <c r="CE439" i="5"/>
  <c r="CD439" i="5"/>
  <c r="CC439" i="5"/>
  <c r="CB439" i="5"/>
  <c r="CA439" i="5"/>
  <c r="BZ439" i="5"/>
  <c r="BY439" i="5"/>
  <c r="BW439" i="5"/>
  <c r="BV439" i="5"/>
  <c r="BU439" i="5"/>
  <c r="BS439" i="5"/>
  <c r="BR439" i="5"/>
  <c r="BQ439" i="5"/>
  <c r="BP439" i="5"/>
  <c r="BO439" i="5"/>
  <c r="BM439" i="5"/>
  <c r="BF439" i="5"/>
  <c r="BE439" i="5"/>
  <c r="BD439" i="5"/>
  <c r="BC439" i="5"/>
  <c r="BB439" i="5"/>
  <c r="BA439" i="5"/>
  <c r="AZ439" i="5"/>
  <c r="AY439" i="5"/>
  <c r="AX439" i="5"/>
  <c r="AW439" i="5"/>
  <c r="AV439" i="5"/>
  <c r="AU439" i="5"/>
  <c r="AT439" i="5"/>
  <c r="AS439" i="5"/>
  <c r="AR439" i="5"/>
  <c r="AQ439" i="5"/>
  <c r="AP439" i="5"/>
  <c r="AO439" i="5"/>
  <c r="AN439" i="5"/>
  <c r="AM439" i="5"/>
  <c r="AL439" i="5"/>
  <c r="AH439" i="5"/>
  <c r="AF439" i="5"/>
  <c r="AD439" i="5"/>
  <c r="AB439" i="5"/>
  <c r="X439" i="5"/>
  <c r="W439" i="5"/>
  <c r="V439" i="5"/>
  <c r="U439" i="5"/>
  <c r="T439" i="5"/>
  <c r="S439" i="5"/>
  <c r="R439" i="5"/>
  <c r="Q439" i="5"/>
  <c r="P439" i="5"/>
  <c r="O439" i="5"/>
  <c r="N439" i="5"/>
  <c r="M439" i="5"/>
  <c r="L439" i="5"/>
  <c r="K439" i="5"/>
  <c r="J439" i="5"/>
  <c r="I439" i="5"/>
  <c r="H439" i="5"/>
  <c r="G439" i="5"/>
  <c r="F439" i="5"/>
  <c r="E439" i="5"/>
  <c r="D439" i="5"/>
  <c r="C439" i="5"/>
  <c r="B439" i="5"/>
  <c r="A439" i="5"/>
  <c r="CS438" i="5"/>
  <c r="CM438" i="5"/>
  <c r="CG438" i="5"/>
  <c r="CF438" i="5"/>
  <c r="CE438" i="5"/>
  <c r="CD438" i="5"/>
  <c r="CC438" i="5"/>
  <c r="CB438" i="5"/>
  <c r="CA438" i="5"/>
  <c r="BZ438" i="5"/>
  <c r="BY438" i="5"/>
  <c r="BX438" i="5"/>
  <c r="BW438" i="5"/>
  <c r="BV438" i="5"/>
  <c r="BU438" i="5"/>
  <c r="BS438" i="5"/>
  <c r="BR438" i="5"/>
  <c r="BQ438" i="5"/>
  <c r="BP438" i="5"/>
  <c r="BO438" i="5"/>
  <c r="BN438" i="5"/>
  <c r="BM438" i="5"/>
  <c r="BL438" i="5"/>
  <c r="BH438" i="5"/>
  <c r="BG438" i="5"/>
  <c r="BF438" i="5"/>
  <c r="BE438" i="5"/>
  <c r="BD438" i="5"/>
  <c r="BC438" i="5"/>
  <c r="BB438" i="5"/>
  <c r="BA438" i="5"/>
  <c r="AZ438" i="5"/>
  <c r="AY438" i="5"/>
  <c r="AX438" i="5"/>
  <c r="AW438" i="5"/>
  <c r="AV438" i="5"/>
  <c r="AU438" i="5"/>
  <c r="AT438" i="5"/>
  <c r="AS438" i="5"/>
  <c r="AR438" i="5"/>
  <c r="AQ438" i="5"/>
  <c r="AP438" i="5"/>
  <c r="AO438" i="5"/>
  <c r="AN438" i="5"/>
  <c r="AM438" i="5"/>
  <c r="AL438" i="5"/>
  <c r="AH438" i="5"/>
  <c r="AF438" i="5"/>
  <c r="AE438" i="5"/>
  <c r="AD438" i="5"/>
  <c r="AB438" i="5"/>
  <c r="X438" i="5"/>
  <c r="W438" i="5"/>
  <c r="V438" i="5"/>
  <c r="U438" i="5"/>
  <c r="T438" i="5"/>
  <c r="S438" i="5"/>
  <c r="R438" i="5"/>
  <c r="Q438" i="5"/>
  <c r="P438" i="5"/>
  <c r="O438" i="5"/>
  <c r="N438" i="5"/>
  <c r="M438" i="5"/>
  <c r="L438" i="5"/>
  <c r="K438" i="5"/>
  <c r="J438" i="5"/>
  <c r="I438" i="5"/>
  <c r="H438" i="5"/>
  <c r="G438" i="5"/>
  <c r="F438" i="5"/>
  <c r="E438" i="5"/>
  <c r="D438" i="5"/>
  <c r="C438" i="5"/>
  <c r="B438" i="5"/>
  <c r="A438" i="5"/>
  <c r="CS437" i="5"/>
  <c r="CM437" i="5"/>
  <c r="CG437" i="5"/>
  <c r="CF437" i="5"/>
  <c r="CE437" i="5"/>
  <c r="CD437" i="5"/>
  <c r="CC437" i="5"/>
  <c r="CB437" i="5"/>
  <c r="CA437" i="5"/>
  <c r="BZ437" i="5"/>
  <c r="BY437" i="5"/>
  <c r="BX437" i="5"/>
  <c r="BW437" i="5"/>
  <c r="BV437" i="5"/>
  <c r="BU437" i="5"/>
  <c r="BS437" i="5"/>
  <c r="BR437" i="5"/>
  <c r="BQ437" i="5"/>
  <c r="BP437" i="5"/>
  <c r="BO437" i="5"/>
  <c r="BN437" i="5"/>
  <c r="BM437" i="5"/>
  <c r="BL437" i="5"/>
  <c r="BH437" i="5"/>
  <c r="BG437" i="5"/>
  <c r="BF437" i="5"/>
  <c r="BE437" i="5"/>
  <c r="BD437" i="5"/>
  <c r="BC437" i="5"/>
  <c r="BB437" i="5"/>
  <c r="BA437" i="5"/>
  <c r="AZ437" i="5"/>
  <c r="AY437" i="5"/>
  <c r="AX437" i="5"/>
  <c r="AW437" i="5"/>
  <c r="AV437" i="5"/>
  <c r="AU437" i="5"/>
  <c r="AT437" i="5"/>
  <c r="AS437" i="5"/>
  <c r="AR437" i="5"/>
  <c r="AQ437" i="5"/>
  <c r="AP437" i="5"/>
  <c r="AO437" i="5"/>
  <c r="AN437" i="5"/>
  <c r="AM437" i="5"/>
  <c r="AL437" i="5"/>
  <c r="AH437" i="5"/>
  <c r="AF437" i="5"/>
  <c r="AE437" i="5"/>
  <c r="AD437" i="5"/>
  <c r="AB437" i="5"/>
  <c r="X437" i="5"/>
  <c r="W437" i="5"/>
  <c r="V437" i="5"/>
  <c r="U437" i="5"/>
  <c r="T437" i="5"/>
  <c r="S437" i="5"/>
  <c r="R437" i="5"/>
  <c r="Q437" i="5"/>
  <c r="P437" i="5"/>
  <c r="O437" i="5"/>
  <c r="N437" i="5"/>
  <c r="M437" i="5"/>
  <c r="L437" i="5"/>
  <c r="K437" i="5"/>
  <c r="J437" i="5"/>
  <c r="I437" i="5"/>
  <c r="H437" i="5"/>
  <c r="G437" i="5"/>
  <c r="F437" i="5"/>
  <c r="E437" i="5"/>
  <c r="D437" i="5"/>
  <c r="C437" i="5"/>
  <c r="B437" i="5"/>
  <c r="A437" i="5"/>
  <c r="CS436" i="5"/>
  <c r="CM436" i="5"/>
  <c r="CG436" i="5"/>
  <c r="CF436" i="5"/>
  <c r="CE436" i="5"/>
  <c r="CD436" i="5"/>
  <c r="CC436" i="5"/>
  <c r="CB436" i="5"/>
  <c r="CA436" i="5"/>
  <c r="BZ436" i="5"/>
  <c r="BY436" i="5"/>
  <c r="BX436" i="5"/>
  <c r="BW436" i="5"/>
  <c r="BV436" i="5"/>
  <c r="BU436" i="5"/>
  <c r="BS436" i="5"/>
  <c r="BR436" i="5"/>
  <c r="BQ436" i="5"/>
  <c r="BP436" i="5"/>
  <c r="BO436" i="5"/>
  <c r="BM436" i="5"/>
  <c r="BH436" i="5"/>
  <c r="BG436" i="5"/>
  <c r="BF436" i="5"/>
  <c r="BE436" i="5"/>
  <c r="BD436" i="5"/>
  <c r="BC436" i="5"/>
  <c r="BB436" i="5"/>
  <c r="BA436" i="5"/>
  <c r="AZ436" i="5"/>
  <c r="AY436" i="5"/>
  <c r="AX436" i="5"/>
  <c r="AW436" i="5"/>
  <c r="AV436" i="5"/>
  <c r="AU436" i="5"/>
  <c r="AT436" i="5"/>
  <c r="AS436" i="5"/>
  <c r="AR436" i="5"/>
  <c r="AQ436" i="5"/>
  <c r="AP436" i="5"/>
  <c r="AO436" i="5"/>
  <c r="AN436" i="5"/>
  <c r="AM436" i="5"/>
  <c r="AL436" i="5"/>
  <c r="AH436" i="5"/>
  <c r="AF436" i="5"/>
  <c r="AE436" i="5"/>
  <c r="AD436" i="5"/>
  <c r="AB436" i="5"/>
  <c r="X436" i="5"/>
  <c r="W436" i="5"/>
  <c r="V436" i="5"/>
  <c r="U436" i="5"/>
  <c r="T436" i="5"/>
  <c r="S436" i="5"/>
  <c r="R436" i="5"/>
  <c r="Q436" i="5"/>
  <c r="P436" i="5"/>
  <c r="O436" i="5"/>
  <c r="N436" i="5"/>
  <c r="M436" i="5"/>
  <c r="L436" i="5"/>
  <c r="K436" i="5"/>
  <c r="J436" i="5"/>
  <c r="I436" i="5"/>
  <c r="H436" i="5"/>
  <c r="G436" i="5"/>
  <c r="F436" i="5"/>
  <c r="E436" i="5"/>
  <c r="D436" i="5"/>
  <c r="C436" i="5"/>
  <c r="B436" i="5"/>
  <c r="A436" i="5"/>
  <c r="CS435" i="5"/>
  <c r="CM435" i="5"/>
  <c r="CG435" i="5"/>
  <c r="CF435" i="5"/>
  <c r="CE435" i="5"/>
  <c r="CD435" i="5"/>
  <c r="CC435" i="5"/>
  <c r="CB435" i="5"/>
  <c r="CA435" i="5"/>
  <c r="BZ435" i="5"/>
  <c r="BY435" i="5"/>
  <c r="BX435" i="5"/>
  <c r="BW435" i="5"/>
  <c r="BV435" i="5"/>
  <c r="BU435" i="5"/>
  <c r="BS435" i="5"/>
  <c r="BR435" i="5"/>
  <c r="BQ435" i="5"/>
  <c r="BP435" i="5"/>
  <c r="BO435" i="5"/>
  <c r="BM435" i="5"/>
  <c r="BH435" i="5"/>
  <c r="BG435" i="5"/>
  <c r="BF435" i="5"/>
  <c r="BE435" i="5"/>
  <c r="BD435" i="5"/>
  <c r="BC435" i="5"/>
  <c r="BB435" i="5"/>
  <c r="BA435" i="5"/>
  <c r="AZ435" i="5"/>
  <c r="AY435" i="5"/>
  <c r="AX435" i="5"/>
  <c r="AW435" i="5"/>
  <c r="AV435" i="5"/>
  <c r="AU435" i="5"/>
  <c r="AT435" i="5"/>
  <c r="AS435" i="5"/>
  <c r="AR435" i="5"/>
  <c r="AQ435" i="5"/>
  <c r="AP435" i="5"/>
  <c r="AO435" i="5"/>
  <c r="AN435" i="5"/>
  <c r="AM435" i="5"/>
  <c r="AL435" i="5"/>
  <c r="AH435" i="5"/>
  <c r="AF435" i="5"/>
  <c r="AE435" i="5"/>
  <c r="AD435" i="5"/>
  <c r="AB435" i="5"/>
  <c r="X435" i="5"/>
  <c r="W435" i="5"/>
  <c r="V435" i="5"/>
  <c r="U435" i="5"/>
  <c r="T435" i="5"/>
  <c r="S435" i="5"/>
  <c r="R435" i="5"/>
  <c r="Q435" i="5"/>
  <c r="P435" i="5"/>
  <c r="O435" i="5"/>
  <c r="N435" i="5"/>
  <c r="M435" i="5"/>
  <c r="L435" i="5"/>
  <c r="K435" i="5"/>
  <c r="J435" i="5"/>
  <c r="I435" i="5"/>
  <c r="H435" i="5"/>
  <c r="G435" i="5"/>
  <c r="F435" i="5"/>
  <c r="E435" i="5"/>
  <c r="D435" i="5"/>
  <c r="C435" i="5"/>
  <c r="B435" i="5"/>
  <c r="A435" i="5"/>
  <c r="CS434" i="5"/>
  <c r="CM434" i="5"/>
  <c r="CG434" i="5"/>
  <c r="CF434" i="5"/>
  <c r="CE434" i="5"/>
  <c r="CD434" i="5"/>
  <c r="CC434" i="5"/>
  <c r="CB434" i="5"/>
  <c r="CA434" i="5"/>
  <c r="BZ434" i="5"/>
  <c r="BY434" i="5"/>
  <c r="BX434" i="5"/>
  <c r="BW434" i="5"/>
  <c r="BV434" i="5"/>
  <c r="BU434" i="5"/>
  <c r="BS434" i="5"/>
  <c r="BR434" i="5"/>
  <c r="BQ434" i="5"/>
  <c r="BP434" i="5"/>
  <c r="BO434" i="5"/>
  <c r="BM434" i="5"/>
  <c r="BH434" i="5"/>
  <c r="BG434" i="5"/>
  <c r="BF434" i="5"/>
  <c r="BE434" i="5"/>
  <c r="BD434" i="5"/>
  <c r="BC434" i="5"/>
  <c r="BB434" i="5"/>
  <c r="BA434" i="5"/>
  <c r="AZ434" i="5"/>
  <c r="AY434" i="5"/>
  <c r="AX434" i="5"/>
  <c r="AW434" i="5"/>
  <c r="AV434" i="5"/>
  <c r="AU434" i="5"/>
  <c r="AT434" i="5"/>
  <c r="AS434" i="5"/>
  <c r="AR434" i="5"/>
  <c r="AQ434" i="5"/>
  <c r="AP434" i="5"/>
  <c r="AO434" i="5"/>
  <c r="AN434" i="5"/>
  <c r="AM434" i="5"/>
  <c r="AL434" i="5"/>
  <c r="AH434" i="5"/>
  <c r="AF434" i="5"/>
  <c r="AE434" i="5"/>
  <c r="AD434" i="5"/>
  <c r="AB434" i="5"/>
  <c r="X434" i="5"/>
  <c r="W434" i="5"/>
  <c r="V434" i="5"/>
  <c r="U434" i="5"/>
  <c r="T434" i="5"/>
  <c r="S434" i="5"/>
  <c r="R434" i="5"/>
  <c r="Q434" i="5"/>
  <c r="P434" i="5"/>
  <c r="O434" i="5"/>
  <c r="N434" i="5"/>
  <c r="M434" i="5"/>
  <c r="L434" i="5"/>
  <c r="K434" i="5"/>
  <c r="J434" i="5"/>
  <c r="I434" i="5"/>
  <c r="H434" i="5"/>
  <c r="G434" i="5"/>
  <c r="F434" i="5"/>
  <c r="E434" i="5"/>
  <c r="D434" i="5"/>
  <c r="C434" i="5"/>
  <c r="B434" i="5"/>
  <c r="A434" i="5"/>
  <c r="CS433" i="5"/>
  <c r="CM433" i="5"/>
  <c r="CG433" i="5"/>
  <c r="CF433" i="5"/>
  <c r="CE433" i="5"/>
  <c r="CD433" i="5"/>
  <c r="CC433" i="5"/>
  <c r="CB433" i="5"/>
  <c r="CA433" i="5"/>
  <c r="BZ433" i="5"/>
  <c r="BY433" i="5"/>
  <c r="BX433" i="5"/>
  <c r="BW433" i="5"/>
  <c r="BV433" i="5"/>
  <c r="BU433" i="5"/>
  <c r="BS433" i="5"/>
  <c r="BR433" i="5"/>
  <c r="BQ433" i="5"/>
  <c r="BP433" i="5"/>
  <c r="BO433" i="5"/>
  <c r="BM433" i="5"/>
  <c r="BH433" i="5"/>
  <c r="BG433" i="5"/>
  <c r="BF433" i="5"/>
  <c r="BE433" i="5"/>
  <c r="BD433" i="5"/>
  <c r="BC433" i="5"/>
  <c r="BB433" i="5"/>
  <c r="BA433" i="5"/>
  <c r="AZ433" i="5"/>
  <c r="AY433" i="5"/>
  <c r="AX433" i="5"/>
  <c r="AW433" i="5"/>
  <c r="AV433" i="5"/>
  <c r="AU433" i="5"/>
  <c r="AT433" i="5"/>
  <c r="AR433" i="5"/>
  <c r="AQ433" i="5"/>
  <c r="AP433" i="5"/>
  <c r="AO433" i="5"/>
  <c r="AN433" i="5"/>
  <c r="AM433" i="5"/>
  <c r="AL433" i="5"/>
  <c r="AH433" i="5"/>
  <c r="AF433" i="5"/>
  <c r="AE433" i="5"/>
  <c r="AD433" i="5"/>
  <c r="AB433" i="5"/>
  <c r="X433" i="5"/>
  <c r="W433" i="5"/>
  <c r="V433" i="5"/>
  <c r="U433" i="5"/>
  <c r="T433" i="5"/>
  <c r="S433" i="5"/>
  <c r="R433" i="5"/>
  <c r="Q433" i="5"/>
  <c r="P433" i="5"/>
  <c r="O433" i="5"/>
  <c r="N433" i="5"/>
  <c r="M433" i="5"/>
  <c r="L433" i="5"/>
  <c r="K433" i="5"/>
  <c r="J433" i="5"/>
  <c r="I433" i="5"/>
  <c r="H433" i="5"/>
  <c r="G433" i="5"/>
  <c r="F433" i="5"/>
  <c r="E433" i="5"/>
  <c r="D433" i="5"/>
  <c r="C433" i="5"/>
  <c r="B433" i="5"/>
  <c r="A433" i="5"/>
  <c r="CS432" i="5"/>
  <c r="CM432" i="5"/>
  <c r="CG432" i="5"/>
  <c r="CF432" i="5"/>
  <c r="CE432" i="5"/>
  <c r="CD432" i="5"/>
  <c r="CC432" i="5"/>
  <c r="CB432" i="5"/>
  <c r="CA432" i="5"/>
  <c r="BZ432" i="5"/>
  <c r="BY432" i="5"/>
  <c r="BX432" i="5"/>
  <c r="BW432" i="5"/>
  <c r="BV432" i="5"/>
  <c r="BU432" i="5"/>
  <c r="BS432" i="5"/>
  <c r="BR432" i="5"/>
  <c r="BQ432" i="5"/>
  <c r="BP432" i="5"/>
  <c r="BO432" i="5"/>
  <c r="BN432" i="5"/>
  <c r="BM432" i="5"/>
  <c r="BL432" i="5"/>
  <c r="BH432" i="5"/>
  <c r="BG432" i="5"/>
  <c r="BF432" i="5"/>
  <c r="BE432" i="5"/>
  <c r="BD432" i="5"/>
  <c r="BC432" i="5"/>
  <c r="BB432" i="5"/>
  <c r="BA432" i="5"/>
  <c r="AZ432" i="5"/>
  <c r="AY432" i="5"/>
  <c r="AX432" i="5"/>
  <c r="AW432" i="5"/>
  <c r="AV432" i="5"/>
  <c r="AU432" i="5"/>
  <c r="AT432" i="5"/>
  <c r="AS432" i="5"/>
  <c r="AR432" i="5"/>
  <c r="AQ432" i="5"/>
  <c r="AP432" i="5"/>
  <c r="AO432" i="5"/>
  <c r="AN432" i="5"/>
  <c r="AM432" i="5"/>
  <c r="AL432" i="5"/>
  <c r="AH432" i="5"/>
  <c r="AF432" i="5"/>
  <c r="AE432" i="5"/>
  <c r="AD432" i="5"/>
  <c r="AB432" i="5"/>
  <c r="X432" i="5"/>
  <c r="W432" i="5"/>
  <c r="V432" i="5"/>
  <c r="U432" i="5"/>
  <c r="T432" i="5"/>
  <c r="S432" i="5"/>
  <c r="R432" i="5"/>
  <c r="Q432" i="5"/>
  <c r="P432" i="5"/>
  <c r="O432" i="5"/>
  <c r="N432" i="5"/>
  <c r="M432" i="5"/>
  <c r="L432" i="5"/>
  <c r="K432" i="5"/>
  <c r="J432" i="5"/>
  <c r="I432" i="5"/>
  <c r="H432" i="5"/>
  <c r="G432" i="5"/>
  <c r="F432" i="5"/>
  <c r="E432" i="5"/>
  <c r="D432" i="5"/>
  <c r="C432" i="5"/>
  <c r="B432" i="5"/>
  <c r="A432" i="5"/>
  <c r="CS431" i="5"/>
  <c r="CM431" i="5"/>
  <c r="CG431" i="5"/>
  <c r="CF431" i="5"/>
  <c r="CE431" i="5"/>
  <c r="CD431" i="5"/>
  <c r="CC431" i="5"/>
  <c r="CB431" i="5"/>
  <c r="CA431" i="5"/>
  <c r="BZ431" i="5"/>
  <c r="BY431" i="5"/>
  <c r="BX431" i="5"/>
  <c r="BW431" i="5"/>
  <c r="BV431" i="5"/>
  <c r="BU431" i="5"/>
  <c r="BS431" i="5"/>
  <c r="BR431" i="5"/>
  <c r="BQ431" i="5"/>
  <c r="BP431" i="5"/>
  <c r="BO431" i="5"/>
  <c r="BM431" i="5"/>
  <c r="BH431" i="5"/>
  <c r="BG431" i="5"/>
  <c r="BF431" i="5"/>
  <c r="BE431" i="5"/>
  <c r="BD431" i="5"/>
  <c r="BC431" i="5"/>
  <c r="BB431" i="5"/>
  <c r="BA431" i="5"/>
  <c r="AZ431" i="5"/>
  <c r="AY431" i="5"/>
  <c r="AX431" i="5"/>
  <c r="AW431" i="5"/>
  <c r="AV431" i="5"/>
  <c r="AU431" i="5"/>
  <c r="AT431" i="5"/>
  <c r="AR431" i="5"/>
  <c r="AQ431" i="5"/>
  <c r="AP431" i="5"/>
  <c r="AO431" i="5"/>
  <c r="AN431" i="5"/>
  <c r="AM431" i="5"/>
  <c r="AL431" i="5"/>
  <c r="AH431" i="5"/>
  <c r="AF431" i="5"/>
  <c r="AE431" i="5"/>
  <c r="AD431" i="5"/>
  <c r="AB431" i="5"/>
  <c r="X431" i="5"/>
  <c r="W431" i="5"/>
  <c r="V431" i="5"/>
  <c r="U431" i="5"/>
  <c r="T431" i="5"/>
  <c r="S431" i="5"/>
  <c r="R431" i="5"/>
  <c r="Q431" i="5"/>
  <c r="P431" i="5"/>
  <c r="O431" i="5"/>
  <c r="N431" i="5"/>
  <c r="M431" i="5"/>
  <c r="L431" i="5"/>
  <c r="K431" i="5"/>
  <c r="J431" i="5"/>
  <c r="I431" i="5"/>
  <c r="H431" i="5"/>
  <c r="G431" i="5"/>
  <c r="F431" i="5"/>
  <c r="E431" i="5"/>
  <c r="D431" i="5"/>
  <c r="C431" i="5"/>
  <c r="B431" i="5"/>
  <c r="A431" i="5"/>
  <c r="CS430" i="5"/>
  <c r="CM430" i="5"/>
  <c r="CG430" i="5"/>
  <c r="CF430" i="5"/>
  <c r="CE430" i="5"/>
  <c r="CD430" i="5"/>
  <c r="CC430" i="5"/>
  <c r="CB430" i="5"/>
  <c r="CA430" i="5"/>
  <c r="BZ430" i="5"/>
  <c r="BY430" i="5"/>
  <c r="BX430" i="5"/>
  <c r="BW430" i="5"/>
  <c r="BV430" i="5"/>
  <c r="BU430" i="5"/>
  <c r="BS430" i="5"/>
  <c r="BR430" i="5"/>
  <c r="BQ430" i="5"/>
  <c r="BP430" i="5"/>
  <c r="BO430" i="5"/>
  <c r="BM430" i="5"/>
  <c r="BH430" i="5"/>
  <c r="BG430" i="5"/>
  <c r="BF430" i="5"/>
  <c r="BE430" i="5"/>
  <c r="BD430" i="5"/>
  <c r="BC430" i="5"/>
  <c r="BB430" i="5"/>
  <c r="BA430" i="5"/>
  <c r="AZ430" i="5"/>
  <c r="AY430" i="5"/>
  <c r="AX430" i="5"/>
  <c r="AW430" i="5"/>
  <c r="AV430" i="5"/>
  <c r="AU430" i="5"/>
  <c r="AT430" i="5"/>
  <c r="AS430" i="5"/>
  <c r="AR430" i="5"/>
  <c r="AQ430" i="5"/>
  <c r="AP430" i="5"/>
  <c r="AO430" i="5"/>
  <c r="AN430" i="5"/>
  <c r="AM430" i="5"/>
  <c r="AL430" i="5"/>
  <c r="AH430" i="5"/>
  <c r="AF430" i="5"/>
  <c r="AE430" i="5"/>
  <c r="AD430" i="5"/>
  <c r="AB430" i="5"/>
  <c r="X430" i="5"/>
  <c r="W430" i="5"/>
  <c r="V430" i="5"/>
  <c r="U430" i="5"/>
  <c r="T430" i="5"/>
  <c r="S430" i="5"/>
  <c r="R430" i="5"/>
  <c r="Q430" i="5"/>
  <c r="P430" i="5"/>
  <c r="O430" i="5"/>
  <c r="N430" i="5"/>
  <c r="M430" i="5"/>
  <c r="L430" i="5"/>
  <c r="K430" i="5"/>
  <c r="J430" i="5"/>
  <c r="I430" i="5"/>
  <c r="H430" i="5"/>
  <c r="G430" i="5"/>
  <c r="F430" i="5"/>
  <c r="E430" i="5"/>
  <c r="D430" i="5"/>
  <c r="C430" i="5"/>
  <c r="B430" i="5"/>
  <c r="A430" i="5"/>
  <c r="CS429" i="5"/>
  <c r="CM429" i="5"/>
  <c r="CG429" i="5"/>
  <c r="CF429" i="5"/>
  <c r="CE429" i="5"/>
  <c r="CD429" i="5"/>
  <c r="CC429" i="5"/>
  <c r="CB429" i="5"/>
  <c r="CA429" i="5"/>
  <c r="BZ429" i="5"/>
  <c r="BY429" i="5"/>
  <c r="BX429" i="5"/>
  <c r="BW429" i="5"/>
  <c r="BV429" i="5"/>
  <c r="BU429" i="5"/>
  <c r="BS429" i="5"/>
  <c r="BR429" i="5"/>
  <c r="BQ429" i="5"/>
  <c r="BP429" i="5"/>
  <c r="BO429" i="5"/>
  <c r="BM429" i="5"/>
  <c r="BH429" i="5"/>
  <c r="BG429" i="5"/>
  <c r="BF429" i="5"/>
  <c r="BE429" i="5"/>
  <c r="BD429" i="5"/>
  <c r="BC429" i="5"/>
  <c r="BB429" i="5"/>
  <c r="BA429" i="5"/>
  <c r="AZ429" i="5"/>
  <c r="AY429" i="5"/>
  <c r="AX429" i="5"/>
  <c r="AW429" i="5"/>
  <c r="AV429" i="5"/>
  <c r="AU429" i="5"/>
  <c r="AT429" i="5"/>
  <c r="AS429" i="5"/>
  <c r="AR429" i="5"/>
  <c r="AQ429" i="5"/>
  <c r="AP429" i="5"/>
  <c r="AO429" i="5"/>
  <c r="AN429" i="5"/>
  <c r="AM429" i="5"/>
  <c r="AL429" i="5"/>
  <c r="AH429" i="5"/>
  <c r="AF429" i="5"/>
  <c r="AE429" i="5"/>
  <c r="AD429" i="5"/>
  <c r="AB429" i="5"/>
  <c r="X429" i="5"/>
  <c r="W429" i="5"/>
  <c r="V429" i="5"/>
  <c r="U429" i="5"/>
  <c r="T429" i="5"/>
  <c r="S429" i="5"/>
  <c r="R429" i="5"/>
  <c r="Q429" i="5"/>
  <c r="P429" i="5"/>
  <c r="O429" i="5"/>
  <c r="N429" i="5"/>
  <c r="M429" i="5"/>
  <c r="L429" i="5"/>
  <c r="K429" i="5"/>
  <c r="J429" i="5"/>
  <c r="I429" i="5"/>
  <c r="H429" i="5"/>
  <c r="G429" i="5"/>
  <c r="F429" i="5"/>
  <c r="E429" i="5"/>
  <c r="D429" i="5"/>
  <c r="C429" i="5"/>
  <c r="B429" i="5"/>
  <c r="A429" i="5"/>
  <c r="CS428" i="5"/>
  <c r="CM428" i="5"/>
  <c r="CG428" i="5"/>
  <c r="CF428" i="5"/>
  <c r="CE428" i="5"/>
  <c r="CD428" i="5"/>
  <c r="CC428" i="5"/>
  <c r="CB428" i="5"/>
  <c r="CA428" i="5"/>
  <c r="BZ428" i="5"/>
  <c r="BY428" i="5"/>
  <c r="BX428" i="5"/>
  <c r="BW428" i="5"/>
  <c r="BV428" i="5"/>
  <c r="BU428" i="5"/>
  <c r="BS428" i="5"/>
  <c r="BR428" i="5"/>
  <c r="BQ428" i="5"/>
  <c r="BP428" i="5"/>
  <c r="BO428" i="5"/>
  <c r="BM428" i="5"/>
  <c r="BH428" i="5"/>
  <c r="BG428" i="5"/>
  <c r="BF428" i="5"/>
  <c r="BE428" i="5"/>
  <c r="BD428" i="5"/>
  <c r="BC428" i="5"/>
  <c r="BB428" i="5"/>
  <c r="BA428" i="5"/>
  <c r="AZ428" i="5"/>
  <c r="AY428" i="5"/>
  <c r="AX428" i="5"/>
  <c r="AW428" i="5"/>
  <c r="AV428" i="5"/>
  <c r="AU428" i="5"/>
  <c r="AT428" i="5"/>
  <c r="AS428" i="5"/>
  <c r="AR428" i="5"/>
  <c r="AQ428" i="5"/>
  <c r="AP428" i="5"/>
  <c r="AO428" i="5"/>
  <c r="AN428" i="5"/>
  <c r="AM428" i="5"/>
  <c r="AL428" i="5"/>
  <c r="AH428" i="5"/>
  <c r="AF428" i="5"/>
  <c r="AE428" i="5"/>
  <c r="AD428" i="5"/>
  <c r="AB428" i="5"/>
  <c r="X428" i="5"/>
  <c r="W428" i="5"/>
  <c r="V428" i="5"/>
  <c r="U428" i="5"/>
  <c r="T428" i="5"/>
  <c r="S428" i="5"/>
  <c r="R428" i="5"/>
  <c r="Q428" i="5"/>
  <c r="P428" i="5"/>
  <c r="O428" i="5"/>
  <c r="N428" i="5"/>
  <c r="M428" i="5"/>
  <c r="L428" i="5"/>
  <c r="K428" i="5"/>
  <c r="J428" i="5"/>
  <c r="I428" i="5"/>
  <c r="H428" i="5"/>
  <c r="G428" i="5"/>
  <c r="F428" i="5"/>
  <c r="E428" i="5"/>
  <c r="D428" i="5"/>
  <c r="C428" i="5"/>
  <c r="B428" i="5"/>
  <c r="A428" i="5"/>
  <c r="CS427" i="5"/>
  <c r="CM427" i="5"/>
  <c r="CG427" i="5"/>
  <c r="CF427" i="5"/>
  <c r="CE427" i="5"/>
  <c r="CD427" i="5"/>
  <c r="CC427" i="5"/>
  <c r="CB427" i="5"/>
  <c r="CA427" i="5"/>
  <c r="BZ427" i="5"/>
  <c r="BY427" i="5"/>
  <c r="BX427" i="5"/>
  <c r="BW427" i="5"/>
  <c r="BV427" i="5"/>
  <c r="BU427" i="5"/>
  <c r="BS427" i="5"/>
  <c r="BR427" i="5"/>
  <c r="BQ427" i="5"/>
  <c r="BP427" i="5"/>
  <c r="BO427" i="5"/>
  <c r="BM427" i="5"/>
  <c r="BH427" i="5"/>
  <c r="BG427" i="5"/>
  <c r="BF427" i="5"/>
  <c r="BE427" i="5"/>
  <c r="BD427" i="5"/>
  <c r="BC427" i="5"/>
  <c r="BB427" i="5"/>
  <c r="BA427" i="5"/>
  <c r="AZ427" i="5"/>
  <c r="AY427" i="5"/>
  <c r="AX427" i="5"/>
  <c r="AW427" i="5"/>
  <c r="AV427" i="5"/>
  <c r="AU427" i="5"/>
  <c r="AT427" i="5"/>
  <c r="AS427" i="5"/>
  <c r="AR427" i="5"/>
  <c r="AQ427" i="5"/>
  <c r="AP427" i="5"/>
  <c r="AO427" i="5"/>
  <c r="AN427" i="5"/>
  <c r="AM427" i="5"/>
  <c r="AL427" i="5"/>
  <c r="AH427" i="5"/>
  <c r="AF427" i="5"/>
  <c r="AE427" i="5"/>
  <c r="AD427" i="5"/>
  <c r="AB427" i="5"/>
  <c r="X427" i="5"/>
  <c r="W427" i="5"/>
  <c r="V427" i="5"/>
  <c r="U427" i="5"/>
  <c r="T427" i="5"/>
  <c r="S427" i="5"/>
  <c r="R427" i="5"/>
  <c r="Q427" i="5"/>
  <c r="P427" i="5"/>
  <c r="O427" i="5"/>
  <c r="N427" i="5"/>
  <c r="M427" i="5"/>
  <c r="L427" i="5"/>
  <c r="K427" i="5"/>
  <c r="J427" i="5"/>
  <c r="I427" i="5"/>
  <c r="H427" i="5"/>
  <c r="G427" i="5"/>
  <c r="F427" i="5"/>
  <c r="E427" i="5"/>
  <c r="D427" i="5"/>
  <c r="C427" i="5"/>
  <c r="B427" i="5"/>
  <c r="A427" i="5"/>
  <c r="CS426" i="5"/>
  <c r="CM426" i="5"/>
  <c r="CG426" i="5"/>
  <c r="CF426" i="5"/>
  <c r="CE426" i="5"/>
  <c r="CD426" i="5"/>
  <c r="CC426" i="5"/>
  <c r="CB426" i="5"/>
  <c r="CA426" i="5"/>
  <c r="BZ426" i="5"/>
  <c r="BY426" i="5"/>
  <c r="BX426" i="5"/>
  <c r="BW426" i="5"/>
  <c r="BV426" i="5"/>
  <c r="BU426" i="5"/>
  <c r="BS426" i="5"/>
  <c r="BR426" i="5"/>
  <c r="BQ426" i="5"/>
  <c r="BP426" i="5"/>
  <c r="BO426" i="5"/>
  <c r="BM426" i="5"/>
  <c r="BH426" i="5"/>
  <c r="BG426" i="5"/>
  <c r="BF426" i="5"/>
  <c r="BE426" i="5"/>
  <c r="BD426" i="5"/>
  <c r="BC426" i="5"/>
  <c r="BB426" i="5"/>
  <c r="BA426" i="5"/>
  <c r="AZ426" i="5"/>
  <c r="AY426" i="5"/>
  <c r="AX426" i="5"/>
  <c r="AW426" i="5"/>
  <c r="AV426" i="5"/>
  <c r="AU426" i="5"/>
  <c r="AT426" i="5"/>
  <c r="AS426" i="5"/>
  <c r="AR426" i="5"/>
  <c r="AQ426" i="5"/>
  <c r="AP426" i="5"/>
  <c r="AO426" i="5"/>
  <c r="AN426" i="5"/>
  <c r="AM426" i="5"/>
  <c r="AL426" i="5"/>
  <c r="AH426" i="5"/>
  <c r="AF426" i="5"/>
  <c r="AE426" i="5"/>
  <c r="AD426" i="5"/>
  <c r="AB426" i="5"/>
  <c r="X426" i="5"/>
  <c r="W426" i="5"/>
  <c r="V426" i="5"/>
  <c r="U426" i="5"/>
  <c r="T426" i="5"/>
  <c r="S426" i="5"/>
  <c r="R426" i="5"/>
  <c r="Q426" i="5"/>
  <c r="P426" i="5"/>
  <c r="O426" i="5"/>
  <c r="N426" i="5"/>
  <c r="M426" i="5"/>
  <c r="L426" i="5"/>
  <c r="K426" i="5"/>
  <c r="J426" i="5"/>
  <c r="I426" i="5"/>
  <c r="H426" i="5"/>
  <c r="G426" i="5"/>
  <c r="F426" i="5"/>
  <c r="E426" i="5"/>
  <c r="D426" i="5"/>
  <c r="C426" i="5"/>
  <c r="B426" i="5"/>
  <c r="A426" i="5"/>
  <c r="CS425" i="5"/>
  <c r="CM425" i="5"/>
  <c r="CG425" i="5"/>
  <c r="CF425" i="5"/>
  <c r="CE425" i="5"/>
  <c r="CD425" i="5"/>
  <c r="CC425" i="5"/>
  <c r="CB425" i="5"/>
  <c r="CA425" i="5"/>
  <c r="BZ425" i="5"/>
  <c r="BY425" i="5"/>
  <c r="BX425" i="5"/>
  <c r="BW425" i="5"/>
  <c r="BV425" i="5"/>
  <c r="BU425" i="5"/>
  <c r="BS425" i="5"/>
  <c r="BR425" i="5"/>
  <c r="BQ425" i="5"/>
  <c r="BP425" i="5"/>
  <c r="BO425" i="5"/>
  <c r="BM425" i="5"/>
  <c r="BF425" i="5"/>
  <c r="BC425" i="5"/>
  <c r="AY425" i="5"/>
  <c r="AX425" i="5"/>
  <c r="AW425" i="5"/>
  <c r="AV425" i="5"/>
  <c r="AU425" i="5"/>
  <c r="AT425" i="5"/>
  <c r="AR425" i="5"/>
  <c r="AQ425" i="5"/>
  <c r="AP425" i="5"/>
  <c r="AO425" i="5"/>
  <c r="AN425" i="5"/>
  <c r="AM425" i="5"/>
  <c r="AL425" i="5"/>
  <c r="AH425" i="5"/>
  <c r="AF425" i="5"/>
  <c r="AD425" i="5"/>
  <c r="AB425" i="5"/>
  <c r="Y425" i="5"/>
  <c r="X425" i="5"/>
  <c r="W425" i="5"/>
  <c r="V425" i="5"/>
  <c r="U425" i="5"/>
  <c r="T425" i="5"/>
  <c r="S425" i="5"/>
  <c r="R425" i="5"/>
  <c r="Q425" i="5"/>
  <c r="P425" i="5"/>
  <c r="O425" i="5"/>
  <c r="N425" i="5"/>
  <c r="M425" i="5"/>
  <c r="L425" i="5"/>
  <c r="K425" i="5"/>
  <c r="J425" i="5"/>
  <c r="I425" i="5"/>
  <c r="H425" i="5"/>
  <c r="G425" i="5"/>
  <c r="F425" i="5"/>
  <c r="E425" i="5"/>
  <c r="D425" i="5"/>
  <c r="C425" i="5"/>
  <c r="B425" i="5"/>
  <c r="A425" i="5"/>
  <c r="CS424" i="5"/>
  <c r="CM424" i="5"/>
  <c r="CG424" i="5"/>
  <c r="CF424" i="5"/>
  <c r="CE424" i="5"/>
  <c r="CD424" i="5"/>
  <c r="CC424" i="5"/>
  <c r="CB424" i="5"/>
  <c r="CA424" i="5"/>
  <c r="BZ424" i="5"/>
  <c r="BY424" i="5"/>
  <c r="BX424" i="5"/>
  <c r="BW424" i="5"/>
  <c r="BV424" i="5"/>
  <c r="BU424" i="5"/>
  <c r="BS424" i="5"/>
  <c r="BR424" i="5"/>
  <c r="BQ424" i="5"/>
  <c r="BP424" i="5"/>
  <c r="BO424" i="5"/>
  <c r="BM424" i="5"/>
  <c r="BF424" i="5"/>
  <c r="BC424" i="5"/>
  <c r="AY424" i="5"/>
  <c r="AX424" i="5"/>
  <c r="AW424" i="5"/>
  <c r="AV424" i="5"/>
  <c r="AU424" i="5"/>
  <c r="AT424" i="5"/>
  <c r="AR424" i="5"/>
  <c r="AQ424" i="5"/>
  <c r="AP424" i="5"/>
  <c r="AO424" i="5"/>
  <c r="AN424" i="5"/>
  <c r="AM424" i="5"/>
  <c r="AL424" i="5"/>
  <c r="AH424" i="5"/>
  <c r="AF424" i="5"/>
  <c r="AD424" i="5"/>
  <c r="AB424" i="5"/>
  <c r="Y424" i="5"/>
  <c r="X424" i="5"/>
  <c r="W424" i="5"/>
  <c r="V424" i="5"/>
  <c r="U424" i="5"/>
  <c r="T424" i="5"/>
  <c r="S424" i="5"/>
  <c r="R424" i="5"/>
  <c r="Q424" i="5"/>
  <c r="P424" i="5"/>
  <c r="O424" i="5"/>
  <c r="N424" i="5"/>
  <c r="M424" i="5"/>
  <c r="L424" i="5"/>
  <c r="K424" i="5"/>
  <c r="J424" i="5"/>
  <c r="I424" i="5"/>
  <c r="H424" i="5"/>
  <c r="G424" i="5"/>
  <c r="F424" i="5"/>
  <c r="E424" i="5"/>
  <c r="D424" i="5"/>
  <c r="C424" i="5"/>
  <c r="B424" i="5"/>
  <c r="A424" i="5"/>
  <c r="CS423" i="5"/>
  <c r="CM423" i="5"/>
  <c r="CG423" i="5"/>
  <c r="CF423" i="5"/>
  <c r="CE423" i="5"/>
  <c r="CD423" i="5"/>
  <c r="CC423" i="5"/>
  <c r="CB423" i="5"/>
  <c r="CA423" i="5"/>
  <c r="BZ423" i="5"/>
  <c r="BY423" i="5"/>
  <c r="BX423" i="5"/>
  <c r="BW423" i="5"/>
  <c r="BV423" i="5"/>
  <c r="BU423" i="5"/>
  <c r="BS423" i="5"/>
  <c r="BR423" i="5"/>
  <c r="BQ423" i="5"/>
  <c r="BP423" i="5"/>
  <c r="BO423" i="5"/>
  <c r="BM423" i="5"/>
  <c r="BF423" i="5"/>
  <c r="BC423" i="5"/>
  <c r="AY423" i="5"/>
  <c r="AX423" i="5"/>
  <c r="AW423" i="5"/>
  <c r="AV423" i="5"/>
  <c r="AU423" i="5"/>
  <c r="AT423" i="5"/>
  <c r="AR423" i="5"/>
  <c r="AQ423" i="5"/>
  <c r="AP423" i="5"/>
  <c r="AO423" i="5"/>
  <c r="AN423" i="5"/>
  <c r="AM423" i="5"/>
  <c r="AL423" i="5"/>
  <c r="AH423" i="5"/>
  <c r="AF423" i="5"/>
  <c r="AD423" i="5"/>
  <c r="AB423" i="5"/>
  <c r="Y423" i="5"/>
  <c r="X423" i="5"/>
  <c r="W423" i="5"/>
  <c r="V423" i="5"/>
  <c r="U423" i="5"/>
  <c r="T423" i="5"/>
  <c r="S423" i="5"/>
  <c r="R423" i="5"/>
  <c r="Q423" i="5"/>
  <c r="P423" i="5"/>
  <c r="O423" i="5"/>
  <c r="N423" i="5"/>
  <c r="M423" i="5"/>
  <c r="L423" i="5"/>
  <c r="K423" i="5"/>
  <c r="J423" i="5"/>
  <c r="I423" i="5"/>
  <c r="H423" i="5"/>
  <c r="G423" i="5"/>
  <c r="F423" i="5"/>
  <c r="E423" i="5"/>
  <c r="D423" i="5"/>
  <c r="C423" i="5"/>
  <c r="B423" i="5"/>
  <c r="A423" i="5"/>
  <c r="CS422" i="5"/>
  <c r="CM422" i="5"/>
  <c r="CG422" i="5"/>
  <c r="CF422" i="5"/>
  <c r="CE422" i="5"/>
  <c r="CD422" i="5"/>
  <c r="CC422" i="5"/>
  <c r="CB422" i="5"/>
  <c r="CA422" i="5"/>
  <c r="BZ422" i="5"/>
  <c r="BY422" i="5"/>
  <c r="BX422" i="5"/>
  <c r="BW422" i="5"/>
  <c r="BV422" i="5"/>
  <c r="BU422" i="5"/>
  <c r="BS422" i="5"/>
  <c r="BR422" i="5"/>
  <c r="BQ422" i="5"/>
  <c r="BP422" i="5"/>
  <c r="BO422" i="5"/>
  <c r="BM422" i="5"/>
  <c r="BF422" i="5"/>
  <c r="BC422" i="5"/>
  <c r="AY422" i="5"/>
  <c r="AX422" i="5"/>
  <c r="AW422" i="5"/>
  <c r="AV422" i="5"/>
  <c r="AU422" i="5"/>
  <c r="AT422" i="5"/>
  <c r="AR422" i="5"/>
  <c r="AQ422" i="5"/>
  <c r="AP422" i="5"/>
  <c r="AO422" i="5"/>
  <c r="AN422" i="5"/>
  <c r="AM422" i="5"/>
  <c r="AL422" i="5"/>
  <c r="AH422" i="5"/>
  <c r="AF422" i="5"/>
  <c r="AD422" i="5"/>
  <c r="AB422" i="5"/>
  <c r="Y422" i="5"/>
  <c r="X422" i="5"/>
  <c r="W422" i="5"/>
  <c r="V422" i="5"/>
  <c r="U422" i="5"/>
  <c r="T422" i="5"/>
  <c r="S422" i="5"/>
  <c r="R422" i="5"/>
  <c r="Q422" i="5"/>
  <c r="P422" i="5"/>
  <c r="O422" i="5"/>
  <c r="N422" i="5"/>
  <c r="M422" i="5"/>
  <c r="L422" i="5"/>
  <c r="K422" i="5"/>
  <c r="J422" i="5"/>
  <c r="I422" i="5"/>
  <c r="H422" i="5"/>
  <c r="G422" i="5"/>
  <c r="F422" i="5"/>
  <c r="E422" i="5"/>
  <c r="D422" i="5"/>
  <c r="C422" i="5"/>
  <c r="B422" i="5"/>
  <c r="A422" i="5"/>
  <c r="CS421" i="5"/>
  <c r="CM421" i="5"/>
  <c r="CG421" i="5"/>
  <c r="CF421" i="5"/>
  <c r="CE421" i="5"/>
  <c r="CD421" i="5"/>
  <c r="CC421" i="5"/>
  <c r="CB421" i="5"/>
  <c r="CA421" i="5"/>
  <c r="BZ421" i="5"/>
  <c r="BY421" i="5"/>
  <c r="BX421" i="5"/>
  <c r="BW421" i="5"/>
  <c r="BV421" i="5"/>
  <c r="BU421" i="5"/>
  <c r="BS421" i="5"/>
  <c r="BR421" i="5"/>
  <c r="BQ421" i="5"/>
  <c r="BP421" i="5"/>
  <c r="BO421" i="5"/>
  <c r="BM421" i="5"/>
  <c r="BF421" i="5"/>
  <c r="BC421" i="5"/>
  <c r="AY421" i="5"/>
  <c r="AX421" i="5"/>
  <c r="AW421" i="5"/>
  <c r="AV421" i="5"/>
  <c r="AU421" i="5"/>
  <c r="AT421" i="5"/>
  <c r="AR421" i="5"/>
  <c r="AQ421" i="5"/>
  <c r="AP421" i="5"/>
  <c r="AO421" i="5"/>
  <c r="AN421" i="5"/>
  <c r="AM421" i="5"/>
  <c r="AL421" i="5"/>
  <c r="AH421" i="5"/>
  <c r="AF421" i="5"/>
  <c r="AD421" i="5"/>
  <c r="AB421" i="5"/>
  <c r="Y421" i="5"/>
  <c r="X421" i="5"/>
  <c r="W421" i="5"/>
  <c r="V421" i="5"/>
  <c r="U421" i="5"/>
  <c r="T421" i="5"/>
  <c r="S421" i="5"/>
  <c r="R421" i="5"/>
  <c r="Q421" i="5"/>
  <c r="P421" i="5"/>
  <c r="O421" i="5"/>
  <c r="N421" i="5"/>
  <c r="M421" i="5"/>
  <c r="L421" i="5"/>
  <c r="K421" i="5"/>
  <c r="J421" i="5"/>
  <c r="I421" i="5"/>
  <c r="H421" i="5"/>
  <c r="G421" i="5"/>
  <c r="F421" i="5"/>
  <c r="E421" i="5"/>
  <c r="D421" i="5"/>
  <c r="C421" i="5"/>
  <c r="B421" i="5"/>
  <c r="A421" i="5"/>
  <c r="CS420" i="5"/>
  <c r="CM420" i="5"/>
  <c r="CG420" i="5"/>
  <c r="CF420" i="5"/>
  <c r="CE420" i="5"/>
  <c r="CD420" i="5"/>
  <c r="CC420" i="5"/>
  <c r="CB420" i="5"/>
  <c r="CA420" i="5"/>
  <c r="BZ420" i="5"/>
  <c r="BY420" i="5"/>
  <c r="BX420" i="5"/>
  <c r="BW420" i="5"/>
  <c r="BV420" i="5"/>
  <c r="BU420" i="5"/>
  <c r="BS420" i="5"/>
  <c r="BR420" i="5"/>
  <c r="BQ420" i="5"/>
  <c r="BP420" i="5"/>
  <c r="BO420" i="5"/>
  <c r="BM420" i="5"/>
  <c r="BF420" i="5"/>
  <c r="BE420" i="5"/>
  <c r="BD420" i="5"/>
  <c r="BC420" i="5"/>
  <c r="BB420" i="5"/>
  <c r="AY420" i="5"/>
  <c r="AX420" i="5"/>
  <c r="AW420" i="5"/>
  <c r="AV420" i="5"/>
  <c r="AU420" i="5"/>
  <c r="AT420" i="5"/>
  <c r="AR420" i="5"/>
  <c r="AQ420" i="5"/>
  <c r="AP420" i="5"/>
  <c r="AO420" i="5"/>
  <c r="AN420" i="5"/>
  <c r="AM420" i="5"/>
  <c r="AL420" i="5"/>
  <c r="AH420" i="5"/>
  <c r="AF420" i="5"/>
  <c r="AE420" i="5"/>
  <c r="AD420" i="5"/>
  <c r="AB420" i="5"/>
  <c r="X420" i="5"/>
  <c r="W420" i="5"/>
  <c r="V420" i="5"/>
  <c r="U420" i="5"/>
  <c r="T420" i="5"/>
  <c r="S420" i="5"/>
  <c r="R420" i="5"/>
  <c r="Q420" i="5"/>
  <c r="P420" i="5"/>
  <c r="O420" i="5"/>
  <c r="N420" i="5"/>
  <c r="M420" i="5"/>
  <c r="L420" i="5"/>
  <c r="K420" i="5"/>
  <c r="J420" i="5"/>
  <c r="I420" i="5"/>
  <c r="H420" i="5"/>
  <c r="G420" i="5"/>
  <c r="F420" i="5"/>
  <c r="E420" i="5"/>
  <c r="D420" i="5"/>
  <c r="C420" i="5"/>
  <c r="B420" i="5"/>
  <c r="A420" i="5"/>
  <c r="CS419" i="5"/>
  <c r="CM419" i="5"/>
  <c r="CG419" i="5"/>
  <c r="CF419" i="5"/>
  <c r="CE419" i="5"/>
  <c r="CD419" i="5"/>
  <c r="CC419" i="5"/>
  <c r="CB419" i="5"/>
  <c r="CA419" i="5"/>
  <c r="BY419" i="5"/>
  <c r="BW419" i="5"/>
  <c r="BV419" i="5"/>
  <c r="BU419" i="5"/>
  <c r="BQ419" i="5"/>
  <c r="BP419" i="5"/>
  <c r="BO419" i="5"/>
  <c r="BM419" i="5"/>
  <c r="BF419" i="5"/>
  <c r="BC419" i="5"/>
  <c r="AY419" i="5"/>
  <c r="AX419" i="5"/>
  <c r="AW419" i="5"/>
  <c r="AV419" i="5"/>
  <c r="AU419" i="5"/>
  <c r="AT419" i="5"/>
  <c r="AR419" i="5"/>
  <c r="AQ419" i="5"/>
  <c r="AP419" i="5"/>
  <c r="AO419" i="5"/>
  <c r="AN419" i="5"/>
  <c r="AM419" i="5"/>
  <c r="AL419" i="5"/>
  <c r="AH419" i="5"/>
  <c r="AF419" i="5"/>
  <c r="AD419" i="5"/>
  <c r="AB419" i="5"/>
  <c r="Y419" i="5"/>
  <c r="X419" i="5"/>
  <c r="W419" i="5"/>
  <c r="V419" i="5"/>
  <c r="U419" i="5"/>
  <c r="T419" i="5"/>
  <c r="S419" i="5"/>
  <c r="R419" i="5"/>
  <c r="Q419" i="5"/>
  <c r="P419" i="5"/>
  <c r="O419" i="5"/>
  <c r="N419" i="5"/>
  <c r="M419" i="5"/>
  <c r="L419" i="5"/>
  <c r="K419" i="5"/>
  <c r="J419" i="5"/>
  <c r="I419" i="5"/>
  <c r="H419" i="5"/>
  <c r="G419" i="5"/>
  <c r="F419" i="5"/>
  <c r="E419" i="5"/>
  <c r="D419" i="5"/>
  <c r="C419" i="5"/>
  <c r="B419" i="5"/>
  <c r="A419" i="5"/>
  <c r="CS418" i="5"/>
  <c r="CM418" i="5"/>
  <c r="CG418" i="5"/>
  <c r="CF418" i="5"/>
  <c r="CE418" i="5"/>
  <c r="CD418" i="5"/>
  <c r="CC418" i="5"/>
  <c r="CB418" i="5"/>
  <c r="CA418" i="5"/>
  <c r="BY418" i="5"/>
  <c r="BW418" i="5"/>
  <c r="BV418" i="5"/>
  <c r="BU418" i="5"/>
  <c r="BQ418" i="5"/>
  <c r="BP418" i="5"/>
  <c r="BO418" i="5"/>
  <c r="BM418" i="5"/>
  <c r="BF418" i="5"/>
  <c r="BC418" i="5"/>
  <c r="AY418" i="5"/>
  <c r="AX418" i="5"/>
  <c r="AW418" i="5"/>
  <c r="AV418" i="5"/>
  <c r="AU418" i="5"/>
  <c r="AT418" i="5"/>
  <c r="AR418" i="5"/>
  <c r="AQ418" i="5"/>
  <c r="AP418" i="5"/>
  <c r="AO418" i="5"/>
  <c r="AN418" i="5"/>
  <c r="AM418" i="5"/>
  <c r="AL418" i="5"/>
  <c r="AH418" i="5"/>
  <c r="AF418" i="5"/>
  <c r="AD418" i="5"/>
  <c r="AB418" i="5"/>
  <c r="Y418" i="5"/>
  <c r="X418" i="5"/>
  <c r="W418" i="5"/>
  <c r="V418" i="5"/>
  <c r="U418" i="5"/>
  <c r="T418" i="5"/>
  <c r="S418" i="5"/>
  <c r="R418" i="5"/>
  <c r="Q418" i="5"/>
  <c r="P418" i="5"/>
  <c r="O418" i="5"/>
  <c r="N418" i="5"/>
  <c r="M418" i="5"/>
  <c r="L418" i="5"/>
  <c r="K418" i="5"/>
  <c r="J418" i="5"/>
  <c r="I418" i="5"/>
  <c r="H418" i="5"/>
  <c r="G418" i="5"/>
  <c r="F418" i="5"/>
  <c r="E418" i="5"/>
  <c r="D418" i="5"/>
  <c r="C418" i="5"/>
  <c r="B418" i="5"/>
  <c r="A418" i="5"/>
  <c r="CS417" i="5"/>
  <c r="CM417" i="5"/>
  <c r="CG417" i="5"/>
  <c r="CF417" i="5"/>
  <c r="CE417" i="5"/>
  <c r="CD417" i="5"/>
  <c r="CC417" i="5"/>
  <c r="CB417" i="5"/>
  <c r="CA417" i="5"/>
  <c r="BY417" i="5"/>
  <c r="BW417" i="5"/>
  <c r="BV417" i="5"/>
  <c r="BU417" i="5"/>
  <c r="BQ417" i="5"/>
  <c r="BP417" i="5"/>
  <c r="BO417" i="5"/>
  <c r="BM417" i="5"/>
  <c r="BF417" i="5"/>
  <c r="BC417" i="5"/>
  <c r="AY417" i="5"/>
  <c r="AX417" i="5"/>
  <c r="AW417" i="5"/>
  <c r="AV417" i="5"/>
  <c r="AU417" i="5"/>
  <c r="AT417" i="5"/>
  <c r="AR417" i="5"/>
  <c r="AQ417" i="5"/>
  <c r="AP417" i="5"/>
  <c r="AO417" i="5"/>
  <c r="AN417" i="5"/>
  <c r="AM417" i="5"/>
  <c r="AL417" i="5"/>
  <c r="AH417" i="5"/>
  <c r="AF417" i="5"/>
  <c r="AD417" i="5"/>
  <c r="AB417" i="5"/>
  <c r="Y417" i="5"/>
  <c r="X417" i="5"/>
  <c r="W417" i="5"/>
  <c r="V417" i="5"/>
  <c r="U417" i="5"/>
  <c r="T417" i="5"/>
  <c r="S417" i="5"/>
  <c r="R417" i="5"/>
  <c r="Q417" i="5"/>
  <c r="P417" i="5"/>
  <c r="O417" i="5"/>
  <c r="N417" i="5"/>
  <c r="M417" i="5"/>
  <c r="L417" i="5"/>
  <c r="K417" i="5"/>
  <c r="J417" i="5"/>
  <c r="I417" i="5"/>
  <c r="H417" i="5"/>
  <c r="G417" i="5"/>
  <c r="F417" i="5"/>
  <c r="E417" i="5"/>
  <c r="D417" i="5"/>
  <c r="C417" i="5"/>
  <c r="B417" i="5"/>
  <c r="A417" i="5"/>
  <c r="CS416" i="5"/>
  <c r="CM416" i="5"/>
  <c r="CG416" i="5"/>
  <c r="CF416" i="5"/>
  <c r="CE416" i="5"/>
  <c r="CD416" i="5"/>
  <c r="CC416" i="5"/>
  <c r="CB416" i="5"/>
  <c r="CA416" i="5"/>
  <c r="BY416" i="5"/>
  <c r="BW416" i="5"/>
  <c r="BV416" i="5"/>
  <c r="BU416" i="5"/>
  <c r="BQ416" i="5"/>
  <c r="BP416" i="5"/>
  <c r="BO416" i="5"/>
  <c r="BN416" i="5"/>
  <c r="BM416" i="5"/>
  <c r="BL416" i="5"/>
  <c r="BF416" i="5"/>
  <c r="BC416" i="5"/>
  <c r="AY416" i="5"/>
  <c r="AX416" i="5"/>
  <c r="AW416" i="5"/>
  <c r="AV416" i="5"/>
  <c r="AU416" i="5"/>
  <c r="AT416" i="5"/>
  <c r="AR416" i="5"/>
  <c r="AQ416" i="5"/>
  <c r="AP416" i="5"/>
  <c r="AO416" i="5"/>
  <c r="AN416" i="5"/>
  <c r="AM416" i="5"/>
  <c r="AL416" i="5"/>
  <c r="AH416" i="5"/>
  <c r="AF416" i="5"/>
  <c r="AD416" i="5"/>
  <c r="AB416" i="5"/>
  <c r="Y416" i="5"/>
  <c r="X416" i="5"/>
  <c r="W416" i="5"/>
  <c r="V416" i="5"/>
  <c r="U416" i="5"/>
  <c r="T416" i="5"/>
  <c r="S416" i="5"/>
  <c r="R416" i="5"/>
  <c r="Q416" i="5"/>
  <c r="P416" i="5"/>
  <c r="O416" i="5"/>
  <c r="N416" i="5"/>
  <c r="M416" i="5"/>
  <c r="L416" i="5"/>
  <c r="K416" i="5"/>
  <c r="J416" i="5"/>
  <c r="I416" i="5"/>
  <c r="H416" i="5"/>
  <c r="G416" i="5"/>
  <c r="F416" i="5"/>
  <c r="E416" i="5"/>
  <c r="D416" i="5"/>
  <c r="C416" i="5"/>
  <c r="B416" i="5"/>
  <c r="A416" i="5"/>
  <c r="CS415" i="5"/>
  <c r="CM415" i="5"/>
  <c r="CG415" i="5"/>
  <c r="CF415" i="5"/>
  <c r="CE415" i="5"/>
  <c r="CD415" i="5"/>
  <c r="CC415" i="5"/>
  <c r="CB415" i="5"/>
  <c r="CA415" i="5"/>
  <c r="BY415" i="5"/>
  <c r="BW415" i="5"/>
  <c r="BV415" i="5"/>
  <c r="BU415" i="5"/>
  <c r="BQ415" i="5"/>
  <c r="BP415" i="5"/>
  <c r="BO415" i="5"/>
  <c r="BN415" i="5"/>
  <c r="BM415" i="5"/>
  <c r="BL415" i="5"/>
  <c r="BF415" i="5"/>
  <c r="BC415" i="5"/>
  <c r="AZ415" i="5"/>
  <c r="AY415" i="5"/>
  <c r="AX415" i="5"/>
  <c r="AW415" i="5"/>
  <c r="AV415" i="5"/>
  <c r="AU415" i="5"/>
  <c r="AT415" i="5"/>
  <c r="AR415" i="5"/>
  <c r="AQ415" i="5"/>
  <c r="AP415" i="5"/>
  <c r="AO415" i="5"/>
  <c r="AN415" i="5"/>
  <c r="AM415" i="5"/>
  <c r="AL415" i="5"/>
  <c r="AH415" i="5"/>
  <c r="AF415" i="5"/>
  <c r="AD415" i="5"/>
  <c r="AB415" i="5"/>
  <c r="Y415" i="5"/>
  <c r="X415" i="5"/>
  <c r="W415" i="5"/>
  <c r="V415" i="5"/>
  <c r="U415" i="5"/>
  <c r="T415" i="5"/>
  <c r="S415" i="5"/>
  <c r="R415" i="5"/>
  <c r="Q415" i="5"/>
  <c r="P415" i="5"/>
  <c r="O415" i="5"/>
  <c r="N415" i="5"/>
  <c r="M415" i="5"/>
  <c r="L415" i="5"/>
  <c r="K415" i="5"/>
  <c r="J415" i="5"/>
  <c r="I415" i="5"/>
  <c r="H415" i="5"/>
  <c r="G415" i="5"/>
  <c r="F415" i="5"/>
  <c r="E415" i="5"/>
  <c r="D415" i="5"/>
  <c r="C415" i="5"/>
  <c r="B415" i="5"/>
  <c r="A415" i="5"/>
  <c r="CS414" i="5"/>
  <c r="CM414" i="5"/>
  <c r="CG414" i="5"/>
  <c r="CF414" i="5"/>
  <c r="CE414" i="5"/>
  <c r="CD414" i="5"/>
  <c r="CC414" i="5"/>
  <c r="CB414" i="5"/>
  <c r="CA414" i="5"/>
  <c r="BZ414" i="5"/>
  <c r="BY414" i="5"/>
  <c r="BW414" i="5"/>
  <c r="BV414" i="5"/>
  <c r="BU414" i="5"/>
  <c r="BS414" i="5"/>
  <c r="BR414" i="5"/>
  <c r="BQ414" i="5"/>
  <c r="BP414" i="5"/>
  <c r="BO414" i="5"/>
  <c r="BN414" i="5"/>
  <c r="BM414" i="5"/>
  <c r="BL414" i="5"/>
  <c r="BF414" i="5"/>
  <c r="BC414" i="5"/>
  <c r="AZ414" i="5"/>
  <c r="AY414" i="5"/>
  <c r="AX414" i="5"/>
  <c r="AW414" i="5"/>
  <c r="AV414" i="5"/>
  <c r="AU414" i="5"/>
  <c r="AT414" i="5"/>
  <c r="AS414" i="5"/>
  <c r="AR414" i="5"/>
  <c r="AQ414" i="5"/>
  <c r="AP414" i="5"/>
  <c r="AO414" i="5"/>
  <c r="AN414" i="5"/>
  <c r="AM414" i="5"/>
  <c r="AL414" i="5"/>
  <c r="AH414" i="5"/>
  <c r="AF414" i="5"/>
  <c r="AD414" i="5"/>
  <c r="AB414" i="5"/>
  <c r="Y414" i="5"/>
  <c r="X414" i="5"/>
  <c r="W414" i="5"/>
  <c r="V414" i="5"/>
  <c r="U414" i="5"/>
  <c r="T414" i="5"/>
  <c r="S414" i="5"/>
  <c r="R414" i="5"/>
  <c r="Q414" i="5"/>
  <c r="P414" i="5"/>
  <c r="O414" i="5"/>
  <c r="N414" i="5"/>
  <c r="M414" i="5"/>
  <c r="L414" i="5"/>
  <c r="K414" i="5"/>
  <c r="J414" i="5"/>
  <c r="I414" i="5"/>
  <c r="H414" i="5"/>
  <c r="G414" i="5"/>
  <c r="F414" i="5"/>
  <c r="E414" i="5"/>
  <c r="D414" i="5"/>
  <c r="C414" i="5"/>
  <c r="B414" i="5"/>
  <c r="A414" i="5"/>
  <c r="CS413" i="5"/>
  <c r="CM413" i="5"/>
  <c r="CG413" i="5"/>
  <c r="CF413" i="5"/>
  <c r="CE413" i="5"/>
  <c r="CD413" i="5"/>
  <c r="CC413" i="5"/>
  <c r="CB413" i="5"/>
  <c r="CA413" i="5"/>
  <c r="BY413" i="5"/>
  <c r="BW413" i="5"/>
  <c r="BV413" i="5"/>
  <c r="BU413" i="5"/>
  <c r="BQ413" i="5"/>
  <c r="BP413" i="5"/>
  <c r="BO413" i="5"/>
  <c r="BN413" i="5"/>
  <c r="BM413" i="5"/>
  <c r="BL413" i="5"/>
  <c r="BF413" i="5"/>
  <c r="BC413" i="5"/>
  <c r="AZ413" i="5"/>
  <c r="AY413" i="5"/>
  <c r="AX413" i="5"/>
  <c r="AW413" i="5"/>
  <c r="AV413" i="5"/>
  <c r="AU413" i="5"/>
  <c r="AT413" i="5"/>
  <c r="AR413" i="5"/>
  <c r="AQ413" i="5"/>
  <c r="AP413" i="5"/>
  <c r="AO413" i="5"/>
  <c r="AN413" i="5"/>
  <c r="AM413" i="5"/>
  <c r="AL413" i="5"/>
  <c r="AH413" i="5"/>
  <c r="AF413" i="5"/>
  <c r="AD413" i="5"/>
  <c r="AB413" i="5"/>
  <c r="Y413" i="5"/>
  <c r="X413" i="5"/>
  <c r="W413" i="5"/>
  <c r="V413" i="5"/>
  <c r="U413" i="5"/>
  <c r="T413" i="5"/>
  <c r="S413" i="5"/>
  <c r="R413" i="5"/>
  <c r="Q413" i="5"/>
  <c r="P413" i="5"/>
  <c r="O413" i="5"/>
  <c r="N413" i="5"/>
  <c r="M413" i="5"/>
  <c r="L413" i="5"/>
  <c r="K413" i="5"/>
  <c r="J413" i="5"/>
  <c r="I413" i="5"/>
  <c r="H413" i="5"/>
  <c r="G413" i="5"/>
  <c r="F413" i="5"/>
  <c r="E413" i="5"/>
  <c r="D413" i="5"/>
  <c r="C413" i="5"/>
  <c r="B413" i="5"/>
  <c r="A413" i="5"/>
  <c r="CS412" i="5"/>
  <c r="CM412" i="5"/>
  <c r="CG412" i="5"/>
  <c r="CF412" i="5"/>
  <c r="CE412" i="5"/>
  <c r="CD412" i="5"/>
  <c r="CC412" i="5"/>
  <c r="CB412" i="5"/>
  <c r="CA412" i="5"/>
  <c r="BZ412" i="5"/>
  <c r="BY412" i="5"/>
  <c r="BW412" i="5"/>
  <c r="BV412" i="5"/>
  <c r="BU412" i="5"/>
  <c r="BS412" i="5"/>
  <c r="BR412" i="5"/>
  <c r="BQ412" i="5"/>
  <c r="BP412" i="5"/>
  <c r="BO412" i="5"/>
  <c r="BM412" i="5"/>
  <c r="BF412" i="5"/>
  <c r="BC412" i="5"/>
  <c r="AY412" i="5"/>
  <c r="AX412" i="5"/>
  <c r="AW412" i="5"/>
  <c r="AV412" i="5"/>
  <c r="AU412" i="5"/>
  <c r="AT412" i="5"/>
  <c r="AR412" i="5"/>
  <c r="AQ412" i="5"/>
  <c r="AP412" i="5"/>
  <c r="AO412" i="5"/>
  <c r="AN412" i="5"/>
  <c r="AM412" i="5"/>
  <c r="AL412" i="5"/>
  <c r="AH412" i="5"/>
  <c r="AF412" i="5"/>
  <c r="AD412" i="5"/>
  <c r="AB412" i="5"/>
  <c r="Y412" i="5"/>
  <c r="X412" i="5"/>
  <c r="W412" i="5"/>
  <c r="V412" i="5"/>
  <c r="U412" i="5"/>
  <c r="T412" i="5"/>
  <c r="S412" i="5"/>
  <c r="R412" i="5"/>
  <c r="Q412" i="5"/>
  <c r="P412" i="5"/>
  <c r="O412" i="5"/>
  <c r="N412" i="5"/>
  <c r="M412" i="5"/>
  <c r="L412" i="5"/>
  <c r="K412" i="5"/>
  <c r="J412" i="5"/>
  <c r="I412" i="5"/>
  <c r="H412" i="5"/>
  <c r="G412" i="5"/>
  <c r="F412" i="5"/>
  <c r="E412" i="5"/>
  <c r="D412" i="5"/>
  <c r="C412" i="5"/>
  <c r="B412" i="5"/>
  <c r="A412" i="5"/>
  <c r="CS411" i="5"/>
  <c r="CM411" i="5"/>
  <c r="CG411" i="5"/>
  <c r="CF411" i="5"/>
  <c r="CE411" i="5"/>
  <c r="CD411" i="5"/>
  <c r="CC411" i="5"/>
  <c r="CB411" i="5"/>
  <c r="CA411" i="5"/>
  <c r="BZ411" i="5"/>
  <c r="BY411" i="5"/>
  <c r="BW411" i="5"/>
  <c r="BV411" i="5"/>
  <c r="BU411" i="5"/>
  <c r="BS411" i="5"/>
  <c r="BR411" i="5"/>
  <c r="BQ411" i="5"/>
  <c r="BP411" i="5"/>
  <c r="BO411" i="5"/>
  <c r="BM411" i="5"/>
  <c r="BF411" i="5"/>
  <c r="BC411" i="5"/>
  <c r="AY411" i="5"/>
  <c r="AX411" i="5"/>
  <c r="AW411" i="5"/>
  <c r="AV411" i="5"/>
  <c r="AU411" i="5"/>
  <c r="AT411" i="5"/>
  <c r="AR411" i="5"/>
  <c r="AQ411" i="5"/>
  <c r="AP411" i="5"/>
  <c r="AO411" i="5"/>
  <c r="AN411" i="5"/>
  <c r="AM411" i="5"/>
  <c r="AL411" i="5"/>
  <c r="AH411" i="5"/>
  <c r="AF411" i="5"/>
  <c r="AD411" i="5"/>
  <c r="AB411" i="5"/>
  <c r="Y411" i="5"/>
  <c r="X411" i="5"/>
  <c r="W411" i="5"/>
  <c r="V411" i="5"/>
  <c r="U411" i="5"/>
  <c r="T411" i="5"/>
  <c r="S411" i="5"/>
  <c r="R411" i="5"/>
  <c r="Q411" i="5"/>
  <c r="P411" i="5"/>
  <c r="O411" i="5"/>
  <c r="N411" i="5"/>
  <c r="M411" i="5"/>
  <c r="L411" i="5"/>
  <c r="K411" i="5"/>
  <c r="J411" i="5"/>
  <c r="I411" i="5"/>
  <c r="H411" i="5"/>
  <c r="G411" i="5"/>
  <c r="F411" i="5"/>
  <c r="E411" i="5"/>
  <c r="D411" i="5"/>
  <c r="C411" i="5"/>
  <c r="B411" i="5"/>
  <c r="A411" i="5"/>
  <c r="CS410" i="5"/>
  <c r="CM410" i="5"/>
  <c r="CG410" i="5"/>
  <c r="CF410" i="5"/>
  <c r="CE410" i="5"/>
  <c r="CD410" i="5"/>
  <c r="CC410" i="5"/>
  <c r="CB410" i="5"/>
  <c r="CA410" i="5"/>
  <c r="BY410" i="5"/>
  <c r="BW410" i="5"/>
  <c r="BV410" i="5"/>
  <c r="BU410" i="5"/>
  <c r="BQ410" i="5"/>
  <c r="BP410" i="5"/>
  <c r="BO410" i="5"/>
  <c r="BM410" i="5"/>
  <c r="BF410" i="5"/>
  <c r="BC410" i="5"/>
  <c r="AY410" i="5"/>
  <c r="AX410" i="5"/>
  <c r="AW410" i="5"/>
  <c r="AV410" i="5"/>
  <c r="AU410" i="5"/>
  <c r="AT410" i="5"/>
  <c r="AR410" i="5"/>
  <c r="AQ410" i="5"/>
  <c r="AP410" i="5"/>
  <c r="AO410" i="5"/>
  <c r="AN410" i="5"/>
  <c r="AM410" i="5"/>
  <c r="AL410" i="5"/>
  <c r="AH410" i="5"/>
  <c r="AF410" i="5"/>
  <c r="AD410" i="5"/>
  <c r="AB410" i="5"/>
  <c r="Y410" i="5"/>
  <c r="X410" i="5"/>
  <c r="W410" i="5"/>
  <c r="V410" i="5"/>
  <c r="U410" i="5"/>
  <c r="T410" i="5"/>
  <c r="S410" i="5"/>
  <c r="R410" i="5"/>
  <c r="Q410" i="5"/>
  <c r="P410" i="5"/>
  <c r="O410" i="5"/>
  <c r="N410" i="5"/>
  <c r="M410" i="5"/>
  <c r="L410" i="5"/>
  <c r="K410" i="5"/>
  <c r="J410" i="5"/>
  <c r="I410" i="5"/>
  <c r="H410" i="5"/>
  <c r="G410" i="5"/>
  <c r="F410" i="5"/>
  <c r="E410" i="5"/>
  <c r="D410" i="5"/>
  <c r="C410" i="5"/>
  <c r="B410" i="5"/>
  <c r="A410" i="5"/>
  <c r="CS409" i="5"/>
  <c r="CM409" i="5"/>
  <c r="CG409" i="5"/>
  <c r="CF409" i="5"/>
  <c r="CE409" i="5"/>
  <c r="CD409" i="5"/>
  <c r="CC409" i="5"/>
  <c r="CB409" i="5"/>
  <c r="CA409" i="5"/>
  <c r="BY409" i="5"/>
  <c r="BX409" i="5"/>
  <c r="BW409" i="5"/>
  <c r="BV409" i="5"/>
  <c r="BU409" i="5"/>
  <c r="BQ409" i="5"/>
  <c r="BP409" i="5"/>
  <c r="BO409" i="5"/>
  <c r="BN409" i="5"/>
  <c r="BM409" i="5"/>
  <c r="BL409" i="5"/>
  <c r="BG409" i="5"/>
  <c r="BF409" i="5"/>
  <c r="BC409" i="5"/>
  <c r="AZ409" i="5"/>
  <c r="AY409" i="5"/>
  <c r="AX409" i="5"/>
  <c r="AW409" i="5"/>
  <c r="AV409" i="5"/>
  <c r="AU409" i="5"/>
  <c r="AT409" i="5"/>
  <c r="AS409" i="5"/>
  <c r="AR409" i="5"/>
  <c r="AQ409" i="5"/>
  <c r="AP409" i="5"/>
  <c r="AO409" i="5"/>
  <c r="AN409" i="5"/>
  <c r="AM409" i="5"/>
  <c r="AL409" i="5"/>
  <c r="AH409" i="5"/>
  <c r="AF409" i="5"/>
  <c r="AD409" i="5"/>
  <c r="AB409" i="5"/>
  <c r="Y409" i="5"/>
  <c r="X409" i="5"/>
  <c r="W409" i="5"/>
  <c r="V409" i="5"/>
  <c r="U409" i="5"/>
  <c r="T409" i="5"/>
  <c r="S409" i="5"/>
  <c r="R409" i="5"/>
  <c r="Q409" i="5"/>
  <c r="P409" i="5"/>
  <c r="O409" i="5"/>
  <c r="N409" i="5"/>
  <c r="M409" i="5"/>
  <c r="L409" i="5"/>
  <c r="K409" i="5"/>
  <c r="J409" i="5"/>
  <c r="I409" i="5"/>
  <c r="H409" i="5"/>
  <c r="G409" i="5"/>
  <c r="F409" i="5"/>
  <c r="E409" i="5"/>
  <c r="D409" i="5"/>
  <c r="C409" i="5"/>
  <c r="B409" i="5"/>
  <c r="A409" i="5"/>
  <c r="CS408" i="5"/>
  <c r="CM408" i="5"/>
  <c r="CG408" i="5"/>
  <c r="CF408" i="5"/>
  <c r="CE408" i="5"/>
  <c r="CD408" i="5"/>
  <c r="CC408" i="5"/>
  <c r="CB408" i="5"/>
  <c r="CA408" i="5"/>
  <c r="BY408" i="5"/>
  <c r="BX408" i="5"/>
  <c r="BW408" i="5"/>
  <c r="BV408" i="5"/>
  <c r="BU408" i="5"/>
  <c r="BQ408" i="5"/>
  <c r="BP408" i="5"/>
  <c r="BO408" i="5"/>
  <c r="BN408" i="5"/>
  <c r="BM408" i="5"/>
  <c r="BL408" i="5"/>
  <c r="BF408" i="5"/>
  <c r="BC408" i="5"/>
  <c r="AY408" i="5"/>
  <c r="AX408" i="5"/>
  <c r="AW408" i="5"/>
  <c r="AV408" i="5"/>
  <c r="AU408" i="5"/>
  <c r="AT408" i="5"/>
  <c r="AR408" i="5"/>
  <c r="AQ408" i="5"/>
  <c r="AP408" i="5"/>
  <c r="AO408" i="5"/>
  <c r="AN408" i="5"/>
  <c r="AM408" i="5"/>
  <c r="AL408" i="5"/>
  <c r="AH408" i="5"/>
  <c r="AF408" i="5"/>
  <c r="AD408" i="5"/>
  <c r="AB408" i="5"/>
  <c r="Y408" i="5"/>
  <c r="X408" i="5"/>
  <c r="W408" i="5"/>
  <c r="V408" i="5"/>
  <c r="U408" i="5"/>
  <c r="T408" i="5"/>
  <c r="S408" i="5"/>
  <c r="R408" i="5"/>
  <c r="Q408" i="5"/>
  <c r="P408" i="5"/>
  <c r="O408" i="5"/>
  <c r="N408" i="5"/>
  <c r="M408" i="5"/>
  <c r="L408" i="5"/>
  <c r="K408" i="5"/>
  <c r="J408" i="5"/>
  <c r="I408" i="5"/>
  <c r="H408" i="5"/>
  <c r="G408" i="5"/>
  <c r="F408" i="5"/>
  <c r="E408" i="5"/>
  <c r="D408" i="5"/>
  <c r="C408" i="5"/>
  <c r="B408" i="5"/>
  <c r="A408" i="5"/>
  <c r="CS407" i="5"/>
  <c r="CM407" i="5"/>
  <c r="CG407" i="5"/>
  <c r="CF407" i="5"/>
  <c r="CE407" i="5"/>
  <c r="CD407" i="5"/>
  <c r="CC407" i="5"/>
  <c r="CB407" i="5"/>
  <c r="CA407" i="5"/>
  <c r="BY407" i="5"/>
  <c r="BX407" i="5"/>
  <c r="BW407" i="5"/>
  <c r="BV407" i="5"/>
  <c r="BU407" i="5"/>
  <c r="BQ407" i="5"/>
  <c r="BP407" i="5"/>
  <c r="BO407" i="5"/>
  <c r="BM407" i="5"/>
  <c r="BF407" i="5"/>
  <c r="BC407" i="5"/>
  <c r="AY407" i="5"/>
  <c r="AX407" i="5"/>
  <c r="AW407" i="5"/>
  <c r="AV407" i="5"/>
  <c r="AU407" i="5"/>
  <c r="AT407" i="5"/>
  <c r="AR407" i="5"/>
  <c r="AQ407" i="5"/>
  <c r="AP407" i="5"/>
  <c r="AO407" i="5"/>
  <c r="AN407" i="5"/>
  <c r="AM407" i="5"/>
  <c r="AL407" i="5"/>
  <c r="AH407" i="5"/>
  <c r="AF407" i="5"/>
  <c r="AD407" i="5"/>
  <c r="AB407" i="5"/>
  <c r="Y407" i="5"/>
  <c r="X407" i="5"/>
  <c r="W407" i="5"/>
  <c r="V407" i="5"/>
  <c r="U407" i="5"/>
  <c r="T407" i="5"/>
  <c r="S407" i="5"/>
  <c r="R407" i="5"/>
  <c r="Q407" i="5"/>
  <c r="P407" i="5"/>
  <c r="O407" i="5"/>
  <c r="N407" i="5"/>
  <c r="M407" i="5"/>
  <c r="L407" i="5"/>
  <c r="K407" i="5"/>
  <c r="J407" i="5"/>
  <c r="I407" i="5"/>
  <c r="H407" i="5"/>
  <c r="G407" i="5"/>
  <c r="F407" i="5"/>
  <c r="E407" i="5"/>
  <c r="D407" i="5"/>
  <c r="C407" i="5"/>
  <c r="B407" i="5"/>
  <c r="A407" i="5"/>
  <c r="CS406" i="5"/>
  <c r="CM406" i="5"/>
  <c r="CG406" i="5"/>
  <c r="CF406" i="5"/>
  <c r="CE406" i="5"/>
  <c r="CD406" i="5"/>
  <c r="CC406" i="5"/>
  <c r="CB406" i="5"/>
  <c r="CA406" i="5"/>
  <c r="BY406" i="5"/>
  <c r="BW406" i="5"/>
  <c r="BV406" i="5"/>
  <c r="BU406" i="5"/>
  <c r="BQ406" i="5"/>
  <c r="BP406" i="5"/>
  <c r="BO406" i="5"/>
  <c r="BN406" i="5"/>
  <c r="BM406" i="5"/>
  <c r="BL406" i="5"/>
  <c r="BF406" i="5"/>
  <c r="BC406" i="5"/>
  <c r="AY406" i="5"/>
  <c r="AX406" i="5"/>
  <c r="AW406" i="5"/>
  <c r="AV406" i="5"/>
  <c r="AU406" i="5"/>
  <c r="AT406" i="5"/>
  <c r="AR406" i="5"/>
  <c r="AQ406" i="5"/>
  <c r="AP406" i="5"/>
  <c r="AO406" i="5"/>
  <c r="AN406" i="5"/>
  <c r="AM406" i="5"/>
  <c r="AL406" i="5"/>
  <c r="AH406" i="5"/>
  <c r="AF406" i="5"/>
  <c r="AD406" i="5"/>
  <c r="AB406" i="5"/>
  <c r="Y406" i="5"/>
  <c r="X406" i="5"/>
  <c r="W406" i="5"/>
  <c r="V406" i="5"/>
  <c r="U406" i="5"/>
  <c r="T406" i="5"/>
  <c r="S406" i="5"/>
  <c r="R406" i="5"/>
  <c r="Q406" i="5"/>
  <c r="P406" i="5"/>
  <c r="O406" i="5"/>
  <c r="N406" i="5"/>
  <c r="M406" i="5"/>
  <c r="L406" i="5"/>
  <c r="K406" i="5"/>
  <c r="J406" i="5"/>
  <c r="I406" i="5"/>
  <c r="H406" i="5"/>
  <c r="G406" i="5"/>
  <c r="F406" i="5"/>
  <c r="E406" i="5"/>
  <c r="D406" i="5"/>
  <c r="C406" i="5"/>
  <c r="B406" i="5"/>
  <c r="A406" i="5"/>
  <c r="CS405" i="5"/>
  <c r="CM405" i="5"/>
  <c r="CG405" i="5"/>
  <c r="CF405" i="5"/>
  <c r="CE405" i="5"/>
  <c r="CD405" i="5"/>
  <c r="CC405" i="5"/>
  <c r="CB405" i="5"/>
  <c r="CA405" i="5"/>
  <c r="BY405" i="5"/>
  <c r="BW405" i="5"/>
  <c r="BV405" i="5"/>
  <c r="BU405" i="5"/>
  <c r="BQ405" i="5"/>
  <c r="BP405" i="5"/>
  <c r="BO405" i="5"/>
  <c r="BM405" i="5"/>
  <c r="BF405" i="5"/>
  <c r="BC405" i="5"/>
  <c r="AY405" i="5"/>
  <c r="AX405" i="5"/>
  <c r="AW405" i="5"/>
  <c r="AV405" i="5"/>
  <c r="AU405" i="5"/>
  <c r="AT405" i="5"/>
  <c r="AR405" i="5"/>
  <c r="AQ405" i="5"/>
  <c r="AP405" i="5"/>
  <c r="AO405" i="5"/>
  <c r="AN405" i="5"/>
  <c r="AM405" i="5"/>
  <c r="AL405" i="5"/>
  <c r="AH405" i="5"/>
  <c r="AF405" i="5"/>
  <c r="AD405" i="5"/>
  <c r="AB405" i="5"/>
  <c r="Y405" i="5"/>
  <c r="X405" i="5"/>
  <c r="W405" i="5"/>
  <c r="V405" i="5"/>
  <c r="U405" i="5"/>
  <c r="T405" i="5"/>
  <c r="S405" i="5"/>
  <c r="R405" i="5"/>
  <c r="Q405" i="5"/>
  <c r="P405" i="5"/>
  <c r="O405" i="5"/>
  <c r="N405" i="5"/>
  <c r="M405" i="5"/>
  <c r="L405" i="5"/>
  <c r="K405" i="5"/>
  <c r="J405" i="5"/>
  <c r="I405" i="5"/>
  <c r="H405" i="5"/>
  <c r="G405" i="5"/>
  <c r="F405" i="5"/>
  <c r="E405" i="5"/>
  <c r="D405" i="5"/>
  <c r="C405" i="5"/>
  <c r="B405" i="5"/>
  <c r="A405" i="5"/>
  <c r="CS404" i="5"/>
  <c r="CM404" i="5"/>
  <c r="CG404" i="5"/>
  <c r="CF404" i="5"/>
  <c r="CE404" i="5"/>
  <c r="CD404" i="5"/>
  <c r="CC404" i="5"/>
  <c r="CB404" i="5"/>
  <c r="CA404" i="5"/>
  <c r="BY404" i="5"/>
  <c r="BW404" i="5"/>
  <c r="BV404" i="5"/>
  <c r="BU404" i="5"/>
  <c r="BQ404" i="5"/>
  <c r="BP404" i="5"/>
  <c r="BO404" i="5"/>
  <c r="BM404" i="5"/>
  <c r="BF404" i="5"/>
  <c r="BC404" i="5"/>
  <c r="AY404" i="5"/>
  <c r="AX404" i="5"/>
  <c r="AW404" i="5"/>
  <c r="AV404" i="5"/>
  <c r="AU404" i="5"/>
  <c r="AT404" i="5"/>
  <c r="AR404" i="5"/>
  <c r="AQ404" i="5"/>
  <c r="AP404" i="5"/>
  <c r="AO404" i="5"/>
  <c r="AN404" i="5"/>
  <c r="AM404" i="5"/>
  <c r="AL404" i="5"/>
  <c r="AH404" i="5"/>
  <c r="AF404" i="5"/>
  <c r="AD404" i="5"/>
  <c r="AB404" i="5"/>
  <c r="Y404" i="5"/>
  <c r="X404" i="5"/>
  <c r="W404" i="5"/>
  <c r="V404" i="5"/>
  <c r="U404" i="5"/>
  <c r="T404" i="5"/>
  <c r="S404" i="5"/>
  <c r="R404" i="5"/>
  <c r="Q404" i="5"/>
  <c r="P404" i="5"/>
  <c r="O404" i="5"/>
  <c r="N404" i="5"/>
  <c r="M404" i="5"/>
  <c r="L404" i="5"/>
  <c r="K404" i="5"/>
  <c r="J404" i="5"/>
  <c r="I404" i="5"/>
  <c r="H404" i="5"/>
  <c r="G404" i="5"/>
  <c r="F404" i="5"/>
  <c r="E404" i="5"/>
  <c r="D404" i="5"/>
  <c r="C404" i="5"/>
  <c r="B404" i="5"/>
  <c r="A404" i="5"/>
  <c r="CS403" i="5"/>
  <c r="CM403" i="5"/>
  <c r="CG403" i="5"/>
  <c r="CF403" i="5"/>
  <c r="CE403" i="5"/>
  <c r="CD403" i="5"/>
  <c r="CC403" i="5"/>
  <c r="CB403" i="5"/>
  <c r="CA403" i="5"/>
  <c r="BY403" i="5"/>
  <c r="BW403" i="5"/>
  <c r="BV403" i="5"/>
  <c r="BU403" i="5"/>
  <c r="BQ403" i="5"/>
  <c r="BP403" i="5"/>
  <c r="BO403" i="5"/>
  <c r="BM403" i="5"/>
  <c r="BF403" i="5"/>
  <c r="BC403" i="5"/>
  <c r="AY403" i="5"/>
  <c r="AX403" i="5"/>
  <c r="AW403" i="5"/>
  <c r="AV403" i="5"/>
  <c r="AU403" i="5"/>
  <c r="AT403" i="5"/>
  <c r="AR403" i="5"/>
  <c r="AQ403" i="5"/>
  <c r="AP403" i="5"/>
  <c r="AO403" i="5"/>
  <c r="AN403" i="5"/>
  <c r="AM403" i="5"/>
  <c r="AL403" i="5"/>
  <c r="AH403" i="5"/>
  <c r="AF403" i="5"/>
  <c r="AD403" i="5"/>
  <c r="AB403" i="5"/>
  <c r="Y403" i="5"/>
  <c r="X403" i="5"/>
  <c r="W403" i="5"/>
  <c r="V403" i="5"/>
  <c r="U403" i="5"/>
  <c r="T403" i="5"/>
  <c r="S403" i="5"/>
  <c r="R403" i="5"/>
  <c r="Q403" i="5"/>
  <c r="P403" i="5"/>
  <c r="O403" i="5"/>
  <c r="N403" i="5"/>
  <c r="M403" i="5"/>
  <c r="L403" i="5"/>
  <c r="K403" i="5"/>
  <c r="J403" i="5"/>
  <c r="I403" i="5"/>
  <c r="H403" i="5"/>
  <c r="G403" i="5"/>
  <c r="F403" i="5"/>
  <c r="E403" i="5"/>
  <c r="D403" i="5"/>
  <c r="C403" i="5"/>
  <c r="B403" i="5"/>
  <c r="A403" i="5"/>
  <c r="CS402" i="5"/>
  <c r="CM402" i="5"/>
  <c r="CG402" i="5"/>
  <c r="CF402" i="5"/>
  <c r="CE402" i="5"/>
  <c r="CD402" i="5"/>
  <c r="CC402" i="5"/>
  <c r="CB402" i="5"/>
  <c r="CA402" i="5"/>
  <c r="BY402" i="5"/>
  <c r="BW402" i="5"/>
  <c r="BV402" i="5"/>
  <c r="BU402" i="5"/>
  <c r="BQ402" i="5"/>
  <c r="BP402" i="5"/>
  <c r="BO402" i="5"/>
  <c r="BM402" i="5"/>
  <c r="BF402" i="5"/>
  <c r="BC402" i="5"/>
  <c r="AY402" i="5"/>
  <c r="AX402" i="5"/>
  <c r="AW402" i="5"/>
  <c r="AV402" i="5"/>
  <c r="AU402" i="5"/>
  <c r="AT402" i="5"/>
  <c r="AR402" i="5"/>
  <c r="AQ402" i="5"/>
  <c r="AP402" i="5"/>
  <c r="AO402" i="5"/>
  <c r="AN402" i="5"/>
  <c r="AM402" i="5"/>
  <c r="AL402" i="5"/>
  <c r="AH402" i="5"/>
  <c r="AF402" i="5"/>
  <c r="AD402" i="5"/>
  <c r="AB402" i="5"/>
  <c r="Y402" i="5"/>
  <c r="X402" i="5"/>
  <c r="W402" i="5"/>
  <c r="V402" i="5"/>
  <c r="U402" i="5"/>
  <c r="T402" i="5"/>
  <c r="S402" i="5"/>
  <c r="R402" i="5"/>
  <c r="Q402" i="5"/>
  <c r="P402" i="5"/>
  <c r="O402" i="5"/>
  <c r="N402" i="5"/>
  <c r="M402" i="5"/>
  <c r="L402" i="5"/>
  <c r="K402" i="5"/>
  <c r="J402" i="5"/>
  <c r="I402" i="5"/>
  <c r="H402" i="5"/>
  <c r="G402" i="5"/>
  <c r="F402" i="5"/>
  <c r="E402" i="5"/>
  <c r="D402" i="5"/>
  <c r="C402" i="5"/>
  <c r="B402" i="5"/>
  <c r="A402" i="5"/>
  <c r="CS401" i="5"/>
  <c r="CM401" i="5"/>
  <c r="CG401" i="5"/>
  <c r="CF401" i="5"/>
  <c r="CE401" i="5"/>
  <c r="CD401" i="5"/>
  <c r="CC401" i="5"/>
  <c r="CB401" i="5"/>
  <c r="CA401" i="5"/>
  <c r="BZ401" i="5"/>
  <c r="BY401" i="5"/>
  <c r="BW401" i="5"/>
  <c r="BV401" i="5"/>
  <c r="BU401" i="5"/>
  <c r="BS401" i="5"/>
  <c r="BR401" i="5"/>
  <c r="BQ401" i="5"/>
  <c r="BP401" i="5"/>
  <c r="BO401" i="5"/>
  <c r="BM401" i="5"/>
  <c r="BF401" i="5"/>
  <c r="BC401" i="5"/>
  <c r="AY401" i="5"/>
  <c r="AX401" i="5"/>
  <c r="AW401" i="5"/>
  <c r="AV401" i="5"/>
  <c r="AU401" i="5"/>
  <c r="AT401" i="5"/>
  <c r="AR401" i="5"/>
  <c r="AQ401" i="5"/>
  <c r="AP401" i="5"/>
  <c r="AO401" i="5"/>
  <c r="AN401" i="5"/>
  <c r="AM401" i="5"/>
  <c r="AL401" i="5"/>
  <c r="AH401" i="5"/>
  <c r="AF401" i="5"/>
  <c r="AD401" i="5"/>
  <c r="AB401" i="5"/>
  <c r="Y401" i="5"/>
  <c r="X401" i="5"/>
  <c r="W401" i="5"/>
  <c r="V401" i="5"/>
  <c r="U401" i="5"/>
  <c r="T401" i="5"/>
  <c r="S401" i="5"/>
  <c r="R401" i="5"/>
  <c r="Q401" i="5"/>
  <c r="P401" i="5"/>
  <c r="O401" i="5"/>
  <c r="N401" i="5"/>
  <c r="M401" i="5"/>
  <c r="L401" i="5"/>
  <c r="K401" i="5"/>
  <c r="J401" i="5"/>
  <c r="I401" i="5"/>
  <c r="H401" i="5"/>
  <c r="G401" i="5"/>
  <c r="F401" i="5"/>
  <c r="E401" i="5"/>
  <c r="D401" i="5"/>
  <c r="C401" i="5"/>
  <c r="B401" i="5"/>
  <c r="A401" i="5"/>
  <c r="CS400" i="5"/>
  <c r="CM400" i="5"/>
  <c r="CG400" i="5"/>
  <c r="CF400" i="5"/>
  <c r="CE400" i="5"/>
  <c r="CD400" i="5"/>
  <c r="CC400" i="5"/>
  <c r="CB400" i="5"/>
  <c r="CA400" i="5"/>
  <c r="BZ400" i="5"/>
  <c r="BY400" i="5"/>
  <c r="BW400" i="5"/>
  <c r="BV400" i="5"/>
  <c r="BU400" i="5"/>
  <c r="BS400" i="5"/>
  <c r="BR400" i="5"/>
  <c r="BQ400" i="5"/>
  <c r="BP400" i="5"/>
  <c r="BO400" i="5"/>
  <c r="BM400" i="5"/>
  <c r="BF400" i="5"/>
  <c r="BC400" i="5"/>
  <c r="AY400" i="5"/>
  <c r="AX400" i="5"/>
  <c r="AW400" i="5"/>
  <c r="AV400" i="5"/>
  <c r="AU400" i="5"/>
  <c r="AT400" i="5"/>
  <c r="AR400" i="5"/>
  <c r="AQ400" i="5"/>
  <c r="AP400" i="5"/>
  <c r="AO400" i="5"/>
  <c r="AN400" i="5"/>
  <c r="AM400" i="5"/>
  <c r="AL400" i="5"/>
  <c r="AH400" i="5"/>
  <c r="AF400" i="5"/>
  <c r="AD400" i="5"/>
  <c r="AB400" i="5"/>
  <c r="Y400" i="5"/>
  <c r="X400" i="5"/>
  <c r="W400" i="5"/>
  <c r="V400" i="5"/>
  <c r="U400" i="5"/>
  <c r="T400" i="5"/>
  <c r="S400" i="5"/>
  <c r="R400" i="5"/>
  <c r="Q400" i="5"/>
  <c r="P400" i="5"/>
  <c r="O400" i="5"/>
  <c r="N400" i="5"/>
  <c r="M400" i="5"/>
  <c r="L400" i="5"/>
  <c r="K400" i="5"/>
  <c r="J400" i="5"/>
  <c r="I400" i="5"/>
  <c r="H400" i="5"/>
  <c r="G400" i="5"/>
  <c r="F400" i="5"/>
  <c r="E400" i="5"/>
  <c r="D400" i="5"/>
  <c r="C400" i="5"/>
  <c r="B400" i="5"/>
  <c r="A400" i="5"/>
  <c r="CS399" i="5"/>
  <c r="CM399" i="5"/>
  <c r="CG399" i="5"/>
  <c r="CF399" i="5"/>
  <c r="CE399" i="5"/>
  <c r="CD399" i="5"/>
  <c r="CC399" i="5"/>
  <c r="CB399" i="5"/>
  <c r="CA399" i="5"/>
  <c r="BZ399" i="5"/>
  <c r="BY399" i="5"/>
  <c r="BW399" i="5"/>
  <c r="BV399" i="5"/>
  <c r="BU399" i="5"/>
  <c r="BS399" i="5"/>
  <c r="BR399" i="5"/>
  <c r="BQ399" i="5"/>
  <c r="BP399" i="5"/>
  <c r="BO399" i="5"/>
  <c r="BM399" i="5"/>
  <c r="BF399" i="5"/>
  <c r="BC399" i="5"/>
  <c r="AY399" i="5"/>
  <c r="AX399" i="5"/>
  <c r="AW399" i="5"/>
  <c r="AV399" i="5"/>
  <c r="AU399" i="5"/>
  <c r="AT399" i="5"/>
  <c r="AR399" i="5"/>
  <c r="AQ399" i="5"/>
  <c r="AP399" i="5"/>
  <c r="AO399" i="5"/>
  <c r="AN399" i="5"/>
  <c r="AM399" i="5"/>
  <c r="AL399" i="5"/>
  <c r="AH399" i="5"/>
  <c r="AF399" i="5"/>
  <c r="AD399" i="5"/>
  <c r="AB399" i="5"/>
  <c r="Y399" i="5"/>
  <c r="X399" i="5"/>
  <c r="W399" i="5"/>
  <c r="V399" i="5"/>
  <c r="U399" i="5"/>
  <c r="T399" i="5"/>
  <c r="S399" i="5"/>
  <c r="R399" i="5"/>
  <c r="Q399" i="5"/>
  <c r="P399" i="5"/>
  <c r="O399" i="5"/>
  <c r="N399" i="5"/>
  <c r="M399" i="5"/>
  <c r="L399" i="5"/>
  <c r="K399" i="5"/>
  <c r="J399" i="5"/>
  <c r="I399" i="5"/>
  <c r="H399" i="5"/>
  <c r="G399" i="5"/>
  <c r="F399" i="5"/>
  <c r="E399" i="5"/>
  <c r="D399" i="5"/>
  <c r="C399" i="5"/>
  <c r="B399" i="5"/>
  <c r="A399" i="5"/>
  <c r="CS398" i="5"/>
  <c r="CM398" i="5"/>
  <c r="CG398" i="5"/>
  <c r="CF398" i="5"/>
  <c r="CE398" i="5"/>
  <c r="CD398" i="5"/>
  <c r="CC398" i="5"/>
  <c r="CB398" i="5"/>
  <c r="CA398" i="5"/>
  <c r="BZ398" i="5"/>
  <c r="BY398" i="5"/>
  <c r="BW398" i="5"/>
  <c r="BV398" i="5"/>
  <c r="BU398" i="5"/>
  <c r="BS398" i="5"/>
  <c r="BR398" i="5"/>
  <c r="BQ398" i="5"/>
  <c r="BP398" i="5"/>
  <c r="BO398" i="5"/>
  <c r="BM398" i="5"/>
  <c r="BF398" i="5"/>
  <c r="BC398" i="5"/>
  <c r="AY398" i="5"/>
  <c r="AX398" i="5"/>
  <c r="AW398" i="5"/>
  <c r="AV398" i="5"/>
  <c r="AU398" i="5"/>
  <c r="AT398" i="5"/>
  <c r="AR398" i="5"/>
  <c r="AQ398" i="5"/>
  <c r="AP398" i="5"/>
  <c r="AO398" i="5"/>
  <c r="AN398" i="5"/>
  <c r="AM398" i="5"/>
  <c r="AL398" i="5"/>
  <c r="AH398" i="5"/>
  <c r="AF398" i="5"/>
  <c r="AD398" i="5"/>
  <c r="AB398" i="5"/>
  <c r="Y398" i="5"/>
  <c r="X398" i="5"/>
  <c r="W398" i="5"/>
  <c r="V398" i="5"/>
  <c r="U398" i="5"/>
  <c r="T398" i="5"/>
  <c r="S398" i="5"/>
  <c r="R398" i="5"/>
  <c r="Q398" i="5"/>
  <c r="P398" i="5"/>
  <c r="O398" i="5"/>
  <c r="N398" i="5"/>
  <c r="M398" i="5"/>
  <c r="L398" i="5"/>
  <c r="K398" i="5"/>
  <c r="J398" i="5"/>
  <c r="I398" i="5"/>
  <c r="H398" i="5"/>
  <c r="G398" i="5"/>
  <c r="F398" i="5"/>
  <c r="E398" i="5"/>
  <c r="D398" i="5"/>
  <c r="C398" i="5"/>
  <c r="B398" i="5"/>
  <c r="A398" i="5"/>
  <c r="CS397" i="5"/>
  <c r="CM397" i="5"/>
  <c r="CG397" i="5"/>
  <c r="CF397" i="5"/>
  <c r="CE397" i="5"/>
  <c r="CD397" i="5"/>
  <c r="CC397" i="5"/>
  <c r="CB397" i="5"/>
  <c r="CA397" i="5"/>
  <c r="BZ397" i="5"/>
  <c r="BY397" i="5"/>
  <c r="BW397" i="5"/>
  <c r="BV397" i="5"/>
  <c r="BU397" i="5"/>
  <c r="BS397" i="5"/>
  <c r="BR397" i="5"/>
  <c r="BQ397" i="5"/>
  <c r="BP397" i="5"/>
  <c r="BO397" i="5"/>
  <c r="BM397" i="5"/>
  <c r="BF397" i="5"/>
  <c r="BC397" i="5"/>
  <c r="AY397" i="5"/>
  <c r="AX397" i="5"/>
  <c r="AW397" i="5"/>
  <c r="AV397" i="5"/>
  <c r="AU397" i="5"/>
  <c r="AT397" i="5"/>
  <c r="AR397" i="5"/>
  <c r="AQ397" i="5"/>
  <c r="AP397" i="5"/>
  <c r="AO397" i="5"/>
  <c r="AN397" i="5"/>
  <c r="AM397" i="5"/>
  <c r="AL397" i="5"/>
  <c r="AH397" i="5"/>
  <c r="AF397" i="5"/>
  <c r="AD397" i="5"/>
  <c r="AB397" i="5"/>
  <c r="Y397" i="5"/>
  <c r="X397" i="5"/>
  <c r="W397" i="5"/>
  <c r="V397" i="5"/>
  <c r="U397" i="5"/>
  <c r="T397" i="5"/>
  <c r="S397" i="5"/>
  <c r="R397" i="5"/>
  <c r="Q397" i="5"/>
  <c r="P397" i="5"/>
  <c r="O397" i="5"/>
  <c r="N397" i="5"/>
  <c r="M397" i="5"/>
  <c r="L397" i="5"/>
  <c r="K397" i="5"/>
  <c r="J397" i="5"/>
  <c r="I397" i="5"/>
  <c r="H397" i="5"/>
  <c r="G397" i="5"/>
  <c r="F397" i="5"/>
  <c r="E397" i="5"/>
  <c r="D397" i="5"/>
  <c r="C397" i="5"/>
  <c r="B397" i="5"/>
  <c r="A397" i="5"/>
  <c r="CS396" i="5"/>
  <c r="CM396" i="5"/>
  <c r="CG396" i="5"/>
  <c r="CF396" i="5"/>
  <c r="CE396" i="5"/>
  <c r="CD396" i="5"/>
  <c r="CC396" i="5"/>
  <c r="CB396" i="5"/>
  <c r="CA396" i="5"/>
  <c r="BY396" i="5"/>
  <c r="BW396" i="5"/>
  <c r="BV396" i="5"/>
  <c r="BU396" i="5"/>
  <c r="BQ396" i="5"/>
  <c r="BP396" i="5"/>
  <c r="BO396" i="5"/>
  <c r="BM396" i="5"/>
  <c r="BF396" i="5"/>
  <c r="BC396" i="5"/>
  <c r="AY396" i="5"/>
  <c r="AX396" i="5"/>
  <c r="AW396" i="5"/>
  <c r="AV396" i="5"/>
  <c r="AU396" i="5"/>
  <c r="AT396" i="5"/>
  <c r="AR396" i="5"/>
  <c r="AQ396" i="5"/>
  <c r="AP396" i="5"/>
  <c r="AO396" i="5"/>
  <c r="AN396" i="5"/>
  <c r="AM396" i="5"/>
  <c r="AL396" i="5"/>
  <c r="AH396" i="5"/>
  <c r="AF396" i="5"/>
  <c r="AD396" i="5"/>
  <c r="AB396" i="5"/>
  <c r="Y396" i="5"/>
  <c r="X396" i="5"/>
  <c r="W396" i="5"/>
  <c r="V396" i="5"/>
  <c r="U396" i="5"/>
  <c r="T396" i="5"/>
  <c r="S396" i="5"/>
  <c r="R396" i="5"/>
  <c r="Q396" i="5"/>
  <c r="P396" i="5"/>
  <c r="O396" i="5"/>
  <c r="N396" i="5"/>
  <c r="M396" i="5"/>
  <c r="L396" i="5"/>
  <c r="K396" i="5"/>
  <c r="J396" i="5"/>
  <c r="I396" i="5"/>
  <c r="H396" i="5"/>
  <c r="G396" i="5"/>
  <c r="F396" i="5"/>
  <c r="E396" i="5"/>
  <c r="D396" i="5"/>
  <c r="C396" i="5"/>
  <c r="B396" i="5"/>
  <c r="A396" i="5"/>
  <c r="CS395" i="5"/>
  <c r="CM395" i="5"/>
  <c r="CG395" i="5"/>
  <c r="CF395" i="5"/>
  <c r="CE395" i="5"/>
  <c r="CD395" i="5"/>
  <c r="CC395" i="5"/>
  <c r="CB395" i="5"/>
  <c r="CA395" i="5"/>
  <c r="BY395" i="5"/>
  <c r="BW395" i="5"/>
  <c r="BV395" i="5"/>
  <c r="BU395" i="5"/>
  <c r="BQ395" i="5"/>
  <c r="BP395" i="5"/>
  <c r="BO395" i="5"/>
  <c r="BM395" i="5"/>
  <c r="BF395" i="5"/>
  <c r="BC395" i="5"/>
  <c r="AY395" i="5"/>
  <c r="AX395" i="5"/>
  <c r="AW395" i="5"/>
  <c r="AV395" i="5"/>
  <c r="AU395" i="5"/>
  <c r="AT395" i="5"/>
  <c r="AR395" i="5"/>
  <c r="AQ395" i="5"/>
  <c r="AP395" i="5"/>
  <c r="AO395" i="5"/>
  <c r="AN395" i="5"/>
  <c r="AM395" i="5"/>
  <c r="AL395" i="5"/>
  <c r="AH395" i="5"/>
  <c r="AF395" i="5"/>
  <c r="AD395" i="5"/>
  <c r="AB395" i="5"/>
  <c r="Y395" i="5"/>
  <c r="X395" i="5"/>
  <c r="W395" i="5"/>
  <c r="V395" i="5"/>
  <c r="U395" i="5"/>
  <c r="T395" i="5"/>
  <c r="S395" i="5"/>
  <c r="R395" i="5"/>
  <c r="Q395" i="5"/>
  <c r="P395" i="5"/>
  <c r="O395" i="5"/>
  <c r="N395" i="5"/>
  <c r="M395" i="5"/>
  <c r="L395" i="5"/>
  <c r="K395" i="5"/>
  <c r="J395" i="5"/>
  <c r="I395" i="5"/>
  <c r="H395" i="5"/>
  <c r="G395" i="5"/>
  <c r="F395" i="5"/>
  <c r="E395" i="5"/>
  <c r="D395" i="5"/>
  <c r="C395" i="5"/>
  <c r="B395" i="5"/>
  <c r="A395" i="5"/>
  <c r="CS394" i="5"/>
  <c r="CM394" i="5"/>
  <c r="CG394" i="5"/>
  <c r="CF394" i="5"/>
  <c r="CE394" i="5"/>
  <c r="CD394" i="5"/>
  <c r="CC394" i="5"/>
  <c r="CB394" i="5"/>
  <c r="CA394" i="5"/>
  <c r="BY394" i="5"/>
  <c r="BW394" i="5"/>
  <c r="BV394" i="5"/>
  <c r="BU394" i="5"/>
  <c r="BQ394" i="5"/>
  <c r="BP394" i="5"/>
  <c r="BO394" i="5"/>
  <c r="BM394" i="5"/>
  <c r="BF394" i="5"/>
  <c r="BC394" i="5"/>
  <c r="AY394" i="5"/>
  <c r="AX394" i="5"/>
  <c r="AW394" i="5"/>
  <c r="AV394" i="5"/>
  <c r="AU394" i="5"/>
  <c r="AT394" i="5"/>
  <c r="AR394" i="5"/>
  <c r="AQ394" i="5"/>
  <c r="AP394" i="5"/>
  <c r="AO394" i="5"/>
  <c r="AN394" i="5"/>
  <c r="AM394" i="5"/>
  <c r="AL394" i="5"/>
  <c r="AH394" i="5"/>
  <c r="AF394" i="5"/>
  <c r="AD394" i="5"/>
  <c r="AB394" i="5"/>
  <c r="Y394" i="5"/>
  <c r="X394" i="5"/>
  <c r="W394" i="5"/>
  <c r="V394" i="5"/>
  <c r="U394" i="5"/>
  <c r="T394" i="5"/>
  <c r="S394" i="5"/>
  <c r="R394" i="5"/>
  <c r="Q394" i="5"/>
  <c r="P394" i="5"/>
  <c r="O394" i="5"/>
  <c r="N394" i="5"/>
  <c r="M394" i="5"/>
  <c r="L394" i="5"/>
  <c r="K394" i="5"/>
  <c r="J394" i="5"/>
  <c r="I394" i="5"/>
  <c r="H394" i="5"/>
  <c r="G394" i="5"/>
  <c r="F394" i="5"/>
  <c r="E394" i="5"/>
  <c r="D394" i="5"/>
  <c r="C394" i="5"/>
  <c r="B394" i="5"/>
  <c r="A394" i="5"/>
  <c r="CS393" i="5"/>
  <c r="CM393" i="5"/>
  <c r="CG393" i="5"/>
  <c r="CF393" i="5"/>
  <c r="CE393" i="5"/>
  <c r="CD393" i="5"/>
  <c r="CC393" i="5"/>
  <c r="CB393" i="5"/>
  <c r="CA393" i="5"/>
  <c r="BY393" i="5"/>
  <c r="BX393" i="5"/>
  <c r="BW393" i="5"/>
  <c r="BV393" i="5"/>
  <c r="BU393" i="5"/>
  <c r="BQ393" i="5"/>
  <c r="BP393" i="5"/>
  <c r="BO393" i="5"/>
  <c r="BM393" i="5"/>
  <c r="BF393" i="5"/>
  <c r="BC393" i="5"/>
  <c r="AY393" i="5"/>
  <c r="AX393" i="5"/>
  <c r="AW393" i="5"/>
  <c r="AV393" i="5"/>
  <c r="AU393" i="5"/>
  <c r="AT393" i="5"/>
  <c r="AR393" i="5"/>
  <c r="AQ393" i="5"/>
  <c r="AP393" i="5"/>
  <c r="AO393" i="5"/>
  <c r="AN393" i="5"/>
  <c r="AM393" i="5"/>
  <c r="AL393" i="5"/>
  <c r="AH393" i="5"/>
  <c r="AF393" i="5"/>
  <c r="AD393" i="5"/>
  <c r="AB393" i="5"/>
  <c r="Y393" i="5"/>
  <c r="X393" i="5"/>
  <c r="W393" i="5"/>
  <c r="V393" i="5"/>
  <c r="U393" i="5"/>
  <c r="T393" i="5"/>
  <c r="S393" i="5"/>
  <c r="R393" i="5"/>
  <c r="Q393" i="5"/>
  <c r="P393" i="5"/>
  <c r="O393" i="5"/>
  <c r="N393" i="5"/>
  <c r="M393" i="5"/>
  <c r="L393" i="5"/>
  <c r="K393" i="5"/>
  <c r="J393" i="5"/>
  <c r="I393" i="5"/>
  <c r="H393" i="5"/>
  <c r="G393" i="5"/>
  <c r="F393" i="5"/>
  <c r="E393" i="5"/>
  <c r="D393" i="5"/>
  <c r="C393" i="5"/>
  <c r="B393" i="5"/>
  <c r="A393" i="5"/>
  <c r="CS392" i="5"/>
  <c r="CM392" i="5"/>
  <c r="CG392" i="5"/>
  <c r="CF392" i="5"/>
  <c r="CE392" i="5"/>
  <c r="CD392" i="5"/>
  <c r="CC392" i="5"/>
  <c r="CB392" i="5"/>
  <c r="CA392" i="5"/>
  <c r="BY392" i="5"/>
  <c r="BX392" i="5"/>
  <c r="BW392" i="5"/>
  <c r="BV392" i="5"/>
  <c r="BU392" i="5"/>
  <c r="BQ392" i="5"/>
  <c r="BP392" i="5"/>
  <c r="BO392" i="5"/>
  <c r="BM392" i="5"/>
  <c r="BF392" i="5"/>
  <c r="BC392" i="5"/>
  <c r="AY392" i="5"/>
  <c r="AX392" i="5"/>
  <c r="AW392" i="5"/>
  <c r="AV392" i="5"/>
  <c r="AU392" i="5"/>
  <c r="AT392" i="5"/>
  <c r="AR392" i="5"/>
  <c r="AQ392" i="5"/>
  <c r="AP392" i="5"/>
  <c r="AO392" i="5"/>
  <c r="AN392" i="5"/>
  <c r="AM392" i="5"/>
  <c r="AL392" i="5"/>
  <c r="AH392" i="5"/>
  <c r="AF392" i="5"/>
  <c r="AD392" i="5"/>
  <c r="AB392" i="5"/>
  <c r="Y392" i="5"/>
  <c r="X392" i="5"/>
  <c r="W392" i="5"/>
  <c r="V392" i="5"/>
  <c r="U392" i="5"/>
  <c r="T392" i="5"/>
  <c r="S392" i="5"/>
  <c r="R392" i="5"/>
  <c r="Q392" i="5"/>
  <c r="P392" i="5"/>
  <c r="O392" i="5"/>
  <c r="N392" i="5"/>
  <c r="M392" i="5"/>
  <c r="L392" i="5"/>
  <c r="K392" i="5"/>
  <c r="J392" i="5"/>
  <c r="I392" i="5"/>
  <c r="H392" i="5"/>
  <c r="G392" i="5"/>
  <c r="F392" i="5"/>
  <c r="E392" i="5"/>
  <c r="D392" i="5"/>
  <c r="C392" i="5"/>
  <c r="B392" i="5"/>
  <c r="A392" i="5"/>
  <c r="CS391" i="5"/>
  <c r="CM391" i="5"/>
  <c r="CG391" i="5"/>
  <c r="CF391" i="5"/>
  <c r="CE391" i="5"/>
  <c r="CD391" i="5"/>
  <c r="CC391" i="5"/>
  <c r="CB391" i="5"/>
  <c r="CA391" i="5"/>
  <c r="BY391" i="5"/>
  <c r="BX391" i="5"/>
  <c r="BW391" i="5"/>
  <c r="BV391" i="5"/>
  <c r="BU391" i="5"/>
  <c r="BQ391" i="5"/>
  <c r="BP391" i="5"/>
  <c r="BO391" i="5"/>
  <c r="BM391" i="5"/>
  <c r="BF391" i="5"/>
  <c r="BC391" i="5"/>
  <c r="AY391" i="5"/>
  <c r="AX391" i="5"/>
  <c r="AW391" i="5"/>
  <c r="AV391" i="5"/>
  <c r="AU391" i="5"/>
  <c r="AT391" i="5"/>
  <c r="AR391" i="5"/>
  <c r="AQ391" i="5"/>
  <c r="AP391" i="5"/>
  <c r="AO391" i="5"/>
  <c r="AN391" i="5"/>
  <c r="AM391" i="5"/>
  <c r="AL391" i="5"/>
  <c r="AH391" i="5"/>
  <c r="AF391" i="5"/>
  <c r="AD391" i="5"/>
  <c r="AB391" i="5"/>
  <c r="Y391" i="5"/>
  <c r="X391" i="5"/>
  <c r="W391" i="5"/>
  <c r="V391" i="5"/>
  <c r="U391" i="5"/>
  <c r="T391" i="5"/>
  <c r="S391" i="5"/>
  <c r="R391" i="5"/>
  <c r="Q391" i="5"/>
  <c r="P391" i="5"/>
  <c r="O391" i="5"/>
  <c r="N391" i="5"/>
  <c r="M391" i="5"/>
  <c r="L391" i="5"/>
  <c r="K391" i="5"/>
  <c r="J391" i="5"/>
  <c r="I391" i="5"/>
  <c r="H391" i="5"/>
  <c r="G391" i="5"/>
  <c r="F391" i="5"/>
  <c r="E391" i="5"/>
  <c r="D391" i="5"/>
  <c r="C391" i="5"/>
  <c r="B391" i="5"/>
  <c r="A391" i="5"/>
  <c r="CS390" i="5"/>
  <c r="CM390" i="5"/>
  <c r="CG390" i="5"/>
  <c r="CF390" i="5"/>
  <c r="CE390" i="5"/>
  <c r="CD390" i="5"/>
  <c r="CC390" i="5"/>
  <c r="CB390" i="5"/>
  <c r="CA390" i="5"/>
  <c r="BY390" i="5"/>
  <c r="BX390" i="5"/>
  <c r="BW390" i="5"/>
  <c r="BV390" i="5"/>
  <c r="BU390" i="5"/>
  <c r="BQ390" i="5"/>
  <c r="BP390" i="5"/>
  <c r="BO390" i="5"/>
  <c r="BM390" i="5"/>
  <c r="BF390" i="5"/>
  <c r="BC390" i="5"/>
  <c r="AY390" i="5"/>
  <c r="AX390" i="5"/>
  <c r="AW390" i="5"/>
  <c r="AV390" i="5"/>
  <c r="AU390" i="5"/>
  <c r="AT390" i="5"/>
  <c r="AR390" i="5"/>
  <c r="AQ390" i="5"/>
  <c r="AP390" i="5"/>
  <c r="AO390" i="5"/>
  <c r="AN390" i="5"/>
  <c r="AM390" i="5"/>
  <c r="AL390" i="5"/>
  <c r="AH390" i="5"/>
  <c r="AF390" i="5"/>
  <c r="AD390" i="5"/>
  <c r="AB390" i="5"/>
  <c r="Y390" i="5"/>
  <c r="X390" i="5"/>
  <c r="W390" i="5"/>
  <c r="V390" i="5"/>
  <c r="U390" i="5"/>
  <c r="T390" i="5"/>
  <c r="S390" i="5"/>
  <c r="R390" i="5"/>
  <c r="Q390" i="5"/>
  <c r="P390" i="5"/>
  <c r="O390" i="5"/>
  <c r="N390" i="5"/>
  <c r="M390" i="5"/>
  <c r="L390" i="5"/>
  <c r="K390" i="5"/>
  <c r="J390" i="5"/>
  <c r="I390" i="5"/>
  <c r="H390" i="5"/>
  <c r="G390" i="5"/>
  <c r="F390" i="5"/>
  <c r="E390" i="5"/>
  <c r="D390" i="5"/>
  <c r="C390" i="5"/>
  <c r="B390" i="5"/>
  <c r="A390" i="5"/>
  <c r="CS389" i="5"/>
  <c r="CM389" i="5"/>
  <c r="CG389" i="5"/>
  <c r="CF389" i="5"/>
  <c r="CE389" i="5"/>
  <c r="CD389" i="5"/>
  <c r="CC389" i="5"/>
  <c r="CB389" i="5"/>
  <c r="CA389" i="5"/>
  <c r="BY389" i="5"/>
  <c r="BX389" i="5"/>
  <c r="BW389" i="5"/>
  <c r="BV389" i="5"/>
  <c r="BU389" i="5"/>
  <c r="BQ389" i="5"/>
  <c r="BP389" i="5"/>
  <c r="BO389" i="5"/>
  <c r="BM389" i="5"/>
  <c r="BF389" i="5"/>
  <c r="BC389" i="5"/>
  <c r="AY389" i="5"/>
  <c r="AX389" i="5"/>
  <c r="AW389" i="5"/>
  <c r="AV389" i="5"/>
  <c r="AU389" i="5"/>
  <c r="AT389" i="5"/>
  <c r="AR389" i="5"/>
  <c r="AQ389" i="5"/>
  <c r="AP389" i="5"/>
  <c r="AO389" i="5"/>
  <c r="AN389" i="5"/>
  <c r="AM389" i="5"/>
  <c r="AL389" i="5"/>
  <c r="AH389" i="5"/>
  <c r="AF389" i="5"/>
  <c r="AD389" i="5"/>
  <c r="AB389" i="5"/>
  <c r="Y389" i="5"/>
  <c r="X389" i="5"/>
  <c r="W389" i="5"/>
  <c r="V389" i="5"/>
  <c r="U389" i="5"/>
  <c r="T389" i="5"/>
  <c r="S389" i="5"/>
  <c r="R389" i="5"/>
  <c r="Q389" i="5"/>
  <c r="P389" i="5"/>
  <c r="O389" i="5"/>
  <c r="N389" i="5"/>
  <c r="M389" i="5"/>
  <c r="L389" i="5"/>
  <c r="K389" i="5"/>
  <c r="J389" i="5"/>
  <c r="I389" i="5"/>
  <c r="H389" i="5"/>
  <c r="G389" i="5"/>
  <c r="F389" i="5"/>
  <c r="E389" i="5"/>
  <c r="D389" i="5"/>
  <c r="C389" i="5"/>
  <c r="B389" i="5"/>
  <c r="A389" i="5"/>
  <c r="CS388" i="5"/>
  <c r="CM388" i="5"/>
  <c r="CG388" i="5"/>
  <c r="CF388" i="5"/>
  <c r="CE388" i="5"/>
  <c r="CD388" i="5"/>
  <c r="CC388" i="5"/>
  <c r="CB388" i="5"/>
  <c r="CA388" i="5"/>
  <c r="BY388" i="5"/>
  <c r="BW388" i="5"/>
  <c r="BV388" i="5"/>
  <c r="BU388" i="5"/>
  <c r="BQ388" i="5"/>
  <c r="BP388" i="5"/>
  <c r="BO388" i="5"/>
  <c r="BM388" i="5"/>
  <c r="BF388" i="5"/>
  <c r="BC388" i="5"/>
  <c r="AZ388" i="5"/>
  <c r="AY388" i="5"/>
  <c r="AX388" i="5"/>
  <c r="AW388" i="5"/>
  <c r="AV388" i="5"/>
  <c r="AU388" i="5"/>
  <c r="AT388" i="5"/>
  <c r="AR388" i="5"/>
  <c r="AQ388" i="5"/>
  <c r="AP388" i="5"/>
  <c r="AO388" i="5"/>
  <c r="AN388" i="5"/>
  <c r="AM388" i="5"/>
  <c r="AL388" i="5"/>
  <c r="AH388" i="5"/>
  <c r="AF388" i="5"/>
  <c r="AD388" i="5"/>
  <c r="AB388" i="5"/>
  <c r="Y388" i="5"/>
  <c r="X388" i="5"/>
  <c r="W388" i="5"/>
  <c r="V388" i="5"/>
  <c r="U388" i="5"/>
  <c r="T388" i="5"/>
  <c r="S388" i="5"/>
  <c r="R388" i="5"/>
  <c r="Q388" i="5"/>
  <c r="P388" i="5"/>
  <c r="O388" i="5"/>
  <c r="N388" i="5"/>
  <c r="M388" i="5"/>
  <c r="L388" i="5"/>
  <c r="K388" i="5"/>
  <c r="J388" i="5"/>
  <c r="I388" i="5"/>
  <c r="H388" i="5"/>
  <c r="G388" i="5"/>
  <c r="F388" i="5"/>
  <c r="E388" i="5"/>
  <c r="D388" i="5"/>
  <c r="C388" i="5"/>
  <c r="B388" i="5"/>
  <c r="A388" i="5"/>
  <c r="CS387" i="5"/>
  <c r="CM387" i="5"/>
  <c r="CG387" i="5"/>
  <c r="CF387" i="5"/>
  <c r="CE387" i="5"/>
  <c r="CD387" i="5"/>
  <c r="CC387" i="5"/>
  <c r="CB387" i="5"/>
  <c r="CA387" i="5"/>
  <c r="BY387" i="5"/>
  <c r="BW387" i="5"/>
  <c r="BV387" i="5"/>
  <c r="BU387" i="5"/>
  <c r="BQ387" i="5"/>
  <c r="BP387" i="5"/>
  <c r="BO387" i="5"/>
  <c r="BM387" i="5"/>
  <c r="BF387" i="5"/>
  <c r="BC387" i="5"/>
  <c r="AZ387" i="5"/>
  <c r="AY387" i="5"/>
  <c r="AX387" i="5"/>
  <c r="AW387" i="5"/>
  <c r="AV387" i="5"/>
  <c r="AU387" i="5"/>
  <c r="AT387" i="5"/>
  <c r="AR387" i="5"/>
  <c r="AQ387" i="5"/>
  <c r="AP387" i="5"/>
  <c r="AO387" i="5"/>
  <c r="AN387" i="5"/>
  <c r="AM387" i="5"/>
  <c r="AL387" i="5"/>
  <c r="AH387" i="5"/>
  <c r="AF387" i="5"/>
  <c r="AD387" i="5"/>
  <c r="AB387" i="5"/>
  <c r="Y387" i="5"/>
  <c r="X387" i="5"/>
  <c r="W387" i="5"/>
  <c r="V387" i="5"/>
  <c r="U387" i="5"/>
  <c r="T387" i="5"/>
  <c r="S387" i="5"/>
  <c r="R387" i="5"/>
  <c r="Q387" i="5"/>
  <c r="P387" i="5"/>
  <c r="O387" i="5"/>
  <c r="N387" i="5"/>
  <c r="M387" i="5"/>
  <c r="L387" i="5"/>
  <c r="K387" i="5"/>
  <c r="J387" i="5"/>
  <c r="I387" i="5"/>
  <c r="H387" i="5"/>
  <c r="G387" i="5"/>
  <c r="F387" i="5"/>
  <c r="E387" i="5"/>
  <c r="D387" i="5"/>
  <c r="C387" i="5"/>
  <c r="B387" i="5"/>
  <c r="A387" i="5"/>
  <c r="CS386" i="5"/>
  <c r="CM386" i="5"/>
  <c r="CG386" i="5"/>
  <c r="CF386" i="5"/>
  <c r="CE386" i="5"/>
  <c r="CD386" i="5"/>
  <c r="CC386" i="5"/>
  <c r="CB386" i="5"/>
  <c r="CA386" i="5"/>
  <c r="BY386" i="5"/>
  <c r="BW386" i="5"/>
  <c r="BV386" i="5"/>
  <c r="BU386" i="5"/>
  <c r="BQ386" i="5"/>
  <c r="BP386" i="5"/>
  <c r="BO386" i="5"/>
  <c r="BM386" i="5"/>
  <c r="BF386" i="5"/>
  <c r="BC386" i="5"/>
  <c r="AZ386" i="5"/>
  <c r="AY386" i="5"/>
  <c r="AX386" i="5"/>
  <c r="AW386" i="5"/>
  <c r="AV386" i="5"/>
  <c r="AU386" i="5"/>
  <c r="AT386" i="5"/>
  <c r="AR386" i="5"/>
  <c r="AQ386" i="5"/>
  <c r="AP386" i="5"/>
  <c r="AO386" i="5"/>
  <c r="AN386" i="5"/>
  <c r="AM386" i="5"/>
  <c r="AL386" i="5"/>
  <c r="AH386" i="5"/>
  <c r="AF386" i="5"/>
  <c r="AD386" i="5"/>
  <c r="AB386" i="5"/>
  <c r="Y386" i="5"/>
  <c r="X386" i="5"/>
  <c r="W386" i="5"/>
  <c r="V386" i="5"/>
  <c r="U386" i="5"/>
  <c r="T386" i="5"/>
  <c r="S386" i="5"/>
  <c r="R386" i="5"/>
  <c r="Q386" i="5"/>
  <c r="P386" i="5"/>
  <c r="O386" i="5"/>
  <c r="N386" i="5"/>
  <c r="M386" i="5"/>
  <c r="L386" i="5"/>
  <c r="K386" i="5"/>
  <c r="J386" i="5"/>
  <c r="I386" i="5"/>
  <c r="H386" i="5"/>
  <c r="G386" i="5"/>
  <c r="F386" i="5"/>
  <c r="E386" i="5"/>
  <c r="D386" i="5"/>
  <c r="C386" i="5"/>
  <c r="B386" i="5"/>
  <c r="A386" i="5"/>
  <c r="CS385" i="5"/>
  <c r="CM385" i="5"/>
  <c r="CG385" i="5"/>
  <c r="CF385" i="5"/>
  <c r="CE385" i="5"/>
  <c r="CD385" i="5"/>
  <c r="CC385" i="5"/>
  <c r="CB385" i="5"/>
  <c r="CA385" i="5"/>
  <c r="BY385" i="5"/>
  <c r="BW385" i="5"/>
  <c r="BV385" i="5"/>
  <c r="BU385" i="5"/>
  <c r="BQ385" i="5"/>
  <c r="BP385" i="5"/>
  <c r="BO385" i="5"/>
  <c r="BM385" i="5"/>
  <c r="BF385" i="5"/>
  <c r="BC385" i="5"/>
  <c r="AZ385" i="5"/>
  <c r="AY385" i="5"/>
  <c r="AX385" i="5"/>
  <c r="AW385" i="5"/>
  <c r="AV385" i="5"/>
  <c r="AU385" i="5"/>
  <c r="AT385" i="5"/>
  <c r="AR385" i="5"/>
  <c r="AQ385" i="5"/>
  <c r="AP385" i="5"/>
  <c r="AO385" i="5"/>
  <c r="AN385" i="5"/>
  <c r="AM385" i="5"/>
  <c r="AL385" i="5"/>
  <c r="AH385" i="5"/>
  <c r="AF385" i="5"/>
  <c r="AD385" i="5"/>
  <c r="AB385" i="5"/>
  <c r="Y385" i="5"/>
  <c r="X385" i="5"/>
  <c r="W385" i="5"/>
  <c r="V385" i="5"/>
  <c r="U385" i="5"/>
  <c r="T385" i="5"/>
  <c r="S385" i="5"/>
  <c r="R385" i="5"/>
  <c r="Q385" i="5"/>
  <c r="P385" i="5"/>
  <c r="O385" i="5"/>
  <c r="N385" i="5"/>
  <c r="M385" i="5"/>
  <c r="L385" i="5"/>
  <c r="K385" i="5"/>
  <c r="J385" i="5"/>
  <c r="I385" i="5"/>
  <c r="H385" i="5"/>
  <c r="G385" i="5"/>
  <c r="F385" i="5"/>
  <c r="E385" i="5"/>
  <c r="D385" i="5"/>
  <c r="C385" i="5"/>
  <c r="B385" i="5"/>
  <c r="A385" i="5"/>
  <c r="CS384" i="5"/>
  <c r="CM384" i="5"/>
  <c r="CG384" i="5"/>
  <c r="CF384" i="5"/>
  <c r="CE384" i="5"/>
  <c r="CD384" i="5"/>
  <c r="CC384" i="5"/>
  <c r="CB384" i="5"/>
  <c r="CA384" i="5"/>
  <c r="BY384" i="5"/>
  <c r="BW384" i="5"/>
  <c r="BV384" i="5"/>
  <c r="BU384" i="5"/>
  <c r="BQ384" i="5"/>
  <c r="BP384" i="5"/>
  <c r="BO384" i="5"/>
  <c r="BM384" i="5"/>
  <c r="BF384" i="5"/>
  <c r="BC384" i="5"/>
  <c r="AZ384" i="5"/>
  <c r="AY384" i="5"/>
  <c r="AX384" i="5"/>
  <c r="AW384" i="5"/>
  <c r="AV384" i="5"/>
  <c r="AU384" i="5"/>
  <c r="AT384" i="5"/>
  <c r="AR384" i="5"/>
  <c r="AQ384" i="5"/>
  <c r="AP384" i="5"/>
  <c r="AO384" i="5"/>
  <c r="AN384" i="5"/>
  <c r="AM384" i="5"/>
  <c r="AL384" i="5"/>
  <c r="AH384" i="5"/>
  <c r="AF384" i="5"/>
  <c r="AD384" i="5"/>
  <c r="AB384" i="5"/>
  <c r="Y384" i="5"/>
  <c r="X384" i="5"/>
  <c r="W384" i="5"/>
  <c r="V384" i="5"/>
  <c r="U384" i="5"/>
  <c r="T384" i="5"/>
  <c r="S384" i="5"/>
  <c r="R384" i="5"/>
  <c r="Q384" i="5"/>
  <c r="P384" i="5"/>
  <c r="O384" i="5"/>
  <c r="N384" i="5"/>
  <c r="M384" i="5"/>
  <c r="L384" i="5"/>
  <c r="K384" i="5"/>
  <c r="J384" i="5"/>
  <c r="I384" i="5"/>
  <c r="H384" i="5"/>
  <c r="G384" i="5"/>
  <c r="F384" i="5"/>
  <c r="E384" i="5"/>
  <c r="D384" i="5"/>
  <c r="C384" i="5"/>
  <c r="B384" i="5"/>
  <c r="A384" i="5"/>
  <c r="CS383" i="5"/>
  <c r="CM383" i="5"/>
  <c r="CG383" i="5"/>
  <c r="CF383" i="5"/>
  <c r="CE383" i="5"/>
  <c r="CD383" i="5"/>
  <c r="CC383" i="5"/>
  <c r="CB383" i="5"/>
  <c r="CA383" i="5"/>
  <c r="BY383" i="5"/>
  <c r="BW383" i="5"/>
  <c r="BV383" i="5"/>
  <c r="BU383" i="5"/>
  <c r="BQ383" i="5"/>
  <c r="BP383" i="5"/>
  <c r="BO383" i="5"/>
  <c r="BM383" i="5"/>
  <c r="BF383" i="5"/>
  <c r="BC383" i="5"/>
  <c r="AY383" i="5"/>
  <c r="AX383" i="5"/>
  <c r="AW383" i="5"/>
  <c r="AV383" i="5"/>
  <c r="AU383" i="5"/>
  <c r="AT383" i="5"/>
  <c r="AR383" i="5"/>
  <c r="AQ383" i="5"/>
  <c r="AP383" i="5"/>
  <c r="AO383" i="5"/>
  <c r="AN383" i="5"/>
  <c r="AM383" i="5"/>
  <c r="AL383" i="5"/>
  <c r="AH383" i="5"/>
  <c r="AF383" i="5"/>
  <c r="AD383" i="5"/>
  <c r="AB383" i="5"/>
  <c r="Y383" i="5"/>
  <c r="X383" i="5"/>
  <c r="W383" i="5"/>
  <c r="V383" i="5"/>
  <c r="U383" i="5"/>
  <c r="T383" i="5"/>
  <c r="S383" i="5"/>
  <c r="R383" i="5"/>
  <c r="Q383" i="5"/>
  <c r="P383" i="5"/>
  <c r="O383" i="5"/>
  <c r="N383" i="5"/>
  <c r="M383" i="5"/>
  <c r="L383" i="5"/>
  <c r="K383" i="5"/>
  <c r="J383" i="5"/>
  <c r="I383" i="5"/>
  <c r="H383" i="5"/>
  <c r="G383" i="5"/>
  <c r="F383" i="5"/>
  <c r="E383" i="5"/>
  <c r="D383" i="5"/>
  <c r="C383" i="5"/>
  <c r="B383" i="5"/>
  <c r="A383" i="5"/>
  <c r="CS382" i="5"/>
  <c r="CM382" i="5"/>
  <c r="CG382" i="5"/>
  <c r="CF382" i="5"/>
  <c r="CE382" i="5"/>
  <c r="CD382" i="5"/>
  <c r="CC382" i="5"/>
  <c r="CB382" i="5"/>
  <c r="CA382" i="5"/>
  <c r="BZ382" i="5"/>
  <c r="BY382" i="5"/>
  <c r="BW382" i="5"/>
  <c r="BV382" i="5"/>
  <c r="BU382" i="5"/>
  <c r="BS382" i="5"/>
  <c r="BR382" i="5"/>
  <c r="BQ382" i="5"/>
  <c r="BP382" i="5"/>
  <c r="BO382" i="5"/>
  <c r="BM382" i="5"/>
  <c r="BF382" i="5"/>
  <c r="BC382" i="5"/>
  <c r="AY382" i="5"/>
  <c r="AX382" i="5"/>
  <c r="AW382" i="5"/>
  <c r="AV382" i="5"/>
  <c r="AU382" i="5"/>
  <c r="AT382" i="5"/>
  <c r="AR382" i="5"/>
  <c r="AQ382" i="5"/>
  <c r="AP382" i="5"/>
  <c r="AO382" i="5"/>
  <c r="AN382" i="5"/>
  <c r="AM382" i="5"/>
  <c r="AL382" i="5"/>
  <c r="AH382" i="5"/>
  <c r="AF382" i="5"/>
  <c r="AD382" i="5"/>
  <c r="AB382" i="5"/>
  <c r="Y382" i="5"/>
  <c r="X382" i="5"/>
  <c r="W382" i="5"/>
  <c r="V382" i="5"/>
  <c r="U382" i="5"/>
  <c r="T382" i="5"/>
  <c r="S382" i="5"/>
  <c r="R382" i="5"/>
  <c r="Q382" i="5"/>
  <c r="P382" i="5"/>
  <c r="O382" i="5"/>
  <c r="N382" i="5"/>
  <c r="M382" i="5"/>
  <c r="L382" i="5"/>
  <c r="K382" i="5"/>
  <c r="J382" i="5"/>
  <c r="I382" i="5"/>
  <c r="H382" i="5"/>
  <c r="G382" i="5"/>
  <c r="F382" i="5"/>
  <c r="E382" i="5"/>
  <c r="D382" i="5"/>
  <c r="C382" i="5"/>
  <c r="B382" i="5"/>
  <c r="A382" i="5"/>
  <c r="CS381" i="5"/>
  <c r="CM381" i="5"/>
  <c r="CG381" i="5"/>
  <c r="CF381" i="5"/>
  <c r="CE381" i="5"/>
  <c r="CD381" i="5"/>
  <c r="CC381" i="5"/>
  <c r="CB381" i="5"/>
  <c r="CA381" i="5"/>
  <c r="BY381" i="5"/>
  <c r="BW381" i="5"/>
  <c r="BV381" i="5"/>
  <c r="BU381" i="5"/>
  <c r="BQ381" i="5"/>
  <c r="BP381" i="5"/>
  <c r="BO381" i="5"/>
  <c r="BM381" i="5"/>
  <c r="BF381" i="5"/>
  <c r="BC381" i="5"/>
  <c r="AZ381" i="5"/>
  <c r="AY381" i="5"/>
  <c r="AX381" i="5"/>
  <c r="AW381" i="5"/>
  <c r="AV381" i="5"/>
  <c r="AU381" i="5"/>
  <c r="AT381" i="5"/>
  <c r="AR381" i="5"/>
  <c r="AQ381" i="5"/>
  <c r="AP381" i="5"/>
  <c r="AO381" i="5"/>
  <c r="AN381" i="5"/>
  <c r="AM381" i="5"/>
  <c r="AL381" i="5"/>
  <c r="AH381" i="5"/>
  <c r="AF381" i="5"/>
  <c r="AD381" i="5"/>
  <c r="AB381" i="5"/>
  <c r="Y381" i="5"/>
  <c r="X381" i="5"/>
  <c r="W381" i="5"/>
  <c r="V381" i="5"/>
  <c r="U381" i="5"/>
  <c r="T381" i="5"/>
  <c r="S381" i="5"/>
  <c r="R381" i="5"/>
  <c r="Q381" i="5"/>
  <c r="P381" i="5"/>
  <c r="O381" i="5"/>
  <c r="N381" i="5"/>
  <c r="M381" i="5"/>
  <c r="L381" i="5"/>
  <c r="K381" i="5"/>
  <c r="J381" i="5"/>
  <c r="I381" i="5"/>
  <c r="H381" i="5"/>
  <c r="G381" i="5"/>
  <c r="F381" i="5"/>
  <c r="E381" i="5"/>
  <c r="D381" i="5"/>
  <c r="C381" i="5"/>
  <c r="B381" i="5"/>
  <c r="A381" i="5"/>
  <c r="CS380" i="5"/>
  <c r="CM380" i="5"/>
  <c r="CG380" i="5"/>
  <c r="CF380" i="5"/>
  <c r="CE380" i="5"/>
  <c r="CD380" i="5"/>
  <c r="CC380" i="5"/>
  <c r="CB380" i="5"/>
  <c r="CA380" i="5"/>
  <c r="BY380" i="5"/>
  <c r="BW380" i="5"/>
  <c r="BV380" i="5"/>
  <c r="BU380" i="5"/>
  <c r="BQ380" i="5"/>
  <c r="BP380" i="5"/>
  <c r="BO380" i="5"/>
  <c r="BM380" i="5"/>
  <c r="BF380" i="5"/>
  <c r="BC380" i="5"/>
  <c r="AZ380" i="5"/>
  <c r="AY380" i="5"/>
  <c r="AX380" i="5"/>
  <c r="AW380" i="5"/>
  <c r="AV380" i="5"/>
  <c r="AU380" i="5"/>
  <c r="AT380" i="5"/>
  <c r="AR380" i="5"/>
  <c r="AQ380" i="5"/>
  <c r="AP380" i="5"/>
  <c r="AO380" i="5"/>
  <c r="AN380" i="5"/>
  <c r="AM380" i="5"/>
  <c r="AL380" i="5"/>
  <c r="AH380" i="5"/>
  <c r="AF380" i="5"/>
  <c r="AD380" i="5"/>
  <c r="AB380" i="5"/>
  <c r="Y380" i="5"/>
  <c r="X380" i="5"/>
  <c r="W380" i="5"/>
  <c r="V380" i="5"/>
  <c r="U380" i="5"/>
  <c r="T380" i="5"/>
  <c r="S380" i="5"/>
  <c r="R380" i="5"/>
  <c r="Q380" i="5"/>
  <c r="P380" i="5"/>
  <c r="O380" i="5"/>
  <c r="N380" i="5"/>
  <c r="M380" i="5"/>
  <c r="L380" i="5"/>
  <c r="K380" i="5"/>
  <c r="J380" i="5"/>
  <c r="I380" i="5"/>
  <c r="H380" i="5"/>
  <c r="G380" i="5"/>
  <c r="F380" i="5"/>
  <c r="E380" i="5"/>
  <c r="D380" i="5"/>
  <c r="C380" i="5"/>
  <c r="B380" i="5"/>
  <c r="A380" i="5"/>
  <c r="CS379" i="5"/>
  <c r="CM379" i="5"/>
  <c r="CG379" i="5"/>
  <c r="CF379" i="5"/>
  <c r="CE379" i="5"/>
  <c r="CD379" i="5"/>
  <c r="CC379" i="5"/>
  <c r="CB379" i="5"/>
  <c r="CA379" i="5"/>
  <c r="BY379" i="5"/>
  <c r="BW379" i="5"/>
  <c r="BV379" i="5"/>
  <c r="BU379" i="5"/>
  <c r="BQ379" i="5"/>
  <c r="BP379" i="5"/>
  <c r="BO379" i="5"/>
  <c r="BM379" i="5"/>
  <c r="BF379" i="5"/>
  <c r="BC379" i="5"/>
  <c r="AZ379" i="5"/>
  <c r="AY379" i="5"/>
  <c r="AX379" i="5"/>
  <c r="AW379" i="5"/>
  <c r="AV379" i="5"/>
  <c r="AU379" i="5"/>
  <c r="AT379" i="5"/>
  <c r="AR379" i="5"/>
  <c r="AQ379" i="5"/>
  <c r="AP379" i="5"/>
  <c r="AO379" i="5"/>
  <c r="AN379" i="5"/>
  <c r="AM379" i="5"/>
  <c r="AL379" i="5"/>
  <c r="AH379" i="5"/>
  <c r="AF379" i="5"/>
  <c r="AD379" i="5"/>
  <c r="AB379" i="5"/>
  <c r="Y379" i="5"/>
  <c r="X379" i="5"/>
  <c r="W379" i="5"/>
  <c r="V379" i="5"/>
  <c r="U379" i="5"/>
  <c r="T379" i="5"/>
  <c r="S379" i="5"/>
  <c r="R379" i="5"/>
  <c r="Q379" i="5"/>
  <c r="P379" i="5"/>
  <c r="O379" i="5"/>
  <c r="N379" i="5"/>
  <c r="M379" i="5"/>
  <c r="L379" i="5"/>
  <c r="K379" i="5"/>
  <c r="J379" i="5"/>
  <c r="I379" i="5"/>
  <c r="H379" i="5"/>
  <c r="G379" i="5"/>
  <c r="F379" i="5"/>
  <c r="E379" i="5"/>
  <c r="D379" i="5"/>
  <c r="C379" i="5"/>
  <c r="B379" i="5"/>
  <c r="A379" i="5"/>
  <c r="CS378" i="5"/>
  <c r="CM378" i="5"/>
  <c r="CG378" i="5"/>
  <c r="CF378" i="5"/>
  <c r="CE378" i="5"/>
  <c r="CD378" i="5"/>
  <c r="CC378" i="5"/>
  <c r="CB378" i="5"/>
  <c r="CA378" i="5"/>
  <c r="BY378" i="5"/>
  <c r="BW378" i="5"/>
  <c r="BV378" i="5"/>
  <c r="BU378" i="5"/>
  <c r="BQ378" i="5"/>
  <c r="BP378" i="5"/>
  <c r="BO378" i="5"/>
  <c r="BM378" i="5"/>
  <c r="BF378" i="5"/>
  <c r="BC378" i="5"/>
  <c r="AZ378" i="5"/>
  <c r="AY378" i="5"/>
  <c r="AX378" i="5"/>
  <c r="AW378" i="5"/>
  <c r="AV378" i="5"/>
  <c r="AU378" i="5"/>
  <c r="AT378" i="5"/>
  <c r="AR378" i="5"/>
  <c r="AQ378" i="5"/>
  <c r="AP378" i="5"/>
  <c r="AO378" i="5"/>
  <c r="AN378" i="5"/>
  <c r="AM378" i="5"/>
  <c r="AL378" i="5"/>
  <c r="AH378" i="5"/>
  <c r="AF378" i="5"/>
  <c r="AD378" i="5"/>
  <c r="AB378" i="5"/>
  <c r="Y378" i="5"/>
  <c r="X378" i="5"/>
  <c r="W378" i="5"/>
  <c r="V378" i="5"/>
  <c r="U378" i="5"/>
  <c r="T378" i="5"/>
  <c r="S378" i="5"/>
  <c r="R378" i="5"/>
  <c r="Q378" i="5"/>
  <c r="P378" i="5"/>
  <c r="O378" i="5"/>
  <c r="N378" i="5"/>
  <c r="M378" i="5"/>
  <c r="L378" i="5"/>
  <c r="K378" i="5"/>
  <c r="J378" i="5"/>
  <c r="I378" i="5"/>
  <c r="H378" i="5"/>
  <c r="G378" i="5"/>
  <c r="F378" i="5"/>
  <c r="E378" i="5"/>
  <c r="D378" i="5"/>
  <c r="C378" i="5"/>
  <c r="B378" i="5"/>
  <c r="A378" i="5"/>
  <c r="CS377" i="5"/>
  <c r="CM377" i="5"/>
  <c r="CG377" i="5"/>
  <c r="CF377" i="5"/>
  <c r="CE377" i="5"/>
  <c r="CD377" i="5"/>
  <c r="CC377" i="5"/>
  <c r="CB377" i="5"/>
  <c r="CA377" i="5"/>
  <c r="BZ377" i="5"/>
  <c r="BY377" i="5"/>
  <c r="BW377" i="5"/>
  <c r="BV377" i="5"/>
  <c r="BU377" i="5"/>
  <c r="BS377" i="5"/>
  <c r="BR377" i="5"/>
  <c r="BQ377" i="5"/>
  <c r="BP377" i="5"/>
  <c r="BO377" i="5"/>
  <c r="BM377" i="5"/>
  <c r="BF377" i="5"/>
  <c r="BC377" i="5"/>
  <c r="AZ377" i="5"/>
  <c r="AY377" i="5"/>
  <c r="AX377" i="5"/>
  <c r="AW377" i="5"/>
  <c r="AV377" i="5"/>
  <c r="AU377" i="5"/>
  <c r="AT377" i="5"/>
  <c r="AR377" i="5"/>
  <c r="AQ377" i="5"/>
  <c r="AP377" i="5"/>
  <c r="AO377" i="5"/>
  <c r="AN377" i="5"/>
  <c r="AM377" i="5"/>
  <c r="AL377" i="5"/>
  <c r="AH377" i="5"/>
  <c r="AF377" i="5"/>
  <c r="AD377" i="5"/>
  <c r="AB377" i="5"/>
  <c r="Y377" i="5"/>
  <c r="X377" i="5"/>
  <c r="W377" i="5"/>
  <c r="V377" i="5"/>
  <c r="U377" i="5"/>
  <c r="T377" i="5"/>
  <c r="S377" i="5"/>
  <c r="R377" i="5"/>
  <c r="Q377" i="5"/>
  <c r="P377" i="5"/>
  <c r="O377" i="5"/>
  <c r="N377" i="5"/>
  <c r="M377" i="5"/>
  <c r="L377" i="5"/>
  <c r="K377" i="5"/>
  <c r="J377" i="5"/>
  <c r="I377" i="5"/>
  <c r="H377" i="5"/>
  <c r="G377" i="5"/>
  <c r="F377" i="5"/>
  <c r="E377" i="5"/>
  <c r="D377" i="5"/>
  <c r="C377" i="5"/>
  <c r="B377" i="5"/>
  <c r="A377" i="5"/>
  <c r="CS376" i="5"/>
  <c r="CM376" i="5"/>
  <c r="CG376" i="5"/>
  <c r="CF376" i="5"/>
  <c r="CE376" i="5"/>
  <c r="CD376" i="5"/>
  <c r="CC376" i="5"/>
  <c r="CB376" i="5"/>
  <c r="CA376" i="5"/>
  <c r="BY376" i="5"/>
  <c r="BW376" i="5"/>
  <c r="BV376" i="5"/>
  <c r="BU376" i="5"/>
  <c r="BQ376" i="5"/>
  <c r="BP376" i="5"/>
  <c r="BO376" i="5"/>
  <c r="BM376" i="5"/>
  <c r="BF376" i="5"/>
  <c r="BC376" i="5"/>
  <c r="AY376" i="5"/>
  <c r="AX376" i="5"/>
  <c r="AW376" i="5"/>
  <c r="AV376" i="5"/>
  <c r="AU376" i="5"/>
  <c r="AT376" i="5"/>
  <c r="AR376" i="5"/>
  <c r="AQ376" i="5"/>
  <c r="AP376" i="5"/>
  <c r="AO376" i="5"/>
  <c r="AN376" i="5"/>
  <c r="AM376" i="5"/>
  <c r="AL376" i="5"/>
  <c r="AH376" i="5"/>
  <c r="AF376" i="5"/>
  <c r="AD376" i="5"/>
  <c r="AB376" i="5"/>
  <c r="Z376" i="5"/>
  <c r="X376" i="5"/>
  <c r="W376" i="5"/>
  <c r="V376" i="5"/>
  <c r="U376" i="5"/>
  <c r="T376" i="5"/>
  <c r="S376" i="5"/>
  <c r="R376" i="5"/>
  <c r="Q376" i="5"/>
  <c r="P376" i="5"/>
  <c r="O376" i="5"/>
  <c r="N376" i="5"/>
  <c r="M376" i="5"/>
  <c r="L376" i="5"/>
  <c r="K376" i="5"/>
  <c r="J376" i="5"/>
  <c r="I376" i="5"/>
  <c r="H376" i="5"/>
  <c r="G376" i="5"/>
  <c r="F376" i="5"/>
  <c r="E376" i="5"/>
  <c r="D376" i="5"/>
  <c r="C376" i="5"/>
  <c r="B376" i="5"/>
  <c r="A376" i="5"/>
  <c r="CS375" i="5"/>
  <c r="CM375" i="5"/>
  <c r="CG375" i="5"/>
  <c r="CF375" i="5"/>
  <c r="CE375" i="5"/>
  <c r="CD375" i="5"/>
  <c r="CC375" i="5"/>
  <c r="CB375" i="5"/>
  <c r="CA375" i="5"/>
  <c r="BY375" i="5"/>
  <c r="BW375" i="5"/>
  <c r="BV375" i="5"/>
  <c r="BU375" i="5"/>
  <c r="BQ375" i="5"/>
  <c r="BP375" i="5"/>
  <c r="BO375" i="5"/>
  <c r="BM375" i="5"/>
  <c r="BF375" i="5"/>
  <c r="BC375" i="5"/>
  <c r="AZ375" i="5"/>
  <c r="AY375" i="5"/>
  <c r="AX375" i="5"/>
  <c r="AW375" i="5"/>
  <c r="AV375" i="5"/>
  <c r="AU375" i="5"/>
  <c r="AT375" i="5"/>
  <c r="AR375" i="5"/>
  <c r="AQ375" i="5"/>
  <c r="AP375" i="5"/>
  <c r="AO375" i="5"/>
  <c r="AN375" i="5"/>
  <c r="AM375" i="5"/>
  <c r="AL375" i="5"/>
  <c r="AH375" i="5"/>
  <c r="AF375" i="5"/>
  <c r="AD375" i="5"/>
  <c r="AB375" i="5"/>
  <c r="Y375" i="5"/>
  <c r="X375" i="5"/>
  <c r="W375" i="5"/>
  <c r="V375" i="5"/>
  <c r="U375" i="5"/>
  <c r="T375" i="5"/>
  <c r="S375" i="5"/>
  <c r="R375" i="5"/>
  <c r="Q375" i="5"/>
  <c r="P375" i="5"/>
  <c r="O375" i="5"/>
  <c r="N375" i="5"/>
  <c r="M375" i="5"/>
  <c r="L375" i="5"/>
  <c r="K375" i="5"/>
  <c r="J375" i="5"/>
  <c r="I375" i="5"/>
  <c r="H375" i="5"/>
  <c r="G375" i="5"/>
  <c r="F375" i="5"/>
  <c r="E375" i="5"/>
  <c r="D375" i="5"/>
  <c r="C375" i="5"/>
  <c r="B375" i="5"/>
  <c r="A375" i="5"/>
  <c r="CS374" i="5"/>
  <c r="CM374" i="5"/>
  <c r="CG374" i="5"/>
  <c r="CF374" i="5"/>
  <c r="CE374" i="5"/>
  <c r="CD374" i="5"/>
  <c r="CC374" i="5"/>
  <c r="CB374" i="5"/>
  <c r="CA374" i="5"/>
  <c r="BZ374" i="5"/>
  <c r="BY374" i="5"/>
  <c r="BW374" i="5"/>
  <c r="BV374" i="5"/>
  <c r="BU374" i="5"/>
  <c r="BS374" i="5"/>
  <c r="BR374" i="5"/>
  <c r="BQ374" i="5"/>
  <c r="BP374" i="5"/>
  <c r="BO374" i="5"/>
  <c r="BM374" i="5"/>
  <c r="BF374" i="5"/>
  <c r="BC374" i="5"/>
  <c r="AZ374" i="5"/>
  <c r="AY374" i="5"/>
  <c r="AX374" i="5"/>
  <c r="AW374" i="5"/>
  <c r="AV374" i="5"/>
  <c r="AU374" i="5"/>
  <c r="AT374" i="5"/>
  <c r="AS374" i="5"/>
  <c r="AR374" i="5"/>
  <c r="AQ374" i="5"/>
  <c r="AP374" i="5"/>
  <c r="AO374" i="5"/>
  <c r="AN374" i="5"/>
  <c r="AM374" i="5"/>
  <c r="AL374" i="5"/>
  <c r="AH374" i="5"/>
  <c r="AF374" i="5"/>
  <c r="AD374" i="5"/>
  <c r="AB374" i="5"/>
  <c r="Y374" i="5"/>
  <c r="X374" i="5"/>
  <c r="W374" i="5"/>
  <c r="V374" i="5"/>
  <c r="U374" i="5"/>
  <c r="T374" i="5"/>
  <c r="S374" i="5"/>
  <c r="R374" i="5"/>
  <c r="Q374" i="5"/>
  <c r="P374" i="5"/>
  <c r="O374" i="5"/>
  <c r="N374" i="5"/>
  <c r="M374" i="5"/>
  <c r="L374" i="5"/>
  <c r="K374" i="5"/>
  <c r="J374" i="5"/>
  <c r="I374" i="5"/>
  <c r="H374" i="5"/>
  <c r="G374" i="5"/>
  <c r="F374" i="5"/>
  <c r="E374" i="5"/>
  <c r="D374" i="5"/>
  <c r="C374" i="5"/>
  <c r="B374" i="5"/>
  <c r="A374" i="5"/>
  <c r="CS373" i="5"/>
  <c r="CM373" i="5"/>
  <c r="CG373" i="5"/>
  <c r="CF373" i="5"/>
  <c r="CE373" i="5"/>
  <c r="CD373" i="5"/>
  <c r="CC373" i="5"/>
  <c r="CB373" i="5"/>
  <c r="CA373" i="5"/>
  <c r="BY373" i="5"/>
  <c r="BW373" i="5"/>
  <c r="BV373" i="5"/>
  <c r="BU373" i="5"/>
  <c r="BQ373" i="5"/>
  <c r="BP373" i="5"/>
  <c r="BO373" i="5"/>
  <c r="BM373" i="5"/>
  <c r="BF373" i="5"/>
  <c r="BC373" i="5"/>
  <c r="AZ373" i="5"/>
  <c r="AY373" i="5"/>
  <c r="AX373" i="5"/>
  <c r="AW373" i="5"/>
  <c r="AV373" i="5"/>
  <c r="AU373" i="5"/>
  <c r="AT373" i="5"/>
  <c r="AR373" i="5"/>
  <c r="AQ373" i="5"/>
  <c r="AP373" i="5"/>
  <c r="AO373" i="5"/>
  <c r="AN373" i="5"/>
  <c r="AM373" i="5"/>
  <c r="AL373" i="5"/>
  <c r="AH373" i="5"/>
  <c r="AF373" i="5"/>
  <c r="AD373" i="5"/>
  <c r="AB373" i="5"/>
  <c r="Y373" i="5"/>
  <c r="X373" i="5"/>
  <c r="W373" i="5"/>
  <c r="V373" i="5"/>
  <c r="U373" i="5"/>
  <c r="T373" i="5"/>
  <c r="S373" i="5"/>
  <c r="R373" i="5"/>
  <c r="Q373" i="5"/>
  <c r="P373" i="5"/>
  <c r="O373" i="5"/>
  <c r="N373" i="5"/>
  <c r="M373" i="5"/>
  <c r="L373" i="5"/>
  <c r="K373" i="5"/>
  <c r="J373" i="5"/>
  <c r="I373" i="5"/>
  <c r="H373" i="5"/>
  <c r="G373" i="5"/>
  <c r="F373" i="5"/>
  <c r="E373" i="5"/>
  <c r="D373" i="5"/>
  <c r="C373" i="5"/>
  <c r="B373" i="5"/>
  <c r="A373" i="5"/>
  <c r="CS372" i="5"/>
  <c r="CM372" i="5"/>
  <c r="CG372" i="5"/>
  <c r="CF372" i="5"/>
  <c r="CE372" i="5"/>
  <c r="CD372" i="5"/>
  <c r="CC372" i="5"/>
  <c r="CB372" i="5"/>
  <c r="CA372" i="5"/>
  <c r="BY372" i="5"/>
  <c r="BW372" i="5"/>
  <c r="BV372" i="5"/>
  <c r="BU372" i="5"/>
  <c r="BQ372" i="5"/>
  <c r="BP372" i="5"/>
  <c r="BO372" i="5"/>
  <c r="BM372" i="5"/>
  <c r="BF372" i="5"/>
  <c r="BC372" i="5"/>
  <c r="AZ372" i="5"/>
  <c r="AY372" i="5"/>
  <c r="AX372" i="5"/>
  <c r="AW372" i="5"/>
  <c r="AV372" i="5"/>
  <c r="AU372" i="5"/>
  <c r="AT372" i="5"/>
  <c r="AR372" i="5"/>
  <c r="AQ372" i="5"/>
  <c r="AP372" i="5"/>
  <c r="AO372" i="5"/>
  <c r="AN372" i="5"/>
  <c r="AM372" i="5"/>
  <c r="AL372" i="5"/>
  <c r="AH372" i="5"/>
  <c r="AF372" i="5"/>
  <c r="AD372" i="5"/>
  <c r="AB372" i="5"/>
  <c r="Y372" i="5"/>
  <c r="X372" i="5"/>
  <c r="W372" i="5"/>
  <c r="V372" i="5"/>
  <c r="U372" i="5"/>
  <c r="T372" i="5"/>
  <c r="S372" i="5"/>
  <c r="R372" i="5"/>
  <c r="Q372" i="5"/>
  <c r="P372" i="5"/>
  <c r="O372" i="5"/>
  <c r="N372" i="5"/>
  <c r="M372" i="5"/>
  <c r="L372" i="5"/>
  <c r="K372" i="5"/>
  <c r="J372" i="5"/>
  <c r="I372" i="5"/>
  <c r="H372" i="5"/>
  <c r="G372" i="5"/>
  <c r="F372" i="5"/>
  <c r="E372" i="5"/>
  <c r="D372" i="5"/>
  <c r="C372" i="5"/>
  <c r="B372" i="5"/>
  <c r="A372" i="5"/>
  <c r="CS371" i="5"/>
  <c r="CM371" i="5"/>
  <c r="CG371" i="5"/>
  <c r="CF371" i="5"/>
  <c r="CE371" i="5"/>
  <c r="CD371" i="5"/>
  <c r="CC371" i="5"/>
  <c r="CB371" i="5"/>
  <c r="CA371" i="5"/>
  <c r="BY371" i="5"/>
  <c r="BW371" i="5"/>
  <c r="BV371" i="5"/>
  <c r="BU371" i="5"/>
  <c r="BQ371" i="5"/>
  <c r="BP371" i="5"/>
  <c r="BO371" i="5"/>
  <c r="BM371" i="5"/>
  <c r="BF371" i="5"/>
  <c r="BC371" i="5"/>
  <c r="AZ371" i="5"/>
  <c r="AY371" i="5"/>
  <c r="AX371" i="5"/>
  <c r="AW371" i="5"/>
  <c r="AV371" i="5"/>
  <c r="AU371" i="5"/>
  <c r="AT371" i="5"/>
  <c r="AR371" i="5"/>
  <c r="AQ371" i="5"/>
  <c r="AP371" i="5"/>
  <c r="AO371" i="5"/>
  <c r="AN371" i="5"/>
  <c r="AM371" i="5"/>
  <c r="AL371" i="5"/>
  <c r="AH371" i="5"/>
  <c r="AF371" i="5"/>
  <c r="AD371" i="5"/>
  <c r="AB371" i="5"/>
  <c r="Y371" i="5"/>
  <c r="X371" i="5"/>
  <c r="W371" i="5"/>
  <c r="V371" i="5"/>
  <c r="U371" i="5"/>
  <c r="T371" i="5"/>
  <c r="S371" i="5"/>
  <c r="R371" i="5"/>
  <c r="Q371" i="5"/>
  <c r="P371" i="5"/>
  <c r="O371" i="5"/>
  <c r="N371" i="5"/>
  <c r="M371" i="5"/>
  <c r="L371" i="5"/>
  <c r="K371" i="5"/>
  <c r="J371" i="5"/>
  <c r="I371" i="5"/>
  <c r="H371" i="5"/>
  <c r="G371" i="5"/>
  <c r="F371" i="5"/>
  <c r="E371" i="5"/>
  <c r="D371" i="5"/>
  <c r="C371" i="5"/>
  <c r="B371" i="5"/>
  <c r="A371" i="5"/>
  <c r="CS370" i="5"/>
  <c r="CM370" i="5"/>
  <c r="CG370" i="5"/>
  <c r="CF370" i="5"/>
  <c r="CE370" i="5"/>
  <c r="CD370" i="5"/>
  <c r="CC370" i="5"/>
  <c r="CB370" i="5"/>
  <c r="CA370" i="5"/>
  <c r="BY370" i="5"/>
  <c r="BW370" i="5"/>
  <c r="BV370" i="5"/>
  <c r="BU370" i="5"/>
  <c r="BQ370" i="5"/>
  <c r="BP370" i="5"/>
  <c r="BO370" i="5"/>
  <c r="BM370" i="5"/>
  <c r="BF370" i="5"/>
  <c r="BC370" i="5"/>
  <c r="AZ370" i="5"/>
  <c r="AY370" i="5"/>
  <c r="AX370" i="5"/>
  <c r="AW370" i="5"/>
  <c r="AV370" i="5"/>
  <c r="AU370" i="5"/>
  <c r="AT370" i="5"/>
  <c r="AR370" i="5"/>
  <c r="AQ370" i="5"/>
  <c r="AP370" i="5"/>
  <c r="AO370" i="5"/>
  <c r="AN370" i="5"/>
  <c r="AM370" i="5"/>
  <c r="AL370" i="5"/>
  <c r="AH370" i="5"/>
  <c r="AF370" i="5"/>
  <c r="AD370" i="5"/>
  <c r="AB370" i="5"/>
  <c r="Y370" i="5"/>
  <c r="X370" i="5"/>
  <c r="W370" i="5"/>
  <c r="V370" i="5"/>
  <c r="U370" i="5"/>
  <c r="T370" i="5"/>
  <c r="S370" i="5"/>
  <c r="R370" i="5"/>
  <c r="Q370" i="5"/>
  <c r="P370" i="5"/>
  <c r="O370" i="5"/>
  <c r="N370" i="5"/>
  <c r="M370" i="5"/>
  <c r="L370" i="5"/>
  <c r="K370" i="5"/>
  <c r="J370" i="5"/>
  <c r="I370" i="5"/>
  <c r="H370" i="5"/>
  <c r="G370" i="5"/>
  <c r="F370" i="5"/>
  <c r="E370" i="5"/>
  <c r="D370" i="5"/>
  <c r="C370" i="5"/>
  <c r="B370" i="5"/>
  <c r="A370" i="5"/>
  <c r="CS369" i="5"/>
  <c r="CM369" i="5"/>
  <c r="CG369" i="5"/>
  <c r="CF369" i="5"/>
  <c r="CE369" i="5"/>
  <c r="CD369" i="5"/>
  <c r="CC369" i="5"/>
  <c r="CB369" i="5"/>
  <c r="CA369" i="5"/>
  <c r="BZ369" i="5"/>
  <c r="BY369" i="5"/>
  <c r="BW369" i="5"/>
  <c r="BV369" i="5"/>
  <c r="BU369" i="5"/>
  <c r="BS369" i="5"/>
  <c r="BR369" i="5"/>
  <c r="BQ369" i="5"/>
  <c r="BP369" i="5"/>
  <c r="BO369" i="5"/>
  <c r="BM369" i="5"/>
  <c r="BF369" i="5"/>
  <c r="BC369" i="5"/>
  <c r="AZ369" i="5"/>
  <c r="AY369" i="5"/>
  <c r="AX369" i="5"/>
  <c r="AW369" i="5"/>
  <c r="AV369" i="5"/>
  <c r="AU369" i="5"/>
  <c r="AT369" i="5"/>
  <c r="AR369" i="5"/>
  <c r="AQ369" i="5"/>
  <c r="AP369" i="5"/>
  <c r="AO369" i="5"/>
  <c r="AN369" i="5"/>
  <c r="AM369" i="5"/>
  <c r="AL369" i="5"/>
  <c r="AH369" i="5"/>
  <c r="AF369" i="5"/>
  <c r="AD369" i="5"/>
  <c r="AB369" i="5"/>
  <c r="Y369" i="5"/>
  <c r="X369" i="5"/>
  <c r="W369" i="5"/>
  <c r="V369" i="5"/>
  <c r="U369" i="5"/>
  <c r="T369" i="5"/>
  <c r="S369" i="5"/>
  <c r="R369" i="5"/>
  <c r="Q369" i="5"/>
  <c r="P369" i="5"/>
  <c r="O369" i="5"/>
  <c r="N369" i="5"/>
  <c r="M369" i="5"/>
  <c r="L369" i="5"/>
  <c r="K369" i="5"/>
  <c r="J369" i="5"/>
  <c r="I369" i="5"/>
  <c r="H369" i="5"/>
  <c r="G369" i="5"/>
  <c r="F369" i="5"/>
  <c r="E369" i="5"/>
  <c r="D369" i="5"/>
  <c r="C369" i="5"/>
  <c r="B369" i="5"/>
  <c r="A369" i="5"/>
  <c r="CS368" i="5"/>
  <c r="CM368" i="5"/>
  <c r="CG368" i="5"/>
  <c r="CF368" i="5"/>
  <c r="CE368" i="5"/>
  <c r="CD368" i="5"/>
  <c r="CC368" i="5"/>
  <c r="CB368" i="5"/>
  <c r="CA368" i="5"/>
  <c r="BY368" i="5"/>
  <c r="BW368" i="5"/>
  <c r="BV368" i="5"/>
  <c r="BU368" i="5"/>
  <c r="BQ368" i="5"/>
  <c r="BP368" i="5"/>
  <c r="BO368" i="5"/>
  <c r="BM368" i="5"/>
  <c r="BF368" i="5"/>
  <c r="BC368" i="5"/>
  <c r="AZ368" i="5"/>
  <c r="AY368" i="5"/>
  <c r="AX368" i="5"/>
  <c r="AW368" i="5"/>
  <c r="AV368" i="5"/>
  <c r="AU368" i="5"/>
  <c r="AT368" i="5"/>
  <c r="AR368" i="5"/>
  <c r="AQ368" i="5"/>
  <c r="AP368" i="5"/>
  <c r="AO368" i="5"/>
  <c r="AN368" i="5"/>
  <c r="AM368" i="5"/>
  <c r="AL368" i="5"/>
  <c r="AH368" i="5"/>
  <c r="AF368" i="5"/>
  <c r="AD368" i="5"/>
  <c r="AB368" i="5"/>
  <c r="Y368" i="5"/>
  <c r="X368" i="5"/>
  <c r="W368" i="5"/>
  <c r="V368" i="5"/>
  <c r="U368" i="5"/>
  <c r="T368" i="5"/>
  <c r="S368" i="5"/>
  <c r="R368" i="5"/>
  <c r="Q368" i="5"/>
  <c r="P368" i="5"/>
  <c r="O368" i="5"/>
  <c r="N368" i="5"/>
  <c r="M368" i="5"/>
  <c r="L368" i="5"/>
  <c r="K368" i="5"/>
  <c r="J368" i="5"/>
  <c r="I368" i="5"/>
  <c r="H368" i="5"/>
  <c r="G368" i="5"/>
  <c r="F368" i="5"/>
  <c r="E368" i="5"/>
  <c r="D368" i="5"/>
  <c r="C368" i="5"/>
  <c r="B368" i="5"/>
  <c r="A368" i="5"/>
  <c r="CS367" i="5"/>
  <c r="CM367" i="5"/>
  <c r="CG367" i="5"/>
  <c r="CF367" i="5"/>
  <c r="CE367" i="5"/>
  <c r="CD367" i="5"/>
  <c r="CC367" i="5"/>
  <c r="CB367" i="5"/>
  <c r="CA367" i="5"/>
  <c r="BY367" i="5"/>
  <c r="BW367" i="5"/>
  <c r="BV367" i="5"/>
  <c r="BU367" i="5"/>
  <c r="BQ367" i="5"/>
  <c r="BP367" i="5"/>
  <c r="BO367" i="5"/>
  <c r="BM367" i="5"/>
  <c r="BF367" i="5"/>
  <c r="BC367" i="5"/>
  <c r="AZ367" i="5"/>
  <c r="AY367" i="5"/>
  <c r="AX367" i="5"/>
  <c r="AW367" i="5"/>
  <c r="AV367" i="5"/>
  <c r="AU367" i="5"/>
  <c r="AT367" i="5"/>
  <c r="AR367" i="5"/>
  <c r="AQ367" i="5"/>
  <c r="AP367" i="5"/>
  <c r="AO367" i="5"/>
  <c r="AN367" i="5"/>
  <c r="AM367" i="5"/>
  <c r="AL367" i="5"/>
  <c r="AH367" i="5"/>
  <c r="AF367" i="5"/>
  <c r="AD367" i="5"/>
  <c r="AB367" i="5"/>
  <c r="Y367" i="5"/>
  <c r="X367" i="5"/>
  <c r="W367" i="5"/>
  <c r="V367" i="5"/>
  <c r="U367" i="5"/>
  <c r="T367" i="5"/>
  <c r="S367" i="5"/>
  <c r="R367" i="5"/>
  <c r="Q367" i="5"/>
  <c r="P367" i="5"/>
  <c r="O367" i="5"/>
  <c r="N367" i="5"/>
  <c r="M367" i="5"/>
  <c r="L367" i="5"/>
  <c r="K367" i="5"/>
  <c r="J367" i="5"/>
  <c r="I367" i="5"/>
  <c r="H367" i="5"/>
  <c r="G367" i="5"/>
  <c r="F367" i="5"/>
  <c r="E367" i="5"/>
  <c r="D367" i="5"/>
  <c r="C367" i="5"/>
  <c r="B367" i="5"/>
  <c r="A367" i="5"/>
  <c r="CS366" i="5"/>
  <c r="CM366" i="5"/>
  <c r="CG366" i="5"/>
  <c r="CF366" i="5"/>
  <c r="CE366" i="5"/>
  <c r="CD366" i="5"/>
  <c r="CC366" i="5"/>
  <c r="CB366" i="5"/>
  <c r="CA366" i="5"/>
  <c r="BY366" i="5"/>
  <c r="BW366" i="5"/>
  <c r="BV366" i="5"/>
  <c r="BU366" i="5"/>
  <c r="BQ366" i="5"/>
  <c r="BP366" i="5"/>
  <c r="BO366" i="5"/>
  <c r="BM366" i="5"/>
  <c r="BF366" i="5"/>
  <c r="BC366" i="5"/>
  <c r="AZ366" i="5"/>
  <c r="AY366" i="5"/>
  <c r="AX366" i="5"/>
  <c r="AW366" i="5"/>
  <c r="AV366" i="5"/>
  <c r="AU366" i="5"/>
  <c r="AT366" i="5"/>
  <c r="AR366" i="5"/>
  <c r="AQ366" i="5"/>
  <c r="AP366" i="5"/>
  <c r="AO366" i="5"/>
  <c r="AN366" i="5"/>
  <c r="AM366" i="5"/>
  <c r="AL366" i="5"/>
  <c r="AH366" i="5"/>
  <c r="AF366" i="5"/>
  <c r="AD366" i="5"/>
  <c r="AB366" i="5"/>
  <c r="Y366" i="5"/>
  <c r="X366" i="5"/>
  <c r="W366" i="5"/>
  <c r="V366" i="5"/>
  <c r="U366" i="5"/>
  <c r="T366" i="5"/>
  <c r="S366" i="5"/>
  <c r="R366" i="5"/>
  <c r="Q366" i="5"/>
  <c r="P366" i="5"/>
  <c r="O366" i="5"/>
  <c r="N366" i="5"/>
  <c r="M366" i="5"/>
  <c r="L366" i="5"/>
  <c r="K366" i="5"/>
  <c r="J366" i="5"/>
  <c r="I366" i="5"/>
  <c r="H366" i="5"/>
  <c r="G366" i="5"/>
  <c r="F366" i="5"/>
  <c r="E366" i="5"/>
  <c r="D366" i="5"/>
  <c r="C366" i="5"/>
  <c r="B366" i="5"/>
  <c r="A366" i="5"/>
  <c r="CS365" i="5"/>
  <c r="CM365" i="5"/>
  <c r="CG365" i="5"/>
  <c r="CF365" i="5"/>
  <c r="CE365" i="5"/>
  <c r="CD365" i="5"/>
  <c r="CC365" i="5"/>
  <c r="CB365" i="5"/>
  <c r="CA365" i="5"/>
  <c r="BY365" i="5"/>
  <c r="BW365" i="5"/>
  <c r="BV365" i="5"/>
  <c r="BU365" i="5"/>
  <c r="BQ365" i="5"/>
  <c r="BP365" i="5"/>
  <c r="BO365" i="5"/>
  <c r="BM365" i="5"/>
  <c r="BF365" i="5"/>
  <c r="BC365" i="5"/>
  <c r="AZ365" i="5"/>
  <c r="AY365" i="5"/>
  <c r="AX365" i="5"/>
  <c r="AW365" i="5"/>
  <c r="AV365" i="5"/>
  <c r="AU365" i="5"/>
  <c r="AT365" i="5"/>
  <c r="AR365" i="5"/>
  <c r="AQ365" i="5"/>
  <c r="AP365" i="5"/>
  <c r="AO365" i="5"/>
  <c r="AN365" i="5"/>
  <c r="AM365" i="5"/>
  <c r="AL365" i="5"/>
  <c r="AH365" i="5"/>
  <c r="AF365" i="5"/>
  <c r="AD365" i="5"/>
  <c r="AB365" i="5"/>
  <c r="Y365" i="5"/>
  <c r="X365" i="5"/>
  <c r="W365" i="5"/>
  <c r="V365" i="5"/>
  <c r="U365" i="5"/>
  <c r="T365" i="5"/>
  <c r="S365" i="5"/>
  <c r="R365" i="5"/>
  <c r="Q365" i="5"/>
  <c r="P365" i="5"/>
  <c r="O365" i="5"/>
  <c r="N365" i="5"/>
  <c r="M365" i="5"/>
  <c r="L365" i="5"/>
  <c r="K365" i="5"/>
  <c r="J365" i="5"/>
  <c r="I365" i="5"/>
  <c r="H365" i="5"/>
  <c r="G365" i="5"/>
  <c r="F365" i="5"/>
  <c r="E365" i="5"/>
  <c r="D365" i="5"/>
  <c r="C365" i="5"/>
  <c r="B365" i="5"/>
  <c r="A365" i="5"/>
  <c r="CS364" i="5"/>
  <c r="CM364" i="5"/>
  <c r="CG364" i="5"/>
  <c r="CF364" i="5"/>
  <c r="CE364" i="5"/>
  <c r="CD364" i="5"/>
  <c r="CC364" i="5"/>
  <c r="CB364" i="5"/>
  <c r="CA364" i="5"/>
  <c r="BZ364" i="5"/>
  <c r="BY364" i="5"/>
  <c r="BW364" i="5"/>
  <c r="BV364" i="5"/>
  <c r="BU364" i="5"/>
  <c r="BS364" i="5"/>
  <c r="BR364" i="5"/>
  <c r="BQ364" i="5"/>
  <c r="BP364" i="5"/>
  <c r="BO364" i="5"/>
  <c r="BM364" i="5"/>
  <c r="BF364" i="5"/>
  <c r="BC364" i="5"/>
  <c r="AZ364" i="5"/>
  <c r="AY364" i="5"/>
  <c r="AX364" i="5"/>
  <c r="AW364" i="5"/>
  <c r="AV364" i="5"/>
  <c r="AU364" i="5"/>
  <c r="AT364" i="5"/>
  <c r="AR364" i="5"/>
  <c r="AQ364" i="5"/>
  <c r="AP364" i="5"/>
  <c r="AO364" i="5"/>
  <c r="AN364" i="5"/>
  <c r="AM364" i="5"/>
  <c r="AL364" i="5"/>
  <c r="AH364" i="5"/>
  <c r="AF364" i="5"/>
  <c r="AD364" i="5"/>
  <c r="AB364" i="5"/>
  <c r="Y364" i="5"/>
  <c r="X364" i="5"/>
  <c r="W364" i="5"/>
  <c r="V364" i="5"/>
  <c r="U364" i="5"/>
  <c r="T364" i="5"/>
  <c r="S364" i="5"/>
  <c r="R364" i="5"/>
  <c r="Q364" i="5"/>
  <c r="P364" i="5"/>
  <c r="O364" i="5"/>
  <c r="N364" i="5"/>
  <c r="M364" i="5"/>
  <c r="L364" i="5"/>
  <c r="K364" i="5"/>
  <c r="J364" i="5"/>
  <c r="I364" i="5"/>
  <c r="H364" i="5"/>
  <c r="G364" i="5"/>
  <c r="F364" i="5"/>
  <c r="E364" i="5"/>
  <c r="D364" i="5"/>
  <c r="C364" i="5"/>
  <c r="B364" i="5"/>
  <c r="A364" i="5"/>
  <c r="CS363" i="5"/>
  <c r="CM363" i="5"/>
  <c r="CG363" i="5"/>
  <c r="CF363" i="5"/>
  <c r="CE363" i="5"/>
  <c r="CD363" i="5"/>
  <c r="CC363" i="5"/>
  <c r="CB363" i="5"/>
  <c r="CA363" i="5"/>
  <c r="BY363" i="5"/>
  <c r="BW363" i="5"/>
  <c r="BV363" i="5"/>
  <c r="BU363" i="5"/>
  <c r="BQ363" i="5"/>
  <c r="BP363" i="5"/>
  <c r="BO363" i="5"/>
  <c r="BM363" i="5"/>
  <c r="BF363" i="5"/>
  <c r="BC363" i="5"/>
  <c r="AZ363" i="5"/>
  <c r="AY363" i="5"/>
  <c r="AX363" i="5"/>
  <c r="AW363" i="5"/>
  <c r="AV363" i="5"/>
  <c r="AU363" i="5"/>
  <c r="AT363" i="5"/>
  <c r="AR363" i="5"/>
  <c r="AQ363" i="5"/>
  <c r="AP363" i="5"/>
  <c r="AO363" i="5"/>
  <c r="AN363" i="5"/>
  <c r="AM363" i="5"/>
  <c r="AL363" i="5"/>
  <c r="AH363" i="5"/>
  <c r="AF363" i="5"/>
  <c r="AD363" i="5"/>
  <c r="AB363" i="5"/>
  <c r="Y363" i="5"/>
  <c r="X363" i="5"/>
  <c r="W363" i="5"/>
  <c r="V363" i="5"/>
  <c r="U363" i="5"/>
  <c r="T363" i="5"/>
  <c r="S363" i="5"/>
  <c r="R363" i="5"/>
  <c r="Q363" i="5"/>
  <c r="P363" i="5"/>
  <c r="O363" i="5"/>
  <c r="N363" i="5"/>
  <c r="M363" i="5"/>
  <c r="L363" i="5"/>
  <c r="K363" i="5"/>
  <c r="J363" i="5"/>
  <c r="I363" i="5"/>
  <c r="H363" i="5"/>
  <c r="G363" i="5"/>
  <c r="F363" i="5"/>
  <c r="E363" i="5"/>
  <c r="D363" i="5"/>
  <c r="C363" i="5"/>
  <c r="B363" i="5"/>
  <c r="A363" i="5"/>
  <c r="CS362" i="5"/>
  <c r="CM362" i="5"/>
  <c r="CG362" i="5"/>
  <c r="CF362" i="5"/>
  <c r="CE362" i="5"/>
  <c r="CD362" i="5"/>
  <c r="CC362" i="5"/>
  <c r="CB362" i="5"/>
  <c r="CA362" i="5"/>
  <c r="BY362" i="5"/>
  <c r="BW362" i="5"/>
  <c r="BV362" i="5"/>
  <c r="BU362" i="5"/>
  <c r="BQ362" i="5"/>
  <c r="BP362" i="5"/>
  <c r="BO362" i="5"/>
  <c r="BM362" i="5"/>
  <c r="BF362" i="5"/>
  <c r="BC362" i="5"/>
  <c r="AZ362" i="5"/>
  <c r="AY362" i="5"/>
  <c r="AX362" i="5"/>
  <c r="AW362" i="5"/>
  <c r="AV362" i="5"/>
  <c r="AU362" i="5"/>
  <c r="AT362" i="5"/>
  <c r="AR362" i="5"/>
  <c r="AQ362" i="5"/>
  <c r="AP362" i="5"/>
  <c r="AO362" i="5"/>
  <c r="AN362" i="5"/>
  <c r="AM362" i="5"/>
  <c r="AL362" i="5"/>
  <c r="AH362" i="5"/>
  <c r="AF362" i="5"/>
  <c r="AD362" i="5"/>
  <c r="AB362" i="5"/>
  <c r="Y362" i="5"/>
  <c r="X362" i="5"/>
  <c r="W362" i="5"/>
  <c r="V362" i="5"/>
  <c r="U362" i="5"/>
  <c r="T362" i="5"/>
  <c r="S362" i="5"/>
  <c r="R362" i="5"/>
  <c r="Q362" i="5"/>
  <c r="P362" i="5"/>
  <c r="O362" i="5"/>
  <c r="N362" i="5"/>
  <c r="M362" i="5"/>
  <c r="L362" i="5"/>
  <c r="K362" i="5"/>
  <c r="J362" i="5"/>
  <c r="I362" i="5"/>
  <c r="H362" i="5"/>
  <c r="G362" i="5"/>
  <c r="F362" i="5"/>
  <c r="E362" i="5"/>
  <c r="D362" i="5"/>
  <c r="C362" i="5"/>
  <c r="B362" i="5"/>
  <c r="A362" i="5"/>
  <c r="CS361" i="5"/>
  <c r="CM361" i="5"/>
  <c r="CG361" i="5"/>
  <c r="CF361" i="5"/>
  <c r="CE361" i="5"/>
  <c r="CD361" i="5"/>
  <c r="CC361" i="5"/>
  <c r="CB361" i="5"/>
  <c r="CA361" i="5"/>
  <c r="BY361" i="5"/>
  <c r="BW361" i="5"/>
  <c r="BV361" i="5"/>
  <c r="BU361" i="5"/>
  <c r="BQ361" i="5"/>
  <c r="BP361" i="5"/>
  <c r="BO361" i="5"/>
  <c r="BM361" i="5"/>
  <c r="BF361" i="5"/>
  <c r="BC361" i="5"/>
  <c r="AZ361" i="5"/>
  <c r="AY361" i="5"/>
  <c r="AX361" i="5"/>
  <c r="AW361" i="5"/>
  <c r="AV361" i="5"/>
  <c r="AU361" i="5"/>
  <c r="AT361" i="5"/>
  <c r="AR361" i="5"/>
  <c r="AQ361" i="5"/>
  <c r="AP361" i="5"/>
  <c r="AO361" i="5"/>
  <c r="AN361" i="5"/>
  <c r="AM361" i="5"/>
  <c r="AL361" i="5"/>
  <c r="AH361" i="5"/>
  <c r="AF361" i="5"/>
  <c r="AD361" i="5"/>
  <c r="AB361" i="5"/>
  <c r="Y361" i="5"/>
  <c r="X361" i="5"/>
  <c r="W361" i="5"/>
  <c r="V361" i="5"/>
  <c r="U361" i="5"/>
  <c r="T361" i="5"/>
  <c r="S361" i="5"/>
  <c r="R361" i="5"/>
  <c r="Q361" i="5"/>
  <c r="P361" i="5"/>
  <c r="O361" i="5"/>
  <c r="N361" i="5"/>
  <c r="M361" i="5"/>
  <c r="L361" i="5"/>
  <c r="K361" i="5"/>
  <c r="J361" i="5"/>
  <c r="I361" i="5"/>
  <c r="H361" i="5"/>
  <c r="G361" i="5"/>
  <c r="F361" i="5"/>
  <c r="E361" i="5"/>
  <c r="D361" i="5"/>
  <c r="C361" i="5"/>
  <c r="B361" i="5"/>
  <c r="A361" i="5"/>
  <c r="CS360" i="5"/>
  <c r="CM360" i="5"/>
  <c r="CG360" i="5"/>
  <c r="CF360" i="5"/>
  <c r="CE360" i="5"/>
  <c r="CD360" i="5"/>
  <c r="CC360" i="5"/>
  <c r="CB360" i="5"/>
  <c r="CA360" i="5"/>
  <c r="BY360" i="5"/>
  <c r="BX360" i="5"/>
  <c r="BW360" i="5"/>
  <c r="BV360" i="5"/>
  <c r="BU360" i="5"/>
  <c r="BQ360" i="5"/>
  <c r="BP360" i="5"/>
  <c r="BO360" i="5"/>
  <c r="BM360" i="5"/>
  <c r="BF360" i="5"/>
  <c r="BC360" i="5"/>
  <c r="AZ360" i="5"/>
  <c r="AY360" i="5"/>
  <c r="AX360" i="5"/>
  <c r="AW360" i="5"/>
  <c r="AV360" i="5"/>
  <c r="AU360" i="5"/>
  <c r="AT360" i="5"/>
  <c r="AR360" i="5"/>
  <c r="AQ360" i="5"/>
  <c r="AP360" i="5"/>
  <c r="AO360" i="5"/>
  <c r="AN360" i="5"/>
  <c r="AM360" i="5"/>
  <c r="AL360" i="5"/>
  <c r="AH360" i="5"/>
  <c r="AF360" i="5"/>
  <c r="AD360" i="5"/>
  <c r="AB360" i="5"/>
  <c r="Y360" i="5"/>
  <c r="X360" i="5"/>
  <c r="W360" i="5"/>
  <c r="V360" i="5"/>
  <c r="U360" i="5"/>
  <c r="T360" i="5"/>
  <c r="S360" i="5"/>
  <c r="R360" i="5"/>
  <c r="Q360" i="5"/>
  <c r="P360" i="5"/>
  <c r="O360" i="5"/>
  <c r="N360" i="5"/>
  <c r="M360" i="5"/>
  <c r="L360" i="5"/>
  <c r="K360" i="5"/>
  <c r="J360" i="5"/>
  <c r="I360" i="5"/>
  <c r="H360" i="5"/>
  <c r="G360" i="5"/>
  <c r="F360" i="5"/>
  <c r="E360" i="5"/>
  <c r="D360" i="5"/>
  <c r="C360" i="5"/>
  <c r="B360" i="5"/>
  <c r="A360" i="5"/>
  <c r="CS359" i="5"/>
  <c r="CM359" i="5"/>
  <c r="CG359" i="5"/>
  <c r="CF359" i="5"/>
  <c r="CE359" i="5"/>
  <c r="CD359" i="5"/>
  <c r="CC359" i="5"/>
  <c r="CB359" i="5"/>
  <c r="CA359" i="5"/>
  <c r="BZ359" i="5"/>
  <c r="BY359" i="5"/>
  <c r="BW359" i="5"/>
  <c r="BV359" i="5"/>
  <c r="BU359" i="5"/>
  <c r="BS359" i="5"/>
  <c r="BR359" i="5"/>
  <c r="BQ359" i="5"/>
  <c r="BP359" i="5"/>
  <c r="BO359" i="5"/>
  <c r="BM359" i="5"/>
  <c r="BF359" i="5"/>
  <c r="BC359" i="5"/>
  <c r="AZ359" i="5"/>
  <c r="AY359" i="5"/>
  <c r="AX359" i="5"/>
  <c r="AW359" i="5"/>
  <c r="AV359" i="5"/>
  <c r="AU359" i="5"/>
  <c r="AT359" i="5"/>
  <c r="AR359" i="5"/>
  <c r="AQ359" i="5"/>
  <c r="AP359" i="5"/>
  <c r="AO359" i="5"/>
  <c r="AN359" i="5"/>
  <c r="AM359" i="5"/>
  <c r="AL359" i="5"/>
  <c r="AH359" i="5"/>
  <c r="AF359" i="5"/>
  <c r="AD359" i="5"/>
  <c r="AB359" i="5"/>
  <c r="Y359" i="5"/>
  <c r="X359" i="5"/>
  <c r="W359" i="5"/>
  <c r="V359" i="5"/>
  <c r="U359" i="5"/>
  <c r="T359" i="5"/>
  <c r="S359" i="5"/>
  <c r="R359" i="5"/>
  <c r="Q359" i="5"/>
  <c r="P359" i="5"/>
  <c r="O359" i="5"/>
  <c r="N359" i="5"/>
  <c r="M359" i="5"/>
  <c r="L359" i="5"/>
  <c r="K359" i="5"/>
  <c r="J359" i="5"/>
  <c r="I359" i="5"/>
  <c r="H359" i="5"/>
  <c r="G359" i="5"/>
  <c r="F359" i="5"/>
  <c r="E359" i="5"/>
  <c r="D359" i="5"/>
  <c r="C359" i="5"/>
  <c r="B359" i="5"/>
  <c r="A359" i="5"/>
  <c r="CS358" i="5"/>
  <c r="CM358" i="5"/>
  <c r="CG358" i="5"/>
  <c r="CF358" i="5"/>
  <c r="CE358" i="5"/>
  <c r="CD358" i="5"/>
  <c r="CC358" i="5"/>
  <c r="CB358" i="5"/>
  <c r="CA358" i="5"/>
  <c r="BY358" i="5"/>
  <c r="BX358" i="5"/>
  <c r="BW358" i="5"/>
  <c r="BV358" i="5"/>
  <c r="BU358" i="5"/>
  <c r="BQ358" i="5"/>
  <c r="BP358" i="5"/>
  <c r="BO358" i="5"/>
  <c r="BM358" i="5"/>
  <c r="BF358" i="5"/>
  <c r="BC358" i="5"/>
  <c r="AY358" i="5"/>
  <c r="AX358" i="5"/>
  <c r="AW358" i="5"/>
  <c r="AV358" i="5"/>
  <c r="AU358" i="5"/>
  <c r="AT358" i="5"/>
  <c r="AR358" i="5"/>
  <c r="AQ358" i="5"/>
  <c r="AP358" i="5"/>
  <c r="AO358" i="5"/>
  <c r="AN358" i="5"/>
  <c r="AM358" i="5"/>
  <c r="AL358" i="5"/>
  <c r="AH358" i="5"/>
  <c r="AF358" i="5"/>
  <c r="AD358" i="5"/>
  <c r="AB358" i="5"/>
  <c r="Y358" i="5"/>
  <c r="X358" i="5"/>
  <c r="W358" i="5"/>
  <c r="V358" i="5"/>
  <c r="U358" i="5"/>
  <c r="T358" i="5"/>
  <c r="S358" i="5"/>
  <c r="R358" i="5"/>
  <c r="Q358" i="5"/>
  <c r="P358" i="5"/>
  <c r="O358" i="5"/>
  <c r="N358" i="5"/>
  <c r="M358" i="5"/>
  <c r="L358" i="5"/>
  <c r="K358" i="5"/>
  <c r="J358" i="5"/>
  <c r="I358" i="5"/>
  <c r="H358" i="5"/>
  <c r="G358" i="5"/>
  <c r="F358" i="5"/>
  <c r="E358" i="5"/>
  <c r="D358" i="5"/>
  <c r="C358" i="5"/>
  <c r="B358" i="5"/>
  <c r="A358" i="5"/>
  <c r="CS357" i="5"/>
  <c r="CM357" i="5"/>
  <c r="CG357" i="5"/>
  <c r="CF357" i="5"/>
  <c r="CE357" i="5"/>
  <c r="CD357" i="5"/>
  <c r="CC357" i="5"/>
  <c r="CB357" i="5"/>
  <c r="CA357" i="5"/>
  <c r="BY357" i="5"/>
  <c r="BW357" i="5"/>
  <c r="BV357" i="5"/>
  <c r="BU357" i="5"/>
  <c r="BQ357" i="5"/>
  <c r="BP357" i="5"/>
  <c r="BO357" i="5"/>
  <c r="BM357" i="5"/>
  <c r="BF357" i="5"/>
  <c r="BC357" i="5"/>
  <c r="AZ357" i="5"/>
  <c r="AY357" i="5"/>
  <c r="AX357" i="5"/>
  <c r="AW357" i="5"/>
  <c r="AV357" i="5"/>
  <c r="AU357" i="5"/>
  <c r="AT357" i="5"/>
  <c r="AR357" i="5"/>
  <c r="AQ357" i="5"/>
  <c r="AP357" i="5"/>
  <c r="AO357" i="5"/>
  <c r="AN357" i="5"/>
  <c r="AM357" i="5"/>
  <c r="AL357" i="5"/>
  <c r="AH357" i="5"/>
  <c r="AF357" i="5"/>
  <c r="AD357" i="5"/>
  <c r="AB357" i="5"/>
  <c r="Y357" i="5"/>
  <c r="X357" i="5"/>
  <c r="W357" i="5"/>
  <c r="V357" i="5"/>
  <c r="U357" i="5"/>
  <c r="T357" i="5"/>
  <c r="S357" i="5"/>
  <c r="R357" i="5"/>
  <c r="Q357" i="5"/>
  <c r="P357" i="5"/>
  <c r="O357" i="5"/>
  <c r="N357" i="5"/>
  <c r="M357" i="5"/>
  <c r="L357" i="5"/>
  <c r="K357" i="5"/>
  <c r="J357" i="5"/>
  <c r="I357" i="5"/>
  <c r="H357" i="5"/>
  <c r="G357" i="5"/>
  <c r="F357" i="5"/>
  <c r="E357" i="5"/>
  <c r="D357" i="5"/>
  <c r="C357" i="5"/>
  <c r="B357" i="5"/>
  <c r="A357" i="5"/>
  <c r="CS356" i="5"/>
  <c r="CM356" i="5"/>
  <c r="CG356" i="5"/>
  <c r="CF356" i="5"/>
  <c r="CE356" i="5"/>
  <c r="CD356" i="5"/>
  <c r="CC356" i="5"/>
  <c r="CB356" i="5"/>
  <c r="CA356" i="5"/>
  <c r="BY356" i="5"/>
  <c r="BW356" i="5"/>
  <c r="BV356" i="5"/>
  <c r="BU356" i="5"/>
  <c r="BQ356" i="5"/>
  <c r="BP356" i="5"/>
  <c r="BO356" i="5"/>
  <c r="BM356" i="5"/>
  <c r="BF356" i="5"/>
  <c r="BC356" i="5"/>
  <c r="AY356" i="5"/>
  <c r="AX356" i="5"/>
  <c r="AW356" i="5"/>
  <c r="AV356" i="5"/>
  <c r="AU356" i="5"/>
  <c r="AT356" i="5"/>
  <c r="AR356" i="5"/>
  <c r="AQ356" i="5"/>
  <c r="AP356" i="5"/>
  <c r="AO356" i="5"/>
  <c r="AN356" i="5"/>
  <c r="AM356" i="5"/>
  <c r="AL356" i="5"/>
  <c r="AH356" i="5"/>
  <c r="AF356" i="5"/>
  <c r="AD356" i="5"/>
  <c r="AB356" i="5"/>
  <c r="Y356" i="5"/>
  <c r="X356" i="5"/>
  <c r="W356" i="5"/>
  <c r="V356" i="5"/>
  <c r="U356" i="5"/>
  <c r="T356" i="5"/>
  <c r="S356" i="5"/>
  <c r="R356" i="5"/>
  <c r="Q356" i="5"/>
  <c r="P356" i="5"/>
  <c r="O356" i="5"/>
  <c r="N356" i="5"/>
  <c r="M356" i="5"/>
  <c r="L356" i="5"/>
  <c r="K356" i="5"/>
  <c r="J356" i="5"/>
  <c r="I356" i="5"/>
  <c r="H356" i="5"/>
  <c r="G356" i="5"/>
  <c r="F356" i="5"/>
  <c r="E356" i="5"/>
  <c r="D356" i="5"/>
  <c r="C356" i="5"/>
  <c r="B356" i="5"/>
  <c r="A356" i="5"/>
  <c r="CS355" i="5"/>
  <c r="CM355" i="5"/>
  <c r="CG355" i="5"/>
  <c r="CF355" i="5"/>
  <c r="CE355" i="5"/>
  <c r="CD355" i="5"/>
  <c r="CC355" i="5"/>
  <c r="CB355" i="5"/>
  <c r="CA355" i="5"/>
  <c r="BY355" i="5"/>
  <c r="BX355" i="5"/>
  <c r="BW355" i="5"/>
  <c r="BV355" i="5"/>
  <c r="BU355" i="5"/>
  <c r="BQ355" i="5"/>
  <c r="BP355" i="5"/>
  <c r="BO355" i="5"/>
  <c r="BM355" i="5"/>
  <c r="BF355" i="5"/>
  <c r="BC355" i="5"/>
  <c r="AY355" i="5"/>
  <c r="AX355" i="5"/>
  <c r="AW355" i="5"/>
  <c r="AV355" i="5"/>
  <c r="AU355" i="5"/>
  <c r="AT355" i="5"/>
  <c r="AR355" i="5"/>
  <c r="AQ355" i="5"/>
  <c r="AP355" i="5"/>
  <c r="AO355" i="5"/>
  <c r="AN355" i="5"/>
  <c r="AM355" i="5"/>
  <c r="AL355" i="5"/>
  <c r="AH355" i="5"/>
  <c r="AF355" i="5"/>
  <c r="AD355" i="5"/>
  <c r="AB355" i="5"/>
  <c r="Y355" i="5"/>
  <c r="X355" i="5"/>
  <c r="W355" i="5"/>
  <c r="V355" i="5"/>
  <c r="U355" i="5"/>
  <c r="T355" i="5"/>
  <c r="S355" i="5"/>
  <c r="R355" i="5"/>
  <c r="Q355" i="5"/>
  <c r="P355" i="5"/>
  <c r="O355" i="5"/>
  <c r="N355" i="5"/>
  <c r="M355" i="5"/>
  <c r="L355" i="5"/>
  <c r="K355" i="5"/>
  <c r="J355" i="5"/>
  <c r="I355" i="5"/>
  <c r="H355" i="5"/>
  <c r="G355" i="5"/>
  <c r="F355" i="5"/>
  <c r="E355" i="5"/>
  <c r="D355" i="5"/>
  <c r="C355" i="5"/>
  <c r="B355" i="5"/>
  <c r="A355" i="5"/>
  <c r="CS354" i="5"/>
  <c r="CM354" i="5"/>
  <c r="CG354" i="5"/>
  <c r="CF354" i="5"/>
  <c r="CE354" i="5"/>
  <c r="CD354" i="5"/>
  <c r="CC354" i="5"/>
  <c r="CB354" i="5"/>
  <c r="CA354" i="5"/>
  <c r="BY354" i="5"/>
  <c r="BW354" i="5"/>
  <c r="BV354" i="5"/>
  <c r="BU354" i="5"/>
  <c r="BQ354" i="5"/>
  <c r="BP354" i="5"/>
  <c r="BO354" i="5"/>
  <c r="BM354" i="5"/>
  <c r="BF354" i="5"/>
  <c r="BC354" i="5"/>
  <c r="AY354" i="5"/>
  <c r="AX354" i="5"/>
  <c r="AW354" i="5"/>
  <c r="AV354" i="5"/>
  <c r="AU354" i="5"/>
  <c r="AT354" i="5"/>
  <c r="AR354" i="5"/>
  <c r="AQ354" i="5"/>
  <c r="AP354" i="5"/>
  <c r="AO354" i="5"/>
  <c r="AN354" i="5"/>
  <c r="AM354" i="5"/>
  <c r="AL354" i="5"/>
  <c r="AH354" i="5"/>
  <c r="AF354" i="5"/>
  <c r="AD354" i="5"/>
  <c r="AB354" i="5"/>
  <c r="Y354" i="5"/>
  <c r="X354" i="5"/>
  <c r="W354" i="5"/>
  <c r="V354" i="5"/>
  <c r="U354" i="5"/>
  <c r="T354" i="5"/>
  <c r="S354" i="5"/>
  <c r="R354" i="5"/>
  <c r="Q354" i="5"/>
  <c r="P354" i="5"/>
  <c r="O354" i="5"/>
  <c r="N354" i="5"/>
  <c r="M354" i="5"/>
  <c r="L354" i="5"/>
  <c r="K354" i="5"/>
  <c r="J354" i="5"/>
  <c r="I354" i="5"/>
  <c r="H354" i="5"/>
  <c r="G354" i="5"/>
  <c r="F354" i="5"/>
  <c r="E354" i="5"/>
  <c r="D354" i="5"/>
  <c r="C354" i="5"/>
  <c r="B354" i="5"/>
  <c r="A354" i="5"/>
  <c r="CS353" i="5"/>
  <c r="CM353" i="5"/>
  <c r="CG353" i="5"/>
  <c r="CF353" i="5"/>
  <c r="CE353" i="5"/>
  <c r="CD353" i="5"/>
  <c r="CC353" i="5"/>
  <c r="CB353" i="5"/>
  <c r="CA353" i="5"/>
  <c r="BY353" i="5"/>
  <c r="BX353" i="5"/>
  <c r="BW353" i="5"/>
  <c r="BV353" i="5"/>
  <c r="BU353" i="5"/>
  <c r="BQ353" i="5"/>
  <c r="BP353" i="5"/>
  <c r="BO353" i="5"/>
  <c r="BM353" i="5"/>
  <c r="BF353" i="5"/>
  <c r="BC353" i="5"/>
  <c r="AY353" i="5"/>
  <c r="AX353" i="5"/>
  <c r="AW353" i="5"/>
  <c r="AV353" i="5"/>
  <c r="AU353" i="5"/>
  <c r="AT353" i="5"/>
  <c r="AR353" i="5"/>
  <c r="AQ353" i="5"/>
  <c r="AP353" i="5"/>
  <c r="AO353" i="5"/>
  <c r="AN353" i="5"/>
  <c r="AM353" i="5"/>
  <c r="AL353" i="5"/>
  <c r="AH353" i="5"/>
  <c r="AF353" i="5"/>
  <c r="AD353" i="5"/>
  <c r="AB353" i="5"/>
  <c r="Y353" i="5"/>
  <c r="X353" i="5"/>
  <c r="W353" i="5"/>
  <c r="V353" i="5"/>
  <c r="U353" i="5"/>
  <c r="T353" i="5"/>
  <c r="S353" i="5"/>
  <c r="R353" i="5"/>
  <c r="Q353" i="5"/>
  <c r="P353" i="5"/>
  <c r="O353" i="5"/>
  <c r="N353" i="5"/>
  <c r="M353" i="5"/>
  <c r="L353" i="5"/>
  <c r="K353" i="5"/>
  <c r="J353" i="5"/>
  <c r="I353" i="5"/>
  <c r="H353" i="5"/>
  <c r="G353" i="5"/>
  <c r="F353" i="5"/>
  <c r="E353" i="5"/>
  <c r="D353" i="5"/>
  <c r="C353" i="5"/>
  <c r="B353" i="5"/>
  <c r="A353" i="5"/>
  <c r="CS352" i="5"/>
  <c r="CM352" i="5"/>
  <c r="CG352" i="5"/>
  <c r="CF352" i="5"/>
  <c r="CE352" i="5"/>
  <c r="CD352" i="5"/>
  <c r="CC352" i="5"/>
  <c r="CB352" i="5"/>
  <c r="CA352" i="5"/>
  <c r="BY352" i="5"/>
  <c r="BW352" i="5"/>
  <c r="BV352" i="5"/>
  <c r="BU352" i="5"/>
  <c r="BQ352" i="5"/>
  <c r="BP352" i="5"/>
  <c r="BO352" i="5"/>
  <c r="BM352" i="5"/>
  <c r="BF352" i="5"/>
  <c r="BC352" i="5"/>
  <c r="AY352" i="5"/>
  <c r="AX352" i="5"/>
  <c r="AW352" i="5"/>
  <c r="AV352" i="5"/>
  <c r="AU352" i="5"/>
  <c r="AT352" i="5"/>
  <c r="AR352" i="5"/>
  <c r="AQ352" i="5"/>
  <c r="AP352" i="5"/>
  <c r="AO352" i="5"/>
  <c r="AN352" i="5"/>
  <c r="AM352" i="5"/>
  <c r="AL352" i="5"/>
  <c r="AH352" i="5"/>
  <c r="AF352" i="5"/>
  <c r="AD352" i="5"/>
  <c r="AB352" i="5"/>
  <c r="Z352" i="5"/>
  <c r="X352" i="5"/>
  <c r="W352" i="5"/>
  <c r="V352" i="5"/>
  <c r="U352" i="5"/>
  <c r="T352" i="5"/>
  <c r="S352" i="5"/>
  <c r="R352" i="5"/>
  <c r="Q352" i="5"/>
  <c r="P352" i="5"/>
  <c r="O352" i="5"/>
  <c r="N352" i="5"/>
  <c r="M352" i="5"/>
  <c r="L352" i="5"/>
  <c r="K352" i="5"/>
  <c r="J352" i="5"/>
  <c r="I352" i="5"/>
  <c r="H352" i="5"/>
  <c r="G352" i="5"/>
  <c r="F352" i="5"/>
  <c r="E352" i="5"/>
  <c r="D352" i="5"/>
  <c r="C352" i="5"/>
  <c r="B352" i="5"/>
  <c r="A352" i="5"/>
  <c r="CS351" i="5"/>
  <c r="CM351" i="5"/>
  <c r="CG351" i="5"/>
  <c r="CF351" i="5"/>
  <c r="CE351" i="5"/>
  <c r="CD351" i="5"/>
  <c r="CC351" i="5"/>
  <c r="CB351" i="5"/>
  <c r="CA351" i="5"/>
  <c r="BY351" i="5"/>
  <c r="BW351" i="5"/>
  <c r="BV351" i="5"/>
  <c r="BU351" i="5"/>
  <c r="BQ351" i="5"/>
  <c r="BP351" i="5"/>
  <c r="BO351" i="5"/>
  <c r="BM351" i="5"/>
  <c r="BF351" i="5"/>
  <c r="BC351" i="5"/>
  <c r="AY351" i="5"/>
  <c r="AX351" i="5"/>
  <c r="AW351" i="5"/>
  <c r="AV351" i="5"/>
  <c r="AU351" i="5"/>
  <c r="AT351" i="5"/>
  <c r="AR351" i="5"/>
  <c r="AQ351" i="5"/>
  <c r="AP351" i="5"/>
  <c r="AO351" i="5"/>
  <c r="AN351" i="5"/>
  <c r="AM351" i="5"/>
  <c r="AL351" i="5"/>
  <c r="AH351" i="5"/>
  <c r="AF351" i="5"/>
  <c r="AD351" i="5"/>
  <c r="AB351" i="5"/>
  <c r="Y351" i="5"/>
  <c r="X351" i="5"/>
  <c r="W351" i="5"/>
  <c r="V351" i="5"/>
  <c r="U351" i="5"/>
  <c r="T351" i="5"/>
  <c r="S351" i="5"/>
  <c r="R351" i="5"/>
  <c r="Q351" i="5"/>
  <c r="P351" i="5"/>
  <c r="O351" i="5"/>
  <c r="N351" i="5"/>
  <c r="M351" i="5"/>
  <c r="L351" i="5"/>
  <c r="K351" i="5"/>
  <c r="J351" i="5"/>
  <c r="I351" i="5"/>
  <c r="H351" i="5"/>
  <c r="G351" i="5"/>
  <c r="F351" i="5"/>
  <c r="E351" i="5"/>
  <c r="D351" i="5"/>
  <c r="C351" i="5"/>
  <c r="B351" i="5"/>
  <c r="A351" i="5"/>
  <c r="CS350" i="5"/>
  <c r="CM350" i="5"/>
  <c r="CG350" i="5"/>
  <c r="CF350" i="5"/>
  <c r="CE350" i="5"/>
  <c r="CD350" i="5"/>
  <c r="CC350" i="5"/>
  <c r="CB350" i="5"/>
  <c r="CA350" i="5"/>
  <c r="BY350" i="5"/>
  <c r="BW350" i="5"/>
  <c r="BV350" i="5"/>
  <c r="BU350" i="5"/>
  <c r="BQ350" i="5"/>
  <c r="BP350" i="5"/>
  <c r="BO350" i="5"/>
  <c r="BM350" i="5"/>
  <c r="BF350" i="5"/>
  <c r="BC350" i="5"/>
  <c r="AY350" i="5"/>
  <c r="AX350" i="5"/>
  <c r="AW350" i="5"/>
  <c r="AV350" i="5"/>
  <c r="AU350" i="5"/>
  <c r="AT350" i="5"/>
  <c r="AR350" i="5"/>
  <c r="AQ350" i="5"/>
  <c r="AP350" i="5"/>
  <c r="AO350" i="5"/>
  <c r="AN350" i="5"/>
  <c r="AM350" i="5"/>
  <c r="AL350" i="5"/>
  <c r="AH350" i="5"/>
  <c r="AF350" i="5"/>
  <c r="AD350" i="5"/>
  <c r="AB350" i="5"/>
  <c r="Y350" i="5"/>
  <c r="X350" i="5"/>
  <c r="W350" i="5"/>
  <c r="V350" i="5"/>
  <c r="U350" i="5"/>
  <c r="T350" i="5"/>
  <c r="S350" i="5"/>
  <c r="R350" i="5"/>
  <c r="Q350" i="5"/>
  <c r="P350" i="5"/>
  <c r="O350" i="5"/>
  <c r="N350" i="5"/>
  <c r="M350" i="5"/>
  <c r="L350" i="5"/>
  <c r="K350" i="5"/>
  <c r="J350" i="5"/>
  <c r="I350" i="5"/>
  <c r="H350" i="5"/>
  <c r="G350" i="5"/>
  <c r="F350" i="5"/>
  <c r="E350" i="5"/>
  <c r="D350" i="5"/>
  <c r="C350" i="5"/>
  <c r="B350" i="5"/>
  <c r="A350" i="5"/>
  <c r="CS349" i="5"/>
  <c r="CM349" i="5"/>
  <c r="CG349" i="5"/>
  <c r="CF349" i="5"/>
  <c r="CE349" i="5"/>
  <c r="CD349" i="5"/>
  <c r="CC349" i="5"/>
  <c r="CB349" i="5"/>
  <c r="CA349" i="5"/>
  <c r="BY349" i="5"/>
  <c r="BW349" i="5"/>
  <c r="BV349" i="5"/>
  <c r="BU349" i="5"/>
  <c r="BQ349" i="5"/>
  <c r="BP349" i="5"/>
  <c r="BO349" i="5"/>
  <c r="BN349" i="5"/>
  <c r="BM349" i="5"/>
  <c r="BG349" i="5"/>
  <c r="BF349" i="5"/>
  <c r="BC349" i="5"/>
  <c r="AY349" i="5"/>
  <c r="AX349" i="5"/>
  <c r="AW349" i="5"/>
  <c r="AV349" i="5"/>
  <c r="AU349" i="5"/>
  <c r="AT349" i="5"/>
  <c r="AS349" i="5"/>
  <c r="AR349" i="5"/>
  <c r="AQ349" i="5"/>
  <c r="AP349" i="5"/>
  <c r="AO349" i="5"/>
  <c r="AN349" i="5"/>
  <c r="AM349" i="5"/>
  <c r="AL349" i="5"/>
  <c r="AH349" i="5"/>
  <c r="AF349" i="5"/>
  <c r="AD349" i="5"/>
  <c r="AB349" i="5"/>
  <c r="Z349" i="5"/>
  <c r="X349" i="5"/>
  <c r="W349" i="5"/>
  <c r="V349" i="5"/>
  <c r="U349" i="5"/>
  <c r="T349" i="5"/>
  <c r="S349" i="5"/>
  <c r="R349" i="5"/>
  <c r="Q349" i="5"/>
  <c r="P349" i="5"/>
  <c r="O349" i="5"/>
  <c r="N349" i="5"/>
  <c r="M349" i="5"/>
  <c r="L349" i="5"/>
  <c r="K349" i="5"/>
  <c r="J349" i="5"/>
  <c r="I349" i="5"/>
  <c r="H349" i="5"/>
  <c r="G349" i="5"/>
  <c r="F349" i="5"/>
  <c r="E349" i="5"/>
  <c r="D349" i="5"/>
  <c r="C349" i="5"/>
  <c r="B349" i="5"/>
  <c r="A349" i="5"/>
  <c r="CS348" i="5"/>
  <c r="CM348" i="5"/>
  <c r="CG348" i="5"/>
  <c r="CF348" i="5"/>
  <c r="CE348" i="5"/>
  <c r="CD348" i="5"/>
  <c r="CC348" i="5"/>
  <c r="CB348" i="5"/>
  <c r="CA348" i="5"/>
  <c r="BZ348" i="5"/>
  <c r="BY348" i="5"/>
  <c r="BW348" i="5"/>
  <c r="BV348" i="5"/>
  <c r="BU348" i="5"/>
  <c r="BS348" i="5"/>
  <c r="BR348" i="5"/>
  <c r="BQ348" i="5"/>
  <c r="BP348" i="5"/>
  <c r="BO348" i="5"/>
  <c r="BN348" i="5"/>
  <c r="BM348" i="5"/>
  <c r="BG348" i="5"/>
  <c r="BF348" i="5"/>
  <c r="BC348" i="5"/>
  <c r="AY348" i="5"/>
  <c r="AX348" i="5"/>
  <c r="AW348" i="5"/>
  <c r="AV348" i="5"/>
  <c r="AU348" i="5"/>
  <c r="AT348" i="5"/>
  <c r="AS348" i="5"/>
  <c r="AR348" i="5"/>
  <c r="AQ348" i="5"/>
  <c r="AP348" i="5"/>
  <c r="AO348" i="5"/>
  <c r="AN348" i="5"/>
  <c r="AM348" i="5"/>
  <c r="AL348" i="5"/>
  <c r="AH348" i="5"/>
  <c r="AF348" i="5"/>
  <c r="AD348" i="5"/>
  <c r="AB348" i="5"/>
  <c r="Z348" i="5"/>
  <c r="X348" i="5"/>
  <c r="W348" i="5"/>
  <c r="V348" i="5"/>
  <c r="U348" i="5"/>
  <c r="T348" i="5"/>
  <c r="S348" i="5"/>
  <c r="R348" i="5"/>
  <c r="Q348" i="5"/>
  <c r="P348" i="5"/>
  <c r="O348" i="5"/>
  <c r="N348" i="5"/>
  <c r="M348" i="5"/>
  <c r="L348" i="5"/>
  <c r="K348" i="5"/>
  <c r="J348" i="5"/>
  <c r="I348" i="5"/>
  <c r="H348" i="5"/>
  <c r="G348" i="5"/>
  <c r="F348" i="5"/>
  <c r="E348" i="5"/>
  <c r="D348" i="5"/>
  <c r="C348" i="5"/>
  <c r="B348" i="5"/>
  <c r="A348" i="5"/>
  <c r="CS347" i="5"/>
  <c r="CM347" i="5"/>
  <c r="CG347" i="5"/>
  <c r="CF347" i="5"/>
  <c r="CE347" i="5"/>
  <c r="CD347" i="5"/>
  <c r="CC347" i="5"/>
  <c r="CB347" i="5"/>
  <c r="CA347" i="5"/>
  <c r="BY347" i="5"/>
  <c r="BX347" i="5"/>
  <c r="BW347" i="5"/>
  <c r="BV347" i="5"/>
  <c r="BU347" i="5"/>
  <c r="BQ347" i="5"/>
  <c r="BP347" i="5"/>
  <c r="BO347" i="5"/>
  <c r="BM347" i="5"/>
  <c r="BG347" i="5"/>
  <c r="BF347" i="5"/>
  <c r="BC347" i="5"/>
  <c r="AY347" i="5"/>
  <c r="AX347" i="5"/>
  <c r="AW347" i="5"/>
  <c r="AV347" i="5"/>
  <c r="AU347" i="5"/>
  <c r="AT347" i="5"/>
  <c r="AS347" i="5"/>
  <c r="AR347" i="5"/>
  <c r="AQ347" i="5"/>
  <c r="AP347" i="5"/>
  <c r="AO347" i="5"/>
  <c r="AN347" i="5"/>
  <c r="AM347" i="5"/>
  <c r="AL347" i="5"/>
  <c r="AH347" i="5"/>
  <c r="AF347" i="5"/>
  <c r="AD347" i="5"/>
  <c r="AB347" i="5"/>
  <c r="Y347" i="5"/>
  <c r="X347" i="5"/>
  <c r="W347" i="5"/>
  <c r="V347" i="5"/>
  <c r="U347" i="5"/>
  <c r="T347" i="5"/>
  <c r="S347" i="5"/>
  <c r="R347" i="5"/>
  <c r="Q347" i="5"/>
  <c r="P347" i="5"/>
  <c r="O347" i="5"/>
  <c r="N347" i="5"/>
  <c r="M347" i="5"/>
  <c r="L347" i="5"/>
  <c r="K347" i="5"/>
  <c r="J347" i="5"/>
  <c r="I347" i="5"/>
  <c r="H347" i="5"/>
  <c r="G347" i="5"/>
  <c r="F347" i="5"/>
  <c r="E347" i="5"/>
  <c r="D347" i="5"/>
  <c r="C347" i="5"/>
  <c r="B347" i="5"/>
  <c r="A347" i="5"/>
  <c r="CS346" i="5"/>
  <c r="CM346" i="5"/>
  <c r="CG346" i="5"/>
  <c r="CF346" i="5"/>
  <c r="CE346" i="5"/>
  <c r="CD346" i="5"/>
  <c r="CC346" i="5"/>
  <c r="CB346" i="5"/>
  <c r="CA346" i="5"/>
  <c r="BY346" i="5"/>
  <c r="BX346" i="5"/>
  <c r="BW346" i="5"/>
  <c r="BV346" i="5"/>
  <c r="BU346" i="5"/>
  <c r="BQ346" i="5"/>
  <c r="BP346" i="5"/>
  <c r="BO346" i="5"/>
  <c r="BM346" i="5"/>
  <c r="BG346" i="5"/>
  <c r="BF346" i="5"/>
  <c r="BC346" i="5"/>
  <c r="AY346" i="5"/>
  <c r="AX346" i="5"/>
  <c r="AW346" i="5"/>
  <c r="AV346" i="5"/>
  <c r="AU346" i="5"/>
  <c r="AT346" i="5"/>
  <c r="AS346" i="5"/>
  <c r="AR346" i="5"/>
  <c r="AQ346" i="5"/>
  <c r="AP346" i="5"/>
  <c r="AO346" i="5"/>
  <c r="AN346" i="5"/>
  <c r="AM346" i="5"/>
  <c r="AL346" i="5"/>
  <c r="AH346" i="5"/>
  <c r="AF346" i="5"/>
  <c r="AE346" i="5"/>
  <c r="AD346" i="5"/>
  <c r="AB346" i="5"/>
  <c r="Y346" i="5"/>
  <c r="X346" i="5"/>
  <c r="W346" i="5"/>
  <c r="V346" i="5"/>
  <c r="U346" i="5"/>
  <c r="T346" i="5"/>
  <c r="S346" i="5"/>
  <c r="R346" i="5"/>
  <c r="Q346" i="5"/>
  <c r="P346" i="5"/>
  <c r="O346" i="5"/>
  <c r="N346" i="5"/>
  <c r="M346" i="5"/>
  <c r="L346" i="5"/>
  <c r="K346" i="5"/>
  <c r="J346" i="5"/>
  <c r="I346" i="5"/>
  <c r="H346" i="5"/>
  <c r="G346" i="5"/>
  <c r="F346" i="5"/>
  <c r="E346" i="5"/>
  <c r="D346" i="5"/>
  <c r="C346" i="5"/>
  <c r="B346" i="5"/>
  <c r="A346" i="5"/>
  <c r="CS345" i="5"/>
  <c r="CM345" i="5"/>
  <c r="CG345" i="5"/>
  <c r="CF345" i="5"/>
  <c r="CE345" i="5"/>
  <c r="CD345" i="5"/>
  <c r="CC345" i="5"/>
  <c r="CB345" i="5"/>
  <c r="CA345" i="5"/>
  <c r="BZ345" i="5"/>
  <c r="BY345" i="5"/>
  <c r="BW345" i="5"/>
  <c r="BV345" i="5"/>
  <c r="BU345" i="5"/>
  <c r="BS345" i="5"/>
  <c r="BR345" i="5"/>
  <c r="BQ345" i="5"/>
  <c r="BP345" i="5"/>
  <c r="BO345" i="5"/>
  <c r="BM345" i="5"/>
  <c r="BF345" i="5"/>
  <c r="BC345" i="5"/>
  <c r="AZ345" i="5"/>
  <c r="AY345" i="5"/>
  <c r="AX345" i="5"/>
  <c r="AW345" i="5"/>
  <c r="AV345" i="5"/>
  <c r="AU345" i="5"/>
  <c r="AT345" i="5"/>
  <c r="AR345" i="5"/>
  <c r="AQ345" i="5"/>
  <c r="AP345" i="5"/>
  <c r="AO345" i="5"/>
  <c r="AN345" i="5"/>
  <c r="AM345" i="5"/>
  <c r="AL345" i="5"/>
  <c r="AH345" i="5"/>
  <c r="AF345" i="5"/>
  <c r="AD345" i="5"/>
  <c r="AB345" i="5"/>
  <c r="Y345" i="5"/>
  <c r="X345" i="5"/>
  <c r="W345" i="5"/>
  <c r="V345" i="5"/>
  <c r="U345" i="5"/>
  <c r="T345" i="5"/>
  <c r="S345" i="5"/>
  <c r="R345" i="5"/>
  <c r="Q345" i="5"/>
  <c r="P345" i="5"/>
  <c r="O345" i="5"/>
  <c r="N345" i="5"/>
  <c r="M345" i="5"/>
  <c r="L345" i="5"/>
  <c r="K345" i="5"/>
  <c r="J345" i="5"/>
  <c r="I345" i="5"/>
  <c r="H345" i="5"/>
  <c r="G345" i="5"/>
  <c r="F345" i="5"/>
  <c r="E345" i="5"/>
  <c r="D345" i="5"/>
  <c r="C345" i="5"/>
  <c r="B345" i="5"/>
  <c r="A345" i="5"/>
  <c r="CS344" i="5"/>
  <c r="CM344" i="5"/>
  <c r="CG344" i="5"/>
  <c r="CF344" i="5"/>
  <c r="CE344" i="5"/>
  <c r="CD344" i="5"/>
  <c r="CC344" i="5"/>
  <c r="CB344" i="5"/>
  <c r="CA344" i="5"/>
  <c r="BZ344" i="5"/>
  <c r="BY344" i="5"/>
  <c r="BW344" i="5"/>
  <c r="BV344" i="5"/>
  <c r="BU344" i="5"/>
  <c r="BS344" i="5"/>
  <c r="BR344" i="5"/>
  <c r="BQ344" i="5"/>
  <c r="BP344" i="5"/>
  <c r="BO344" i="5"/>
  <c r="BM344" i="5"/>
  <c r="BF344" i="5"/>
  <c r="BC344" i="5"/>
  <c r="AZ344" i="5"/>
  <c r="AY344" i="5"/>
  <c r="AX344" i="5"/>
  <c r="AW344" i="5"/>
  <c r="AV344" i="5"/>
  <c r="AU344" i="5"/>
  <c r="AT344" i="5"/>
  <c r="AR344" i="5"/>
  <c r="AQ344" i="5"/>
  <c r="AP344" i="5"/>
  <c r="AO344" i="5"/>
  <c r="AN344" i="5"/>
  <c r="AM344" i="5"/>
  <c r="AL344" i="5"/>
  <c r="AH344" i="5"/>
  <c r="AF344" i="5"/>
  <c r="AD344" i="5"/>
  <c r="AB344" i="5"/>
  <c r="Y344" i="5"/>
  <c r="X344" i="5"/>
  <c r="W344" i="5"/>
  <c r="V344" i="5"/>
  <c r="U344" i="5"/>
  <c r="T344" i="5"/>
  <c r="S344" i="5"/>
  <c r="R344" i="5"/>
  <c r="Q344" i="5"/>
  <c r="P344" i="5"/>
  <c r="O344" i="5"/>
  <c r="N344" i="5"/>
  <c r="M344" i="5"/>
  <c r="L344" i="5"/>
  <c r="K344" i="5"/>
  <c r="J344" i="5"/>
  <c r="I344" i="5"/>
  <c r="H344" i="5"/>
  <c r="G344" i="5"/>
  <c r="F344" i="5"/>
  <c r="E344" i="5"/>
  <c r="D344" i="5"/>
  <c r="C344" i="5"/>
  <c r="B344" i="5"/>
  <c r="A344" i="5"/>
  <c r="CS343" i="5"/>
  <c r="CM343" i="5"/>
  <c r="CG343" i="5"/>
  <c r="CF343" i="5"/>
  <c r="CE343" i="5"/>
  <c r="CD343" i="5"/>
  <c r="CC343" i="5"/>
  <c r="CB343" i="5"/>
  <c r="CA343" i="5"/>
  <c r="BY343" i="5"/>
  <c r="BX343" i="5"/>
  <c r="BW343" i="5"/>
  <c r="BV343" i="5"/>
  <c r="BU343" i="5"/>
  <c r="BQ343" i="5"/>
  <c r="BP343" i="5"/>
  <c r="BO343" i="5"/>
  <c r="BM343" i="5"/>
  <c r="BF343" i="5"/>
  <c r="BC343" i="5"/>
  <c r="AZ343" i="5"/>
  <c r="AY343" i="5"/>
  <c r="AX343" i="5"/>
  <c r="AW343" i="5"/>
  <c r="AV343" i="5"/>
  <c r="AU343" i="5"/>
  <c r="AT343" i="5"/>
  <c r="AR343" i="5"/>
  <c r="AQ343" i="5"/>
  <c r="AP343" i="5"/>
  <c r="AO343" i="5"/>
  <c r="AN343" i="5"/>
  <c r="AM343" i="5"/>
  <c r="AL343" i="5"/>
  <c r="AH343" i="5"/>
  <c r="AF343" i="5"/>
  <c r="AD343" i="5"/>
  <c r="AB343" i="5"/>
  <c r="Y343" i="5"/>
  <c r="X343" i="5"/>
  <c r="W343" i="5"/>
  <c r="V343" i="5"/>
  <c r="U343" i="5"/>
  <c r="T343" i="5"/>
  <c r="S343" i="5"/>
  <c r="R343" i="5"/>
  <c r="Q343" i="5"/>
  <c r="P343" i="5"/>
  <c r="O343" i="5"/>
  <c r="N343" i="5"/>
  <c r="M343" i="5"/>
  <c r="L343" i="5"/>
  <c r="K343" i="5"/>
  <c r="J343" i="5"/>
  <c r="I343" i="5"/>
  <c r="H343" i="5"/>
  <c r="G343" i="5"/>
  <c r="F343" i="5"/>
  <c r="E343" i="5"/>
  <c r="D343" i="5"/>
  <c r="C343" i="5"/>
  <c r="B343" i="5"/>
  <c r="A343" i="5"/>
  <c r="CS342" i="5"/>
  <c r="CM342" i="5"/>
  <c r="CG342" i="5"/>
  <c r="CF342" i="5"/>
  <c r="CE342" i="5"/>
  <c r="CD342" i="5"/>
  <c r="CC342" i="5"/>
  <c r="CB342" i="5"/>
  <c r="CA342" i="5"/>
  <c r="BZ342" i="5"/>
  <c r="BY342" i="5"/>
  <c r="BX342" i="5"/>
  <c r="BW342" i="5"/>
  <c r="BV342" i="5"/>
  <c r="BU342" i="5"/>
  <c r="BS342" i="5"/>
  <c r="BQ342" i="5"/>
  <c r="BP342" i="5"/>
  <c r="BO342" i="5"/>
  <c r="BM342" i="5"/>
  <c r="BF342" i="5"/>
  <c r="BC342" i="5"/>
  <c r="AZ342" i="5"/>
  <c r="AY342" i="5"/>
  <c r="AX342" i="5"/>
  <c r="AW342" i="5"/>
  <c r="AV342" i="5"/>
  <c r="AU342" i="5"/>
  <c r="AT342" i="5"/>
  <c r="AR342" i="5"/>
  <c r="AQ342" i="5"/>
  <c r="AP342" i="5"/>
  <c r="AO342" i="5"/>
  <c r="AN342" i="5"/>
  <c r="AM342" i="5"/>
  <c r="AL342" i="5"/>
  <c r="AH342" i="5"/>
  <c r="AF342" i="5"/>
  <c r="AD342" i="5"/>
  <c r="AB342" i="5"/>
  <c r="Y342" i="5"/>
  <c r="X342" i="5"/>
  <c r="W342" i="5"/>
  <c r="V342" i="5"/>
  <c r="U342" i="5"/>
  <c r="T342" i="5"/>
  <c r="S342" i="5"/>
  <c r="R342" i="5"/>
  <c r="Q342" i="5"/>
  <c r="P342" i="5"/>
  <c r="O342" i="5"/>
  <c r="N342" i="5"/>
  <c r="M342" i="5"/>
  <c r="L342" i="5"/>
  <c r="K342" i="5"/>
  <c r="J342" i="5"/>
  <c r="I342" i="5"/>
  <c r="H342" i="5"/>
  <c r="G342" i="5"/>
  <c r="F342" i="5"/>
  <c r="E342" i="5"/>
  <c r="D342" i="5"/>
  <c r="C342" i="5"/>
  <c r="B342" i="5"/>
  <c r="A342" i="5"/>
  <c r="CS341" i="5"/>
  <c r="CM341" i="5"/>
  <c r="CG341" i="5"/>
  <c r="CF341" i="5"/>
  <c r="CE341" i="5"/>
  <c r="CD341" i="5"/>
  <c r="CC341" i="5"/>
  <c r="CB341" i="5"/>
  <c r="CA341" i="5"/>
  <c r="BZ341" i="5"/>
  <c r="BY341" i="5"/>
  <c r="BX341" i="5"/>
  <c r="BW341" i="5"/>
  <c r="BV341" i="5"/>
  <c r="BU341" i="5"/>
  <c r="BS341" i="5"/>
  <c r="BQ341" i="5"/>
  <c r="BP341" i="5"/>
  <c r="BO341" i="5"/>
  <c r="BM341" i="5"/>
  <c r="BF341" i="5"/>
  <c r="BC341" i="5"/>
  <c r="AZ341" i="5"/>
  <c r="AY341" i="5"/>
  <c r="AX341" i="5"/>
  <c r="AW341" i="5"/>
  <c r="AV341" i="5"/>
  <c r="AU341" i="5"/>
  <c r="AT341" i="5"/>
  <c r="AR341" i="5"/>
  <c r="AQ341" i="5"/>
  <c r="AP341" i="5"/>
  <c r="AO341" i="5"/>
  <c r="AN341" i="5"/>
  <c r="AM341" i="5"/>
  <c r="AL341" i="5"/>
  <c r="AH341" i="5"/>
  <c r="AF341" i="5"/>
  <c r="AD341" i="5"/>
  <c r="AB341" i="5"/>
  <c r="Y341" i="5"/>
  <c r="X341" i="5"/>
  <c r="W341" i="5"/>
  <c r="V341" i="5"/>
  <c r="U341" i="5"/>
  <c r="T341" i="5"/>
  <c r="S341" i="5"/>
  <c r="R341" i="5"/>
  <c r="Q341" i="5"/>
  <c r="P341" i="5"/>
  <c r="O341" i="5"/>
  <c r="N341" i="5"/>
  <c r="M341" i="5"/>
  <c r="L341" i="5"/>
  <c r="K341" i="5"/>
  <c r="J341" i="5"/>
  <c r="I341" i="5"/>
  <c r="H341" i="5"/>
  <c r="G341" i="5"/>
  <c r="F341" i="5"/>
  <c r="E341" i="5"/>
  <c r="D341" i="5"/>
  <c r="C341" i="5"/>
  <c r="B341" i="5"/>
  <c r="A341" i="5"/>
  <c r="CS340" i="5"/>
  <c r="CM340" i="5"/>
  <c r="CG340" i="5"/>
  <c r="CF340" i="5"/>
  <c r="CE340" i="5"/>
  <c r="CD340" i="5"/>
  <c r="CC340" i="5"/>
  <c r="CB340" i="5"/>
  <c r="CA340" i="5"/>
  <c r="BZ340" i="5"/>
  <c r="BY340" i="5"/>
  <c r="BX340" i="5"/>
  <c r="BW340" i="5"/>
  <c r="BV340" i="5"/>
  <c r="BU340" i="5"/>
  <c r="BS340" i="5"/>
  <c r="BQ340" i="5"/>
  <c r="BP340" i="5"/>
  <c r="BO340" i="5"/>
  <c r="BM340" i="5"/>
  <c r="BF340" i="5"/>
  <c r="BC340" i="5"/>
  <c r="AZ340" i="5"/>
  <c r="AY340" i="5"/>
  <c r="AX340" i="5"/>
  <c r="AW340" i="5"/>
  <c r="AV340" i="5"/>
  <c r="AU340" i="5"/>
  <c r="AT340" i="5"/>
  <c r="AR340" i="5"/>
  <c r="AQ340" i="5"/>
  <c r="AP340" i="5"/>
  <c r="AO340" i="5"/>
  <c r="AN340" i="5"/>
  <c r="AM340" i="5"/>
  <c r="AL340" i="5"/>
  <c r="AH340" i="5"/>
  <c r="AF340" i="5"/>
  <c r="AD340" i="5"/>
  <c r="AB340" i="5"/>
  <c r="Y340" i="5"/>
  <c r="X340" i="5"/>
  <c r="W340" i="5"/>
  <c r="V340" i="5"/>
  <c r="U340" i="5"/>
  <c r="T340" i="5"/>
  <c r="S340" i="5"/>
  <c r="R340" i="5"/>
  <c r="Q340" i="5"/>
  <c r="P340" i="5"/>
  <c r="O340" i="5"/>
  <c r="N340" i="5"/>
  <c r="M340" i="5"/>
  <c r="L340" i="5"/>
  <c r="K340" i="5"/>
  <c r="J340" i="5"/>
  <c r="I340" i="5"/>
  <c r="H340" i="5"/>
  <c r="G340" i="5"/>
  <c r="F340" i="5"/>
  <c r="E340" i="5"/>
  <c r="D340" i="5"/>
  <c r="C340" i="5"/>
  <c r="B340" i="5"/>
  <c r="A340" i="5"/>
  <c r="CS339" i="5"/>
  <c r="CM339" i="5"/>
  <c r="CG339" i="5"/>
  <c r="CF339" i="5"/>
  <c r="CE339" i="5"/>
  <c r="CD339" i="5"/>
  <c r="CC339" i="5"/>
  <c r="CB339" i="5"/>
  <c r="CA339" i="5"/>
  <c r="BZ339" i="5"/>
  <c r="BY339" i="5"/>
  <c r="BX339" i="5"/>
  <c r="BW339" i="5"/>
  <c r="BV339" i="5"/>
  <c r="BU339" i="5"/>
  <c r="BS339" i="5"/>
  <c r="BQ339" i="5"/>
  <c r="BP339" i="5"/>
  <c r="BO339" i="5"/>
  <c r="BM339" i="5"/>
  <c r="BF339" i="5"/>
  <c r="BC339" i="5"/>
  <c r="AZ339" i="5"/>
  <c r="AY339" i="5"/>
  <c r="AX339" i="5"/>
  <c r="AW339" i="5"/>
  <c r="AV339" i="5"/>
  <c r="AU339" i="5"/>
  <c r="AT339" i="5"/>
  <c r="AR339" i="5"/>
  <c r="AQ339" i="5"/>
  <c r="AP339" i="5"/>
  <c r="AO339" i="5"/>
  <c r="AN339" i="5"/>
  <c r="AM339" i="5"/>
  <c r="AL339" i="5"/>
  <c r="AH339" i="5"/>
  <c r="AF339" i="5"/>
  <c r="AD339" i="5"/>
  <c r="AB339" i="5"/>
  <c r="Y339" i="5"/>
  <c r="X339" i="5"/>
  <c r="W339" i="5"/>
  <c r="V339" i="5"/>
  <c r="U339" i="5"/>
  <c r="T339" i="5"/>
  <c r="S339" i="5"/>
  <c r="R339" i="5"/>
  <c r="Q339" i="5"/>
  <c r="P339" i="5"/>
  <c r="O339" i="5"/>
  <c r="N339" i="5"/>
  <c r="M339" i="5"/>
  <c r="L339" i="5"/>
  <c r="K339" i="5"/>
  <c r="J339" i="5"/>
  <c r="I339" i="5"/>
  <c r="H339" i="5"/>
  <c r="G339" i="5"/>
  <c r="F339" i="5"/>
  <c r="E339" i="5"/>
  <c r="D339" i="5"/>
  <c r="C339" i="5"/>
  <c r="B339" i="5"/>
  <c r="A339" i="5"/>
  <c r="CS338" i="5"/>
  <c r="CM338" i="5"/>
  <c r="CG338" i="5"/>
  <c r="CF338" i="5"/>
  <c r="CE338" i="5"/>
  <c r="CD338" i="5"/>
  <c r="CC338" i="5"/>
  <c r="CB338" i="5"/>
  <c r="CA338" i="5"/>
  <c r="BZ338" i="5"/>
  <c r="BY338" i="5"/>
  <c r="BX338" i="5"/>
  <c r="BW338" i="5"/>
  <c r="BV338" i="5"/>
  <c r="BU338" i="5"/>
  <c r="BS338" i="5"/>
  <c r="BQ338" i="5"/>
  <c r="BP338" i="5"/>
  <c r="BO338" i="5"/>
  <c r="BM338" i="5"/>
  <c r="BF338" i="5"/>
  <c r="BC338" i="5"/>
  <c r="AZ338" i="5"/>
  <c r="AY338" i="5"/>
  <c r="AX338" i="5"/>
  <c r="AW338" i="5"/>
  <c r="AV338" i="5"/>
  <c r="AU338" i="5"/>
  <c r="AT338" i="5"/>
  <c r="AR338" i="5"/>
  <c r="AQ338" i="5"/>
  <c r="AP338" i="5"/>
  <c r="AO338" i="5"/>
  <c r="AN338" i="5"/>
  <c r="AM338" i="5"/>
  <c r="AL338" i="5"/>
  <c r="AH338" i="5"/>
  <c r="AF338" i="5"/>
  <c r="AD338" i="5"/>
  <c r="AB338" i="5"/>
  <c r="Y338" i="5"/>
  <c r="X338" i="5"/>
  <c r="W338" i="5"/>
  <c r="V338" i="5"/>
  <c r="U338" i="5"/>
  <c r="T338" i="5"/>
  <c r="S338" i="5"/>
  <c r="R338" i="5"/>
  <c r="Q338" i="5"/>
  <c r="P338" i="5"/>
  <c r="O338" i="5"/>
  <c r="N338" i="5"/>
  <c r="M338" i="5"/>
  <c r="L338" i="5"/>
  <c r="K338" i="5"/>
  <c r="J338" i="5"/>
  <c r="I338" i="5"/>
  <c r="H338" i="5"/>
  <c r="G338" i="5"/>
  <c r="F338" i="5"/>
  <c r="E338" i="5"/>
  <c r="D338" i="5"/>
  <c r="C338" i="5"/>
  <c r="B338" i="5"/>
  <c r="A338" i="5"/>
  <c r="CS337" i="5"/>
  <c r="CM337" i="5"/>
  <c r="CG337" i="5"/>
  <c r="CF337" i="5"/>
  <c r="CE337" i="5"/>
  <c r="CD337" i="5"/>
  <c r="CC337" i="5"/>
  <c r="CB337" i="5"/>
  <c r="CA337" i="5"/>
  <c r="BZ337" i="5"/>
  <c r="BY337" i="5"/>
  <c r="BX337" i="5"/>
  <c r="BW337" i="5"/>
  <c r="BV337" i="5"/>
  <c r="BU337" i="5"/>
  <c r="BS337" i="5"/>
  <c r="BQ337" i="5"/>
  <c r="BP337" i="5"/>
  <c r="BO337" i="5"/>
  <c r="BN337" i="5"/>
  <c r="BM337" i="5"/>
  <c r="BL337" i="5"/>
  <c r="BF337" i="5"/>
  <c r="BC337" i="5"/>
  <c r="BB337" i="5"/>
  <c r="AY337" i="5"/>
  <c r="AX337" i="5"/>
  <c r="AW337" i="5"/>
  <c r="AV337" i="5"/>
  <c r="AU337" i="5"/>
  <c r="AT337" i="5"/>
  <c r="AR337" i="5"/>
  <c r="AQ337" i="5"/>
  <c r="AP337" i="5"/>
  <c r="AO337" i="5"/>
  <c r="AN337" i="5"/>
  <c r="AM337" i="5"/>
  <c r="AL337" i="5"/>
  <c r="AH337" i="5"/>
  <c r="AF337" i="5"/>
  <c r="AD337" i="5"/>
  <c r="AB337" i="5"/>
  <c r="Y337" i="5"/>
  <c r="X337" i="5"/>
  <c r="W337" i="5"/>
  <c r="V337" i="5"/>
  <c r="U337" i="5"/>
  <c r="T337" i="5"/>
  <c r="S337" i="5"/>
  <c r="R337" i="5"/>
  <c r="Q337" i="5"/>
  <c r="P337" i="5"/>
  <c r="O337" i="5"/>
  <c r="N337" i="5"/>
  <c r="M337" i="5"/>
  <c r="L337" i="5"/>
  <c r="K337" i="5"/>
  <c r="J337" i="5"/>
  <c r="I337" i="5"/>
  <c r="H337" i="5"/>
  <c r="G337" i="5"/>
  <c r="F337" i="5"/>
  <c r="E337" i="5"/>
  <c r="D337" i="5"/>
  <c r="C337" i="5"/>
  <c r="B337" i="5"/>
  <c r="A337" i="5"/>
  <c r="CS336" i="5"/>
  <c r="CM336" i="5"/>
  <c r="CG336" i="5"/>
  <c r="CF336" i="5"/>
  <c r="CE336" i="5"/>
  <c r="CD336" i="5"/>
  <c r="CC336" i="5"/>
  <c r="CB336" i="5"/>
  <c r="CA336" i="5"/>
  <c r="BZ336" i="5"/>
  <c r="BY336" i="5"/>
  <c r="BX336" i="5"/>
  <c r="BW336" i="5"/>
  <c r="BV336" i="5"/>
  <c r="BU336" i="5"/>
  <c r="BS336" i="5"/>
  <c r="BQ336" i="5"/>
  <c r="BP336" i="5"/>
  <c r="BO336" i="5"/>
  <c r="BM336" i="5"/>
  <c r="BF336" i="5"/>
  <c r="BC336" i="5"/>
  <c r="BA336" i="5"/>
  <c r="AZ336" i="5"/>
  <c r="AY336" i="5"/>
  <c r="AX336" i="5"/>
  <c r="AW336" i="5"/>
  <c r="AV336" i="5"/>
  <c r="AU336" i="5"/>
  <c r="AT336" i="5"/>
  <c r="AR336" i="5"/>
  <c r="AQ336" i="5"/>
  <c r="AP336" i="5"/>
  <c r="AO336" i="5"/>
  <c r="AN336" i="5"/>
  <c r="AM336" i="5"/>
  <c r="AL336" i="5"/>
  <c r="AI336" i="5"/>
  <c r="AH336" i="5"/>
  <c r="AF336" i="5"/>
  <c r="AE336" i="5"/>
  <c r="AD336" i="5"/>
  <c r="AC336" i="5"/>
  <c r="AB336" i="5"/>
  <c r="Y336" i="5"/>
  <c r="X336" i="5"/>
  <c r="W336" i="5"/>
  <c r="V336" i="5"/>
  <c r="U336" i="5"/>
  <c r="T336" i="5"/>
  <c r="S336" i="5"/>
  <c r="R336" i="5"/>
  <c r="Q336" i="5"/>
  <c r="P336" i="5"/>
  <c r="O336" i="5"/>
  <c r="N336" i="5"/>
  <c r="M336" i="5"/>
  <c r="L336" i="5"/>
  <c r="K336" i="5"/>
  <c r="J336" i="5"/>
  <c r="I336" i="5"/>
  <c r="H336" i="5"/>
  <c r="G336" i="5"/>
  <c r="F336" i="5"/>
  <c r="E336" i="5"/>
  <c r="D336" i="5"/>
  <c r="C336" i="5"/>
  <c r="B336" i="5"/>
  <c r="A336" i="5"/>
  <c r="CS335" i="5"/>
  <c r="CM335" i="5"/>
  <c r="CG335" i="5"/>
  <c r="CF335" i="5"/>
  <c r="CE335" i="5"/>
  <c r="CD335" i="5"/>
  <c r="CC335" i="5"/>
  <c r="CB335" i="5"/>
  <c r="CA335" i="5"/>
  <c r="BZ335" i="5"/>
  <c r="BY335" i="5"/>
  <c r="BX335" i="5"/>
  <c r="BW335" i="5"/>
  <c r="BV335" i="5"/>
  <c r="BU335" i="5"/>
  <c r="BS335" i="5"/>
  <c r="BQ335" i="5"/>
  <c r="BP335" i="5"/>
  <c r="BO335" i="5"/>
  <c r="BN335" i="5"/>
  <c r="BM335" i="5"/>
  <c r="BG335" i="5"/>
  <c r="BF335" i="5"/>
  <c r="BC335" i="5"/>
  <c r="AY335" i="5"/>
  <c r="AX335" i="5"/>
  <c r="AW335" i="5"/>
  <c r="AV335" i="5"/>
  <c r="AU335" i="5"/>
  <c r="AT335" i="5"/>
  <c r="AS335" i="5"/>
  <c r="AR335" i="5"/>
  <c r="AQ335" i="5"/>
  <c r="AP335" i="5"/>
  <c r="AO335" i="5"/>
  <c r="AN335" i="5"/>
  <c r="AM335" i="5"/>
  <c r="AL335" i="5"/>
  <c r="AH335" i="5"/>
  <c r="AF335" i="5"/>
  <c r="AD335" i="5"/>
  <c r="AB335" i="5"/>
  <c r="Z335" i="5"/>
  <c r="X335" i="5"/>
  <c r="W335" i="5"/>
  <c r="V335" i="5"/>
  <c r="U335" i="5"/>
  <c r="T335" i="5"/>
  <c r="S335" i="5"/>
  <c r="R335" i="5"/>
  <c r="Q335" i="5"/>
  <c r="P335" i="5"/>
  <c r="O335" i="5"/>
  <c r="N335" i="5"/>
  <c r="M335" i="5"/>
  <c r="L335" i="5"/>
  <c r="K335" i="5"/>
  <c r="J335" i="5"/>
  <c r="I335" i="5"/>
  <c r="H335" i="5"/>
  <c r="G335" i="5"/>
  <c r="F335" i="5"/>
  <c r="E335" i="5"/>
  <c r="D335" i="5"/>
  <c r="C335" i="5"/>
  <c r="B335" i="5"/>
  <c r="A335" i="5"/>
  <c r="CS334" i="5"/>
  <c r="CM334" i="5"/>
  <c r="CG334" i="5"/>
  <c r="CF334" i="5"/>
  <c r="CE334" i="5"/>
  <c r="CD334" i="5"/>
  <c r="CC334" i="5"/>
  <c r="CB334" i="5"/>
  <c r="CA334" i="5"/>
  <c r="BZ334" i="5"/>
  <c r="BY334" i="5"/>
  <c r="BX334" i="5"/>
  <c r="BW334" i="5"/>
  <c r="BV334" i="5"/>
  <c r="BU334" i="5"/>
  <c r="BS334" i="5"/>
  <c r="BQ334" i="5"/>
  <c r="BP334" i="5"/>
  <c r="BO334" i="5"/>
  <c r="BM334" i="5"/>
  <c r="BH334" i="5"/>
  <c r="BG334" i="5"/>
  <c r="BF334" i="5"/>
  <c r="BE334" i="5"/>
  <c r="BD334" i="5"/>
  <c r="BC334" i="5"/>
  <c r="BB334" i="5"/>
  <c r="AY334" i="5"/>
  <c r="AX334" i="5"/>
  <c r="AW334" i="5"/>
  <c r="AV334" i="5"/>
  <c r="AU334" i="5"/>
  <c r="AT334" i="5"/>
  <c r="AR334" i="5"/>
  <c r="AQ334" i="5"/>
  <c r="AP334" i="5"/>
  <c r="AO334" i="5"/>
  <c r="AN334" i="5"/>
  <c r="AM334" i="5"/>
  <c r="AL334" i="5"/>
  <c r="AH334" i="5"/>
  <c r="AF334" i="5"/>
  <c r="AD334" i="5"/>
  <c r="AB334" i="5"/>
  <c r="Z334" i="5"/>
  <c r="X334" i="5"/>
  <c r="W334" i="5"/>
  <c r="V334" i="5"/>
  <c r="U334" i="5"/>
  <c r="T334" i="5"/>
  <c r="S334" i="5"/>
  <c r="R334" i="5"/>
  <c r="Q334" i="5"/>
  <c r="P334" i="5"/>
  <c r="O334" i="5"/>
  <c r="N334" i="5"/>
  <c r="M334" i="5"/>
  <c r="L334" i="5"/>
  <c r="K334" i="5"/>
  <c r="J334" i="5"/>
  <c r="I334" i="5"/>
  <c r="H334" i="5"/>
  <c r="G334" i="5"/>
  <c r="F334" i="5"/>
  <c r="E334" i="5"/>
  <c r="D334" i="5"/>
  <c r="C334" i="5"/>
  <c r="B334" i="5"/>
  <c r="A334" i="5"/>
  <c r="CS333" i="5"/>
  <c r="CM333" i="5"/>
  <c r="CG333" i="5"/>
  <c r="CF333" i="5"/>
  <c r="CE333" i="5"/>
  <c r="CD333" i="5"/>
  <c r="CC333" i="5"/>
  <c r="CB333" i="5"/>
  <c r="CA333" i="5"/>
  <c r="BZ333" i="5"/>
  <c r="BY333" i="5"/>
  <c r="BX333" i="5"/>
  <c r="BW333" i="5"/>
  <c r="BV333" i="5"/>
  <c r="BU333" i="5"/>
  <c r="BT333" i="5"/>
  <c r="BS333" i="5"/>
  <c r="BQ333" i="5"/>
  <c r="BP333" i="5"/>
  <c r="BO333" i="5"/>
  <c r="BM333" i="5"/>
  <c r="BH333" i="5"/>
  <c r="BG333" i="5"/>
  <c r="BF333" i="5"/>
  <c r="BE333" i="5"/>
  <c r="BD333" i="5"/>
  <c r="BC333" i="5"/>
  <c r="BB333" i="5"/>
  <c r="AY333" i="5"/>
  <c r="AX333" i="5"/>
  <c r="AW333" i="5"/>
  <c r="AV333" i="5"/>
  <c r="AU333" i="5"/>
  <c r="AT333" i="5"/>
  <c r="AR333" i="5"/>
  <c r="AQ333" i="5"/>
  <c r="AP333" i="5"/>
  <c r="AO333" i="5"/>
  <c r="AN333" i="5"/>
  <c r="AM333" i="5"/>
  <c r="AL333" i="5"/>
  <c r="AH333" i="5"/>
  <c r="AF333" i="5"/>
  <c r="AE333" i="5"/>
  <c r="AD333" i="5"/>
  <c r="AB333" i="5"/>
  <c r="Z333" i="5"/>
  <c r="X333" i="5"/>
  <c r="W333" i="5"/>
  <c r="V333" i="5"/>
  <c r="U333" i="5"/>
  <c r="T333" i="5"/>
  <c r="S333" i="5"/>
  <c r="R333" i="5"/>
  <c r="Q333" i="5"/>
  <c r="P333" i="5"/>
  <c r="O333" i="5"/>
  <c r="N333" i="5"/>
  <c r="M333" i="5"/>
  <c r="L333" i="5"/>
  <c r="K333" i="5"/>
  <c r="J333" i="5"/>
  <c r="I333" i="5"/>
  <c r="H333" i="5"/>
  <c r="G333" i="5"/>
  <c r="F333" i="5"/>
  <c r="E333" i="5"/>
  <c r="D333" i="5"/>
  <c r="C333" i="5"/>
  <c r="B333" i="5"/>
  <c r="A333" i="5"/>
  <c r="CS332" i="5"/>
  <c r="CM332" i="5"/>
  <c r="CG332" i="5"/>
  <c r="CF332" i="5"/>
  <c r="CE332" i="5"/>
  <c r="CD332" i="5"/>
  <c r="CC332" i="5"/>
  <c r="CB332" i="5"/>
  <c r="CA332" i="5"/>
  <c r="BZ332" i="5"/>
  <c r="BY332" i="5"/>
  <c r="BX332" i="5"/>
  <c r="BW332" i="5"/>
  <c r="BV332" i="5"/>
  <c r="BU332" i="5"/>
  <c r="BS332" i="5"/>
  <c r="BR332" i="5"/>
  <c r="BQ332" i="5"/>
  <c r="BP332" i="5"/>
  <c r="BO332" i="5"/>
  <c r="BM332" i="5"/>
  <c r="BF332" i="5"/>
  <c r="BE332" i="5"/>
  <c r="BD332" i="5"/>
  <c r="BC332" i="5"/>
  <c r="BB332" i="5"/>
  <c r="AY332" i="5"/>
  <c r="AX332" i="5"/>
  <c r="AW332" i="5"/>
  <c r="AV332" i="5"/>
  <c r="AU332" i="5"/>
  <c r="AT332" i="5"/>
  <c r="AR332" i="5"/>
  <c r="AQ332" i="5"/>
  <c r="AP332" i="5"/>
  <c r="AO332" i="5"/>
  <c r="AN332" i="5"/>
  <c r="AM332" i="5"/>
  <c r="AL332" i="5"/>
  <c r="AH332" i="5"/>
  <c r="AF332" i="5"/>
  <c r="AE332" i="5"/>
  <c r="AD332" i="5"/>
  <c r="AB332" i="5"/>
  <c r="Y332" i="5"/>
  <c r="X332" i="5"/>
  <c r="W332" i="5"/>
  <c r="V332" i="5"/>
  <c r="U332" i="5"/>
  <c r="T332" i="5"/>
  <c r="S332" i="5"/>
  <c r="R332" i="5"/>
  <c r="Q332" i="5"/>
  <c r="P332" i="5"/>
  <c r="O332" i="5"/>
  <c r="N332" i="5"/>
  <c r="M332" i="5"/>
  <c r="L332" i="5"/>
  <c r="K332" i="5"/>
  <c r="J332" i="5"/>
  <c r="I332" i="5"/>
  <c r="H332" i="5"/>
  <c r="G332" i="5"/>
  <c r="F332" i="5"/>
  <c r="E332" i="5"/>
  <c r="D332" i="5"/>
  <c r="C332" i="5"/>
  <c r="B332" i="5"/>
  <c r="A332" i="5"/>
  <c r="CS331" i="5"/>
  <c r="CM331" i="5"/>
  <c r="CG331" i="5"/>
  <c r="CF331" i="5"/>
  <c r="CE331" i="5"/>
  <c r="CD331" i="5"/>
  <c r="CC331" i="5"/>
  <c r="CB331" i="5"/>
  <c r="CA331" i="5"/>
  <c r="BZ331" i="5"/>
  <c r="BY331" i="5"/>
  <c r="BW331" i="5"/>
  <c r="BV331" i="5"/>
  <c r="BU331" i="5"/>
  <c r="BS331" i="5"/>
  <c r="BQ331" i="5"/>
  <c r="BP331" i="5"/>
  <c r="BO331" i="5"/>
  <c r="BM331" i="5"/>
  <c r="BF331" i="5"/>
  <c r="BC331" i="5"/>
  <c r="BB331" i="5"/>
  <c r="AY331" i="5"/>
  <c r="AX331" i="5"/>
  <c r="AW331" i="5"/>
  <c r="AV331" i="5"/>
  <c r="AU331" i="5"/>
  <c r="AT331" i="5"/>
  <c r="AR331" i="5"/>
  <c r="AQ331" i="5"/>
  <c r="AP331" i="5"/>
  <c r="AO331" i="5"/>
  <c r="AN331" i="5"/>
  <c r="AM331" i="5"/>
  <c r="AL331" i="5"/>
  <c r="AK331" i="5"/>
  <c r="AJ331" i="5"/>
  <c r="AI331" i="5"/>
  <c r="AH331" i="5"/>
  <c r="AF331" i="5"/>
  <c r="AD331" i="5"/>
  <c r="AC331" i="5"/>
  <c r="AB331" i="5"/>
  <c r="Y331" i="5"/>
  <c r="X331" i="5"/>
  <c r="W331" i="5"/>
  <c r="V331" i="5"/>
  <c r="U331" i="5"/>
  <c r="T331" i="5"/>
  <c r="S331" i="5"/>
  <c r="R331" i="5"/>
  <c r="Q331" i="5"/>
  <c r="P331" i="5"/>
  <c r="O331" i="5"/>
  <c r="N331" i="5"/>
  <c r="M331" i="5"/>
  <c r="L331" i="5"/>
  <c r="K331" i="5"/>
  <c r="J331" i="5"/>
  <c r="I331" i="5"/>
  <c r="H331" i="5"/>
  <c r="G331" i="5"/>
  <c r="F331" i="5"/>
  <c r="E331" i="5"/>
  <c r="D331" i="5"/>
  <c r="C331" i="5"/>
  <c r="B331" i="5"/>
  <c r="A331" i="5"/>
  <c r="CS330" i="5"/>
  <c r="CM330" i="5"/>
  <c r="CG330" i="5"/>
  <c r="CF330" i="5"/>
  <c r="CE330" i="5"/>
  <c r="CD330" i="5"/>
  <c r="CC330" i="5"/>
  <c r="CB330" i="5"/>
  <c r="CA330" i="5"/>
  <c r="BZ330" i="5"/>
  <c r="BY330" i="5"/>
  <c r="BW330" i="5"/>
  <c r="BV330" i="5"/>
  <c r="BU330" i="5"/>
  <c r="BS330" i="5"/>
  <c r="BR330" i="5"/>
  <c r="BQ330" i="5"/>
  <c r="BP330" i="5"/>
  <c r="BO330" i="5"/>
  <c r="BM330" i="5"/>
  <c r="BH330" i="5"/>
  <c r="BG330" i="5"/>
  <c r="BF330" i="5"/>
  <c r="BE330" i="5"/>
  <c r="BD330" i="5"/>
  <c r="BC330" i="5"/>
  <c r="BB330" i="5"/>
  <c r="AY330" i="5"/>
  <c r="AX330" i="5"/>
  <c r="AW330" i="5"/>
  <c r="AV330" i="5"/>
  <c r="AU330" i="5"/>
  <c r="AT330" i="5"/>
  <c r="AS330" i="5"/>
  <c r="AR330" i="5"/>
  <c r="AQ330" i="5"/>
  <c r="AP330" i="5"/>
  <c r="AO330" i="5"/>
  <c r="AN330" i="5"/>
  <c r="AM330" i="5"/>
  <c r="AL330" i="5"/>
  <c r="AH330" i="5"/>
  <c r="AF330" i="5"/>
  <c r="AE330" i="5"/>
  <c r="AD330" i="5"/>
  <c r="AB330" i="5"/>
  <c r="Y330" i="5"/>
  <c r="X330" i="5"/>
  <c r="W330" i="5"/>
  <c r="V330" i="5"/>
  <c r="U330" i="5"/>
  <c r="T330" i="5"/>
  <c r="S330" i="5"/>
  <c r="R330" i="5"/>
  <c r="Q330" i="5"/>
  <c r="P330" i="5"/>
  <c r="O330" i="5"/>
  <c r="N330" i="5"/>
  <c r="M330" i="5"/>
  <c r="L330" i="5"/>
  <c r="K330" i="5"/>
  <c r="J330" i="5"/>
  <c r="I330" i="5"/>
  <c r="H330" i="5"/>
  <c r="G330" i="5"/>
  <c r="F330" i="5"/>
  <c r="E330" i="5"/>
  <c r="D330" i="5"/>
  <c r="C330" i="5"/>
  <c r="B330" i="5"/>
  <c r="A330" i="5"/>
  <c r="CS329" i="5"/>
  <c r="CM329" i="5"/>
  <c r="CG329" i="5"/>
  <c r="CF329" i="5"/>
  <c r="CE329" i="5"/>
  <c r="CD329" i="5"/>
  <c r="CC329" i="5"/>
  <c r="CB329" i="5"/>
  <c r="CA329" i="5"/>
  <c r="BZ329" i="5"/>
  <c r="BY329" i="5"/>
  <c r="BX329" i="5"/>
  <c r="BW329" i="5"/>
  <c r="BV329" i="5"/>
  <c r="BU329" i="5"/>
  <c r="BS329" i="5"/>
  <c r="BR329" i="5"/>
  <c r="BQ329" i="5"/>
  <c r="BP329" i="5"/>
  <c r="BO329" i="5"/>
  <c r="BM329" i="5"/>
  <c r="BH329" i="5"/>
  <c r="BG329" i="5"/>
  <c r="BF329" i="5"/>
  <c r="BE329" i="5"/>
  <c r="BD329" i="5"/>
  <c r="BC329" i="5"/>
  <c r="BB329" i="5"/>
  <c r="AY329" i="5"/>
  <c r="AX329" i="5"/>
  <c r="AW329" i="5"/>
  <c r="AV329" i="5"/>
  <c r="AU329" i="5"/>
  <c r="AT329" i="5"/>
  <c r="AR329" i="5"/>
  <c r="AQ329" i="5"/>
  <c r="AP329" i="5"/>
  <c r="AO329" i="5"/>
  <c r="AN329" i="5"/>
  <c r="AM329" i="5"/>
  <c r="AL329" i="5"/>
  <c r="AH329" i="5"/>
  <c r="AF329" i="5"/>
  <c r="AE329" i="5"/>
  <c r="AD329" i="5"/>
  <c r="AB329" i="5"/>
  <c r="Y329" i="5"/>
  <c r="X329" i="5"/>
  <c r="W329" i="5"/>
  <c r="V329" i="5"/>
  <c r="U329" i="5"/>
  <c r="T329" i="5"/>
  <c r="S329" i="5"/>
  <c r="R329" i="5"/>
  <c r="Q329" i="5"/>
  <c r="P329" i="5"/>
  <c r="O329" i="5"/>
  <c r="N329" i="5"/>
  <c r="M329" i="5"/>
  <c r="L329" i="5"/>
  <c r="K329" i="5"/>
  <c r="J329" i="5"/>
  <c r="I329" i="5"/>
  <c r="H329" i="5"/>
  <c r="G329" i="5"/>
  <c r="F329" i="5"/>
  <c r="E329" i="5"/>
  <c r="D329" i="5"/>
  <c r="C329" i="5"/>
  <c r="B329" i="5"/>
  <c r="A329" i="5"/>
  <c r="CS328" i="5"/>
  <c r="CM328" i="5"/>
  <c r="CG328" i="5"/>
  <c r="CF328" i="5"/>
  <c r="CE328" i="5"/>
  <c r="CD328" i="5"/>
  <c r="CC328" i="5"/>
  <c r="CB328" i="5"/>
  <c r="CA328" i="5"/>
  <c r="BZ328" i="5"/>
  <c r="BY328" i="5"/>
  <c r="BX328" i="5"/>
  <c r="BW328" i="5"/>
  <c r="BV328" i="5"/>
  <c r="BU328" i="5"/>
  <c r="BS328" i="5"/>
  <c r="BR328" i="5"/>
  <c r="BQ328" i="5"/>
  <c r="BP328" i="5"/>
  <c r="BO328" i="5"/>
  <c r="BM328" i="5"/>
  <c r="BH328" i="5"/>
  <c r="BG328" i="5"/>
  <c r="BF328" i="5"/>
  <c r="BE328" i="5"/>
  <c r="BD328" i="5"/>
  <c r="BC328" i="5"/>
  <c r="BB328" i="5"/>
  <c r="AY328" i="5"/>
  <c r="AX328" i="5"/>
  <c r="AW328" i="5"/>
  <c r="AV328" i="5"/>
  <c r="AU328" i="5"/>
  <c r="AT328" i="5"/>
  <c r="AR328" i="5"/>
  <c r="AQ328" i="5"/>
  <c r="AP328" i="5"/>
  <c r="AO328" i="5"/>
  <c r="AN328" i="5"/>
  <c r="AM328" i="5"/>
  <c r="AL328" i="5"/>
  <c r="AH328" i="5"/>
  <c r="AF328" i="5"/>
  <c r="AE328" i="5"/>
  <c r="AD328" i="5"/>
  <c r="AB328" i="5"/>
  <c r="Y328" i="5"/>
  <c r="X328" i="5"/>
  <c r="W328" i="5"/>
  <c r="V328" i="5"/>
  <c r="U328" i="5"/>
  <c r="T328" i="5"/>
  <c r="S328" i="5"/>
  <c r="R328" i="5"/>
  <c r="Q328" i="5"/>
  <c r="P328" i="5"/>
  <c r="O328" i="5"/>
  <c r="N328" i="5"/>
  <c r="M328" i="5"/>
  <c r="L328" i="5"/>
  <c r="K328" i="5"/>
  <c r="J328" i="5"/>
  <c r="I328" i="5"/>
  <c r="H328" i="5"/>
  <c r="G328" i="5"/>
  <c r="F328" i="5"/>
  <c r="E328" i="5"/>
  <c r="D328" i="5"/>
  <c r="C328" i="5"/>
  <c r="B328" i="5"/>
  <c r="A328" i="5"/>
  <c r="CS327" i="5"/>
  <c r="CM327" i="5"/>
  <c r="CG327" i="5"/>
  <c r="CF327" i="5"/>
  <c r="CE327" i="5"/>
  <c r="CD327" i="5"/>
  <c r="CC327" i="5"/>
  <c r="CB327" i="5"/>
  <c r="CA327" i="5"/>
  <c r="BZ327" i="5"/>
  <c r="BY327" i="5"/>
  <c r="BW327" i="5"/>
  <c r="BV327" i="5"/>
  <c r="BU327" i="5"/>
  <c r="BS327" i="5"/>
  <c r="BR327" i="5"/>
  <c r="BQ327" i="5"/>
  <c r="BP327" i="5"/>
  <c r="BO327" i="5"/>
  <c r="BM327" i="5"/>
  <c r="BH327" i="5"/>
  <c r="BF327" i="5"/>
  <c r="BE327" i="5"/>
  <c r="BD327" i="5"/>
  <c r="BC327" i="5"/>
  <c r="BB327" i="5"/>
  <c r="AY327" i="5"/>
  <c r="AX327" i="5"/>
  <c r="AW327" i="5"/>
  <c r="AV327" i="5"/>
  <c r="AU327" i="5"/>
  <c r="AT327" i="5"/>
  <c r="AS327" i="5"/>
  <c r="AR327" i="5"/>
  <c r="AQ327" i="5"/>
  <c r="AP327" i="5"/>
  <c r="AO327" i="5"/>
  <c r="AN327" i="5"/>
  <c r="AM327" i="5"/>
  <c r="AL327" i="5"/>
  <c r="AH327" i="5"/>
  <c r="AF327" i="5"/>
  <c r="AD327" i="5"/>
  <c r="AB327" i="5"/>
  <c r="Z327" i="5"/>
  <c r="X327" i="5"/>
  <c r="W327" i="5"/>
  <c r="V327" i="5"/>
  <c r="U327" i="5"/>
  <c r="T327" i="5"/>
  <c r="S327" i="5"/>
  <c r="R327" i="5"/>
  <c r="Q327" i="5"/>
  <c r="P327" i="5"/>
  <c r="O327" i="5"/>
  <c r="N327" i="5"/>
  <c r="M327" i="5"/>
  <c r="L327" i="5"/>
  <c r="K327" i="5"/>
  <c r="J327" i="5"/>
  <c r="I327" i="5"/>
  <c r="H327" i="5"/>
  <c r="G327" i="5"/>
  <c r="F327" i="5"/>
  <c r="E327" i="5"/>
  <c r="D327" i="5"/>
  <c r="C327" i="5"/>
  <c r="B327" i="5"/>
  <c r="A327" i="5"/>
  <c r="CS326" i="5"/>
  <c r="CM326" i="5"/>
  <c r="CG326" i="5"/>
  <c r="CF326" i="5"/>
  <c r="CE326" i="5"/>
  <c r="CD326" i="5"/>
  <c r="CC326" i="5"/>
  <c r="CB326" i="5"/>
  <c r="CA326" i="5"/>
  <c r="BZ326" i="5"/>
  <c r="BY326" i="5"/>
  <c r="BW326" i="5"/>
  <c r="BV326" i="5"/>
  <c r="BU326" i="5"/>
  <c r="BS326" i="5"/>
  <c r="BQ326" i="5"/>
  <c r="BP326" i="5"/>
  <c r="BO326" i="5"/>
  <c r="BM326" i="5"/>
  <c r="BF326" i="5"/>
  <c r="BC326" i="5"/>
  <c r="AY326" i="5"/>
  <c r="AX326" i="5"/>
  <c r="AW326" i="5"/>
  <c r="AV326" i="5"/>
  <c r="AU326" i="5"/>
  <c r="AT326" i="5"/>
  <c r="AS326" i="5"/>
  <c r="AR326" i="5"/>
  <c r="AQ326" i="5"/>
  <c r="AP326" i="5"/>
  <c r="AO326" i="5"/>
  <c r="AN326" i="5"/>
  <c r="AM326" i="5"/>
  <c r="AL326" i="5"/>
  <c r="AH326" i="5"/>
  <c r="AF326" i="5"/>
  <c r="AD326" i="5"/>
  <c r="AB326" i="5"/>
  <c r="Y326" i="5"/>
  <c r="X326" i="5"/>
  <c r="W326" i="5"/>
  <c r="V326" i="5"/>
  <c r="U326" i="5"/>
  <c r="T326" i="5"/>
  <c r="S326" i="5"/>
  <c r="R326" i="5"/>
  <c r="Q326" i="5"/>
  <c r="P326" i="5"/>
  <c r="O326" i="5"/>
  <c r="N326" i="5"/>
  <c r="M326" i="5"/>
  <c r="L326" i="5"/>
  <c r="K326" i="5"/>
  <c r="J326" i="5"/>
  <c r="I326" i="5"/>
  <c r="H326" i="5"/>
  <c r="G326" i="5"/>
  <c r="F326" i="5"/>
  <c r="E326" i="5"/>
  <c r="D326" i="5"/>
  <c r="C326" i="5"/>
  <c r="B326" i="5"/>
  <c r="A326" i="5"/>
  <c r="CS325" i="5"/>
  <c r="CM325" i="5"/>
  <c r="CG325" i="5"/>
  <c r="CF325" i="5"/>
  <c r="CE325" i="5"/>
  <c r="CD325" i="5"/>
  <c r="CC325" i="5"/>
  <c r="CB325" i="5"/>
  <c r="CA325" i="5"/>
  <c r="BZ325" i="5"/>
  <c r="BY325" i="5"/>
  <c r="BX325" i="5"/>
  <c r="BW325" i="5"/>
  <c r="BS325" i="5"/>
  <c r="BR325" i="5"/>
  <c r="BQ325" i="5"/>
  <c r="BP325" i="5"/>
  <c r="BO325" i="5"/>
  <c r="BM325" i="5"/>
  <c r="BF325" i="5"/>
  <c r="BC325" i="5"/>
  <c r="AY325" i="5"/>
  <c r="AX325" i="5"/>
  <c r="AW325" i="5"/>
  <c r="AV325" i="5"/>
  <c r="AU325" i="5"/>
  <c r="AT325" i="5"/>
  <c r="AR325" i="5"/>
  <c r="AQ325" i="5"/>
  <c r="AP325" i="5"/>
  <c r="AO325" i="5"/>
  <c r="AN325" i="5"/>
  <c r="AM325" i="5"/>
  <c r="AL325" i="5"/>
  <c r="AH325" i="5"/>
  <c r="AF325" i="5"/>
  <c r="AD325" i="5"/>
  <c r="AB325" i="5"/>
  <c r="Y325" i="5"/>
  <c r="X325" i="5"/>
  <c r="W325" i="5"/>
  <c r="V325" i="5"/>
  <c r="U325" i="5"/>
  <c r="T325" i="5"/>
  <c r="S325" i="5"/>
  <c r="R325" i="5"/>
  <c r="Q325" i="5"/>
  <c r="P325" i="5"/>
  <c r="O325" i="5"/>
  <c r="N325" i="5"/>
  <c r="M325" i="5"/>
  <c r="L325" i="5"/>
  <c r="K325" i="5"/>
  <c r="J325" i="5"/>
  <c r="I325" i="5"/>
  <c r="H325" i="5"/>
  <c r="G325" i="5"/>
  <c r="F325" i="5"/>
  <c r="E325" i="5"/>
  <c r="D325" i="5"/>
  <c r="C325" i="5"/>
  <c r="B325" i="5"/>
  <c r="A325" i="5"/>
  <c r="CS324" i="5"/>
  <c r="CM324" i="5"/>
  <c r="CG324" i="5"/>
  <c r="CF324" i="5"/>
  <c r="CE324" i="5"/>
  <c r="CD324" i="5"/>
  <c r="CC324" i="5"/>
  <c r="CB324" i="5"/>
  <c r="CA324" i="5"/>
  <c r="BZ324" i="5"/>
  <c r="BY324" i="5"/>
  <c r="BX324" i="5"/>
  <c r="BW324" i="5"/>
  <c r="BS324" i="5"/>
  <c r="BR324" i="5"/>
  <c r="BQ324" i="5"/>
  <c r="BP324" i="5"/>
  <c r="BO324" i="5"/>
  <c r="BM324" i="5"/>
  <c r="BF324" i="5"/>
  <c r="BC324" i="5"/>
  <c r="AY324" i="5"/>
  <c r="AX324" i="5"/>
  <c r="AW324" i="5"/>
  <c r="AV324" i="5"/>
  <c r="AU324" i="5"/>
  <c r="AT324" i="5"/>
  <c r="AS324" i="5"/>
  <c r="AR324" i="5"/>
  <c r="AQ324" i="5"/>
  <c r="AP324" i="5"/>
  <c r="AO324" i="5"/>
  <c r="AN324" i="5"/>
  <c r="AM324" i="5"/>
  <c r="AL324" i="5"/>
  <c r="AH324" i="5"/>
  <c r="AF324" i="5"/>
  <c r="AD324" i="5"/>
  <c r="AB324" i="5"/>
  <c r="Y324" i="5"/>
  <c r="X324" i="5"/>
  <c r="W324" i="5"/>
  <c r="V324" i="5"/>
  <c r="U324" i="5"/>
  <c r="T324" i="5"/>
  <c r="S324" i="5"/>
  <c r="R324" i="5"/>
  <c r="Q324" i="5"/>
  <c r="P324" i="5"/>
  <c r="O324" i="5"/>
  <c r="N324" i="5"/>
  <c r="M324" i="5"/>
  <c r="L324" i="5"/>
  <c r="K324" i="5"/>
  <c r="J324" i="5"/>
  <c r="I324" i="5"/>
  <c r="H324" i="5"/>
  <c r="G324" i="5"/>
  <c r="F324" i="5"/>
  <c r="E324" i="5"/>
  <c r="D324" i="5"/>
  <c r="C324" i="5"/>
  <c r="B324" i="5"/>
  <c r="A324" i="5"/>
  <c r="CS323" i="5"/>
  <c r="CM323" i="5"/>
  <c r="CG323" i="5"/>
  <c r="CF323" i="5"/>
  <c r="CE323" i="5"/>
  <c r="CD323" i="5"/>
  <c r="CC323" i="5"/>
  <c r="CB323" i="5"/>
  <c r="CA323" i="5"/>
  <c r="BZ323" i="5"/>
  <c r="BY323" i="5"/>
  <c r="BX323" i="5"/>
  <c r="BW323" i="5"/>
  <c r="BS323" i="5"/>
  <c r="BR323" i="5"/>
  <c r="BQ323" i="5"/>
  <c r="BP323" i="5"/>
  <c r="BO323" i="5"/>
  <c r="BM323" i="5"/>
  <c r="BF323" i="5"/>
  <c r="BC323" i="5"/>
  <c r="AY323" i="5"/>
  <c r="AX323" i="5"/>
  <c r="AW323" i="5"/>
  <c r="AV323" i="5"/>
  <c r="AU323" i="5"/>
  <c r="AT323" i="5"/>
  <c r="AR323" i="5"/>
  <c r="AQ323" i="5"/>
  <c r="AP323" i="5"/>
  <c r="AO323" i="5"/>
  <c r="AN323" i="5"/>
  <c r="AM323" i="5"/>
  <c r="AL323" i="5"/>
  <c r="AH323" i="5"/>
  <c r="AF323" i="5"/>
  <c r="AD323" i="5"/>
  <c r="AB323" i="5"/>
  <c r="Y323" i="5"/>
  <c r="X323" i="5"/>
  <c r="W323" i="5"/>
  <c r="V323" i="5"/>
  <c r="U323" i="5"/>
  <c r="T323" i="5"/>
  <c r="S323" i="5"/>
  <c r="R323" i="5"/>
  <c r="Q323" i="5"/>
  <c r="P323" i="5"/>
  <c r="O323" i="5"/>
  <c r="N323" i="5"/>
  <c r="M323" i="5"/>
  <c r="L323" i="5"/>
  <c r="K323" i="5"/>
  <c r="J323" i="5"/>
  <c r="I323" i="5"/>
  <c r="H323" i="5"/>
  <c r="G323" i="5"/>
  <c r="F323" i="5"/>
  <c r="E323" i="5"/>
  <c r="D323" i="5"/>
  <c r="C323" i="5"/>
  <c r="B323" i="5"/>
  <c r="A323" i="5"/>
  <c r="CS322" i="5"/>
  <c r="CM322" i="5"/>
  <c r="CG322" i="5"/>
  <c r="CF322" i="5"/>
  <c r="CE322" i="5"/>
  <c r="CD322" i="5"/>
  <c r="CC322" i="5"/>
  <c r="CB322" i="5"/>
  <c r="CA322" i="5"/>
  <c r="BY322" i="5"/>
  <c r="BW322" i="5"/>
  <c r="BV322" i="5"/>
  <c r="BU322" i="5"/>
  <c r="BQ322" i="5"/>
  <c r="BP322" i="5"/>
  <c r="BO322" i="5"/>
  <c r="BM322" i="5"/>
  <c r="BF322" i="5"/>
  <c r="BC322" i="5"/>
  <c r="AY322" i="5"/>
  <c r="AX322" i="5"/>
  <c r="AW322" i="5"/>
  <c r="AV322" i="5"/>
  <c r="AU322" i="5"/>
  <c r="AT322" i="5"/>
  <c r="AR322" i="5"/>
  <c r="AQ322" i="5"/>
  <c r="AP322" i="5"/>
  <c r="AO322" i="5"/>
  <c r="AN322" i="5"/>
  <c r="AM322" i="5"/>
  <c r="AL322" i="5"/>
  <c r="AH322" i="5"/>
  <c r="AF322" i="5"/>
  <c r="AD322" i="5"/>
  <c r="AB322" i="5"/>
  <c r="Y322" i="5"/>
  <c r="X322" i="5"/>
  <c r="W322" i="5"/>
  <c r="V322" i="5"/>
  <c r="U322" i="5"/>
  <c r="T322" i="5"/>
  <c r="S322" i="5"/>
  <c r="R322" i="5"/>
  <c r="Q322" i="5"/>
  <c r="P322" i="5"/>
  <c r="O322" i="5"/>
  <c r="N322" i="5"/>
  <c r="M322" i="5"/>
  <c r="L322" i="5"/>
  <c r="K322" i="5"/>
  <c r="J322" i="5"/>
  <c r="I322" i="5"/>
  <c r="H322" i="5"/>
  <c r="G322" i="5"/>
  <c r="F322" i="5"/>
  <c r="E322" i="5"/>
  <c r="D322" i="5"/>
  <c r="C322" i="5"/>
  <c r="B322" i="5"/>
  <c r="A322" i="5"/>
  <c r="CS321" i="5"/>
  <c r="CM321" i="5"/>
  <c r="CG321" i="5"/>
  <c r="CF321" i="5"/>
  <c r="CE321" i="5"/>
  <c r="CD321" i="5"/>
  <c r="CC321" i="5"/>
  <c r="CB321" i="5"/>
  <c r="CA321" i="5"/>
  <c r="BY321" i="5"/>
  <c r="BW321" i="5"/>
  <c r="BV321" i="5"/>
  <c r="BU321" i="5"/>
  <c r="BQ321" i="5"/>
  <c r="BP321" i="5"/>
  <c r="BO321" i="5"/>
  <c r="BM321" i="5"/>
  <c r="BF321" i="5"/>
  <c r="BC321" i="5"/>
  <c r="AY321" i="5"/>
  <c r="AX321" i="5"/>
  <c r="AW321" i="5"/>
  <c r="AV321" i="5"/>
  <c r="AU321" i="5"/>
  <c r="AT321" i="5"/>
  <c r="AR321" i="5"/>
  <c r="AQ321" i="5"/>
  <c r="AP321" i="5"/>
  <c r="AO321" i="5"/>
  <c r="AN321" i="5"/>
  <c r="AM321" i="5"/>
  <c r="AL321" i="5"/>
  <c r="AH321" i="5"/>
  <c r="AF321" i="5"/>
  <c r="AD321" i="5"/>
  <c r="AB321" i="5"/>
  <c r="Y321" i="5"/>
  <c r="X321" i="5"/>
  <c r="W321" i="5"/>
  <c r="V321" i="5"/>
  <c r="U321" i="5"/>
  <c r="T321" i="5"/>
  <c r="S321" i="5"/>
  <c r="R321" i="5"/>
  <c r="Q321" i="5"/>
  <c r="P321" i="5"/>
  <c r="O321" i="5"/>
  <c r="N321" i="5"/>
  <c r="M321" i="5"/>
  <c r="L321" i="5"/>
  <c r="K321" i="5"/>
  <c r="J321" i="5"/>
  <c r="I321" i="5"/>
  <c r="H321" i="5"/>
  <c r="G321" i="5"/>
  <c r="F321" i="5"/>
  <c r="E321" i="5"/>
  <c r="D321" i="5"/>
  <c r="C321" i="5"/>
  <c r="B321" i="5"/>
  <c r="A321" i="5"/>
  <c r="CS320" i="5"/>
  <c r="CM320" i="5"/>
  <c r="CG320" i="5"/>
  <c r="CF320" i="5"/>
  <c r="CE320" i="5"/>
  <c r="CD320" i="5"/>
  <c r="CC320" i="5"/>
  <c r="CB320" i="5"/>
  <c r="CA320" i="5"/>
  <c r="BY320" i="5"/>
  <c r="BW320" i="5"/>
  <c r="BV320" i="5"/>
  <c r="BU320" i="5"/>
  <c r="BQ320" i="5"/>
  <c r="BP320" i="5"/>
  <c r="BO320" i="5"/>
  <c r="BM320" i="5"/>
  <c r="BF320" i="5"/>
  <c r="BC320" i="5"/>
  <c r="AY320" i="5"/>
  <c r="AX320" i="5"/>
  <c r="AW320" i="5"/>
  <c r="AV320" i="5"/>
  <c r="AU320" i="5"/>
  <c r="AT320" i="5"/>
  <c r="AR320" i="5"/>
  <c r="AQ320" i="5"/>
  <c r="AP320" i="5"/>
  <c r="AO320" i="5"/>
  <c r="AN320" i="5"/>
  <c r="AM320" i="5"/>
  <c r="AL320" i="5"/>
  <c r="AH320" i="5"/>
  <c r="AF320" i="5"/>
  <c r="AD320" i="5"/>
  <c r="AB320" i="5"/>
  <c r="Y320" i="5"/>
  <c r="X320" i="5"/>
  <c r="W320" i="5"/>
  <c r="V320" i="5"/>
  <c r="U320" i="5"/>
  <c r="T320" i="5"/>
  <c r="S320" i="5"/>
  <c r="R320" i="5"/>
  <c r="Q320" i="5"/>
  <c r="P320" i="5"/>
  <c r="O320" i="5"/>
  <c r="N320" i="5"/>
  <c r="M320" i="5"/>
  <c r="L320" i="5"/>
  <c r="K320" i="5"/>
  <c r="J320" i="5"/>
  <c r="I320" i="5"/>
  <c r="H320" i="5"/>
  <c r="G320" i="5"/>
  <c r="F320" i="5"/>
  <c r="E320" i="5"/>
  <c r="D320" i="5"/>
  <c r="C320" i="5"/>
  <c r="B320" i="5"/>
  <c r="A320" i="5"/>
  <c r="CS319" i="5"/>
  <c r="CM319" i="5"/>
  <c r="CG319" i="5"/>
  <c r="CF319" i="5"/>
  <c r="CE319" i="5"/>
  <c r="CD319" i="5"/>
  <c r="CC319" i="5"/>
  <c r="CB319" i="5"/>
  <c r="CA319" i="5"/>
  <c r="BY319" i="5"/>
  <c r="BW319" i="5"/>
  <c r="BV319" i="5"/>
  <c r="BU319" i="5"/>
  <c r="BQ319" i="5"/>
  <c r="BP319" i="5"/>
  <c r="BO319" i="5"/>
  <c r="BM319" i="5"/>
  <c r="BF319" i="5"/>
  <c r="BC319" i="5"/>
  <c r="AY319" i="5"/>
  <c r="AX319" i="5"/>
  <c r="AW319" i="5"/>
  <c r="AV319" i="5"/>
  <c r="AU319" i="5"/>
  <c r="AT319" i="5"/>
  <c r="AS319" i="5"/>
  <c r="AR319" i="5"/>
  <c r="AQ319" i="5"/>
  <c r="AP319" i="5"/>
  <c r="AO319" i="5"/>
  <c r="AN319" i="5"/>
  <c r="AM319" i="5"/>
  <c r="AL319" i="5"/>
  <c r="AH319" i="5"/>
  <c r="AF319" i="5"/>
  <c r="AD319" i="5"/>
  <c r="AB319" i="5"/>
  <c r="Y319" i="5"/>
  <c r="X319" i="5"/>
  <c r="W319" i="5"/>
  <c r="V319" i="5"/>
  <c r="U319" i="5"/>
  <c r="T319" i="5"/>
  <c r="S319" i="5"/>
  <c r="R319" i="5"/>
  <c r="Q319" i="5"/>
  <c r="P319" i="5"/>
  <c r="O319" i="5"/>
  <c r="N319" i="5"/>
  <c r="M319" i="5"/>
  <c r="L319" i="5"/>
  <c r="K319" i="5"/>
  <c r="J319" i="5"/>
  <c r="I319" i="5"/>
  <c r="H319" i="5"/>
  <c r="G319" i="5"/>
  <c r="F319" i="5"/>
  <c r="E319" i="5"/>
  <c r="D319" i="5"/>
  <c r="C319" i="5"/>
  <c r="B319" i="5"/>
  <c r="A319" i="5"/>
  <c r="CS318" i="5"/>
  <c r="CM318" i="5"/>
  <c r="CG318" i="5"/>
  <c r="CF318" i="5"/>
  <c r="CE318" i="5"/>
  <c r="CD318" i="5"/>
  <c r="CC318" i="5"/>
  <c r="CB318" i="5"/>
  <c r="CA318" i="5"/>
  <c r="BY318" i="5"/>
  <c r="BW318" i="5"/>
  <c r="BV318" i="5"/>
  <c r="BU318" i="5"/>
  <c r="BQ318" i="5"/>
  <c r="BP318" i="5"/>
  <c r="BO318" i="5"/>
  <c r="BM318" i="5"/>
  <c r="BF318" i="5"/>
  <c r="BC318" i="5"/>
  <c r="AY318" i="5"/>
  <c r="AX318" i="5"/>
  <c r="AW318" i="5"/>
  <c r="AV318" i="5"/>
  <c r="AU318" i="5"/>
  <c r="AT318" i="5"/>
  <c r="AS318" i="5"/>
  <c r="AR318" i="5"/>
  <c r="AQ318" i="5"/>
  <c r="AP318" i="5"/>
  <c r="AO318" i="5"/>
  <c r="AN318" i="5"/>
  <c r="AM318" i="5"/>
  <c r="AL318" i="5"/>
  <c r="AH318" i="5"/>
  <c r="AF318" i="5"/>
  <c r="AE318" i="5"/>
  <c r="AD318" i="5"/>
  <c r="AB318" i="5"/>
  <c r="Y318" i="5"/>
  <c r="X318" i="5"/>
  <c r="W318" i="5"/>
  <c r="V318" i="5"/>
  <c r="U318" i="5"/>
  <c r="T318" i="5"/>
  <c r="S318" i="5"/>
  <c r="R318" i="5"/>
  <c r="Q318" i="5"/>
  <c r="P318" i="5"/>
  <c r="O318" i="5"/>
  <c r="N318" i="5"/>
  <c r="M318" i="5"/>
  <c r="L318" i="5"/>
  <c r="K318" i="5"/>
  <c r="J318" i="5"/>
  <c r="I318" i="5"/>
  <c r="H318" i="5"/>
  <c r="G318" i="5"/>
  <c r="F318" i="5"/>
  <c r="E318" i="5"/>
  <c r="D318" i="5"/>
  <c r="C318" i="5"/>
  <c r="B318" i="5"/>
  <c r="A318" i="5"/>
  <c r="CS317" i="5"/>
  <c r="CM317" i="5"/>
  <c r="CG317" i="5"/>
  <c r="CF317" i="5"/>
  <c r="CE317" i="5"/>
  <c r="CD317" i="5"/>
  <c r="CC317" i="5"/>
  <c r="CB317" i="5"/>
  <c r="CA317" i="5"/>
  <c r="BY317" i="5"/>
  <c r="BW317" i="5"/>
  <c r="BV317" i="5"/>
  <c r="BU317" i="5"/>
  <c r="BQ317" i="5"/>
  <c r="BP317" i="5"/>
  <c r="BO317" i="5"/>
  <c r="BM317" i="5"/>
  <c r="BF317" i="5"/>
  <c r="BC317" i="5"/>
  <c r="AZ317" i="5"/>
  <c r="AY317" i="5"/>
  <c r="AX317" i="5"/>
  <c r="AW317" i="5"/>
  <c r="AV317" i="5"/>
  <c r="AU317" i="5"/>
  <c r="AT317" i="5"/>
  <c r="AS317" i="5"/>
  <c r="AR317" i="5"/>
  <c r="AQ317" i="5"/>
  <c r="AP317" i="5"/>
  <c r="AO317" i="5"/>
  <c r="AN317" i="5"/>
  <c r="AM317" i="5"/>
  <c r="AL317" i="5"/>
  <c r="AH317" i="5"/>
  <c r="AF317" i="5"/>
  <c r="AD317" i="5"/>
  <c r="AB317" i="5"/>
  <c r="Y317" i="5"/>
  <c r="X317" i="5"/>
  <c r="W317" i="5"/>
  <c r="V317" i="5"/>
  <c r="U317" i="5"/>
  <c r="T317" i="5"/>
  <c r="S317" i="5"/>
  <c r="R317" i="5"/>
  <c r="Q317" i="5"/>
  <c r="P317" i="5"/>
  <c r="O317" i="5"/>
  <c r="N317" i="5"/>
  <c r="M317" i="5"/>
  <c r="L317" i="5"/>
  <c r="K317" i="5"/>
  <c r="J317" i="5"/>
  <c r="I317" i="5"/>
  <c r="H317" i="5"/>
  <c r="G317" i="5"/>
  <c r="F317" i="5"/>
  <c r="E317" i="5"/>
  <c r="D317" i="5"/>
  <c r="C317" i="5"/>
  <c r="B317" i="5"/>
  <c r="A317" i="5"/>
  <c r="CS316" i="5"/>
  <c r="CM316" i="5"/>
  <c r="CG316" i="5"/>
  <c r="CF316" i="5"/>
  <c r="CE316" i="5"/>
  <c r="CD316" i="5"/>
  <c r="CC316" i="5"/>
  <c r="CB316" i="5"/>
  <c r="CA316" i="5"/>
  <c r="BY316" i="5"/>
  <c r="BW316" i="5"/>
  <c r="BV316" i="5"/>
  <c r="BU316" i="5"/>
  <c r="BQ316" i="5"/>
  <c r="BP316" i="5"/>
  <c r="BO316" i="5"/>
  <c r="BM316" i="5"/>
  <c r="BF316" i="5"/>
  <c r="BC316" i="5"/>
  <c r="AZ316" i="5"/>
  <c r="AY316" i="5"/>
  <c r="AX316" i="5"/>
  <c r="AW316" i="5"/>
  <c r="AV316" i="5"/>
  <c r="AU316" i="5"/>
  <c r="AT316" i="5"/>
  <c r="AR316" i="5"/>
  <c r="AQ316" i="5"/>
  <c r="AP316" i="5"/>
  <c r="AO316" i="5"/>
  <c r="AN316" i="5"/>
  <c r="AM316" i="5"/>
  <c r="AL316" i="5"/>
  <c r="AH316" i="5"/>
  <c r="AF316" i="5"/>
  <c r="AD316" i="5"/>
  <c r="AB316" i="5"/>
  <c r="Y316" i="5"/>
  <c r="X316" i="5"/>
  <c r="W316" i="5"/>
  <c r="V316" i="5"/>
  <c r="U316" i="5"/>
  <c r="T316" i="5"/>
  <c r="S316" i="5"/>
  <c r="R316" i="5"/>
  <c r="Q316" i="5"/>
  <c r="P316" i="5"/>
  <c r="O316" i="5"/>
  <c r="N316" i="5"/>
  <c r="M316" i="5"/>
  <c r="L316" i="5"/>
  <c r="K316" i="5"/>
  <c r="J316" i="5"/>
  <c r="I316" i="5"/>
  <c r="H316" i="5"/>
  <c r="G316" i="5"/>
  <c r="F316" i="5"/>
  <c r="E316" i="5"/>
  <c r="D316" i="5"/>
  <c r="C316" i="5"/>
  <c r="B316" i="5"/>
  <c r="A316" i="5"/>
  <c r="CS315" i="5"/>
  <c r="CM315" i="5"/>
  <c r="CG315" i="5"/>
  <c r="CF315" i="5"/>
  <c r="CE315" i="5"/>
  <c r="CD315" i="5"/>
  <c r="CC315" i="5"/>
  <c r="CB315" i="5"/>
  <c r="CA315" i="5"/>
  <c r="BY315" i="5"/>
  <c r="BW315" i="5"/>
  <c r="BV315" i="5"/>
  <c r="BU315" i="5"/>
  <c r="BQ315" i="5"/>
  <c r="BP315" i="5"/>
  <c r="BO315" i="5"/>
  <c r="BM315" i="5"/>
  <c r="BF315" i="5"/>
  <c r="BC315" i="5"/>
  <c r="AZ315" i="5"/>
  <c r="AY315" i="5"/>
  <c r="AX315" i="5"/>
  <c r="AW315" i="5"/>
  <c r="AV315" i="5"/>
  <c r="AU315" i="5"/>
  <c r="AT315" i="5"/>
  <c r="AR315" i="5"/>
  <c r="AQ315" i="5"/>
  <c r="AP315" i="5"/>
  <c r="AO315" i="5"/>
  <c r="AN315" i="5"/>
  <c r="AM315" i="5"/>
  <c r="AL315" i="5"/>
  <c r="AH315" i="5"/>
  <c r="AF315" i="5"/>
  <c r="AD315" i="5"/>
  <c r="AB315" i="5"/>
  <c r="Y315" i="5"/>
  <c r="X315" i="5"/>
  <c r="W315" i="5"/>
  <c r="V315" i="5"/>
  <c r="U315" i="5"/>
  <c r="T315" i="5"/>
  <c r="S315" i="5"/>
  <c r="R315" i="5"/>
  <c r="Q315" i="5"/>
  <c r="P315" i="5"/>
  <c r="O315" i="5"/>
  <c r="N315" i="5"/>
  <c r="M315" i="5"/>
  <c r="L315" i="5"/>
  <c r="K315" i="5"/>
  <c r="J315" i="5"/>
  <c r="I315" i="5"/>
  <c r="H315" i="5"/>
  <c r="G315" i="5"/>
  <c r="F315" i="5"/>
  <c r="E315" i="5"/>
  <c r="D315" i="5"/>
  <c r="C315" i="5"/>
  <c r="B315" i="5"/>
  <c r="A315" i="5"/>
  <c r="CS314" i="5"/>
  <c r="CM314" i="5"/>
  <c r="CG314" i="5"/>
  <c r="CF314" i="5"/>
  <c r="CE314" i="5"/>
  <c r="CD314" i="5"/>
  <c r="CC314" i="5"/>
  <c r="CB314" i="5"/>
  <c r="CA314" i="5"/>
  <c r="BY314" i="5"/>
  <c r="BX314" i="5"/>
  <c r="BW314" i="5"/>
  <c r="BV314" i="5"/>
  <c r="BU314" i="5"/>
  <c r="BQ314" i="5"/>
  <c r="BP314" i="5"/>
  <c r="BO314" i="5"/>
  <c r="BN314" i="5"/>
  <c r="BM314" i="5"/>
  <c r="BL314" i="5"/>
  <c r="BF314" i="5"/>
  <c r="BC314" i="5"/>
  <c r="AY314" i="5"/>
  <c r="AX314" i="5"/>
  <c r="AW314" i="5"/>
  <c r="AV314" i="5"/>
  <c r="AU314" i="5"/>
  <c r="AT314" i="5"/>
  <c r="AS314" i="5"/>
  <c r="AR314" i="5"/>
  <c r="AQ314" i="5"/>
  <c r="AP314" i="5"/>
  <c r="AO314" i="5"/>
  <c r="AN314" i="5"/>
  <c r="AM314" i="5"/>
  <c r="AL314" i="5"/>
  <c r="AH314" i="5"/>
  <c r="AF314" i="5"/>
  <c r="AD314" i="5"/>
  <c r="AB314" i="5"/>
  <c r="Y314" i="5"/>
  <c r="X314" i="5"/>
  <c r="W314" i="5"/>
  <c r="V314" i="5"/>
  <c r="U314" i="5"/>
  <c r="T314" i="5"/>
  <c r="S314" i="5"/>
  <c r="R314" i="5"/>
  <c r="Q314" i="5"/>
  <c r="P314" i="5"/>
  <c r="O314" i="5"/>
  <c r="N314" i="5"/>
  <c r="M314" i="5"/>
  <c r="L314" i="5"/>
  <c r="K314" i="5"/>
  <c r="J314" i="5"/>
  <c r="I314" i="5"/>
  <c r="H314" i="5"/>
  <c r="G314" i="5"/>
  <c r="F314" i="5"/>
  <c r="E314" i="5"/>
  <c r="D314" i="5"/>
  <c r="C314" i="5"/>
  <c r="B314" i="5"/>
  <c r="A314" i="5"/>
  <c r="CS313" i="5"/>
  <c r="CM313" i="5"/>
  <c r="CG313" i="5"/>
  <c r="CF313" i="5"/>
  <c r="CE313" i="5"/>
  <c r="CD313" i="5"/>
  <c r="CC313" i="5"/>
  <c r="CB313" i="5"/>
  <c r="CA313" i="5"/>
  <c r="BY313" i="5"/>
  <c r="BX313" i="5"/>
  <c r="BW313" i="5"/>
  <c r="BV313" i="5"/>
  <c r="BU313" i="5"/>
  <c r="BQ313" i="5"/>
  <c r="BP313" i="5"/>
  <c r="BO313" i="5"/>
  <c r="BM313" i="5"/>
  <c r="BF313" i="5"/>
  <c r="BC313" i="5"/>
  <c r="AY313" i="5"/>
  <c r="AX313" i="5"/>
  <c r="AW313" i="5"/>
  <c r="AV313" i="5"/>
  <c r="AU313" i="5"/>
  <c r="AT313" i="5"/>
  <c r="AS313" i="5"/>
  <c r="AR313" i="5"/>
  <c r="AQ313" i="5"/>
  <c r="AP313" i="5"/>
  <c r="AO313" i="5"/>
  <c r="AN313" i="5"/>
  <c r="AM313" i="5"/>
  <c r="AL313" i="5"/>
  <c r="AH313" i="5"/>
  <c r="AF313" i="5"/>
  <c r="AD313" i="5"/>
  <c r="AB313" i="5"/>
  <c r="Y313" i="5"/>
  <c r="X313" i="5"/>
  <c r="W313" i="5"/>
  <c r="V313" i="5"/>
  <c r="U313" i="5"/>
  <c r="T313" i="5"/>
  <c r="S313" i="5"/>
  <c r="R313" i="5"/>
  <c r="Q313" i="5"/>
  <c r="P313" i="5"/>
  <c r="O313" i="5"/>
  <c r="N313" i="5"/>
  <c r="M313" i="5"/>
  <c r="L313" i="5"/>
  <c r="K313" i="5"/>
  <c r="J313" i="5"/>
  <c r="I313" i="5"/>
  <c r="H313" i="5"/>
  <c r="G313" i="5"/>
  <c r="F313" i="5"/>
  <c r="E313" i="5"/>
  <c r="D313" i="5"/>
  <c r="C313" i="5"/>
  <c r="B313" i="5"/>
  <c r="A313" i="5"/>
  <c r="CS312" i="5"/>
  <c r="CM312" i="5"/>
  <c r="CG312" i="5"/>
  <c r="CF312" i="5"/>
  <c r="CE312" i="5"/>
  <c r="CD312" i="5"/>
  <c r="CC312" i="5"/>
  <c r="CB312" i="5"/>
  <c r="CA312" i="5"/>
  <c r="BY312" i="5"/>
  <c r="BW312" i="5"/>
  <c r="BV312" i="5"/>
  <c r="BU312" i="5"/>
  <c r="BQ312" i="5"/>
  <c r="BP312" i="5"/>
  <c r="BO312" i="5"/>
  <c r="BM312" i="5"/>
  <c r="BF312" i="5"/>
  <c r="BC312" i="5"/>
  <c r="AY312" i="5"/>
  <c r="AX312" i="5"/>
  <c r="AW312" i="5"/>
  <c r="AV312" i="5"/>
  <c r="AU312" i="5"/>
  <c r="AT312" i="5"/>
  <c r="AR312" i="5"/>
  <c r="AQ312" i="5"/>
  <c r="AP312" i="5"/>
  <c r="AO312" i="5"/>
  <c r="AN312" i="5"/>
  <c r="AM312" i="5"/>
  <c r="AL312" i="5"/>
  <c r="AH312" i="5"/>
  <c r="AF312" i="5"/>
  <c r="AD312" i="5"/>
  <c r="AB312" i="5"/>
  <c r="Y312" i="5"/>
  <c r="X312" i="5"/>
  <c r="W312" i="5"/>
  <c r="V312" i="5"/>
  <c r="U312" i="5"/>
  <c r="T312" i="5"/>
  <c r="S312" i="5"/>
  <c r="R312" i="5"/>
  <c r="Q312" i="5"/>
  <c r="P312" i="5"/>
  <c r="O312" i="5"/>
  <c r="N312" i="5"/>
  <c r="M312" i="5"/>
  <c r="L312" i="5"/>
  <c r="K312" i="5"/>
  <c r="J312" i="5"/>
  <c r="I312" i="5"/>
  <c r="H312" i="5"/>
  <c r="G312" i="5"/>
  <c r="F312" i="5"/>
  <c r="E312" i="5"/>
  <c r="D312" i="5"/>
  <c r="C312" i="5"/>
  <c r="B312" i="5"/>
  <c r="A312" i="5"/>
  <c r="CS311" i="5"/>
  <c r="CM311" i="5"/>
  <c r="CG311" i="5"/>
  <c r="CF311" i="5"/>
  <c r="CE311" i="5"/>
  <c r="CD311" i="5"/>
  <c r="CC311" i="5"/>
  <c r="CB311" i="5"/>
  <c r="CA311" i="5"/>
  <c r="BZ311" i="5"/>
  <c r="BY311" i="5"/>
  <c r="BX311" i="5"/>
  <c r="BW311" i="5"/>
  <c r="BV311" i="5"/>
  <c r="BU311" i="5"/>
  <c r="BS311" i="5"/>
  <c r="BR311" i="5"/>
  <c r="BQ311" i="5"/>
  <c r="BP311" i="5"/>
  <c r="BO311" i="5"/>
  <c r="BM311" i="5"/>
  <c r="BF311" i="5"/>
  <c r="BC311" i="5"/>
  <c r="AY311" i="5"/>
  <c r="AX311" i="5"/>
  <c r="AW311" i="5"/>
  <c r="AV311" i="5"/>
  <c r="AU311" i="5"/>
  <c r="AT311" i="5"/>
  <c r="AR311" i="5"/>
  <c r="AQ311" i="5"/>
  <c r="AP311" i="5"/>
  <c r="AO311" i="5"/>
  <c r="AN311" i="5"/>
  <c r="AM311" i="5"/>
  <c r="AL311" i="5"/>
  <c r="AH311" i="5"/>
  <c r="AF311" i="5"/>
  <c r="AD311" i="5"/>
  <c r="AB311" i="5"/>
  <c r="Y311" i="5"/>
  <c r="X311" i="5"/>
  <c r="W311" i="5"/>
  <c r="V311" i="5"/>
  <c r="U311" i="5"/>
  <c r="T311" i="5"/>
  <c r="S311" i="5"/>
  <c r="R311" i="5"/>
  <c r="Q311" i="5"/>
  <c r="P311" i="5"/>
  <c r="O311" i="5"/>
  <c r="N311" i="5"/>
  <c r="M311" i="5"/>
  <c r="L311" i="5"/>
  <c r="K311" i="5"/>
  <c r="J311" i="5"/>
  <c r="I311" i="5"/>
  <c r="H311" i="5"/>
  <c r="G311" i="5"/>
  <c r="F311" i="5"/>
  <c r="E311" i="5"/>
  <c r="D311" i="5"/>
  <c r="C311" i="5"/>
  <c r="B311" i="5"/>
  <c r="A311" i="5"/>
  <c r="CS310" i="5"/>
  <c r="CM310" i="5"/>
  <c r="CG310" i="5"/>
  <c r="CF310" i="5"/>
  <c r="CE310" i="5"/>
  <c r="CD310" i="5"/>
  <c r="CC310" i="5"/>
  <c r="CB310" i="5"/>
  <c r="CA310" i="5"/>
  <c r="BZ310" i="5"/>
  <c r="BY310" i="5"/>
  <c r="BW310" i="5"/>
  <c r="BV310" i="5"/>
  <c r="BU310" i="5"/>
  <c r="BS310" i="5"/>
  <c r="BR310" i="5"/>
  <c r="BQ310" i="5"/>
  <c r="BP310" i="5"/>
  <c r="BO310" i="5"/>
  <c r="BM310" i="5"/>
  <c r="BF310" i="5"/>
  <c r="BC310" i="5"/>
  <c r="AY310" i="5"/>
  <c r="AX310" i="5"/>
  <c r="AW310" i="5"/>
  <c r="AV310" i="5"/>
  <c r="AU310" i="5"/>
  <c r="AT310" i="5"/>
  <c r="AR310" i="5"/>
  <c r="AQ310" i="5"/>
  <c r="AP310" i="5"/>
  <c r="AO310" i="5"/>
  <c r="AN310" i="5"/>
  <c r="AM310" i="5"/>
  <c r="AL310" i="5"/>
  <c r="AH310" i="5"/>
  <c r="AF310" i="5"/>
  <c r="AD310" i="5"/>
  <c r="AB310" i="5"/>
  <c r="Y310" i="5"/>
  <c r="X310" i="5"/>
  <c r="W310" i="5"/>
  <c r="V310" i="5"/>
  <c r="U310" i="5"/>
  <c r="T310" i="5"/>
  <c r="S310" i="5"/>
  <c r="R310" i="5"/>
  <c r="Q310" i="5"/>
  <c r="P310" i="5"/>
  <c r="O310" i="5"/>
  <c r="N310" i="5"/>
  <c r="M310" i="5"/>
  <c r="L310" i="5"/>
  <c r="K310" i="5"/>
  <c r="J310" i="5"/>
  <c r="I310" i="5"/>
  <c r="H310" i="5"/>
  <c r="G310" i="5"/>
  <c r="F310" i="5"/>
  <c r="E310" i="5"/>
  <c r="D310" i="5"/>
  <c r="C310" i="5"/>
  <c r="B310" i="5"/>
  <c r="A310" i="5"/>
  <c r="CS309" i="5"/>
  <c r="CM309" i="5"/>
  <c r="CG309" i="5"/>
  <c r="CF309" i="5"/>
  <c r="CE309" i="5"/>
  <c r="CD309" i="5"/>
  <c r="CC309" i="5"/>
  <c r="CB309" i="5"/>
  <c r="CA309" i="5"/>
  <c r="BY309" i="5"/>
  <c r="BX309" i="5"/>
  <c r="BW309" i="5"/>
  <c r="BV309" i="5"/>
  <c r="BU309" i="5"/>
  <c r="BQ309" i="5"/>
  <c r="BP309" i="5"/>
  <c r="BO309" i="5"/>
  <c r="BM309" i="5"/>
  <c r="BF309" i="5"/>
  <c r="BC309" i="5"/>
  <c r="AY309" i="5"/>
  <c r="AX309" i="5"/>
  <c r="AW309" i="5"/>
  <c r="AV309" i="5"/>
  <c r="AU309" i="5"/>
  <c r="AT309" i="5"/>
  <c r="AR309" i="5"/>
  <c r="AQ309" i="5"/>
  <c r="AP309" i="5"/>
  <c r="AO309" i="5"/>
  <c r="AN309" i="5"/>
  <c r="AM309" i="5"/>
  <c r="AL309" i="5"/>
  <c r="AH309" i="5"/>
  <c r="AF309" i="5"/>
  <c r="AD309" i="5"/>
  <c r="AB309" i="5"/>
  <c r="Y309" i="5"/>
  <c r="X309" i="5"/>
  <c r="W309" i="5"/>
  <c r="V309" i="5"/>
  <c r="U309" i="5"/>
  <c r="T309" i="5"/>
  <c r="S309" i="5"/>
  <c r="R309" i="5"/>
  <c r="Q309" i="5"/>
  <c r="P309" i="5"/>
  <c r="O309" i="5"/>
  <c r="N309" i="5"/>
  <c r="M309" i="5"/>
  <c r="L309" i="5"/>
  <c r="K309" i="5"/>
  <c r="J309" i="5"/>
  <c r="I309" i="5"/>
  <c r="H309" i="5"/>
  <c r="G309" i="5"/>
  <c r="F309" i="5"/>
  <c r="E309" i="5"/>
  <c r="D309" i="5"/>
  <c r="C309" i="5"/>
  <c r="B309" i="5"/>
  <c r="A309" i="5"/>
  <c r="CS308" i="5"/>
  <c r="CM308" i="5"/>
  <c r="CK308" i="5"/>
  <c r="CJ308" i="5"/>
  <c r="CI308" i="5"/>
  <c r="CG308" i="5"/>
  <c r="CF308" i="5"/>
  <c r="CE308" i="5"/>
  <c r="CD308" i="5"/>
  <c r="CC308" i="5"/>
  <c r="CB308" i="5"/>
  <c r="CA308" i="5"/>
  <c r="BY308" i="5"/>
  <c r="BW308" i="5"/>
  <c r="BV308" i="5"/>
  <c r="BU308" i="5"/>
  <c r="BQ308" i="5"/>
  <c r="BP308" i="5"/>
  <c r="BO308" i="5"/>
  <c r="BM308" i="5"/>
  <c r="BF308" i="5"/>
  <c r="BC308" i="5"/>
  <c r="AY308" i="5"/>
  <c r="AX308" i="5"/>
  <c r="AW308" i="5"/>
  <c r="AV308" i="5"/>
  <c r="AU308" i="5"/>
  <c r="AT308" i="5"/>
  <c r="AR308" i="5"/>
  <c r="AQ308" i="5"/>
  <c r="AP308" i="5"/>
  <c r="AO308" i="5"/>
  <c r="AN308" i="5"/>
  <c r="AM308" i="5"/>
  <c r="AL308" i="5"/>
  <c r="AH308" i="5"/>
  <c r="AF308" i="5"/>
  <c r="AD308" i="5"/>
  <c r="AB308" i="5"/>
  <c r="Y308" i="5"/>
  <c r="X308" i="5"/>
  <c r="W308" i="5"/>
  <c r="V308" i="5"/>
  <c r="U308" i="5"/>
  <c r="T308" i="5"/>
  <c r="S308" i="5"/>
  <c r="R308" i="5"/>
  <c r="Q308" i="5"/>
  <c r="P308" i="5"/>
  <c r="O308" i="5"/>
  <c r="N308" i="5"/>
  <c r="M308" i="5"/>
  <c r="L308" i="5"/>
  <c r="K308" i="5"/>
  <c r="J308" i="5"/>
  <c r="I308" i="5"/>
  <c r="H308" i="5"/>
  <c r="G308" i="5"/>
  <c r="F308" i="5"/>
  <c r="E308" i="5"/>
  <c r="D308" i="5"/>
  <c r="C308" i="5"/>
  <c r="B308" i="5"/>
  <c r="A308" i="5"/>
  <c r="CS307" i="5"/>
  <c r="CM307" i="5"/>
  <c r="CK307" i="5"/>
  <c r="CJ307" i="5"/>
  <c r="CI307" i="5"/>
  <c r="CG307" i="5"/>
  <c r="CF307" i="5"/>
  <c r="CE307" i="5"/>
  <c r="CD307" i="5"/>
  <c r="CC307" i="5"/>
  <c r="CB307" i="5"/>
  <c r="CA307" i="5"/>
  <c r="BZ307" i="5"/>
  <c r="BY307" i="5"/>
  <c r="BW307" i="5"/>
  <c r="BV307" i="5"/>
  <c r="BU307" i="5"/>
  <c r="BS307" i="5"/>
  <c r="BR307" i="5"/>
  <c r="BQ307" i="5"/>
  <c r="BP307" i="5"/>
  <c r="BO307" i="5"/>
  <c r="BM307" i="5"/>
  <c r="BF307" i="5"/>
  <c r="BC307" i="5"/>
  <c r="AY307" i="5"/>
  <c r="AX307" i="5"/>
  <c r="AW307" i="5"/>
  <c r="AV307" i="5"/>
  <c r="AU307" i="5"/>
  <c r="AT307" i="5"/>
  <c r="AR307" i="5"/>
  <c r="AQ307" i="5"/>
  <c r="AP307" i="5"/>
  <c r="AO307" i="5"/>
  <c r="AN307" i="5"/>
  <c r="AM307" i="5"/>
  <c r="AL307" i="5"/>
  <c r="AH307" i="5"/>
  <c r="AF307" i="5"/>
  <c r="AD307" i="5"/>
  <c r="AB307" i="5"/>
  <c r="Y307" i="5"/>
  <c r="X307" i="5"/>
  <c r="W307" i="5"/>
  <c r="V307" i="5"/>
  <c r="U307" i="5"/>
  <c r="T307" i="5"/>
  <c r="S307" i="5"/>
  <c r="R307" i="5"/>
  <c r="Q307" i="5"/>
  <c r="P307" i="5"/>
  <c r="O307" i="5"/>
  <c r="N307" i="5"/>
  <c r="M307" i="5"/>
  <c r="L307" i="5"/>
  <c r="K307" i="5"/>
  <c r="J307" i="5"/>
  <c r="I307" i="5"/>
  <c r="H307" i="5"/>
  <c r="G307" i="5"/>
  <c r="F307" i="5"/>
  <c r="E307" i="5"/>
  <c r="D307" i="5"/>
  <c r="C307" i="5"/>
  <c r="B307" i="5"/>
  <c r="A307" i="5"/>
  <c r="CS306" i="5"/>
  <c r="CM306" i="5"/>
  <c r="CK306" i="5"/>
  <c r="CJ306" i="5"/>
  <c r="CI306" i="5"/>
  <c r="CG306" i="5"/>
  <c r="CF306" i="5"/>
  <c r="CE306" i="5"/>
  <c r="CD306" i="5"/>
  <c r="CC306" i="5"/>
  <c r="CB306" i="5"/>
  <c r="CA306" i="5"/>
  <c r="BZ306" i="5"/>
  <c r="BY306" i="5"/>
  <c r="BX306" i="5"/>
  <c r="BW306" i="5"/>
  <c r="BV306" i="5"/>
  <c r="BU306" i="5"/>
  <c r="BS306" i="5"/>
  <c r="BR306" i="5"/>
  <c r="BQ306" i="5"/>
  <c r="BP306" i="5"/>
  <c r="BO306" i="5"/>
  <c r="BM306" i="5"/>
  <c r="BF306" i="5"/>
  <c r="BC306" i="5"/>
  <c r="AY306" i="5"/>
  <c r="AX306" i="5"/>
  <c r="AW306" i="5"/>
  <c r="AV306" i="5"/>
  <c r="AU306" i="5"/>
  <c r="AT306" i="5"/>
  <c r="AR306" i="5"/>
  <c r="AQ306" i="5"/>
  <c r="AP306" i="5"/>
  <c r="AO306" i="5"/>
  <c r="AN306" i="5"/>
  <c r="AM306" i="5"/>
  <c r="AL306" i="5"/>
  <c r="AH306" i="5"/>
  <c r="AF306" i="5"/>
  <c r="AD306" i="5"/>
  <c r="AB306" i="5"/>
  <c r="Y306" i="5"/>
  <c r="X306" i="5"/>
  <c r="W306" i="5"/>
  <c r="V306" i="5"/>
  <c r="U306" i="5"/>
  <c r="T306" i="5"/>
  <c r="S306" i="5"/>
  <c r="R306" i="5"/>
  <c r="Q306" i="5"/>
  <c r="P306" i="5"/>
  <c r="O306" i="5"/>
  <c r="N306" i="5"/>
  <c r="M306" i="5"/>
  <c r="L306" i="5"/>
  <c r="K306" i="5"/>
  <c r="J306" i="5"/>
  <c r="I306" i="5"/>
  <c r="H306" i="5"/>
  <c r="G306" i="5"/>
  <c r="F306" i="5"/>
  <c r="E306" i="5"/>
  <c r="D306" i="5"/>
  <c r="C306" i="5"/>
  <c r="B306" i="5"/>
  <c r="A306" i="5"/>
  <c r="CS305" i="5"/>
  <c r="CM305" i="5"/>
  <c r="CK305" i="5"/>
  <c r="CJ305" i="5"/>
  <c r="CI305" i="5"/>
  <c r="CG305" i="5"/>
  <c r="CF305" i="5"/>
  <c r="CE305" i="5"/>
  <c r="CD305" i="5"/>
  <c r="CC305" i="5"/>
  <c r="CB305" i="5"/>
  <c r="CA305" i="5"/>
  <c r="BY305" i="5"/>
  <c r="BX305" i="5"/>
  <c r="BW305" i="5"/>
  <c r="BV305" i="5"/>
  <c r="BU305" i="5"/>
  <c r="BQ305" i="5"/>
  <c r="BP305" i="5"/>
  <c r="BO305" i="5"/>
  <c r="BM305" i="5"/>
  <c r="BF305" i="5"/>
  <c r="BC305" i="5"/>
  <c r="AY305" i="5"/>
  <c r="AX305" i="5"/>
  <c r="AW305" i="5"/>
  <c r="AV305" i="5"/>
  <c r="AU305" i="5"/>
  <c r="AT305" i="5"/>
  <c r="AR305" i="5"/>
  <c r="AQ305" i="5"/>
  <c r="AP305" i="5"/>
  <c r="AO305" i="5"/>
  <c r="AN305" i="5"/>
  <c r="AM305" i="5"/>
  <c r="AL305" i="5"/>
  <c r="AH305" i="5"/>
  <c r="AF305" i="5"/>
  <c r="AD305" i="5"/>
  <c r="AB305" i="5"/>
  <c r="Y305" i="5"/>
  <c r="X305" i="5"/>
  <c r="W305" i="5"/>
  <c r="V305" i="5"/>
  <c r="U305" i="5"/>
  <c r="T305" i="5"/>
  <c r="S305" i="5"/>
  <c r="R305" i="5"/>
  <c r="Q305" i="5"/>
  <c r="P305" i="5"/>
  <c r="O305" i="5"/>
  <c r="N305" i="5"/>
  <c r="M305" i="5"/>
  <c r="L305" i="5"/>
  <c r="K305" i="5"/>
  <c r="J305" i="5"/>
  <c r="I305" i="5"/>
  <c r="H305" i="5"/>
  <c r="G305" i="5"/>
  <c r="F305" i="5"/>
  <c r="E305" i="5"/>
  <c r="D305" i="5"/>
  <c r="C305" i="5"/>
  <c r="B305" i="5"/>
  <c r="A305" i="5"/>
  <c r="CS304" i="5"/>
  <c r="CM304" i="5"/>
  <c r="CK304" i="5"/>
  <c r="CJ304" i="5"/>
  <c r="CI304" i="5"/>
  <c r="CG304" i="5"/>
  <c r="CF304" i="5"/>
  <c r="CE304" i="5"/>
  <c r="CD304" i="5"/>
  <c r="CC304" i="5"/>
  <c r="CB304" i="5"/>
  <c r="CA304" i="5"/>
  <c r="BY304" i="5"/>
  <c r="BW304" i="5"/>
  <c r="BV304" i="5"/>
  <c r="BU304" i="5"/>
  <c r="BQ304" i="5"/>
  <c r="BP304" i="5"/>
  <c r="BO304" i="5"/>
  <c r="BN304" i="5"/>
  <c r="BM304" i="5"/>
  <c r="BG304" i="5"/>
  <c r="BF304" i="5"/>
  <c r="BC304" i="5"/>
  <c r="AY304" i="5"/>
  <c r="AX304" i="5"/>
  <c r="AW304" i="5"/>
  <c r="AV304" i="5"/>
  <c r="AU304" i="5"/>
  <c r="AT304" i="5"/>
  <c r="AR304" i="5"/>
  <c r="AQ304" i="5"/>
  <c r="AP304" i="5"/>
  <c r="AO304" i="5"/>
  <c r="AN304" i="5"/>
  <c r="AM304" i="5"/>
  <c r="AL304" i="5"/>
  <c r="AH304" i="5"/>
  <c r="AF304" i="5"/>
  <c r="AE304" i="5"/>
  <c r="AD304" i="5"/>
  <c r="AB304" i="5"/>
  <c r="Y304" i="5"/>
  <c r="X304" i="5"/>
  <c r="W304" i="5"/>
  <c r="V304" i="5"/>
  <c r="U304" i="5"/>
  <c r="T304" i="5"/>
  <c r="S304" i="5"/>
  <c r="R304" i="5"/>
  <c r="Q304" i="5"/>
  <c r="P304" i="5"/>
  <c r="O304" i="5"/>
  <c r="N304" i="5"/>
  <c r="M304" i="5"/>
  <c r="L304" i="5"/>
  <c r="K304" i="5"/>
  <c r="J304" i="5"/>
  <c r="I304" i="5"/>
  <c r="H304" i="5"/>
  <c r="G304" i="5"/>
  <c r="F304" i="5"/>
  <c r="E304" i="5"/>
  <c r="D304" i="5"/>
  <c r="C304" i="5"/>
  <c r="B304" i="5"/>
  <c r="A304" i="5"/>
  <c r="CS303" i="5"/>
  <c r="CM303" i="5"/>
  <c r="CK303" i="5"/>
  <c r="CJ303" i="5"/>
  <c r="CI303" i="5"/>
  <c r="CG303" i="5"/>
  <c r="CF303" i="5"/>
  <c r="CE303" i="5"/>
  <c r="CD303" i="5"/>
  <c r="CC303" i="5"/>
  <c r="CB303" i="5"/>
  <c r="CA303" i="5"/>
  <c r="BY303" i="5"/>
  <c r="BX303" i="5"/>
  <c r="BW303" i="5"/>
  <c r="BV303" i="5"/>
  <c r="BU303" i="5"/>
  <c r="BQ303" i="5"/>
  <c r="BP303" i="5"/>
  <c r="BO303" i="5"/>
  <c r="BN303" i="5"/>
  <c r="BM303" i="5"/>
  <c r="BL303" i="5"/>
  <c r="BF303" i="5"/>
  <c r="BC303" i="5"/>
  <c r="AY303" i="5"/>
  <c r="AX303" i="5"/>
  <c r="AW303" i="5"/>
  <c r="AV303" i="5"/>
  <c r="AU303" i="5"/>
  <c r="AT303" i="5"/>
  <c r="AR303" i="5"/>
  <c r="AQ303" i="5"/>
  <c r="AP303" i="5"/>
  <c r="AO303" i="5"/>
  <c r="AN303" i="5"/>
  <c r="AM303" i="5"/>
  <c r="AL303" i="5"/>
  <c r="AH303" i="5"/>
  <c r="AF303" i="5"/>
  <c r="AD303" i="5"/>
  <c r="AB303" i="5"/>
  <c r="Y303" i="5"/>
  <c r="X303" i="5"/>
  <c r="W303" i="5"/>
  <c r="V303" i="5"/>
  <c r="U303" i="5"/>
  <c r="T303" i="5"/>
  <c r="S303" i="5"/>
  <c r="R303" i="5"/>
  <c r="Q303" i="5"/>
  <c r="P303" i="5"/>
  <c r="O303" i="5"/>
  <c r="N303" i="5"/>
  <c r="M303" i="5"/>
  <c r="L303" i="5"/>
  <c r="K303" i="5"/>
  <c r="J303" i="5"/>
  <c r="I303" i="5"/>
  <c r="H303" i="5"/>
  <c r="G303" i="5"/>
  <c r="F303" i="5"/>
  <c r="E303" i="5"/>
  <c r="D303" i="5"/>
  <c r="C303" i="5"/>
  <c r="B303" i="5"/>
  <c r="A303" i="5"/>
  <c r="CS302" i="5"/>
  <c r="CM302" i="5"/>
  <c r="CK302" i="5"/>
  <c r="CJ302" i="5"/>
  <c r="CI302" i="5"/>
  <c r="CG302" i="5"/>
  <c r="CF302" i="5"/>
  <c r="CE302" i="5"/>
  <c r="CD302" i="5"/>
  <c r="CC302" i="5"/>
  <c r="CB302" i="5"/>
  <c r="CA302" i="5"/>
  <c r="BY302" i="5"/>
  <c r="BX302" i="5"/>
  <c r="BW302" i="5"/>
  <c r="BV302" i="5"/>
  <c r="BU302" i="5"/>
  <c r="BQ302" i="5"/>
  <c r="BP302" i="5"/>
  <c r="BO302" i="5"/>
  <c r="BN302" i="5"/>
  <c r="BM302" i="5"/>
  <c r="BL302" i="5"/>
  <c r="BF302" i="5"/>
  <c r="BC302" i="5"/>
  <c r="AY302" i="5"/>
  <c r="AX302" i="5"/>
  <c r="AW302" i="5"/>
  <c r="AV302" i="5"/>
  <c r="AU302" i="5"/>
  <c r="AT302" i="5"/>
  <c r="AR302" i="5"/>
  <c r="AQ302" i="5"/>
  <c r="AP302" i="5"/>
  <c r="AO302" i="5"/>
  <c r="AN302" i="5"/>
  <c r="AM302" i="5"/>
  <c r="AL302" i="5"/>
  <c r="AH302" i="5"/>
  <c r="AF302" i="5"/>
  <c r="AD302" i="5"/>
  <c r="AB302" i="5"/>
  <c r="Y302" i="5"/>
  <c r="X302" i="5"/>
  <c r="W302" i="5"/>
  <c r="V302" i="5"/>
  <c r="U302" i="5"/>
  <c r="T302" i="5"/>
  <c r="S302" i="5"/>
  <c r="R302" i="5"/>
  <c r="Q302" i="5"/>
  <c r="P302" i="5"/>
  <c r="O302" i="5"/>
  <c r="N302" i="5"/>
  <c r="M302" i="5"/>
  <c r="L302" i="5"/>
  <c r="K302" i="5"/>
  <c r="J302" i="5"/>
  <c r="I302" i="5"/>
  <c r="H302" i="5"/>
  <c r="G302" i="5"/>
  <c r="F302" i="5"/>
  <c r="E302" i="5"/>
  <c r="D302" i="5"/>
  <c r="C302" i="5"/>
  <c r="B302" i="5"/>
  <c r="A302" i="5"/>
  <c r="CS301" i="5"/>
  <c r="CM301" i="5"/>
  <c r="CK301" i="5"/>
  <c r="CJ301" i="5"/>
  <c r="CI301" i="5"/>
  <c r="CG301" i="5"/>
  <c r="CF301" i="5"/>
  <c r="CE301" i="5"/>
  <c r="CD301" i="5"/>
  <c r="CC301" i="5"/>
  <c r="CB301" i="5"/>
  <c r="CA301" i="5"/>
  <c r="BZ301" i="5"/>
  <c r="BY301" i="5"/>
  <c r="BW301" i="5"/>
  <c r="BV301" i="5"/>
  <c r="BU301" i="5"/>
  <c r="BS301" i="5"/>
  <c r="BR301" i="5"/>
  <c r="BQ301" i="5"/>
  <c r="BP301" i="5"/>
  <c r="BO301" i="5"/>
  <c r="BN301" i="5"/>
  <c r="BM301" i="5"/>
  <c r="BL301" i="5"/>
  <c r="BF301" i="5"/>
  <c r="BC301" i="5"/>
  <c r="AY301" i="5"/>
  <c r="AX301" i="5"/>
  <c r="AW301" i="5"/>
  <c r="AV301" i="5"/>
  <c r="AU301" i="5"/>
  <c r="AT301" i="5"/>
  <c r="AR301" i="5"/>
  <c r="AQ301" i="5"/>
  <c r="AP301" i="5"/>
  <c r="AO301" i="5"/>
  <c r="AN301" i="5"/>
  <c r="AM301" i="5"/>
  <c r="AL301" i="5"/>
  <c r="AH301" i="5"/>
  <c r="AF301" i="5"/>
  <c r="AD301" i="5"/>
  <c r="AB301" i="5"/>
  <c r="Y301" i="5"/>
  <c r="X301" i="5"/>
  <c r="W301" i="5"/>
  <c r="V301" i="5"/>
  <c r="U301" i="5"/>
  <c r="T301" i="5"/>
  <c r="S301" i="5"/>
  <c r="R301" i="5"/>
  <c r="Q301" i="5"/>
  <c r="P301" i="5"/>
  <c r="O301" i="5"/>
  <c r="N301" i="5"/>
  <c r="M301" i="5"/>
  <c r="L301" i="5"/>
  <c r="K301" i="5"/>
  <c r="J301" i="5"/>
  <c r="I301" i="5"/>
  <c r="H301" i="5"/>
  <c r="G301" i="5"/>
  <c r="F301" i="5"/>
  <c r="E301" i="5"/>
  <c r="D301" i="5"/>
  <c r="C301" i="5"/>
  <c r="B301" i="5"/>
  <c r="A301" i="5"/>
  <c r="CS300" i="5"/>
  <c r="CM300" i="5"/>
  <c r="CK300" i="5"/>
  <c r="CJ300" i="5"/>
  <c r="CI300" i="5"/>
  <c r="CG300" i="5"/>
  <c r="CF300" i="5"/>
  <c r="CE300" i="5"/>
  <c r="CD300" i="5"/>
  <c r="CC300" i="5"/>
  <c r="CB300" i="5"/>
  <c r="CA300" i="5"/>
  <c r="BY300" i="5"/>
  <c r="BW300" i="5"/>
  <c r="BV300" i="5"/>
  <c r="BU300" i="5"/>
  <c r="BQ300" i="5"/>
  <c r="BP300" i="5"/>
  <c r="BO300" i="5"/>
  <c r="BN300" i="5"/>
  <c r="BM300" i="5"/>
  <c r="BL300" i="5"/>
  <c r="BF300" i="5"/>
  <c r="BC300" i="5"/>
  <c r="AY300" i="5"/>
  <c r="AX300" i="5"/>
  <c r="AW300" i="5"/>
  <c r="AV300" i="5"/>
  <c r="AU300" i="5"/>
  <c r="AT300" i="5"/>
  <c r="AR300" i="5"/>
  <c r="AQ300" i="5"/>
  <c r="AP300" i="5"/>
  <c r="AO300" i="5"/>
  <c r="AN300" i="5"/>
  <c r="AM300" i="5"/>
  <c r="AL300" i="5"/>
  <c r="AH300" i="5"/>
  <c r="AF300" i="5"/>
  <c r="AD300" i="5"/>
  <c r="AB300" i="5"/>
  <c r="Y300" i="5"/>
  <c r="X300" i="5"/>
  <c r="W300" i="5"/>
  <c r="V300" i="5"/>
  <c r="U300" i="5"/>
  <c r="T300" i="5"/>
  <c r="S300" i="5"/>
  <c r="R300" i="5"/>
  <c r="Q300" i="5"/>
  <c r="P300" i="5"/>
  <c r="O300" i="5"/>
  <c r="N300" i="5"/>
  <c r="M300" i="5"/>
  <c r="L300" i="5"/>
  <c r="K300" i="5"/>
  <c r="J300" i="5"/>
  <c r="I300" i="5"/>
  <c r="H300" i="5"/>
  <c r="G300" i="5"/>
  <c r="F300" i="5"/>
  <c r="E300" i="5"/>
  <c r="D300" i="5"/>
  <c r="C300" i="5"/>
  <c r="B300" i="5"/>
  <c r="A300" i="5"/>
  <c r="CS299" i="5"/>
  <c r="CM299" i="5"/>
  <c r="CK299" i="5"/>
  <c r="CJ299" i="5"/>
  <c r="CI299" i="5"/>
  <c r="CG299" i="5"/>
  <c r="CF299" i="5"/>
  <c r="CE299" i="5"/>
  <c r="CD299" i="5"/>
  <c r="CC299" i="5"/>
  <c r="CB299" i="5"/>
  <c r="CA299" i="5"/>
  <c r="BY299" i="5"/>
  <c r="BW299" i="5"/>
  <c r="BV299" i="5"/>
  <c r="BU299" i="5"/>
  <c r="BQ299" i="5"/>
  <c r="BP299" i="5"/>
  <c r="BO299" i="5"/>
  <c r="BN299" i="5"/>
  <c r="BM299" i="5"/>
  <c r="BL299" i="5"/>
  <c r="BF299" i="5"/>
  <c r="BC299" i="5"/>
  <c r="AY299" i="5"/>
  <c r="AX299" i="5"/>
  <c r="AW299" i="5"/>
  <c r="AV299" i="5"/>
  <c r="AU299" i="5"/>
  <c r="AT299" i="5"/>
  <c r="AR299" i="5"/>
  <c r="AQ299" i="5"/>
  <c r="AP299" i="5"/>
  <c r="AO299" i="5"/>
  <c r="AN299" i="5"/>
  <c r="AM299" i="5"/>
  <c r="AL299" i="5"/>
  <c r="AH299" i="5"/>
  <c r="AF299" i="5"/>
  <c r="AD299" i="5"/>
  <c r="AB299" i="5"/>
  <c r="Y299" i="5"/>
  <c r="X299" i="5"/>
  <c r="W299" i="5"/>
  <c r="V299" i="5"/>
  <c r="U299" i="5"/>
  <c r="T299" i="5"/>
  <c r="S299" i="5"/>
  <c r="R299" i="5"/>
  <c r="Q299" i="5"/>
  <c r="P299" i="5"/>
  <c r="O299" i="5"/>
  <c r="N299" i="5"/>
  <c r="M299" i="5"/>
  <c r="L299" i="5"/>
  <c r="K299" i="5"/>
  <c r="J299" i="5"/>
  <c r="I299" i="5"/>
  <c r="H299" i="5"/>
  <c r="G299" i="5"/>
  <c r="F299" i="5"/>
  <c r="E299" i="5"/>
  <c r="D299" i="5"/>
  <c r="C299" i="5"/>
  <c r="B299" i="5"/>
  <c r="A299" i="5"/>
  <c r="CS298" i="5"/>
  <c r="CM298" i="5"/>
  <c r="CK298" i="5"/>
  <c r="CJ298" i="5"/>
  <c r="CI298" i="5"/>
  <c r="CG298" i="5"/>
  <c r="CF298" i="5"/>
  <c r="CE298" i="5"/>
  <c r="CD298" i="5"/>
  <c r="CC298" i="5"/>
  <c r="CB298" i="5"/>
  <c r="CA298" i="5"/>
  <c r="BY298" i="5"/>
  <c r="BX298" i="5"/>
  <c r="BW298" i="5"/>
  <c r="BV298" i="5"/>
  <c r="BU298" i="5"/>
  <c r="BQ298" i="5"/>
  <c r="BP298" i="5"/>
  <c r="BO298" i="5"/>
  <c r="BN298" i="5"/>
  <c r="BM298" i="5"/>
  <c r="BL298" i="5"/>
  <c r="BF298" i="5"/>
  <c r="BC298" i="5"/>
  <c r="AY298" i="5"/>
  <c r="AX298" i="5"/>
  <c r="AW298" i="5"/>
  <c r="AV298" i="5"/>
  <c r="AU298" i="5"/>
  <c r="AT298" i="5"/>
  <c r="AR298" i="5"/>
  <c r="AQ298" i="5"/>
  <c r="AP298" i="5"/>
  <c r="AO298" i="5"/>
  <c r="AN298" i="5"/>
  <c r="AM298" i="5"/>
  <c r="AL298" i="5"/>
  <c r="AH298" i="5"/>
  <c r="AF298" i="5"/>
  <c r="AD298" i="5"/>
  <c r="AB298" i="5"/>
  <c r="Y298" i="5"/>
  <c r="X298" i="5"/>
  <c r="W298" i="5"/>
  <c r="V298" i="5"/>
  <c r="U298" i="5"/>
  <c r="T298" i="5"/>
  <c r="S298" i="5"/>
  <c r="R298" i="5"/>
  <c r="Q298" i="5"/>
  <c r="P298" i="5"/>
  <c r="O298" i="5"/>
  <c r="N298" i="5"/>
  <c r="M298" i="5"/>
  <c r="L298" i="5"/>
  <c r="K298" i="5"/>
  <c r="J298" i="5"/>
  <c r="I298" i="5"/>
  <c r="H298" i="5"/>
  <c r="G298" i="5"/>
  <c r="F298" i="5"/>
  <c r="E298" i="5"/>
  <c r="D298" i="5"/>
  <c r="C298" i="5"/>
  <c r="B298" i="5"/>
  <c r="A298" i="5"/>
  <c r="CS297" i="5"/>
  <c r="CM297" i="5"/>
  <c r="CK297" i="5"/>
  <c r="CJ297" i="5"/>
  <c r="CI297" i="5"/>
  <c r="CG297" i="5"/>
  <c r="CF297" i="5"/>
  <c r="CE297" i="5"/>
  <c r="CD297" i="5"/>
  <c r="CC297" i="5"/>
  <c r="CB297" i="5"/>
  <c r="CA297" i="5"/>
  <c r="BY297" i="5"/>
  <c r="BW297" i="5"/>
  <c r="BV297" i="5"/>
  <c r="BU297" i="5"/>
  <c r="BQ297" i="5"/>
  <c r="BP297" i="5"/>
  <c r="BO297" i="5"/>
  <c r="BM297" i="5"/>
  <c r="BF297" i="5"/>
  <c r="BC297" i="5"/>
  <c r="AY297" i="5"/>
  <c r="AX297" i="5"/>
  <c r="AW297" i="5"/>
  <c r="AV297" i="5"/>
  <c r="AU297" i="5"/>
  <c r="AT297" i="5"/>
  <c r="AR297" i="5"/>
  <c r="AQ297" i="5"/>
  <c r="AP297" i="5"/>
  <c r="AO297" i="5"/>
  <c r="AN297" i="5"/>
  <c r="AM297" i="5"/>
  <c r="AL297" i="5"/>
  <c r="AH297" i="5"/>
  <c r="AF297" i="5"/>
  <c r="AD297" i="5"/>
  <c r="AB297" i="5"/>
  <c r="Y297" i="5"/>
  <c r="X297" i="5"/>
  <c r="W297" i="5"/>
  <c r="V297" i="5"/>
  <c r="U297" i="5"/>
  <c r="T297" i="5"/>
  <c r="S297" i="5"/>
  <c r="R297" i="5"/>
  <c r="Q297" i="5"/>
  <c r="P297" i="5"/>
  <c r="O297" i="5"/>
  <c r="N297" i="5"/>
  <c r="M297" i="5"/>
  <c r="L297" i="5"/>
  <c r="K297" i="5"/>
  <c r="J297" i="5"/>
  <c r="I297" i="5"/>
  <c r="H297" i="5"/>
  <c r="G297" i="5"/>
  <c r="F297" i="5"/>
  <c r="E297" i="5"/>
  <c r="D297" i="5"/>
  <c r="C297" i="5"/>
  <c r="B297" i="5"/>
  <c r="A297" i="5"/>
  <c r="CS296" i="5"/>
  <c r="CM296" i="5"/>
  <c r="CK296" i="5"/>
  <c r="CJ296" i="5"/>
  <c r="CI296" i="5"/>
  <c r="CG296" i="5"/>
  <c r="CF296" i="5"/>
  <c r="CE296" i="5"/>
  <c r="CD296" i="5"/>
  <c r="CC296" i="5"/>
  <c r="CB296" i="5"/>
  <c r="CA296" i="5"/>
  <c r="BY296" i="5"/>
  <c r="BW296" i="5"/>
  <c r="BV296" i="5"/>
  <c r="BU296" i="5"/>
  <c r="BQ296" i="5"/>
  <c r="BP296" i="5"/>
  <c r="BO296" i="5"/>
  <c r="BN296" i="5"/>
  <c r="BM296" i="5"/>
  <c r="BL296" i="5"/>
  <c r="BF296" i="5"/>
  <c r="BC296" i="5"/>
  <c r="AY296" i="5"/>
  <c r="AX296" i="5"/>
  <c r="AW296" i="5"/>
  <c r="AV296" i="5"/>
  <c r="AU296" i="5"/>
  <c r="AT296" i="5"/>
  <c r="AR296" i="5"/>
  <c r="AQ296" i="5"/>
  <c r="AP296" i="5"/>
  <c r="AO296" i="5"/>
  <c r="AN296" i="5"/>
  <c r="AM296" i="5"/>
  <c r="AL296" i="5"/>
  <c r="AH296" i="5"/>
  <c r="AF296" i="5"/>
  <c r="AD296" i="5"/>
  <c r="AB296" i="5"/>
  <c r="Y296" i="5"/>
  <c r="X296" i="5"/>
  <c r="W296" i="5"/>
  <c r="V296" i="5"/>
  <c r="U296" i="5"/>
  <c r="T296" i="5"/>
  <c r="S296" i="5"/>
  <c r="R296" i="5"/>
  <c r="Q296" i="5"/>
  <c r="P296" i="5"/>
  <c r="O296" i="5"/>
  <c r="N296" i="5"/>
  <c r="M296" i="5"/>
  <c r="L296" i="5"/>
  <c r="K296" i="5"/>
  <c r="J296" i="5"/>
  <c r="I296" i="5"/>
  <c r="H296" i="5"/>
  <c r="G296" i="5"/>
  <c r="F296" i="5"/>
  <c r="E296" i="5"/>
  <c r="D296" i="5"/>
  <c r="C296" i="5"/>
  <c r="B296" i="5"/>
  <c r="A296" i="5"/>
  <c r="CS295" i="5"/>
  <c r="CM295" i="5"/>
  <c r="CK295" i="5"/>
  <c r="CJ295" i="5"/>
  <c r="CI295" i="5"/>
  <c r="CG295" i="5"/>
  <c r="CF295" i="5"/>
  <c r="CE295" i="5"/>
  <c r="CD295" i="5"/>
  <c r="CC295" i="5"/>
  <c r="CB295" i="5"/>
  <c r="CA295" i="5"/>
  <c r="BY295" i="5"/>
  <c r="BW295" i="5"/>
  <c r="BV295" i="5"/>
  <c r="BU295" i="5"/>
  <c r="BQ295" i="5"/>
  <c r="BP295" i="5"/>
  <c r="BO295" i="5"/>
  <c r="BN295" i="5"/>
  <c r="BM295" i="5"/>
  <c r="BL295" i="5"/>
  <c r="BF295" i="5"/>
  <c r="BC295" i="5"/>
  <c r="AY295" i="5"/>
  <c r="AX295" i="5"/>
  <c r="AW295" i="5"/>
  <c r="AV295" i="5"/>
  <c r="AU295" i="5"/>
  <c r="AT295" i="5"/>
  <c r="AR295" i="5"/>
  <c r="AQ295" i="5"/>
  <c r="AP295" i="5"/>
  <c r="AO295" i="5"/>
  <c r="AN295" i="5"/>
  <c r="AM295" i="5"/>
  <c r="AL295" i="5"/>
  <c r="AH295" i="5"/>
  <c r="AF295" i="5"/>
  <c r="AD295" i="5"/>
  <c r="AB295" i="5"/>
  <c r="Y295" i="5"/>
  <c r="X295" i="5"/>
  <c r="W295" i="5"/>
  <c r="V295" i="5"/>
  <c r="U295" i="5"/>
  <c r="T295" i="5"/>
  <c r="S295" i="5"/>
  <c r="R295" i="5"/>
  <c r="Q295" i="5"/>
  <c r="P295" i="5"/>
  <c r="O295" i="5"/>
  <c r="N295" i="5"/>
  <c r="M295" i="5"/>
  <c r="L295" i="5"/>
  <c r="K295" i="5"/>
  <c r="J295" i="5"/>
  <c r="I295" i="5"/>
  <c r="H295" i="5"/>
  <c r="G295" i="5"/>
  <c r="F295" i="5"/>
  <c r="E295" i="5"/>
  <c r="D295" i="5"/>
  <c r="C295" i="5"/>
  <c r="B295" i="5"/>
  <c r="A295" i="5"/>
  <c r="CS294" i="5"/>
  <c r="CM294" i="5"/>
  <c r="CK294" i="5"/>
  <c r="CJ294" i="5"/>
  <c r="CI294" i="5"/>
  <c r="CG294" i="5"/>
  <c r="CF294" i="5"/>
  <c r="CE294" i="5"/>
  <c r="CD294" i="5"/>
  <c r="CC294" i="5"/>
  <c r="CB294" i="5"/>
  <c r="CA294" i="5"/>
  <c r="BY294" i="5"/>
  <c r="BX294" i="5"/>
  <c r="BW294" i="5"/>
  <c r="BV294" i="5"/>
  <c r="BU294" i="5"/>
  <c r="BQ294" i="5"/>
  <c r="BP294" i="5"/>
  <c r="BO294" i="5"/>
  <c r="BM294" i="5"/>
  <c r="BF294" i="5"/>
  <c r="BC294" i="5"/>
  <c r="AY294" i="5"/>
  <c r="AX294" i="5"/>
  <c r="AW294" i="5"/>
  <c r="AV294" i="5"/>
  <c r="AU294" i="5"/>
  <c r="AT294" i="5"/>
  <c r="AR294" i="5"/>
  <c r="AQ294" i="5"/>
  <c r="AP294" i="5"/>
  <c r="AO294" i="5"/>
  <c r="AN294" i="5"/>
  <c r="AM294" i="5"/>
  <c r="AL294" i="5"/>
  <c r="AH294" i="5"/>
  <c r="AF294" i="5"/>
  <c r="AD294" i="5"/>
  <c r="AB294" i="5"/>
  <c r="Y294" i="5"/>
  <c r="X294" i="5"/>
  <c r="W294" i="5"/>
  <c r="V294" i="5"/>
  <c r="U294" i="5"/>
  <c r="T294" i="5"/>
  <c r="S294" i="5"/>
  <c r="R294" i="5"/>
  <c r="Q294" i="5"/>
  <c r="P294" i="5"/>
  <c r="O294" i="5"/>
  <c r="N294" i="5"/>
  <c r="M294" i="5"/>
  <c r="L294" i="5"/>
  <c r="K294" i="5"/>
  <c r="J294" i="5"/>
  <c r="I294" i="5"/>
  <c r="H294" i="5"/>
  <c r="G294" i="5"/>
  <c r="F294" i="5"/>
  <c r="E294" i="5"/>
  <c r="D294" i="5"/>
  <c r="C294" i="5"/>
  <c r="B294" i="5"/>
  <c r="A294" i="5"/>
  <c r="CS293" i="5"/>
  <c r="CM293" i="5"/>
  <c r="CK293" i="5"/>
  <c r="CJ293" i="5"/>
  <c r="CI293" i="5"/>
  <c r="CG293" i="5"/>
  <c r="CF293" i="5"/>
  <c r="CE293" i="5"/>
  <c r="CD293" i="5"/>
  <c r="CC293" i="5"/>
  <c r="CB293" i="5"/>
  <c r="CA293" i="5"/>
  <c r="BY293" i="5"/>
  <c r="BW293" i="5"/>
  <c r="BV293" i="5"/>
  <c r="BU293" i="5"/>
  <c r="BQ293" i="5"/>
  <c r="BP293" i="5"/>
  <c r="BO293" i="5"/>
  <c r="BM293" i="5"/>
  <c r="BF293" i="5"/>
  <c r="BC293" i="5"/>
  <c r="AY293" i="5"/>
  <c r="AX293" i="5"/>
  <c r="AW293" i="5"/>
  <c r="AV293" i="5"/>
  <c r="AU293" i="5"/>
  <c r="AT293" i="5"/>
  <c r="AR293" i="5"/>
  <c r="AQ293" i="5"/>
  <c r="AP293" i="5"/>
  <c r="AO293" i="5"/>
  <c r="AN293" i="5"/>
  <c r="AM293" i="5"/>
  <c r="AL293" i="5"/>
  <c r="AH293" i="5"/>
  <c r="AF293" i="5"/>
  <c r="AD293" i="5"/>
  <c r="AB293" i="5"/>
  <c r="Y293" i="5"/>
  <c r="X293" i="5"/>
  <c r="W293" i="5"/>
  <c r="V293" i="5"/>
  <c r="U293" i="5"/>
  <c r="T293" i="5"/>
  <c r="S293" i="5"/>
  <c r="R293" i="5"/>
  <c r="Q293" i="5"/>
  <c r="P293" i="5"/>
  <c r="O293" i="5"/>
  <c r="N293" i="5"/>
  <c r="M293" i="5"/>
  <c r="L293" i="5"/>
  <c r="K293" i="5"/>
  <c r="J293" i="5"/>
  <c r="I293" i="5"/>
  <c r="H293" i="5"/>
  <c r="G293" i="5"/>
  <c r="F293" i="5"/>
  <c r="E293" i="5"/>
  <c r="D293" i="5"/>
  <c r="C293" i="5"/>
  <c r="B293" i="5"/>
  <c r="A293" i="5"/>
  <c r="CS292" i="5"/>
  <c r="CM292" i="5"/>
  <c r="CK292" i="5"/>
  <c r="CJ292" i="5"/>
  <c r="CI292" i="5"/>
  <c r="CG292" i="5"/>
  <c r="CF292" i="5"/>
  <c r="CE292" i="5"/>
  <c r="CD292" i="5"/>
  <c r="CC292" i="5"/>
  <c r="CB292" i="5"/>
  <c r="CA292" i="5"/>
  <c r="BY292" i="5"/>
  <c r="BW292" i="5"/>
  <c r="BV292" i="5"/>
  <c r="BU292" i="5"/>
  <c r="BQ292" i="5"/>
  <c r="BP292" i="5"/>
  <c r="BO292" i="5"/>
  <c r="BM292" i="5"/>
  <c r="BF292" i="5"/>
  <c r="BC292" i="5"/>
  <c r="AY292" i="5"/>
  <c r="AX292" i="5"/>
  <c r="AW292" i="5"/>
  <c r="AV292" i="5"/>
  <c r="AU292" i="5"/>
  <c r="AT292" i="5"/>
  <c r="AR292" i="5"/>
  <c r="AQ292" i="5"/>
  <c r="AP292" i="5"/>
  <c r="AO292" i="5"/>
  <c r="AN292" i="5"/>
  <c r="AM292" i="5"/>
  <c r="AL292" i="5"/>
  <c r="AH292" i="5"/>
  <c r="AF292" i="5"/>
  <c r="AD292" i="5"/>
  <c r="AB292" i="5"/>
  <c r="Y292" i="5"/>
  <c r="X292" i="5"/>
  <c r="W292" i="5"/>
  <c r="V292" i="5"/>
  <c r="U292" i="5"/>
  <c r="T292" i="5"/>
  <c r="S292" i="5"/>
  <c r="R292" i="5"/>
  <c r="Q292" i="5"/>
  <c r="P292" i="5"/>
  <c r="O292" i="5"/>
  <c r="N292" i="5"/>
  <c r="M292" i="5"/>
  <c r="L292" i="5"/>
  <c r="K292" i="5"/>
  <c r="J292" i="5"/>
  <c r="I292" i="5"/>
  <c r="H292" i="5"/>
  <c r="G292" i="5"/>
  <c r="F292" i="5"/>
  <c r="E292" i="5"/>
  <c r="D292" i="5"/>
  <c r="C292" i="5"/>
  <c r="B292" i="5"/>
  <c r="A292" i="5"/>
  <c r="CS291" i="5"/>
  <c r="CM291" i="5"/>
  <c r="CK291" i="5"/>
  <c r="CJ291" i="5"/>
  <c r="CI291" i="5"/>
  <c r="CG291" i="5"/>
  <c r="CF291" i="5"/>
  <c r="CE291" i="5"/>
  <c r="CD291" i="5"/>
  <c r="CC291" i="5"/>
  <c r="CB291" i="5"/>
  <c r="CA291" i="5"/>
  <c r="BY291" i="5"/>
  <c r="BW291" i="5"/>
  <c r="BV291" i="5"/>
  <c r="BU291" i="5"/>
  <c r="BQ291" i="5"/>
  <c r="BP291" i="5"/>
  <c r="BO291" i="5"/>
  <c r="BM291" i="5"/>
  <c r="BF291" i="5"/>
  <c r="BC291" i="5"/>
  <c r="AY291" i="5"/>
  <c r="AX291" i="5"/>
  <c r="AW291" i="5"/>
  <c r="AV291" i="5"/>
  <c r="AU291" i="5"/>
  <c r="AT291" i="5"/>
  <c r="AR291" i="5"/>
  <c r="AQ291" i="5"/>
  <c r="AP291" i="5"/>
  <c r="AO291" i="5"/>
  <c r="AN291" i="5"/>
  <c r="AM291" i="5"/>
  <c r="AL291" i="5"/>
  <c r="AH291" i="5"/>
  <c r="AF291" i="5"/>
  <c r="AD291" i="5"/>
  <c r="AB291" i="5"/>
  <c r="Y291" i="5"/>
  <c r="X291" i="5"/>
  <c r="W291" i="5"/>
  <c r="V291" i="5"/>
  <c r="U291" i="5"/>
  <c r="T291" i="5"/>
  <c r="S291" i="5"/>
  <c r="R291" i="5"/>
  <c r="Q291" i="5"/>
  <c r="P291" i="5"/>
  <c r="O291" i="5"/>
  <c r="N291" i="5"/>
  <c r="M291" i="5"/>
  <c r="L291" i="5"/>
  <c r="K291" i="5"/>
  <c r="J291" i="5"/>
  <c r="I291" i="5"/>
  <c r="H291" i="5"/>
  <c r="G291" i="5"/>
  <c r="F291" i="5"/>
  <c r="E291" i="5"/>
  <c r="D291" i="5"/>
  <c r="C291" i="5"/>
  <c r="B291" i="5"/>
  <c r="A291" i="5"/>
  <c r="CS290" i="5"/>
  <c r="CM290" i="5"/>
  <c r="CK290" i="5"/>
  <c r="CJ290" i="5"/>
  <c r="CI290" i="5"/>
  <c r="CG290" i="5"/>
  <c r="CF290" i="5"/>
  <c r="CE290" i="5"/>
  <c r="CD290" i="5"/>
  <c r="CC290" i="5"/>
  <c r="CB290" i="5"/>
  <c r="CA290" i="5"/>
  <c r="BY290" i="5"/>
  <c r="BW290" i="5"/>
  <c r="BV290" i="5"/>
  <c r="BU290" i="5"/>
  <c r="BQ290" i="5"/>
  <c r="BP290" i="5"/>
  <c r="BO290" i="5"/>
  <c r="BM290" i="5"/>
  <c r="BF290" i="5"/>
  <c r="BC290" i="5"/>
  <c r="AY290" i="5"/>
  <c r="AX290" i="5"/>
  <c r="AW290" i="5"/>
  <c r="AV290" i="5"/>
  <c r="AU290" i="5"/>
  <c r="AT290" i="5"/>
  <c r="AR290" i="5"/>
  <c r="AQ290" i="5"/>
  <c r="AP290" i="5"/>
  <c r="AO290" i="5"/>
  <c r="AN290" i="5"/>
  <c r="AM290" i="5"/>
  <c r="AL290" i="5"/>
  <c r="AH290" i="5"/>
  <c r="AF290" i="5"/>
  <c r="AD290" i="5"/>
  <c r="AB290" i="5"/>
  <c r="Y290" i="5"/>
  <c r="X290" i="5"/>
  <c r="W290" i="5"/>
  <c r="V290" i="5"/>
  <c r="U290" i="5"/>
  <c r="T290" i="5"/>
  <c r="S290" i="5"/>
  <c r="R290" i="5"/>
  <c r="Q290" i="5"/>
  <c r="P290" i="5"/>
  <c r="O290" i="5"/>
  <c r="N290" i="5"/>
  <c r="M290" i="5"/>
  <c r="L290" i="5"/>
  <c r="K290" i="5"/>
  <c r="J290" i="5"/>
  <c r="I290" i="5"/>
  <c r="H290" i="5"/>
  <c r="G290" i="5"/>
  <c r="F290" i="5"/>
  <c r="E290" i="5"/>
  <c r="D290" i="5"/>
  <c r="C290" i="5"/>
  <c r="B290" i="5"/>
  <c r="A290" i="5"/>
  <c r="CS289" i="5"/>
  <c r="CM289" i="5"/>
  <c r="CK289" i="5"/>
  <c r="CJ289" i="5"/>
  <c r="CI289" i="5"/>
  <c r="CG289" i="5"/>
  <c r="CF289" i="5"/>
  <c r="CE289" i="5"/>
  <c r="CD289" i="5"/>
  <c r="CC289" i="5"/>
  <c r="CB289" i="5"/>
  <c r="CA289" i="5"/>
  <c r="BY289" i="5"/>
  <c r="BW289" i="5"/>
  <c r="BV289" i="5"/>
  <c r="BU289" i="5"/>
  <c r="BQ289" i="5"/>
  <c r="BP289" i="5"/>
  <c r="BO289" i="5"/>
  <c r="BM289" i="5"/>
  <c r="BF289" i="5"/>
  <c r="BC289" i="5"/>
  <c r="AY289" i="5"/>
  <c r="AX289" i="5"/>
  <c r="AW289" i="5"/>
  <c r="AV289" i="5"/>
  <c r="AU289" i="5"/>
  <c r="AT289" i="5"/>
  <c r="AR289" i="5"/>
  <c r="AQ289" i="5"/>
  <c r="AP289" i="5"/>
  <c r="AO289" i="5"/>
  <c r="AN289" i="5"/>
  <c r="AM289" i="5"/>
  <c r="AL289" i="5"/>
  <c r="AH289" i="5"/>
  <c r="AF289" i="5"/>
  <c r="AD289" i="5"/>
  <c r="AB289" i="5"/>
  <c r="Y289" i="5"/>
  <c r="X289" i="5"/>
  <c r="W289" i="5"/>
  <c r="V289" i="5"/>
  <c r="U289" i="5"/>
  <c r="T289" i="5"/>
  <c r="S289" i="5"/>
  <c r="R289" i="5"/>
  <c r="Q289" i="5"/>
  <c r="P289" i="5"/>
  <c r="O289" i="5"/>
  <c r="N289" i="5"/>
  <c r="M289" i="5"/>
  <c r="L289" i="5"/>
  <c r="K289" i="5"/>
  <c r="J289" i="5"/>
  <c r="I289" i="5"/>
  <c r="H289" i="5"/>
  <c r="G289" i="5"/>
  <c r="F289" i="5"/>
  <c r="E289" i="5"/>
  <c r="D289" i="5"/>
  <c r="C289" i="5"/>
  <c r="B289" i="5"/>
  <c r="A289" i="5"/>
  <c r="CS288" i="5"/>
  <c r="CM288" i="5"/>
  <c r="CK288" i="5"/>
  <c r="CJ288" i="5"/>
  <c r="CI288" i="5"/>
  <c r="CG288" i="5"/>
  <c r="CF288" i="5"/>
  <c r="CE288" i="5"/>
  <c r="CD288" i="5"/>
  <c r="CC288" i="5"/>
  <c r="CB288" i="5"/>
  <c r="CA288" i="5"/>
  <c r="BY288" i="5"/>
  <c r="BX288" i="5"/>
  <c r="BW288" i="5"/>
  <c r="BV288" i="5"/>
  <c r="BU288" i="5"/>
  <c r="BQ288" i="5"/>
  <c r="BP288" i="5"/>
  <c r="BO288" i="5"/>
  <c r="BM288" i="5"/>
  <c r="BF288" i="5"/>
  <c r="BC288" i="5"/>
  <c r="AY288" i="5"/>
  <c r="AX288" i="5"/>
  <c r="AW288" i="5"/>
  <c r="AV288" i="5"/>
  <c r="AU288" i="5"/>
  <c r="AT288" i="5"/>
  <c r="AR288" i="5"/>
  <c r="AQ288" i="5"/>
  <c r="AP288" i="5"/>
  <c r="AO288" i="5"/>
  <c r="AN288" i="5"/>
  <c r="AM288" i="5"/>
  <c r="AL288" i="5"/>
  <c r="AH288" i="5"/>
  <c r="AF288" i="5"/>
  <c r="AD288" i="5"/>
  <c r="AB288" i="5"/>
  <c r="Y288" i="5"/>
  <c r="X288" i="5"/>
  <c r="W288" i="5"/>
  <c r="V288" i="5"/>
  <c r="U288" i="5"/>
  <c r="T288" i="5"/>
  <c r="S288" i="5"/>
  <c r="R288" i="5"/>
  <c r="Q288" i="5"/>
  <c r="P288" i="5"/>
  <c r="O288" i="5"/>
  <c r="N288" i="5"/>
  <c r="M288" i="5"/>
  <c r="L288" i="5"/>
  <c r="K288" i="5"/>
  <c r="J288" i="5"/>
  <c r="I288" i="5"/>
  <c r="H288" i="5"/>
  <c r="G288" i="5"/>
  <c r="F288" i="5"/>
  <c r="E288" i="5"/>
  <c r="D288" i="5"/>
  <c r="C288" i="5"/>
  <c r="B288" i="5"/>
  <c r="A288" i="5"/>
  <c r="CS287" i="5"/>
  <c r="CM287" i="5"/>
  <c r="CK287" i="5"/>
  <c r="CJ287" i="5"/>
  <c r="CI287" i="5"/>
  <c r="CG287" i="5"/>
  <c r="CF287" i="5"/>
  <c r="CE287" i="5"/>
  <c r="CD287" i="5"/>
  <c r="CC287" i="5"/>
  <c r="CB287" i="5"/>
  <c r="CA287" i="5"/>
  <c r="BY287" i="5"/>
  <c r="BX287" i="5"/>
  <c r="BW287" i="5"/>
  <c r="BV287" i="5"/>
  <c r="BU287" i="5"/>
  <c r="BQ287" i="5"/>
  <c r="BP287" i="5"/>
  <c r="BO287" i="5"/>
  <c r="BM287" i="5"/>
  <c r="BF287" i="5"/>
  <c r="BC287" i="5"/>
  <c r="AY287" i="5"/>
  <c r="AX287" i="5"/>
  <c r="AW287" i="5"/>
  <c r="AV287" i="5"/>
  <c r="AU287" i="5"/>
  <c r="AT287" i="5"/>
  <c r="AR287" i="5"/>
  <c r="AQ287" i="5"/>
  <c r="AP287" i="5"/>
  <c r="AO287" i="5"/>
  <c r="AN287" i="5"/>
  <c r="AM287" i="5"/>
  <c r="AL287" i="5"/>
  <c r="AH287" i="5"/>
  <c r="AF287" i="5"/>
  <c r="AD287" i="5"/>
  <c r="AB287" i="5"/>
  <c r="Y287" i="5"/>
  <c r="X287" i="5"/>
  <c r="W287" i="5"/>
  <c r="V287" i="5"/>
  <c r="U287" i="5"/>
  <c r="T287" i="5"/>
  <c r="S287" i="5"/>
  <c r="R287" i="5"/>
  <c r="Q287" i="5"/>
  <c r="P287" i="5"/>
  <c r="O287" i="5"/>
  <c r="N287" i="5"/>
  <c r="M287" i="5"/>
  <c r="L287" i="5"/>
  <c r="K287" i="5"/>
  <c r="J287" i="5"/>
  <c r="I287" i="5"/>
  <c r="H287" i="5"/>
  <c r="G287" i="5"/>
  <c r="F287" i="5"/>
  <c r="E287" i="5"/>
  <c r="D287" i="5"/>
  <c r="C287" i="5"/>
  <c r="B287" i="5"/>
  <c r="A287" i="5"/>
  <c r="CS286" i="5"/>
  <c r="CM286" i="5"/>
  <c r="CK286" i="5"/>
  <c r="CJ286" i="5"/>
  <c r="CI286" i="5"/>
  <c r="CG286" i="5"/>
  <c r="CF286" i="5"/>
  <c r="CE286" i="5"/>
  <c r="CD286" i="5"/>
  <c r="CC286" i="5"/>
  <c r="CB286" i="5"/>
  <c r="CA286" i="5"/>
  <c r="BY286" i="5"/>
  <c r="BX286" i="5"/>
  <c r="BW286" i="5"/>
  <c r="BV286" i="5"/>
  <c r="BU286" i="5"/>
  <c r="BQ286" i="5"/>
  <c r="BP286" i="5"/>
  <c r="BO286" i="5"/>
  <c r="BM286" i="5"/>
  <c r="BF286" i="5"/>
  <c r="BC286" i="5"/>
  <c r="AY286" i="5"/>
  <c r="AX286" i="5"/>
  <c r="AW286" i="5"/>
  <c r="AV286" i="5"/>
  <c r="AU286" i="5"/>
  <c r="AT286" i="5"/>
  <c r="AR286" i="5"/>
  <c r="AQ286" i="5"/>
  <c r="AP286" i="5"/>
  <c r="AO286" i="5"/>
  <c r="AN286" i="5"/>
  <c r="AM286" i="5"/>
  <c r="AL286" i="5"/>
  <c r="AH286" i="5"/>
  <c r="AF286" i="5"/>
  <c r="AD286" i="5"/>
  <c r="AB286" i="5"/>
  <c r="Y286" i="5"/>
  <c r="X286" i="5"/>
  <c r="W286" i="5"/>
  <c r="V286" i="5"/>
  <c r="U286" i="5"/>
  <c r="T286" i="5"/>
  <c r="S286" i="5"/>
  <c r="R286" i="5"/>
  <c r="Q286" i="5"/>
  <c r="P286" i="5"/>
  <c r="O286" i="5"/>
  <c r="N286" i="5"/>
  <c r="M286" i="5"/>
  <c r="L286" i="5"/>
  <c r="K286" i="5"/>
  <c r="J286" i="5"/>
  <c r="I286" i="5"/>
  <c r="H286" i="5"/>
  <c r="G286" i="5"/>
  <c r="F286" i="5"/>
  <c r="E286" i="5"/>
  <c r="D286" i="5"/>
  <c r="C286" i="5"/>
  <c r="B286" i="5"/>
  <c r="A286" i="5"/>
  <c r="CS285" i="5"/>
  <c r="CM285" i="5"/>
  <c r="CK285" i="5"/>
  <c r="CJ285" i="5"/>
  <c r="CI285" i="5"/>
  <c r="CG285" i="5"/>
  <c r="CF285" i="5"/>
  <c r="CE285" i="5"/>
  <c r="CD285" i="5"/>
  <c r="CC285" i="5"/>
  <c r="CB285" i="5"/>
  <c r="CA285" i="5"/>
  <c r="BY285" i="5"/>
  <c r="BX285" i="5"/>
  <c r="BW285" i="5"/>
  <c r="BV285" i="5"/>
  <c r="BU285" i="5"/>
  <c r="BQ285" i="5"/>
  <c r="BP285" i="5"/>
  <c r="BO285" i="5"/>
  <c r="BM285" i="5"/>
  <c r="BF285" i="5"/>
  <c r="BC285" i="5"/>
  <c r="AY285" i="5"/>
  <c r="AX285" i="5"/>
  <c r="AW285" i="5"/>
  <c r="AV285" i="5"/>
  <c r="AU285" i="5"/>
  <c r="AT285" i="5"/>
  <c r="AR285" i="5"/>
  <c r="AQ285" i="5"/>
  <c r="AP285" i="5"/>
  <c r="AO285" i="5"/>
  <c r="AN285" i="5"/>
  <c r="AM285" i="5"/>
  <c r="AL285" i="5"/>
  <c r="AH285" i="5"/>
  <c r="AF285" i="5"/>
  <c r="AD285" i="5"/>
  <c r="AB285" i="5"/>
  <c r="Y285" i="5"/>
  <c r="X285" i="5"/>
  <c r="W285" i="5"/>
  <c r="V285" i="5"/>
  <c r="U285" i="5"/>
  <c r="T285" i="5"/>
  <c r="S285" i="5"/>
  <c r="R285" i="5"/>
  <c r="Q285" i="5"/>
  <c r="P285" i="5"/>
  <c r="O285" i="5"/>
  <c r="N285" i="5"/>
  <c r="M285" i="5"/>
  <c r="L285" i="5"/>
  <c r="K285" i="5"/>
  <c r="J285" i="5"/>
  <c r="I285" i="5"/>
  <c r="H285" i="5"/>
  <c r="G285" i="5"/>
  <c r="F285" i="5"/>
  <c r="E285" i="5"/>
  <c r="D285" i="5"/>
  <c r="C285" i="5"/>
  <c r="B285" i="5"/>
  <c r="A285" i="5"/>
  <c r="CS284" i="5"/>
  <c r="CM284" i="5"/>
  <c r="CK284" i="5"/>
  <c r="CJ284" i="5"/>
  <c r="CI284" i="5"/>
  <c r="CG284" i="5"/>
  <c r="CF284" i="5"/>
  <c r="CE284" i="5"/>
  <c r="CD284" i="5"/>
  <c r="CC284" i="5"/>
  <c r="CB284" i="5"/>
  <c r="CA284" i="5"/>
  <c r="BY284" i="5"/>
  <c r="BX284" i="5"/>
  <c r="BW284" i="5"/>
  <c r="BV284" i="5"/>
  <c r="BU284" i="5"/>
  <c r="BQ284" i="5"/>
  <c r="BP284" i="5"/>
  <c r="BO284" i="5"/>
  <c r="BM284" i="5"/>
  <c r="BF284" i="5"/>
  <c r="BC284" i="5"/>
  <c r="AY284" i="5"/>
  <c r="AX284" i="5"/>
  <c r="AW284" i="5"/>
  <c r="AV284" i="5"/>
  <c r="AU284" i="5"/>
  <c r="AT284" i="5"/>
  <c r="AR284" i="5"/>
  <c r="AQ284" i="5"/>
  <c r="AP284" i="5"/>
  <c r="AO284" i="5"/>
  <c r="AN284" i="5"/>
  <c r="AM284" i="5"/>
  <c r="AL284" i="5"/>
  <c r="AH284" i="5"/>
  <c r="AF284" i="5"/>
  <c r="AD284" i="5"/>
  <c r="AB284" i="5"/>
  <c r="Y284" i="5"/>
  <c r="X284" i="5"/>
  <c r="W284" i="5"/>
  <c r="V284" i="5"/>
  <c r="U284" i="5"/>
  <c r="T284" i="5"/>
  <c r="S284" i="5"/>
  <c r="R284" i="5"/>
  <c r="Q284" i="5"/>
  <c r="P284" i="5"/>
  <c r="O284" i="5"/>
  <c r="N284" i="5"/>
  <c r="M284" i="5"/>
  <c r="L284" i="5"/>
  <c r="K284" i="5"/>
  <c r="J284" i="5"/>
  <c r="I284" i="5"/>
  <c r="H284" i="5"/>
  <c r="G284" i="5"/>
  <c r="F284" i="5"/>
  <c r="E284" i="5"/>
  <c r="D284" i="5"/>
  <c r="C284" i="5"/>
  <c r="B284" i="5"/>
  <c r="A284" i="5"/>
  <c r="CS283" i="5"/>
  <c r="CM283" i="5"/>
  <c r="CK283" i="5"/>
  <c r="CJ283" i="5"/>
  <c r="CI283" i="5"/>
  <c r="CG283" i="5"/>
  <c r="CF283" i="5"/>
  <c r="CE283" i="5"/>
  <c r="CD283" i="5"/>
  <c r="CC283" i="5"/>
  <c r="CB283" i="5"/>
  <c r="CA283" i="5"/>
  <c r="BY283" i="5"/>
  <c r="BX283" i="5"/>
  <c r="BW283" i="5"/>
  <c r="BV283" i="5"/>
  <c r="BU283" i="5"/>
  <c r="BQ283" i="5"/>
  <c r="BP283" i="5"/>
  <c r="BO283" i="5"/>
  <c r="BM283" i="5"/>
  <c r="BF283" i="5"/>
  <c r="BC283" i="5"/>
  <c r="AY283" i="5"/>
  <c r="AX283" i="5"/>
  <c r="AW283" i="5"/>
  <c r="AV283" i="5"/>
  <c r="AU283" i="5"/>
  <c r="AT283" i="5"/>
  <c r="AR283" i="5"/>
  <c r="AQ283" i="5"/>
  <c r="AP283" i="5"/>
  <c r="AO283" i="5"/>
  <c r="AN283" i="5"/>
  <c r="AM283" i="5"/>
  <c r="AL283" i="5"/>
  <c r="AH283" i="5"/>
  <c r="AF283" i="5"/>
  <c r="AD283" i="5"/>
  <c r="AB283" i="5"/>
  <c r="Y283" i="5"/>
  <c r="X283" i="5"/>
  <c r="W283" i="5"/>
  <c r="V283" i="5"/>
  <c r="U283" i="5"/>
  <c r="T283" i="5"/>
  <c r="S283" i="5"/>
  <c r="R283" i="5"/>
  <c r="Q283" i="5"/>
  <c r="P283" i="5"/>
  <c r="O283" i="5"/>
  <c r="N283" i="5"/>
  <c r="M283" i="5"/>
  <c r="L283" i="5"/>
  <c r="K283" i="5"/>
  <c r="J283" i="5"/>
  <c r="I283" i="5"/>
  <c r="H283" i="5"/>
  <c r="G283" i="5"/>
  <c r="F283" i="5"/>
  <c r="E283" i="5"/>
  <c r="D283" i="5"/>
  <c r="C283" i="5"/>
  <c r="B283" i="5"/>
  <c r="A283" i="5"/>
  <c r="CS282" i="5"/>
  <c r="CM282" i="5"/>
  <c r="CK282" i="5"/>
  <c r="CJ282" i="5"/>
  <c r="CI282" i="5"/>
  <c r="CG282" i="5"/>
  <c r="CF282" i="5"/>
  <c r="CE282" i="5"/>
  <c r="CD282" i="5"/>
  <c r="CC282" i="5"/>
  <c r="CB282" i="5"/>
  <c r="CA282" i="5"/>
  <c r="BY282" i="5"/>
  <c r="BW282" i="5"/>
  <c r="BV282" i="5"/>
  <c r="BU282" i="5"/>
  <c r="BQ282" i="5"/>
  <c r="BP282" i="5"/>
  <c r="BO282" i="5"/>
  <c r="BM282" i="5"/>
  <c r="BF282" i="5"/>
  <c r="BC282" i="5"/>
  <c r="AY282" i="5"/>
  <c r="AX282" i="5"/>
  <c r="AW282" i="5"/>
  <c r="AV282" i="5"/>
  <c r="AU282" i="5"/>
  <c r="AT282" i="5"/>
  <c r="AR282" i="5"/>
  <c r="AQ282" i="5"/>
  <c r="AP282" i="5"/>
  <c r="AO282" i="5"/>
  <c r="AN282" i="5"/>
  <c r="AM282" i="5"/>
  <c r="AL282" i="5"/>
  <c r="AH282" i="5"/>
  <c r="AF282" i="5"/>
  <c r="AD282" i="5"/>
  <c r="AB282" i="5"/>
  <c r="Y282" i="5"/>
  <c r="X282" i="5"/>
  <c r="W282" i="5"/>
  <c r="V282" i="5"/>
  <c r="U282" i="5"/>
  <c r="T282" i="5"/>
  <c r="S282" i="5"/>
  <c r="R282" i="5"/>
  <c r="Q282" i="5"/>
  <c r="P282" i="5"/>
  <c r="O282" i="5"/>
  <c r="N282" i="5"/>
  <c r="M282" i="5"/>
  <c r="L282" i="5"/>
  <c r="K282" i="5"/>
  <c r="J282" i="5"/>
  <c r="I282" i="5"/>
  <c r="H282" i="5"/>
  <c r="G282" i="5"/>
  <c r="F282" i="5"/>
  <c r="E282" i="5"/>
  <c r="D282" i="5"/>
  <c r="C282" i="5"/>
  <c r="B282" i="5"/>
  <c r="A282" i="5"/>
  <c r="CS281" i="5"/>
  <c r="CM281" i="5"/>
  <c r="CK281" i="5"/>
  <c r="CJ281" i="5"/>
  <c r="CI281" i="5"/>
  <c r="CG281" i="5"/>
  <c r="CF281" i="5"/>
  <c r="CE281" i="5"/>
  <c r="CD281" i="5"/>
  <c r="CC281" i="5"/>
  <c r="CB281" i="5"/>
  <c r="CA281" i="5"/>
  <c r="BY281" i="5"/>
  <c r="BW281" i="5"/>
  <c r="BV281" i="5"/>
  <c r="BU281" i="5"/>
  <c r="BQ281" i="5"/>
  <c r="BP281" i="5"/>
  <c r="BO281" i="5"/>
  <c r="BM281" i="5"/>
  <c r="BF281" i="5"/>
  <c r="BC281" i="5"/>
  <c r="AY281" i="5"/>
  <c r="AX281" i="5"/>
  <c r="AW281" i="5"/>
  <c r="AV281" i="5"/>
  <c r="AU281" i="5"/>
  <c r="AT281" i="5"/>
  <c r="AR281" i="5"/>
  <c r="AQ281" i="5"/>
  <c r="AP281" i="5"/>
  <c r="AO281" i="5"/>
  <c r="AN281" i="5"/>
  <c r="AM281" i="5"/>
  <c r="AL281" i="5"/>
  <c r="AH281" i="5"/>
  <c r="AF281" i="5"/>
  <c r="AD281" i="5"/>
  <c r="AB281" i="5"/>
  <c r="Y281" i="5"/>
  <c r="X281" i="5"/>
  <c r="W281" i="5"/>
  <c r="V281" i="5"/>
  <c r="U281" i="5"/>
  <c r="T281" i="5"/>
  <c r="S281" i="5"/>
  <c r="R281" i="5"/>
  <c r="Q281" i="5"/>
  <c r="P281" i="5"/>
  <c r="O281" i="5"/>
  <c r="N281" i="5"/>
  <c r="M281" i="5"/>
  <c r="L281" i="5"/>
  <c r="K281" i="5"/>
  <c r="J281" i="5"/>
  <c r="I281" i="5"/>
  <c r="H281" i="5"/>
  <c r="G281" i="5"/>
  <c r="F281" i="5"/>
  <c r="E281" i="5"/>
  <c r="D281" i="5"/>
  <c r="C281" i="5"/>
  <c r="B281" i="5"/>
  <c r="A281" i="5"/>
  <c r="CS280" i="5"/>
  <c r="CM280" i="5"/>
  <c r="CK280" i="5"/>
  <c r="CJ280" i="5"/>
  <c r="CI280" i="5"/>
  <c r="CG280" i="5"/>
  <c r="CF280" i="5"/>
  <c r="CE280" i="5"/>
  <c r="CD280" i="5"/>
  <c r="CC280" i="5"/>
  <c r="CB280" i="5"/>
  <c r="CA280" i="5"/>
  <c r="BY280" i="5"/>
  <c r="BW280" i="5"/>
  <c r="BV280" i="5"/>
  <c r="BU280" i="5"/>
  <c r="BQ280" i="5"/>
  <c r="BP280" i="5"/>
  <c r="BO280" i="5"/>
  <c r="BN280" i="5"/>
  <c r="BM280" i="5"/>
  <c r="BL280" i="5"/>
  <c r="BF280" i="5"/>
  <c r="BC280" i="5"/>
  <c r="AZ280" i="5"/>
  <c r="AY280" i="5"/>
  <c r="AX280" i="5"/>
  <c r="AW280" i="5"/>
  <c r="AV280" i="5"/>
  <c r="AU280" i="5"/>
  <c r="AT280" i="5"/>
  <c r="AR280" i="5"/>
  <c r="AQ280" i="5"/>
  <c r="AP280" i="5"/>
  <c r="AO280" i="5"/>
  <c r="AN280" i="5"/>
  <c r="AM280" i="5"/>
  <c r="AL280" i="5"/>
  <c r="AH280" i="5"/>
  <c r="AF280" i="5"/>
  <c r="AD280" i="5"/>
  <c r="AB280" i="5"/>
  <c r="Y280" i="5"/>
  <c r="X280" i="5"/>
  <c r="W280" i="5"/>
  <c r="V280" i="5"/>
  <c r="U280" i="5"/>
  <c r="T280" i="5"/>
  <c r="S280" i="5"/>
  <c r="R280" i="5"/>
  <c r="Q280" i="5"/>
  <c r="P280" i="5"/>
  <c r="O280" i="5"/>
  <c r="N280" i="5"/>
  <c r="M280" i="5"/>
  <c r="L280" i="5"/>
  <c r="K280" i="5"/>
  <c r="J280" i="5"/>
  <c r="I280" i="5"/>
  <c r="H280" i="5"/>
  <c r="G280" i="5"/>
  <c r="F280" i="5"/>
  <c r="E280" i="5"/>
  <c r="D280" i="5"/>
  <c r="C280" i="5"/>
  <c r="B280" i="5"/>
  <c r="A280" i="5"/>
  <c r="CS279" i="5"/>
  <c r="CM279" i="5"/>
  <c r="CK279" i="5"/>
  <c r="CJ279" i="5"/>
  <c r="CI279" i="5"/>
  <c r="CG279" i="5"/>
  <c r="CF279" i="5"/>
  <c r="CE279" i="5"/>
  <c r="CD279" i="5"/>
  <c r="CC279" i="5"/>
  <c r="CB279" i="5"/>
  <c r="CA279" i="5"/>
  <c r="BY279" i="5"/>
  <c r="BW279" i="5"/>
  <c r="BV279" i="5"/>
  <c r="BU279" i="5"/>
  <c r="BQ279" i="5"/>
  <c r="BP279" i="5"/>
  <c r="BO279" i="5"/>
  <c r="BN279" i="5"/>
  <c r="BM279" i="5"/>
  <c r="BL279" i="5"/>
  <c r="BF279" i="5"/>
  <c r="BC279" i="5"/>
  <c r="AZ279" i="5"/>
  <c r="AY279" i="5"/>
  <c r="AX279" i="5"/>
  <c r="AW279" i="5"/>
  <c r="AV279" i="5"/>
  <c r="AU279" i="5"/>
  <c r="AT279" i="5"/>
  <c r="AS279" i="5"/>
  <c r="AR279" i="5"/>
  <c r="AQ279" i="5"/>
  <c r="AP279" i="5"/>
  <c r="AO279" i="5"/>
  <c r="AN279" i="5"/>
  <c r="AM279" i="5"/>
  <c r="AL279" i="5"/>
  <c r="AH279" i="5"/>
  <c r="AF279" i="5"/>
  <c r="AD279" i="5"/>
  <c r="AB279" i="5"/>
  <c r="Y279" i="5"/>
  <c r="X279" i="5"/>
  <c r="W279" i="5"/>
  <c r="V279" i="5"/>
  <c r="U279" i="5"/>
  <c r="T279" i="5"/>
  <c r="S279" i="5"/>
  <c r="R279" i="5"/>
  <c r="Q279" i="5"/>
  <c r="P279" i="5"/>
  <c r="O279" i="5"/>
  <c r="N279" i="5"/>
  <c r="M279" i="5"/>
  <c r="L279" i="5"/>
  <c r="K279" i="5"/>
  <c r="J279" i="5"/>
  <c r="I279" i="5"/>
  <c r="H279" i="5"/>
  <c r="G279" i="5"/>
  <c r="F279" i="5"/>
  <c r="E279" i="5"/>
  <c r="D279" i="5"/>
  <c r="C279" i="5"/>
  <c r="B279" i="5"/>
  <c r="A279" i="5"/>
  <c r="CS278" i="5"/>
  <c r="CM278" i="5"/>
  <c r="CK278" i="5"/>
  <c r="CJ278" i="5"/>
  <c r="CI278" i="5"/>
  <c r="CG278" i="5"/>
  <c r="CF278" i="5"/>
  <c r="CE278" i="5"/>
  <c r="CD278" i="5"/>
  <c r="CC278" i="5"/>
  <c r="CB278" i="5"/>
  <c r="CA278" i="5"/>
  <c r="BY278" i="5"/>
  <c r="BX278" i="5"/>
  <c r="BW278" i="5"/>
  <c r="BV278" i="5"/>
  <c r="BU278" i="5"/>
  <c r="BQ278" i="5"/>
  <c r="BP278" i="5"/>
  <c r="BO278" i="5"/>
  <c r="BN278" i="5"/>
  <c r="BM278" i="5"/>
  <c r="BF278" i="5"/>
  <c r="BC278" i="5"/>
  <c r="AZ278" i="5"/>
  <c r="AY278" i="5"/>
  <c r="AX278" i="5"/>
  <c r="AW278" i="5"/>
  <c r="AV278" i="5"/>
  <c r="AU278" i="5"/>
  <c r="AT278" i="5"/>
  <c r="AS278" i="5"/>
  <c r="AR278" i="5"/>
  <c r="AQ278" i="5"/>
  <c r="AP278" i="5"/>
  <c r="AO278" i="5"/>
  <c r="AN278" i="5"/>
  <c r="AM278" i="5"/>
  <c r="AL278" i="5"/>
  <c r="AH278" i="5"/>
  <c r="AF278" i="5"/>
  <c r="AD278" i="5"/>
  <c r="AB278" i="5"/>
  <c r="Y278" i="5"/>
  <c r="X278" i="5"/>
  <c r="W278" i="5"/>
  <c r="V278" i="5"/>
  <c r="U278" i="5"/>
  <c r="T278" i="5"/>
  <c r="S278" i="5"/>
  <c r="R278" i="5"/>
  <c r="Q278" i="5"/>
  <c r="P278" i="5"/>
  <c r="O278" i="5"/>
  <c r="N278" i="5"/>
  <c r="M278" i="5"/>
  <c r="L278" i="5"/>
  <c r="K278" i="5"/>
  <c r="J278" i="5"/>
  <c r="I278" i="5"/>
  <c r="H278" i="5"/>
  <c r="G278" i="5"/>
  <c r="F278" i="5"/>
  <c r="E278" i="5"/>
  <c r="D278" i="5"/>
  <c r="C278" i="5"/>
  <c r="B278" i="5"/>
  <c r="A278" i="5"/>
  <c r="CS277" i="5"/>
  <c r="CM277" i="5"/>
  <c r="CL277" i="5"/>
  <c r="CK277" i="5"/>
  <c r="CJ277" i="5"/>
  <c r="CI277" i="5"/>
  <c r="CG277" i="5"/>
  <c r="CF277" i="5"/>
  <c r="CE277" i="5"/>
  <c r="CD277" i="5"/>
  <c r="CC277" i="5"/>
  <c r="CB277" i="5"/>
  <c r="CA277" i="5"/>
  <c r="BY277" i="5"/>
  <c r="BX277" i="5"/>
  <c r="BW277" i="5"/>
  <c r="BV277" i="5"/>
  <c r="BU277" i="5"/>
  <c r="BQ277" i="5"/>
  <c r="BP277" i="5"/>
  <c r="BO277" i="5"/>
  <c r="BN277" i="5"/>
  <c r="BM277" i="5"/>
  <c r="BL277" i="5"/>
  <c r="BF277" i="5"/>
  <c r="BC277" i="5"/>
  <c r="AY277" i="5"/>
  <c r="AX277" i="5"/>
  <c r="AW277" i="5"/>
  <c r="AV277" i="5"/>
  <c r="AU277" i="5"/>
  <c r="AT277" i="5"/>
  <c r="AS277" i="5"/>
  <c r="AR277" i="5"/>
  <c r="AQ277" i="5"/>
  <c r="AP277" i="5"/>
  <c r="AO277" i="5"/>
  <c r="AN277" i="5"/>
  <c r="AM277" i="5"/>
  <c r="AL277" i="5"/>
  <c r="AH277" i="5"/>
  <c r="AF277" i="5"/>
  <c r="AD277" i="5"/>
  <c r="AB277" i="5"/>
  <c r="Y277" i="5"/>
  <c r="X277" i="5"/>
  <c r="W277" i="5"/>
  <c r="V277" i="5"/>
  <c r="U277" i="5"/>
  <c r="T277" i="5"/>
  <c r="S277" i="5"/>
  <c r="R277" i="5"/>
  <c r="Q277" i="5"/>
  <c r="P277" i="5"/>
  <c r="O277" i="5"/>
  <c r="N277" i="5"/>
  <c r="M277" i="5"/>
  <c r="L277" i="5"/>
  <c r="K277" i="5"/>
  <c r="J277" i="5"/>
  <c r="I277" i="5"/>
  <c r="H277" i="5"/>
  <c r="G277" i="5"/>
  <c r="F277" i="5"/>
  <c r="E277" i="5"/>
  <c r="D277" i="5"/>
  <c r="C277" i="5"/>
  <c r="B277" i="5"/>
  <c r="A277" i="5"/>
  <c r="CS276" i="5"/>
  <c r="CM276" i="5"/>
  <c r="CK276" i="5"/>
  <c r="CJ276" i="5"/>
  <c r="CI276" i="5"/>
  <c r="CG276" i="5"/>
  <c r="CF276" i="5"/>
  <c r="CE276" i="5"/>
  <c r="CD276" i="5"/>
  <c r="CC276" i="5"/>
  <c r="CB276" i="5"/>
  <c r="CA276" i="5"/>
  <c r="BZ276" i="5"/>
  <c r="BY276" i="5"/>
  <c r="BW276" i="5"/>
  <c r="BV276" i="5"/>
  <c r="BU276" i="5"/>
  <c r="BS276" i="5"/>
  <c r="BR276" i="5"/>
  <c r="BQ276" i="5"/>
  <c r="BP276" i="5"/>
  <c r="BO276" i="5"/>
  <c r="BN276" i="5"/>
  <c r="BM276" i="5"/>
  <c r="BG276" i="5"/>
  <c r="BF276" i="5"/>
  <c r="BC276" i="5"/>
  <c r="AY276" i="5"/>
  <c r="AX276" i="5"/>
  <c r="AW276" i="5"/>
  <c r="AV276" i="5"/>
  <c r="AU276" i="5"/>
  <c r="AT276" i="5"/>
  <c r="AS276" i="5"/>
  <c r="AR276" i="5"/>
  <c r="AQ276" i="5"/>
  <c r="AP276" i="5"/>
  <c r="AO276" i="5"/>
  <c r="AN276" i="5"/>
  <c r="AM276" i="5"/>
  <c r="AL276" i="5"/>
  <c r="AH276" i="5"/>
  <c r="AF276" i="5"/>
  <c r="AE276" i="5"/>
  <c r="AD276" i="5"/>
  <c r="AB276" i="5"/>
  <c r="Z276" i="5"/>
  <c r="X276" i="5"/>
  <c r="W276" i="5"/>
  <c r="V276" i="5"/>
  <c r="U276" i="5"/>
  <c r="T276" i="5"/>
  <c r="S276" i="5"/>
  <c r="R276" i="5"/>
  <c r="Q276" i="5"/>
  <c r="P276" i="5"/>
  <c r="O276" i="5"/>
  <c r="N276" i="5"/>
  <c r="M276" i="5"/>
  <c r="L276" i="5"/>
  <c r="K276" i="5"/>
  <c r="J276" i="5"/>
  <c r="I276" i="5"/>
  <c r="H276" i="5"/>
  <c r="G276" i="5"/>
  <c r="F276" i="5"/>
  <c r="E276" i="5"/>
  <c r="D276" i="5"/>
  <c r="C276" i="5"/>
  <c r="B276" i="5"/>
  <c r="A276" i="5"/>
  <c r="CS275" i="5"/>
  <c r="CM275" i="5"/>
  <c r="CK275" i="5"/>
  <c r="CJ275" i="5"/>
  <c r="CI275" i="5"/>
  <c r="CG275" i="5"/>
  <c r="CF275" i="5"/>
  <c r="CE275" i="5"/>
  <c r="CD275" i="5"/>
  <c r="CC275" i="5"/>
  <c r="CB275" i="5"/>
  <c r="CA275" i="5"/>
  <c r="BZ275" i="5"/>
  <c r="BY275" i="5"/>
  <c r="BW275" i="5"/>
  <c r="BV275" i="5"/>
  <c r="BU275" i="5"/>
  <c r="BS275" i="5"/>
  <c r="BR275" i="5"/>
  <c r="BQ275" i="5"/>
  <c r="BP275" i="5"/>
  <c r="BO275" i="5"/>
  <c r="BN275" i="5"/>
  <c r="BM275" i="5"/>
  <c r="BG275" i="5"/>
  <c r="BF275" i="5"/>
  <c r="BC275" i="5"/>
  <c r="AY275" i="5"/>
  <c r="AX275" i="5"/>
  <c r="AW275" i="5"/>
  <c r="AV275" i="5"/>
  <c r="AU275" i="5"/>
  <c r="AT275" i="5"/>
  <c r="AS275" i="5"/>
  <c r="AR275" i="5"/>
  <c r="AQ275" i="5"/>
  <c r="AP275" i="5"/>
  <c r="AO275" i="5"/>
  <c r="AN275" i="5"/>
  <c r="AM275" i="5"/>
  <c r="AL275" i="5"/>
  <c r="AH275" i="5"/>
  <c r="AF275" i="5"/>
  <c r="AE275" i="5"/>
  <c r="AD275" i="5"/>
  <c r="AB275" i="5"/>
  <c r="Z275" i="5"/>
  <c r="X275" i="5"/>
  <c r="W275" i="5"/>
  <c r="V275" i="5"/>
  <c r="U275" i="5"/>
  <c r="T275" i="5"/>
  <c r="S275" i="5"/>
  <c r="R275" i="5"/>
  <c r="Q275" i="5"/>
  <c r="P275" i="5"/>
  <c r="O275" i="5"/>
  <c r="N275" i="5"/>
  <c r="M275" i="5"/>
  <c r="L275" i="5"/>
  <c r="K275" i="5"/>
  <c r="J275" i="5"/>
  <c r="I275" i="5"/>
  <c r="H275" i="5"/>
  <c r="G275" i="5"/>
  <c r="F275" i="5"/>
  <c r="E275" i="5"/>
  <c r="D275" i="5"/>
  <c r="C275" i="5"/>
  <c r="B275" i="5"/>
  <c r="A275" i="5"/>
  <c r="CS274" i="5"/>
  <c r="CM274" i="5"/>
  <c r="CK274" i="5"/>
  <c r="CJ274" i="5"/>
  <c r="CI274" i="5"/>
  <c r="CG274" i="5"/>
  <c r="CF274" i="5"/>
  <c r="CE274" i="5"/>
  <c r="CD274" i="5"/>
  <c r="CC274" i="5"/>
  <c r="CB274" i="5"/>
  <c r="CA274" i="5"/>
  <c r="BZ274" i="5"/>
  <c r="BY274" i="5"/>
  <c r="BX274" i="5"/>
  <c r="BW274" i="5"/>
  <c r="BV274" i="5"/>
  <c r="BU274" i="5"/>
  <c r="BS274" i="5"/>
  <c r="BR274" i="5"/>
  <c r="BQ274" i="5"/>
  <c r="BP274" i="5"/>
  <c r="BO274" i="5"/>
  <c r="BN274" i="5"/>
  <c r="BM274" i="5"/>
  <c r="BG274" i="5"/>
  <c r="BF274" i="5"/>
  <c r="BC274" i="5"/>
  <c r="AY274" i="5"/>
  <c r="AX274" i="5"/>
  <c r="AW274" i="5"/>
  <c r="AV274" i="5"/>
  <c r="AU274" i="5"/>
  <c r="AT274" i="5"/>
  <c r="AS274" i="5"/>
  <c r="AR274" i="5"/>
  <c r="AQ274" i="5"/>
  <c r="AP274" i="5"/>
  <c r="AO274" i="5"/>
  <c r="AN274" i="5"/>
  <c r="AM274" i="5"/>
  <c r="AL274" i="5"/>
  <c r="AH274" i="5"/>
  <c r="AF274" i="5"/>
  <c r="AE274" i="5"/>
  <c r="AD274" i="5"/>
  <c r="AB274" i="5"/>
  <c r="Z274" i="5"/>
  <c r="X274" i="5"/>
  <c r="W274" i="5"/>
  <c r="V274" i="5"/>
  <c r="U274" i="5"/>
  <c r="T274" i="5"/>
  <c r="S274" i="5"/>
  <c r="R274" i="5"/>
  <c r="Q274" i="5"/>
  <c r="P274" i="5"/>
  <c r="O274" i="5"/>
  <c r="N274" i="5"/>
  <c r="M274" i="5"/>
  <c r="L274" i="5"/>
  <c r="K274" i="5"/>
  <c r="J274" i="5"/>
  <c r="I274" i="5"/>
  <c r="H274" i="5"/>
  <c r="G274" i="5"/>
  <c r="F274" i="5"/>
  <c r="E274" i="5"/>
  <c r="D274" i="5"/>
  <c r="C274" i="5"/>
  <c r="B274" i="5"/>
  <c r="A274" i="5"/>
  <c r="CS273" i="5"/>
  <c r="CM273" i="5"/>
  <c r="CK273" i="5"/>
  <c r="CJ273" i="5"/>
  <c r="CI273" i="5"/>
  <c r="CG273" i="5"/>
  <c r="CF273" i="5"/>
  <c r="CE273" i="5"/>
  <c r="CD273" i="5"/>
  <c r="CC273" i="5"/>
  <c r="CB273" i="5"/>
  <c r="CA273" i="5"/>
  <c r="BZ273" i="5"/>
  <c r="BY273" i="5"/>
  <c r="BX273" i="5"/>
  <c r="BW273" i="5"/>
  <c r="BV273" i="5"/>
  <c r="BU273" i="5"/>
  <c r="BS273" i="5"/>
  <c r="BR273" i="5"/>
  <c r="BQ273" i="5"/>
  <c r="BP273" i="5"/>
  <c r="BO273" i="5"/>
  <c r="BN273" i="5"/>
  <c r="BM273" i="5"/>
  <c r="BG273" i="5"/>
  <c r="BF273" i="5"/>
  <c r="BC273" i="5"/>
  <c r="AY273" i="5"/>
  <c r="AX273" i="5"/>
  <c r="AW273" i="5"/>
  <c r="AV273" i="5"/>
  <c r="AU273" i="5"/>
  <c r="AT273" i="5"/>
  <c r="AS273" i="5"/>
  <c r="AR273" i="5"/>
  <c r="AQ273" i="5"/>
  <c r="AP273" i="5"/>
  <c r="AO273" i="5"/>
  <c r="AN273" i="5"/>
  <c r="AM273" i="5"/>
  <c r="AL273" i="5"/>
  <c r="AH273" i="5"/>
  <c r="AF273" i="5"/>
  <c r="AE273" i="5"/>
  <c r="AD273" i="5"/>
  <c r="AB273" i="5"/>
  <c r="Z273" i="5"/>
  <c r="X273" i="5"/>
  <c r="W273" i="5"/>
  <c r="V273" i="5"/>
  <c r="U273" i="5"/>
  <c r="T273" i="5"/>
  <c r="S273" i="5"/>
  <c r="R273" i="5"/>
  <c r="Q273" i="5"/>
  <c r="P273" i="5"/>
  <c r="O273" i="5"/>
  <c r="N273" i="5"/>
  <c r="M273" i="5"/>
  <c r="L273" i="5"/>
  <c r="K273" i="5"/>
  <c r="J273" i="5"/>
  <c r="I273" i="5"/>
  <c r="H273" i="5"/>
  <c r="G273" i="5"/>
  <c r="F273" i="5"/>
  <c r="E273" i="5"/>
  <c r="D273" i="5"/>
  <c r="C273" i="5"/>
  <c r="B273" i="5"/>
  <c r="A273" i="5"/>
  <c r="CS272" i="5"/>
  <c r="CM272" i="5"/>
  <c r="CK272" i="5"/>
  <c r="CJ272" i="5"/>
  <c r="CI272" i="5"/>
  <c r="CG272" i="5"/>
  <c r="CF272" i="5"/>
  <c r="CE272" i="5"/>
  <c r="CD272" i="5"/>
  <c r="CC272" i="5"/>
  <c r="CB272" i="5"/>
  <c r="CA272" i="5"/>
  <c r="BZ272" i="5"/>
  <c r="BY272" i="5"/>
  <c r="BW272" i="5"/>
  <c r="BV272" i="5"/>
  <c r="BU272" i="5"/>
  <c r="BS272" i="5"/>
  <c r="BR272" i="5"/>
  <c r="BQ272" i="5"/>
  <c r="BP272" i="5"/>
  <c r="BO272" i="5"/>
  <c r="BM272" i="5"/>
  <c r="BG272" i="5"/>
  <c r="BF272" i="5"/>
  <c r="BC272" i="5"/>
  <c r="AY272" i="5"/>
  <c r="AX272" i="5"/>
  <c r="AW272" i="5"/>
  <c r="AV272" i="5"/>
  <c r="AU272" i="5"/>
  <c r="AT272" i="5"/>
  <c r="AS272" i="5"/>
  <c r="AR272" i="5"/>
  <c r="AQ272" i="5"/>
  <c r="AP272" i="5"/>
  <c r="AO272" i="5"/>
  <c r="AN272" i="5"/>
  <c r="AM272" i="5"/>
  <c r="AL272" i="5"/>
  <c r="AH272" i="5"/>
  <c r="AF272" i="5"/>
  <c r="AE272" i="5"/>
  <c r="AD272" i="5"/>
  <c r="AB272" i="5"/>
  <c r="Y272" i="5"/>
  <c r="X272" i="5"/>
  <c r="W272" i="5"/>
  <c r="V272" i="5"/>
  <c r="U272" i="5"/>
  <c r="T272" i="5"/>
  <c r="S272" i="5"/>
  <c r="R272" i="5"/>
  <c r="Q272" i="5"/>
  <c r="P272" i="5"/>
  <c r="O272" i="5"/>
  <c r="N272" i="5"/>
  <c r="M272" i="5"/>
  <c r="L272" i="5"/>
  <c r="K272" i="5"/>
  <c r="J272" i="5"/>
  <c r="I272" i="5"/>
  <c r="H272" i="5"/>
  <c r="G272" i="5"/>
  <c r="F272" i="5"/>
  <c r="E272" i="5"/>
  <c r="D272" i="5"/>
  <c r="C272" i="5"/>
  <c r="B272" i="5"/>
  <c r="A272" i="5"/>
  <c r="CS271" i="5"/>
  <c r="CM271" i="5"/>
  <c r="CK271" i="5"/>
  <c r="CJ271" i="5"/>
  <c r="CI271" i="5"/>
  <c r="CG271" i="5"/>
  <c r="CF271" i="5"/>
  <c r="CE271" i="5"/>
  <c r="CD271" i="5"/>
  <c r="CC271" i="5"/>
  <c r="CB271" i="5"/>
  <c r="CA271" i="5"/>
  <c r="BZ271" i="5"/>
  <c r="BY271" i="5"/>
  <c r="BW271" i="5"/>
  <c r="BV271" i="5"/>
  <c r="BU271" i="5"/>
  <c r="BS271" i="5"/>
  <c r="BR271" i="5"/>
  <c r="BQ271" i="5"/>
  <c r="BP271" i="5"/>
  <c r="BO271" i="5"/>
  <c r="BM271" i="5"/>
  <c r="BF271" i="5"/>
  <c r="BC271" i="5"/>
  <c r="AY271" i="5"/>
  <c r="AX271" i="5"/>
  <c r="AW271" i="5"/>
  <c r="AV271" i="5"/>
  <c r="AU271" i="5"/>
  <c r="AT271" i="5"/>
  <c r="AR271" i="5"/>
  <c r="AQ271" i="5"/>
  <c r="AP271" i="5"/>
  <c r="AO271" i="5"/>
  <c r="AN271" i="5"/>
  <c r="AM271" i="5"/>
  <c r="AL271" i="5"/>
  <c r="AH271" i="5"/>
  <c r="AF271" i="5"/>
  <c r="AD271" i="5"/>
  <c r="AB271" i="5"/>
  <c r="Y271" i="5"/>
  <c r="X271" i="5"/>
  <c r="W271" i="5"/>
  <c r="V271" i="5"/>
  <c r="U271" i="5"/>
  <c r="T271" i="5"/>
  <c r="S271" i="5"/>
  <c r="R271" i="5"/>
  <c r="Q271" i="5"/>
  <c r="P271" i="5"/>
  <c r="O271" i="5"/>
  <c r="N271" i="5"/>
  <c r="M271" i="5"/>
  <c r="L271" i="5"/>
  <c r="K271" i="5"/>
  <c r="J271" i="5"/>
  <c r="I271" i="5"/>
  <c r="H271" i="5"/>
  <c r="G271" i="5"/>
  <c r="F271" i="5"/>
  <c r="E271" i="5"/>
  <c r="D271" i="5"/>
  <c r="C271" i="5"/>
  <c r="B271" i="5"/>
  <c r="A271" i="5"/>
  <c r="CS270" i="5"/>
  <c r="CM270" i="5"/>
  <c r="CK270" i="5"/>
  <c r="CJ270" i="5"/>
  <c r="CI270" i="5"/>
  <c r="CG270" i="5"/>
  <c r="CF270" i="5"/>
  <c r="CE270" i="5"/>
  <c r="CD270" i="5"/>
  <c r="CC270" i="5"/>
  <c r="CB270" i="5"/>
  <c r="CA270" i="5"/>
  <c r="BZ270" i="5"/>
  <c r="BY270" i="5"/>
  <c r="BW270" i="5"/>
  <c r="BV270" i="5"/>
  <c r="BU270" i="5"/>
  <c r="BS270" i="5"/>
  <c r="BR270" i="5"/>
  <c r="BQ270" i="5"/>
  <c r="BP270" i="5"/>
  <c r="BO270" i="5"/>
  <c r="BM270" i="5"/>
  <c r="BF270" i="5"/>
  <c r="BC270" i="5"/>
  <c r="AY270" i="5"/>
  <c r="AX270" i="5"/>
  <c r="AW270" i="5"/>
  <c r="AV270" i="5"/>
  <c r="AU270" i="5"/>
  <c r="AT270" i="5"/>
  <c r="AR270" i="5"/>
  <c r="AQ270" i="5"/>
  <c r="AP270" i="5"/>
  <c r="AO270" i="5"/>
  <c r="AN270" i="5"/>
  <c r="AM270" i="5"/>
  <c r="AL270" i="5"/>
  <c r="AH270" i="5"/>
  <c r="AF270" i="5"/>
  <c r="AD270" i="5"/>
  <c r="AB270" i="5"/>
  <c r="Y270" i="5"/>
  <c r="X270" i="5"/>
  <c r="W270" i="5"/>
  <c r="V270" i="5"/>
  <c r="U270" i="5"/>
  <c r="T270" i="5"/>
  <c r="S270" i="5"/>
  <c r="R270" i="5"/>
  <c r="Q270" i="5"/>
  <c r="P270" i="5"/>
  <c r="O270" i="5"/>
  <c r="N270" i="5"/>
  <c r="M270" i="5"/>
  <c r="L270" i="5"/>
  <c r="K270" i="5"/>
  <c r="J270" i="5"/>
  <c r="I270" i="5"/>
  <c r="H270" i="5"/>
  <c r="G270" i="5"/>
  <c r="F270" i="5"/>
  <c r="E270" i="5"/>
  <c r="D270" i="5"/>
  <c r="C270" i="5"/>
  <c r="B270" i="5"/>
  <c r="A270" i="5"/>
  <c r="CS269" i="5"/>
  <c r="CM269" i="5"/>
  <c r="CK269" i="5"/>
  <c r="CJ269" i="5"/>
  <c r="CI269" i="5"/>
  <c r="CG269" i="5"/>
  <c r="CF269" i="5"/>
  <c r="CE269" i="5"/>
  <c r="CD269" i="5"/>
  <c r="CC269" i="5"/>
  <c r="CB269" i="5"/>
  <c r="CA269" i="5"/>
  <c r="BY269" i="5"/>
  <c r="BW269" i="5"/>
  <c r="BV269" i="5"/>
  <c r="BU269" i="5"/>
  <c r="BQ269" i="5"/>
  <c r="BP269" i="5"/>
  <c r="BO269" i="5"/>
  <c r="BM269" i="5"/>
  <c r="BF269" i="5"/>
  <c r="BC269" i="5"/>
  <c r="AY269" i="5"/>
  <c r="AX269" i="5"/>
  <c r="AW269" i="5"/>
  <c r="AV269" i="5"/>
  <c r="AU269" i="5"/>
  <c r="AT269" i="5"/>
  <c r="AR269" i="5"/>
  <c r="AQ269" i="5"/>
  <c r="AP269" i="5"/>
  <c r="AO269" i="5"/>
  <c r="AN269" i="5"/>
  <c r="AM269" i="5"/>
  <c r="AL269" i="5"/>
  <c r="AH269" i="5"/>
  <c r="AF269" i="5"/>
  <c r="AD269" i="5"/>
  <c r="AB269" i="5"/>
  <c r="Y269" i="5"/>
  <c r="X269" i="5"/>
  <c r="W269" i="5"/>
  <c r="V269" i="5"/>
  <c r="U269" i="5"/>
  <c r="T269" i="5"/>
  <c r="S269" i="5"/>
  <c r="R269" i="5"/>
  <c r="Q269" i="5"/>
  <c r="P269" i="5"/>
  <c r="O269" i="5"/>
  <c r="N269" i="5"/>
  <c r="M269" i="5"/>
  <c r="L269" i="5"/>
  <c r="K269" i="5"/>
  <c r="J269" i="5"/>
  <c r="I269" i="5"/>
  <c r="H269" i="5"/>
  <c r="G269" i="5"/>
  <c r="F269" i="5"/>
  <c r="E269" i="5"/>
  <c r="D269" i="5"/>
  <c r="C269" i="5"/>
  <c r="B269" i="5"/>
  <c r="A269" i="5"/>
  <c r="CS268" i="5"/>
  <c r="CM268" i="5"/>
  <c r="CK268" i="5"/>
  <c r="CJ268" i="5"/>
  <c r="CI268" i="5"/>
  <c r="CG268" i="5"/>
  <c r="CF268" i="5"/>
  <c r="CE268" i="5"/>
  <c r="CD268" i="5"/>
  <c r="CC268" i="5"/>
  <c r="CB268" i="5"/>
  <c r="CA268" i="5"/>
  <c r="BY268" i="5"/>
  <c r="BX268" i="5"/>
  <c r="BW268" i="5"/>
  <c r="BV268" i="5"/>
  <c r="BU268" i="5"/>
  <c r="BQ268" i="5"/>
  <c r="BP268" i="5"/>
  <c r="BO268" i="5"/>
  <c r="BM268" i="5"/>
  <c r="BF268" i="5"/>
  <c r="BC268" i="5"/>
  <c r="AY268" i="5"/>
  <c r="AX268" i="5"/>
  <c r="AW268" i="5"/>
  <c r="AV268" i="5"/>
  <c r="AU268" i="5"/>
  <c r="AT268" i="5"/>
  <c r="AR268" i="5"/>
  <c r="AQ268" i="5"/>
  <c r="AP268" i="5"/>
  <c r="AO268" i="5"/>
  <c r="AN268" i="5"/>
  <c r="AM268" i="5"/>
  <c r="AL268" i="5"/>
  <c r="AH268" i="5"/>
  <c r="AF268" i="5"/>
  <c r="AD268" i="5"/>
  <c r="AB268" i="5"/>
  <c r="Y268" i="5"/>
  <c r="X268" i="5"/>
  <c r="W268" i="5"/>
  <c r="V268" i="5"/>
  <c r="U268" i="5"/>
  <c r="T268" i="5"/>
  <c r="S268" i="5"/>
  <c r="R268" i="5"/>
  <c r="Q268" i="5"/>
  <c r="P268" i="5"/>
  <c r="O268" i="5"/>
  <c r="N268" i="5"/>
  <c r="M268" i="5"/>
  <c r="L268" i="5"/>
  <c r="K268" i="5"/>
  <c r="J268" i="5"/>
  <c r="I268" i="5"/>
  <c r="H268" i="5"/>
  <c r="G268" i="5"/>
  <c r="F268" i="5"/>
  <c r="E268" i="5"/>
  <c r="D268" i="5"/>
  <c r="C268" i="5"/>
  <c r="B268" i="5"/>
  <c r="A268" i="5"/>
  <c r="CS267" i="5"/>
  <c r="CM267" i="5"/>
  <c r="CK267" i="5"/>
  <c r="CJ267" i="5"/>
  <c r="CI267" i="5"/>
  <c r="CG267" i="5"/>
  <c r="CF267" i="5"/>
  <c r="CE267" i="5"/>
  <c r="CD267" i="5"/>
  <c r="CC267" i="5"/>
  <c r="CB267" i="5"/>
  <c r="CA267" i="5"/>
  <c r="BY267" i="5"/>
  <c r="BW267" i="5"/>
  <c r="BV267" i="5"/>
  <c r="BU267" i="5"/>
  <c r="BQ267" i="5"/>
  <c r="BP267" i="5"/>
  <c r="BO267" i="5"/>
  <c r="BM267" i="5"/>
  <c r="BF267" i="5"/>
  <c r="BC267" i="5"/>
  <c r="AY267" i="5"/>
  <c r="AX267" i="5"/>
  <c r="AW267" i="5"/>
  <c r="AV267" i="5"/>
  <c r="AU267" i="5"/>
  <c r="AT267" i="5"/>
  <c r="AR267" i="5"/>
  <c r="AQ267" i="5"/>
  <c r="AP267" i="5"/>
  <c r="AO267" i="5"/>
  <c r="AN267" i="5"/>
  <c r="AM267" i="5"/>
  <c r="AL267" i="5"/>
  <c r="AH267" i="5"/>
  <c r="AF267" i="5"/>
  <c r="AD267" i="5"/>
  <c r="AB267" i="5"/>
  <c r="Y267" i="5"/>
  <c r="X267" i="5"/>
  <c r="W267" i="5"/>
  <c r="V267" i="5"/>
  <c r="U267" i="5"/>
  <c r="T267" i="5"/>
  <c r="S267" i="5"/>
  <c r="R267" i="5"/>
  <c r="Q267" i="5"/>
  <c r="P267" i="5"/>
  <c r="O267" i="5"/>
  <c r="N267" i="5"/>
  <c r="M267" i="5"/>
  <c r="L267" i="5"/>
  <c r="K267" i="5"/>
  <c r="J267" i="5"/>
  <c r="I267" i="5"/>
  <c r="H267" i="5"/>
  <c r="G267" i="5"/>
  <c r="F267" i="5"/>
  <c r="E267" i="5"/>
  <c r="D267" i="5"/>
  <c r="C267" i="5"/>
  <c r="B267" i="5"/>
  <c r="A267" i="5"/>
  <c r="CS266" i="5"/>
  <c r="CM266" i="5"/>
  <c r="CK266" i="5"/>
  <c r="CJ266" i="5"/>
  <c r="CI266" i="5"/>
  <c r="CG266" i="5"/>
  <c r="CF266" i="5"/>
  <c r="CE266" i="5"/>
  <c r="CD266" i="5"/>
  <c r="CC266" i="5"/>
  <c r="CB266" i="5"/>
  <c r="CA266" i="5"/>
  <c r="BY266" i="5"/>
  <c r="BW266" i="5"/>
  <c r="BV266" i="5"/>
  <c r="BU266" i="5"/>
  <c r="BQ266" i="5"/>
  <c r="BP266" i="5"/>
  <c r="BO266" i="5"/>
  <c r="BM266" i="5"/>
  <c r="BF266" i="5"/>
  <c r="BC266" i="5"/>
  <c r="AY266" i="5"/>
  <c r="AX266" i="5"/>
  <c r="AW266" i="5"/>
  <c r="AV266" i="5"/>
  <c r="AU266" i="5"/>
  <c r="AT266" i="5"/>
  <c r="AR266" i="5"/>
  <c r="AQ266" i="5"/>
  <c r="AP266" i="5"/>
  <c r="AO266" i="5"/>
  <c r="AN266" i="5"/>
  <c r="AM266" i="5"/>
  <c r="AL266" i="5"/>
  <c r="AH266" i="5"/>
  <c r="AF266" i="5"/>
  <c r="AD266" i="5"/>
  <c r="AB266" i="5"/>
  <c r="Y266" i="5"/>
  <c r="X266" i="5"/>
  <c r="W266" i="5"/>
  <c r="V266" i="5"/>
  <c r="U266" i="5"/>
  <c r="T266" i="5"/>
  <c r="S266" i="5"/>
  <c r="R266" i="5"/>
  <c r="Q266" i="5"/>
  <c r="P266" i="5"/>
  <c r="O266" i="5"/>
  <c r="N266" i="5"/>
  <c r="M266" i="5"/>
  <c r="L266" i="5"/>
  <c r="K266" i="5"/>
  <c r="J266" i="5"/>
  <c r="I266" i="5"/>
  <c r="H266" i="5"/>
  <c r="G266" i="5"/>
  <c r="F266" i="5"/>
  <c r="E266" i="5"/>
  <c r="D266" i="5"/>
  <c r="C266" i="5"/>
  <c r="B266" i="5"/>
  <c r="A266" i="5"/>
  <c r="CS265" i="5"/>
  <c r="CM265" i="5"/>
  <c r="CK265" i="5"/>
  <c r="CJ265" i="5"/>
  <c r="CI265" i="5"/>
  <c r="CG265" i="5"/>
  <c r="CF265" i="5"/>
  <c r="CE265" i="5"/>
  <c r="CD265" i="5"/>
  <c r="CC265" i="5"/>
  <c r="CB265" i="5"/>
  <c r="CA265" i="5"/>
  <c r="BY265" i="5"/>
  <c r="BW265" i="5"/>
  <c r="BV265" i="5"/>
  <c r="BU265" i="5"/>
  <c r="BQ265" i="5"/>
  <c r="BP265" i="5"/>
  <c r="BO265" i="5"/>
  <c r="BM265" i="5"/>
  <c r="BF265" i="5"/>
  <c r="BC265" i="5"/>
  <c r="AY265" i="5"/>
  <c r="AX265" i="5"/>
  <c r="AW265" i="5"/>
  <c r="AV265" i="5"/>
  <c r="AU265" i="5"/>
  <c r="AT265" i="5"/>
  <c r="AR265" i="5"/>
  <c r="AQ265" i="5"/>
  <c r="AP265" i="5"/>
  <c r="AO265" i="5"/>
  <c r="AN265" i="5"/>
  <c r="AM265" i="5"/>
  <c r="AL265" i="5"/>
  <c r="AH265" i="5"/>
  <c r="AF265" i="5"/>
  <c r="AD265" i="5"/>
  <c r="AB265" i="5"/>
  <c r="Y265" i="5"/>
  <c r="X265" i="5"/>
  <c r="W265" i="5"/>
  <c r="V265" i="5"/>
  <c r="U265" i="5"/>
  <c r="T265" i="5"/>
  <c r="S265" i="5"/>
  <c r="R265" i="5"/>
  <c r="Q265" i="5"/>
  <c r="P265" i="5"/>
  <c r="O265" i="5"/>
  <c r="N265" i="5"/>
  <c r="M265" i="5"/>
  <c r="L265" i="5"/>
  <c r="K265" i="5"/>
  <c r="J265" i="5"/>
  <c r="I265" i="5"/>
  <c r="H265" i="5"/>
  <c r="G265" i="5"/>
  <c r="F265" i="5"/>
  <c r="E265" i="5"/>
  <c r="D265" i="5"/>
  <c r="C265" i="5"/>
  <c r="B265" i="5"/>
  <c r="A265" i="5"/>
  <c r="CS264" i="5"/>
  <c r="CM264" i="5"/>
  <c r="CL264" i="5"/>
  <c r="CK264" i="5"/>
  <c r="CJ264" i="5"/>
  <c r="CI264" i="5"/>
  <c r="CG264" i="5"/>
  <c r="CF264" i="5"/>
  <c r="CE264" i="5"/>
  <c r="CD264" i="5"/>
  <c r="CC264" i="5"/>
  <c r="CB264" i="5"/>
  <c r="CA264" i="5"/>
  <c r="BY264" i="5"/>
  <c r="BW264" i="5"/>
  <c r="BV264" i="5"/>
  <c r="BU264" i="5"/>
  <c r="BQ264" i="5"/>
  <c r="BP264" i="5"/>
  <c r="BO264" i="5"/>
  <c r="BM264" i="5"/>
  <c r="BF264" i="5"/>
  <c r="BC264" i="5"/>
  <c r="AY264" i="5"/>
  <c r="AX264" i="5"/>
  <c r="AW264" i="5"/>
  <c r="AV264" i="5"/>
  <c r="AU264" i="5"/>
  <c r="AT264" i="5"/>
  <c r="AR264" i="5"/>
  <c r="AQ264" i="5"/>
  <c r="AP264" i="5"/>
  <c r="AO264" i="5"/>
  <c r="AN264" i="5"/>
  <c r="AM264" i="5"/>
  <c r="AL264" i="5"/>
  <c r="AH264" i="5"/>
  <c r="AF264" i="5"/>
  <c r="AD264" i="5"/>
  <c r="AB264" i="5"/>
  <c r="Y264" i="5"/>
  <c r="X264" i="5"/>
  <c r="W264" i="5"/>
  <c r="V264" i="5"/>
  <c r="U264" i="5"/>
  <c r="T264" i="5"/>
  <c r="S264" i="5"/>
  <c r="R264" i="5"/>
  <c r="Q264" i="5"/>
  <c r="P264" i="5"/>
  <c r="O264" i="5"/>
  <c r="N264" i="5"/>
  <c r="M264" i="5"/>
  <c r="L264" i="5"/>
  <c r="K264" i="5"/>
  <c r="J264" i="5"/>
  <c r="I264" i="5"/>
  <c r="H264" i="5"/>
  <c r="G264" i="5"/>
  <c r="F264" i="5"/>
  <c r="E264" i="5"/>
  <c r="D264" i="5"/>
  <c r="C264" i="5"/>
  <c r="B264" i="5"/>
  <c r="A264" i="5"/>
  <c r="CS263" i="5"/>
  <c r="CM263" i="5"/>
  <c r="CL263" i="5"/>
  <c r="CK263" i="5"/>
  <c r="CJ263" i="5"/>
  <c r="CI263" i="5"/>
  <c r="CG263" i="5"/>
  <c r="CF263" i="5"/>
  <c r="CE263" i="5"/>
  <c r="CD263" i="5"/>
  <c r="CC263" i="5"/>
  <c r="CB263" i="5"/>
  <c r="CA263" i="5"/>
  <c r="BY263" i="5"/>
  <c r="BW263" i="5"/>
  <c r="BV263" i="5"/>
  <c r="BU263" i="5"/>
  <c r="BQ263" i="5"/>
  <c r="BP263" i="5"/>
  <c r="BO263" i="5"/>
  <c r="BM263" i="5"/>
  <c r="BF263" i="5"/>
  <c r="BC263" i="5"/>
  <c r="AY263" i="5"/>
  <c r="AX263" i="5"/>
  <c r="AW263" i="5"/>
  <c r="AV263" i="5"/>
  <c r="AU263" i="5"/>
  <c r="AT263" i="5"/>
  <c r="AR263" i="5"/>
  <c r="AQ263" i="5"/>
  <c r="AP263" i="5"/>
  <c r="AO263" i="5"/>
  <c r="AN263" i="5"/>
  <c r="AM263" i="5"/>
  <c r="AL263" i="5"/>
  <c r="AH263" i="5"/>
  <c r="AF263" i="5"/>
  <c r="AD263" i="5"/>
  <c r="AB263" i="5"/>
  <c r="Y263" i="5"/>
  <c r="X263" i="5"/>
  <c r="W263" i="5"/>
  <c r="V263" i="5"/>
  <c r="U263" i="5"/>
  <c r="T263" i="5"/>
  <c r="S263" i="5"/>
  <c r="R263" i="5"/>
  <c r="Q263" i="5"/>
  <c r="P263" i="5"/>
  <c r="O263" i="5"/>
  <c r="N263" i="5"/>
  <c r="M263" i="5"/>
  <c r="L263" i="5"/>
  <c r="K263" i="5"/>
  <c r="J263" i="5"/>
  <c r="I263" i="5"/>
  <c r="H263" i="5"/>
  <c r="G263" i="5"/>
  <c r="F263" i="5"/>
  <c r="E263" i="5"/>
  <c r="D263" i="5"/>
  <c r="C263" i="5"/>
  <c r="B263" i="5"/>
  <c r="A263" i="5"/>
  <c r="CS262" i="5"/>
  <c r="CM262" i="5"/>
  <c r="CL262" i="5"/>
  <c r="CK262" i="5"/>
  <c r="CJ262" i="5"/>
  <c r="CI262" i="5"/>
  <c r="CG262" i="5"/>
  <c r="CF262" i="5"/>
  <c r="CE262" i="5"/>
  <c r="CD262" i="5"/>
  <c r="CC262" i="5"/>
  <c r="CB262" i="5"/>
  <c r="CA262" i="5"/>
  <c r="BY262" i="5"/>
  <c r="BW262" i="5"/>
  <c r="BV262" i="5"/>
  <c r="BU262" i="5"/>
  <c r="BQ262" i="5"/>
  <c r="BP262" i="5"/>
  <c r="BO262" i="5"/>
  <c r="BM262" i="5"/>
  <c r="BF262" i="5"/>
  <c r="BC262" i="5"/>
  <c r="AY262" i="5"/>
  <c r="AX262" i="5"/>
  <c r="AW262" i="5"/>
  <c r="AV262" i="5"/>
  <c r="AU262" i="5"/>
  <c r="AT262" i="5"/>
  <c r="AR262" i="5"/>
  <c r="AQ262" i="5"/>
  <c r="AP262" i="5"/>
  <c r="AO262" i="5"/>
  <c r="AN262" i="5"/>
  <c r="AM262" i="5"/>
  <c r="AL262" i="5"/>
  <c r="AH262" i="5"/>
  <c r="AF262" i="5"/>
  <c r="AD262" i="5"/>
  <c r="AB262" i="5"/>
  <c r="Y262" i="5"/>
  <c r="X262" i="5"/>
  <c r="W262" i="5"/>
  <c r="V262" i="5"/>
  <c r="U262" i="5"/>
  <c r="T262" i="5"/>
  <c r="S262" i="5"/>
  <c r="R262" i="5"/>
  <c r="Q262" i="5"/>
  <c r="P262" i="5"/>
  <c r="O262" i="5"/>
  <c r="N262" i="5"/>
  <c r="M262" i="5"/>
  <c r="L262" i="5"/>
  <c r="K262" i="5"/>
  <c r="J262" i="5"/>
  <c r="I262" i="5"/>
  <c r="H262" i="5"/>
  <c r="G262" i="5"/>
  <c r="F262" i="5"/>
  <c r="E262" i="5"/>
  <c r="D262" i="5"/>
  <c r="C262" i="5"/>
  <c r="B262" i="5"/>
  <c r="A262" i="5"/>
  <c r="CS261" i="5"/>
  <c r="CM261" i="5"/>
  <c r="CK261" i="5"/>
  <c r="CJ261" i="5"/>
  <c r="CI261" i="5"/>
  <c r="CG261" i="5"/>
  <c r="CF261" i="5"/>
  <c r="CE261" i="5"/>
  <c r="CD261" i="5"/>
  <c r="CC261" i="5"/>
  <c r="CB261" i="5"/>
  <c r="CA261" i="5"/>
  <c r="BY261" i="5"/>
  <c r="BW261" i="5"/>
  <c r="BV261" i="5"/>
  <c r="BU261" i="5"/>
  <c r="BQ261" i="5"/>
  <c r="BP261" i="5"/>
  <c r="BO261" i="5"/>
  <c r="BM261" i="5"/>
  <c r="BF261" i="5"/>
  <c r="BC261" i="5"/>
  <c r="AY261" i="5"/>
  <c r="AX261" i="5"/>
  <c r="AW261" i="5"/>
  <c r="AV261" i="5"/>
  <c r="AU261" i="5"/>
  <c r="AT261" i="5"/>
  <c r="AR261" i="5"/>
  <c r="AQ261" i="5"/>
  <c r="AP261" i="5"/>
  <c r="AO261" i="5"/>
  <c r="AN261" i="5"/>
  <c r="AM261" i="5"/>
  <c r="AL261" i="5"/>
  <c r="AH261" i="5"/>
  <c r="AF261" i="5"/>
  <c r="AD261" i="5"/>
  <c r="AB261" i="5"/>
  <c r="Y261" i="5"/>
  <c r="X261" i="5"/>
  <c r="W261" i="5"/>
  <c r="V261" i="5"/>
  <c r="U261" i="5"/>
  <c r="T261" i="5"/>
  <c r="S261" i="5"/>
  <c r="R261" i="5"/>
  <c r="Q261" i="5"/>
  <c r="P261" i="5"/>
  <c r="O261" i="5"/>
  <c r="N261" i="5"/>
  <c r="M261" i="5"/>
  <c r="L261" i="5"/>
  <c r="K261" i="5"/>
  <c r="J261" i="5"/>
  <c r="I261" i="5"/>
  <c r="H261" i="5"/>
  <c r="G261" i="5"/>
  <c r="F261" i="5"/>
  <c r="E261" i="5"/>
  <c r="D261" i="5"/>
  <c r="C261" i="5"/>
  <c r="B261" i="5"/>
  <c r="A261" i="5"/>
  <c r="CS260" i="5"/>
  <c r="CM260" i="5"/>
  <c r="CL260" i="5"/>
  <c r="CK260" i="5"/>
  <c r="CJ260" i="5"/>
  <c r="CI260" i="5"/>
  <c r="CG260" i="5"/>
  <c r="CF260" i="5"/>
  <c r="CE260" i="5"/>
  <c r="CD260" i="5"/>
  <c r="CC260" i="5"/>
  <c r="CB260" i="5"/>
  <c r="CA260" i="5"/>
  <c r="BY260" i="5"/>
  <c r="BW260" i="5"/>
  <c r="BV260" i="5"/>
  <c r="BU260" i="5"/>
  <c r="BQ260" i="5"/>
  <c r="BP260" i="5"/>
  <c r="BO260" i="5"/>
  <c r="BM260" i="5"/>
  <c r="BF260" i="5"/>
  <c r="BC260" i="5"/>
  <c r="AY260" i="5"/>
  <c r="AX260" i="5"/>
  <c r="AW260" i="5"/>
  <c r="AV260" i="5"/>
  <c r="AU260" i="5"/>
  <c r="AT260" i="5"/>
  <c r="AR260" i="5"/>
  <c r="AQ260" i="5"/>
  <c r="AP260" i="5"/>
  <c r="AO260" i="5"/>
  <c r="AN260" i="5"/>
  <c r="AM260" i="5"/>
  <c r="AL260" i="5"/>
  <c r="AH260" i="5"/>
  <c r="AF260" i="5"/>
  <c r="AD260" i="5"/>
  <c r="AB260" i="5"/>
  <c r="Y260" i="5"/>
  <c r="X260" i="5"/>
  <c r="W260" i="5"/>
  <c r="V260" i="5"/>
  <c r="U260" i="5"/>
  <c r="T260" i="5"/>
  <c r="S260" i="5"/>
  <c r="R260" i="5"/>
  <c r="Q260" i="5"/>
  <c r="P260" i="5"/>
  <c r="O260" i="5"/>
  <c r="N260" i="5"/>
  <c r="M260" i="5"/>
  <c r="L260" i="5"/>
  <c r="K260" i="5"/>
  <c r="J260" i="5"/>
  <c r="I260" i="5"/>
  <c r="H260" i="5"/>
  <c r="G260" i="5"/>
  <c r="F260" i="5"/>
  <c r="E260" i="5"/>
  <c r="D260" i="5"/>
  <c r="C260" i="5"/>
  <c r="B260" i="5"/>
  <c r="A260" i="5"/>
  <c r="CS259" i="5"/>
  <c r="CM259" i="5"/>
  <c r="CL259" i="5"/>
  <c r="CK259" i="5"/>
  <c r="CJ259" i="5"/>
  <c r="CI259" i="5"/>
  <c r="CG259" i="5"/>
  <c r="CF259" i="5"/>
  <c r="CE259" i="5"/>
  <c r="CD259" i="5"/>
  <c r="CC259" i="5"/>
  <c r="CB259" i="5"/>
  <c r="CA259" i="5"/>
  <c r="BY259" i="5"/>
  <c r="BW259" i="5"/>
  <c r="BV259" i="5"/>
  <c r="BU259" i="5"/>
  <c r="BQ259" i="5"/>
  <c r="BP259" i="5"/>
  <c r="BO259" i="5"/>
  <c r="BM259" i="5"/>
  <c r="BF259" i="5"/>
  <c r="BC259" i="5"/>
  <c r="AY259" i="5"/>
  <c r="AX259" i="5"/>
  <c r="AW259" i="5"/>
  <c r="AV259" i="5"/>
  <c r="AU259" i="5"/>
  <c r="AT259" i="5"/>
  <c r="AR259" i="5"/>
  <c r="AQ259" i="5"/>
  <c r="AP259" i="5"/>
  <c r="AO259" i="5"/>
  <c r="AN259" i="5"/>
  <c r="AM259" i="5"/>
  <c r="AL259" i="5"/>
  <c r="AH259" i="5"/>
  <c r="AF259" i="5"/>
  <c r="AD259" i="5"/>
  <c r="AB259" i="5"/>
  <c r="Y259" i="5"/>
  <c r="X259" i="5"/>
  <c r="W259" i="5"/>
  <c r="V259" i="5"/>
  <c r="U259" i="5"/>
  <c r="T259" i="5"/>
  <c r="S259" i="5"/>
  <c r="R259" i="5"/>
  <c r="Q259" i="5"/>
  <c r="P259" i="5"/>
  <c r="O259" i="5"/>
  <c r="N259" i="5"/>
  <c r="M259" i="5"/>
  <c r="L259" i="5"/>
  <c r="K259" i="5"/>
  <c r="J259" i="5"/>
  <c r="I259" i="5"/>
  <c r="H259" i="5"/>
  <c r="G259" i="5"/>
  <c r="F259" i="5"/>
  <c r="E259" i="5"/>
  <c r="D259" i="5"/>
  <c r="C259" i="5"/>
  <c r="B259" i="5"/>
  <c r="A259" i="5"/>
  <c r="CS258" i="5"/>
  <c r="CM258" i="5"/>
  <c r="CK258" i="5"/>
  <c r="CJ258" i="5"/>
  <c r="CI258" i="5"/>
  <c r="CG258" i="5"/>
  <c r="CF258" i="5"/>
  <c r="CE258" i="5"/>
  <c r="CD258" i="5"/>
  <c r="CC258" i="5"/>
  <c r="CB258" i="5"/>
  <c r="CA258" i="5"/>
  <c r="BY258" i="5"/>
  <c r="BW258" i="5"/>
  <c r="BV258" i="5"/>
  <c r="BU258" i="5"/>
  <c r="BQ258" i="5"/>
  <c r="BP258" i="5"/>
  <c r="BO258" i="5"/>
  <c r="BM258" i="5"/>
  <c r="BF258" i="5"/>
  <c r="BC258" i="5"/>
  <c r="AY258" i="5"/>
  <c r="AX258" i="5"/>
  <c r="AW258" i="5"/>
  <c r="AV258" i="5"/>
  <c r="AU258" i="5"/>
  <c r="AT258" i="5"/>
  <c r="AR258" i="5"/>
  <c r="AQ258" i="5"/>
  <c r="AP258" i="5"/>
  <c r="AO258" i="5"/>
  <c r="AN258" i="5"/>
  <c r="AM258" i="5"/>
  <c r="AL258" i="5"/>
  <c r="AH258" i="5"/>
  <c r="AF258" i="5"/>
  <c r="AD258" i="5"/>
  <c r="AB258" i="5"/>
  <c r="Y258" i="5"/>
  <c r="X258" i="5"/>
  <c r="W258" i="5"/>
  <c r="V258" i="5"/>
  <c r="U258" i="5"/>
  <c r="T258" i="5"/>
  <c r="S258" i="5"/>
  <c r="R258" i="5"/>
  <c r="Q258" i="5"/>
  <c r="P258" i="5"/>
  <c r="O258" i="5"/>
  <c r="N258" i="5"/>
  <c r="M258" i="5"/>
  <c r="L258" i="5"/>
  <c r="K258" i="5"/>
  <c r="J258" i="5"/>
  <c r="I258" i="5"/>
  <c r="H258" i="5"/>
  <c r="G258" i="5"/>
  <c r="F258" i="5"/>
  <c r="E258" i="5"/>
  <c r="D258" i="5"/>
  <c r="C258" i="5"/>
  <c r="B258" i="5"/>
  <c r="A258" i="5"/>
  <c r="CS257" i="5"/>
  <c r="CM257" i="5"/>
  <c r="CK257" i="5"/>
  <c r="CJ257" i="5"/>
  <c r="CI257" i="5"/>
  <c r="CG257" i="5"/>
  <c r="CF257" i="5"/>
  <c r="CE257" i="5"/>
  <c r="CD257" i="5"/>
  <c r="CC257" i="5"/>
  <c r="CB257" i="5"/>
  <c r="CA257" i="5"/>
  <c r="BY257" i="5"/>
  <c r="BW257" i="5"/>
  <c r="BV257" i="5"/>
  <c r="BU257" i="5"/>
  <c r="BQ257" i="5"/>
  <c r="BP257" i="5"/>
  <c r="BO257" i="5"/>
  <c r="BM257" i="5"/>
  <c r="BF257" i="5"/>
  <c r="BC257" i="5"/>
  <c r="AY257" i="5"/>
  <c r="AX257" i="5"/>
  <c r="AW257" i="5"/>
  <c r="AV257" i="5"/>
  <c r="AU257" i="5"/>
  <c r="AT257" i="5"/>
  <c r="AR257" i="5"/>
  <c r="AQ257" i="5"/>
  <c r="AP257" i="5"/>
  <c r="AO257" i="5"/>
  <c r="AN257" i="5"/>
  <c r="AM257" i="5"/>
  <c r="AL257" i="5"/>
  <c r="AH257" i="5"/>
  <c r="AF257" i="5"/>
  <c r="AD257" i="5"/>
  <c r="AB257" i="5"/>
  <c r="Y257" i="5"/>
  <c r="X257" i="5"/>
  <c r="W257" i="5"/>
  <c r="V257" i="5"/>
  <c r="U257" i="5"/>
  <c r="T257" i="5"/>
  <c r="S257" i="5"/>
  <c r="R257" i="5"/>
  <c r="Q257" i="5"/>
  <c r="P257" i="5"/>
  <c r="O257" i="5"/>
  <c r="N257" i="5"/>
  <c r="M257" i="5"/>
  <c r="L257" i="5"/>
  <c r="K257" i="5"/>
  <c r="J257" i="5"/>
  <c r="I257" i="5"/>
  <c r="H257" i="5"/>
  <c r="G257" i="5"/>
  <c r="F257" i="5"/>
  <c r="E257" i="5"/>
  <c r="D257" i="5"/>
  <c r="C257" i="5"/>
  <c r="B257" i="5"/>
  <c r="A257" i="5"/>
  <c r="CS256" i="5"/>
  <c r="CM256" i="5"/>
  <c r="CK256" i="5"/>
  <c r="CJ256" i="5"/>
  <c r="CI256" i="5"/>
  <c r="CG256" i="5"/>
  <c r="CF256" i="5"/>
  <c r="CE256" i="5"/>
  <c r="CD256" i="5"/>
  <c r="CC256" i="5"/>
  <c r="CB256" i="5"/>
  <c r="CA256" i="5"/>
  <c r="BY256" i="5"/>
  <c r="BW256" i="5"/>
  <c r="BV256" i="5"/>
  <c r="BU256" i="5"/>
  <c r="BQ256" i="5"/>
  <c r="BP256" i="5"/>
  <c r="BO256" i="5"/>
  <c r="BM256" i="5"/>
  <c r="BF256" i="5"/>
  <c r="BC256" i="5"/>
  <c r="AY256" i="5"/>
  <c r="AX256" i="5"/>
  <c r="AW256" i="5"/>
  <c r="AV256" i="5"/>
  <c r="AU256" i="5"/>
  <c r="AT256" i="5"/>
  <c r="AR256" i="5"/>
  <c r="AQ256" i="5"/>
  <c r="AP256" i="5"/>
  <c r="AO256" i="5"/>
  <c r="AN256" i="5"/>
  <c r="AM256" i="5"/>
  <c r="AL256" i="5"/>
  <c r="AH256" i="5"/>
  <c r="AF256" i="5"/>
  <c r="AD256" i="5"/>
  <c r="AB256" i="5"/>
  <c r="Y256" i="5"/>
  <c r="X256" i="5"/>
  <c r="W256" i="5"/>
  <c r="V256" i="5"/>
  <c r="U256" i="5"/>
  <c r="T256" i="5"/>
  <c r="S256" i="5"/>
  <c r="R256" i="5"/>
  <c r="Q256" i="5"/>
  <c r="P256" i="5"/>
  <c r="O256" i="5"/>
  <c r="N256" i="5"/>
  <c r="M256" i="5"/>
  <c r="L256" i="5"/>
  <c r="K256" i="5"/>
  <c r="J256" i="5"/>
  <c r="I256" i="5"/>
  <c r="H256" i="5"/>
  <c r="G256" i="5"/>
  <c r="F256" i="5"/>
  <c r="E256" i="5"/>
  <c r="D256" i="5"/>
  <c r="C256" i="5"/>
  <c r="B256" i="5"/>
  <c r="A256" i="5"/>
  <c r="CS255" i="5"/>
  <c r="CM255" i="5"/>
  <c r="CL255" i="5"/>
  <c r="CK255" i="5"/>
  <c r="CJ255" i="5"/>
  <c r="CI255" i="5"/>
  <c r="CG255" i="5"/>
  <c r="CF255" i="5"/>
  <c r="CE255" i="5"/>
  <c r="CD255" i="5"/>
  <c r="CC255" i="5"/>
  <c r="CB255" i="5"/>
  <c r="CA255" i="5"/>
  <c r="BY255" i="5"/>
  <c r="BW255" i="5"/>
  <c r="BV255" i="5"/>
  <c r="BU255" i="5"/>
  <c r="BQ255" i="5"/>
  <c r="BP255" i="5"/>
  <c r="BO255" i="5"/>
  <c r="BM255" i="5"/>
  <c r="BF255" i="5"/>
  <c r="BC255" i="5"/>
  <c r="AY255" i="5"/>
  <c r="AX255" i="5"/>
  <c r="AW255" i="5"/>
  <c r="AV255" i="5"/>
  <c r="AU255" i="5"/>
  <c r="AT255" i="5"/>
  <c r="AR255" i="5"/>
  <c r="AQ255" i="5"/>
  <c r="AP255" i="5"/>
  <c r="AO255" i="5"/>
  <c r="AN255" i="5"/>
  <c r="AM255" i="5"/>
  <c r="AL255" i="5"/>
  <c r="AH255" i="5"/>
  <c r="AF255" i="5"/>
  <c r="AD255" i="5"/>
  <c r="AB255" i="5"/>
  <c r="Y255" i="5"/>
  <c r="X255" i="5"/>
  <c r="W255" i="5"/>
  <c r="V255" i="5"/>
  <c r="U255" i="5"/>
  <c r="T255" i="5"/>
  <c r="S255" i="5"/>
  <c r="R255" i="5"/>
  <c r="Q255" i="5"/>
  <c r="P255" i="5"/>
  <c r="O255" i="5"/>
  <c r="N255" i="5"/>
  <c r="M255" i="5"/>
  <c r="L255" i="5"/>
  <c r="K255" i="5"/>
  <c r="J255" i="5"/>
  <c r="I255" i="5"/>
  <c r="H255" i="5"/>
  <c r="G255" i="5"/>
  <c r="F255" i="5"/>
  <c r="E255" i="5"/>
  <c r="D255" i="5"/>
  <c r="C255" i="5"/>
  <c r="B255" i="5"/>
  <c r="A255" i="5"/>
  <c r="CS254" i="5"/>
  <c r="CM254" i="5"/>
  <c r="CK254" i="5"/>
  <c r="CJ254" i="5"/>
  <c r="CI254" i="5"/>
  <c r="CG254" i="5"/>
  <c r="CF254" i="5"/>
  <c r="CE254" i="5"/>
  <c r="CD254" i="5"/>
  <c r="CC254" i="5"/>
  <c r="CB254" i="5"/>
  <c r="CA254" i="5"/>
  <c r="BY254" i="5"/>
  <c r="BW254" i="5"/>
  <c r="BV254" i="5"/>
  <c r="BU254" i="5"/>
  <c r="BQ254" i="5"/>
  <c r="BP254" i="5"/>
  <c r="BO254" i="5"/>
  <c r="BM254" i="5"/>
  <c r="BF254" i="5"/>
  <c r="BC254" i="5"/>
  <c r="AY254" i="5"/>
  <c r="AX254" i="5"/>
  <c r="AW254" i="5"/>
  <c r="AV254" i="5"/>
  <c r="AU254" i="5"/>
  <c r="AT254" i="5"/>
  <c r="AR254" i="5"/>
  <c r="AQ254" i="5"/>
  <c r="AP254" i="5"/>
  <c r="AO254" i="5"/>
  <c r="AN254" i="5"/>
  <c r="AM254" i="5"/>
  <c r="AL254" i="5"/>
  <c r="AH254" i="5"/>
  <c r="AF254" i="5"/>
  <c r="AD254" i="5"/>
  <c r="AB254" i="5"/>
  <c r="Y254" i="5"/>
  <c r="X254" i="5"/>
  <c r="W254" i="5"/>
  <c r="V254" i="5"/>
  <c r="U254" i="5"/>
  <c r="T254" i="5"/>
  <c r="S254" i="5"/>
  <c r="R254" i="5"/>
  <c r="Q254" i="5"/>
  <c r="P254" i="5"/>
  <c r="O254" i="5"/>
  <c r="N254" i="5"/>
  <c r="M254" i="5"/>
  <c r="L254" i="5"/>
  <c r="K254" i="5"/>
  <c r="J254" i="5"/>
  <c r="I254" i="5"/>
  <c r="H254" i="5"/>
  <c r="G254" i="5"/>
  <c r="F254" i="5"/>
  <c r="E254" i="5"/>
  <c r="D254" i="5"/>
  <c r="C254" i="5"/>
  <c r="B254" i="5"/>
  <c r="A254" i="5"/>
  <c r="CS253" i="5"/>
  <c r="CM253" i="5"/>
  <c r="CL253" i="5"/>
  <c r="CK253" i="5"/>
  <c r="CJ253" i="5"/>
  <c r="CI253" i="5"/>
  <c r="CG253" i="5"/>
  <c r="CF253" i="5"/>
  <c r="CE253" i="5"/>
  <c r="CD253" i="5"/>
  <c r="CC253" i="5"/>
  <c r="CB253" i="5"/>
  <c r="CA253" i="5"/>
  <c r="BY253" i="5"/>
  <c r="BW253" i="5"/>
  <c r="BV253" i="5"/>
  <c r="BU253" i="5"/>
  <c r="BQ253" i="5"/>
  <c r="BP253" i="5"/>
  <c r="BO253" i="5"/>
  <c r="BM253" i="5"/>
  <c r="BF253" i="5"/>
  <c r="BC253" i="5"/>
  <c r="AY253" i="5"/>
  <c r="AX253" i="5"/>
  <c r="AW253" i="5"/>
  <c r="AV253" i="5"/>
  <c r="AU253" i="5"/>
  <c r="AT253" i="5"/>
  <c r="AR253" i="5"/>
  <c r="AQ253" i="5"/>
  <c r="AP253" i="5"/>
  <c r="AO253" i="5"/>
  <c r="AN253" i="5"/>
  <c r="AM253" i="5"/>
  <c r="AL253" i="5"/>
  <c r="AH253" i="5"/>
  <c r="AF253" i="5"/>
  <c r="AD253" i="5"/>
  <c r="AB253" i="5"/>
  <c r="Y253" i="5"/>
  <c r="X253" i="5"/>
  <c r="W253" i="5"/>
  <c r="V253" i="5"/>
  <c r="U253" i="5"/>
  <c r="T253" i="5"/>
  <c r="S253" i="5"/>
  <c r="R253" i="5"/>
  <c r="Q253" i="5"/>
  <c r="P253" i="5"/>
  <c r="O253" i="5"/>
  <c r="N253" i="5"/>
  <c r="M253" i="5"/>
  <c r="L253" i="5"/>
  <c r="K253" i="5"/>
  <c r="J253" i="5"/>
  <c r="I253" i="5"/>
  <c r="H253" i="5"/>
  <c r="G253" i="5"/>
  <c r="F253" i="5"/>
  <c r="E253" i="5"/>
  <c r="D253" i="5"/>
  <c r="C253" i="5"/>
  <c r="B253" i="5"/>
  <c r="A253" i="5"/>
  <c r="CS252" i="5"/>
  <c r="CM252" i="5"/>
  <c r="CK252" i="5"/>
  <c r="CJ252" i="5"/>
  <c r="CI252" i="5"/>
  <c r="CG252" i="5"/>
  <c r="CF252" i="5"/>
  <c r="CE252" i="5"/>
  <c r="CD252" i="5"/>
  <c r="CC252" i="5"/>
  <c r="CB252" i="5"/>
  <c r="CA252" i="5"/>
  <c r="BY252" i="5"/>
  <c r="BW252" i="5"/>
  <c r="BV252" i="5"/>
  <c r="BU252" i="5"/>
  <c r="BQ252" i="5"/>
  <c r="BP252" i="5"/>
  <c r="BO252" i="5"/>
  <c r="BM252" i="5"/>
  <c r="BF252" i="5"/>
  <c r="BC252" i="5"/>
  <c r="AY252" i="5"/>
  <c r="AX252" i="5"/>
  <c r="AW252" i="5"/>
  <c r="AV252" i="5"/>
  <c r="AU252" i="5"/>
  <c r="AT252" i="5"/>
  <c r="AR252" i="5"/>
  <c r="AQ252" i="5"/>
  <c r="AP252" i="5"/>
  <c r="AO252" i="5"/>
  <c r="AN252" i="5"/>
  <c r="AM252" i="5"/>
  <c r="AL252" i="5"/>
  <c r="AH252" i="5"/>
  <c r="AF252" i="5"/>
  <c r="AD252" i="5"/>
  <c r="AB252" i="5"/>
  <c r="Y252" i="5"/>
  <c r="X252" i="5"/>
  <c r="W252" i="5"/>
  <c r="V252" i="5"/>
  <c r="U252" i="5"/>
  <c r="T252" i="5"/>
  <c r="S252" i="5"/>
  <c r="R252" i="5"/>
  <c r="Q252" i="5"/>
  <c r="P252" i="5"/>
  <c r="O252" i="5"/>
  <c r="N252" i="5"/>
  <c r="M252" i="5"/>
  <c r="L252" i="5"/>
  <c r="K252" i="5"/>
  <c r="J252" i="5"/>
  <c r="I252" i="5"/>
  <c r="H252" i="5"/>
  <c r="G252" i="5"/>
  <c r="F252" i="5"/>
  <c r="E252" i="5"/>
  <c r="D252" i="5"/>
  <c r="C252" i="5"/>
  <c r="B252" i="5"/>
  <c r="A252" i="5"/>
  <c r="CS251" i="5"/>
  <c r="CM251" i="5"/>
  <c r="CK251" i="5"/>
  <c r="CJ251" i="5"/>
  <c r="CI251" i="5"/>
  <c r="CG251" i="5"/>
  <c r="CF251" i="5"/>
  <c r="CE251" i="5"/>
  <c r="CD251" i="5"/>
  <c r="CC251" i="5"/>
  <c r="CB251" i="5"/>
  <c r="CA251" i="5"/>
  <c r="BY251" i="5"/>
  <c r="BW251" i="5"/>
  <c r="BV251" i="5"/>
  <c r="BU251" i="5"/>
  <c r="BQ251" i="5"/>
  <c r="BP251" i="5"/>
  <c r="BO251" i="5"/>
  <c r="BM251" i="5"/>
  <c r="BF251" i="5"/>
  <c r="BC251" i="5"/>
  <c r="AY251" i="5"/>
  <c r="AX251" i="5"/>
  <c r="AW251" i="5"/>
  <c r="AV251" i="5"/>
  <c r="AU251" i="5"/>
  <c r="AT251" i="5"/>
  <c r="AR251" i="5"/>
  <c r="AQ251" i="5"/>
  <c r="AP251" i="5"/>
  <c r="AO251" i="5"/>
  <c r="AN251" i="5"/>
  <c r="AM251" i="5"/>
  <c r="AL251" i="5"/>
  <c r="AH251" i="5"/>
  <c r="AF251" i="5"/>
  <c r="AD251" i="5"/>
  <c r="AB251" i="5"/>
  <c r="Y251" i="5"/>
  <c r="X251" i="5"/>
  <c r="W251" i="5"/>
  <c r="V251" i="5"/>
  <c r="U251" i="5"/>
  <c r="T251" i="5"/>
  <c r="S251" i="5"/>
  <c r="R251" i="5"/>
  <c r="Q251" i="5"/>
  <c r="P251" i="5"/>
  <c r="O251" i="5"/>
  <c r="N251" i="5"/>
  <c r="M251" i="5"/>
  <c r="L251" i="5"/>
  <c r="K251" i="5"/>
  <c r="J251" i="5"/>
  <c r="I251" i="5"/>
  <c r="H251" i="5"/>
  <c r="G251" i="5"/>
  <c r="F251" i="5"/>
  <c r="E251" i="5"/>
  <c r="D251" i="5"/>
  <c r="C251" i="5"/>
  <c r="B251" i="5"/>
  <c r="A251" i="5"/>
  <c r="CS250" i="5"/>
  <c r="CM250" i="5"/>
  <c r="CK250" i="5"/>
  <c r="CJ250" i="5"/>
  <c r="CI250" i="5"/>
  <c r="CG250" i="5"/>
  <c r="CF250" i="5"/>
  <c r="CE250" i="5"/>
  <c r="CD250" i="5"/>
  <c r="CC250" i="5"/>
  <c r="CB250" i="5"/>
  <c r="CA250" i="5"/>
  <c r="BY250" i="5"/>
  <c r="BX250" i="5"/>
  <c r="BW250" i="5"/>
  <c r="BV250" i="5"/>
  <c r="BU250" i="5"/>
  <c r="BQ250" i="5"/>
  <c r="BP250" i="5"/>
  <c r="BO250" i="5"/>
  <c r="BM250" i="5"/>
  <c r="BF250" i="5"/>
  <c r="BC250" i="5"/>
  <c r="AY250" i="5"/>
  <c r="AX250" i="5"/>
  <c r="AW250" i="5"/>
  <c r="AV250" i="5"/>
  <c r="AU250" i="5"/>
  <c r="AT250" i="5"/>
  <c r="AR250" i="5"/>
  <c r="AQ250" i="5"/>
  <c r="AP250" i="5"/>
  <c r="AO250" i="5"/>
  <c r="AN250" i="5"/>
  <c r="AM250" i="5"/>
  <c r="AL250" i="5"/>
  <c r="AH250" i="5"/>
  <c r="AF250" i="5"/>
  <c r="AD250" i="5"/>
  <c r="AB250" i="5"/>
  <c r="Y250" i="5"/>
  <c r="X250" i="5"/>
  <c r="W250" i="5"/>
  <c r="V250" i="5"/>
  <c r="U250" i="5"/>
  <c r="T250" i="5"/>
  <c r="S250" i="5"/>
  <c r="R250" i="5"/>
  <c r="Q250" i="5"/>
  <c r="P250" i="5"/>
  <c r="O250" i="5"/>
  <c r="N250" i="5"/>
  <c r="M250" i="5"/>
  <c r="L250" i="5"/>
  <c r="K250" i="5"/>
  <c r="J250" i="5"/>
  <c r="I250" i="5"/>
  <c r="H250" i="5"/>
  <c r="G250" i="5"/>
  <c r="F250" i="5"/>
  <c r="E250" i="5"/>
  <c r="D250" i="5"/>
  <c r="C250" i="5"/>
  <c r="B250" i="5"/>
  <c r="A250" i="5"/>
  <c r="CS249" i="5"/>
  <c r="CM249" i="5"/>
  <c r="CK249" i="5"/>
  <c r="CJ249" i="5"/>
  <c r="CI249" i="5"/>
  <c r="CG249" i="5"/>
  <c r="CF249" i="5"/>
  <c r="CE249" i="5"/>
  <c r="CD249" i="5"/>
  <c r="CC249" i="5"/>
  <c r="CB249" i="5"/>
  <c r="CA249" i="5"/>
  <c r="BY249" i="5"/>
  <c r="BW249" i="5"/>
  <c r="BV249" i="5"/>
  <c r="BU249" i="5"/>
  <c r="BQ249" i="5"/>
  <c r="BP249" i="5"/>
  <c r="BO249" i="5"/>
  <c r="BM249" i="5"/>
  <c r="BF249" i="5"/>
  <c r="BC249" i="5"/>
  <c r="AY249" i="5"/>
  <c r="AX249" i="5"/>
  <c r="AW249" i="5"/>
  <c r="AV249" i="5"/>
  <c r="AU249" i="5"/>
  <c r="AT249" i="5"/>
  <c r="AR249" i="5"/>
  <c r="AQ249" i="5"/>
  <c r="AP249" i="5"/>
  <c r="AO249" i="5"/>
  <c r="AN249" i="5"/>
  <c r="AM249" i="5"/>
  <c r="AL249" i="5"/>
  <c r="AH249" i="5"/>
  <c r="AF249" i="5"/>
  <c r="AD249" i="5"/>
  <c r="AB249" i="5"/>
  <c r="Y249" i="5"/>
  <c r="X249" i="5"/>
  <c r="W249" i="5"/>
  <c r="V249" i="5"/>
  <c r="U249" i="5"/>
  <c r="T249" i="5"/>
  <c r="S249" i="5"/>
  <c r="R249" i="5"/>
  <c r="Q249" i="5"/>
  <c r="P249" i="5"/>
  <c r="O249" i="5"/>
  <c r="N249" i="5"/>
  <c r="M249" i="5"/>
  <c r="L249" i="5"/>
  <c r="K249" i="5"/>
  <c r="J249" i="5"/>
  <c r="I249" i="5"/>
  <c r="H249" i="5"/>
  <c r="G249" i="5"/>
  <c r="F249" i="5"/>
  <c r="E249" i="5"/>
  <c r="D249" i="5"/>
  <c r="C249" i="5"/>
  <c r="B249" i="5"/>
  <c r="A249" i="5"/>
  <c r="CS248" i="5"/>
  <c r="CM248" i="5"/>
  <c r="CK248" i="5"/>
  <c r="CJ248" i="5"/>
  <c r="CI248" i="5"/>
  <c r="CG248" i="5"/>
  <c r="CF248" i="5"/>
  <c r="CE248" i="5"/>
  <c r="CD248" i="5"/>
  <c r="CC248" i="5"/>
  <c r="CB248" i="5"/>
  <c r="CA248" i="5"/>
  <c r="BY248" i="5"/>
  <c r="BW248" i="5"/>
  <c r="BV248" i="5"/>
  <c r="BU248" i="5"/>
  <c r="BQ248" i="5"/>
  <c r="BP248" i="5"/>
  <c r="BO248" i="5"/>
  <c r="BM248" i="5"/>
  <c r="BF248" i="5"/>
  <c r="BC248" i="5"/>
  <c r="AY248" i="5"/>
  <c r="AX248" i="5"/>
  <c r="AW248" i="5"/>
  <c r="AV248" i="5"/>
  <c r="AU248" i="5"/>
  <c r="AT248" i="5"/>
  <c r="AR248" i="5"/>
  <c r="AQ248" i="5"/>
  <c r="AP248" i="5"/>
  <c r="AO248" i="5"/>
  <c r="AN248" i="5"/>
  <c r="AM248" i="5"/>
  <c r="AL248" i="5"/>
  <c r="AH248" i="5"/>
  <c r="AF248" i="5"/>
  <c r="AD248" i="5"/>
  <c r="AB248" i="5"/>
  <c r="Y248" i="5"/>
  <c r="X248" i="5"/>
  <c r="W248" i="5"/>
  <c r="V248" i="5"/>
  <c r="U248" i="5"/>
  <c r="T248" i="5"/>
  <c r="S248" i="5"/>
  <c r="R248" i="5"/>
  <c r="Q248" i="5"/>
  <c r="P248" i="5"/>
  <c r="O248" i="5"/>
  <c r="N248" i="5"/>
  <c r="M248" i="5"/>
  <c r="L248" i="5"/>
  <c r="K248" i="5"/>
  <c r="J248" i="5"/>
  <c r="I248" i="5"/>
  <c r="H248" i="5"/>
  <c r="G248" i="5"/>
  <c r="F248" i="5"/>
  <c r="E248" i="5"/>
  <c r="D248" i="5"/>
  <c r="C248" i="5"/>
  <c r="B248" i="5"/>
  <c r="A248" i="5"/>
  <c r="CS247" i="5"/>
  <c r="CM247" i="5"/>
  <c r="CK247" i="5"/>
  <c r="CJ247" i="5"/>
  <c r="CI247" i="5"/>
  <c r="CG247" i="5"/>
  <c r="CF247" i="5"/>
  <c r="CE247" i="5"/>
  <c r="CD247" i="5"/>
  <c r="CC247" i="5"/>
  <c r="CB247" i="5"/>
  <c r="CA247" i="5"/>
  <c r="BY247" i="5"/>
  <c r="BW247" i="5"/>
  <c r="BV247" i="5"/>
  <c r="BU247" i="5"/>
  <c r="BQ247" i="5"/>
  <c r="BP247" i="5"/>
  <c r="BO247" i="5"/>
  <c r="BM247" i="5"/>
  <c r="BF247" i="5"/>
  <c r="BC247" i="5"/>
  <c r="AY247" i="5"/>
  <c r="AX247" i="5"/>
  <c r="AW247" i="5"/>
  <c r="AV247" i="5"/>
  <c r="AU247" i="5"/>
  <c r="AT247" i="5"/>
  <c r="AR247" i="5"/>
  <c r="AQ247" i="5"/>
  <c r="AP247" i="5"/>
  <c r="AO247" i="5"/>
  <c r="AN247" i="5"/>
  <c r="AM247" i="5"/>
  <c r="AL247" i="5"/>
  <c r="AH247" i="5"/>
  <c r="AF247" i="5"/>
  <c r="AD247" i="5"/>
  <c r="AB247" i="5"/>
  <c r="Y247" i="5"/>
  <c r="X247" i="5"/>
  <c r="W247" i="5"/>
  <c r="V247" i="5"/>
  <c r="U247" i="5"/>
  <c r="T247" i="5"/>
  <c r="S247" i="5"/>
  <c r="R247" i="5"/>
  <c r="Q247" i="5"/>
  <c r="P247" i="5"/>
  <c r="O247" i="5"/>
  <c r="N247" i="5"/>
  <c r="M247" i="5"/>
  <c r="L247" i="5"/>
  <c r="K247" i="5"/>
  <c r="J247" i="5"/>
  <c r="I247" i="5"/>
  <c r="H247" i="5"/>
  <c r="G247" i="5"/>
  <c r="F247" i="5"/>
  <c r="E247" i="5"/>
  <c r="D247" i="5"/>
  <c r="C247" i="5"/>
  <c r="B247" i="5"/>
  <c r="A247" i="5"/>
  <c r="CS246" i="5"/>
  <c r="CM246" i="5"/>
  <c r="CK246" i="5"/>
  <c r="CJ246" i="5"/>
  <c r="CI246" i="5"/>
  <c r="CG246" i="5"/>
  <c r="CF246" i="5"/>
  <c r="CE246" i="5"/>
  <c r="CD246" i="5"/>
  <c r="CC246" i="5"/>
  <c r="CB246" i="5"/>
  <c r="CA246" i="5"/>
  <c r="BZ246" i="5"/>
  <c r="BY246" i="5"/>
  <c r="BW246" i="5"/>
  <c r="BV246" i="5"/>
  <c r="BU246" i="5"/>
  <c r="BT246" i="5"/>
  <c r="BQ246" i="5"/>
  <c r="BP246" i="5"/>
  <c r="BO246" i="5"/>
  <c r="BM246" i="5"/>
  <c r="BF246" i="5"/>
  <c r="BC246" i="5"/>
  <c r="AY246" i="5"/>
  <c r="AX246" i="5"/>
  <c r="AW246" i="5"/>
  <c r="AV246" i="5"/>
  <c r="AU246" i="5"/>
  <c r="AT246" i="5"/>
  <c r="AR246" i="5"/>
  <c r="AQ246" i="5"/>
  <c r="AP246" i="5"/>
  <c r="AO246" i="5"/>
  <c r="AN246" i="5"/>
  <c r="AM246" i="5"/>
  <c r="AL246" i="5"/>
  <c r="AH246" i="5"/>
  <c r="AF246" i="5"/>
  <c r="AD246" i="5"/>
  <c r="AB246" i="5"/>
  <c r="Y246" i="5"/>
  <c r="X246" i="5"/>
  <c r="W246" i="5"/>
  <c r="V246" i="5"/>
  <c r="U246" i="5"/>
  <c r="T246" i="5"/>
  <c r="S246" i="5"/>
  <c r="R246" i="5"/>
  <c r="Q246" i="5"/>
  <c r="P246" i="5"/>
  <c r="O246" i="5"/>
  <c r="N246" i="5"/>
  <c r="M246" i="5"/>
  <c r="L246" i="5"/>
  <c r="K246" i="5"/>
  <c r="J246" i="5"/>
  <c r="I246" i="5"/>
  <c r="H246" i="5"/>
  <c r="G246" i="5"/>
  <c r="F246" i="5"/>
  <c r="E246" i="5"/>
  <c r="D246" i="5"/>
  <c r="C246" i="5"/>
  <c r="B246" i="5"/>
  <c r="A246" i="5"/>
  <c r="CS245" i="5"/>
  <c r="CM245" i="5"/>
  <c r="CK245" i="5"/>
  <c r="CJ245" i="5"/>
  <c r="CI245" i="5"/>
  <c r="CG245" i="5"/>
  <c r="CF245" i="5"/>
  <c r="CE245" i="5"/>
  <c r="CD245" i="5"/>
  <c r="CC245" i="5"/>
  <c r="CB245" i="5"/>
  <c r="CA245" i="5"/>
  <c r="BZ245" i="5"/>
  <c r="BY245" i="5"/>
  <c r="BW245" i="5"/>
  <c r="BV245" i="5"/>
  <c r="BU245" i="5"/>
  <c r="BT245" i="5"/>
  <c r="BQ245" i="5"/>
  <c r="BP245" i="5"/>
  <c r="BO245" i="5"/>
  <c r="BM245" i="5"/>
  <c r="BF245" i="5"/>
  <c r="BC245" i="5"/>
  <c r="AY245" i="5"/>
  <c r="AX245" i="5"/>
  <c r="AW245" i="5"/>
  <c r="AV245" i="5"/>
  <c r="AU245" i="5"/>
  <c r="AT245" i="5"/>
  <c r="AR245" i="5"/>
  <c r="AQ245" i="5"/>
  <c r="AP245" i="5"/>
  <c r="AO245" i="5"/>
  <c r="AN245" i="5"/>
  <c r="AM245" i="5"/>
  <c r="AL245" i="5"/>
  <c r="AH245" i="5"/>
  <c r="AF245" i="5"/>
  <c r="AD245" i="5"/>
  <c r="AB245" i="5"/>
  <c r="Y245" i="5"/>
  <c r="X245" i="5"/>
  <c r="W245" i="5"/>
  <c r="V245" i="5"/>
  <c r="U245" i="5"/>
  <c r="T245" i="5"/>
  <c r="S245" i="5"/>
  <c r="R245" i="5"/>
  <c r="Q245" i="5"/>
  <c r="P245" i="5"/>
  <c r="O245" i="5"/>
  <c r="N245" i="5"/>
  <c r="M245" i="5"/>
  <c r="L245" i="5"/>
  <c r="K245" i="5"/>
  <c r="J245" i="5"/>
  <c r="I245" i="5"/>
  <c r="H245" i="5"/>
  <c r="G245" i="5"/>
  <c r="F245" i="5"/>
  <c r="E245" i="5"/>
  <c r="D245" i="5"/>
  <c r="C245" i="5"/>
  <c r="B245" i="5"/>
  <c r="A245" i="5"/>
  <c r="CS244" i="5"/>
  <c r="CM244" i="5"/>
  <c r="CK244" i="5"/>
  <c r="CJ244" i="5"/>
  <c r="CI244" i="5"/>
  <c r="CG244" i="5"/>
  <c r="CF244" i="5"/>
  <c r="CE244" i="5"/>
  <c r="CD244" i="5"/>
  <c r="CC244" i="5"/>
  <c r="CB244" i="5"/>
  <c r="CA244" i="5"/>
  <c r="BZ244" i="5"/>
  <c r="BY244" i="5"/>
  <c r="BW244" i="5"/>
  <c r="BV244" i="5"/>
  <c r="BU244" i="5"/>
  <c r="BT244" i="5"/>
  <c r="BQ244" i="5"/>
  <c r="BP244" i="5"/>
  <c r="BO244" i="5"/>
  <c r="BM244" i="5"/>
  <c r="BF244" i="5"/>
  <c r="BC244" i="5"/>
  <c r="AY244" i="5"/>
  <c r="AX244" i="5"/>
  <c r="AW244" i="5"/>
  <c r="AV244" i="5"/>
  <c r="AU244" i="5"/>
  <c r="AT244" i="5"/>
  <c r="AR244" i="5"/>
  <c r="AQ244" i="5"/>
  <c r="AP244" i="5"/>
  <c r="AO244" i="5"/>
  <c r="AN244" i="5"/>
  <c r="AM244" i="5"/>
  <c r="AL244" i="5"/>
  <c r="AH244" i="5"/>
  <c r="AF244" i="5"/>
  <c r="AD244" i="5"/>
  <c r="AB244" i="5"/>
  <c r="Y244" i="5"/>
  <c r="X244" i="5"/>
  <c r="W244" i="5"/>
  <c r="V244" i="5"/>
  <c r="U244" i="5"/>
  <c r="T244" i="5"/>
  <c r="S244" i="5"/>
  <c r="R244" i="5"/>
  <c r="Q244" i="5"/>
  <c r="P244" i="5"/>
  <c r="O244" i="5"/>
  <c r="N244" i="5"/>
  <c r="M244" i="5"/>
  <c r="L244" i="5"/>
  <c r="K244" i="5"/>
  <c r="J244" i="5"/>
  <c r="I244" i="5"/>
  <c r="H244" i="5"/>
  <c r="G244" i="5"/>
  <c r="F244" i="5"/>
  <c r="E244" i="5"/>
  <c r="D244" i="5"/>
  <c r="C244" i="5"/>
  <c r="B244" i="5"/>
  <c r="A244" i="5"/>
  <c r="CS243" i="5"/>
  <c r="CM243" i="5"/>
  <c r="CK243" i="5"/>
  <c r="CJ243" i="5"/>
  <c r="CI243" i="5"/>
  <c r="CG243" i="5"/>
  <c r="CF243" i="5"/>
  <c r="CE243" i="5"/>
  <c r="CD243" i="5"/>
  <c r="CC243" i="5"/>
  <c r="CB243" i="5"/>
  <c r="CA243" i="5"/>
  <c r="BZ243" i="5"/>
  <c r="BY243" i="5"/>
  <c r="BW243" i="5"/>
  <c r="BV243" i="5"/>
  <c r="BU243" i="5"/>
  <c r="BT243" i="5"/>
  <c r="BQ243" i="5"/>
  <c r="BP243" i="5"/>
  <c r="BO243" i="5"/>
  <c r="BM243" i="5"/>
  <c r="BF243" i="5"/>
  <c r="BC243" i="5"/>
  <c r="AY243" i="5"/>
  <c r="AX243" i="5"/>
  <c r="AW243" i="5"/>
  <c r="AV243" i="5"/>
  <c r="AU243" i="5"/>
  <c r="AT243" i="5"/>
  <c r="AR243" i="5"/>
  <c r="AQ243" i="5"/>
  <c r="AP243" i="5"/>
  <c r="AO243" i="5"/>
  <c r="AN243" i="5"/>
  <c r="AM243" i="5"/>
  <c r="AL243" i="5"/>
  <c r="AH243" i="5"/>
  <c r="AF243" i="5"/>
  <c r="AD243" i="5"/>
  <c r="AB243" i="5"/>
  <c r="Y243" i="5"/>
  <c r="X243" i="5"/>
  <c r="W243" i="5"/>
  <c r="V243" i="5"/>
  <c r="U243" i="5"/>
  <c r="T243" i="5"/>
  <c r="S243" i="5"/>
  <c r="R243" i="5"/>
  <c r="Q243" i="5"/>
  <c r="P243" i="5"/>
  <c r="O243" i="5"/>
  <c r="N243" i="5"/>
  <c r="M243" i="5"/>
  <c r="L243" i="5"/>
  <c r="K243" i="5"/>
  <c r="J243" i="5"/>
  <c r="I243" i="5"/>
  <c r="H243" i="5"/>
  <c r="G243" i="5"/>
  <c r="F243" i="5"/>
  <c r="E243" i="5"/>
  <c r="D243" i="5"/>
  <c r="C243" i="5"/>
  <c r="B243" i="5"/>
  <c r="A243" i="5"/>
  <c r="CS242" i="5"/>
  <c r="CM242" i="5"/>
  <c r="CK242" i="5"/>
  <c r="CJ242" i="5"/>
  <c r="CI242" i="5"/>
  <c r="CG242" i="5"/>
  <c r="CF242" i="5"/>
  <c r="CE242" i="5"/>
  <c r="CD242" i="5"/>
  <c r="CC242" i="5"/>
  <c r="CB242" i="5"/>
  <c r="CA242" i="5"/>
  <c r="BZ242" i="5"/>
  <c r="BY242" i="5"/>
  <c r="BW242" i="5"/>
  <c r="BV242" i="5"/>
  <c r="BU242" i="5"/>
  <c r="BT242" i="5"/>
  <c r="BQ242" i="5"/>
  <c r="BP242" i="5"/>
  <c r="BO242" i="5"/>
  <c r="BM242" i="5"/>
  <c r="BF242" i="5"/>
  <c r="BC242" i="5"/>
  <c r="AY242" i="5"/>
  <c r="AX242" i="5"/>
  <c r="AW242" i="5"/>
  <c r="AV242" i="5"/>
  <c r="AU242" i="5"/>
  <c r="AT242" i="5"/>
  <c r="AR242" i="5"/>
  <c r="AQ242" i="5"/>
  <c r="AP242" i="5"/>
  <c r="AO242" i="5"/>
  <c r="AN242" i="5"/>
  <c r="AM242" i="5"/>
  <c r="AL242" i="5"/>
  <c r="AH242" i="5"/>
  <c r="AF242" i="5"/>
  <c r="AD242" i="5"/>
  <c r="AB242" i="5"/>
  <c r="Y242" i="5"/>
  <c r="X242" i="5"/>
  <c r="W242" i="5"/>
  <c r="V242" i="5"/>
  <c r="U242" i="5"/>
  <c r="T242" i="5"/>
  <c r="S242" i="5"/>
  <c r="R242" i="5"/>
  <c r="Q242" i="5"/>
  <c r="P242" i="5"/>
  <c r="O242" i="5"/>
  <c r="N242" i="5"/>
  <c r="M242" i="5"/>
  <c r="L242" i="5"/>
  <c r="K242" i="5"/>
  <c r="J242" i="5"/>
  <c r="I242" i="5"/>
  <c r="H242" i="5"/>
  <c r="G242" i="5"/>
  <c r="F242" i="5"/>
  <c r="E242" i="5"/>
  <c r="D242" i="5"/>
  <c r="C242" i="5"/>
  <c r="B242" i="5"/>
  <c r="A242" i="5"/>
  <c r="CS241" i="5"/>
  <c r="CM241" i="5"/>
  <c r="CK241" i="5"/>
  <c r="CJ241" i="5"/>
  <c r="CI241" i="5"/>
  <c r="CG241" i="5"/>
  <c r="CF241" i="5"/>
  <c r="CE241" i="5"/>
  <c r="CD241" i="5"/>
  <c r="CC241" i="5"/>
  <c r="CB241" i="5"/>
  <c r="CA241" i="5"/>
  <c r="BZ241" i="5"/>
  <c r="BY241" i="5"/>
  <c r="BW241" i="5"/>
  <c r="BV241" i="5"/>
  <c r="BU241" i="5"/>
  <c r="BT241" i="5"/>
  <c r="BQ241" i="5"/>
  <c r="BP241" i="5"/>
  <c r="BO241" i="5"/>
  <c r="BN241" i="5"/>
  <c r="BM241" i="5"/>
  <c r="BL241" i="5"/>
  <c r="BF241" i="5"/>
  <c r="BC241" i="5"/>
  <c r="AZ241" i="5"/>
  <c r="AY241" i="5"/>
  <c r="AX241" i="5"/>
  <c r="AW241" i="5"/>
  <c r="AV241" i="5"/>
  <c r="AU241" i="5"/>
  <c r="AT241" i="5"/>
  <c r="AS241" i="5"/>
  <c r="AR241" i="5"/>
  <c r="AQ241" i="5"/>
  <c r="AP241" i="5"/>
  <c r="AO241" i="5"/>
  <c r="AN241" i="5"/>
  <c r="AM241" i="5"/>
  <c r="AL241" i="5"/>
  <c r="AH241" i="5"/>
  <c r="AF241" i="5"/>
  <c r="AD241" i="5"/>
  <c r="AB241" i="5"/>
  <c r="Y241" i="5"/>
  <c r="X241" i="5"/>
  <c r="W241" i="5"/>
  <c r="V241" i="5"/>
  <c r="U241" i="5"/>
  <c r="T241" i="5"/>
  <c r="S241" i="5"/>
  <c r="R241" i="5"/>
  <c r="Q241" i="5"/>
  <c r="P241" i="5"/>
  <c r="O241" i="5"/>
  <c r="N241" i="5"/>
  <c r="M241" i="5"/>
  <c r="L241" i="5"/>
  <c r="K241" i="5"/>
  <c r="J241" i="5"/>
  <c r="I241" i="5"/>
  <c r="H241" i="5"/>
  <c r="G241" i="5"/>
  <c r="F241" i="5"/>
  <c r="E241" i="5"/>
  <c r="D241" i="5"/>
  <c r="C241" i="5"/>
  <c r="B241" i="5"/>
  <c r="A241" i="5"/>
  <c r="CS240" i="5"/>
  <c r="CM240" i="5"/>
  <c r="CK240" i="5"/>
  <c r="CJ240" i="5"/>
  <c r="CI240" i="5"/>
  <c r="CG240" i="5"/>
  <c r="CF240" i="5"/>
  <c r="CE240" i="5"/>
  <c r="CD240" i="5"/>
  <c r="CC240" i="5"/>
  <c r="CB240" i="5"/>
  <c r="CA240" i="5"/>
  <c r="BZ240" i="5"/>
  <c r="BY240" i="5"/>
  <c r="BW240" i="5"/>
  <c r="BV240" i="5"/>
  <c r="BU240" i="5"/>
  <c r="BS240" i="5"/>
  <c r="BR240" i="5"/>
  <c r="BQ240" i="5"/>
  <c r="BP240" i="5"/>
  <c r="BO240" i="5"/>
  <c r="BN240" i="5"/>
  <c r="BM240" i="5"/>
  <c r="BL240" i="5"/>
  <c r="BF240" i="5"/>
  <c r="BC240" i="5"/>
  <c r="AZ240" i="5"/>
  <c r="AY240" i="5"/>
  <c r="AX240" i="5"/>
  <c r="AW240" i="5"/>
  <c r="AV240" i="5"/>
  <c r="AU240" i="5"/>
  <c r="AT240" i="5"/>
  <c r="AR240" i="5"/>
  <c r="AQ240" i="5"/>
  <c r="AP240" i="5"/>
  <c r="AO240" i="5"/>
  <c r="AN240" i="5"/>
  <c r="AM240" i="5"/>
  <c r="AL240" i="5"/>
  <c r="AH240" i="5"/>
  <c r="AF240" i="5"/>
  <c r="AD240" i="5"/>
  <c r="AB240" i="5"/>
  <c r="Y240" i="5"/>
  <c r="X240" i="5"/>
  <c r="W240" i="5"/>
  <c r="V240" i="5"/>
  <c r="U240" i="5"/>
  <c r="T240" i="5"/>
  <c r="S240" i="5"/>
  <c r="R240" i="5"/>
  <c r="Q240" i="5"/>
  <c r="P240" i="5"/>
  <c r="O240" i="5"/>
  <c r="N240" i="5"/>
  <c r="M240" i="5"/>
  <c r="L240" i="5"/>
  <c r="K240" i="5"/>
  <c r="J240" i="5"/>
  <c r="I240" i="5"/>
  <c r="H240" i="5"/>
  <c r="G240" i="5"/>
  <c r="F240" i="5"/>
  <c r="E240" i="5"/>
  <c r="D240" i="5"/>
  <c r="C240" i="5"/>
  <c r="B240" i="5"/>
  <c r="A240" i="5"/>
  <c r="CS239" i="5"/>
  <c r="CM239" i="5"/>
  <c r="CK239" i="5"/>
  <c r="CJ239" i="5"/>
  <c r="CI239" i="5"/>
  <c r="CG239" i="5"/>
  <c r="CF239" i="5"/>
  <c r="CE239" i="5"/>
  <c r="CD239" i="5"/>
  <c r="CC239" i="5"/>
  <c r="CB239" i="5"/>
  <c r="CA239" i="5"/>
  <c r="BZ239" i="5"/>
  <c r="BY239" i="5"/>
  <c r="BX239" i="5"/>
  <c r="BW239" i="5"/>
  <c r="BV239" i="5"/>
  <c r="BU239" i="5"/>
  <c r="BS239" i="5"/>
  <c r="BR239" i="5"/>
  <c r="BQ239" i="5"/>
  <c r="BP239" i="5"/>
  <c r="BO239" i="5"/>
  <c r="BM239" i="5"/>
  <c r="BF239" i="5"/>
  <c r="BC239" i="5"/>
  <c r="AY239" i="5"/>
  <c r="AX239" i="5"/>
  <c r="AW239" i="5"/>
  <c r="AV239" i="5"/>
  <c r="AU239" i="5"/>
  <c r="AT239" i="5"/>
  <c r="AR239" i="5"/>
  <c r="AQ239" i="5"/>
  <c r="AP239" i="5"/>
  <c r="AO239" i="5"/>
  <c r="AN239" i="5"/>
  <c r="AM239" i="5"/>
  <c r="AL239" i="5"/>
  <c r="AH239" i="5"/>
  <c r="AF239" i="5"/>
  <c r="AD239" i="5"/>
  <c r="AB239" i="5"/>
  <c r="Y239" i="5"/>
  <c r="X239" i="5"/>
  <c r="W239" i="5"/>
  <c r="V239" i="5"/>
  <c r="U239" i="5"/>
  <c r="T239" i="5"/>
  <c r="S239" i="5"/>
  <c r="R239" i="5"/>
  <c r="Q239" i="5"/>
  <c r="P239" i="5"/>
  <c r="O239" i="5"/>
  <c r="N239" i="5"/>
  <c r="M239" i="5"/>
  <c r="L239" i="5"/>
  <c r="K239" i="5"/>
  <c r="J239" i="5"/>
  <c r="I239" i="5"/>
  <c r="H239" i="5"/>
  <c r="G239" i="5"/>
  <c r="F239" i="5"/>
  <c r="E239" i="5"/>
  <c r="D239" i="5"/>
  <c r="C239" i="5"/>
  <c r="B239" i="5"/>
  <c r="A239" i="5"/>
  <c r="CS238" i="5"/>
  <c r="CM238" i="5"/>
  <c r="CK238" i="5"/>
  <c r="CJ238" i="5"/>
  <c r="CI238" i="5"/>
  <c r="CG238" i="5"/>
  <c r="CF238" i="5"/>
  <c r="CE238" i="5"/>
  <c r="CD238" i="5"/>
  <c r="CC238" i="5"/>
  <c r="CB238" i="5"/>
  <c r="CA238" i="5"/>
  <c r="BZ238" i="5"/>
  <c r="BY238" i="5"/>
  <c r="BX238" i="5"/>
  <c r="BW238" i="5"/>
  <c r="BV238" i="5"/>
  <c r="BU238" i="5"/>
  <c r="BS238" i="5"/>
  <c r="BR238" i="5"/>
  <c r="BQ238" i="5"/>
  <c r="BP238" i="5"/>
  <c r="BO238" i="5"/>
  <c r="BM238" i="5"/>
  <c r="BF238" i="5"/>
  <c r="BC238" i="5"/>
  <c r="AY238" i="5"/>
  <c r="AX238" i="5"/>
  <c r="AW238" i="5"/>
  <c r="AV238" i="5"/>
  <c r="AU238" i="5"/>
  <c r="AT238" i="5"/>
  <c r="AR238" i="5"/>
  <c r="AQ238" i="5"/>
  <c r="AP238" i="5"/>
  <c r="AO238" i="5"/>
  <c r="AN238" i="5"/>
  <c r="AM238" i="5"/>
  <c r="AL238" i="5"/>
  <c r="AH238" i="5"/>
  <c r="AF238" i="5"/>
  <c r="AD238" i="5"/>
  <c r="AB238" i="5"/>
  <c r="Y238" i="5"/>
  <c r="X238" i="5"/>
  <c r="W238" i="5"/>
  <c r="V238" i="5"/>
  <c r="U238" i="5"/>
  <c r="T238" i="5"/>
  <c r="S238" i="5"/>
  <c r="R238" i="5"/>
  <c r="Q238" i="5"/>
  <c r="P238" i="5"/>
  <c r="O238" i="5"/>
  <c r="N238" i="5"/>
  <c r="M238" i="5"/>
  <c r="L238" i="5"/>
  <c r="K238" i="5"/>
  <c r="J238" i="5"/>
  <c r="I238" i="5"/>
  <c r="H238" i="5"/>
  <c r="G238" i="5"/>
  <c r="F238" i="5"/>
  <c r="E238" i="5"/>
  <c r="D238" i="5"/>
  <c r="C238" i="5"/>
  <c r="B238" i="5"/>
  <c r="A238" i="5"/>
  <c r="CS237" i="5"/>
  <c r="CM237" i="5"/>
  <c r="CL237" i="5"/>
  <c r="CK237" i="5"/>
  <c r="CJ237" i="5"/>
  <c r="CI237" i="5"/>
  <c r="CG237" i="5"/>
  <c r="CF237" i="5"/>
  <c r="CE237" i="5"/>
  <c r="CD237" i="5"/>
  <c r="CC237" i="5"/>
  <c r="CB237" i="5"/>
  <c r="CA237" i="5"/>
  <c r="BZ237" i="5"/>
  <c r="BY237" i="5"/>
  <c r="BX237" i="5"/>
  <c r="BW237" i="5"/>
  <c r="BV237" i="5"/>
  <c r="BU237" i="5"/>
  <c r="BS237" i="5"/>
  <c r="BR237" i="5"/>
  <c r="BQ237" i="5"/>
  <c r="BP237" i="5"/>
  <c r="BO237" i="5"/>
  <c r="BM237" i="5"/>
  <c r="BF237" i="5"/>
  <c r="BC237" i="5"/>
  <c r="AY237" i="5"/>
  <c r="AX237" i="5"/>
  <c r="AW237" i="5"/>
  <c r="AV237" i="5"/>
  <c r="AU237" i="5"/>
  <c r="AT237" i="5"/>
  <c r="AR237" i="5"/>
  <c r="AQ237" i="5"/>
  <c r="AP237" i="5"/>
  <c r="AO237" i="5"/>
  <c r="AN237" i="5"/>
  <c r="AM237" i="5"/>
  <c r="AL237" i="5"/>
  <c r="AH237" i="5"/>
  <c r="AF237" i="5"/>
  <c r="AD237" i="5"/>
  <c r="AB237" i="5"/>
  <c r="Y237" i="5"/>
  <c r="X237" i="5"/>
  <c r="W237" i="5"/>
  <c r="V237" i="5"/>
  <c r="U237" i="5"/>
  <c r="T237" i="5"/>
  <c r="S237" i="5"/>
  <c r="R237" i="5"/>
  <c r="Q237" i="5"/>
  <c r="P237" i="5"/>
  <c r="O237" i="5"/>
  <c r="N237" i="5"/>
  <c r="M237" i="5"/>
  <c r="L237" i="5"/>
  <c r="K237" i="5"/>
  <c r="J237" i="5"/>
  <c r="I237" i="5"/>
  <c r="H237" i="5"/>
  <c r="G237" i="5"/>
  <c r="F237" i="5"/>
  <c r="E237" i="5"/>
  <c r="D237" i="5"/>
  <c r="C237" i="5"/>
  <c r="B237" i="5"/>
  <c r="A237" i="5"/>
  <c r="CS236" i="5"/>
  <c r="CM236" i="5"/>
  <c r="CK236" i="5"/>
  <c r="CJ236" i="5"/>
  <c r="CI236" i="5"/>
  <c r="CG236" i="5"/>
  <c r="CF236" i="5"/>
  <c r="CE236" i="5"/>
  <c r="CD236" i="5"/>
  <c r="CC236" i="5"/>
  <c r="CB236" i="5"/>
  <c r="CA236" i="5"/>
  <c r="BZ236" i="5"/>
  <c r="BY236" i="5"/>
  <c r="BW236" i="5"/>
  <c r="BV236" i="5"/>
  <c r="BU236" i="5"/>
  <c r="BT236" i="5"/>
  <c r="BQ236" i="5"/>
  <c r="BP236" i="5"/>
  <c r="BO236" i="5"/>
  <c r="BM236" i="5"/>
  <c r="BF236" i="5"/>
  <c r="BC236" i="5"/>
  <c r="AY236" i="5"/>
  <c r="AX236" i="5"/>
  <c r="AW236" i="5"/>
  <c r="AV236" i="5"/>
  <c r="AU236" i="5"/>
  <c r="AT236" i="5"/>
  <c r="AR236" i="5"/>
  <c r="AQ236" i="5"/>
  <c r="AP236" i="5"/>
  <c r="AO236" i="5"/>
  <c r="AN236" i="5"/>
  <c r="AM236" i="5"/>
  <c r="AL236" i="5"/>
  <c r="AH236" i="5"/>
  <c r="AF236" i="5"/>
  <c r="AD236" i="5"/>
  <c r="AB236" i="5"/>
  <c r="Y236" i="5"/>
  <c r="X236" i="5"/>
  <c r="W236" i="5"/>
  <c r="V236" i="5"/>
  <c r="U236" i="5"/>
  <c r="T236" i="5"/>
  <c r="S236" i="5"/>
  <c r="R236" i="5"/>
  <c r="Q236" i="5"/>
  <c r="P236" i="5"/>
  <c r="O236" i="5"/>
  <c r="N236" i="5"/>
  <c r="M236" i="5"/>
  <c r="L236" i="5"/>
  <c r="K236" i="5"/>
  <c r="J236" i="5"/>
  <c r="I236" i="5"/>
  <c r="H236" i="5"/>
  <c r="G236" i="5"/>
  <c r="F236" i="5"/>
  <c r="E236" i="5"/>
  <c r="D236" i="5"/>
  <c r="C236" i="5"/>
  <c r="B236" i="5"/>
  <c r="A236" i="5"/>
  <c r="CS235" i="5"/>
  <c r="CM235" i="5"/>
  <c r="CK235" i="5"/>
  <c r="CJ235" i="5"/>
  <c r="CI235" i="5"/>
  <c r="CG235" i="5"/>
  <c r="CF235" i="5"/>
  <c r="CE235" i="5"/>
  <c r="CD235" i="5"/>
  <c r="CC235" i="5"/>
  <c r="CB235" i="5"/>
  <c r="CA235" i="5"/>
  <c r="BZ235" i="5"/>
  <c r="BY235" i="5"/>
  <c r="BW235" i="5"/>
  <c r="BV235" i="5"/>
  <c r="BU235" i="5"/>
  <c r="BT235" i="5"/>
  <c r="BQ235" i="5"/>
  <c r="BP235" i="5"/>
  <c r="BO235" i="5"/>
  <c r="BM235" i="5"/>
  <c r="BF235" i="5"/>
  <c r="BC235" i="5"/>
  <c r="AY235" i="5"/>
  <c r="AX235" i="5"/>
  <c r="AW235" i="5"/>
  <c r="AV235" i="5"/>
  <c r="AU235" i="5"/>
  <c r="AT235" i="5"/>
  <c r="AR235" i="5"/>
  <c r="AQ235" i="5"/>
  <c r="AP235" i="5"/>
  <c r="AO235" i="5"/>
  <c r="AN235" i="5"/>
  <c r="AM235" i="5"/>
  <c r="AL235" i="5"/>
  <c r="AH235" i="5"/>
  <c r="AF235" i="5"/>
  <c r="AD235" i="5"/>
  <c r="AB235" i="5"/>
  <c r="Y235" i="5"/>
  <c r="X235" i="5"/>
  <c r="W235" i="5"/>
  <c r="V235" i="5"/>
  <c r="U235" i="5"/>
  <c r="T235" i="5"/>
  <c r="S235" i="5"/>
  <c r="R235" i="5"/>
  <c r="Q235" i="5"/>
  <c r="P235" i="5"/>
  <c r="O235" i="5"/>
  <c r="N235" i="5"/>
  <c r="M235" i="5"/>
  <c r="L235" i="5"/>
  <c r="K235" i="5"/>
  <c r="J235" i="5"/>
  <c r="I235" i="5"/>
  <c r="H235" i="5"/>
  <c r="G235" i="5"/>
  <c r="F235" i="5"/>
  <c r="E235" i="5"/>
  <c r="D235" i="5"/>
  <c r="C235" i="5"/>
  <c r="B235" i="5"/>
  <c r="A235" i="5"/>
  <c r="CS234" i="5"/>
  <c r="CM234" i="5"/>
  <c r="CL234" i="5"/>
  <c r="CK234" i="5"/>
  <c r="CJ234" i="5"/>
  <c r="CI234" i="5"/>
  <c r="CG234" i="5"/>
  <c r="CF234" i="5"/>
  <c r="CE234" i="5"/>
  <c r="CD234" i="5"/>
  <c r="CC234" i="5"/>
  <c r="CB234" i="5"/>
  <c r="CA234" i="5"/>
  <c r="BZ234" i="5"/>
  <c r="BY234" i="5"/>
  <c r="BW234" i="5"/>
  <c r="BV234" i="5"/>
  <c r="BU234" i="5"/>
  <c r="BT234" i="5"/>
  <c r="BQ234" i="5"/>
  <c r="BP234" i="5"/>
  <c r="BO234" i="5"/>
  <c r="BM234" i="5"/>
  <c r="BF234" i="5"/>
  <c r="BC234" i="5"/>
  <c r="AY234" i="5"/>
  <c r="AX234" i="5"/>
  <c r="AW234" i="5"/>
  <c r="AV234" i="5"/>
  <c r="AU234" i="5"/>
  <c r="AT234" i="5"/>
  <c r="AR234" i="5"/>
  <c r="AQ234" i="5"/>
  <c r="AP234" i="5"/>
  <c r="AO234" i="5"/>
  <c r="AN234" i="5"/>
  <c r="AM234" i="5"/>
  <c r="AL234" i="5"/>
  <c r="AH234" i="5"/>
  <c r="AF234" i="5"/>
  <c r="AD234" i="5"/>
  <c r="AB234" i="5"/>
  <c r="Y234" i="5"/>
  <c r="X234" i="5"/>
  <c r="W234" i="5"/>
  <c r="V234" i="5"/>
  <c r="U234" i="5"/>
  <c r="T234" i="5"/>
  <c r="S234" i="5"/>
  <c r="R234" i="5"/>
  <c r="Q234" i="5"/>
  <c r="P234" i="5"/>
  <c r="O234" i="5"/>
  <c r="N234" i="5"/>
  <c r="M234" i="5"/>
  <c r="L234" i="5"/>
  <c r="K234" i="5"/>
  <c r="J234" i="5"/>
  <c r="I234" i="5"/>
  <c r="H234" i="5"/>
  <c r="G234" i="5"/>
  <c r="F234" i="5"/>
  <c r="E234" i="5"/>
  <c r="D234" i="5"/>
  <c r="C234" i="5"/>
  <c r="B234" i="5"/>
  <c r="A234" i="5"/>
  <c r="CS233" i="5"/>
  <c r="CM233" i="5"/>
  <c r="CL233" i="5"/>
  <c r="CK233" i="5"/>
  <c r="CJ233" i="5"/>
  <c r="CI233" i="5"/>
  <c r="CG233" i="5"/>
  <c r="CF233" i="5"/>
  <c r="CE233" i="5"/>
  <c r="CD233" i="5"/>
  <c r="CC233" i="5"/>
  <c r="CB233" i="5"/>
  <c r="CA233" i="5"/>
  <c r="BZ233" i="5"/>
  <c r="BY233" i="5"/>
  <c r="BW233" i="5"/>
  <c r="BV233" i="5"/>
  <c r="BU233" i="5"/>
  <c r="BT233" i="5"/>
  <c r="BQ233" i="5"/>
  <c r="BP233" i="5"/>
  <c r="BO233" i="5"/>
  <c r="BN233" i="5"/>
  <c r="BM233" i="5"/>
  <c r="BG233" i="5"/>
  <c r="BF233" i="5"/>
  <c r="BC233" i="5"/>
  <c r="AY233" i="5"/>
  <c r="AX233" i="5"/>
  <c r="AW233" i="5"/>
  <c r="AV233" i="5"/>
  <c r="AU233" i="5"/>
  <c r="AT233" i="5"/>
  <c r="AS233" i="5"/>
  <c r="AR233" i="5"/>
  <c r="AQ233" i="5"/>
  <c r="AP233" i="5"/>
  <c r="AO233" i="5"/>
  <c r="AN233" i="5"/>
  <c r="AM233" i="5"/>
  <c r="AL233" i="5"/>
  <c r="AH233" i="5"/>
  <c r="AF233" i="5"/>
  <c r="AE233" i="5"/>
  <c r="AD233" i="5"/>
  <c r="AB233" i="5"/>
  <c r="Y233" i="5"/>
  <c r="X233" i="5"/>
  <c r="W233" i="5"/>
  <c r="V233" i="5"/>
  <c r="U233" i="5"/>
  <c r="T233" i="5"/>
  <c r="S233" i="5"/>
  <c r="R233" i="5"/>
  <c r="Q233" i="5"/>
  <c r="P233" i="5"/>
  <c r="O233" i="5"/>
  <c r="N233" i="5"/>
  <c r="M233" i="5"/>
  <c r="L233" i="5"/>
  <c r="K233" i="5"/>
  <c r="J233" i="5"/>
  <c r="I233" i="5"/>
  <c r="H233" i="5"/>
  <c r="G233" i="5"/>
  <c r="F233" i="5"/>
  <c r="E233" i="5"/>
  <c r="D233" i="5"/>
  <c r="C233" i="5"/>
  <c r="B233" i="5"/>
  <c r="A233" i="5"/>
  <c r="CS232" i="5"/>
  <c r="CM232" i="5"/>
  <c r="CL232" i="5"/>
  <c r="CK232" i="5"/>
  <c r="CJ232" i="5"/>
  <c r="CI232" i="5"/>
  <c r="CG232" i="5"/>
  <c r="CF232" i="5"/>
  <c r="CE232" i="5"/>
  <c r="CD232" i="5"/>
  <c r="CC232" i="5"/>
  <c r="CB232" i="5"/>
  <c r="CA232" i="5"/>
  <c r="BZ232" i="5"/>
  <c r="BY232" i="5"/>
  <c r="BW232" i="5"/>
  <c r="BV232" i="5"/>
  <c r="BU232" i="5"/>
  <c r="BT232" i="5"/>
  <c r="BQ232" i="5"/>
  <c r="BP232" i="5"/>
  <c r="BO232" i="5"/>
  <c r="BM232" i="5"/>
  <c r="BF232" i="5"/>
  <c r="BC232" i="5"/>
  <c r="AZ232" i="5"/>
  <c r="AY232" i="5"/>
  <c r="AX232" i="5"/>
  <c r="AW232" i="5"/>
  <c r="AV232" i="5"/>
  <c r="AU232" i="5"/>
  <c r="AT232" i="5"/>
  <c r="AR232" i="5"/>
  <c r="AQ232" i="5"/>
  <c r="AP232" i="5"/>
  <c r="AO232" i="5"/>
  <c r="AN232" i="5"/>
  <c r="AM232" i="5"/>
  <c r="AL232" i="5"/>
  <c r="AH232" i="5"/>
  <c r="AF232" i="5"/>
  <c r="AD232" i="5"/>
  <c r="AB232" i="5"/>
  <c r="Y232" i="5"/>
  <c r="X232" i="5"/>
  <c r="W232" i="5"/>
  <c r="V232" i="5"/>
  <c r="U232" i="5"/>
  <c r="T232" i="5"/>
  <c r="S232" i="5"/>
  <c r="R232" i="5"/>
  <c r="Q232" i="5"/>
  <c r="P232" i="5"/>
  <c r="O232" i="5"/>
  <c r="N232" i="5"/>
  <c r="M232" i="5"/>
  <c r="L232" i="5"/>
  <c r="K232" i="5"/>
  <c r="J232" i="5"/>
  <c r="I232" i="5"/>
  <c r="H232" i="5"/>
  <c r="G232" i="5"/>
  <c r="F232" i="5"/>
  <c r="E232" i="5"/>
  <c r="D232" i="5"/>
  <c r="C232" i="5"/>
  <c r="B232" i="5"/>
  <c r="A232" i="5"/>
  <c r="CS231" i="5"/>
  <c r="CM231" i="5"/>
  <c r="CL231" i="5"/>
  <c r="CK231" i="5"/>
  <c r="CJ231" i="5"/>
  <c r="CI231" i="5"/>
  <c r="CG231" i="5"/>
  <c r="CF231" i="5"/>
  <c r="CE231" i="5"/>
  <c r="CD231" i="5"/>
  <c r="CC231" i="5"/>
  <c r="CB231" i="5"/>
  <c r="CA231" i="5"/>
  <c r="BZ231" i="5"/>
  <c r="BY231" i="5"/>
  <c r="BW231" i="5"/>
  <c r="BV231" i="5"/>
  <c r="BU231" i="5"/>
  <c r="BT231" i="5"/>
  <c r="BQ231" i="5"/>
  <c r="BP231" i="5"/>
  <c r="BO231" i="5"/>
  <c r="BM231" i="5"/>
  <c r="BF231" i="5"/>
  <c r="BC231" i="5"/>
  <c r="AY231" i="5"/>
  <c r="AX231" i="5"/>
  <c r="AW231" i="5"/>
  <c r="AV231" i="5"/>
  <c r="AU231" i="5"/>
  <c r="AT231" i="5"/>
  <c r="AR231" i="5"/>
  <c r="AQ231" i="5"/>
  <c r="AP231" i="5"/>
  <c r="AO231" i="5"/>
  <c r="AN231" i="5"/>
  <c r="AM231" i="5"/>
  <c r="AL231" i="5"/>
  <c r="AH231" i="5"/>
  <c r="AF231" i="5"/>
  <c r="AD231" i="5"/>
  <c r="AB231" i="5"/>
  <c r="Y231" i="5"/>
  <c r="X231" i="5"/>
  <c r="W231" i="5"/>
  <c r="V231" i="5"/>
  <c r="U231" i="5"/>
  <c r="T231" i="5"/>
  <c r="S231" i="5"/>
  <c r="R231" i="5"/>
  <c r="Q231" i="5"/>
  <c r="P231" i="5"/>
  <c r="O231" i="5"/>
  <c r="N231" i="5"/>
  <c r="M231" i="5"/>
  <c r="L231" i="5"/>
  <c r="K231" i="5"/>
  <c r="J231" i="5"/>
  <c r="I231" i="5"/>
  <c r="H231" i="5"/>
  <c r="G231" i="5"/>
  <c r="F231" i="5"/>
  <c r="E231" i="5"/>
  <c r="D231" i="5"/>
  <c r="C231" i="5"/>
  <c r="B231" i="5"/>
  <c r="A231" i="5"/>
  <c r="CS230" i="5"/>
  <c r="CM230" i="5"/>
  <c r="CL230" i="5"/>
  <c r="CK230" i="5"/>
  <c r="CJ230" i="5"/>
  <c r="CI230" i="5"/>
  <c r="CG230" i="5"/>
  <c r="CF230" i="5"/>
  <c r="CE230" i="5"/>
  <c r="CD230" i="5"/>
  <c r="CC230" i="5"/>
  <c r="CB230" i="5"/>
  <c r="CA230" i="5"/>
  <c r="BZ230" i="5"/>
  <c r="BY230" i="5"/>
  <c r="BX230" i="5"/>
  <c r="BW230" i="5"/>
  <c r="BV230" i="5"/>
  <c r="BU230" i="5"/>
  <c r="BS230" i="5"/>
  <c r="BR230" i="5"/>
  <c r="BQ230" i="5"/>
  <c r="BP230" i="5"/>
  <c r="BO230" i="5"/>
  <c r="BN230" i="5"/>
  <c r="BM230" i="5"/>
  <c r="BL230" i="5"/>
  <c r="BF230" i="5"/>
  <c r="BC230" i="5"/>
  <c r="AY230" i="5"/>
  <c r="AX230" i="5"/>
  <c r="AW230" i="5"/>
  <c r="AV230" i="5"/>
  <c r="AU230" i="5"/>
  <c r="AT230" i="5"/>
  <c r="AR230" i="5"/>
  <c r="AQ230" i="5"/>
  <c r="AP230" i="5"/>
  <c r="AO230" i="5"/>
  <c r="AN230" i="5"/>
  <c r="AM230" i="5"/>
  <c r="AL230" i="5"/>
  <c r="AH230" i="5"/>
  <c r="AF230" i="5"/>
  <c r="AD230" i="5"/>
  <c r="AB230" i="5"/>
  <c r="Y230" i="5"/>
  <c r="X230" i="5"/>
  <c r="W230" i="5"/>
  <c r="V230" i="5"/>
  <c r="U230" i="5"/>
  <c r="T230" i="5"/>
  <c r="S230" i="5"/>
  <c r="R230" i="5"/>
  <c r="Q230" i="5"/>
  <c r="P230" i="5"/>
  <c r="O230" i="5"/>
  <c r="N230" i="5"/>
  <c r="M230" i="5"/>
  <c r="L230" i="5"/>
  <c r="K230" i="5"/>
  <c r="J230" i="5"/>
  <c r="I230" i="5"/>
  <c r="H230" i="5"/>
  <c r="G230" i="5"/>
  <c r="F230" i="5"/>
  <c r="E230" i="5"/>
  <c r="D230" i="5"/>
  <c r="C230" i="5"/>
  <c r="B230" i="5"/>
  <c r="A230" i="5"/>
  <c r="CS229" i="5"/>
  <c r="CM229" i="5"/>
  <c r="CI229" i="5"/>
  <c r="CG229" i="5"/>
  <c r="CF229" i="5"/>
  <c r="CE229" i="5"/>
  <c r="CD229" i="5"/>
  <c r="CC229" i="5"/>
  <c r="CB229" i="5"/>
  <c r="CA229" i="5"/>
  <c r="BZ229" i="5"/>
  <c r="BY229" i="5"/>
  <c r="BW229" i="5"/>
  <c r="BV229" i="5"/>
  <c r="BU229" i="5"/>
  <c r="BS229" i="5"/>
  <c r="BR229" i="5"/>
  <c r="BQ229" i="5"/>
  <c r="BP229" i="5"/>
  <c r="BO229" i="5"/>
  <c r="BM229" i="5"/>
  <c r="BF229" i="5"/>
  <c r="BC229" i="5"/>
  <c r="AY229" i="5"/>
  <c r="AX229" i="5"/>
  <c r="AW229" i="5"/>
  <c r="AV229" i="5"/>
  <c r="AU229" i="5"/>
  <c r="AT229" i="5"/>
  <c r="AR229" i="5"/>
  <c r="AQ229" i="5"/>
  <c r="AP229" i="5"/>
  <c r="AO229" i="5"/>
  <c r="AN229" i="5"/>
  <c r="AM229" i="5"/>
  <c r="AL229" i="5"/>
  <c r="AH229" i="5"/>
  <c r="AF229" i="5"/>
  <c r="AD229" i="5"/>
  <c r="AB229" i="5"/>
  <c r="Y229" i="5"/>
  <c r="X229" i="5"/>
  <c r="W229" i="5"/>
  <c r="V229" i="5"/>
  <c r="U229" i="5"/>
  <c r="T229" i="5"/>
  <c r="S229" i="5"/>
  <c r="R229" i="5"/>
  <c r="Q229" i="5"/>
  <c r="P229" i="5"/>
  <c r="O229" i="5"/>
  <c r="N229" i="5"/>
  <c r="M229" i="5"/>
  <c r="L229" i="5"/>
  <c r="K229" i="5"/>
  <c r="J229" i="5"/>
  <c r="I229" i="5"/>
  <c r="H229" i="5"/>
  <c r="G229" i="5"/>
  <c r="F229" i="5"/>
  <c r="E229" i="5"/>
  <c r="D229" i="5"/>
  <c r="C229" i="5"/>
  <c r="B229" i="5"/>
  <c r="A229" i="5"/>
  <c r="CS228" i="5"/>
  <c r="CM228" i="5"/>
  <c r="CL228" i="5"/>
  <c r="CK228" i="5"/>
  <c r="CJ228" i="5"/>
  <c r="CI228" i="5"/>
  <c r="CG228" i="5"/>
  <c r="CF228" i="5"/>
  <c r="CE228" i="5"/>
  <c r="CD228" i="5"/>
  <c r="CC228" i="5"/>
  <c r="CB228" i="5"/>
  <c r="CA228" i="5"/>
  <c r="BZ228" i="5"/>
  <c r="BY228" i="5"/>
  <c r="BW228" i="5"/>
  <c r="BV228" i="5"/>
  <c r="BU228" i="5"/>
  <c r="BS228" i="5"/>
  <c r="BR228" i="5"/>
  <c r="BQ228" i="5"/>
  <c r="BP228" i="5"/>
  <c r="BO228" i="5"/>
  <c r="BM228" i="5"/>
  <c r="BF228" i="5"/>
  <c r="BC228" i="5"/>
  <c r="AY228" i="5"/>
  <c r="AX228" i="5"/>
  <c r="AW228" i="5"/>
  <c r="AV228" i="5"/>
  <c r="AU228" i="5"/>
  <c r="AT228" i="5"/>
  <c r="AR228" i="5"/>
  <c r="AQ228" i="5"/>
  <c r="AP228" i="5"/>
  <c r="AO228" i="5"/>
  <c r="AN228" i="5"/>
  <c r="AM228" i="5"/>
  <c r="AL228" i="5"/>
  <c r="AH228" i="5"/>
  <c r="AF228" i="5"/>
  <c r="AD228" i="5"/>
  <c r="AB228" i="5"/>
  <c r="Y228" i="5"/>
  <c r="X228" i="5"/>
  <c r="W228" i="5"/>
  <c r="V228" i="5"/>
  <c r="U228" i="5"/>
  <c r="T228" i="5"/>
  <c r="S228" i="5"/>
  <c r="R228" i="5"/>
  <c r="Q228" i="5"/>
  <c r="P228" i="5"/>
  <c r="O228" i="5"/>
  <c r="N228" i="5"/>
  <c r="M228" i="5"/>
  <c r="L228" i="5"/>
  <c r="K228" i="5"/>
  <c r="J228" i="5"/>
  <c r="I228" i="5"/>
  <c r="H228" i="5"/>
  <c r="G228" i="5"/>
  <c r="F228" i="5"/>
  <c r="E228" i="5"/>
  <c r="D228" i="5"/>
  <c r="C228" i="5"/>
  <c r="B228" i="5"/>
  <c r="A228" i="5"/>
  <c r="CS227" i="5"/>
  <c r="CM227" i="5"/>
  <c r="CL227" i="5"/>
  <c r="CK227" i="5"/>
  <c r="CJ227" i="5"/>
  <c r="CI227" i="5"/>
  <c r="CG227" i="5"/>
  <c r="CF227" i="5"/>
  <c r="CE227" i="5"/>
  <c r="CD227" i="5"/>
  <c r="CC227" i="5"/>
  <c r="CB227" i="5"/>
  <c r="CA227" i="5"/>
  <c r="BZ227" i="5"/>
  <c r="BY227" i="5"/>
  <c r="BW227" i="5"/>
  <c r="BV227" i="5"/>
  <c r="BU227" i="5"/>
  <c r="BT227" i="5"/>
  <c r="BQ227" i="5"/>
  <c r="BP227" i="5"/>
  <c r="BO227" i="5"/>
  <c r="BN227" i="5"/>
  <c r="BM227" i="5"/>
  <c r="BL227" i="5"/>
  <c r="BF227" i="5"/>
  <c r="BC227" i="5"/>
  <c r="AY227" i="5"/>
  <c r="AX227" i="5"/>
  <c r="AW227" i="5"/>
  <c r="AV227" i="5"/>
  <c r="AU227" i="5"/>
  <c r="AT227" i="5"/>
  <c r="AR227" i="5"/>
  <c r="AQ227" i="5"/>
  <c r="AP227" i="5"/>
  <c r="AO227" i="5"/>
  <c r="AN227" i="5"/>
  <c r="AM227" i="5"/>
  <c r="AL227" i="5"/>
  <c r="AH227" i="5"/>
  <c r="AF227" i="5"/>
  <c r="AE227" i="5"/>
  <c r="AD227" i="5"/>
  <c r="AB227" i="5"/>
  <c r="Y227" i="5"/>
  <c r="X227" i="5"/>
  <c r="W227" i="5"/>
  <c r="V227" i="5"/>
  <c r="U227" i="5"/>
  <c r="T227" i="5"/>
  <c r="S227" i="5"/>
  <c r="R227" i="5"/>
  <c r="Q227" i="5"/>
  <c r="P227" i="5"/>
  <c r="O227" i="5"/>
  <c r="N227" i="5"/>
  <c r="M227" i="5"/>
  <c r="L227" i="5"/>
  <c r="K227" i="5"/>
  <c r="J227" i="5"/>
  <c r="I227" i="5"/>
  <c r="H227" i="5"/>
  <c r="G227" i="5"/>
  <c r="F227" i="5"/>
  <c r="E227" i="5"/>
  <c r="D227" i="5"/>
  <c r="C227" i="5"/>
  <c r="B227" i="5"/>
  <c r="A227" i="5"/>
  <c r="CS226" i="5"/>
  <c r="CM226" i="5"/>
  <c r="CL226" i="5"/>
  <c r="CK226" i="5"/>
  <c r="CJ226" i="5"/>
  <c r="CI226" i="5"/>
  <c r="CG226" i="5"/>
  <c r="CF226" i="5"/>
  <c r="CE226" i="5"/>
  <c r="CD226" i="5"/>
  <c r="CC226" i="5"/>
  <c r="CB226" i="5"/>
  <c r="CA226" i="5"/>
  <c r="BZ226" i="5"/>
  <c r="BY226" i="5"/>
  <c r="BW226" i="5"/>
  <c r="BV226" i="5"/>
  <c r="BU226" i="5"/>
  <c r="BT226" i="5"/>
  <c r="BQ226" i="5"/>
  <c r="BP226" i="5"/>
  <c r="BO226" i="5"/>
  <c r="BM226" i="5"/>
  <c r="BF226" i="5"/>
  <c r="BC226" i="5"/>
  <c r="AY226" i="5"/>
  <c r="AX226" i="5"/>
  <c r="AW226" i="5"/>
  <c r="AV226" i="5"/>
  <c r="AU226" i="5"/>
  <c r="AT226" i="5"/>
  <c r="AR226" i="5"/>
  <c r="AQ226" i="5"/>
  <c r="AP226" i="5"/>
  <c r="AO226" i="5"/>
  <c r="AN226" i="5"/>
  <c r="AM226" i="5"/>
  <c r="AL226" i="5"/>
  <c r="AH226" i="5"/>
  <c r="AF226" i="5"/>
  <c r="AD226" i="5"/>
  <c r="AB226" i="5"/>
  <c r="Y226" i="5"/>
  <c r="X226" i="5"/>
  <c r="W226" i="5"/>
  <c r="V226" i="5"/>
  <c r="U226" i="5"/>
  <c r="T226" i="5"/>
  <c r="S226" i="5"/>
  <c r="R226" i="5"/>
  <c r="Q226" i="5"/>
  <c r="P226" i="5"/>
  <c r="O226" i="5"/>
  <c r="N226" i="5"/>
  <c r="M226" i="5"/>
  <c r="L226" i="5"/>
  <c r="K226" i="5"/>
  <c r="J226" i="5"/>
  <c r="I226" i="5"/>
  <c r="H226" i="5"/>
  <c r="G226" i="5"/>
  <c r="F226" i="5"/>
  <c r="E226" i="5"/>
  <c r="D226" i="5"/>
  <c r="C226" i="5"/>
  <c r="B226" i="5"/>
  <c r="A226" i="5"/>
  <c r="CS225" i="5"/>
  <c r="CM225" i="5"/>
  <c r="CK225" i="5"/>
  <c r="CJ225" i="5"/>
  <c r="CI225" i="5"/>
  <c r="CG225" i="5"/>
  <c r="CF225" i="5"/>
  <c r="CE225" i="5"/>
  <c r="CD225" i="5"/>
  <c r="CC225" i="5"/>
  <c r="CB225" i="5"/>
  <c r="CA225" i="5"/>
  <c r="BZ225" i="5"/>
  <c r="BY225" i="5"/>
  <c r="BW225" i="5"/>
  <c r="BV225" i="5"/>
  <c r="BU225" i="5"/>
  <c r="BT225" i="5"/>
  <c r="BQ225" i="5"/>
  <c r="BP225" i="5"/>
  <c r="BO225" i="5"/>
  <c r="BM225" i="5"/>
  <c r="BF225" i="5"/>
  <c r="BC225" i="5"/>
  <c r="AY225" i="5"/>
  <c r="AX225" i="5"/>
  <c r="AW225" i="5"/>
  <c r="AV225" i="5"/>
  <c r="AU225" i="5"/>
  <c r="AT225" i="5"/>
  <c r="AR225" i="5"/>
  <c r="AQ225" i="5"/>
  <c r="AP225" i="5"/>
  <c r="AO225" i="5"/>
  <c r="AN225" i="5"/>
  <c r="AM225" i="5"/>
  <c r="AL225" i="5"/>
  <c r="AH225" i="5"/>
  <c r="AF225" i="5"/>
  <c r="AD225" i="5"/>
  <c r="AB225" i="5"/>
  <c r="Y225" i="5"/>
  <c r="X225" i="5"/>
  <c r="W225" i="5"/>
  <c r="V225" i="5"/>
  <c r="U225" i="5"/>
  <c r="T225" i="5"/>
  <c r="S225" i="5"/>
  <c r="R225" i="5"/>
  <c r="Q225" i="5"/>
  <c r="P225" i="5"/>
  <c r="O225" i="5"/>
  <c r="N225" i="5"/>
  <c r="M225" i="5"/>
  <c r="L225" i="5"/>
  <c r="K225" i="5"/>
  <c r="J225" i="5"/>
  <c r="I225" i="5"/>
  <c r="H225" i="5"/>
  <c r="G225" i="5"/>
  <c r="F225" i="5"/>
  <c r="E225" i="5"/>
  <c r="D225" i="5"/>
  <c r="C225" i="5"/>
  <c r="B225" i="5"/>
  <c r="A225" i="5"/>
  <c r="CS224" i="5"/>
  <c r="CM224" i="5"/>
  <c r="CL224" i="5"/>
  <c r="CK224" i="5"/>
  <c r="CJ224" i="5"/>
  <c r="CI224" i="5"/>
  <c r="CG224" i="5"/>
  <c r="CF224" i="5"/>
  <c r="CE224" i="5"/>
  <c r="CD224" i="5"/>
  <c r="CC224" i="5"/>
  <c r="CB224" i="5"/>
  <c r="CA224" i="5"/>
  <c r="BZ224" i="5"/>
  <c r="BY224" i="5"/>
  <c r="BW224" i="5"/>
  <c r="BV224" i="5"/>
  <c r="BU224" i="5"/>
  <c r="BT224" i="5"/>
  <c r="BQ224" i="5"/>
  <c r="BP224" i="5"/>
  <c r="BO224" i="5"/>
  <c r="BM224" i="5"/>
  <c r="BF224" i="5"/>
  <c r="BC224" i="5"/>
  <c r="AY224" i="5"/>
  <c r="AX224" i="5"/>
  <c r="AW224" i="5"/>
  <c r="AV224" i="5"/>
  <c r="AU224" i="5"/>
  <c r="AT224" i="5"/>
  <c r="AR224" i="5"/>
  <c r="AQ224" i="5"/>
  <c r="AP224" i="5"/>
  <c r="AO224" i="5"/>
  <c r="AN224" i="5"/>
  <c r="AM224" i="5"/>
  <c r="AL224" i="5"/>
  <c r="AH224" i="5"/>
  <c r="AF224" i="5"/>
  <c r="AD224" i="5"/>
  <c r="AB224" i="5"/>
  <c r="Y224" i="5"/>
  <c r="X224" i="5"/>
  <c r="W224" i="5"/>
  <c r="V224" i="5"/>
  <c r="U224" i="5"/>
  <c r="T224" i="5"/>
  <c r="S224" i="5"/>
  <c r="R224" i="5"/>
  <c r="Q224" i="5"/>
  <c r="P224" i="5"/>
  <c r="O224" i="5"/>
  <c r="N224" i="5"/>
  <c r="M224" i="5"/>
  <c r="L224" i="5"/>
  <c r="K224" i="5"/>
  <c r="J224" i="5"/>
  <c r="I224" i="5"/>
  <c r="H224" i="5"/>
  <c r="G224" i="5"/>
  <c r="F224" i="5"/>
  <c r="E224" i="5"/>
  <c r="D224" i="5"/>
  <c r="C224" i="5"/>
  <c r="B224" i="5"/>
  <c r="A224" i="5"/>
  <c r="CS223" i="5"/>
  <c r="CM223" i="5"/>
  <c r="CL223" i="5"/>
  <c r="CK223" i="5"/>
  <c r="CJ223" i="5"/>
  <c r="CI223" i="5"/>
  <c r="CG223" i="5"/>
  <c r="CF223" i="5"/>
  <c r="CE223" i="5"/>
  <c r="CD223" i="5"/>
  <c r="CC223" i="5"/>
  <c r="CB223" i="5"/>
  <c r="CA223" i="5"/>
  <c r="BZ223" i="5"/>
  <c r="BY223" i="5"/>
  <c r="BX223" i="5"/>
  <c r="BW223" i="5"/>
  <c r="BV223" i="5"/>
  <c r="BU223" i="5"/>
  <c r="BT223" i="5"/>
  <c r="BQ223" i="5"/>
  <c r="BP223" i="5"/>
  <c r="BO223" i="5"/>
  <c r="BM223" i="5"/>
  <c r="BF223" i="5"/>
  <c r="BC223" i="5"/>
  <c r="AY223" i="5"/>
  <c r="AX223" i="5"/>
  <c r="AW223" i="5"/>
  <c r="AV223" i="5"/>
  <c r="AU223" i="5"/>
  <c r="AT223" i="5"/>
  <c r="AR223" i="5"/>
  <c r="AQ223" i="5"/>
  <c r="AP223" i="5"/>
  <c r="AO223" i="5"/>
  <c r="AN223" i="5"/>
  <c r="AM223" i="5"/>
  <c r="AL223" i="5"/>
  <c r="AH223" i="5"/>
  <c r="AF223" i="5"/>
  <c r="AD223" i="5"/>
  <c r="AB223" i="5"/>
  <c r="Y223" i="5"/>
  <c r="X223" i="5"/>
  <c r="W223" i="5"/>
  <c r="V223" i="5"/>
  <c r="U223" i="5"/>
  <c r="T223" i="5"/>
  <c r="S223" i="5"/>
  <c r="R223" i="5"/>
  <c r="Q223" i="5"/>
  <c r="P223" i="5"/>
  <c r="O223" i="5"/>
  <c r="N223" i="5"/>
  <c r="M223" i="5"/>
  <c r="L223" i="5"/>
  <c r="K223" i="5"/>
  <c r="J223" i="5"/>
  <c r="I223" i="5"/>
  <c r="H223" i="5"/>
  <c r="G223" i="5"/>
  <c r="F223" i="5"/>
  <c r="E223" i="5"/>
  <c r="D223" i="5"/>
  <c r="C223" i="5"/>
  <c r="B223" i="5"/>
  <c r="A223" i="5"/>
  <c r="CS222" i="5"/>
  <c r="CM222" i="5"/>
  <c r="CL222" i="5"/>
  <c r="CK222" i="5"/>
  <c r="CJ222" i="5"/>
  <c r="CI222" i="5"/>
  <c r="CG222" i="5"/>
  <c r="CF222" i="5"/>
  <c r="CE222" i="5"/>
  <c r="CD222" i="5"/>
  <c r="CC222" i="5"/>
  <c r="CB222" i="5"/>
  <c r="CA222" i="5"/>
  <c r="BZ222" i="5"/>
  <c r="BY222" i="5"/>
  <c r="BX222" i="5"/>
  <c r="BW222" i="5"/>
  <c r="BV222" i="5"/>
  <c r="BU222" i="5"/>
  <c r="BT222" i="5"/>
  <c r="BQ222" i="5"/>
  <c r="BP222" i="5"/>
  <c r="BO222" i="5"/>
  <c r="BM222" i="5"/>
  <c r="BF222" i="5"/>
  <c r="BC222" i="5"/>
  <c r="AY222" i="5"/>
  <c r="AX222" i="5"/>
  <c r="AW222" i="5"/>
  <c r="AV222" i="5"/>
  <c r="AU222" i="5"/>
  <c r="AT222" i="5"/>
  <c r="AR222" i="5"/>
  <c r="AQ222" i="5"/>
  <c r="AP222" i="5"/>
  <c r="AO222" i="5"/>
  <c r="AN222" i="5"/>
  <c r="AM222" i="5"/>
  <c r="AL222" i="5"/>
  <c r="AH222" i="5"/>
  <c r="AF222" i="5"/>
  <c r="AD222" i="5"/>
  <c r="AB222" i="5"/>
  <c r="Y222" i="5"/>
  <c r="X222" i="5"/>
  <c r="W222" i="5"/>
  <c r="V222" i="5"/>
  <c r="U222" i="5"/>
  <c r="T222" i="5"/>
  <c r="S222" i="5"/>
  <c r="R222" i="5"/>
  <c r="Q222" i="5"/>
  <c r="P222" i="5"/>
  <c r="O222" i="5"/>
  <c r="N222" i="5"/>
  <c r="M222" i="5"/>
  <c r="L222" i="5"/>
  <c r="K222" i="5"/>
  <c r="J222" i="5"/>
  <c r="I222" i="5"/>
  <c r="H222" i="5"/>
  <c r="G222" i="5"/>
  <c r="F222" i="5"/>
  <c r="E222" i="5"/>
  <c r="D222" i="5"/>
  <c r="C222" i="5"/>
  <c r="B222" i="5"/>
  <c r="A222" i="5"/>
  <c r="CS221" i="5"/>
  <c r="CM221" i="5"/>
  <c r="CL221" i="5"/>
  <c r="CK221" i="5"/>
  <c r="CJ221" i="5"/>
  <c r="CI221" i="5"/>
  <c r="CG221" i="5"/>
  <c r="CF221" i="5"/>
  <c r="CE221" i="5"/>
  <c r="CD221" i="5"/>
  <c r="CC221" i="5"/>
  <c r="CB221" i="5"/>
  <c r="CA221" i="5"/>
  <c r="BZ221" i="5"/>
  <c r="BY221" i="5"/>
  <c r="BX221" i="5"/>
  <c r="BW221" i="5"/>
  <c r="BV221" i="5"/>
  <c r="BU221" i="5"/>
  <c r="BT221" i="5"/>
  <c r="BQ221" i="5"/>
  <c r="BP221" i="5"/>
  <c r="BO221" i="5"/>
  <c r="BM221" i="5"/>
  <c r="BF221" i="5"/>
  <c r="BC221" i="5"/>
  <c r="AY221" i="5"/>
  <c r="AX221" i="5"/>
  <c r="AW221" i="5"/>
  <c r="AV221" i="5"/>
  <c r="AU221" i="5"/>
  <c r="AT221" i="5"/>
  <c r="AR221" i="5"/>
  <c r="AQ221" i="5"/>
  <c r="AP221" i="5"/>
  <c r="AO221" i="5"/>
  <c r="AN221" i="5"/>
  <c r="AM221" i="5"/>
  <c r="AL221" i="5"/>
  <c r="AH221" i="5"/>
  <c r="AF221" i="5"/>
  <c r="AD221" i="5"/>
  <c r="AB221" i="5"/>
  <c r="Y221" i="5"/>
  <c r="X221" i="5"/>
  <c r="W221" i="5"/>
  <c r="V221" i="5"/>
  <c r="U221" i="5"/>
  <c r="T221" i="5"/>
  <c r="S221" i="5"/>
  <c r="R221" i="5"/>
  <c r="Q221" i="5"/>
  <c r="P221" i="5"/>
  <c r="O221" i="5"/>
  <c r="N221" i="5"/>
  <c r="M221" i="5"/>
  <c r="L221" i="5"/>
  <c r="K221" i="5"/>
  <c r="J221" i="5"/>
  <c r="I221" i="5"/>
  <c r="H221" i="5"/>
  <c r="G221" i="5"/>
  <c r="F221" i="5"/>
  <c r="E221" i="5"/>
  <c r="D221" i="5"/>
  <c r="C221" i="5"/>
  <c r="B221" i="5"/>
  <c r="A221" i="5"/>
  <c r="CS220" i="5"/>
  <c r="CM220" i="5"/>
  <c r="CL220" i="5"/>
  <c r="CK220" i="5"/>
  <c r="CJ220" i="5"/>
  <c r="CI220" i="5"/>
  <c r="CG220" i="5"/>
  <c r="CF220" i="5"/>
  <c r="CE220" i="5"/>
  <c r="CD220" i="5"/>
  <c r="CC220" i="5"/>
  <c r="CB220" i="5"/>
  <c r="CA220" i="5"/>
  <c r="BZ220" i="5"/>
  <c r="BY220" i="5"/>
  <c r="BX220" i="5"/>
  <c r="BW220" i="5"/>
  <c r="BV220" i="5"/>
  <c r="BU220" i="5"/>
  <c r="BT220" i="5"/>
  <c r="BQ220" i="5"/>
  <c r="BP220" i="5"/>
  <c r="BO220" i="5"/>
  <c r="BM220" i="5"/>
  <c r="BF220" i="5"/>
  <c r="BC220" i="5"/>
  <c r="AY220" i="5"/>
  <c r="AX220" i="5"/>
  <c r="AW220" i="5"/>
  <c r="AV220" i="5"/>
  <c r="AU220" i="5"/>
  <c r="AT220" i="5"/>
  <c r="AR220" i="5"/>
  <c r="AQ220" i="5"/>
  <c r="AP220" i="5"/>
  <c r="AO220" i="5"/>
  <c r="AN220" i="5"/>
  <c r="AM220" i="5"/>
  <c r="AL220" i="5"/>
  <c r="AH220" i="5"/>
  <c r="AF220" i="5"/>
  <c r="AD220" i="5"/>
  <c r="AB220" i="5"/>
  <c r="Y220" i="5"/>
  <c r="X220" i="5"/>
  <c r="W220" i="5"/>
  <c r="V220" i="5"/>
  <c r="U220" i="5"/>
  <c r="T220" i="5"/>
  <c r="S220" i="5"/>
  <c r="R220" i="5"/>
  <c r="Q220" i="5"/>
  <c r="P220" i="5"/>
  <c r="O220" i="5"/>
  <c r="N220" i="5"/>
  <c r="M220" i="5"/>
  <c r="L220" i="5"/>
  <c r="K220" i="5"/>
  <c r="J220" i="5"/>
  <c r="I220" i="5"/>
  <c r="H220" i="5"/>
  <c r="G220" i="5"/>
  <c r="F220" i="5"/>
  <c r="E220" i="5"/>
  <c r="D220" i="5"/>
  <c r="C220" i="5"/>
  <c r="B220" i="5"/>
  <c r="A220" i="5"/>
  <c r="CS219" i="5"/>
  <c r="CM219" i="5"/>
  <c r="CL219" i="5"/>
  <c r="CK219" i="5"/>
  <c r="CJ219" i="5"/>
  <c r="CI219" i="5"/>
  <c r="CG219" i="5"/>
  <c r="CF219" i="5"/>
  <c r="CE219" i="5"/>
  <c r="CD219" i="5"/>
  <c r="CC219" i="5"/>
  <c r="CB219" i="5"/>
  <c r="CA219" i="5"/>
  <c r="BZ219" i="5"/>
  <c r="BY219" i="5"/>
  <c r="BW219" i="5"/>
  <c r="BV219" i="5"/>
  <c r="BU219" i="5"/>
  <c r="BT219" i="5"/>
  <c r="BQ219" i="5"/>
  <c r="BP219" i="5"/>
  <c r="BO219" i="5"/>
  <c r="BM219" i="5"/>
  <c r="BF219" i="5"/>
  <c r="BC219" i="5"/>
  <c r="AY219" i="5"/>
  <c r="AX219" i="5"/>
  <c r="AW219" i="5"/>
  <c r="AV219" i="5"/>
  <c r="AU219" i="5"/>
  <c r="AT219" i="5"/>
  <c r="AR219" i="5"/>
  <c r="AQ219" i="5"/>
  <c r="AP219" i="5"/>
  <c r="AO219" i="5"/>
  <c r="AN219" i="5"/>
  <c r="AM219" i="5"/>
  <c r="AL219" i="5"/>
  <c r="AH219" i="5"/>
  <c r="AF219" i="5"/>
  <c r="AD219" i="5"/>
  <c r="AB219" i="5"/>
  <c r="Y219" i="5"/>
  <c r="X219" i="5"/>
  <c r="W219" i="5"/>
  <c r="V219" i="5"/>
  <c r="U219" i="5"/>
  <c r="T219" i="5"/>
  <c r="S219" i="5"/>
  <c r="R219" i="5"/>
  <c r="Q219" i="5"/>
  <c r="P219" i="5"/>
  <c r="O219" i="5"/>
  <c r="N219" i="5"/>
  <c r="M219" i="5"/>
  <c r="L219" i="5"/>
  <c r="K219" i="5"/>
  <c r="J219" i="5"/>
  <c r="I219" i="5"/>
  <c r="H219" i="5"/>
  <c r="G219" i="5"/>
  <c r="F219" i="5"/>
  <c r="E219" i="5"/>
  <c r="D219" i="5"/>
  <c r="C219" i="5"/>
  <c r="B219" i="5"/>
  <c r="A219" i="5"/>
  <c r="CS218" i="5"/>
  <c r="CM218" i="5"/>
  <c r="CL218" i="5"/>
  <c r="CK218" i="5"/>
  <c r="CJ218" i="5"/>
  <c r="CI218" i="5"/>
  <c r="CG218" i="5"/>
  <c r="CF218" i="5"/>
  <c r="CE218" i="5"/>
  <c r="CD218" i="5"/>
  <c r="CC218" i="5"/>
  <c r="CB218" i="5"/>
  <c r="CA218" i="5"/>
  <c r="BZ218" i="5"/>
  <c r="BY218" i="5"/>
  <c r="BW218" i="5"/>
  <c r="BV218" i="5"/>
  <c r="BU218" i="5"/>
  <c r="BT218" i="5"/>
  <c r="BQ218" i="5"/>
  <c r="BP218" i="5"/>
  <c r="BO218" i="5"/>
  <c r="BM218" i="5"/>
  <c r="BF218" i="5"/>
  <c r="BC218" i="5"/>
  <c r="AY218" i="5"/>
  <c r="AX218" i="5"/>
  <c r="AW218" i="5"/>
  <c r="AV218" i="5"/>
  <c r="AU218" i="5"/>
  <c r="AT218" i="5"/>
  <c r="AR218" i="5"/>
  <c r="AQ218" i="5"/>
  <c r="AP218" i="5"/>
  <c r="AO218" i="5"/>
  <c r="AN218" i="5"/>
  <c r="AM218" i="5"/>
  <c r="AL218" i="5"/>
  <c r="AH218" i="5"/>
  <c r="AF218" i="5"/>
  <c r="AD218" i="5"/>
  <c r="AB218" i="5"/>
  <c r="Y218" i="5"/>
  <c r="X218" i="5"/>
  <c r="W218" i="5"/>
  <c r="V218" i="5"/>
  <c r="U218" i="5"/>
  <c r="T218" i="5"/>
  <c r="S218" i="5"/>
  <c r="R218" i="5"/>
  <c r="Q218" i="5"/>
  <c r="P218" i="5"/>
  <c r="O218" i="5"/>
  <c r="N218" i="5"/>
  <c r="M218" i="5"/>
  <c r="L218" i="5"/>
  <c r="K218" i="5"/>
  <c r="J218" i="5"/>
  <c r="I218" i="5"/>
  <c r="H218" i="5"/>
  <c r="G218" i="5"/>
  <c r="F218" i="5"/>
  <c r="E218" i="5"/>
  <c r="D218" i="5"/>
  <c r="C218" i="5"/>
  <c r="B218" i="5"/>
  <c r="A218" i="5"/>
  <c r="CS217" i="5"/>
  <c r="CM217" i="5"/>
  <c r="CL217" i="5"/>
  <c r="CK217" i="5"/>
  <c r="CJ217" i="5"/>
  <c r="CI217" i="5"/>
  <c r="CG217" i="5"/>
  <c r="CF217" i="5"/>
  <c r="CE217" i="5"/>
  <c r="CD217" i="5"/>
  <c r="CC217" i="5"/>
  <c r="CB217" i="5"/>
  <c r="CA217" i="5"/>
  <c r="BZ217" i="5"/>
  <c r="BY217" i="5"/>
  <c r="BW217" i="5"/>
  <c r="BV217" i="5"/>
  <c r="BU217" i="5"/>
  <c r="BT217" i="5"/>
  <c r="BQ217" i="5"/>
  <c r="BP217" i="5"/>
  <c r="BO217" i="5"/>
  <c r="BM217" i="5"/>
  <c r="BF217" i="5"/>
  <c r="BC217" i="5"/>
  <c r="AY217" i="5"/>
  <c r="AX217" i="5"/>
  <c r="AW217" i="5"/>
  <c r="AV217" i="5"/>
  <c r="AU217" i="5"/>
  <c r="AT217" i="5"/>
  <c r="AR217" i="5"/>
  <c r="AQ217" i="5"/>
  <c r="AP217" i="5"/>
  <c r="AO217" i="5"/>
  <c r="AN217" i="5"/>
  <c r="AM217" i="5"/>
  <c r="AL217" i="5"/>
  <c r="AH217" i="5"/>
  <c r="AF217" i="5"/>
  <c r="AD217" i="5"/>
  <c r="AB217" i="5"/>
  <c r="Y217" i="5"/>
  <c r="X217" i="5"/>
  <c r="W217" i="5"/>
  <c r="V217" i="5"/>
  <c r="U217" i="5"/>
  <c r="T217" i="5"/>
  <c r="S217" i="5"/>
  <c r="R217" i="5"/>
  <c r="Q217" i="5"/>
  <c r="P217" i="5"/>
  <c r="O217" i="5"/>
  <c r="N217" i="5"/>
  <c r="M217" i="5"/>
  <c r="L217" i="5"/>
  <c r="K217" i="5"/>
  <c r="J217" i="5"/>
  <c r="I217" i="5"/>
  <c r="H217" i="5"/>
  <c r="G217" i="5"/>
  <c r="F217" i="5"/>
  <c r="E217" i="5"/>
  <c r="D217" i="5"/>
  <c r="C217" i="5"/>
  <c r="B217" i="5"/>
  <c r="A217" i="5"/>
  <c r="CS216" i="5"/>
  <c r="CM216" i="5"/>
  <c r="CL216" i="5"/>
  <c r="CK216" i="5"/>
  <c r="CJ216" i="5"/>
  <c r="CI216" i="5"/>
  <c r="CG216" i="5"/>
  <c r="CF216" i="5"/>
  <c r="CE216" i="5"/>
  <c r="CD216" i="5"/>
  <c r="CC216" i="5"/>
  <c r="CB216" i="5"/>
  <c r="CA216" i="5"/>
  <c r="BZ216" i="5"/>
  <c r="BY216" i="5"/>
  <c r="BW216" i="5"/>
  <c r="BV216" i="5"/>
  <c r="BU216" i="5"/>
  <c r="BT216" i="5"/>
  <c r="BQ216" i="5"/>
  <c r="BP216" i="5"/>
  <c r="BO216" i="5"/>
  <c r="BM216" i="5"/>
  <c r="BF216" i="5"/>
  <c r="BC216" i="5"/>
  <c r="AY216" i="5"/>
  <c r="AX216" i="5"/>
  <c r="AW216" i="5"/>
  <c r="AV216" i="5"/>
  <c r="AU216" i="5"/>
  <c r="AT216" i="5"/>
  <c r="AR216" i="5"/>
  <c r="AQ216" i="5"/>
  <c r="AP216" i="5"/>
  <c r="AO216" i="5"/>
  <c r="AN216" i="5"/>
  <c r="AM216" i="5"/>
  <c r="AL216" i="5"/>
  <c r="AH216" i="5"/>
  <c r="AF216" i="5"/>
  <c r="AD216" i="5"/>
  <c r="AB216" i="5"/>
  <c r="Y216" i="5"/>
  <c r="X216" i="5"/>
  <c r="W216" i="5"/>
  <c r="V216" i="5"/>
  <c r="U216" i="5"/>
  <c r="T216" i="5"/>
  <c r="S216" i="5"/>
  <c r="R216" i="5"/>
  <c r="Q216" i="5"/>
  <c r="P216" i="5"/>
  <c r="O216" i="5"/>
  <c r="N216" i="5"/>
  <c r="M216" i="5"/>
  <c r="L216" i="5"/>
  <c r="K216" i="5"/>
  <c r="J216" i="5"/>
  <c r="I216" i="5"/>
  <c r="H216" i="5"/>
  <c r="G216" i="5"/>
  <c r="F216" i="5"/>
  <c r="E216" i="5"/>
  <c r="D216" i="5"/>
  <c r="C216" i="5"/>
  <c r="B216" i="5"/>
  <c r="A216" i="5"/>
  <c r="CS215" i="5"/>
  <c r="CM215" i="5"/>
  <c r="CL215" i="5"/>
  <c r="CK215" i="5"/>
  <c r="CJ215" i="5"/>
  <c r="CI215" i="5"/>
  <c r="CG215" i="5"/>
  <c r="CF215" i="5"/>
  <c r="CE215" i="5"/>
  <c r="CD215" i="5"/>
  <c r="CC215" i="5"/>
  <c r="CB215" i="5"/>
  <c r="CA215" i="5"/>
  <c r="BZ215" i="5"/>
  <c r="BY215" i="5"/>
  <c r="BW215" i="5"/>
  <c r="BV215" i="5"/>
  <c r="BU215" i="5"/>
  <c r="BT215" i="5"/>
  <c r="BQ215" i="5"/>
  <c r="BP215" i="5"/>
  <c r="BO215" i="5"/>
  <c r="BM215" i="5"/>
  <c r="BF215" i="5"/>
  <c r="BC215" i="5"/>
  <c r="AY215" i="5"/>
  <c r="AX215" i="5"/>
  <c r="AW215" i="5"/>
  <c r="AV215" i="5"/>
  <c r="AU215" i="5"/>
  <c r="AT215" i="5"/>
  <c r="AR215" i="5"/>
  <c r="AQ215" i="5"/>
  <c r="AP215" i="5"/>
  <c r="AO215" i="5"/>
  <c r="AN215" i="5"/>
  <c r="AM215" i="5"/>
  <c r="AL215" i="5"/>
  <c r="AH215" i="5"/>
  <c r="AF215" i="5"/>
  <c r="AD215" i="5"/>
  <c r="AB215" i="5"/>
  <c r="Y215" i="5"/>
  <c r="X215" i="5"/>
  <c r="W215" i="5"/>
  <c r="V215" i="5"/>
  <c r="U215" i="5"/>
  <c r="T215" i="5"/>
  <c r="S215" i="5"/>
  <c r="R215" i="5"/>
  <c r="Q215" i="5"/>
  <c r="P215" i="5"/>
  <c r="O215" i="5"/>
  <c r="N215" i="5"/>
  <c r="M215" i="5"/>
  <c r="L215" i="5"/>
  <c r="K215" i="5"/>
  <c r="J215" i="5"/>
  <c r="I215" i="5"/>
  <c r="H215" i="5"/>
  <c r="G215" i="5"/>
  <c r="F215" i="5"/>
  <c r="E215" i="5"/>
  <c r="D215" i="5"/>
  <c r="C215" i="5"/>
  <c r="B215" i="5"/>
  <c r="A215" i="5"/>
  <c r="CS214" i="5"/>
  <c r="CM214" i="5"/>
  <c r="CK214" i="5"/>
  <c r="CJ214" i="5"/>
  <c r="CI214" i="5"/>
  <c r="CG214" i="5"/>
  <c r="CF214" i="5"/>
  <c r="CE214" i="5"/>
  <c r="CD214" i="5"/>
  <c r="CC214" i="5"/>
  <c r="CB214" i="5"/>
  <c r="CA214" i="5"/>
  <c r="BZ214" i="5"/>
  <c r="BY214" i="5"/>
  <c r="BW214" i="5"/>
  <c r="BV214" i="5"/>
  <c r="BU214" i="5"/>
  <c r="BT214" i="5"/>
  <c r="BQ214" i="5"/>
  <c r="BP214" i="5"/>
  <c r="BO214" i="5"/>
  <c r="BM214" i="5"/>
  <c r="BF214" i="5"/>
  <c r="BC214" i="5"/>
  <c r="AY214" i="5"/>
  <c r="AX214" i="5"/>
  <c r="AW214" i="5"/>
  <c r="AV214" i="5"/>
  <c r="AU214" i="5"/>
  <c r="AT214" i="5"/>
  <c r="AR214" i="5"/>
  <c r="AQ214" i="5"/>
  <c r="AP214" i="5"/>
  <c r="AO214" i="5"/>
  <c r="AN214" i="5"/>
  <c r="AM214" i="5"/>
  <c r="AL214" i="5"/>
  <c r="AH214" i="5"/>
  <c r="AF214" i="5"/>
  <c r="AD214" i="5"/>
  <c r="AB214" i="5"/>
  <c r="Y214" i="5"/>
  <c r="X214" i="5"/>
  <c r="W214" i="5"/>
  <c r="V214" i="5"/>
  <c r="U214" i="5"/>
  <c r="T214" i="5"/>
  <c r="S214" i="5"/>
  <c r="R214" i="5"/>
  <c r="Q214" i="5"/>
  <c r="P214" i="5"/>
  <c r="O214" i="5"/>
  <c r="N214" i="5"/>
  <c r="M214" i="5"/>
  <c r="L214" i="5"/>
  <c r="K214" i="5"/>
  <c r="J214" i="5"/>
  <c r="I214" i="5"/>
  <c r="H214" i="5"/>
  <c r="G214" i="5"/>
  <c r="F214" i="5"/>
  <c r="E214" i="5"/>
  <c r="D214" i="5"/>
  <c r="C214" i="5"/>
  <c r="B214" i="5"/>
  <c r="A214" i="5"/>
  <c r="CS213" i="5"/>
  <c r="CM213" i="5"/>
  <c r="CK213" i="5"/>
  <c r="CJ213" i="5"/>
  <c r="CI213" i="5"/>
  <c r="CG213" i="5"/>
  <c r="CF213" i="5"/>
  <c r="CE213" i="5"/>
  <c r="CD213" i="5"/>
  <c r="CC213" i="5"/>
  <c r="CB213" i="5"/>
  <c r="CA213" i="5"/>
  <c r="BZ213" i="5"/>
  <c r="BY213" i="5"/>
  <c r="BW213" i="5"/>
  <c r="BV213" i="5"/>
  <c r="BU213" i="5"/>
  <c r="BT213" i="5"/>
  <c r="BQ213" i="5"/>
  <c r="BP213" i="5"/>
  <c r="BO213" i="5"/>
  <c r="BM213" i="5"/>
  <c r="BF213" i="5"/>
  <c r="BC213" i="5"/>
  <c r="AY213" i="5"/>
  <c r="AX213" i="5"/>
  <c r="AW213" i="5"/>
  <c r="AV213" i="5"/>
  <c r="AU213" i="5"/>
  <c r="AT213" i="5"/>
  <c r="AR213" i="5"/>
  <c r="AQ213" i="5"/>
  <c r="AP213" i="5"/>
  <c r="AO213" i="5"/>
  <c r="AN213" i="5"/>
  <c r="AM213" i="5"/>
  <c r="AL213" i="5"/>
  <c r="AH213" i="5"/>
  <c r="AF213" i="5"/>
  <c r="AD213" i="5"/>
  <c r="AB213" i="5"/>
  <c r="Y213" i="5"/>
  <c r="X213" i="5"/>
  <c r="W213" i="5"/>
  <c r="V213" i="5"/>
  <c r="U213" i="5"/>
  <c r="T213" i="5"/>
  <c r="S213" i="5"/>
  <c r="R213" i="5"/>
  <c r="Q213" i="5"/>
  <c r="P213" i="5"/>
  <c r="O213" i="5"/>
  <c r="N213" i="5"/>
  <c r="M213" i="5"/>
  <c r="L213" i="5"/>
  <c r="K213" i="5"/>
  <c r="J213" i="5"/>
  <c r="I213" i="5"/>
  <c r="H213" i="5"/>
  <c r="G213" i="5"/>
  <c r="F213" i="5"/>
  <c r="E213" i="5"/>
  <c r="D213" i="5"/>
  <c r="C213" i="5"/>
  <c r="B213" i="5"/>
  <c r="A213" i="5"/>
  <c r="CS212" i="5"/>
  <c r="CM212" i="5"/>
  <c r="CK212" i="5"/>
  <c r="CJ212" i="5"/>
  <c r="CI212" i="5"/>
  <c r="CG212" i="5"/>
  <c r="CF212" i="5"/>
  <c r="CE212" i="5"/>
  <c r="CD212" i="5"/>
  <c r="CC212" i="5"/>
  <c r="CB212" i="5"/>
  <c r="CA212" i="5"/>
  <c r="BZ212" i="5"/>
  <c r="BY212" i="5"/>
  <c r="BW212" i="5"/>
  <c r="BV212" i="5"/>
  <c r="BU212" i="5"/>
  <c r="BT212" i="5"/>
  <c r="BQ212" i="5"/>
  <c r="BP212" i="5"/>
  <c r="BO212" i="5"/>
  <c r="BM212" i="5"/>
  <c r="BF212" i="5"/>
  <c r="BC212" i="5"/>
  <c r="AY212" i="5"/>
  <c r="AX212" i="5"/>
  <c r="AW212" i="5"/>
  <c r="AV212" i="5"/>
  <c r="AU212" i="5"/>
  <c r="AT212" i="5"/>
  <c r="AR212" i="5"/>
  <c r="AQ212" i="5"/>
  <c r="AP212" i="5"/>
  <c r="AO212" i="5"/>
  <c r="AN212" i="5"/>
  <c r="AM212" i="5"/>
  <c r="AL212" i="5"/>
  <c r="AH212" i="5"/>
  <c r="AF212" i="5"/>
  <c r="AD212" i="5"/>
  <c r="AB212" i="5"/>
  <c r="Y212" i="5"/>
  <c r="X212" i="5"/>
  <c r="W212" i="5"/>
  <c r="V212" i="5"/>
  <c r="U212" i="5"/>
  <c r="T212" i="5"/>
  <c r="S212" i="5"/>
  <c r="R212" i="5"/>
  <c r="Q212" i="5"/>
  <c r="P212" i="5"/>
  <c r="O212" i="5"/>
  <c r="N212" i="5"/>
  <c r="M212" i="5"/>
  <c r="L212" i="5"/>
  <c r="K212" i="5"/>
  <c r="J212" i="5"/>
  <c r="I212" i="5"/>
  <c r="H212" i="5"/>
  <c r="G212" i="5"/>
  <c r="F212" i="5"/>
  <c r="E212" i="5"/>
  <c r="D212" i="5"/>
  <c r="C212" i="5"/>
  <c r="B212" i="5"/>
  <c r="A212" i="5"/>
  <c r="CS211" i="5"/>
  <c r="CM211" i="5"/>
  <c r="CK211" i="5"/>
  <c r="CJ211" i="5"/>
  <c r="CI211" i="5"/>
  <c r="CG211" i="5"/>
  <c r="CF211" i="5"/>
  <c r="CE211" i="5"/>
  <c r="CD211" i="5"/>
  <c r="CC211" i="5"/>
  <c r="CB211" i="5"/>
  <c r="CA211" i="5"/>
  <c r="BZ211" i="5"/>
  <c r="BY211" i="5"/>
  <c r="BW211" i="5"/>
  <c r="BV211" i="5"/>
  <c r="BU211" i="5"/>
  <c r="BT211" i="5"/>
  <c r="BQ211" i="5"/>
  <c r="BP211" i="5"/>
  <c r="BO211" i="5"/>
  <c r="BM211" i="5"/>
  <c r="BF211" i="5"/>
  <c r="BC211" i="5"/>
  <c r="AY211" i="5"/>
  <c r="AX211" i="5"/>
  <c r="AW211" i="5"/>
  <c r="AV211" i="5"/>
  <c r="AU211" i="5"/>
  <c r="AT211" i="5"/>
  <c r="AR211" i="5"/>
  <c r="AQ211" i="5"/>
  <c r="AP211" i="5"/>
  <c r="AO211" i="5"/>
  <c r="AN211" i="5"/>
  <c r="AM211" i="5"/>
  <c r="AL211" i="5"/>
  <c r="AH211" i="5"/>
  <c r="AF211" i="5"/>
  <c r="AD211" i="5"/>
  <c r="AB211" i="5"/>
  <c r="Y211" i="5"/>
  <c r="X211" i="5"/>
  <c r="W211" i="5"/>
  <c r="V211" i="5"/>
  <c r="U211" i="5"/>
  <c r="T211" i="5"/>
  <c r="S211" i="5"/>
  <c r="R211" i="5"/>
  <c r="Q211" i="5"/>
  <c r="P211" i="5"/>
  <c r="O211" i="5"/>
  <c r="N211" i="5"/>
  <c r="M211" i="5"/>
  <c r="L211" i="5"/>
  <c r="K211" i="5"/>
  <c r="J211" i="5"/>
  <c r="I211" i="5"/>
  <c r="H211" i="5"/>
  <c r="G211" i="5"/>
  <c r="F211" i="5"/>
  <c r="E211" i="5"/>
  <c r="D211" i="5"/>
  <c r="C211" i="5"/>
  <c r="B211" i="5"/>
  <c r="A211" i="5"/>
  <c r="CS210" i="5"/>
  <c r="CM210" i="5"/>
  <c r="CK210" i="5"/>
  <c r="CJ210" i="5"/>
  <c r="CI210" i="5"/>
  <c r="CG210" i="5"/>
  <c r="CF210" i="5"/>
  <c r="CE210" i="5"/>
  <c r="CD210" i="5"/>
  <c r="CC210" i="5"/>
  <c r="CB210" i="5"/>
  <c r="CA210" i="5"/>
  <c r="BZ210" i="5"/>
  <c r="BY210" i="5"/>
  <c r="BW210" i="5"/>
  <c r="BV210" i="5"/>
  <c r="BU210" i="5"/>
  <c r="BT210" i="5"/>
  <c r="BQ210" i="5"/>
  <c r="BP210" i="5"/>
  <c r="BO210" i="5"/>
  <c r="BM210" i="5"/>
  <c r="BF210" i="5"/>
  <c r="BC210" i="5"/>
  <c r="AZ210" i="5"/>
  <c r="AY210" i="5"/>
  <c r="AX210" i="5"/>
  <c r="AW210" i="5"/>
  <c r="AV210" i="5"/>
  <c r="AU210" i="5"/>
  <c r="AT210" i="5"/>
  <c r="AR210" i="5"/>
  <c r="AQ210" i="5"/>
  <c r="AP210" i="5"/>
  <c r="AO210" i="5"/>
  <c r="AN210" i="5"/>
  <c r="AM210" i="5"/>
  <c r="AL210" i="5"/>
  <c r="AK210" i="5"/>
  <c r="AJ210" i="5"/>
  <c r="AI210" i="5"/>
  <c r="AH210" i="5"/>
  <c r="AF210" i="5"/>
  <c r="AE210" i="5"/>
  <c r="AD210" i="5"/>
  <c r="AB210" i="5"/>
  <c r="Y210" i="5"/>
  <c r="X210" i="5"/>
  <c r="W210" i="5"/>
  <c r="V210" i="5"/>
  <c r="U210" i="5"/>
  <c r="T210" i="5"/>
  <c r="S210" i="5"/>
  <c r="R210" i="5"/>
  <c r="Q210" i="5"/>
  <c r="P210" i="5"/>
  <c r="O210" i="5"/>
  <c r="N210" i="5"/>
  <c r="M210" i="5"/>
  <c r="L210" i="5"/>
  <c r="K210" i="5"/>
  <c r="J210" i="5"/>
  <c r="I210" i="5"/>
  <c r="H210" i="5"/>
  <c r="G210" i="5"/>
  <c r="F210" i="5"/>
  <c r="E210" i="5"/>
  <c r="D210" i="5"/>
  <c r="C210" i="5"/>
  <c r="B210" i="5"/>
  <c r="A210" i="5"/>
  <c r="CS209" i="5"/>
  <c r="CM209" i="5"/>
  <c r="CK209" i="5"/>
  <c r="CJ209" i="5"/>
  <c r="CI209" i="5"/>
  <c r="CG209" i="5"/>
  <c r="CF209" i="5"/>
  <c r="CE209" i="5"/>
  <c r="CD209" i="5"/>
  <c r="CC209" i="5"/>
  <c r="CB209" i="5"/>
  <c r="CA209" i="5"/>
  <c r="BZ209" i="5"/>
  <c r="BY209" i="5"/>
  <c r="BW209" i="5"/>
  <c r="BV209" i="5"/>
  <c r="BU209" i="5"/>
  <c r="BT209" i="5"/>
  <c r="BQ209" i="5"/>
  <c r="BP209" i="5"/>
  <c r="BO209" i="5"/>
  <c r="BM209" i="5"/>
  <c r="BF209" i="5"/>
  <c r="BC209" i="5"/>
  <c r="AY209" i="5"/>
  <c r="AX209" i="5"/>
  <c r="AW209" i="5"/>
  <c r="AV209" i="5"/>
  <c r="AU209" i="5"/>
  <c r="AT209" i="5"/>
  <c r="AR209" i="5"/>
  <c r="AQ209" i="5"/>
  <c r="AP209" i="5"/>
  <c r="AO209" i="5"/>
  <c r="AN209" i="5"/>
  <c r="AM209" i="5"/>
  <c r="AL209" i="5"/>
  <c r="AH209" i="5"/>
  <c r="AF209" i="5"/>
  <c r="AD209" i="5"/>
  <c r="AB209" i="5"/>
  <c r="Y209" i="5"/>
  <c r="X209" i="5"/>
  <c r="W209" i="5"/>
  <c r="V209" i="5"/>
  <c r="U209" i="5"/>
  <c r="T209" i="5"/>
  <c r="S209" i="5"/>
  <c r="R209" i="5"/>
  <c r="Q209" i="5"/>
  <c r="P209" i="5"/>
  <c r="O209" i="5"/>
  <c r="N209" i="5"/>
  <c r="M209" i="5"/>
  <c r="L209" i="5"/>
  <c r="K209" i="5"/>
  <c r="J209" i="5"/>
  <c r="I209" i="5"/>
  <c r="H209" i="5"/>
  <c r="G209" i="5"/>
  <c r="F209" i="5"/>
  <c r="E209" i="5"/>
  <c r="D209" i="5"/>
  <c r="C209" i="5"/>
  <c r="B209" i="5"/>
  <c r="A209" i="5"/>
  <c r="CS208" i="5"/>
  <c r="CM208" i="5"/>
  <c r="CK208" i="5"/>
  <c r="CJ208" i="5"/>
  <c r="CI208" i="5"/>
  <c r="CG208" i="5"/>
  <c r="CF208" i="5"/>
  <c r="CE208" i="5"/>
  <c r="CD208" i="5"/>
  <c r="CC208" i="5"/>
  <c r="CB208" i="5"/>
  <c r="CA208" i="5"/>
  <c r="BZ208" i="5"/>
  <c r="BY208" i="5"/>
  <c r="BX208" i="5"/>
  <c r="BW208" i="5"/>
  <c r="BV208" i="5"/>
  <c r="BU208" i="5"/>
  <c r="BT208" i="5"/>
  <c r="BQ208" i="5"/>
  <c r="BP208" i="5"/>
  <c r="BO208" i="5"/>
  <c r="BM208" i="5"/>
  <c r="BF208" i="5"/>
  <c r="BC208" i="5"/>
  <c r="AY208" i="5"/>
  <c r="AX208" i="5"/>
  <c r="AW208" i="5"/>
  <c r="AV208" i="5"/>
  <c r="AU208" i="5"/>
  <c r="AT208" i="5"/>
  <c r="AR208" i="5"/>
  <c r="AQ208" i="5"/>
  <c r="AP208" i="5"/>
  <c r="AO208" i="5"/>
  <c r="AN208" i="5"/>
  <c r="AM208" i="5"/>
  <c r="AL208" i="5"/>
  <c r="AH208" i="5"/>
  <c r="AF208" i="5"/>
  <c r="AD208" i="5"/>
  <c r="AB208" i="5"/>
  <c r="Y208" i="5"/>
  <c r="X208" i="5"/>
  <c r="W208" i="5"/>
  <c r="V208" i="5"/>
  <c r="U208" i="5"/>
  <c r="T208" i="5"/>
  <c r="S208" i="5"/>
  <c r="R208" i="5"/>
  <c r="Q208" i="5"/>
  <c r="P208" i="5"/>
  <c r="O208" i="5"/>
  <c r="N208" i="5"/>
  <c r="M208" i="5"/>
  <c r="L208" i="5"/>
  <c r="K208" i="5"/>
  <c r="J208" i="5"/>
  <c r="I208" i="5"/>
  <c r="H208" i="5"/>
  <c r="G208" i="5"/>
  <c r="F208" i="5"/>
  <c r="E208" i="5"/>
  <c r="D208" i="5"/>
  <c r="C208" i="5"/>
  <c r="B208" i="5"/>
  <c r="A208" i="5"/>
  <c r="CS207" i="5"/>
  <c r="CM207" i="5"/>
  <c r="CK207" i="5"/>
  <c r="CJ207" i="5"/>
  <c r="CI207" i="5"/>
  <c r="CG207" i="5"/>
  <c r="CF207" i="5"/>
  <c r="CE207" i="5"/>
  <c r="CD207" i="5"/>
  <c r="CC207" i="5"/>
  <c r="CB207" i="5"/>
  <c r="CA207" i="5"/>
  <c r="BZ207" i="5"/>
  <c r="BY207" i="5"/>
  <c r="BX207" i="5"/>
  <c r="BW207" i="5"/>
  <c r="BV207" i="5"/>
  <c r="BU207" i="5"/>
  <c r="BT207" i="5"/>
  <c r="BQ207" i="5"/>
  <c r="BP207" i="5"/>
  <c r="BO207" i="5"/>
  <c r="BM207" i="5"/>
  <c r="BF207" i="5"/>
  <c r="BC207" i="5"/>
  <c r="AY207" i="5"/>
  <c r="AX207" i="5"/>
  <c r="AW207" i="5"/>
  <c r="AV207" i="5"/>
  <c r="AU207" i="5"/>
  <c r="AT207" i="5"/>
  <c r="AR207" i="5"/>
  <c r="AQ207" i="5"/>
  <c r="AP207" i="5"/>
  <c r="AO207" i="5"/>
  <c r="AN207" i="5"/>
  <c r="AM207" i="5"/>
  <c r="AL207" i="5"/>
  <c r="AH207" i="5"/>
  <c r="AF207" i="5"/>
  <c r="AD207" i="5"/>
  <c r="AB207" i="5"/>
  <c r="Y207" i="5"/>
  <c r="X207" i="5"/>
  <c r="W207" i="5"/>
  <c r="V207" i="5"/>
  <c r="U207" i="5"/>
  <c r="T207" i="5"/>
  <c r="S207" i="5"/>
  <c r="R207" i="5"/>
  <c r="Q207" i="5"/>
  <c r="P207" i="5"/>
  <c r="O207" i="5"/>
  <c r="N207" i="5"/>
  <c r="M207" i="5"/>
  <c r="L207" i="5"/>
  <c r="K207" i="5"/>
  <c r="J207" i="5"/>
  <c r="I207" i="5"/>
  <c r="H207" i="5"/>
  <c r="G207" i="5"/>
  <c r="F207" i="5"/>
  <c r="E207" i="5"/>
  <c r="D207" i="5"/>
  <c r="C207" i="5"/>
  <c r="B207" i="5"/>
  <c r="A207" i="5"/>
  <c r="CS206" i="5"/>
  <c r="CM206" i="5"/>
  <c r="CK206" i="5"/>
  <c r="CJ206" i="5"/>
  <c r="CI206" i="5"/>
  <c r="CG206" i="5"/>
  <c r="CF206" i="5"/>
  <c r="CE206" i="5"/>
  <c r="CD206" i="5"/>
  <c r="CC206" i="5"/>
  <c r="CB206" i="5"/>
  <c r="CA206" i="5"/>
  <c r="BZ206" i="5"/>
  <c r="BY206" i="5"/>
  <c r="BW206" i="5"/>
  <c r="BV206" i="5"/>
  <c r="BU206" i="5"/>
  <c r="BT206" i="5"/>
  <c r="BQ206" i="5"/>
  <c r="BP206" i="5"/>
  <c r="BO206" i="5"/>
  <c r="BM206" i="5"/>
  <c r="BF206" i="5"/>
  <c r="BC206" i="5"/>
  <c r="AY206" i="5"/>
  <c r="AX206" i="5"/>
  <c r="AW206" i="5"/>
  <c r="AV206" i="5"/>
  <c r="AU206" i="5"/>
  <c r="AT206" i="5"/>
  <c r="AR206" i="5"/>
  <c r="AQ206" i="5"/>
  <c r="AP206" i="5"/>
  <c r="AO206" i="5"/>
  <c r="AN206" i="5"/>
  <c r="AM206" i="5"/>
  <c r="AL206" i="5"/>
  <c r="AH206" i="5"/>
  <c r="AF206" i="5"/>
  <c r="AD206" i="5"/>
  <c r="AB206" i="5"/>
  <c r="Y206" i="5"/>
  <c r="X206" i="5"/>
  <c r="W206" i="5"/>
  <c r="V206" i="5"/>
  <c r="U206" i="5"/>
  <c r="T206" i="5"/>
  <c r="S206" i="5"/>
  <c r="R206" i="5"/>
  <c r="Q206" i="5"/>
  <c r="P206" i="5"/>
  <c r="O206" i="5"/>
  <c r="N206" i="5"/>
  <c r="M206" i="5"/>
  <c r="L206" i="5"/>
  <c r="K206" i="5"/>
  <c r="J206" i="5"/>
  <c r="I206" i="5"/>
  <c r="H206" i="5"/>
  <c r="G206" i="5"/>
  <c r="F206" i="5"/>
  <c r="E206" i="5"/>
  <c r="D206" i="5"/>
  <c r="C206" i="5"/>
  <c r="B206" i="5"/>
  <c r="A206" i="5"/>
  <c r="CS205" i="5"/>
  <c r="CM205" i="5"/>
  <c r="CK205" i="5"/>
  <c r="CJ205" i="5"/>
  <c r="CI205" i="5"/>
  <c r="CG205" i="5"/>
  <c r="CF205" i="5"/>
  <c r="CE205" i="5"/>
  <c r="CD205" i="5"/>
  <c r="CC205" i="5"/>
  <c r="CB205" i="5"/>
  <c r="CA205" i="5"/>
  <c r="BZ205" i="5"/>
  <c r="BY205" i="5"/>
  <c r="BW205" i="5"/>
  <c r="BV205" i="5"/>
  <c r="BU205" i="5"/>
  <c r="BT205" i="5"/>
  <c r="BQ205" i="5"/>
  <c r="BP205" i="5"/>
  <c r="BO205" i="5"/>
  <c r="BM205" i="5"/>
  <c r="BF205" i="5"/>
  <c r="BC205" i="5"/>
  <c r="AY205" i="5"/>
  <c r="AX205" i="5"/>
  <c r="AW205" i="5"/>
  <c r="AV205" i="5"/>
  <c r="AU205" i="5"/>
  <c r="AT205" i="5"/>
  <c r="AR205" i="5"/>
  <c r="AQ205" i="5"/>
  <c r="AP205" i="5"/>
  <c r="AO205" i="5"/>
  <c r="AN205" i="5"/>
  <c r="AM205" i="5"/>
  <c r="AL205" i="5"/>
  <c r="AH205" i="5"/>
  <c r="AF205" i="5"/>
  <c r="AD205" i="5"/>
  <c r="AB205" i="5"/>
  <c r="Y205" i="5"/>
  <c r="X205" i="5"/>
  <c r="W205" i="5"/>
  <c r="V205" i="5"/>
  <c r="U205" i="5"/>
  <c r="T205" i="5"/>
  <c r="S205" i="5"/>
  <c r="R205" i="5"/>
  <c r="Q205" i="5"/>
  <c r="P205" i="5"/>
  <c r="O205" i="5"/>
  <c r="N205" i="5"/>
  <c r="M205" i="5"/>
  <c r="L205" i="5"/>
  <c r="K205" i="5"/>
  <c r="J205" i="5"/>
  <c r="I205" i="5"/>
  <c r="H205" i="5"/>
  <c r="G205" i="5"/>
  <c r="F205" i="5"/>
  <c r="E205" i="5"/>
  <c r="D205" i="5"/>
  <c r="C205" i="5"/>
  <c r="B205" i="5"/>
  <c r="A205" i="5"/>
  <c r="CS204" i="5"/>
  <c r="CM204" i="5"/>
  <c r="CK204" i="5"/>
  <c r="CJ204" i="5"/>
  <c r="CI204" i="5"/>
  <c r="CG204" i="5"/>
  <c r="CF204" i="5"/>
  <c r="CE204" i="5"/>
  <c r="CD204" i="5"/>
  <c r="CC204" i="5"/>
  <c r="CB204" i="5"/>
  <c r="CA204" i="5"/>
  <c r="BZ204" i="5"/>
  <c r="BY204" i="5"/>
  <c r="BW204" i="5"/>
  <c r="BV204" i="5"/>
  <c r="BU204" i="5"/>
  <c r="BT204" i="5"/>
  <c r="BQ204" i="5"/>
  <c r="BP204" i="5"/>
  <c r="BO204" i="5"/>
  <c r="BM204" i="5"/>
  <c r="BF204" i="5"/>
  <c r="BC204" i="5"/>
  <c r="AY204" i="5"/>
  <c r="AX204" i="5"/>
  <c r="AW204" i="5"/>
  <c r="AV204" i="5"/>
  <c r="AU204" i="5"/>
  <c r="AT204" i="5"/>
  <c r="AR204" i="5"/>
  <c r="AQ204" i="5"/>
  <c r="AP204" i="5"/>
  <c r="AO204" i="5"/>
  <c r="AN204" i="5"/>
  <c r="AM204" i="5"/>
  <c r="AL204" i="5"/>
  <c r="AH204" i="5"/>
  <c r="AF204" i="5"/>
  <c r="AD204" i="5"/>
  <c r="AB204" i="5"/>
  <c r="Y204" i="5"/>
  <c r="X204" i="5"/>
  <c r="W204" i="5"/>
  <c r="V204" i="5"/>
  <c r="U204" i="5"/>
  <c r="T204" i="5"/>
  <c r="S204" i="5"/>
  <c r="R204" i="5"/>
  <c r="Q204" i="5"/>
  <c r="P204" i="5"/>
  <c r="O204" i="5"/>
  <c r="N204" i="5"/>
  <c r="M204" i="5"/>
  <c r="L204" i="5"/>
  <c r="K204" i="5"/>
  <c r="J204" i="5"/>
  <c r="I204" i="5"/>
  <c r="H204" i="5"/>
  <c r="G204" i="5"/>
  <c r="F204" i="5"/>
  <c r="E204" i="5"/>
  <c r="D204" i="5"/>
  <c r="C204" i="5"/>
  <c r="B204" i="5"/>
  <c r="A204" i="5"/>
  <c r="CS203" i="5"/>
  <c r="CM203" i="5"/>
  <c r="CK203" i="5"/>
  <c r="CI203" i="5"/>
  <c r="CG203" i="5"/>
  <c r="CF203" i="5"/>
  <c r="CE203" i="5"/>
  <c r="CD203" i="5"/>
  <c r="CC203" i="5"/>
  <c r="CB203" i="5"/>
  <c r="CA203" i="5"/>
  <c r="BZ203" i="5"/>
  <c r="BY203" i="5"/>
  <c r="BW203" i="5"/>
  <c r="BV203" i="5"/>
  <c r="BU203" i="5"/>
  <c r="BT203" i="5"/>
  <c r="BQ203" i="5"/>
  <c r="BP203" i="5"/>
  <c r="BO203" i="5"/>
  <c r="BM203" i="5"/>
  <c r="BF203" i="5"/>
  <c r="BC203" i="5"/>
  <c r="AY203" i="5"/>
  <c r="AX203" i="5"/>
  <c r="AW203" i="5"/>
  <c r="AV203" i="5"/>
  <c r="AU203" i="5"/>
  <c r="AT203" i="5"/>
  <c r="AR203" i="5"/>
  <c r="AQ203" i="5"/>
  <c r="AP203" i="5"/>
  <c r="AO203" i="5"/>
  <c r="AN203" i="5"/>
  <c r="AM203" i="5"/>
  <c r="AL203" i="5"/>
  <c r="AH203" i="5"/>
  <c r="AF203" i="5"/>
  <c r="AD203" i="5"/>
  <c r="AB203" i="5"/>
  <c r="Y203" i="5"/>
  <c r="X203" i="5"/>
  <c r="W203" i="5"/>
  <c r="V203" i="5"/>
  <c r="U203" i="5"/>
  <c r="T203" i="5"/>
  <c r="S203" i="5"/>
  <c r="R203" i="5"/>
  <c r="Q203" i="5"/>
  <c r="P203" i="5"/>
  <c r="O203" i="5"/>
  <c r="N203" i="5"/>
  <c r="M203" i="5"/>
  <c r="L203" i="5"/>
  <c r="K203" i="5"/>
  <c r="J203" i="5"/>
  <c r="I203" i="5"/>
  <c r="H203" i="5"/>
  <c r="G203" i="5"/>
  <c r="F203" i="5"/>
  <c r="E203" i="5"/>
  <c r="D203" i="5"/>
  <c r="C203" i="5"/>
  <c r="B203" i="5"/>
  <c r="A203" i="5"/>
  <c r="CS202" i="5"/>
  <c r="CM202" i="5"/>
  <c r="CK202" i="5"/>
  <c r="CJ202" i="5"/>
  <c r="CI202" i="5"/>
  <c r="CG202" i="5"/>
  <c r="CF202" i="5"/>
  <c r="CE202" i="5"/>
  <c r="CD202" i="5"/>
  <c r="CC202" i="5"/>
  <c r="CB202" i="5"/>
  <c r="CA202" i="5"/>
  <c r="BZ202" i="5"/>
  <c r="BY202" i="5"/>
  <c r="BX202" i="5"/>
  <c r="BW202" i="5"/>
  <c r="BV202" i="5"/>
  <c r="BU202" i="5"/>
  <c r="BT202" i="5"/>
  <c r="BQ202" i="5"/>
  <c r="BP202" i="5"/>
  <c r="BO202" i="5"/>
  <c r="BM202" i="5"/>
  <c r="BF202" i="5"/>
  <c r="BC202" i="5"/>
  <c r="AY202" i="5"/>
  <c r="AX202" i="5"/>
  <c r="AW202" i="5"/>
  <c r="AV202" i="5"/>
  <c r="AU202" i="5"/>
  <c r="AT202" i="5"/>
  <c r="AR202" i="5"/>
  <c r="AQ202" i="5"/>
  <c r="AP202" i="5"/>
  <c r="AO202" i="5"/>
  <c r="AN202" i="5"/>
  <c r="AM202" i="5"/>
  <c r="AL202" i="5"/>
  <c r="AH202" i="5"/>
  <c r="AF202" i="5"/>
  <c r="AD202" i="5"/>
  <c r="AB202" i="5"/>
  <c r="Y202" i="5"/>
  <c r="X202" i="5"/>
  <c r="W202" i="5"/>
  <c r="V202" i="5"/>
  <c r="U202" i="5"/>
  <c r="T202" i="5"/>
  <c r="S202" i="5"/>
  <c r="R202" i="5"/>
  <c r="Q202" i="5"/>
  <c r="P202" i="5"/>
  <c r="O202" i="5"/>
  <c r="N202" i="5"/>
  <c r="M202" i="5"/>
  <c r="L202" i="5"/>
  <c r="K202" i="5"/>
  <c r="J202" i="5"/>
  <c r="I202" i="5"/>
  <c r="H202" i="5"/>
  <c r="G202" i="5"/>
  <c r="F202" i="5"/>
  <c r="E202" i="5"/>
  <c r="D202" i="5"/>
  <c r="C202" i="5"/>
  <c r="B202" i="5"/>
  <c r="A202" i="5"/>
  <c r="CS201" i="5"/>
  <c r="CM201" i="5"/>
  <c r="CK201" i="5"/>
  <c r="CJ201" i="5"/>
  <c r="CI201" i="5"/>
  <c r="CG201" i="5"/>
  <c r="CF201" i="5"/>
  <c r="CE201" i="5"/>
  <c r="CD201" i="5"/>
  <c r="CC201" i="5"/>
  <c r="CB201" i="5"/>
  <c r="CA201" i="5"/>
  <c r="BZ201" i="5"/>
  <c r="BY201" i="5"/>
  <c r="BW201" i="5"/>
  <c r="BV201" i="5"/>
  <c r="BU201" i="5"/>
  <c r="BT201" i="5"/>
  <c r="BQ201" i="5"/>
  <c r="BP201" i="5"/>
  <c r="BO201" i="5"/>
  <c r="BM201" i="5"/>
  <c r="BF201" i="5"/>
  <c r="BC201" i="5"/>
  <c r="AY201" i="5"/>
  <c r="AX201" i="5"/>
  <c r="AW201" i="5"/>
  <c r="AV201" i="5"/>
  <c r="AU201" i="5"/>
  <c r="AT201" i="5"/>
  <c r="AR201" i="5"/>
  <c r="AQ201" i="5"/>
  <c r="AP201" i="5"/>
  <c r="AO201" i="5"/>
  <c r="AN201" i="5"/>
  <c r="AM201" i="5"/>
  <c r="AL201" i="5"/>
  <c r="AH201" i="5"/>
  <c r="AF201" i="5"/>
  <c r="AD201" i="5"/>
  <c r="AB201" i="5"/>
  <c r="Y201" i="5"/>
  <c r="X201" i="5"/>
  <c r="W201" i="5"/>
  <c r="V201" i="5"/>
  <c r="U201" i="5"/>
  <c r="T201" i="5"/>
  <c r="S201" i="5"/>
  <c r="R201" i="5"/>
  <c r="Q201" i="5"/>
  <c r="P201" i="5"/>
  <c r="O201" i="5"/>
  <c r="N201" i="5"/>
  <c r="M201" i="5"/>
  <c r="L201" i="5"/>
  <c r="K201" i="5"/>
  <c r="J201" i="5"/>
  <c r="I201" i="5"/>
  <c r="H201" i="5"/>
  <c r="G201" i="5"/>
  <c r="F201" i="5"/>
  <c r="E201" i="5"/>
  <c r="D201" i="5"/>
  <c r="C201" i="5"/>
  <c r="B201" i="5"/>
  <c r="A201" i="5"/>
  <c r="CS200" i="5"/>
  <c r="CM200" i="5"/>
  <c r="CK200" i="5"/>
  <c r="CJ200" i="5"/>
  <c r="CI200" i="5"/>
  <c r="CG200" i="5"/>
  <c r="CF200" i="5"/>
  <c r="CE200" i="5"/>
  <c r="CD200" i="5"/>
  <c r="CC200" i="5"/>
  <c r="CB200" i="5"/>
  <c r="CA200" i="5"/>
  <c r="BZ200" i="5"/>
  <c r="BY200" i="5"/>
  <c r="BW200" i="5"/>
  <c r="BV200" i="5"/>
  <c r="BU200" i="5"/>
  <c r="BT200" i="5"/>
  <c r="BQ200" i="5"/>
  <c r="BP200" i="5"/>
  <c r="BO200" i="5"/>
  <c r="BM200" i="5"/>
  <c r="BF200" i="5"/>
  <c r="BC200" i="5"/>
  <c r="AY200" i="5"/>
  <c r="AX200" i="5"/>
  <c r="AW200" i="5"/>
  <c r="AV200" i="5"/>
  <c r="AU200" i="5"/>
  <c r="AT200" i="5"/>
  <c r="AR200" i="5"/>
  <c r="AQ200" i="5"/>
  <c r="AP200" i="5"/>
  <c r="AO200" i="5"/>
  <c r="AN200" i="5"/>
  <c r="AM200" i="5"/>
  <c r="AL200" i="5"/>
  <c r="AH200" i="5"/>
  <c r="AF200" i="5"/>
  <c r="AD200" i="5"/>
  <c r="AB200" i="5"/>
  <c r="Y200" i="5"/>
  <c r="X200" i="5"/>
  <c r="W200" i="5"/>
  <c r="V200" i="5"/>
  <c r="U200" i="5"/>
  <c r="T200" i="5"/>
  <c r="S200" i="5"/>
  <c r="R200" i="5"/>
  <c r="Q200" i="5"/>
  <c r="P200" i="5"/>
  <c r="O200" i="5"/>
  <c r="N200" i="5"/>
  <c r="M200" i="5"/>
  <c r="L200" i="5"/>
  <c r="K200" i="5"/>
  <c r="J200" i="5"/>
  <c r="I200" i="5"/>
  <c r="H200" i="5"/>
  <c r="G200" i="5"/>
  <c r="F200" i="5"/>
  <c r="E200" i="5"/>
  <c r="D200" i="5"/>
  <c r="C200" i="5"/>
  <c r="B200" i="5"/>
  <c r="A200" i="5"/>
  <c r="CS199" i="5"/>
  <c r="CM199" i="5"/>
  <c r="CK199" i="5"/>
  <c r="CJ199" i="5"/>
  <c r="CI199" i="5"/>
  <c r="CG199" i="5"/>
  <c r="CF199" i="5"/>
  <c r="CE199" i="5"/>
  <c r="CD199" i="5"/>
  <c r="CC199" i="5"/>
  <c r="CB199" i="5"/>
  <c r="CA199" i="5"/>
  <c r="BZ199" i="5"/>
  <c r="BY199" i="5"/>
  <c r="BW199" i="5"/>
  <c r="BV199" i="5"/>
  <c r="BU199" i="5"/>
  <c r="BT199" i="5"/>
  <c r="BQ199" i="5"/>
  <c r="BP199" i="5"/>
  <c r="BO199" i="5"/>
  <c r="BM199" i="5"/>
  <c r="BF199" i="5"/>
  <c r="BC199" i="5"/>
  <c r="AY199" i="5"/>
  <c r="AX199" i="5"/>
  <c r="AW199" i="5"/>
  <c r="AV199" i="5"/>
  <c r="AU199" i="5"/>
  <c r="AT199" i="5"/>
  <c r="AR199" i="5"/>
  <c r="AQ199" i="5"/>
  <c r="AP199" i="5"/>
  <c r="AO199" i="5"/>
  <c r="AN199" i="5"/>
  <c r="AM199" i="5"/>
  <c r="AL199" i="5"/>
  <c r="AH199" i="5"/>
  <c r="AF199" i="5"/>
  <c r="AD199" i="5"/>
  <c r="AB199" i="5"/>
  <c r="Y199" i="5"/>
  <c r="X199" i="5"/>
  <c r="W199" i="5"/>
  <c r="V199" i="5"/>
  <c r="U199" i="5"/>
  <c r="T199" i="5"/>
  <c r="S199" i="5"/>
  <c r="R199" i="5"/>
  <c r="Q199" i="5"/>
  <c r="P199" i="5"/>
  <c r="O199" i="5"/>
  <c r="N199" i="5"/>
  <c r="M199" i="5"/>
  <c r="L199" i="5"/>
  <c r="K199" i="5"/>
  <c r="J199" i="5"/>
  <c r="I199" i="5"/>
  <c r="H199" i="5"/>
  <c r="G199" i="5"/>
  <c r="F199" i="5"/>
  <c r="E199" i="5"/>
  <c r="D199" i="5"/>
  <c r="C199" i="5"/>
  <c r="B199" i="5"/>
  <c r="A199" i="5"/>
  <c r="CS198" i="5"/>
  <c r="CM198" i="5"/>
  <c r="CK198" i="5"/>
  <c r="CJ198" i="5"/>
  <c r="CI198" i="5"/>
  <c r="CG198" i="5"/>
  <c r="CF198" i="5"/>
  <c r="CE198" i="5"/>
  <c r="CD198" i="5"/>
  <c r="CC198" i="5"/>
  <c r="CB198" i="5"/>
  <c r="CA198" i="5"/>
  <c r="BZ198" i="5"/>
  <c r="BY198" i="5"/>
  <c r="BW198" i="5"/>
  <c r="BV198" i="5"/>
  <c r="BU198" i="5"/>
  <c r="BT198" i="5"/>
  <c r="BQ198" i="5"/>
  <c r="BP198" i="5"/>
  <c r="BO198" i="5"/>
  <c r="BM198" i="5"/>
  <c r="BF198" i="5"/>
  <c r="BC198" i="5"/>
  <c r="AY198" i="5"/>
  <c r="AX198" i="5"/>
  <c r="AW198" i="5"/>
  <c r="AV198" i="5"/>
  <c r="AU198" i="5"/>
  <c r="AT198" i="5"/>
  <c r="AR198" i="5"/>
  <c r="AQ198" i="5"/>
  <c r="AP198" i="5"/>
  <c r="AO198" i="5"/>
  <c r="AN198" i="5"/>
  <c r="AM198" i="5"/>
  <c r="AL198" i="5"/>
  <c r="AH198" i="5"/>
  <c r="AF198" i="5"/>
  <c r="AD198" i="5"/>
  <c r="AB198" i="5"/>
  <c r="Y198" i="5"/>
  <c r="X198" i="5"/>
  <c r="W198" i="5"/>
  <c r="V198" i="5"/>
  <c r="U198" i="5"/>
  <c r="T198" i="5"/>
  <c r="S198" i="5"/>
  <c r="R198" i="5"/>
  <c r="Q198" i="5"/>
  <c r="P198" i="5"/>
  <c r="O198" i="5"/>
  <c r="N198" i="5"/>
  <c r="M198" i="5"/>
  <c r="L198" i="5"/>
  <c r="K198" i="5"/>
  <c r="J198" i="5"/>
  <c r="I198" i="5"/>
  <c r="H198" i="5"/>
  <c r="G198" i="5"/>
  <c r="F198" i="5"/>
  <c r="E198" i="5"/>
  <c r="D198" i="5"/>
  <c r="C198" i="5"/>
  <c r="B198" i="5"/>
  <c r="A198" i="5"/>
  <c r="CS197" i="5"/>
  <c r="CM197" i="5"/>
  <c r="CK197" i="5"/>
  <c r="CJ197" i="5"/>
  <c r="CI197" i="5"/>
  <c r="CG197" i="5"/>
  <c r="CF197" i="5"/>
  <c r="CE197" i="5"/>
  <c r="CD197" i="5"/>
  <c r="CC197" i="5"/>
  <c r="CB197" i="5"/>
  <c r="CA197" i="5"/>
  <c r="BZ197" i="5"/>
  <c r="BY197" i="5"/>
  <c r="BW197" i="5"/>
  <c r="BV197" i="5"/>
  <c r="BU197" i="5"/>
  <c r="BT197" i="5"/>
  <c r="BQ197" i="5"/>
  <c r="BP197" i="5"/>
  <c r="BO197" i="5"/>
  <c r="BM197" i="5"/>
  <c r="BF197" i="5"/>
  <c r="BC197" i="5"/>
  <c r="AY197" i="5"/>
  <c r="AX197" i="5"/>
  <c r="AW197" i="5"/>
  <c r="AV197" i="5"/>
  <c r="AU197" i="5"/>
  <c r="AT197" i="5"/>
  <c r="AR197" i="5"/>
  <c r="AQ197" i="5"/>
  <c r="AP197" i="5"/>
  <c r="AO197" i="5"/>
  <c r="AN197" i="5"/>
  <c r="AM197" i="5"/>
  <c r="AL197" i="5"/>
  <c r="AH197" i="5"/>
  <c r="AF197" i="5"/>
  <c r="AD197" i="5"/>
  <c r="AB197" i="5"/>
  <c r="Y197" i="5"/>
  <c r="X197" i="5"/>
  <c r="W197" i="5"/>
  <c r="V197" i="5"/>
  <c r="U197" i="5"/>
  <c r="T197" i="5"/>
  <c r="S197" i="5"/>
  <c r="R197" i="5"/>
  <c r="Q197" i="5"/>
  <c r="P197" i="5"/>
  <c r="O197" i="5"/>
  <c r="N197" i="5"/>
  <c r="M197" i="5"/>
  <c r="L197" i="5"/>
  <c r="K197" i="5"/>
  <c r="J197" i="5"/>
  <c r="I197" i="5"/>
  <c r="H197" i="5"/>
  <c r="G197" i="5"/>
  <c r="F197" i="5"/>
  <c r="E197" i="5"/>
  <c r="D197" i="5"/>
  <c r="C197" i="5"/>
  <c r="B197" i="5"/>
  <c r="A197" i="5"/>
  <c r="CS196" i="5"/>
  <c r="CM196" i="5"/>
  <c r="CK196" i="5"/>
  <c r="CJ196" i="5"/>
  <c r="CI196" i="5"/>
  <c r="CG196" i="5"/>
  <c r="CF196" i="5"/>
  <c r="CE196" i="5"/>
  <c r="CD196" i="5"/>
  <c r="CC196" i="5"/>
  <c r="CB196" i="5"/>
  <c r="CA196" i="5"/>
  <c r="BZ196" i="5"/>
  <c r="BY196" i="5"/>
  <c r="BW196" i="5"/>
  <c r="BV196" i="5"/>
  <c r="BU196" i="5"/>
  <c r="BT196" i="5"/>
  <c r="BQ196" i="5"/>
  <c r="BP196" i="5"/>
  <c r="BO196" i="5"/>
  <c r="BM196" i="5"/>
  <c r="BF196" i="5"/>
  <c r="BC196" i="5"/>
  <c r="AY196" i="5"/>
  <c r="AX196" i="5"/>
  <c r="AW196" i="5"/>
  <c r="AV196" i="5"/>
  <c r="AU196" i="5"/>
  <c r="AT196" i="5"/>
  <c r="AR196" i="5"/>
  <c r="AQ196" i="5"/>
  <c r="AP196" i="5"/>
  <c r="AO196" i="5"/>
  <c r="AN196" i="5"/>
  <c r="AM196" i="5"/>
  <c r="AL196" i="5"/>
  <c r="AH196" i="5"/>
  <c r="AF196" i="5"/>
  <c r="AD196" i="5"/>
  <c r="AB196" i="5"/>
  <c r="Y196" i="5"/>
  <c r="X196" i="5"/>
  <c r="W196" i="5"/>
  <c r="V196" i="5"/>
  <c r="U196" i="5"/>
  <c r="T196" i="5"/>
  <c r="S196" i="5"/>
  <c r="R196" i="5"/>
  <c r="Q196" i="5"/>
  <c r="P196" i="5"/>
  <c r="O196" i="5"/>
  <c r="N196" i="5"/>
  <c r="M196" i="5"/>
  <c r="L196" i="5"/>
  <c r="K196" i="5"/>
  <c r="J196" i="5"/>
  <c r="I196" i="5"/>
  <c r="H196" i="5"/>
  <c r="G196" i="5"/>
  <c r="F196" i="5"/>
  <c r="E196" i="5"/>
  <c r="D196" i="5"/>
  <c r="C196" i="5"/>
  <c r="B196" i="5"/>
  <c r="A196" i="5"/>
  <c r="CS195" i="5"/>
  <c r="CM195" i="5"/>
  <c r="CK195" i="5"/>
  <c r="CJ195" i="5"/>
  <c r="CI195" i="5"/>
  <c r="CG195" i="5"/>
  <c r="CF195" i="5"/>
  <c r="CE195" i="5"/>
  <c r="CD195" i="5"/>
  <c r="CC195" i="5"/>
  <c r="CB195" i="5"/>
  <c r="CA195" i="5"/>
  <c r="BZ195" i="5"/>
  <c r="BY195" i="5"/>
  <c r="BW195" i="5"/>
  <c r="BV195" i="5"/>
  <c r="BU195" i="5"/>
  <c r="BT195" i="5"/>
  <c r="BQ195" i="5"/>
  <c r="BP195" i="5"/>
  <c r="BO195" i="5"/>
  <c r="BM195" i="5"/>
  <c r="BF195" i="5"/>
  <c r="BC195" i="5"/>
  <c r="AY195" i="5"/>
  <c r="AX195" i="5"/>
  <c r="AW195" i="5"/>
  <c r="AV195" i="5"/>
  <c r="AU195" i="5"/>
  <c r="AT195" i="5"/>
  <c r="AR195" i="5"/>
  <c r="AQ195" i="5"/>
  <c r="AP195" i="5"/>
  <c r="AO195" i="5"/>
  <c r="AN195" i="5"/>
  <c r="AM195" i="5"/>
  <c r="AL195" i="5"/>
  <c r="AH195" i="5"/>
  <c r="AF195" i="5"/>
  <c r="AD195" i="5"/>
  <c r="AB195" i="5"/>
  <c r="Y195" i="5"/>
  <c r="X195" i="5"/>
  <c r="W195" i="5"/>
  <c r="V195" i="5"/>
  <c r="U195" i="5"/>
  <c r="T195" i="5"/>
  <c r="S195" i="5"/>
  <c r="R195" i="5"/>
  <c r="Q195" i="5"/>
  <c r="P195" i="5"/>
  <c r="O195" i="5"/>
  <c r="N195" i="5"/>
  <c r="M195" i="5"/>
  <c r="L195" i="5"/>
  <c r="K195" i="5"/>
  <c r="J195" i="5"/>
  <c r="I195" i="5"/>
  <c r="H195" i="5"/>
  <c r="G195" i="5"/>
  <c r="F195" i="5"/>
  <c r="E195" i="5"/>
  <c r="D195" i="5"/>
  <c r="C195" i="5"/>
  <c r="B195" i="5"/>
  <c r="A195" i="5"/>
  <c r="CS194" i="5"/>
  <c r="CM194" i="5"/>
  <c r="CK194" i="5"/>
  <c r="CJ194" i="5"/>
  <c r="CI194" i="5"/>
  <c r="CG194" i="5"/>
  <c r="CF194" i="5"/>
  <c r="CE194" i="5"/>
  <c r="CD194" i="5"/>
  <c r="CC194" i="5"/>
  <c r="CB194" i="5"/>
  <c r="CA194" i="5"/>
  <c r="BZ194" i="5"/>
  <c r="BY194" i="5"/>
  <c r="BW194" i="5"/>
  <c r="BV194" i="5"/>
  <c r="BU194" i="5"/>
  <c r="BT194" i="5"/>
  <c r="BQ194" i="5"/>
  <c r="BP194" i="5"/>
  <c r="BO194" i="5"/>
  <c r="BM194" i="5"/>
  <c r="BF194" i="5"/>
  <c r="BC194" i="5"/>
  <c r="AY194" i="5"/>
  <c r="AX194" i="5"/>
  <c r="AW194" i="5"/>
  <c r="AV194" i="5"/>
  <c r="AU194" i="5"/>
  <c r="AT194" i="5"/>
  <c r="AR194" i="5"/>
  <c r="AQ194" i="5"/>
  <c r="AP194" i="5"/>
  <c r="AO194" i="5"/>
  <c r="AN194" i="5"/>
  <c r="AM194" i="5"/>
  <c r="AL194" i="5"/>
  <c r="AH194" i="5"/>
  <c r="AF194" i="5"/>
  <c r="AD194" i="5"/>
  <c r="AB194" i="5"/>
  <c r="Y194" i="5"/>
  <c r="X194" i="5"/>
  <c r="W194" i="5"/>
  <c r="V194" i="5"/>
  <c r="U194" i="5"/>
  <c r="T194" i="5"/>
  <c r="S194" i="5"/>
  <c r="R194" i="5"/>
  <c r="Q194" i="5"/>
  <c r="P194" i="5"/>
  <c r="O194" i="5"/>
  <c r="N194" i="5"/>
  <c r="M194" i="5"/>
  <c r="L194" i="5"/>
  <c r="K194" i="5"/>
  <c r="J194" i="5"/>
  <c r="I194" i="5"/>
  <c r="H194" i="5"/>
  <c r="G194" i="5"/>
  <c r="F194" i="5"/>
  <c r="E194" i="5"/>
  <c r="D194" i="5"/>
  <c r="C194" i="5"/>
  <c r="B194" i="5"/>
  <c r="A194" i="5"/>
  <c r="CS193" i="5"/>
  <c r="CM193" i="5"/>
  <c r="CK193" i="5"/>
  <c r="CJ193" i="5"/>
  <c r="CI193" i="5"/>
  <c r="CG193" i="5"/>
  <c r="CF193" i="5"/>
  <c r="CE193" i="5"/>
  <c r="CD193" i="5"/>
  <c r="CC193" i="5"/>
  <c r="CB193" i="5"/>
  <c r="CA193" i="5"/>
  <c r="BZ193" i="5"/>
  <c r="BY193" i="5"/>
  <c r="BW193" i="5"/>
  <c r="BV193" i="5"/>
  <c r="BU193" i="5"/>
  <c r="BT193" i="5"/>
  <c r="BQ193" i="5"/>
  <c r="BP193" i="5"/>
  <c r="BO193" i="5"/>
  <c r="BM193" i="5"/>
  <c r="BF193" i="5"/>
  <c r="BC193" i="5"/>
  <c r="AY193" i="5"/>
  <c r="AX193" i="5"/>
  <c r="AW193" i="5"/>
  <c r="AV193" i="5"/>
  <c r="AU193" i="5"/>
  <c r="AT193" i="5"/>
  <c r="AS193" i="5"/>
  <c r="AR193" i="5"/>
  <c r="AQ193" i="5"/>
  <c r="AP193" i="5"/>
  <c r="AO193" i="5"/>
  <c r="AN193" i="5"/>
  <c r="AM193" i="5"/>
  <c r="AL193" i="5"/>
  <c r="AH193" i="5"/>
  <c r="AF193" i="5"/>
  <c r="AD193" i="5"/>
  <c r="AB193" i="5"/>
  <c r="Y193" i="5"/>
  <c r="X193" i="5"/>
  <c r="W193" i="5"/>
  <c r="V193" i="5"/>
  <c r="U193" i="5"/>
  <c r="T193" i="5"/>
  <c r="S193" i="5"/>
  <c r="R193" i="5"/>
  <c r="Q193" i="5"/>
  <c r="P193" i="5"/>
  <c r="O193" i="5"/>
  <c r="N193" i="5"/>
  <c r="M193" i="5"/>
  <c r="L193" i="5"/>
  <c r="K193" i="5"/>
  <c r="J193" i="5"/>
  <c r="I193" i="5"/>
  <c r="H193" i="5"/>
  <c r="G193" i="5"/>
  <c r="F193" i="5"/>
  <c r="E193" i="5"/>
  <c r="D193" i="5"/>
  <c r="C193" i="5"/>
  <c r="B193" i="5"/>
  <c r="A193" i="5"/>
  <c r="CS192" i="5"/>
  <c r="CM192" i="5"/>
  <c r="CK192" i="5"/>
  <c r="CJ192" i="5"/>
  <c r="CI192" i="5"/>
  <c r="CG192" i="5"/>
  <c r="CF192" i="5"/>
  <c r="CE192" i="5"/>
  <c r="CD192" i="5"/>
  <c r="CC192" i="5"/>
  <c r="CB192" i="5"/>
  <c r="CA192" i="5"/>
  <c r="BZ192" i="5"/>
  <c r="BY192" i="5"/>
  <c r="BW192" i="5"/>
  <c r="BV192" i="5"/>
  <c r="BU192" i="5"/>
  <c r="BT192" i="5"/>
  <c r="BQ192" i="5"/>
  <c r="BP192" i="5"/>
  <c r="BO192" i="5"/>
  <c r="BM192" i="5"/>
  <c r="BF192" i="5"/>
  <c r="BC192" i="5"/>
  <c r="AY192" i="5"/>
  <c r="AX192" i="5"/>
  <c r="AW192" i="5"/>
  <c r="AV192" i="5"/>
  <c r="AU192" i="5"/>
  <c r="AT192" i="5"/>
  <c r="AR192" i="5"/>
  <c r="AQ192" i="5"/>
  <c r="AP192" i="5"/>
  <c r="AO192" i="5"/>
  <c r="AN192" i="5"/>
  <c r="AM192" i="5"/>
  <c r="AL192" i="5"/>
  <c r="AH192" i="5"/>
  <c r="AF192" i="5"/>
  <c r="AD192" i="5"/>
  <c r="AB192" i="5"/>
  <c r="Y192" i="5"/>
  <c r="X192" i="5"/>
  <c r="W192" i="5"/>
  <c r="V192" i="5"/>
  <c r="U192" i="5"/>
  <c r="T192" i="5"/>
  <c r="S192" i="5"/>
  <c r="R192" i="5"/>
  <c r="Q192" i="5"/>
  <c r="P192" i="5"/>
  <c r="O192" i="5"/>
  <c r="N192" i="5"/>
  <c r="M192" i="5"/>
  <c r="L192" i="5"/>
  <c r="K192" i="5"/>
  <c r="J192" i="5"/>
  <c r="I192" i="5"/>
  <c r="H192" i="5"/>
  <c r="G192" i="5"/>
  <c r="F192" i="5"/>
  <c r="E192" i="5"/>
  <c r="D192" i="5"/>
  <c r="C192" i="5"/>
  <c r="B192" i="5"/>
  <c r="A192" i="5"/>
  <c r="CS191" i="5"/>
  <c r="CM191" i="5"/>
  <c r="CK191" i="5"/>
  <c r="CJ191" i="5"/>
  <c r="CI191" i="5"/>
  <c r="CG191" i="5"/>
  <c r="CF191" i="5"/>
  <c r="CE191" i="5"/>
  <c r="CD191" i="5"/>
  <c r="CC191" i="5"/>
  <c r="CB191" i="5"/>
  <c r="CA191" i="5"/>
  <c r="BZ191" i="5"/>
  <c r="BY191" i="5"/>
  <c r="BW191" i="5"/>
  <c r="BV191" i="5"/>
  <c r="BU191" i="5"/>
  <c r="BT191" i="5"/>
  <c r="BQ191" i="5"/>
  <c r="BP191" i="5"/>
  <c r="BO191" i="5"/>
  <c r="BM191" i="5"/>
  <c r="BF191" i="5"/>
  <c r="BC191" i="5"/>
  <c r="AY191" i="5"/>
  <c r="AX191" i="5"/>
  <c r="AW191" i="5"/>
  <c r="AV191" i="5"/>
  <c r="AU191" i="5"/>
  <c r="AT191" i="5"/>
  <c r="AR191" i="5"/>
  <c r="AQ191" i="5"/>
  <c r="AP191" i="5"/>
  <c r="AO191" i="5"/>
  <c r="AN191" i="5"/>
  <c r="AM191" i="5"/>
  <c r="AL191" i="5"/>
  <c r="AH191" i="5"/>
  <c r="AF191" i="5"/>
  <c r="AD191" i="5"/>
  <c r="AB191" i="5"/>
  <c r="Y191" i="5"/>
  <c r="X191" i="5"/>
  <c r="W191" i="5"/>
  <c r="V191" i="5"/>
  <c r="U191" i="5"/>
  <c r="T191" i="5"/>
  <c r="S191" i="5"/>
  <c r="R191" i="5"/>
  <c r="Q191" i="5"/>
  <c r="P191" i="5"/>
  <c r="O191" i="5"/>
  <c r="N191" i="5"/>
  <c r="M191" i="5"/>
  <c r="L191" i="5"/>
  <c r="K191" i="5"/>
  <c r="J191" i="5"/>
  <c r="I191" i="5"/>
  <c r="H191" i="5"/>
  <c r="G191" i="5"/>
  <c r="F191" i="5"/>
  <c r="E191" i="5"/>
  <c r="D191" i="5"/>
  <c r="C191" i="5"/>
  <c r="B191" i="5"/>
  <c r="A191" i="5"/>
  <c r="CS190" i="5"/>
  <c r="CM190" i="5"/>
  <c r="CK190" i="5"/>
  <c r="CJ190" i="5"/>
  <c r="CI190" i="5"/>
  <c r="CG190" i="5"/>
  <c r="CF190" i="5"/>
  <c r="CE190" i="5"/>
  <c r="CD190" i="5"/>
  <c r="CC190" i="5"/>
  <c r="CB190" i="5"/>
  <c r="CA190" i="5"/>
  <c r="BZ190" i="5"/>
  <c r="BY190" i="5"/>
  <c r="BX190" i="5"/>
  <c r="BW190" i="5"/>
  <c r="BV190" i="5"/>
  <c r="BU190" i="5"/>
  <c r="BT190" i="5"/>
  <c r="BQ190" i="5"/>
  <c r="BP190" i="5"/>
  <c r="BO190" i="5"/>
  <c r="BM190" i="5"/>
  <c r="BF190" i="5"/>
  <c r="BC190" i="5"/>
  <c r="AY190" i="5"/>
  <c r="AX190" i="5"/>
  <c r="AW190" i="5"/>
  <c r="AV190" i="5"/>
  <c r="AU190" i="5"/>
  <c r="AT190" i="5"/>
  <c r="AR190" i="5"/>
  <c r="AQ190" i="5"/>
  <c r="AP190" i="5"/>
  <c r="AO190" i="5"/>
  <c r="AN190" i="5"/>
  <c r="AM190" i="5"/>
  <c r="AL190" i="5"/>
  <c r="AH190" i="5"/>
  <c r="AF190" i="5"/>
  <c r="AD190" i="5"/>
  <c r="AB190" i="5"/>
  <c r="Y190" i="5"/>
  <c r="X190" i="5"/>
  <c r="W190" i="5"/>
  <c r="V190" i="5"/>
  <c r="U190" i="5"/>
  <c r="T190" i="5"/>
  <c r="S190" i="5"/>
  <c r="R190" i="5"/>
  <c r="Q190" i="5"/>
  <c r="P190" i="5"/>
  <c r="O190" i="5"/>
  <c r="N190" i="5"/>
  <c r="M190" i="5"/>
  <c r="L190" i="5"/>
  <c r="K190" i="5"/>
  <c r="J190" i="5"/>
  <c r="I190" i="5"/>
  <c r="H190" i="5"/>
  <c r="G190" i="5"/>
  <c r="F190" i="5"/>
  <c r="E190" i="5"/>
  <c r="D190" i="5"/>
  <c r="C190" i="5"/>
  <c r="B190" i="5"/>
  <c r="A190" i="5"/>
  <c r="CS189" i="5"/>
  <c r="CM189" i="5"/>
  <c r="CK189" i="5"/>
  <c r="CJ189" i="5"/>
  <c r="CI189" i="5"/>
  <c r="CG189" i="5"/>
  <c r="CF189" i="5"/>
  <c r="CE189" i="5"/>
  <c r="CD189" i="5"/>
  <c r="CC189" i="5"/>
  <c r="CB189" i="5"/>
  <c r="CA189" i="5"/>
  <c r="BZ189" i="5"/>
  <c r="BY189" i="5"/>
  <c r="BX189" i="5"/>
  <c r="BW189" i="5"/>
  <c r="BV189" i="5"/>
  <c r="BU189" i="5"/>
  <c r="BT189" i="5"/>
  <c r="BQ189" i="5"/>
  <c r="BP189" i="5"/>
  <c r="BO189" i="5"/>
  <c r="BM189" i="5"/>
  <c r="BF189" i="5"/>
  <c r="BC189" i="5"/>
  <c r="AY189" i="5"/>
  <c r="AX189" i="5"/>
  <c r="AW189" i="5"/>
  <c r="AV189" i="5"/>
  <c r="AU189" i="5"/>
  <c r="AT189" i="5"/>
  <c r="AR189" i="5"/>
  <c r="AQ189" i="5"/>
  <c r="AP189" i="5"/>
  <c r="AO189" i="5"/>
  <c r="AN189" i="5"/>
  <c r="AM189" i="5"/>
  <c r="AL189" i="5"/>
  <c r="AH189" i="5"/>
  <c r="AF189" i="5"/>
  <c r="AD189" i="5"/>
  <c r="AB189" i="5"/>
  <c r="Y189" i="5"/>
  <c r="X189" i="5"/>
  <c r="W189" i="5"/>
  <c r="V189" i="5"/>
  <c r="U189" i="5"/>
  <c r="T189" i="5"/>
  <c r="S189" i="5"/>
  <c r="R189" i="5"/>
  <c r="Q189" i="5"/>
  <c r="P189" i="5"/>
  <c r="O189" i="5"/>
  <c r="N189" i="5"/>
  <c r="M189" i="5"/>
  <c r="L189" i="5"/>
  <c r="K189" i="5"/>
  <c r="J189" i="5"/>
  <c r="I189" i="5"/>
  <c r="H189" i="5"/>
  <c r="G189" i="5"/>
  <c r="F189" i="5"/>
  <c r="E189" i="5"/>
  <c r="D189" i="5"/>
  <c r="C189" i="5"/>
  <c r="B189" i="5"/>
  <c r="A189" i="5"/>
  <c r="CS188" i="5"/>
  <c r="CM188" i="5"/>
  <c r="CK188" i="5"/>
  <c r="CJ188" i="5"/>
  <c r="CI188" i="5"/>
  <c r="CG188" i="5"/>
  <c r="CF188" i="5"/>
  <c r="CE188" i="5"/>
  <c r="CD188" i="5"/>
  <c r="CC188" i="5"/>
  <c r="CB188" i="5"/>
  <c r="CA188" i="5"/>
  <c r="BZ188" i="5"/>
  <c r="BY188" i="5"/>
  <c r="BX188" i="5"/>
  <c r="BW188" i="5"/>
  <c r="BV188" i="5"/>
  <c r="BU188" i="5"/>
  <c r="BT188" i="5"/>
  <c r="BQ188" i="5"/>
  <c r="BP188" i="5"/>
  <c r="BO188" i="5"/>
  <c r="BM188" i="5"/>
  <c r="BF188" i="5"/>
  <c r="BC188" i="5"/>
  <c r="AY188" i="5"/>
  <c r="AX188" i="5"/>
  <c r="AW188" i="5"/>
  <c r="AV188" i="5"/>
  <c r="AU188" i="5"/>
  <c r="AT188" i="5"/>
  <c r="AR188" i="5"/>
  <c r="AQ188" i="5"/>
  <c r="AP188" i="5"/>
  <c r="AO188" i="5"/>
  <c r="AN188" i="5"/>
  <c r="AM188" i="5"/>
  <c r="AL188" i="5"/>
  <c r="AH188" i="5"/>
  <c r="AF188" i="5"/>
  <c r="AD188" i="5"/>
  <c r="AB188" i="5"/>
  <c r="Y188" i="5"/>
  <c r="X188" i="5"/>
  <c r="W188" i="5"/>
  <c r="V188" i="5"/>
  <c r="U188" i="5"/>
  <c r="T188" i="5"/>
  <c r="S188" i="5"/>
  <c r="R188" i="5"/>
  <c r="Q188" i="5"/>
  <c r="P188" i="5"/>
  <c r="O188" i="5"/>
  <c r="N188" i="5"/>
  <c r="M188" i="5"/>
  <c r="L188" i="5"/>
  <c r="K188" i="5"/>
  <c r="J188" i="5"/>
  <c r="I188" i="5"/>
  <c r="H188" i="5"/>
  <c r="G188" i="5"/>
  <c r="F188" i="5"/>
  <c r="E188" i="5"/>
  <c r="D188" i="5"/>
  <c r="C188" i="5"/>
  <c r="B188" i="5"/>
  <c r="A188" i="5"/>
  <c r="CS187" i="5"/>
  <c r="CM187" i="5"/>
  <c r="CK187" i="5"/>
  <c r="CJ187" i="5"/>
  <c r="CI187" i="5"/>
  <c r="CG187" i="5"/>
  <c r="CF187" i="5"/>
  <c r="CE187" i="5"/>
  <c r="CD187" i="5"/>
  <c r="CC187" i="5"/>
  <c r="CB187" i="5"/>
  <c r="CA187" i="5"/>
  <c r="BZ187" i="5"/>
  <c r="BY187" i="5"/>
  <c r="BX187" i="5"/>
  <c r="BW187" i="5"/>
  <c r="BV187" i="5"/>
  <c r="BU187" i="5"/>
  <c r="BT187" i="5"/>
  <c r="BQ187" i="5"/>
  <c r="BP187" i="5"/>
  <c r="BO187" i="5"/>
  <c r="BN187" i="5"/>
  <c r="BM187" i="5"/>
  <c r="BG187" i="5"/>
  <c r="BF187" i="5"/>
  <c r="BC187" i="5"/>
  <c r="AY187" i="5"/>
  <c r="AX187" i="5"/>
  <c r="AW187" i="5"/>
  <c r="AV187" i="5"/>
  <c r="AU187" i="5"/>
  <c r="AT187" i="5"/>
  <c r="AS187" i="5"/>
  <c r="AR187" i="5"/>
  <c r="AQ187" i="5"/>
  <c r="AP187" i="5"/>
  <c r="AO187" i="5"/>
  <c r="AN187" i="5"/>
  <c r="AM187" i="5"/>
  <c r="AL187" i="5"/>
  <c r="AH187" i="5"/>
  <c r="AF187" i="5"/>
  <c r="AD187" i="5"/>
  <c r="AB187" i="5"/>
  <c r="Z187" i="5"/>
  <c r="X187" i="5"/>
  <c r="W187" i="5"/>
  <c r="V187" i="5"/>
  <c r="U187" i="5"/>
  <c r="T187" i="5"/>
  <c r="S187" i="5"/>
  <c r="R187" i="5"/>
  <c r="Q187" i="5"/>
  <c r="P187" i="5"/>
  <c r="O187" i="5"/>
  <c r="N187" i="5"/>
  <c r="M187" i="5"/>
  <c r="L187" i="5"/>
  <c r="K187" i="5"/>
  <c r="J187" i="5"/>
  <c r="I187" i="5"/>
  <c r="H187" i="5"/>
  <c r="G187" i="5"/>
  <c r="F187" i="5"/>
  <c r="E187" i="5"/>
  <c r="D187" i="5"/>
  <c r="C187" i="5"/>
  <c r="B187" i="5"/>
  <c r="A187" i="5"/>
  <c r="CS186" i="5"/>
  <c r="CM186" i="5"/>
  <c r="CK186" i="5"/>
  <c r="CJ186" i="5"/>
  <c r="CI186" i="5"/>
  <c r="CG186" i="5"/>
  <c r="CF186" i="5"/>
  <c r="CE186" i="5"/>
  <c r="CD186" i="5"/>
  <c r="CC186" i="5"/>
  <c r="CB186" i="5"/>
  <c r="CA186" i="5"/>
  <c r="BZ186" i="5"/>
  <c r="BY186" i="5"/>
  <c r="BX186" i="5"/>
  <c r="BW186" i="5"/>
  <c r="BV186" i="5"/>
  <c r="BU186" i="5"/>
  <c r="BT186" i="5"/>
  <c r="BQ186" i="5"/>
  <c r="BP186" i="5"/>
  <c r="BO186" i="5"/>
  <c r="BN186" i="5"/>
  <c r="BM186" i="5"/>
  <c r="BG186" i="5"/>
  <c r="BF186" i="5"/>
  <c r="BC186" i="5"/>
  <c r="AY186" i="5"/>
  <c r="AX186" i="5"/>
  <c r="AW186" i="5"/>
  <c r="AV186" i="5"/>
  <c r="AU186" i="5"/>
  <c r="AT186" i="5"/>
  <c r="AS186" i="5"/>
  <c r="AR186" i="5"/>
  <c r="AQ186" i="5"/>
  <c r="AP186" i="5"/>
  <c r="AO186" i="5"/>
  <c r="AN186" i="5"/>
  <c r="AM186" i="5"/>
  <c r="AL186" i="5"/>
  <c r="AH186" i="5"/>
  <c r="AF186" i="5"/>
  <c r="AD186" i="5"/>
  <c r="AB186" i="5"/>
  <c r="Z186" i="5"/>
  <c r="X186" i="5"/>
  <c r="W186" i="5"/>
  <c r="V186" i="5"/>
  <c r="U186" i="5"/>
  <c r="T186" i="5"/>
  <c r="S186" i="5"/>
  <c r="R186" i="5"/>
  <c r="Q186" i="5"/>
  <c r="P186" i="5"/>
  <c r="O186" i="5"/>
  <c r="N186" i="5"/>
  <c r="M186" i="5"/>
  <c r="L186" i="5"/>
  <c r="K186" i="5"/>
  <c r="J186" i="5"/>
  <c r="I186" i="5"/>
  <c r="H186" i="5"/>
  <c r="G186" i="5"/>
  <c r="F186" i="5"/>
  <c r="E186" i="5"/>
  <c r="D186" i="5"/>
  <c r="C186" i="5"/>
  <c r="B186" i="5"/>
  <c r="A186" i="5"/>
  <c r="CS185" i="5"/>
  <c r="CM185" i="5"/>
  <c r="CK185" i="5"/>
  <c r="CJ185" i="5"/>
  <c r="CI185" i="5"/>
  <c r="CG185" i="5"/>
  <c r="CF185" i="5"/>
  <c r="CE185" i="5"/>
  <c r="CD185" i="5"/>
  <c r="CC185" i="5"/>
  <c r="CB185" i="5"/>
  <c r="CA185" i="5"/>
  <c r="BZ185" i="5"/>
  <c r="BY185" i="5"/>
  <c r="BX185" i="5"/>
  <c r="BW185" i="5"/>
  <c r="BV185" i="5"/>
  <c r="BU185" i="5"/>
  <c r="BT185" i="5"/>
  <c r="BQ185" i="5"/>
  <c r="BP185" i="5"/>
  <c r="BO185" i="5"/>
  <c r="BN185" i="5"/>
  <c r="BM185" i="5"/>
  <c r="BL185" i="5"/>
  <c r="BG185" i="5"/>
  <c r="BF185" i="5"/>
  <c r="BC185" i="5"/>
  <c r="AY185" i="5"/>
  <c r="AX185" i="5"/>
  <c r="AW185" i="5"/>
  <c r="AV185" i="5"/>
  <c r="AU185" i="5"/>
  <c r="AT185" i="5"/>
  <c r="AS185" i="5"/>
  <c r="AR185" i="5"/>
  <c r="AQ185" i="5"/>
  <c r="AP185" i="5"/>
  <c r="AO185" i="5"/>
  <c r="AN185" i="5"/>
  <c r="AM185" i="5"/>
  <c r="AL185" i="5"/>
  <c r="AH185" i="5"/>
  <c r="AF185" i="5"/>
  <c r="AD185" i="5"/>
  <c r="AB185" i="5"/>
  <c r="Z185" i="5"/>
  <c r="X185" i="5"/>
  <c r="W185" i="5"/>
  <c r="V185" i="5"/>
  <c r="U185" i="5"/>
  <c r="T185" i="5"/>
  <c r="S185" i="5"/>
  <c r="R185" i="5"/>
  <c r="Q185" i="5"/>
  <c r="P185" i="5"/>
  <c r="O185" i="5"/>
  <c r="N185" i="5"/>
  <c r="M185" i="5"/>
  <c r="L185" i="5"/>
  <c r="K185" i="5"/>
  <c r="J185" i="5"/>
  <c r="I185" i="5"/>
  <c r="H185" i="5"/>
  <c r="G185" i="5"/>
  <c r="F185" i="5"/>
  <c r="E185" i="5"/>
  <c r="D185" i="5"/>
  <c r="C185" i="5"/>
  <c r="B185" i="5"/>
  <c r="A185" i="5"/>
  <c r="CS184" i="5"/>
  <c r="CM184" i="5"/>
  <c r="CK184" i="5"/>
  <c r="CJ184" i="5"/>
  <c r="CI184" i="5"/>
  <c r="CG184" i="5"/>
  <c r="CF184" i="5"/>
  <c r="CE184" i="5"/>
  <c r="CD184" i="5"/>
  <c r="CC184" i="5"/>
  <c r="CB184" i="5"/>
  <c r="CA184" i="5"/>
  <c r="BZ184" i="5"/>
  <c r="BY184" i="5"/>
  <c r="BX184" i="5"/>
  <c r="BW184" i="5"/>
  <c r="BV184" i="5"/>
  <c r="BU184" i="5"/>
  <c r="BS184" i="5"/>
  <c r="BR184" i="5"/>
  <c r="BQ184" i="5"/>
  <c r="BP184" i="5"/>
  <c r="BO184" i="5"/>
  <c r="BN184" i="5"/>
  <c r="BM184" i="5"/>
  <c r="BG184" i="5"/>
  <c r="BF184" i="5"/>
  <c r="BC184" i="5"/>
  <c r="AY184" i="5"/>
  <c r="AX184" i="5"/>
  <c r="AW184" i="5"/>
  <c r="AV184" i="5"/>
  <c r="AU184" i="5"/>
  <c r="AT184" i="5"/>
  <c r="AS184" i="5"/>
  <c r="AR184" i="5"/>
  <c r="AQ184" i="5"/>
  <c r="AP184" i="5"/>
  <c r="AO184" i="5"/>
  <c r="AN184" i="5"/>
  <c r="AM184" i="5"/>
  <c r="AL184" i="5"/>
  <c r="AH184" i="5"/>
  <c r="AF184" i="5"/>
  <c r="AD184" i="5"/>
  <c r="AB184" i="5"/>
  <c r="Z184" i="5"/>
  <c r="X184" i="5"/>
  <c r="W184" i="5"/>
  <c r="V184" i="5"/>
  <c r="U184" i="5"/>
  <c r="T184" i="5"/>
  <c r="S184" i="5"/>
  <c r="R184" i="5"/>
  <c r="Q184" i="5"/>
  <c r="P184" i="5"/>
  <c r="O184" i="5"/>
  <c r="N184" i="5"/>
  <c r="M184" i="5"/>
  <c r="L184" i="5"/>
  <c r="K184" i="5"/>
  <c r="J184" i="5"/>
  <c r="I184" i="5"/>
  <c r="H184" i="5"/>
  <c r="G184" i="5"/>
  <c r="F184" i="5"/>
  <c r="E184" i="5"/>
  <c r="D184" i="5"/>
  <c r="C184" i="5"/>
  <c r="B184" i="5"/>
  <c r="A184" i="5"/>
  <c r="CS183" i="5"/>
  <c r="CM183" i="5"/>
  <c r="CK183" i="5"/>
  <c r="CJ183" i="5"/>
  <c r="CI183" i="5"/>
  <c r="CG183" i="5"/>
  <c r="CF183" i="5"/>
  <c r="CE183" i="5"/>
  <c r="CD183" i="5"/>
  <c r="CC183" i="5"/>
  <c r="CB183" i="5"/>
  <c r="CA183" i="5"/>
  <c r="BZ183" i="5"/>
  <c r="BY183" i="5"/>
  <c r="BX183" i="5"/>
  <c r="BW183" i="5"/>
  <c r="BV183" i="5"/>
  <c r="BU183" i="5"/>
  <c r="BS183" i="5"/>
  <c r="BR183" i="5"/>
  <c r="BQ183" i="5"/>
  <c r="BP183" i="5"/>
  <c r="BO183" i="5"/>
  <c r="BN183" i="5"/>
  <c r="BM183" i="5"/>
  <c r="BG183" i="5"/>
  <c r="BF183" i="5"/>
  <c r="BC183" i="5"/>
  <c r="AY183" i="5"/>
  <c r="AX183" i="5"/>
  <c r="AW183" i="5"/>
  <c r="AV183" i="5"/>
  <c r="AU183" i="5"/>
  <c r="AT183" i="5"/>
  <c r="AS183" i="5"/>
  <c r="AR183" i="5"/>
  <c r="AQ183" i="5"/>
  <c r="AP183" i="5"/>
  <c r="AO183" i="5"/>
  <c r="AN183" i="5"/>
  <c r="AM183" i="5"/>
  <c r="AL183" i="5"/>
  <c r="AH183" i="5"/>
  <c r="AF183" i="5"/>
  <c r="AD183" i="5"/>
  <c r="AB183" i="5"/>
  <c r="Z183" i="5"/>
  <c r="X183" i="5"/>
  <c r="W183" i="5"/>
  <c r="V183" i="5"/>
  <c r="U183" i="5"/>
  <c r="T183" i="5"/>
  <c r="S183" i="5"/>
  <c r="R183" i="5"/>
  <c r="Q183" i="5"/>
  <c r="P183" i="5"/>
  <c r="O183" i="5"/>
  <c r="N183" i="5"/>
  <c r="M183" i="5"/>
  <c r="L183" i="5"/>
  <c r="K183" i="5"/>
  <c r="J183" i="5"/>
  <c r="I183" i="5"/>
  <c r="H183" i="5"/>
  <c r="G183" i="5"/>
  <c r="F183" i="5"/>
  <c r="E183" i="5"/>
  <c r="D183" i="5"/>
  <c r="C183" i="5"/>
  <c r="B183" i="5"/>
  <c r="A183" i="5"/>
  <c r="CS182" i="5"/>
  <c r="CM182" i="5"/>
  <c r="CK182" i="5"/>
  <c r="CJ182" i="5"/>
  <c r="CI182" i="5"/>
  <c r="CG182" i="5"/>
  <c r="CF182" i="5"/>
  <c r="CE182" i="5"/>
  <c r="CD182" i="5"/>
  <c r="CC182" i="5"/>
  <c r="CB182" i="5"/>
  <c r="CA182" i="5"/>
  <c r="BY182" i="5"/>
  <c r="BX182" i="5"/>
  <c r="BW182" i="5"/>
  <c r="BV182" i="5"/>
  <c r="BU182" i="5"/>
  <c r="BQ182" i="5"/>
  <c r="BP182" i="5"/>
  <c r="BO182" i="5"/>
  <c r="BN182" i="5"/>
  <c r="BM182" i="5"/>
  <c r="BG182" i="5"/>
  <c r="BF182" i="5"/>
  <c r="BC182" i="5"/>
  <c r="AY182" i="5"/>
  <c r="AX182" i="5"/>
  <c r="AW182" i="5"/>
  <c r="AV182" i="5"/>
  <c r="AU182" i="5"/>
  <c r="AT182" i="5"/>
  <c r="AS182" i="5"/>
  <c r="AR182" i="5"/>
  <c r="AQ182" i="5"/>
  <c r="AP182" i="5"/>
  <c r="AO182" i="5"/>
  <c r="AN182" i="5"/>
  <c r="AM182" i="5"/>
  <c r="AL182" i="5"/>
  <c r="AH182" i="5"/>
  <c r="AF182" i="5"/>
  <c r="AD182" i="5"/>
  <c r="AB182" i="5"/>
  <c r="Z182" i="5"/>
  <c r="X182" i="5"/>
  <c r="W182" i="5"/>
  <c r="V182" i="5"/>
  <c r="U182" i="5"/>
  <c r="T182" i="5"/>
  <c r="S182" i="5"/>
  <c r="R182" i="5"/>
  <c r="Q182" i="5"/>
  <c r="P182" i="5"/>
  <c r="O182" i="5"/>
  <c r="N182" i="5"/>
  <c r="M182" i="5"/>
  <c r="L182" i="5"/>
  <c r="K182" i="5"/>
  <c r="J182" i="5"/>
  <c r="I182" i="5"/>
  <c r="H182" i="5"/>
  <c r="G182" i="5"/>
  <c r="F182" i="5"/>
  <c r="E182" i="5"/>
  <c r="D182" i="5"/>
  <c r="C182" i="5"/>
  <c r="B182" i="5"/>
  <c r="A182" i="5"/>
  <c r="CS181" i="5"/>
  <c r="CM181" i="5"/>
  <c r="CK181" i="5"/>
  <c r="CJ181" i="5"/>
  <c r="CI181" i="5"/>
  <c r="CG181" i="5"/>
  <c r="CF181" i="5"/>
  <c r="CE181" i="5"/>
  <c r="CD181" i="5"/>
  <c r="CC181" i="5"/>
  <c r="CB181" i="5"/>
  <c r="CA181" i="5"/>
  <c r="BY181" i="5"/>
  <c r="BX181" i="5"/>
  <c r="BW181" i="5"/>
  <c r="BV181" i="5"/>
  <c r="BU181" i="5"/>
  <c r="BQ181" i="5"/>
  <c r="BP181" i="5"/>
  <c r="BO181" i="5"/>
  <c r="BN181" i="5"/>
  <c r="BM181" i="5"/>
  <c r="BF181" i="5"/>
  <c r="BC181" i="5"/>
  <c r="AY181" i="5"/>
  <c r="AX181" i="5"/>
  <c r="AW181" i="5"/>
  <c r="AV181" i="5"/>
  <c r="AU181" i="5"/>
  <c r="AT181" i="5"/>
  <c r="AS181" i="5"/>
  <c r="AR181" i="5"/>
  <c r="AQ181" i="5"/>
  <c r="AP181" i="5"/>
  <c r="AO181" i="5"/>
  <c r="AN181" i="5"/>
  <c r="AM181" i="5"/>
  <c r="AL181" i="5"/>
  <c r="AH181" i="5"/>
  <c r="AF181" i="5"/>
  <c r="AE181" i="5"/>
  <c r="AD181" i="5"/>
  <c r="AB181" i="5"/>
  <c r="Z181" i="5"/>
  <c r="X181" i="5"/>
  <c r="W181" i="5"/>
  <c r="V181" i="5"/>
  <c r="U181" i="5"/>
  <c r="T181" i="5"/>
  <c r="S181" i="5"/>
  <c r="R181" i="5"/>
  <c r="Q181" i="5"/>
  <c r="P181" i="5"/>
  <c r="O181" i="5"/>
  <c r="N181" i="5"/>
  <c r="M181" i="5"/>
  <c r="L181" i="5"/>
  <c r="K181" i="5"/>
  <c r="J181" i="5"/>
  <c r="I181" i="5"/>
  <c r="H181" i="5"/>
  <c r="G181" i="5"/>
  <c r="F181" i="5"/>
  <c r="E181" i="5"/>
  <c r="D181" i="5"/>
  <c r="C181" i="5"/>
  <c r="B181" i="5"/>
  <c r="A181" i="5"/>
  <c r="CS180" i="5"/>
  <c r="CM180" i="5"/>
  <c r="CK180" i="5"/>
  <c r="CJ180" i="5"/>
  <c r="CI180" i="5"/>
  <c r="CG180" i="5"/>
  <c r="CF180" i="5"/>
  <c r="CE180" i="5"/>
  <c r="CD180" i="5"/>
  <c r="CC180" i="5"/>
  <c r="CB180" i="5"/>
  <c r="CA180" i="5"/>
  <c r="BY180" i="5"/>
  <c r="BX180" i="5"/>
  <c r="BW180" i="5"/>
  <c r="BV180" i="5"/>
  <c r="BU180" i="5"/>
  <c r="BQ180" i="5"/>
  <c r="BP180" i="5"/>
  <c r="BO180" i="5"/>
  <c r="BN180" i="5"/>
  <c r="BM180" i="5"/>
  <c r="BF180" i="5"/>
  <c r="BC180" i="5"/>
  <c r="AY180" i="5"/>
  <c r="AX180" i="5"/>
  <c r="AW180" i="5"/>
  <c r="AV180" i="5"/>
  <c r="AU180" i="5"/>
  <c r="AT180" i="5"/>
  <c r="AS180" i="5"/>
  <c r="AR180" i="5"/>
  <c r="AQ180" i="5"/>
  <c r="AP180" i="5"/>
  <c r="AO180" i="5"/>
  <c r="AN180" i="5"/>
  <c r="AM180" i="5"/>
  <c r="AL180" i="5"/>
  <c r="AH180" i="5"/>
  <c r="AF180" i="5"/>
  <c r="AE180" i="5"/>
  <c r="AD180" i="5"/>
  <c r="AB180" i="5"/>
  <c r="Z180" i="5"/>
  <c r="X180" i="5"/>
  <c r="W180" i="5"/>
  <c r="V180" i="5"/>
  <c r="U180" i="5"/>
  <c r="T180" i="5"/>
  <c r="S180" i="5"/>
  <c r="R180" i="5"/>
  <c r="Q180" i="5"/>
  <c r="P180" i="5"/>
  <c r="O180" i="5"/>
  <c r="N180" i="5"/>
  <c r="M180" i="5"/>
  <c r="L180" i="5"/>
  <c r="K180" i="5"/>
  <c r="J180" i="5"/>
  <c r="I180" i="5"/>
  <c r="H180" i="5"/>
  <c r="G180" i="5"/>
  <c r="F180" i="5"/>
  <c r="E180" i="5"/>
  <c r="D180" i="5"/>
  <c r="C180" i="5"/>
  <c r="B180" i="5"/>
  <c r="A180" i="5"/>
  <c r="CS179" i="5"/>
  <c r="CM179" i="5"/>
  <c r="CK179" i="5"/>
  <c r="CJ179" i="5"/>
  <c r="CI179" i="5"/>
  <c r="CG179" i="5"/>
  <c r="CF179" i="5"/>
  <c r="CE179" i="5"/>
  <c r="CD179" i="5"/>
  <c r="CC179" i="5"/>
  <c r="CB179" i="5"/>
  <c r="CA179" i="5"/>
  <c r="BZ179" i="5"/>
  <c r="BY179" i="5"/>
  <c r="BX179" i="5"/>
  <c r="BW179" i="5"/>
  <c r="BV179" i="5"/>
  <c r="BU179" i="5"/>
  <c r="BS179" i="5"/>
  <c r="BR179" i="5"/>
  <c r="BQ179" i="5"/>
  <c r="BP179" i="5"/>
  <c r="BO179" i="5"/>
  <c r="BM179" i="5"/>
  <c r="BF179" i="5"/>
  <c r="BC179" i="5"/>
  <c r="AZ179" i="5"/>
  <c r="AY179" i="5"/>
  <c r="AX179" i="5"/>
  <c r="AW179" i="5"/>
  <c r="AV179" i="5"/>
  <c r="AU179" i="5"/>
  <c r="AT179" i="5"/>
  <c r="AR179" i="5"/>
  <c r="AQ179" i="5"/>
  <c r="AP179" i="5"/>
  <c r="AO179" i="5"/>
  <c r="AN179" i="5"/>
  <c r="AM179" i="5"/>
  <c r="AL179" i="5"/>
  <c r="AH179" i="5"/>
  <c r="AF179" i="5"/>
  <c r="AD179" i="5"/>
  <c r="AB179" i="5"/>
  <c r="Y179" i="5"/>
  <c r="X179" i="5"/>
  <c r="W179" i="5"/>
  <c r="V179" i="5"/>
  <c r="U179" i="5"/>
  <c r="T179" i="5"/>
  <c r="S179" i="5"/>
  <c r="R179" i="5"/>
  <c r="Q179" i="5"/>
  <c r="P179" i="5"/>
  <c r="O179" i="5"/>
  <c r="N179" i="5"/>
  <c r="M179" i="5"/>
  <c r="L179" i="5"/>
  <c r="K179" i="5"/>
  <c r="J179" i="5"/>
  <c r="I179" i="5"/>
  <c r="H179" i="5"/>
  <c r="G179" i="5"/>
  <c r="F179" i="5"/>
  <c r="E179" i="5"/>
  <c r="D179" i="5"/>
  <c r="C179" i="5"/>
  <c r="B179" i="5"/>
  <c r="A179" i="5"/>
  <c r="CS178" i="5"/>
  <c r="CM178" i="5"/>
  <c r="CK178" i="5"/>
  <c r="CJ178" i="5"/>
  <c r="CI178" i="5"/>
  <c r="CG178" i="5"/>
  <c r="CF178" i="5"/>
  <c r="CE178" i="5"/>
  <c r="CD178" i="5"/>
  <c r="CC178" i="5"/>
  <c r="CB178" i="5"/>
  <c r="CA178" i="5"/>
  <c r="BY178" i="5"/>
  <c r="BW178" i="5"/>
  <c r="BV178" i="5"/>
  <c r="BU178" i="5"/>
  <c r="BQ178" i="5"/>
  <c r="BP178" i="5"/>
  <c r="BO178" i="5"/>
  <c r="BM178" i="5"/>
  <c r="BF178" i="5"/>
  <c r="BC178" i="5"/>
  <c r="AZ178" i="5"/>
  <c r="AY178" i="5"/>
  <c r="AX178" i="5"/>
  <c r="AW178" i="5"/>
  <c r="AV178" i="5"/>
  <c r="AU178" i="5"/>
  <c r="AT178" i="5"/>
  <c r="AR178" i="5"/>
  <c r="AQ178" i="5"/>
  <c r="AP178" i="5"/>
  <c r="AO178" i="5"/>
  <c r="AN178" i="5"/>
  <c r="AM178" i="5"/>
  <c r="AL178" i="5"/>
  <c r="AH178" i="5"/>
  <c r="AF178" i="5"/>
  <c r="AD178" i="5"/>
  <c r="AB178" i="5"/>
  <c r="Y178" i="5"/>
  <c r="X178" i="5"/>
  <c r="W178" i="5"/>
  <c r="V178" i="5"/>
  <c r="U178" i="5"/>
  <c r="T178" i="5"/>
  <c r="S178" i="5"/>
  <c r="R178" i="5"/>
  <c r="Q178" i="5"/>
  <c r="P178" i="5"/>
  <c r="O178" i="5"/>
  <c r="N178" i="5"/>
  <c r="M178" i="5"/>
  <c r="L178" i="5"/>
  <c r="K178" i="5"/>
  <c r="J178" i="5"/>
  <c r="I178" i="5"/>
  <c r="H178" i="5"/>
  <c r="G178" i="5"/>
  <c r="F178" i="5"/>
  <c r="E178" i="5"/>
  <c r="D178" i="5"/>
  <c r="C178" i="5"/>
  <c r="B178" i="5"/>
  <c r="A178" i="5"/>
  <c r="CS177" i="5"/>
  <c r="CM177" i="5"/>
  <c r="CK177" i="5"/>
  <c r="CJ177" i="5"/>
  <c r="CI177" i="5"/>
  <c r="CG177" i="5"/>
  <c r="CF177" i="5"/>
  <c r="CE177" i="5"/>
  <c r="CD177" i="5"/>
  <c r="CC177" i="5"/>
  <c r="CB177" i="5"/>
  <c r="CA177" i="5"/>
  <c r="BZ177" i="5"/>
  <c r="BY177" i="5"/>
  <c r="BW177" i="5"/>
  <c r="BV177" i="5"/>
  <c r="BU177" i="5"/>
  <c r="BS177" i="5"/>
  <c r="BR177" i="5"/>
  <c r="BQ177" i="5"/>
  <c r="BP177" i="5"/>
  <c r="BO177" i="5"/>
  <c r="BM177" i="5"/>
  <c r="BF177" i="5"/>
  <c r="BC177" i="5"/>
  <c r="AZ177" i="5"/>
  <c r="AY177" i="5"/>
  <c r="AX177" i="5"/>
  <c r="AW177" i="5"/>
  <c r="AV177" i="5"/>
  <c r="AU177" i="5"/>
  <c r="AT177" i="5"/>
  <c r="AR177" i="5"/>
  <c r="AQ177" i="5"/>
  <c r="AP177" i="5"/>
  <c r="AO177" i="5"/>
  <c r="AN177" i="5"/>
  <c r="AM177" i="5"/>
  <c r="AL177" i="5"/>
  <c r="AH177" i="5"/>
  <c r="AF177" i="5"/>
  <c r="AD177" i="5"/>
  <c r="AB177" i="5"/>
  <c r="Y177" i="5"/>
  <c r="X177" i="5"/>
  <c r="W177" i="5"/>
  <c r="V177" i="5"/>
  <c r="U177" i="5"/>
  <c r="T177" i="5"/>
  <c r="S177" i="5"/>
  <c r="R177" i="5"/>
  <c r="Q177" i="5"/>
  <c r="P177" i="5"/>
  <c r="O177" i="5"/>
  <c r="N177" i="5"/>
  <c r="M177" i="5"/>
  <c r="L177" i="5"/>
  <c r="K177" i="5"/>
  <c r="J177" i="5"/>
  <c r="I177" i="5"/>
  <c r="H177" i="5"/>
  <c r="G177" i="5"/>
  <c r="F177" i="5"/>
  <c r="E177" i="5"/>
  <c r="D177" i="5"/>
  <c r="C177" i="5"/>
  <c r="B177" i="5"/>
  <c r="A177" i="5"/>
  <c r="CS176" i="5"/>
  <c r="CM176" i="5"/>
  <c r="CK176" i="5"/>
  <c r="CJ176" i="5"/>
  <c r="CI176" i="5"/>
  <c r="CG176" i="5"/>
  <c r="CF176" i="5"/>
  <c r="CE176" i="5"/>
  <c r="CD176" i="5"/>
  <c r="CC176" i="5"/>
  <c r="CB176" i="5"/>
  <c r="CA176" i="5"/>
  <c r="BZ176" i="5"/>
  <c r="BY176" i="5"/>
  <c r="BW176" i="5"/>
  <c r="BV176" i="5"/>
  <c r="BU176" i="5"/>
  <c r="BS176" i="5"/>
  <c r="BR176" i="5"/>
  <c r="BQ176" i="5"/>
  <c r="BP176" i="5"/>
  <c r="BO176" i="5"/>
  <c r="BN176" i="5"/>
  <c r="BM176" i="5"/>
  <c r="BL176" i="5"/>
  <c r="BF176" i="5"/>
  <c r="BC176" i="5"/>
  <c r="AZ176" i="5"/>
  <c r="AY176" i="5"/>
  <c r="AX176" i="5"/>
  <c r="AW176" i="5"/>
  <c r="AV176" i="5"/>
  <c r="AU176" i="5"/>
  <c r="AT176" i="5"/>
  <c r="AR176" i="5"/>
  <c r="AQ176" i="5"/>
  <c r="AP176" i="5"/>
  <c r="AO176" i="5"/>
  <c r="AN176" i="5"/>
  <c r="AM176" i="5"/>
  <c r="AL176" i="5"/>
  <c r="AH176" i="5"/>
  <c r="AF176" i="5"/>
  <c r="AD176" i="5"/>
  <c r="AB176" i="5"/>
  <c r="Y176" i="5"/>
  <c r="X176" i="5"/>
  <c r="W176" i="5"/>
  <c r="V176" i="5"/>
  <c r="U176" i="5"/>
  <c r="T176" i="5"/>
  <c r="S176" i="5"/>
  <c r="R176" i="5"/>
  <c r="Q176" i="5"/>
  <c r="P176" i="5"/>
  <c r="O176" i="5"/>
  <c r="N176" i="5"/>
  <c r="M176" i="5"/>
  <c r="L176" i="5"/>
  <c r="K176" i="5"/>
  <c r="J176" i="5"/>
  <c r="I176" i="5"/>
  <c r="H176" i="5"/>
  <c r="G176" i="5"/>
  <c r="F176" i="5"/>
  <c r="E176" i="5"/>
  <c r="D176" i="5"/>
  <c r="C176" i="5"/>
  <c r="B176" i="5"/>
  <c r="A176" i="5"/>
  <c r="CS175" i="5"/>
  <c r="CM175" i="5"/>
  <c r="CK175" i="5"/>
  <c r="CJ175" i="5"/>
  <c r="CI175" i="5"/>
  <c r="CG175" i="5"/>
  <c r="CF175" i="5"/>
  <c r="CE175" i="5"/>
  <c r="CD175" i="5"/>
  <c r="CC175" i="5"/>
  <c r="CB175" i="5"/>
  <c r="CA175" i="5"/>
  <c r="BZ175" i="5"/>
  <c r="BY175" i="5"/>
  <c r="BW175" i="5"/>
  <c r="BV175" i="5"/>
  <c r="BU175" i="5"/>
  <c r="BS175" i="5"/>
  <c r="BR175" i="5"/>
  <c r="BQ175" i="5"/>
  <c r="BP175" i="5"/>
  <c r="BO175" i="5"/>
  <c r="BN175" i="5"/>
  <c r="BM175" i="5"/>
  <c r="BL175" i="5"/>
  <c r="BF175" i="5"/>
  <c r="BC175" i="5"/>
  <c r="AZ175" i="5"/>
  <c r="AY175" i="5"/>
  <c r="AX175" i="5"/>
  <c r="AW175" i="5"/>
  <c r="AV175" i="5"/>
  <c r="AU175" i="5"/>
  <c r="AT175" i="5"/>
  <c r="AR175" i="5"/>
  <c r="AQ175" i="5"/>
  <c r="AP175" i="5"/>
  <c r="AO175" i="5"/>
  <c r="AN175" i="5"/>
  <c r="AM175" i="5"/>
  <c r="AL175" i="5"/>
  <c r="AH175" i="5"/>
  <c r="AF175" i="5"/>
  <c r="AD175" i="5"/>
  <c r="AB175" i="5"/>
  <c r="Y175" i="5"/>
  <c r="X175" i="5"/>
  <c r="W175" i="5"/>
  <c r="V175" i="5"/>
  <c r="U175" i="5"/>
  <c r="T175" i="5"/>
  <c r="S175" i="5"/>
  <c r="R175" i="5"/>
  <c r="Q175" i="5"/>
  <c r="P175" i="5"/>
  <c r="O175" i="5"/>
  <c r="N175" i="5"/>
  <c r="M175" i="5"/>
  <c r="L175" i="5"/>
  <c r="K175" i="5"/>
  <c r="J175" i="5"/>
  <c r="I175" i="5"/>
  <c r="H175" i="5"/>
  <c r="G175" i="5"/>
  <c r="F175" i="5"/>
  <c r="E175" i="5"/>
  <c r="D175" i="5"/>
  <c r="C175" i="5"/>
  <c r="B175" i="5"/>
  <c r="A175" i="5"/>
  <c r="CS174" i="5"/>
  <c r="CM174" i="5"/>
  <c r="CJ174" i="5"/>
  <c r="CI174" i="5"/>
  <c r="CG174" i="5"/>
  <c r="CF174" i="5"/>
  <c r="CE174" i="5"/>
  <c r="CD174" i="5"/>
  <c r="CC174" i="5"/>
  <c r="CB174" i="5"/>
  <c r="CA174" i="5"/>
  <c r="BZ174" i="5"/>
  <c r="BY174" i="5"/>
  <c r="BW174" i="5"/>
  <c r="BV174" i="5"/>
  <c r="BU174" i="5"/>
  <c r="BS174" i="5"/>
  <c r="BR174" i="5"/>
  <c r="BQ174" i="5"/>
  <c r="BP174" i="5"/>
  <c r="BO174" i="5"/>
  <c r="BN174" i="5"/>
  <c r="BM174" i="5"/>
  <c r="BL174" i="5"/>
  <c r="BF174" i="5"/>
  <c r="BC174" i="5"/>
  <c r="AZ174" i="5"/>
  <c r="AY174" i="5"/>
  <c r="AX174" i="5"/>
  <c r="AW174" i="5"/>
  <c r="AV174" i="5"/>
  <c r="AU174" i="5"/>
  <c r="AT174" i="5"/>
  <c r="AR174" i="5"/>
  <c r="AQ174" i="5"/>
  <c r="AP174" i="5"/>
  <c r="AO174" i="5"/>
  <c r="AN174" i="5"/>
  <c r="AM174" i="5"/>
  <c r="AL174" i="5"/>
  <c r="AH174" i="5"/>
  <c r="AF174" i="5"/>
  <c r="AD174" i="5"/>
  <c r="AB174" i="5"/>
  <c r="Y174" i="5"/>
  <c r="X174" i="5"/>
  <c r="W174" i="5"/>
  <c r="V174" i="5"/>
  <c r="U174" i="5"/>
  <c r="T174" i="5"/>
  <c r="S174" i="5"/>
  <c r="R174" i="5"/>
  <c r="Q174" i="5"/>
  <c r="P174" i="5"/>
  <c r="O174" i="5"/>
  <c r="N174" i="5"/>
  <c r="M174" i="5"/>
  <c r="L174" i="5"/>
  <c r="K174" i="5"/>
  <c r="J174" i="5"/>
  <c r="I174" i="5"/>
  <c r="H174" i="5"/>
  <c r="G174" i="5"/>
  <c r="F174" i="5"/>
  <c r="E174" i="5"/>
  <c r="D174" i="5"/>
  <c r="C174" i="5"/>
  <c r="B174" i="5"/>
  <c r="A174" i="5"/>
  <c r="CS173" i="5"/>
  <c r="CM173" i="5"/>
  <c r="CL173" i="5"/>
  <c r="CK173" i="5"/>
  <c r="CJ173" i="5"/>
  <c r="CI173" i="5"/>
  <c r="CG173" i="5"/>
  <c r="CF173" i="5"/>
  <c r="CE173" i="5"/>
  <c r="CD173" i="5"/>
  <c r="CC173" i="5"/>
  <c r="CB173" i="5"/>
  <c r="CA173" i="5"/>
  <c r="BZ173" i="5"/>
  <c r="BY173" i="5"/>
  <c r="BX173" i="5"/>
  <c r="BW173" i="5"/>
  <c r="BV173" i="5"/>
  <c r="BU173" i="5"/>
  <c r="BS173" i="5"/>
  <c r="BR173" i="5"/>
  <c r="BQ173" i="5"/>
  <c r="BP173" i="5"/>
  <c r="BO173" i="5"/>
  <c r="BN173" i="5"/>
  <c r="BM173" i="5"/>
  <c r="BL173" i="5"/>
  <c r="BF173" i="5"/>
  <c r="BC173" i="5"/>
  <c r="AZ173" i="5"/>
  <c r="AY173" i="5"/>
  <c r="AX173" i="5"/>
  <c r="AW173" i="5"/>
  <c r="AV173" i="5"/>
  <c r="AU173" i="5"/>
  <c r="AT173" i="5"/>
  <c r="AR173" i="5"/>
  <c r="AQ173" i="5"/>
  <c r="AP173" i="5"/>
  <c r="AO173" i="5"/>
  <c r="AN173" i="5"/>
  <c r="AM173" i="5"/>
  <c r="AL173" i="5"/>
  <c r="AH173" i="5"/>
  <c r="AF173" i="5"/>
  <c r="AD173" i="5"/>
  <c r="AB173" i="5"/>
  <c r="Y173" i="5"/>
  <c r="X173" i="5"/>
  <c r="W173" i="5"/>
  <c r="V173" i="5"/>
  <c r="U173" i="5"/>
  <c r="T173" i="5"/>
  <c r="S173" i="5"/>
  <c r="R173" i="5"/>
  <c r="Q173" i="5"/>
  <c r="P173" i="5"/>
  <c r="O173" i="5"/>
  <c r="N173" i="5"/>
  <c r="M173" i="5"/>
  <c r="L173" i="5"/>
  <c r="K173" i="5"/>
  <c r="J173" i="5"/>
  <c r="I173" i="5"/>
  <c r="H173" i="5"/>
  <c r="G173" i="5"/>
  <c r="F173" i="5"/>
  <c r="E173" i="5"/>
  <c r="D173" i="5"/>
  <c r="C173" i="5"/>
  <c r="B173" i="5"/>
  <c r="A173" i="5"/>
  <c r="CS172" i="5"/>
  <c r="CM172" i="5"/>
  <c r="CL172" i="5"/>
  <c r="CK172" i="5"/>
  <c r="CJ172" i="5"/>
  <c r="CI172" i="5"/>
  <c r="CG172" i="5"/>
  <c r="CF172" i="5"/>
  <c r="CE172" i="5"/>
  <c r="CD172" i="5"/>
  <c r="CC172" i="5"/>
  <c r="CB172" i="5"/>
  <c r="CA172" i="5"/>
  <c r="BZ172" i="5"/>
  <c r="BY172" i="5"/>
  <c r="BX172" i="5"/>
  <c r="BW172" i="5"/>
  <c r="BV172" i="5"/>
  <c r="BU172" i="5"/>
  <c r="BS172" i="5"/>
  <c r="BR172" i="5"/>
  <c r="BQ172" i="5"/>
  <c r="BP172" i="5"/>
  <c r="BO172" i="5"/>
  <c r="BN172" i="5"/>
  <c r="BM172" i="5"/>
  <c r="BL172" i="5"/>
  <c r="BF172" i="5"/>
  <c r="BC172" i="5"/>
  <c r="AZ172" i="5"/>
  <c r="AY172" i="5"/>
  <c r="AX172" i="5"/>
  <c r="AW172" i="5"/>
  <c r="AV172" i="5"/>
  <c r="AU172" i="5"/>
  <c r="AT172" i="5"/>
  <c r="AR172" i="5"/>
  <c r="AQ172" i="5"/>
  <c r="AP172" i="5"/>
  <c r="AO172" i="5"/>
  <c r="AN172" i="5"/>
  <c r="AM172" i="5"/>
  <c r="AL172" i="5"/>
  <c r="AH172" i="5"/>
  <c r="AF172" i="5"/>
  <c r="AD172" i="5"/>
  <c r="AB172" i="5"/>
  <c r="Y172" i="5"/>
  <c r="X172" i="5"/>
  <c r="W172" i="5"/>
  <c r="V172" i="5"/>
  <c r="U172" i="5"/>
  <c r="T172" i="5"/>
  <c r="S172" i="5"/>
  <c r="R172" i="5"/>
  <c r="Q172" i="5"/>
  <c r="P172" i="5"/>
  <c r="O172" i="5"/>
  <c r="N172" i="5"/>
  <c r="M172" i="5"/>
  <c r="L172" i="5"/>
  <c r="K172" i="5"/>
  <c r="J172" i="5"/>
  <c r="I172" i="5"/>
  <c r="H172" i="5"/>
  <c r="G172" i="5"/>
  <c r="F172" i="5"/>
  <c r="E172" i="5"/>
  <c r="D172" i="5"/>
  <c r="C172" i="5"/>
  <c r="B172" i="5"/>
  <c r="A172" i="5"/>
  <c r="CS171" i="5"/>
  <c r="CM171" i="5"/>
  <c r="CL171" i="5"/>
  <c r="CK171" i="5"/>
  <c r="CJ171" i="5"/>
  <c r="CI171" i="5"/>
  <c r="CG171" i="5"/>
  <c r="CF171" i="5"/>
  <c r="CE171" i="5"/>
  <c r="CD171" i="5"/>
  <c r="CC171" i="5"/>
  <c r="CB171" i="5"/>
  <c r="CA171" i="5"/>
  <c r="BZ171" i="5"/>
  <c r="BY171" i="5"/>
  <c r="BX171" i="5"/>
  <c r="BW171" i="5"/>
  <c r="BV171" i="5"/>
  <c r="BU171" i="5"/>
  <c r="BS171" i="5"/>
  <c r="BR171" i="5"/>
  <c r="BQ171" i="5"/>
  <c r="BP171" i="5"/>
  <c r="BO171" i="5"/>
  <c r="BN171" i="5"/>
  <c r="BM171" i="5"/>
  <c r="BL171" i="5"/>
  <c r="BF171" i="5"/>
  <c r="BC171" i="5"/>
  <c r="AZ171" i="5"/>
  <c r="AY171" i="5"/>
  <c r="AX171" i="5"/>
  <c r="AW171" i="5"/>
  <c r="AV171" i="5"/>
  <c r="AU171" i="5"/>
  <c r="AT171" i="5"/>
  <c r="AR171" i="5"/>
  <c r="AQ171" i="5"/>
  <c r="AP171" i="5"/>
  <c r="AO171" i="5"/>
  <c r="AN171" i="5"/>
  <c r="AM171" i="5"/>
  <c r="AL171" i="5"/>
  <c r="AH171" i="5"/>
  <c r="AF171" i="5"/>
  <c r="AD171" i="5"/>
  <c r="AB171" i="5"/>
  <c r="Y171" i="5"/>
  <c r="X171" i="5"/>
  <c r="W171" i="5"/>
  <c r="V171" i="5"/>
  <c r="U171" i="5"/>
  <c r="T171" i="5"/>
  <c r="S171" i="5"/>
  <c r="R171" i="5"/>
  <c r="Q171" i="5"/>
  <c r="P171" i="5"/>
  <c r="O171" i="5"/>
  <c r="N171" i="5"/>
  <c r="M171" i="5"/>
  <c r="L171" i="5"/>
  <c r="K171" i="5"/>
  <c r="J171" i="5"/>
  <c r="I171" i="5"/>
  <c r="H171" i="5"/>
  <c r="G171" i="5"/>
  <c r="F171" i="5"/>
  <c r="E171" i="5"/>
  <c r="D171" i="5"/>
  <c r="C171" i="5"/>
  <c r="B171" i="5"/>
  <c r="A171" i="5"/>
  <c r="CS170" i="5"/>
  <c r="CM170" i="5"/>
  <c r="CL170" i="5"/>
  <c r="CK170" i="5"/>
  <c r="CJ170" i="5"/>
  <c r="CI170" i="5"/>
  <c r="CG170" i="5"/>
  <c r="CF170" i="5"/>
  <c r="CE170" i="5"/>
  <c r="CD170" i="5"/>
  <c r="CC170" i="5"/>
  <c r="CB170" i="5"/>
  <c r="CA170" i="5"/>
  <c r="BZ170" i="5"/>
  <c r="BY170" i="5"/>
  <c r="BW170" i="5"/>
  <c r="BV170" i="5"/>
  <c r="BU170" i="5"/>
  <c r="BS170" i="5"/>
  <c r="BR170" i="5"/>
  <c r="BQ170" i="5"/>
  <c r="BP170" i="5"/>
  <c r="BO170" i="5"/>
  <c r="BN170" i="5"/>
  <c r="BM170" i="5"/>
  <c r="BL170" i="5"/>
  <c r="BF170" i="5"/>
  <c r="BC170" i="5"/>
  <c r="AZ170" i="5"/>
  <c r="AY170" i="5"/>
  <c r="AX170" i="5"/>
  <c r="AW170" i="5"/>
  <c r="AV170" i="5"/>
  <c r="AU170" i="5"/>
  <c r="AT170" i="5"/>
  <c r="AR170" i="5"/>
  <c r="AQ170" i="5"/>
  <c r="AP170" i="5"/>
  <c r="AO170" i="5"/>
  <c r="AN170" i="5"/>
  <c r="AM170" i="5"/>
  <c r="AL170" i="5"/>
  <c r="AH170" i="5"/>
  <c r="AF170" i="5"/>
  <c r="AD170" i="5"/>
  <c r="AB170" i="5"/>
  <c r="Y170" i="5"/>
  <c r="X170" i="5"/>
  <c r="W170" i="5"/>
  <c r="V170" i="5"/>
  <c r="U170" i="5"/>
  <c r="T170" i="5"/>
  <c r="S170" i="5"/>
  <c r="R170" i="5"/>
  <c r="Q170" i="5"/>
  <c r="P170" i="5"/>
  <c r="O170" i="5"/>
  <c r="N170" i="5"/>
  <c r="M170" i="5"/>
  <c r="L170" i="5"/>
  <c r="K170" i="5"/>
  <c r="J170" i="5"/>
  <c r="I170" i="5"/>
  <c r="H170" i="5"/>
  <c r="G170" i="5"/>
  <c r="F170" i="5"/>
  <c r="E170" i="5"/>
  <c r="D170" i="5"/>
  <c r="C170" i="5"/>
  <c r="B170" i="5"/>
  <c r="A170" i="5"/>
  <c r="CS169" i="5"/>
  <c r="CM169" i="5"/>
  <c r="CL169" i="5"/>
  <c r="CK169" i="5"/>
  <c r="CJ169" i="5"/>
  <c r="CI169" i="5"/>
  <c r="CG169" i="5"/>
  <c r="CF169" i="5"/>
  <c r="CE169" i="5"/>
  <c r="CD169" i="5"/>
  <c r="CC169" i="5"/>
  <c r="CB169" i="5"/>
  <c r="CA169" i="5"/>
  <c r="BZ169" i="5"/>
  <c r="BY169" i="5"/>
  <c r="BW169" i="5"/>
  <c r="BV169" i="5"/>
  <c r="BU169" i="5"/>
  <c r="BS169" i="5"/>
  <c r="BR169" i="5"/>
  <c r="BQ169" i="5"/>
  <c r="BP169" i="5"/>
  <c r="BO169" i="5"/>
  <c r="BM169" i="5"/>
  <c r="BF169" i="5"/>
  <c r="BC169" i="5"/>
  <c r="AZ169" i="5"/>
  <c r="AY169" i="5"/>
  <c r="AX169" i="5"/>
  <c r="AW169" i="5"/>
  <c r="AV169" i="5"/>
  <c r="AU169" i="5"/>
  <c r="AT169" i="5"/>
  <c r="AR169" i="5"/>
  <c r="AQ169" i="5"/>
  <c r="AP169" i="5"/>
  <c r="AO169" i="5"/>
  <c r="AN169" i="5"/>
  <c r="AM169" i="5"/>
  <c r="AL169" i="5"/>
  <c r="AH169" i="5"/>
  <c r="AF169" i="5"/>
  <c r="AD169" i="5"/>
  <c r="AB169" i="5"/>
  <c r="Y169" i="5"/>
  <c r="X169" i="5"/>
  <c r="W169" i="5"/>
  <c r="V169" i="5"/>
  <c r="U169" i="5"/>
  <c r="T169" i="5"/>
  <c r="S169" i="5"/>
  <c r="R169" i="5"/>
  <c r="Q169" i="5"/>
  <c r="P169" i="5"/>
  <c r="O169" i="5"/>
  <c r="N169" i="5"/>
  <c r="M169" i="5"/>
  <c r="L169" i="5"/>
  <c r="K169" i="5"/>
  <c r="J169" i="5"/>
  <c r="I169" i="5"/>
  <c r="H169" i="5"/>
  <c r="G169" i="5"/>
  <c r="F169" i="5"/>
  <c r="E169" i="5"/>
  <c r="D169" i="5"/>
  <c r="C169" i="5"/>
  <c r="B169" i="5"/>
  <c r="A169" i="5"/>
  <c r="CS168" i="5"/>
  <c r="CM168" i="5"/>
  <c r="CL168" i="5"/>
  <c r="CK168" i="5"/>
  <c r="CJ168" i="5"/>
  <c r="CI168" i="5"/>
  <c r="CG168" i="5"/>
  <c r="CF168" i="5"/>
  <c r="CE168" i="5"/>
  <c r="CD168" i="5"/>
  <c r="CC168" i="5"/>
  <c r="CB168" i="5"/>
  <c r="CA168" i="5"/>
  <c r="BZ168" i="5"/>
  <c r="BY168" i="5"/>
  <c r="BW168" i="5"/>
  <c r="BV168" i="5"/>
  <c r="BU168" i="5"/>
  <c r="BS168" i="5"/>
  <c r="BR168" i="5"/>
  <c r="BQ168" i="5"/>
  <c r="BP168" i="5"/>
  <c r="BO168" i="5"/>
  <c r="BM168" i="5"/>
  <c r="BF168" i="5"/>
  <c r="BC168" i="5"/>
  <c r="AZ168" i="5"/>
  <c r="AY168" i="5"/>
  <c r="AX168" i="5"/>
  <c r="AW168" i="5"/>
  <c r="AV168" i="5"/>
  <c r="AU168" i="5"/>
  <c r="AT168" i="5"/>
  <c r="AR168" i="5"/>
  <c r="AQ168" i="5"/>
  <c r="AP168" i="5"/>
  <c r="AO168" i="5"/>
  <c r="AN168" i="5"/>
  <c r="AM168" i="5"/>
  <c r="AL168" i="5"/>
  <c r="AH168" i="5"/>
  <c r="AF168" i="5"/>
  <c r="AD168" i="5"/>
  <c r="AB168" i="5"/>
  <c r="Y168" i="5"/>
  <c r="X168" i="5"/>
  <c r="W168" i="5"/>
  <c r="V168" i="5"/>
  <c r="U168" i="5"/>
  <c r="T168" i="5"/>
  <c r="S168" i="5"/>
  <c r="R168" i="5"/>
  <c r="Q168" i="5"/>
  <c r="P168" i="5"/>
  <c r="O168" i="5"/>
  <c r="N168" i="5"/>
  <c r="M168" i="5"/>
  <c r="L168" i="5"/>
  <c r="K168" i="5"/>
  <c r="J168" i="5"/>
  <c r="I168" i="5"/>
  <c r="H168" i="5"/>
  <c r="G168" i="5"/>
  <c r="F168" i="5"/>
  <c r="E168" i="5"/>
  <c r="D168" i="5"/>
  <c r="C168" i="5"/>
  <c r="B168" i="5"/>
  <c r="A168" i="5"/>
  <c r="CS167" i="5"/>
  <c r="CM167" i="5"/>
  <c r="CK167" i="5"/>
  <c r="CJ167" i="5"/>
  <c r="CI167" i="5"/>
  <c r="CG167" i="5"/>
  <c r="CF167" i="5"/>
  <c r="CE167" i="5"/>
  <c r="CD167" i="5"/>
  <c r="CC167" i="5"/>
  <c r="CB167" i="5"/>
  <c r="CA167" i="5"/>
  <c r="BZ167" i="5"/>
  <c r="BY167" i="5"/>
  <c r="BX167" i="5"/>
  <c r="BW167" i="5"/>
  <c r="BV167" i="5"/>
  <c r="BU167" i="5"/>
  <c r="BS167" i="5"/>
  <c r="BR167" i="5"/>
  <c r="BQ167" i="5"/>
  <c r="BP167" i="5"/>
  <c r="BO167" i="5"/>
  <c r="BM167" i="5"/>
  <c r="BF167" i="5"/>
  <c r="BC167" i="5"/>
  <c r="AZ167" i="5"/>
  <c r="AY167" i="5"/>
  <c r="AX167" i="5"/>
  <c r="AW167" i="5"/>
  <c r="AV167" i="5"/>
  <c r="AU167" i="5"/>
  <c r="AT167" i="5"/>
  <c r="AR167" i="5"/>
  <c r="AQ167" i="5"/>
  <c r="AP167" i="5"/>
  <c r="AO167" i="5"/>
  <c r="AN167" i="5"/>
  <c r="AM167" i="5"/>
  <c r="AL167" i="5"/>
  <c r="AH167" i="5"/>
  <c r="AF167" i="5"/>
  <c r="AD167" i="5"/>
  <c r="AB167" i="5"/>
  <c r="Y167" i="5"/>
  <c r="X167" i="5"/>
  <c r="W167" i="5"/>
  <c r="V167" i="5"/>
  <c r="U167" i="5"/>
  <c r="T167" i="5"/>
  <c r="S167" i="5"/>
  <c r="R167" i="5"/>
  <c r="Q167" i="5"/>
  <c r="P167" i="5"/>
  <c r="O167" i="5"/>
  <c r="N167" i="5"/>
  <c r="M167" i="5"/>
  <c r="L167" i="5"/>
  <c r="K167" i="5"/>
  <c r="J167" i="5"/>
  <c r="I167" i="5"/>
  <c r="H167" i="5"/>
  <c r="G167" i="5"/>
  <c r="F167" i="5"/>
  <c r="E167" i="5"/>
  <c r="D167" i="5"/>
  <c r="C167" i="5"/>
  <c r="B167" i="5"/>
  <c r="A167" i="5"/>
  <c r="CS166" i="5"/>
  <c r="CM166" i="5"/>
  <c r="CK166" i="5"/>
  <c r="CJ166" i="5"/>
  <c r="CI166" i="5"/>
  <c r="CG166" i="5"/>
  <c r="CF166" i="5"/>
  <c r="CE166" i="5"/>
  <c r="CD166" i="5"/>
  <c r="CC166" i="5"/>
  <c r="CB166" i="5"/>
  <c r="CA166" i="5"/>
  <c r="BZ166" i="5"/>
  <c r="BY166" i="5"/>
  <c r="BW166" i="5"/>
  <c r="BV166" i="5"/>
  <c r="BU166" i="5"/>
  <c r="BS166" i="5"/>
  <c r="BR166" i="5"/>
  <c r="BQ166" i="5"/>
  <c r="BP166" i="5"/>
  <c r="BO166" i="5"/>
  <c r="BM166" i="5"/>
  <c r="BF166" i="5"/>
  <c r="BC166" i="5"/>
  <c r="AZ166" i="5"/>
  <c r="AY166" i="5"/>
  <c r="AX166" i="5"/>
  <c r="AW166" i="5"/>
  <c r="AV166" i="5"/>
  <c r="AU166" i="5"/>
  <c r="AT166" i="5"/>
  <c r="AS166" i="5"/>
  <c r="AR166" i="5"/>
  <c r="AQ166" i="5"/>
  <c r="AP166" i="5"/>
  <c r="AO166" i="5"/>
  <c r="AN166" i="5"/>
  <c r="AM166" i="5"/>
  <c r="AL166" i="5"/>
  <c r="AH166" i="5"/>
  <c r="AF166" i="5"/>
  <c r="AD166" i="5"/>
  <c r="AB166" i="5"/>
  <c r="Y166" i="5"/>
  <c r="X166" i="5"/>
  <c r="W166" i="5"/>
  <c r="V166" i="5"/>
  <c r="U166" i="5"/>
  <c r="T166" i="5"/>
  <c r="S166" i="5"/>
  <c r="R166" i="5"/>
  <c r="Q166" i="5"/>
  <c r="P166" i="5"/>
  <c r="O166" i="5"/>
  <c r="N166" i="5"/>
  <c r="M166" i="5"/>
  <c r="L166" i="5"/>
  <c r="K166" i="5"/>
  <c r="J166" i="5"/>
  <c r="I166" i="5"/>
  <c r="H166" i="5"/>
  <c r="G166" i="5"/>
  <c r="F166" i="5"/>
  <c r="E166" i="5"/>
  <c r="D166" i="5"/>
  <c r="C166" i="5"/>
  <c r="B166" i="5"/>
  <c r="A166" i="5"/>
  <c r="CS165" i="5"/>
  <c r="CM165" i="5"/>
  <c r="CK165" i="5"/>
  <c r="CJ165" i="5"/>
  <c r="CI165" i="5"/>
  <c r="CG165" i="5"/>
  <c r="CF165" i="5"/>
  <c r="CE165" i="5"/>
  <c r="CD165" i="5"/>
  <c r="CC165" i="5"/>
  <c r="CB165" i="5"/>
  <c r="CA165" i="5"/>
  <c r="BZ165" i="5"/>
  <c r="BY165" i="5"/>
  <c r="BW165" i="5"/>
  <c r="BV165" i="5"/>
  <c r="BU165" i="5"/>
  <c r="BS165" i="5"/>
  <c r="BR165" i="5"/>
  <c r="BQ165" i="5"/>
  <c r="BP165" i="5"/>
  <c r="BO165" i="5"/>
  <c r="BN165" i="5"/>
  <c r="BM165" i="5"/>
  <c r="BL165" i="5"/>
  <c r="BF165" i="5"/>
  <c r="BC165" i="5"/>
  <c r="AZ165" i="5"/>
  <c r="AY165" i="5"/>
  <c r="AX165" i="5"/>
  <c r="AW165" i="5"/>
  <c r="AV165" i="5"/>
  <c r="AU165" i="5"/>
  <c r="AT165" i="5"/>
  <c r="AR165" i="5"/>
  <c r="AQ165" i="5"/>
  <c r="AP165" i="5"/>
  <c r="AO165" i="5"/>
  <c r="AN165" i="5"/>
  <c r="AM165" i="5"/>
  <c r="AL165" i="5"/>
  <c r="AH165" i="5"/>
  <c r="AF165" i="5"/>
  <c r="AD165" i="5"/>
  <c r="AB165" i="5"/>
  <c r="Y165" i="5"/>
  <c r="X165" i="5"/>
  <c r="W165" i="5"/>
  <c r="V165" i="5"/>
  <c r="U165" i="5"/>
  <c r="T165" i="5"/>
  <c r="S165" i="5"/>
  <c r="R165" i="5"/>
  <c r="Q165" i="5"/>
  <c r="P165" i="5"/>
  <c r="O165" i="5"/>
  <c r="N165" i="5"/>
  <c r="M165" i="5"/>
  <c r="L165" i="5"/>
  <c r="K165" i="5"/>
  <c r="J165" i="5"/>
  <c r="I165" i="5"/>
  <c r="H165" i="5"/>
  <c r="G165" i="5"/>
  <c r="F165" i="5"/>
  <c r="E165" i="5"/>
  <c r="D165" i="5"/>
  <c r="C165" i="5"/>
  <c r="B165" i="5"/>
  <c r="A165" i="5"/>
  <c r="CS164" i="5"/>
  <c r="CM164" i="5"/>
  <c r="CK164" i="5"/>
  <c r="CJ164" i="5"/>
  <c r="CI164" i="5"/>
  <c r="CG164" i="5"/>
  <c r="CF164" i="5"/>
  <c r="CE164" i="5"/>
  <c r="CD164" i="5"/>
  <c r="CC164" i="5"/>
  <c r="CB164" i="5"/>
  <c r="CA164" i="5"/>
  <c r="BZ164" i="5"/>
  <c r="BY164" i="5"/>
  <c r="BW164" i="5"/>
  <c r="BV164" i="5"/>
  <c r="BU164" i="5"/>
  <c r="BS164" i="5"/>
  <c r="BR164" i="5"/>
  <c r="BQ164" i="5"/>
  <c r="BP164" i="5"/>
  <c r="BO164" i="5"/>
  <c r="BN164" i="5"/>
  <c r="BM164" i="5"/>
  <c r="BL164" i="5"/>
  <c r="BF164" i="5"/>
  <c r="BC164" i="5"/>
  <c r="AZ164" i="5"/>
  <c r="AY164" i="5"/>
  <c r="AX164" i="5"/>
  <c r="AW164" i="5"/>
  <c r="AV164" i="5"/>
  <c r="AU164" i="5"/>
  <c r="AT164" i="5"/>
  <c r="AR164" i="5"/>
  <c r="AQ164" i="5"/>
  <c r="AP164" i="5"/>
  <c r="AO164" i="5"/>
  <c r="AN164" i="5"/>
  <c r="AM164" i="5"/>
  <c r="AL164" i="5"/>
  <c r="AH164" i="5"/>
  <c r="AF164" i="5"/>
  <c r="AD164" i="5"/>
  <c r="AB164" i="5"/>
  <c r="Y164" i="5"/>
  <c r="X164" i="5"/>
  <c r="W164" i="5"/>
  <c r="V164" i="5"/>
  <c r="U164" i="5"/>
  <c r="T164" i="5"/>
  <c r="S164" i="5"/>
  <c r="R164" i="5"/>
  <c r="Q164" i="5"/>
  <c r="P164" i="5"/>
  <c r="O164" i="5"/>
  <c r="N164" i="5"/>
  <c r="M164" i="5"/>
  <c r="L164" i="5"/>
  <c r="K164" i="5"/>
  <c r="J164" i="5"/>
  <c r="I164" i="5"/>
  <c r="H164" i="5"/>
  <c r="G164" i="5"/>
  <c r="F164" i="5"/>
  <c r="E164" i="5"/>
  <c r="D164" i="5"/>
  <c r="C164" i="5"/>
  <c r="B164" i="5"/>
  <c r="A164" i="5"/>
  <c r="CS163" i="5"/>
  <c r="CM163" i="5"/>
  <c r="CK163" i="5"/>
  <c r="CJ163" i="5"/>
  <c r="CI163" i="5"/>
  <c r="CG163" i="5"/>
  <c r="CF163" i="5"/>
  <c r="CE163" i="5"/>
  <c r="CD163" i="5"/>
  <c r="CC163" i="5"/>
  <c r="CB163" i="5"/>
  <c r="CA163" i="5"/>
  <c r="BZ163" i="5"/>
  <c r="BY163" i="5"/>
  <c r="BW163" i="5"/>
  <c r="BV163" i="5"/>
  <c r="BU163" i="5"/>
  <c r="BS163" i="5"/>
  <c r="BR163" i="5"/>
  <c r="BQ163" i="5"/>
  <c r="BP163" i="5"/>
  <c r="BO163" i="5"/>
  <c r="BN163" i="5"/>
  <c r="BM163" i="5"/>
  <c r="BL163" i="5"/>
  <c r="BF163" i="5"/>
  <c r="BC163" i="5"/>
  <c r="AZ163" i="5"/>
  <c r="AY163" i="5"/>
  <c r="AX163" i="5"/>
  <c r="AW163" i="5"/>
  <c r="AV163" i="5"/>
  <c r="AU163" i="5"/>
  <c r="AT163" i="5"/>
  <c r="AR163" i="5"/>
  <c r="AQ163" i="5"/>
  <c r="AP163" i="5"/>
  <c r="AO163" i="5"/>
  <c r="AN163" i="5"/>
  <c r="AM163" i="5"/>
  <c r="AL163" i="5"/>
  <c r="AH163" i="5"/>
  <c r="AF163" i="5"/>
  <c r="AD163" i="5"/>
  <c r="AB163" i="5"/>
  <c r="Y163" i="5"/>
  <c r="X163" i="5"/>
  <c r="W163" i="5"/>
  <c r="V163" i="5"/>
  <c r="U163" i="5"/>
  <c r="T163" i="5"/>
  <c r="S163" i="5"/>
  <c r="R163" i="5"/>
  <c r="Q163" i="5"/>
  <c r="P163" i="5"/>
  <c r="O163" i="5"/>
  <c r="N163" i="5"/>
  <c r="M163" i="5"/>
  <c r="L163" i="5"/>
  <c r="K163" i="5"/>
  <c r="J163" i="5"/>
  <c r="I163" i="5"/>
  <c r="H163" i="5"/>
  <c r="G163" i="5"/>
  <c r="F163" i="5"/>
  <c r="E163" i="5"/>
  <c r="D163" i="5"/>
  <c r="C163" i="5"/>
  <c r="B163" i="5"/>
  <c r="A163" i="5"/>
  <c r="CS162" i="5"/>
  <c r="CM162" i="5"/>
  <c r="CK162" i="5"/>
  <c r="CJ162" i="5"/>
  <c r="CI162" i="5"/>
  <c r="CG162" i="5"/>
  <c r="CF162" i="5"/>
  <c r="CE162" i="5"/>
  <c r="CD162" i="5"/>
  <c r="CC162" i="5"/>
  <c r="CB162" i="5"/>
  <c r="CA162" i="5"/>
  <c r="BZ162" i="5"/>
  <c r="BY162" i="5"/>
  <c r="BW162" i="5"/>
  <c r="BV162" i="5"/>
  <c r="BU162" i="5"/>
  <c r="BS162" i="5"/>
  <c r="BR162" i="5"/>
  <c r="BQ162" i="5"/>
  <c r="BP162" i="5"/>
  <c r="BO162" i="5"/>
  <c r="BN162" i="5"/>
  <c r="BM162" i="5"/>
  <c r="BL162" i="5"/>
  <c r="BF162" i="5"/>
  <c r="BC162" i="5"/>
  <c r="AZ162" i="5"/>
  <c r="AY162" i="5"/>
  <c r="AX162" i="5"/>
  <c r="AW162" i="5"/>
  <c r="AV162" i="5"/>
  <c r="AU162" i="5"/>
  <c r="AT162" i="5"/>
  <c r="AR162" i="5"/>
  <c r="AQ162" i="5"/>
  <c r="AP162" i="5"/>
  <c r="AO162" i="5"/>
  <c r="AN162" i="5"/>
  <c r="AM162" i="5"/>
  <c r="AL162" i="5"/>
  <c r="AH162" i="5"/>
  <c r="AF162" i="5"/>
  <c r="AD162" i="5"/>
  <c r="AB162" i="5"/>
  <c r="Y162" i="5"/>
  <c r="X162" i="5"/>
  <c r="W162" i="5"/>
  <c r="V162" i="5"/>
  <c r="U162" i="5"/>
  <c r="T162" i="5"/>
  <c r="S162" i="5"/>
  <c r="R162" i="5"/>
  <c r="Q162" i="5"/>
  <c r="P162" i="5"/>
  <c r="O162" i="5"/>
  <c r="N162" i="5"/>
  <c r="M162" i="5"/>
  <c r="L162" i="5"/>
  <c r="K162" i="5"/>
  <c r="J162" i="5"/>
  <c r="I162" i="5"/>
  <c r="H162" i="5"/>
  <c r="G162" i="5"/>
  <c r="F162" i="5"/>
  <c r="E162" i="5"/>
  <c r="D162" i="5"/>
  <c r="C162" i="5"/>
  <c r="B162" i="5"/>
  <c r="A162" i="5"/>
  <c r="CS161" i="5"/>
  <c r="CM161" i="5"/>
  <c r="CK161" i="5"/>
  <c r="CJ161" i="5"/>
  <c r="CI161" i="5"/>
  <c r="CG161" i="5"/>
  <c r="CF161" i="5"/>
  <c r="CE161" i="5"/>
  <c r="CD161" i="5"/>
  <c r="CC161" i="5"/>
  <c r="CB161" i="5"/>
  <c r="CA161" i="5"/>
  <c r="BZ161" i="5"/>
  <c r="BY161" i="5"/>
  <c r="BX161" i="5"/>
  <c r="BW161" i="5"/>
  <c r="BV161" i="5"/>
  <c r="BU161" i="5"/>
  <c r="BS161" i="5"/>
  <c r="BR161" i="5"/>
  <c r="BQ161" i="5"/>
  <c r="BP161" i="5"/>
  <c r="BO161" i="5"/>
  <c r="BN161" i="5"/>
  <c r="BM161" i="5"/>
  <c r="BL161" i="5"/>
  <c r="BF161" i="5"/>
  <c r="BC161" i="5"/>
  <c r="AZ161" i="5"/>
  <c r="AY161" i="5"/>
  <c r="AX161" i="5"/>
  <c r="AW161" i="5"/>
  <c r="AV161" i="5"/>
  <c r="AU161" i="5"/>
  <c r="AT161" i="5"/>
  <c r="AR161" i="5"/>
  <c r="AQ161" i="5"/>
  <c r="AP161" i="5"/>
  <c r="AO161" i="5"/>
  <c r="AN161" i="5"/>
  <c r="AM161" i="5"/>
  <c r="AL161" i="5"/>
  <c r="AH161" i="5"/>
  <c r="AF161" i="5"/>
  <c r="AD161" i="5"/>
  <c r="AB161" i="5"/>
  <c r="Y161" i="5"/>
  <c r="X161" i="5"/>
  <c r="W161" i="5"/>
  <c r="V161" i="5"/>
  <c r="U161" i="5"/>
  <c r="T161" i="5"/>
  <c r="S161" i="5"/>
  <c r="R161" i="5"/>
  <c r="Q161" i="5"/>
  <c r="P161" i="5"/>
  <c r="O161" i="5"/>
  <c r="N161" i="5"/>
  <c r="M161" i="5"/>
  <c r="L161" i="5"/>
  <c r="K161" i="5"/>
  <c r="J161" i="5"/>
  <c r="I161" i="5"/>
  <c r="H161" i="5"/>
  <c r="G161" i="5"/>
  <c r="F161" i="5"/>
  <c r="E161" i="5"/>
  <c r="D161" i="5"/>
  <c r="C161" i="5"/>
  <c r="B161" i="5"/>
  <c r="A161" i="5"/>
  <c r="CS160" i="5"/>
  <c r="CM160" i="5"/>
  <c r="CJ160" i="5"/>
  <c r="CI160" i="5"/>
  <c r="CG160" i="5"/>
  <c r="CF160" i="5"/>
  <c r="CE160" i="5"/>
  <c r="CD160" i="5"/>
  <c r="CC160" i="5"/>
  <c r="CB160" i="5"/>
  <c r="CA160" i="5"/>
  <c r="BZ160" i="5"/>
  <c r="BY160" i="5"/>
  <c r="BX160" i="5"/>
  <c r="BW160" i="5"/>
  <c r="BV160" i="5"/>
  <c r="BU160" i="5"/>
  <c r="BS160" i="5"/>
  <c r="BR160" i="5"/>
  <c r="BQ160" i="5"/>
  <c r="BP160" i="5"/>
  <c r="BO160" i="5"/>
  <c r="BN160" i="5"/>
  <c r="BM160" i="5"/>
  <c r="BL160" i="5"/>
  <c r="BF160" i="5"/>
  <c r="BC160" i="5"/>
  <c r="AZ160" i="5"/>
  <c r="AY160" i="5"/>
  <c r="AX160" i="5"/>
  <c r="AW160" i="5"/>
  <c r="AV160" i="5"/>
  <c r="AU160" i="5"/>
  <c r="AT160" i="5"/>
  <c r="AR160" i="5"/>
  <c r="AQ160" i="5"/>
  <c r="AP160" i="5"/>
  <c r="AO160" i="5"/>
  <c r="AN160" i="5"/>
  <c r="AM160" i="5"/>
  <c r="AL160" i="5"/>
  <c r="AH160" i="5"/>
  <c r="AF160" i="5"/>
  <c r="AD160" i="5"/>
  <c r="AB160" i="5"/>
  <c r="Y160" i="5"/>
  <c r="X160" i="5"/>
  <c r="W160" i="5"/>
  <c r="V160" i="5"/>
  <c r="U160" i="5"/>
  <c r="T160" i="5"/>
  <c r="S160" i="5"/>
  <c r="R160" i="5"/>
  <c r="Q160" i="5"/>
  <c r="P160" i="5"/>
  <c r="O160" i="5"/>
  <c r="N160" i="5"/>
  <c r="M160" i="5"/>
  <c r="L160" i="5"/>
  <c r="K160" i="5"/>
  <c r="J160" i="5"/>
  <c r="I160" i="5"/>
  <c r="H160" i="5"/>
  <c r="G160" i="5"/>
  <c r="F160" i="5"/>
  <c r="E160" i="5"/>
  <c r="D160" i="5"/>
  <c r="C160" i="5"/>
  <c r="B160" i="5"/>
  <c r="A160" i="5"/>
  <c r="CS159" i="5"/>
  <c r="CM159" i="5"/>
  <c r="CK159" i="5"/>
  <c r="CJ159" i="5"/>
  <c r="CI159" i="5"/>
  <c r="CG159" i="5"/>
  <c r="CF159" i="5"/>
  <c r="CE159" i="5"/>
  <c r="CD159" i="5"/>
  <c r="CC159" i="5"/>
  <c r="CB159" i="5"/>
  <c r="CA159" i="5"/>
  <c r="BZ159" i="5"/>
  <c r="BY159" i="5"/>
  <c r="BW159" i="5"/>
  <c r="BV159" i="5"/>
  <c r="BU159" i="5"/>
  <c r="BS159" i="5"/>
  <c r="BR159" i="5"/>
  <c r="BQ159" i="5"/>
  <c r="BP159" i="5"/>
  <c r="BO159" i="5"/>
  <c r="BN159" i="5"/>
  <c r="BM159" i="5"/>
  <c r="BL159" i="5"/>
  <c r="BF159" i="5"/>
  <c r="BC159" i="5"/>
  <c r="AZ159" i="5"/>
  <c r="AY159" i="5"/>
  <c r="AX159" i="5"/>
  <c r="AW159" i="5"/>
  <c r="AV159" i="5"/>
  <c r="AU159" i="5"/>
  <c r="AT159" i="5"/>
  <c r="AR159" i="5"/>
  <c r="AQ159" i="5"/>
  <c r="AP159" i="5"/>
  <c r="AO159" i="5"/>
  <c r="AN159" i="5"/>
  <c r="AM159" i="5"/>
  <c r="AL159" i="5"/>
  <c r="AH159" i="5"/>
  <c r="AF159" i="5"/>
  <c r="AD159" i="5"/>
  <c r="AB159" i="5"/>
  <c r="Y159" i="5"/>
  <c r="X159" i="5"/>
  <c r="W159" i="5"/>
  <c r="V159" i="5"/>
  <c r="U159" i="5"/>
  <c r="T159" i="5"/>
  <c r="S159" i="5"/>
  <c r="R159" i="5"/>
  <c r="Q159" i="5"/>
  <c r="P159" i="5"/>
  <c r="O159" i="5"/>
  <c r="N159" i="5"/>
  <c r="M159" i="5"/>
  <c r="L159" i="5"/>
  <c r="K159" i="5"/>
  <c r="J159" i="5"/>
  <c r="I159" i="5"/>
  <c r="H159" i="5"/>
  <c r="G159" i="5"/>
  <c r="F159" i="5"/>
  <c r="E159" i="5"/>
  <c r="D159" i="5"/>
  <c r="C159" i="5"/>
  <c r="B159" i="5"/>
  <c r="A159" i="5"/>
  <c r="CS158" i="5"/>
  <c r="CM158" i="5"/>
  <c r="CK158" i="5"/>
  <c r="CJ158" i="5"/>
  <c r="CI158" i="5"/>
  <c r="CG158" i="5"/>
  <c r="CF158" i="5"/>
  <c r="CE158" i="5"/>
  <c r="CD158" i="5"/>
  <c r="CC158" i="5"/>
  <c r="CB158" i="5"/>
  <c r="CA158" i="5"/>
  <c r="BZ158" i="5"/>
  <c r="BY158" i="5"/>
  <c r="BW158" i="5"/>
  <c r="BV158" i="5"/>
  <c r="BU158" i="5"/>
  <c r="BS158" i="5"/>
  <c r="BR158" i="5"/>
  <c r="BQ158" i="5"/>
  <c r="BP158" i="5"/>
  <c r="BO158" i="5"/>
  <c r="BN158" i="5"/>
  <c r="BM158" i="5"/>
  <c r="BL158" i="5"/>
  <c r="BF158" i="5"/>
  <c r="BC158" i="5"/>
  <c r="AZ158" i="5"/>
  <c r="AY158" i="5"/>
  <c r="AX158" i="5"/>
  <c r="AW158" i="5"/>
  <c r="AV158" i="5"/>
  <c r="AU158" i="5"/>
  <c r="AT158" i="5"/>
  <c r="AR158" i="5"/>
  <c r="AQ158" i="5"/>
  <c r="AP158" i="5"/>
  <c r="AO158" i="5"/>
  <c r="AN158" i="5"/>
  <c r="AM158" i="5"/>
  <c r="AL158" i="5"/>
  <c r="AH158" i="5"/>
  <c r="AF158" i="5"/>
  <c r="AD158" i="5"/>
  <c r="AB158" i="5"/>
  <c r="Y158" i="5"/>
  <c r="X158" i="5"/>
  <c r="W158" i="5"/>
  <c r="V158" i="5"/>
  <c r="U158" i="5"/>
  <c r="T158" i="5"/>
  <c r="S158" i="5"/>
  <c r="R158" i="5"/>
  <c r="Q158" i="5"/>
  <c r="P158" i="5"/>
  <c r="O158" i="5"/>
  <c r="N158" i="5"/>
  <c r="M158" i="5"/>
  <c r="L158" i="5"/>
  <c r="K158" i="5"/>
  <c r="J158" i="5"/>
  <c r="I158" i="5"/>
  <c r="H158" i="5"/>
  <c r="G158" i="5"/>
  <c r="F158" i="5"/>
  <c r="E158" i="5"/>
  <c r="D158" i="5"/>
  <c r="C158" i="5"/>
  <c r="B158" i="5"/>
  <c r="A158" i="5"/>
  <c r="CS157" i="5"/>
  <c r="CM157" i="5"/>
  <c r="CK157" i="5"/>
  <c r="CJ157" i="5"/>
  <c r="CI157" i="5"/>
  <c r="CG157" i="5"/>
  <c r="CF157" i="5"/>
  <c r="CE157" i="5"/>
  <c r="CD157" i="5"/>
  <c r="CC157" i="5"/>
  <c r="CB157" i="5"/>
  <c r="CA157" i="5"/>
  <c r="BZ157" i="5"/>
  <c r="BY157" i="5"/>
  <c r="BX157" i="5"/>
  <c r="BW157" i="5"/>
  <c r="BV157" i="5"/>
  <c r="BU157" i="5"/>
  <c r="BS157" i="5"/>
  <c r="BR157" i="5"/>
  <c r="BQ157" i="5"/>
  <c r="BP157" i="5"/>
  <c r="BO157" i="5"/>
  <c r="BN157" i="5"/>
  <c r="BM157" i="5"/>
  <c r="BL157" i="5"/>
  <c r="BF157" i="5"/>
  <c r="BC157" i="5"/>
  <c r="AZ157" i="5"/>
  <c r="AY157" i="5"/>
  <c r="AX157" i="5"/>
  <c r="AW157" i="5"/>
  <c r="AV157" i="5"/>
  <c r="AU157" i="5"/>
  <c r="AT157" i="5"/>
  <c r="AR157" i="5"/>
  <c r="AQ157" i="5"/>
  <c r="AP157" i="5"/>
  <c r="AO157" i="5"/>
  <c r="AN157" i="5"/>
  <c r="AM157" i="5"/>
  <c r="AL157" i="5"/>
  <c r="AH157" i="5"/>
  <c r="AF157" i="5"/>
  <c r="AD157" i="5"/>
  <c r="AB157" i="5"/>
  <c r="Y157" i="5"/>
  <c r="X157" i="5"/>
  <c r="W157" i="5"/>
  <c r="V157" i="5"/>
  <c r="U157" i="5"/>
  <c r="T157" i="5"/>
  <c r="S157" i="5"/>
  <c r="R157" i="5"/>
  <c r="Q157" i="5"/>
  <c r="P157" i="5"/>
  <c r="O157" i="5"/>
  <c r="N157" i="5"/>
  <c r="M157" i="5"/>
  <c r="L157" i="5"/>
  <c r="K157" i="5"/>
  <c r="J157" i="5"/>
  <c r="I157" i="5"/>
  <c r="H157" i="5"/>
  <c r="G157" i="5"/>
  <c r="F157" i="5"/>
  <c r="E157" i="5"/>
  <c r="D157" i="5"/>
  <c r="C157" i="5"/>
  <c r="B157" i="5"/>
  <c r="A157" i="5"/>
  <c r="CS156" i="5"/>
  <c r="CM156" i="5"/>
  <c r="CK156" i="5"/>
  <c r="CJ156" i="5"/>
  <c r="CI156" i="5"/>
  <c r="CG156" i="5"/>
  <c r="CF156" i="5"/>
  <c r="CE156" i="5"/>
  <c r="CD156" i="5"/>
  <c r="CC156" i="5"/>
  <c r="CB156" i="5"/>
  <c r="CA156" i="5"/>
  <c r="BZ156" i="5"/>
  <c r="BY156" i="5"/>
  <c r="BX156" i="5"/>
  <c r="BW156" i="5"/>
  <c r="BV156" i="5"/>
  <c r="BU156" i="5"/>
  <c r="BS156" i="5"/>
  <c r="BR156" i="5"/>
  <c r="BQ156" i="5"/>
  <c r="BP156" i="5"/>
  <c r="BO156" i="5"/>
  <c r="BN156" i="5"/>
  <c r="BM156" i="5"/>
  <c r="BL156" i="5"/>
  <c r="BF156" i="5"/>
  <c r="BC156" i="5"/>
  <c r="AZ156" i="5"/>
  <c r="AY156" i="5"/>
  <c r="AX156" i="5"/>
  <c r="AW156" i="5"/>
  <c r="AV156" i="5"/>
  <c r="AU156" i="5"/>
  <c r="AT156" i="5"/>
  <c r="AR156" i="5"/>
  <c r="AQ156" i="5"/>
  <c r="AP156" i="5"/>
  <c r="AO156" i="5"/>
  <c r="AN156" i="5"/>
  <c r="AM156" i="5"/>
  <c r="AL156" i="5"/>
  <c r="AH156" i="5"/>
  <c r="AF156" i="5"/>
  <c r="AD156" i="5"/>
  <c r="AB156" i="5"/>
  <c r="Y156" i="5"/>
  <c r="X156" i="5"/>
  <c r="W156" i="5"/>
  <c r="V156" i="5"/>
  <c r="U156" i="5"/>
  <c r="T156" i="5"/>
  <c r="S156" i="5"/>
  <c r="R156" i="5"/>
  <c r="Q156" i="5"/>
  <c r="P156" i="5"/>
  <c r="O156" i="5"/>
  <c r="N156" i="5"/>
  <c r="M156" i="5"/>
  <c r="L156" i="5"/>
  <c r="K156" i="5"/>
  <c r="J156" i="5"/>
  <c r="I156" i="5"/>
  <c r="H156" i="5"/>
  <c r="G156" i="5"/>
  <c r="F156" i="5"/>
  <c r="E156" i="5"/>
  <c r="D156" i="5"/>
  <c r="C156" i="5"/>
  <c r="B156" i="5"/>
  <c r="A156" i="5"/>
  <c r="CS155" i="5"/>
  <c r="CM155" i="5"/>
  <c r="CK155" i="5"/>
  <c r="CJ155" i="5"/>
  <c r="CI155" i="5"/>
  <c r="CG155" i="5"/>
  <c r="CF155" i="5"/>
  <c r="CE155" i="5"/>
  <c r="CD155" i="5"/>
  <c r="CC155" i="5"/>
  <c r="CB155" i="5"/>
  <c r="CA155" i="5"/>
  <c r="BZ155" i="5"/>
  <c r="BY155" i="5"/>
  <c r="BX155" i="5"/>
  <c r="BW155" i="5"/>
  <c r="BV155" i="5"/>
  <c r="BU155" i="5"/>
  <c r="BS155" i="5"/>
  <c r="BR155" i="5"/>
  <c r="BQ155" i="5"/>
  <c r="BP155" i="5"/>
  <c r="BO155" i="5"/>
  <c r="BN155" i="5"/>
  <c r="BM155" i="5"/>
  <c r="BL155" i="5"/>
  <c r="BF155" i="5"/>
  <c r="BC155" i="5"/>
  <c r="AZ155" i="5"/>
  <c r="AY155" i="5"/>
  <c r="AX155" i="5"/>
  <c r="AW155" i="5"/>
  <c r="AV155" i="5"/>
  <c r="AU155" i="5"/>
  <c r="AT155" i="5"/>
  <c r="AR155" i="5"/>
  <c r="AQ155" i="5"/>
  <c r="AP155" i="5"/>
  <c r="AO155" i="5"/>
  <c r="AN155" i="5"/>
  <c r="AM155" i="5"/>
  <c r="AL155" i="5"/>
  <c r="AH155" i="5"/>
  <c r="AF155" i="5"/>
  <c r="AD155" i="5"/>
  <c r="AB155" i="5"/>
  <c r="Y155" i="5"/>
  <c r="X155" i="5"/>
  <c r="W155" i="5"/>
  <c r="V155" i="5"/>
  <c r="U155" i="5"/>
  <c r="T155" i="5"/>
  <c r="S155" i="5"/>
  <c r="R155" i="5"/>
  <c r="Q155" i="5"/>
  <c r="P155" i="5"/>
  <c r="O155" i="5"/>
  <c r="N155" i="5"/>
  <c r="M155" i="5"/>
  <c r="L155" i="5"/>
  <c r="K155" i="5"/>
  <c r="J155" i="5"/>
  <c r="I155" i="5"/>
  <c r="H155" i="5"/>
  <c r="G155" i="5"/>
  <c r="F155" i="5"/>
  <c r="E155" i="5"/>
  <c r="D155" i="5"/>
  <c r="C155" i="5"/>
  <c r="B155" i="5"/>
  <c r="A155" i="5"/>
  <c r="CS154" i="5"/>
  <c r="CM154" i="5"/>
  <c r="CK154" i="5"/>
  <c r="CJ154" i="5"/>
  <c r="CI154" i="5"/>
  <c r="CG154" i="5"/>
  <c r="CF154" i="5"/>
  <c r="CE154" i="5"/>
  <c r="CD154" i="5"/>
  <c r="CC154" i="5"/>
  <c r="CB154" i="5"/>
  <c r="CA154" i="5"/>
  <c r="BZ154" i="5"/>
  <c r="BY154" i="5"/>
  <c r="BX154" i="5"/>
  <c r="BW154" i="5"/>
  <c r="BV154" i="5"/>
  <c r="BU154" i="5"/>
  <c r="BS154" i="5"/>
  <c r="BR154" i="5"/>
  <c r="BQ154" i="5"/>
  <c r="BP154" i="5"/>
  <c r="BO154" i="5"/>
  <c r="BN154" i="5"/>
  <c r="BM154" i="5"/>
  <c r="BL154" i="5"/>
  <c r="BF154" i="5"/>
  <c r="BC154" i="5"/>
  <c r="AY154" i="5"/>
  <c r="AX154" i="5"/>
  <c r="AW154" i="5"/>
  <c r="AV154" i="5"/>
  <c r="AU154" i="5"/>
  <c r="AT154" i="5"/>
  <c r="AS154" i="5"/>
  <c r="AR154" i="5"/>
  <c r="AQ154" i="5"/>
  <c r="AP154" i="5"/>
  <c r="AO154" i="5"/>
  <c r="AN154" i="5"/>
  <c r="AM154" i="5"/>
  <c r="AL154" i="5"/>
  <c r="AH154" i="5"/>
  <c r="AF154" i="5"/>
  <c r="AD154" i="5"/>
  <c r="AB154" i="5"/>
  <c r="Y154" i="5"/>
  <c r="X154" i="5"/>
  <c r="W154" i="5"/>
  <c r="V154" i="5"/>
  <c r="U154" i="5"/>
  <c r="T154" i="5"/>
  <c r="S154" i="5"/>
  <c r="R154" i="5"/>
  <c r="Q154" i="5"/>
  <c r="P154" i="5"/>
  <c r="O154" i="5"/>
  <c r="N154" i="5"/>
  <c r="M154" i="5"/>
  <c r="L154" i="5"/>
  <c r="K154" i="5"/>
  <c r="J154" i="5"/>
  <c r="I154" i="5"/>
  <c r="H154" i="5"/>
  <c r="G154" i="5"/>
  <c r="F154" i="5"/>
  <c r="E154" i="5"/>
  <c r="D154" i="5"/>
  <c r="C154" i="5"/>
  <c r="B154" i="5"/>
  <c r="A154" i="5"/>
  <c r="CS153" i="5"/>
  <c r="CM153" i="5"/>
  <c r="CK153" i="5"/>
  <c r="CJ153" i="5"/>
  <c r="CI153" i="5"/>
  <c r="CG153" i="5"/>
  <c r="CF153" i="5"/>
  <c r="CE153" i="5"/>
  <c r="CD153" i="5"/>
  <c r="CC153" i="5"/>
  <c r="CB153" i="5"/>
  <c r="CA153" i="5"/>
  <c r="BZ153" i="5"/>
  <c r="BY153" i="5"/>
  <c r="BX153" i="5"/>
  <c r="BW153" i="5"/>
  <c r="BV153" i="5"/>
  <c r="BU153" i="5"/>
  <c r="BS153" i="5"/>
  <c r="BR153" i="5"/>
  <c r="BQ153" i="5"/>
  <c r="BP153" i="5"/>
  <c r="BO153" i="5"/>
  <c r="BN153" i="5"/>
  <c r="BM153" i="5"/>
  <c r="BL153" i="5"/>
  <c r="BF153" i="5"/>
  <c r="BC153" i="5"/>
  <c r="BB153" i="5"/>
  <c r="AY153" i="5"/>
  <c r="AX153" i="5"/>
  <c r="AW153" i="5"/>
  <c r="AV153" i="5"/>
  <c r="AU153" i="5"/>
  <c r="AT153" i="5"/>
  <c r="AR153" i="5"/>
  <c r="AQ153" i="5"/>
  <c r="AP153" i="5"/>
  <c r="AO153" i="5"/>
  <c r="AN153" i="5"/>
  <c r="AM153" i="5"/>
  <c r="AL153" i="5"/>
  <c r="AH153" i="5"/>
  <c r="AF153" i="5"/>
  <c r="AD153" i="5"/>
  <c r="AB153" i="5"/>
  <c r="Y153" i="5"/>
  <c r="X153" i="5"/>
  <c r="W153" i="5"/>
  <c r="V153" i="5"/>
  <c r="U153" i="5"/>
  <c r="T153" i="5"/>
  <c r="S153" i="5"/>
  <c r="R153" i="5"/>
  <c r="Q153" i="5"/>
  <c r="P153" i="5"/>
  <c r="O153" i="5"/>
  <c r="N153" i="5"/>
  <c r="M153" i="5"/>
  <c r="L153" i="5"/>
  <c r="K153" i="5"/>
  <c r="J153" i="5"/>
  <c r="I153" i="5"/>
  <c r="H153" i="5"/>
  <c r="G153" i="5"/>
  <c r="F153" i="5"/>
  <c r="E153" i="5"/>
  <c r="D153" i="5"/>
  <c r="C153" i="5"/>
  <c r="B153" i="5"/>
  <c r="A153" i="5"/>
  <c r="CS152" i="5"/>
  <c r="CM152" i="5"/>
  <c r="CK152" i="5"/>
  <c r="CJ152" i="5"/>
  <c r="CI152" i="5"/>
  <c r="CG152" i="5"/>
  <c r="CF152" i="5"/>
  <c r="CE152" i="5"/>
  <c r="CD152" i="5"/>
  <c r="CC152" i="5"/>
  <c r="CB152" i="5"/>
  <c r="CA152" i="5"/>
  <c r="BZ152" i="5"/>
  <c r="BY152" i="5"/>
  <c r="BX152" i="5"/>
  <c r="BW152" i="5"/>
  <c r="BV152" i="5"/>
  <c r="BU152" i="5"/>
  <c r="BS152" i="5"/>
  <c r="BR152" i="5"/>
  <c r="BQ152" i="5"/>
  <c r="BP152" i="5"/>
  <c r="BO152" i="5"/>
  <c r="BN152" i="5"/>
  <c r="BM152" i="5"/>
  <c r="BL152" i="5"/>
  <c r="BF152" i="5"/>
  <c r="BC152" i="5"/>
  <c r="AZ152" i="5"/>
  <c r="AY152" i="5"/>
  <c r="AX152" i="5"/>
  <c r="AW152" i="5"/>
  <c r="AV152" i="5"/>
  <c r="AU152" i="5"/>
  <c r="AT152" i="5"/>
  <c r="AR152" i="5"/>
  <c r="AQ152" i="5"/>
  <c r="AP152" i="5"/>
  <c r="AO152" i="5"/>
  <c r="AN152" i="5"/>
  <c r="AM152" i="5"/>
  <c r="AL152" i="5"/>
  <c r="AH152" i="5"/>
  <c r="AF152" i="5"/>
  <c r="AD152" i="5"/>
  <c r="AB152" i="5"/>
  <c r="Y152" i="5"/>
  <c r="X152" i="5"/>
  <c r="W152" i="5"/>
  <c r="V152" i="5"/>
  <c r="U152" i="5"/>
  <c r="T152" i="5"/>
  <c r="S152" i="5"/>
  <c r="R152" i="5"/>
  <c r="Q152" i="5"/>
  <c r="P152" i="5"/>
  <c r="O152" i="5"/>
  <c r="N152" i="5"/>
  <c r="M152" i="5"/>
  <c r="L152" i="5"/>
  <c r="K152" i="5"/>
  <c r="J152" i="5"/>
  <c r="I152" i="5"/>
  <c r="H152" i="5"/>
  <c r="G152" i="5"/>
  <c r="F152" i="5"/>
  <c r="E152" i="5"/>
  <c r="D152" i="5"/>
  <c r="C152" i="5"/>
  <c r="B152" i="5"/>
  <c r="A152" i="5"/>
  <c r="CS151" i="5"/>
  <c r="CM151" i="5"/>
  <c r="CK151" i="5"/>
  <c r="CJ151" i="5"/>
  <c r="CI151" i="5"/>
  <c r="CG151" i="5"/>
  <c r="CF151" i="5"/>
  <c r="CE151" i="5"/>
  <c r="CD151" i="5"/>
  <c r="CC151" i="5"/>
  <c r="CB151" i="5"/>
  <c r="CA151" i="5"/>
  <c r="BZ151" i="5"/>
  <c r="BY151" i="5"/>
  <c r="BW151" i="5"/>
  <c r="BV151" i="5"/>
  <c r="BU151" i="5"/>
  <c r="BT151" i="5"/>
  <c r="BQ151" i="5"/>
  <c r="BP151" i="5"/>
  <c r="BO151" i="5"/>
  <c r="BN151" i="5"/>
  <c r="BM151" i="5"/>
  <c r="BL151" i="5"/>
  <c r="BF151" i="5"/>
  <c r="BC151" i="5"/>
  <c r="AZ151" i="5"/>
  <c r="AY151" i="5"/>
  <c r="AX151" i="5"/>
  <c r="AW151" i="5"/>
  <c r="AV151" i="5"/>
  <c r="AU151" i="5"/>
  <c r="AT151" i="5"/>
  <c r="AR151" i="5"/>
  <c r="AQ151" i="5"/>
  <c r="AP151" i="5"/>
  <c r="AO151" i="5"/>
  <c r="AN151" i="5"/>
  <c r="AM151" i="5"/>
  <c r="AL151" i="5"/>
  <c r="AH151" i="5"/>
  <c r="AF151" i="5"/>
  <c r="AD151" i="5"/>
  <c r="AB151" i="5"/>
  <c r="Y151" i="5"/>
  <c r="X151" i="5"/>
  <c r="W151" i="5"/>
  <c r="V151" i="5"/>
  <c r="U151" i="5"/>
  <c r="T151" i="5"/>
  <c r="S151" i="5"/>
  <c r="R151" i="5"/>
  <c r="Q151" i="5"/>
  <c r="P151" i="5"/>
  <c r="O151" i="5"/>
  <c r="N151" i="5"/>
  <c r="M151" i="5"/>
  <c r="L151" i="5"/>
  <c r="K151" i="5"/>
  <c r="J151" i="5"/>
  <c r="I151" i="5"/>
  <c r="H151" i="5"/>
  <c r="G151" i="5"/>
  <c r="F151" i="5"/>
  <c r="E151" i="5"/>
  <c r="D151" i="5"/>
  <c r="C151" i="5"/>
  <c r="B151" i="5"/>
  <c r="A151" i="5"/>
  <c r="CS150" i="5"/>
  <c r="CM150" i="5"/>
  <c r="CK150" i="5"/>
  <c r="CJ150" i="5"/>
  <c r="CI150" i="5"/>
  <c r="CG150" i="5"/>
  <c r="CF150" i="5"/>
  <c r="CE150" i="5"/>
  <c r="CD150" i="5"/>
  <c r="CC150" i="5"/>
  <c r="CB150" i="5"/>
  <c r="CA150" i="5"/>
  <c r="BZ150" i="5"/>
  <c r="BY150" i="5"/>
  <c r="BW150" i="5"/>
  <c r="BV150" i="5"/>
  <c r="BU150" i="5"/>
  <c r="BT150" i="5"/>
  <c r="BQ150" i="5"/>
  <c r="BP150" i="5"/>
  <c r="BO150" i="5"/>
  <c r="BN150" i="5"/>
  <c r="BM150" i="5"/>
  <c r="BL150" i="5"/>
  <c r="BF150" i="5"/>
  <c r="BC150" i="5"/>
  <c r="AZ150" i="5"/>
  <c r="AY150" i="5"/>
  <c r="AX150" i="5"/>
  <c r="AW150" i="5"/>
  <c r="AV150" i="5"/>
  <c r="AU150" i="5"/>
  <c r="AT150" i="5"/>
  <c r="AS150" i="5"/>
  <c r="AR150" i="5"/>
  <c r="AQ150" i="5"/>
  <c r="AP150" i="5"/>
  <c r="AO150" i="5"/>
  <c r="AN150" i="5"/>
  <c r="AM150" i="5"/>
  <c r="AL150" i="5"/>
  <c r="AH150" i="5"/>
  <c r="AF150" i="5"/>
  <c r="AD150" i="5"/>
  <c r="AB150" i="5"/>
  <c r="Y150" i="5"/>
  <c r="X150" i="5"/>
  <c r="W150" i="5"/>
  <c r="V150" i="5"/>
  <c r="U150" i="5"/>
  <c r="T150" i="5"/>
  <c r="S150" i="5"/>
  <c r="R150" i="5"/>
  <c r="Q150" i="5"/>
  <c r="P150" i="5"/>
  <c r="O150" i="5"/>
  <c r="N150" i="5"/>
  <c r="M150" i="5"/>
  <c r="L150" i="5"/>
  <c r="K150" i="5"/>
  <c r="J150" i="5"/>
  <c r="I150" i="5"/>
  <c r="H150" i="5"/>
  <c r="G150" i="5"/>
  <c r="F150" i="5"/>
  <c r="E150" i="5"/>
  <c r="D150" i="5"/>
  <c r="C150" i="5"/>
  <c r="B150" i="5"/>
  <c r="A150" i="5"/>
  <c r="CS149" i="5"/>
  <c r="CM149" i="5"/>
  <c r="CK149" i="5"/>
  <c r="CJ149" i="5"/>
  <c r="CI149" i="5"/>
  <c r="CG149" i="5"/>
  <c r="CF149" i="5"/>
  <c r="CE149" i="5"/>
  <c r="CD149" i="5"/>
  <c r="CC149" i="5"/>
  <c r="CB149" i="5"/>
  <c r="CA149" i="5"/>
  <c r="BZ149" i="5"/>
  <c r="BY149" i="5"/>
  <c r="BW149" i="5"/>
  <c r="BV149" i="5"/>
  <c r="BU149" i="5"/>
  <c r="BT149" i="5"/>
  <c r="BQ149" i="5"/>
  <c r="BP149" i="5"/>
  <c r="BO149" i="5"/>
  <c r="BN149" i="5"/>
  <c r="BM149" i="5"/>
  <c r="BL149" i="5"/>
  <c r="BF149" i="5"/>
  <c r="BC149" i="5"/>
  <c r="AZ149" i="5"/>
  <c r="AY149" i="5"/>
  <c r="AX149" i="5"/>
  <c r="AW149" i="5"/>
  <c r="AV149" i="5"/>
  <c r="AU149" i="5"/>
  <c r="AT149" i="5"/>
  <c r="AR149" i="5"/>
  <c r="AQ149" i="5"/>
  <c r="AP149" i="5"/>
  <c r="AO149" i="5"/>
  <c r="AN149" i="5"/>
  <c r="AM149" i="5"/>
  <c r="AL149" i="5"/>
  <c r="AH149" i="5"/>
  <c r="AF149" i="5"/>
  <c r="AD149" i="5"/>
  <c r="AB149" i="5"/>
  <c r="Y149" i="5"/>
  <c r="X149" i="5"/>
  <c r="W149" i="5"/>
  <c r="V149" i="5"/>
  <c r="U149" i="5"/>
  <c r="T149" i="5"/>
  <c r="S149" i="5"/>
  <c r="R149" i="5"/>
  <c r="Q149" i="5"/>
  <c r="P149" i="5"/>
  <c r="O149" i="5"/>
  <c r="N149" i="5"/>
  <c r="M149" i="5"/>
  <c r="L149" i="5"/>
  <c r="K149" i="5"/>
  <c r="J149" i="5"/>
  <c r="I149" i="5"/>
  <c r="H149" i="5"/>
  <c r="G149" i="5"/>
  <c r="F149" i="5"/>
  <c r="E149" i="5"/>
  <c r="D149" i="5"/>
  <c r="C149" i="5"/>
  <c r="B149" i="5"/>
  <c r="A149" i="5"/>
  <c r="CS148" i="5"/>
  <c r="CM148" i="5"/>
  <c r="CK148" i="5"/>
  <c r="CJ148" i="5"/>
  <c r="CI148" i="5"/>
  <c r="CG148" i="5"/>
  <c r="CF148" i="5"/>
  <c r="CE148" i="5"/>
  <c r="CD148" i="5"/>
  <c r="CC148" i="5"/>
  <c r="CB148" i="5"/>
  <c r="CA148" i="5"/>
  <c r="BZ148" i="5"/>
  <c r="BY148" i="5"/>
  <c r="BW148" i="5"/>
  <c r="BV148" i="5"/>
  <c r="BU148" i="5"/>
  <c r="BT148" i="5"/>
  <c r="BQ148" i="5"/>
  <c r="BP148" i="5"/>
  <c r="BO148" i="5"/>
  <c r="BN148" i="5"/>
  <c r="BM148" i="5"/>
  <c r="BL148" i="5"/>
  <c r="BF148" i="5"/>
  <c r="BC148" i="5"/>
  <c r="AZ148" i="5"/>
  <c r="AY148" i="5"/>
  <c r="AX148" i="5"/>
  <c r="AW148" i="5"/>
  <c r="AV148" i="5"/>
  <c r="AU148" i="5"/>
  <c r="AT148" i="5"/>
  <c r="AS148" i="5"/>
  <c r="AR148" i="5"/>
  <c r="AQ148" i="5"/>
  <c r="AP148" i="5"/>
  <c r="AO148" i="5"/>
  <c r="AN148" i="5"/>
  <c r="AM148" i="5"/>
  <c r="AL148" i="5"/>
  <c r="AH148" i="5"/>
  <c r="AF148" i="5"/>
  <c r="AD148" i="5"/>
  <c r="AB148" i="5"/>
  <c r="Y148" i="5"/>
  <c r="X148" i="5"/>
  <c r="W148" i="5"/>
  <c r="V148" i="5"/>
  <c r="U148" i="5"/>
  <c r="T148" i="5"/>
  <c r="S148" i="5"/>
  <c r="R148" i="5"/>
  <c r="Q148" i="5"/>
  <c r="P148" i="5"/>
  <c r="O148" i="5"/>
  <c r="N148" i="5"/>
  <c r="M148" i="5"/>
  <c r="L148" i="5"/>
  <c r="K148" i="5"/>
  <c r="J148" i="5"/>
  <c r="I148" i="5"/>
  <c r="H148" i="5"/>
  <c r="G148" i="5"/>
  <c r="F148" i="5"/>
  <c r="E148" i="5"/>
  <c r="D148" i="5"/>
  <c r="C148" i="5"/>
  <c r="B148" i="5"/>
  <c r="A148" i="5"/>
  <c r="CS147" i="5"/>
  <c r="CM147" i="5"/>
  <c r="CK147" i="5"/>
  <c r="CJ147" i="5"/>
  <c r="CI147" i="5"/>
  <c r="CG147" i="5"/>
  <c r="CF147" i="5"/>
  <c r="CE147" i="5"/>
  <c r="CD147" i="5"/>
  <c r="CC147" i="5"/>
  <c r="CB147" i="5"/>
  <c r="CA147" i="5"/>
  <c r="BZ147" i="5"/>
  <c r="BY147" i="5"/>
  <c r="BW147" i="5"/>
  <c r="BV147" i="5"/>
  <c r="BU147" i="5"/>
  <c r="BT147" i="5"/>
  <c r="BQ147" i="5"/>
  <c r="BP147" i="5"/>
  <c r="BO147" i="5"/>
  <c r="BM147" i="5"/>
  <c r="BF147" i="5"/>
  <c r="BC147" i="5"/>
  <c r="AZ147" i="5"/>
  <c r="AY147" i="5"/>
  <c r="AX147" i="5"/>
  <c r="AW147" i="5"/>
  <c r="AV147" i="5"/>
  <c r="AU147" i="5"/>
  <c r="AT147" i="5"/>
  <c r="AS147" i="5"/>
  <c r="AR147" i="5"/>
  <c r="AQ147" i="5"/>
  <c r="AP147" i="5"/>
  <c r="AO147" i="5"/>
  <c r="AN147" i="5"/>
  <c r="AM147" i="5"/>
  <c r="AL147" i="5"/>
  <c r="AH147" i="5"/>
  <c r="AF147" i="5"/>
  <c r="AD147" i="5"/>
  <c r="AB147" i="5"/>
  <c r="Y147" i="5"/>
  <c r="X147" i="5"/>
  <c r="W147" i="5"/>
  <c r="V147" i="5"/>
  <c r="U147" i="5"/>
  <c r="T147" i="5"/>
  <c r="S147" i="5"/>
  <c r="R147" i="5"/>
  <c r="Q147" i="5"/>
  <c r="P147" i="5"/>
  <c r="O147" i="5"/>
  <c r="N147" i="5"/>
  <c r="M147" i="5"/>
  <c r="L147" i="5"/>
  <c r="K147" i="5"/>
  <c r="J147" i="5"/>
  <c r="I147" i="5"/>
  <c r="H147" i="5"/>
  <c r="G147" i="5"/>
  <c r="F147" i="5"/>
  <c r="E147" i="5"/>
  <c r="D147" i="5"/>
  <c r="C147" i="5"/>
  <c r="B147" i="5"/>
  <c r="A147" i="5"/>
  <c r="CS146" i="5"/>
  <c r="CM146" i="5"/>
  <c r="CK146" i="5"/>
  <c r="CJ146" i="5"/>
  <c r="CI146" i="5"/>
  <c r="CG146" i="5"/>
  <c r="CF146" i="5"/>
  <c r="CE146" i="5"/>
  <c r="CD146" i="5"/>
  <c r="CC146" i="5"/>
  <c r="CB146" i="5"/>
  <c r="CA146" i="5"/>
  <c r="BZ146" i="5"/>
  <c r="BY146" i="5"/>
  <c r="BW146" i="5"/>
  <c r="BV146" i="5"/>
  <c r="BU146" i="5"/>
  <c r="BT146" i="5"/>
  <c r="BQ146" i="5"/>
  <c r="BP146" i="5"/>
  <c r="BO146" i="5"/>
  <c r="BN146" i="5"/>
  <c r="BM146" i="5"/>
  <c r="BL146" i="5"/>
  <c r="BF146" i="5"/>
  <c r="BC146" i="5"/>
  <c r="AY146" i="5"/>
  <c r="AX146" i="5"/>
  <c r="AW146" i="5"/>
  <c r="AV146" i="5"/>
  <c r="AU146" i="5"/>
  <c r="AT146" i="5"/>
  <c r="AR146" i="5"/>
  <c r="AQ146" i="5"/>
  <c r="AP146" i="5"/>
  <c r="AO146" i="5"/>
  <c r="AN146" i="5"/>
  <c r="AM146" i="5"/>
  <c r="AL146" i="5"/>
  <c r="AH146" i="5"/>
  <c r="AF146" i="5"/>
  <c r="AE146" i="5"/>
  <c r="AD146" i="5"/>
  <c r="AB146" i="5"/>
  <c r="Y146" i="5"/>
  <c r="X146" i="5"/>
  <c r="W146" i="5"/>
  <c r="V146" i="5"/>
  <c r="U146" i="5"/>
  <c r="T146" i="5"/>
  <c r="S146" i="5"/>
  <c r="R146" i="5"/>
  <c r="Q146" i="5"/>
  <c r="P146" i="5"/>
  <c r="O146" i="5"/>
  <c r="N146" i="5"/>
  <c r="M146" i="5"/>
  <c r="L146" i="5"/>
  <c r="K146" i="5"/>
  <c r="J146" i="5"/>
  <c r="I146" i="5"/>
  <c r="H146" i="5"/>
  <c r="G146" i="5"/>
  <c r="F146" i="5"/>
  <c r="E146" i="5"/>
  <c r="D146" i="5"/>
  <c r="C146" i="5"/>
  <c r="B146" i="5"/>
  <c r="A146" i="5"/>
  <c r="CS145" i="5"/>
  <c r="CM145" i="5"/>
  <c r="CK145" i="5"/>
  <c r="CJ145" i="5"/>
  <c r="CI145" i="5"/>
  <c r="CG145" i="5"/>
  <c r="CF145" i="5"/>
  <c r="CE145" i="5"/>
  <c r="CD145" i="5"/>
  <c r="CC145" i="5"/>
  <c r="CB145" i="5"/>
  <c r="CA145" i="5"/>
  <c r="BZ145" i="5"/>
  <c r="BY145" i="5"/>
  <c r="BW145" i="5"/>
  <c r="BV145" i="5"/>
  <c r="BU145" i="5"/>
  <c r="BT145" i="5"/>
  <c r="BQ145" i="5"/>
  <c r="BP145" i="5"/>
  <c r="BO145" i="5"/>
  <c r="BN145" i="5"/>
  <c r="BM145" i="5"/>
  <c r="BL145" i="5"/>
  <c r="BF145" i="5"/>
  <c r="BC145" i="5"/>
  <c r="AZ145" i="5"/>
  <c r="AY145" i="5"/>
  <c r="AX145" i="5"/>
  <c r="AW145" i="5"/>
  <c r="AV145" i="5"/>
  <c r="AU145" i="5"/>
  <c r="AT145" i="5"/>
  <c r="AR145" i="5"/>
  <c r="AQ145" i="5"/>
  <c r="AP145" i="5"/>
  <c r="AO145" i="5"/>
  <c r="AN145" i="5"/>
  <c r="AM145" i="5"/>
  <c r="AL145" i="5"/>
  <c r="AH145" i="5"/>
  <c r="AF145" i="5"/>
  <c r="AD145" i="5"/>
  <c r="AB145" i="5"/>
  <c r="Y145" i="5"/>
  <c r="X145" i="5"/>
  <c r="W145" i="5"/>
  <c r="V145" i="5"/>
  <c r="U145" i="5"/>
  <c r="T145" i="5"/>
  <c r="S145" i="5"/>
  <c r="R145" i="5"/>
  <c r="Q145" i="5"/>
  <c r="P145" i="5"/>
  <c r="O145" i="5"/>
  <c r="N145" i="5"/>
  <c r="M145" i="5"/>
  <c r="L145" i="5"/>
  <c r="K145" i="5"/>
  <c r="J145" i="5"/>
  <c r="I145" i="5"/>
  <c r="H145" i="5"/>
  <c r="G145" i="5"/>
  <c r="F145" i="5"/>
  <c r="E145" i="5"/>
  <c r="D145" i="5"/>
  <c r="C145" i="5"/>
  <c r="B145" i="5"/>
  <c r="A145" i="5"/>
  <c r="CS144" i="5"/>
  <c r="CM144" i="5"/>
  <c r="CK144" i="5"/>
  <c r="CJ144" i="5"/>
  <c r="CI144" i="5"/>
  <c r="CG144" i="5"/>
  <c r="CF144" i="5"/>
  <c r="CE144" i="5"/>
  <c r="CD144" i="5"/>
  <c r="CC144" i="5"/>
  <c r="CB144" i="5"/>
  <c r="CA144" i="5"/>
  <c r="BZ144" i="5"/>
  <c r="BY144" i="5"/>
  <c r="BW144" i="5"/>
  <c r="BV144" i="5"/>
  <c r="BU144" i="5"/>
  <c r="BT144" i="5"/>
  <c r="BQ144" i="5"/>
  <c r="BP144" i="5"/>
  <c r="BO144" i="5"/>
  <c r="BN144" i="5"/>
  <c r="BM144" i="5"/>
  <c r="BL144" i="5"/>
  <c r="BF144" i="5"/>
  <c r="BC144" i="5"/>
  <c r="AY144" i="5"/>
  <c r="AX144" i="5"/>
  <c r="AW144" i="5"/>
  <c r="AV144" i="5"/>
  <c r="AU144" i="5"/>
  <c r="AT144" i="5"/>
  <c r="AR144" i="5"/>
  <c r="AQ144" i="5"/>
  <c r="AP144" i="5"/>
  <c r="AO144" i="5"/>
  <c r="AN144" i="5"/>
  <c r="AM144" i="5"/>
  <c r="AL144" i="5"/>
  <c r="AH144" i="5"/>
  <c r="AF144" i="5"/>
  <c r="AD144" i="5"/>
  <c r="AB144" i="5"/>
  <c r="Y144" i="5"/>
  <c r="X144" i="5"/>
  <c r="W144" i="5"/>
  <c r="V144" i="5"/>
  <c r="U144" i="5"/>
  <c r="T144" i="5"/>
  <c r="S144" i="5"/>
  <c r="R144" i="5"/>
  <c r="Q144" i="5"/>
  <c r="P144" i="5"/>
  <c r="O144" i="5"/>
  <c r="N144" i="5"/>
  <c r="M144" i="5"/>
  <c r="L144" i="5"/>
  <c r="K144" i="5"/>
  <c r="J144" i="5"/>
  <c r="I144" i="5"/>
  <c r="H144" i="5"/>
  <c r="G144" i="5"/>
  <c r="F144" i="5"/>
  <c r="E144" i="5"/>
  <c r="D144" i="5"/>
  <c r="C144" i="5"/>
  <c r="B144" i="5"/>
  <c r="A144" i="5"/>
  <c r="CS143" i="5"/>
  <c r="CM143" i="5"/>
  <c r="CK143" i="5"/>
  <c r="CJ143" i="5"/>
  <c r="CI143" i="5"/>
  <c r="CG143" i="5"/>
  <c r="CF143" i="5"/>
  <c r="CE143" i="5"/>
  <c r="CD143" i="5"/>
  <c r="CC143" i="5"/>
  <c r="CB143" i="5"/>
  <c r="CA143" i="5"/>
  <c r="BZ143" i="5"/>
  <c r="BY143" i="5"/>
  <c r="BW143" i="5"/>
  <c r="BV143" i="5"/>
  <c r="BU143" i="5"/>
  <c r="BS143" i="5"/>
  <c r="BR143" i="5"/>
  <c r="BQ143" i="5"/>
  <c r="BP143" i="5"/>
  <c r="BO143" i="5"/>
  <c r="BN143" i="5"/>
  <c r="BM143" i="5"/>
  <c r="BL143" i="5"/>
  <c r="BF143" i="5"/>
  <c r="BC143" i="5"/>
  <c r="AY143" i="5"/>
  <c r="AX143" i="5"/>
  <c r="AW143" i="5"/>
  <c r="AV143" i="5"/>
  <c r="AU143" i="5"/>
  <c r="AT143" i="5"/>
  <c r="AR143" i="5"/>
  <c r="AQ143" i="5"/>
  <c r="AP143" i="5"/>
  <c r="AO143" i="5"/>
  <c r="AN143" i="5"/>
  <c r="AM143" i="5"/>
  <c r="AL143" i="5"/>
  <c r="AH143" i="5"/>
  <c r="AF143" i="5"/>
  <c r="AE143" i="5"/>
  <c r="AD143" i="5"/>
  <c r="AB143" i="5"/>
  <c r="Y143" i="5"/>
  <c r="X143" i="5"/>
  <c r="W143" i="5"/>
  <c r="V143" i="5"/>
  <c r="U143" i="5"/>
  <c r="T143" i="5"/>
  <c r="S143" i="5"/>
  <c r="R143" i="5"/>
  <c r="Q143" i="5"/>
  <c r="P143" i="5"/>
  <c r="O143" i="5"/>
  <c r="N143" i="5"/>
  <c r="M143" i="5"/>
  <c r="L143" i="5"/>
  <c r="K143" i="5"/>
  <c r="J143" i="5"/>
  <c r="I143" i="5"/>
  <c r="H143" i="5"/>
  <c r="G143" i="5"/>
  <c r="F143" i="5"/>
  <c r="E143" i="5"/>
  <c r="D143" i="5"/>
  <c r="C143" i="5"/>
  <c r="B143" i="5"/>
  <c r="A143" i="5"/>
  <c r="CS142" i="5"/>
  <c r="CM142" i="5"/>
  <c r="CK142" i="5"/>
  <c r="CJ142" i="5"/>
  <c r="CI142" i="5"/>
  <c r="CG142" i="5"/>
  <c r="CF142" i="5"/>
  <c r="CE142" i="5"/>
  <c r="CD142" i="5"/>
  <c r="CC142" i="5"/>
  <c r="CB142" i="5"/>
  <c r="CA142" i="5"/>
  <c r="BZ142" i="5"/>
  <c r="BY142" i="5"/>
  <c r="BX142" i="5"/>
  <c r="BW142" i="5"/>
  <c r="BV142" i="5"/>
  <c r="BU142" i="5"/>
  <c r="BS142" i="5"/>
  <c r="BR142" i="5"/>
  <c r="BQ142" i="5"/>
  <c r="BP142" i="5"/>
  <c r="BO142" i="5"/>
  <c r="BN142" i="5"/>
  <c r="BM142" i="5"/>
  <c r="BL142" i="5"/>
  <c r="BF142" i="5"/>
  <c r="BC142" i="5"/>
  <c r="AY142" i="5"/>
  <c r="AX142" i="5"/>
  <c r="AW142" i="5"/>
  <c r="AV142" i="5"/>
  <c r="AU142" i="5"/>
  <c r="AT142" i="5"/>
  <c r="AR142" i="5"/>
  <c r="AQ142" i="5"/>
  <c r="AP142" i="5"/>
  <c r="AO142" i="5"/>
  <c r="AN142" i="5"/>
  <c r="AM142" i="5"/>
  <c r="AL142" i="5"/>
  <c r="AH142" i="5"/>
  <c r="AF142" i="5"/>
  <c r="AE142" i="5"/>
  <c r="AD142" i="5"/>
  <c r="AB142" i="5"/>
  <c r="Y142" i="5"/>
  <c r="X142" i="5"/>
  <c r="W142" i="5"/>
  <c r="V142" i="5"/>
  <c r="U142" i="5"/>
  <c r="T142" i="5"/>
  <c r="S142" i="5"/>
  <c r="R142" i="5"/>
  <c r="Q142" i="5"/>
  <c r="P142" i="5"/>
  <c r="O142" i="5"/>
  <c r="N142" i="5"/>
  <c r="M142" i="5"/>
  <c r="L142" i="5"/>
  <c r="K142" i="5"/>
  <c r="J142" i="5"/>
  <c r="I142" i="5"/>
  <c r="H142" i="5"/>
  <c r="G142" i="5"/>
  <c r="F142" i="5"/>
  <c r="E142" i="5"/>
  <c r="D142" i="5"/>
  <c r="C142" i="5"/>
  <c r="B142" i="5"/>
  <c r="A142" i="5"/>
  <c r="CS141" i="5"/>
  <c r="CM141" i="5"/>
  <c r="CK141" i="5"/>
  <c r="CJ141" i="5"/>
  <c r="CI141" i="5"/>
  <c r="CG141" i="5"/>
  <c r="CF141" i="5"/>
  <c r="CE141" i="5"/>
  <c r="CD141" i="5"/>
  <c r="CC141" i="5"/>
  <c r="CB141" i="5"/>
  <c r="CA141" i="5"/>
  <c r="BY141" i="5"/>
  <c r="BW141" i="5"/>
  <c r="BV141" i="5"/>
  <c r="BU141" i="5"/>
  <c r="BQ141" i="5"/>
  <c r="BP141" i="5"/>
  <c r="BO141" i="5"/>
  <c r="BN141" i="5"/>
  <c r="BM141" i="5"/>
  <c r="BL141" i="5"/>
  <c r="BF141" i="5"/>
  <c r="BC141" i="5"/>
  <c r="AY141" i="5"/>
  <c r="AX141" i="5"/>
  <c r="AW141" i="5"/>
  <c r="AV141" i="5"/>
  <c r="AU141" i="5"/>
  <c r="AT141" i="5"/>
  <c r="AR141" i="5"/>
  <c r="AQ141" i="5"/>
  <c r="AP141" i="5"/>
  <c r="AO141" i="5"/>
  <c r="AN141" i="5"/>
  <c r="AM141" i="5"/>
  <c r="AL141" i="5"/>
  <c r="AH141" i="5"/>
  <c r="AF141" i="5"/>
  <c r="AE141" i="5"/>
  <c r="AD141" i="5"/>
  <c r="AB141" i="5"/>
  <c r="Y141" i="5"/>
  <c r="X141" i="5"/>
  <c r="W141" i="5"/>
  <c r="V141" i="5"/>
  <c r="U141" i="5"/>
  <c r="T141" i="5"/>
  <c r="S141" i="5"/>
  <c r="R141" i="5"/>
  <c r="Q141" i="5"/>
  <c r="P141" i="5"/>
  <c r="O141" i="5"/>
  <c r="N141" i="5"/>
  <c r="M141" i="5"/>
  <c r="L141" i="5"/>
  <c r="K141" i="5"/>
  <c r="J141" i="5"/>
  <c r="I141" i="5"/>
  <c r="H141" i="5"/>
  <c r="G141" i="5"/>
  <c r="F141" i="5"/>
  <c r="E141" i="5"/>
  <c r="D141" i="5"/>
  <c r="C141" i="5"/>
  <c r="B141" i="5"/>
  <c r="A141" i="5"/>
  <c r="CS140" i="5"/>
  <c r="CM140" i="5"/>
  <c r="CK140" i="5"/>
  <c r="CJ140" i="5"/>
  <c r="CI140" i="5"/>
  <c r="CG140" i="5"/>
  <c r="CF140" i="5"/>
  <c r="CE140" i="5"/>
  <c r="CD140" i="5"/>
  <c r="CC140" i="5"/>
  <c r="CB140" i="5"/>
  <c r="CA140" i="5"/>
  <c r="BZ140" i="5"/>
  <c r="BY140" i="5"/>
  <c r="BW140" i="5"/>
  <c r="BV140" i="5"/>
  <c r="BU140" i="5"/>
  <c r="BS140" i="5"/>
  <c r="BR140" i="5"/>
  <c r="BQ140" i="5"/>
  <c r="BP140" i="5"/>
  <c r="BO140" i="5"/>
  <c r="BM140" i="5"/>
  <c r="BF140" i="5"/>
  <c r="BC140" i="5"/>
  <c r="AY140" i="5"/>
  <c r="AX140" i="5"/>
  <c r="AW140" i="5"/>
  <c r="AV140" i="5"/>
  <c r="AU140" i="5"/>
  <c r="AT140" i="5"/>
  <c r="AR140" i="5"/>
  <c r="AQ140" i="5"/>
  <c r="AP140" i="5"/>
  <c r="AO140" i="5"/>
  <c r="AN140" i="5"/>
  <c r="AM140" i="5"/>
  <c r="AL140" i="5"/>
  <c r="AH140" i="5"/>
  <c r="AF140" i="5"/>
  <c r="AD140" i="5"/>
  <c r="AB140" i="5"/>
  <c r="Y140" i="5"/>
  <c r="X140" i="5"/>
  <c r="W140" i="5"/>
  <c r="V140" i="5"/>
  <c r="U140" i="5"/>
  <c r="T140" i="5"/>
  <c r="S140" i="5"/>
  <c r="R140" i="5"/>
  <c r="Q140" i="5"/>
  <c r="P140" i="5"/>
  <c r="O140" i="5"/>
  <c r="N140" i="5"/>
  <c r="M140" i="5"/>
  <c r="L140" i="5"/>
  <c r="K140" i="5"/>
  <c r="J140" i="5"/>
  <c r="I140" i="5"/>
  <c r="H140" i="5"/>
  <c r="G140" i="5"/>
  <c r="F140" i="5"/>
  <c r="E140" i="5"/>
  <c r="D140" i="5"/>
  <c r="C140" i="5"/>
  <c r="B140" i="5"/>
  <c r="A140" i="5"/>
  <c r="CS139" i="5"/>
  <c r="CM139" i="5"/>
  <c r="CK139" i="5"/>
  <c r="CJ139" i="5"/>
  <c r="CI139" i="5"/>
  <c r="CG139" i="5"/>
  <c r="CF139" i="5"/>
  <c r="CE139" i="5"/>
  <c r="CD139" i="5"/>
  <c r="CC139" i="5"/>
  <c r="CB139" i="5"/>
  <c r="CA139" i="5"/>
  <c r="BZ139" i="5"/>
  <c r="BY139" i="5"/>
  <c r="BW139" i="5"/>
  <c r="BV139" i="5"/>
  <c r="BU139" i="5"/>
  <c r="BT139" i="5"/>
  <c r="BQ139" i="5"/>
  <c r="BP139" i="5"/>
  <c r="BO139" i="5"/>
  <c r="BM139" i="5"/>
  <c r="BF139" i="5"/>
  <c r="BC139" i="5"/>
  <c r="AY139" i="5"/>
  <c r="AX139" i="5"/>
  <c r="AW139" i="5"/>
  <c r="AV139" i="5"/>
  <c r="AU139" i="5"/>
  <c r="AT139" i="5"/>
  <c r="AR139" i="5"/>
  <c r="AQ139" i="5"/>
  <c r="AP139" i="5"/>
  <c r="AO139" i="5"/>
  <c r="AN139" i="5"/>
  <c r="AM139" i="5"/>
  <c r="AL139" i="5"/>
  <c r="AH139" i="5"/>
  <c r="AF139" i="5"/>
  <c r="AD139" i="5"/>
  <c r="AB139" i="5"/>
  <c r="Y139" i="5"/>
  <c r="X139" i="5"/>
  <c r="W139" i="5"/>
  <c r="V139" i="5"/>
  <c r="U139" i="5"/>
  <c r="T139" i="5"/>
  <c r="S139" i="5"/>
  <c r="R139" i="5"/>
  <c r="Q139" i="5"/>
  <c r="P139" i="5"/>
  <c r="O139" i="5"/>
  <c r="N139" i="5"/>
  <c r="M139" i="5"/>
  <c r="L139" i="5"/>
  <c r="K139" i="5"/>
  <c r="J139" i="5"/>
  <c r="I139" i="5"/>
  <c r="H139" i="5"/>
  <c r="G139" i="5"/>
  <c r="F139" i="5"/>
  <c r="E139" i="5"/>
  <c r="D139" i="5"/>
  <c r="C139" i="5"/>
  <c r="B139" i="5"/>
  <c r="A139" i="5"/>
  <c r="CS138" i="5"/>
  <c r="CM138" i="5"/>
  <c r="CK138" i="5"/>
  <c r="CJ138" i="5"/>
  <c r="CI138" i="5"/>
  <c r="CG138" i="5"/>
  <c r="CF138" i="5"/>
  <c r="CE138" i="5"/>
  <c r="CD138" i="5"/>
  <c r="CC138" i="5"/>
  <c r="CB138" i="5"/>
  <c r="CA138" i="5"/>
  <c r="BZ138" i="5"/>
  <c r="BY138" i="5"/>
  <c r="BW138" i="5"/>
  <c r="BV138" i="5"/>
  <c r="BU138" i="5"/>
  <c r="BS138" i="5"/>
  <c r="BR138" i="5"/>
  <c r="BQ138" i="5"/>
  <c r="BP138" i="5"/>
  <c r="BO138" i="5"/>
  <c r="BM138" i="5"/>
  <c r="BF138" i="5"/>
  <c r="BC138" i="5"/>
  <c r="AY138" i="5"/>
  <c r="AX138" i="5"/>
  <c r="AW138" i="5"/>
  <c r="AV138" i="5"/>
  <c r="AU138" i="5"/>
  <c r="AT138" i="5"/>
  <c r="AR138" i="5"/>
  <c r="AQ138" i="5"/>
  <c r="AP138" i="5"/>
  <c r="AO138" i="5"/>
  <c r="AN138" i="5"/>
  <c r="AM138" i="5"/>
  <c r="AL138" i="5"/>
  <c r="AH138" i="5"/>
  <c r="AF138" i="5"/>
  <c r="AD138" i="5"/>
  <c r="AB138" i="5"/>
  <c r="Y138" i="5"/>
  <c r="X138" i="5"/>
  <c r="W138" i="5"/>
  <c r="V138" i="5"/>
  <c r="U138" i="5"/>
  <c r="T138" i="5"/>
  <c r="S138" i="5"/>
  <c r="R138" i="5"/>
  <c r="Q138" i="5"/>
  <c r="P138" i="5"/>
  <c r="O138" i="5"/>
  <c r="N138" i="5"/>
  <c r="M138" i="5"/>
  <c r="L138" i="5"/>
  <c r="K138" i="5"/>
  <c r="J138" i="5"/>
  <c r="I138" i="5"/>
  <c r="H138" i="5"/>
  <c r="G138" i="5"/>
  <c r="F138" i="5"/>
  <c r="E138" i="5"/>
  <c r="D138" i="5"/>
  <c r="C138" i="5"/>
  <c r="B138" i="5"/>
  <c r="A138" i="5"/>
  <c r="CS137" i="5"/>
  <c r="CM137" i="5"/>
  <c r="CK137" i="5"/>
  <c r="CJ137" i="5"/>
  <c r="CI137" i="5"/>
  <c r="CG137" i="5"/>
  <c r="CF137" i="5"/>
  <c r="CE137" i="5"/>
  <c r="CD137" i="5"/>
  <c r="CC137" i="5"/>
  <c r="CB137" i="5"/>
  <c r="CA137" i="5"/>
  <c r="BZ137" i="5"/>
  <c r="BY137" i="5"/>
  <c r="BW137" i="5"/>
  <c r="BV137" i="5"/>
  <c r="BU137" i="5"/>
  <c r="BS137" i="5"/>
  <c r="BR137" i="5"/>
  <c r="BQ137" i="5"/>
  <c r="BP137" i="5"/>
  <c r="BO137" i="5"/>
  <c r="BM137" i="5"/>
  <c r="BF137" i="5"/>
  <c r="BC137" i="5"/>
  <c r="AY137" i="5"/>
  <c r="AX137" i="5"/>
  <c r="AW137" i="5"/>
  <c r="AV137" i="5"/>
  <c r="AU137" i="5"/>
  <c r="AT137" i="5"/>
  <c r="AS137" i="5"/>
  <c r="AR137" i="5"/>
  <c r="AQ137" i="5"/>
  <c r="AP137" i="5"/>
  <c r="AO137" i="5"/>
  <c r="AN137" i="5"/>
  <c r="AM137" i="5"/>
  <c r="AL137" i="5"/>
  <c r="AH137" i="5"/>
  <c r="AF137" i="5"/>
  <c r="AE137" i="5"/>
  <c r="AD137" i="5"/>
  <c r="AB137" i="5"/>
  <c r="Y137" i="5"/>
  <c r="X137" i="5"/>
  <c r="W137" i="5"/>
  <c r="V137" i="5"/>
  <c r="U137" i="5"/>
  <c r="T137" i="5"/>
  <c r="S137" i="5"/>
  <c r="R137" i="5"/>
  <c r="Q137" i="5"/>
  <c r="P137" i="5"/>
  <c r="O137" i="5"/>
  <c r="N137" i="5"/>
  <c r="M137" i="5"/>
  <c r="L137" i="5"/>
  <c r="K137" i="5"/>
  <c r="J137" i="5"/>
  <c r="I137" i="5"/>
  <c r="H137" i="5"/>
  <c r="G137" i="5"/>
  <c r="F137" i="5"/>
  <c r="E137" i="5"/>
  <c r="D137" i="5"/>
  <c r="C137" i="5"/>
  <c r="B137" i="5"/>
  <c r="A137" i="5"/>
  <c r="CS136" i="5"/>
  <c r="CM136" i="5"/>
  <c r="CK136" i="5"/>
  <c r="CJ136" i="5"/>
  <c r="CI136" i="5"/>
  <c r="CG136" i="5"/>
  <c r="CF136" i="5"/>
  <c r="CE136" i="5"/>
  <c r="CD136" i="5"/>
  <c r="CC136" i="5"/>
  <c r="CB136" i="5"/>
  <c r="CA136" i="5"/>
  <c r="BZ136" i="5"/>
  <c r="BY136" i="5"/>
  <c r="BW136" i="5"/>
  <c r="BV136" i="5"/>
  <c r="BU136" i="5"/>
  <c r="BS136" i="5"/>
  <c r="BR136" i="5"/>
  <c r="BQ136" i="5"/>
  <c r="BP136" i="5"/>
  <c r="BO136" i="5"/>
  <c r="BM136" i="5"/>
  <c r="BF136" i="5"/>
  <c r="BC136" i="5"/>
  <c r="AY136" i="5"/>
  <c r="AX136" i="5"/>
  <c r="AW136" i="5"/>
  <c r="AV136" i="5"/>
  <c r="AU136" i="5"/>
  <c r="AT136" i="5"/>
  <c r="AR136" i="5"/>
  <c r="AQ136" i="5"/>
  <c r="AP136" i="5"/>
  <c r="AO136" i="5"/>
  <c r="AN136" i="5"/>
  <c r="AM136" i="5"/>
  <c r="AL136" i="5"/>
  <c r="AH136" i="5"/>
  <c r="AF136" i="5"/>
  <c r="AD136" i="5"/>
  <c r="AB136" i="5"/>
  <c r="Y136" i="5"/>
  <c r="X136" i="5"/>
  <c r="W136" i="5"/>
  <c r="V136" i="5"/>
  <c r="U136" i="5"/>
  <c r="T136" i="5"/>
  <c r="S136" i="5"/>
  <c r="R136" i="5"/>
  <c r="Q136" i="5"/>
  <c r="P136" i="5"/>
  <c r="O136" i="5"/>
  <c r="N136" i="5"/>
  <c r="M136" i="5"/>
  <c r="L136" i="5"/>
  <c r="K136" i="5"/>
  <c r="J136" i="5"/>
  <c r="I136" i="5"/>
  <c r="H136" i="5"/>
  <c r="G136" i="5"/>
  <c r="F136" i="5"/>
  <c r="E136" i="5"/>
  <c r="D136" i="5"/>
  <c r="C136" i="5"/>
  <c r="B136" i="5"/>
  <c r="A136" i="5"/>
  <c r="CS135" i="5"/>
  <c r="CM135" i="5"/>
  <c r="CK135" i="5"/>
  <c r="CJ135" i="5"/>
  <c r="CI135" i="5"/>
  <c r="CG135" i="5"/>
  <c r="CF135" i="5"/>
  <c r="CE135" i="5"/>
  <c r="CD135" i="5"/>
  <c r="CC135" i="5"/>
  <c r="CB135" i="5"/>
  <c r="CA135" i="5"/>
  <c r="BZ135" i="5"/>
  <c r="BY135" i="5"/>
  <c r="BW135" i="5"/>
  <c r="BV135" i="5"/>
  <c r="BU135" i="5"/>
  <c r="BT135" i="5"/>
  <c r="BQ135" i="5"/>
  <c r="BP135" i="5"/>
  <c r="BO135" i="5"/>
  <c r="BM135" i="5"/>
  <c r="BF135" i="5"/>
  <c r="BC135" i="5"/>
  <c r="AY135" i="5"/>
  <c r="AX135" i="5"/>
  <c r="AW135" i="5"/>
  <c r="AV135" i="5"/>
  <c r="AU135" i="5"/>
  <c r="AT135" i="5"/>
  <c r="AR135" i="5"/>
  <c r="AQ135" i="5"/>
  <c r="AP135" i="5"/>
  <c r="AO135" i="5"/>
  <c r="AN135" i="5"/>
  <c r="AM135" i="5"/>
  <c r="AL135" i="5"/>
  <c r="AH135" i="5"/>
  <c r="AF135" i="5"/>
  <c r="AD135" i="5"/>
  <c r="AB135" i="5"/>
  <c r="Y135" i="5"/>
  <c r="X135" i="5"/>
  <c r="W135" i="5"/>
  <c r="V135" i="5"/>
  <c r="U135" i="5"/>
  <c r="T135" i="5"/>
  <c r="S135" i="5"/>
  <c r="R135" i="5"/>
  <c r="Q135" i="5"/>
  <c r="P135" i="5"/>
  <c r="O135" i="5"/>
  <c r="N135" i="5"/>
  <c r="M135" i="5"/>
  <c r="L135" i="5"/>
  <c r="K135" i="5"/>
  <c r="J135" i="5"/>
  <c r="I135" i="5"/>
  <c r="H135" i="5"/>
  <c r="G135" i="5"/>
  <c r="F135" i="5"/>
  <c r="E135" i="5"/>
  <c r="D135" i="5"/>
  <c r="C135" i="5"/>
  <c r="B135" i="5"/>
  <c r="A135" i="5"/>
  <c r="CS134" i="5"/>
  <c r="CM134" i="5"/>
  <c r="CK134" i="5"/>
  <c r="CJ134" i="5"/>
  <c r="CI134" i="5"/>
  <c r="CG134" i="5"/>
  <c r="CF134" i="5"/>
  <c r="CE134" i="5"/>
  <c r="CD134" i="5"/>
  <c r="CC134" i="5"/>
  <c r="CB134" i="5"/>
  <c r="CA134" i="5"/>
  <c r="BZ134" i="5"/>
  <c r="BY134" i="5"/>
  <c r="BW134" i="5"/>
  <c r="BV134" i="5"/>
  <c r="BU134" i="5"/>
  <c r="BS134" i="5"/>
  <c r="BR134" i="5"/>
  <c r="BQ134" i="5"/>
  <c r="BP134" i="5"/>
  <c r="BO134" i="5"/>
  <c r="BM134" i="5"/>
  <c r="BF134" i="5"/>
  <c r="BC134" i="5"/>
  <c r="AY134" i="5"/>
  <c r="AX134" i="5"/>
  <c r="AW134" i="5"/>
  <c r="AV134" i="5"/>
  <c r="AU134" i="5"/>
  <c r="AT134" i="5"/>
  <c r="AS134" i="5"/>
  <c r="AR134" i="5"/>
  <c r="AQ134" i="5"/>
  <c r="AP134" i="5"/>
  <c r="AO134" i="5"/>
  <c r="AN134" i="5"/>
  <c r="AM134" i="5"/>
  <c r="AL134" i="5"/>
  <c r="AH134" i="5"/>
  <c r="AF134" i="5"/>
  <c r="AE134" i="5"/>
  <c r="AD134" i="5"/>
  <c r="AB134" i="5"/>
  <c r="Y134" i="5"/>
  <c r="X134" i="5"/>
  <c r="W134" i="5"/>
  <c r="V134" i="5"/>
  <c r="U134" i="5"/>
  <c r="T134" i="5"/>
  <c r="S134" i="5"/>
  <c r="R134" i="5"/>
  <c r="Q134" i="5"/>
  <c r="P134" i="5"/>
  <c r="O134" i="5"/>
  <c r="N134" i="5"/>
  <c r="M134" i="5"/>
  <c r="L134" i="5"/>
  <c r="K134" i="5"/>
  <c r="J134" i="5"/>
  <c r="I134" i="5"/>
  <c r="H134" i="5"/>
  <c r="G134" i="5"/>
  <c r="F134" i="5"/>
  <c r="E134" i="5"/>
  <c r="D134" i="5"/>
  <c r="C134" i="5"/>
  <c r="B134" i="5"/>
  <c r="A134" i="5"/>
  <c r="CS133" i="5"/>
  <c r="CM133" i="5"/>
  <c r="CK133" i="5"/>
  <c r="CJ133" i="5"/>
  <c r="CI133" i="5"/>
  <c r="CG133" i="5"/>
  <c r="CF133" i="5"/>
  <c r="CE133" i="5"/>
  <c r="CD133" i="5"/>
  <c r="CC133" i="5"/>
  <c r="CB133" i="5"/>
  <c r="CA133" i="5"/>
  <c r="BZ133" i="5"/>
  <c r="BY133" i="5"/>
  <c r="BW133" i="5"/>
  <c r="BV133" i="5"/>
  <c r="BU133" i="5"/>
  <c r="BS133" i="5"/>
  <c r="BR133" i="5"/>
  <c r="BQ133" i="5"/>
  <c r="BP133" i="5"/>
  <c r="BO133" i="5"/>
  <c r="BM133" i="5"/>
  <c r="BF133" i="5"/>
  <c r="BC133" i="5"/>
  <c r="AY133" i="5"/>
  <c r="AX133" i="5"/>
  <c r="AW133" i="5"/>
  <c r="AV133" i="5"/>
  <c r="AU133" i="5"/>
  <c r="AT133" i="5"/>
  <c r="AR133" i="5"/>
  <c r="AQ133" i="5"/>
  <c r="AP133" i="5"/>
  <c r="AO133" i="5"/>
  <c r="AN133" i="5"/>
  <c r="AM133" i="5"/>
  <c r="AL133" i="5"/>
  <c r="AH133" i="5"/>
  <c r="AF133" i="5"/>
  <c r="AD133" i="5"/>
  <c r="AB133" i="5"/>
  <c r="Y133" i="5"/>
  <c r="X133" i="5"/>
  <c r="W133" i="5"/>
  <c r="V133" i="5"/>
  <c r="U133" i="5"/>
  <c r="T133" i="5"/>
  <c r="S133" i="5"/>
  <c r="R133" i="5"/>
  <c r="Q133" i="5"/>
  <c r="P133" i="5"/>
  <c r="O133" i="5"/>
  <c r="N133" i="5"/>
  <c r="M133" i="5"/>
  <c r="L133" i="5"/>
  <c r="K133" i="5"/>
  <c r="J133" i="5"/>
  <c r="I133" i="5"/>
  <c r="H133" i="5"/>
  <c r="G133" i="5"/>
  <c r="F133" i="5"/>
  <c r="E133" i="5"/>
  <c r="D133" i="5"/>
  <c r="C133" i="5"/>
  <c r="B133" i="5"/>
  <c r="A133" i="5"/>
  <c r="CS132" i="5"/>
  <c r="CM132" i="5"/>
  <c r="CK132" i="5"/>
  <c r="CJ132" i="5"/>
  <c r="CI132" i="5"/>
  <c r="CG132" i="5"/>
  <c r="CF132" i="5"/>
  <c r="CE132" i="5"/>
  <c r="CD132" i="5"/>
  <c r="CC132" i="5"/>
  <c r="CB132" i="5"/>
  <c r="CA132" i="5"/>
  <c r="BZ132" i="5"/>
  <c r="BY132" i="5"/>
  <c r="BW132" i="5"/>
  <c r="BV132" i="5"/>
  <c r="BU132" i="5"/>
  <c r="BS132" i="5"/>
  <c r="BR132" i="5"/>
  <c r="BQ132" i="5"/>
  <c r="BP132" i="5"/>
  <c r="BO132" i="5"/>
  <c r="BN132" i="5"/>
  <c r="BM132" i="5"/>
  <c r="BL132" i="5"/>
  <c r="BF132" i="5"/>
  <c r="BC132" i="5"/>
  <c r="AY132" i="5"/>
  <c r="AX132" i="5"/>
  <c r="AW132" i="5"/>
  <c r="AV132" i="5"/>
  <c r="AU132" i="5"/>
  <c r="AT132" i="5"/>
  <c r="AS132" i="5"/>
  <c r="AR132" i="5"/>
  <c r="AQ132" i="5"/>
  <c r="AP132" i="5"/>
  <c r="AO132" i="5"/>
  <c r="AN132" i="5"/>
  <c r="AM132" i="5"/>
  <c r="AL132" i="5"/>
  <c r="AH132" i="5"/>
  <c r="AF132" i="5"/>
  <c r="AD132" i="5"/>
  <c r="AB132" i="5"/>
  <c r="Y132" i="5"/>
  <c r="X132" i="5"/>
  <c r="W132" i="5"/>
  <c r="V132" i="5"/>
  <c r="U132" i="5"/>
  <c r="T132" i="5"/>
  <c r="S132" i="5"/>
  <c r="R132" i="5"/>
  <c r="Q132" i="5"/>
  <c r="P132" i="5"/>
  <c r="O132" i="5"/>
  <c r="N132" i="5"/>
  <c r="M132" i="5"/>
  <c r="L132" i="5"/>
  <c r="K132" i="5"/>
  <c r="J132" i="5"/>
  <c r="I132" i="5"/>
  <c r="H132" i="5"/>
  <c r="G132" i="5"/>
  <c r="F132" i="5"/>
  <c r="E132" i="5"/>
  <c r="D132" i="5"/>
  <c r="C132" i="5"/>
  <c r="B132" i="5"/>
  <c r="A132" i="5"/>
  <c r="CS131" i="5"/>
  <c r="CM131" i="5"/>
  <c r="CK131" i="5"/>
  <c r="CJ131" i="5"/>
  <c r="CI131" i="5"/>
  <c r="CG131" i="5"/>
  <c r="CF131" i="5"/>
  <c r="CE131" i="5"/>
  <c r="CD131" i="5"/>
  <c r="CC131" i="5"/>
  <c r="CB131" i="5"/>
  <c r="CA131" i="5"/>
  <c r="BZ131" i="5"/>
  <c r="BY131" i="5"/>
  <c r="BX131" i="5"/>
  <c r="BW131" i="5"/>
  <c r="BV131" i="5"/>
  <c r="BU131" i="5"/>
  <c r="BS131" i="5"/>
  <c r="BR131" i="5"/>
  <c r="BQ131" i="5"/>
  <c r="BP131" i="5"/>
  <c r="BO131" i="5"/>
  <c r="BM131" i="5"/>
  <c r="BF131" i="5"/>
  <c r="BC131" i="5"/>
  <c r="AY131" i="5"/>
  <c r="AX131" i="5"/>
  <c r="AW131" i="5"/>
  <c r="AV131" i="5"/>
  <c r="AU131" i="5"/>
  <c r="AT131" i="5"/>
  <c r="AR131" i="5"/>
  <c r="AQ131" i="5"/>
  <c r="AP131" i="5"/>
  <c r="AO131" i="5"/>
  <c r="AN131" i="5"/>
  <c r="AM131" i="5"/>
  <c r="AL131" i="5"/>
  <c r="AH131" i="5"/>
  <c r="AF131" i="5"/>
  <c r="AD131" i="5"/>
  <c r="AB131" i="5"/>
  <c r="Y131" i="5"/>
  <c r="X131" i="5"/>
  <c r="W131" i="5"/>
  <c r="V131" i="5"/>
  <c r="U131" i="5"/>
  <c r="T131" i="5"/>
  <c r="S131" i="5"/>
  <c r="R131" i="5"/>
  <c r="Q131" i="5"/>
  <c r="P131" i="5"/>
  <c r="O131" i="5"/>
  <c r="N131" i="5"/>
  <c r="M131" i="5"/>
  <c r="L131" i="5"/>
  <c r="K131" i="5"/>
  <c r="J131" i="5"/>
  <c r="I131" i="5"/>
  <c r="H131" i="5"/>
  <c r="G131" i="5"/>
  <c r="F131" i="5"/>
  <c r="E131" i="5"/>
  <c r="D131" i="5"/>
  <c r="C131" i="5"/>
  <c r="B131" i="5"/>
  <c r="A131" i="5"/>
  <c r="CS130" i="5"/>
  <c r="CM130" i="5"/>
  <c r="CJ130" i="5"/>
  <c r="CI130" i="5"/>
  <c r="CG130" i="5"/>
  <c r="CF130" i="5"/>
  <c r="CE130" i="5"/>
  <c r="CD130" i="5"/>
  <c r="CC130" i="5"/>
  <c r="CB130" i="5"/>
  <c r="CA130" i="5"/>
  <c r="BZ130" i="5"/>
  <c r="BY130" i="5"/>
  <c r="BW130" i="5"/>
  <c r="BV130" i="5"/>
  <c r="BU130" i="5"/>
  <c r="BS130" i="5"/>
  <c r="BR130" i="5"/>
  <c r="BQ130" i="5"/>
  <c r="BP130" i="5"/>
  <c r="BO130" i="5"/>
  <c r="BM130" i="5"/>
  <c r="BF130" i="5"/>
  <c r="BC130" i="5"/>
  <c r="AY130" i="5"/>
  <c r="AX130" i="5"/>
  <c r="AW130" i="5"/>
  <c r="AV130" i="5"/>
  <c r="AU130" i="5"/>
  <c r="AT130" i="5"/>
  <c r="AR130" i="5"/>
  <c r="AQ130" i="5"/>
  <c r="AP130" i="5"/>
  <c r="AO130" i="5"/>
  <c r="AN130" i="5"/>
  <c r="AM130" i="5"/>
  <c r="AL130" i="5"/>
  <c r="AH130" i="5"/>
  <c r="AF130" i="5"/>
  <c r="AE130" i="5"/>
  <c r="AD130" i="5"/>
  <c r="AB130" i="5"/>
  <c r="Z130" i="5"/>
  <c r="X130" i="5"/>
  <c r="W130" i="5"/>
  <c r="V130" i="5"/>
  <c r="U130" i="5"/>
  <c r="T130" i="5"/>
  <c r="S130" i="5"/>
  <c r="R130" i="5"/>
  <c r="Q130" i="5"/>
  <c r="P130" i="5"/>
  <c r="O130" i="5"/>
  <c r="N130" i="5"/>
  <c r="M130" i="5"/>
  <c r="L130" i="5"/>
  <c r="K130" i="5"/>
  <c r="J130" i="5"/>
  <c r="I130" i="5"/>
  <c r="H130" i="5"/>
  <c r="G130" i="5"/>
  <c r="F130" i="5"/>
  <c r="E130" i="5"/>
  <c r="D130" i="5"/>
  <c r="C130" i="5"/>
  <c r="B130" i="5"/>
  <c r="A130" i="5"/>
  <c r="CS129" i="5"/>
  <c r="CM129" i="5"/>
  <c r="CK129" i="5"/>
  <c r="CJ129" i="5"/>
  <c r="CI129" i="5"/>
  <c r="CG129" i="5"/>
  <c r="CF129" i="5"/>
  <c r="CE129" i="5"/>
  <c r="CD129" i="5"/>
  <c r="CC129" i="5"/>
  <c r="CB129" i="5"/>
  <c r="CA129" i="5"/>
  <c r="BZ129" i="5"/>
  <c r="BY129" i="5"/>
  <c r="BX129" i="5"/>
  <c r="BW129" i="5"/>
  <c r="BV129" i="5"/>
  <c r="BU129" i="5"/>
  <c r="BS129" i="5"/>
  <c r="BR129" i="5"/>
  <c r="BQ129" i="5"/>
  <c r="BP129" i="5"/>
  <c r="BO129" i="5"/>
  <c r="BM129" i="5"/>
  <c r="BF129" i="5"/>
  <c r="BC129" i="5"/>
  <c r="AY129" i="5"/>
  <c r="AX129" i="5"/>
  <c r="AW129" i="5"/>
  <c r="AV129" i="5"/>
  <c r="AU129" i="5"/>
  <c r="AT129" i="5"/>
  <c r="AR129" i="5"/>
  <c r="AQ129" i="5"/>
  <c r="AP129" i="5"/>
  <c r="AO129" i="5"/>
  <c r="AN129" i="5"/>
  <c r="AM129" i="5"/>
  <c r="AL129" i="5"/>
  <c r="AH129" i="5"/>
  <c r="AF129" i="5"/>
  <c r="AE129" i="5"/>
  <c r="AD129" i="5"/>
  <c r="AB129" i="5"/>
  <c r="Z129" i="5"/>
  <c r="X129" i="5"/>
  <c r="W129" i="5"/>
  <c r="V129" i="5"/>
  <c r="U129" i="5"/>
  <c r="T129" i="5"/>
  <c r="S129" i="5"/>
  <c r="R129" i="5"/>
  <c r="Q129" i="5"/>
  <c r="P129" i="5"/>
  <c r="O129" i="5"/>
  <c r="N129" i="5"/>
  <c r="M129" i="5"/>
  <c r="L129" i="5"/>
  <c r="K129" i="5"/>
  <c r="J129" i="5"/>
  <c r="I129" i="5"/>
  <c r="H129" i="5"/>
  <c r="G129" i="5"/>
  <c r="F129" i="5"/>
  <c r="E129" i="5"/>
  <c r="D129" i="5"/>
  <c r="C129" i="5"/>
  <c r="B129" i="5"/>
  <c r="A129" i="5"/>
  <c r="CS128" i="5"/>
  <c r="CM128" i="5"/>
  <c r="CK128" i="5"/>
  <c r="CJ128" i="5"/>
  <c r="CI128" i="5"/>
  <c r="CG128" i="5"/>
  <c r="CF128" i="5"/>
  <c r="CE128" i="5"/>
  <c r="CD128" i="5"/>
  <c r="CC128" i="5"/>
  <c r="CB128" i="5"/>
  <c r="CA128" i="5"/>
  <c r="BZ128" i="5"/>
  <c r="BY128" i="5"/>
  <c r="BW128" i="5"/>
  <c r="BV128" i="5"/>
  <c r="BU128" i="5"/>
  <c r="BS128" i="5"/>
  <c r="BR128" i="5"/>
  <c r="BQ128" i="5"/>
  <c r="BP128" i="5"/>
  <c r="BO128" i="5"/>
  <c r="BM128" i="5"/>
  <c r="BF128" i="5"/>
  <c r="BC128" i="5"/>
  <c r="AY128" i="5"/>
  <c r="AX128" i="5"/>
  <c r="AW128" i="5"/>
  <c r="AV128" i="5"/>
  <c r="AU128" i="5"/>
  <c r="AT128" i="5"/>
  <c r="AR128" i="5"/>
  <c r="AQ128" i="5"/>
  <c r="AP128" i="5"/>
  <c r="AO128" i="5"/>
  <c r="AN128" i="5"/>
  <c r="AM128" i="5"/>
  <c r="AL128" i="5"/>
  <c r="AH128" i="5"/>
  <c r="AF128" i="5"/>
  <c r="AD128" i="5"/>
  <c r="AB128" i="5"/>
  <c r="Y128" i="5"/>
  <c r="X128" i="5"/>
  <c r="W128" i="5"/>
  <c r="V128" i="5"/>
  <c r="U128" i="5"/>
  <c r="T128" i="5"/>
  <c r="S128" i="5"/>
  <c r="R128" i="5"/>
  <c r="Q128" i="5"/>
  <c r="P128" i="5"/>
  <c r="O128" i="5"/>
  <c r="N128" i="5"/>
  <c r="M128" i="5"/>
  <c r="L128" i="5"/>
  <c r="K128" i="5"/>
  <c r="J128" i="5"/>
  <c r="I128" i="5"/>
  <c r="H128" i="5"/>
  <c r="G128" i="5"/>
  <c r="F128" i="5"/>
  <c r="E128" i="5"/>
  <c r="D128" i="5"/>
  <c r="C128" i="5"/>
  <c r="B128" i="5"/>
  <c r="A128" i="5"/>
  <c r="CS127" i="5"/>
  <c r="CM127" i="5"/>
  <c r="CK127" i="5"/>
  <c r="CJ127" i="5"/>
  <c r="CI127" i="5"/>
  <c r="CG127" i="5"/>
  <c r="CF127" i="5"/>
  <c r="CE127" i="5"/>
  <c r="CD127" i="5"/>
  <c r="CC127" i="5"/>
  <c r="CB127" i="5"/>
  <c r="CA127" i="5"/>
  <c r="BZ127" i="5"/>
  <c r="BY127" i="5"/>
  <c r="BW127" i="5"/>
  <c r="BV127" i="5"/>
  <c r="BU127" i="5"/>
  <c r="BS127" i="5"/>
  <c r="BR127" i="5"/>
  <c r="BQ127" i="5"/>
  <c r="BP127" i="5"/>
  <c r="BO127" i="5"/>
  <c r="BM127" i="5"/>
  <c r="BF127" i="5"/>
  <c r="BC127" i="5"/>
  <c r="AY127" i="5"/>
  <c r="AX127" i="5"/>
  <c r="AW127" i="5"/>
  <c r="AV127" i="5"/>
  <c r="AU127" i="5"/>
  <c r="AT127" i="5"/>
  <c r="AR127" i="5"/>
  <c r="AQ127" i="5"/>
  <c r="AP127" i="5"/>
  <c r="AO127" i="5"/>
  <c r="AN127" i="5"/>
  <c r="AM127" i="5"/>
  <c r="AL127" i="5"/>
  <c r="AH127" i="5"/>
  <c r="AF127" i="5"/>
  <c r="AD127" i="5"/>
  <c r="AB127" i="5"/>
  <c r="Y127" i="5"/>
  <c r="X127" i="5"/>
  <c r="W127" i="5"/>
  <c r="V127" i="5"/>
  <c r="U127" i="5"/>
  <c r="T127" i="5"/>
  <c r="S127" i="5"/>
  <c r="R127" i="5"/>
  <c r="Q127" i="5"/>
  <c r="P127" i="5"/>
  <c r="O127" i="5"/>
  <c r="N127" i="5"/>
  <c r="M127" i="5"/>
  <c r="L127" i="5"/>
  <c r="K127" i="5"/>
  <c r="J127" i="5"/>
  <c r="I127" i="5"/>
  <c r="H127" i="5"/>
  <c r="G127" i="5"/>
  <c r="F127" i="5"/>
  <c r="E127" i="5"/>
  <c r="D127" i="5"/>
  <c r="C127" i="5"/>
  <c r="B127" i="5"/>
  <c r="A127" i="5"/>
  <c r="CS126" i="5"/>
  <c r="CM126" i="5"/>
  <c r="CK126" i="5"/>
  <c r="CJ126" i="5"/>
  <c r="CI126" i="5"/>
  <c r="CG126" i="5"/>
  <c r="CF126" i="5"/>
  <c r="CE126" i="5"/>
  <c r="CD126" i="5"/>
  <c r="CC126" i="5"/>
  <c r="CB126" i="5"/>
  <c r="CA126" i="5"/>
  <c r="BZ126" i="5"/>
  <c r="BY126" i="5"/>
  <c r="BX126" i="5"/>
  <c r="BW126" i="5"/>
  <c r="BV126" i="5"/>
  <c r="BU126" i="5"/>
  <c r="BS126" i="5"/>
  <c r="BR126" i="5"/>
  <c r="BQ126" i="5"/>
  <c r="BP126" i="5"/>
  <c r="BO126" i="5"/>
  <c r="BN126" i="5"/>
  <c r="BM126" i="5"/>
  <c r="BL126" i="5"/>
  <c r="BF126" i="5"/>
  <c r="BC126" i="5"/>
  <c r="AY126" i="5"/>
  <c r="AX126" i="5"/>
  <c r="AW126" i="5"/>
  <c r="AV126" i="5"/>
  <c r="AU126" i="5"/>
  <c r="AT126" i="5"/>
  <c r="AR126" i="5"/>
  <c r="AQ126" i="5"/>
  <c r="AP126" i="5"/>
  <c r="AO126" i="5"/>
  <c r="AN126" i="5"/>
  <c r="AM126" i="5"/>
  <c r="AL126" i="5"/>
  <c r="AH126" i="5"/>
  <c r="AF126" i="5"/>
  <c r="AD126" i="5"/>
  <c r="AB126" i="5"/>
  <c r="Y126" i="5"/>
  <c r="X126" i="5"/>
  <c r="W126" i="5"/>
  <c r="V126" i="5"/>
  <c r="U126" i="5"/>
  <c r="T126" i="5"/>
  <c r="S126" i="5"/>
  <c r="R126" i="5"/>
  <c r="Q126" i="5"/>
  <c r="P126" i="5"/>
  <c r="O126" i="5"/>
  <c r="N126" i="5"/>
  <c r="M126" i="5"/>
  <c r="L126" i="5"/>
  <c r="K126" i="5"/>
  <c r="J126" i="5"/>
  <c r="I126" i="5"/>
  <c r="H126" i="5"/>
  <c r="G126" i="5"/>
  <c r="F126" i="5"/>
  <c r="E126" i="5"/>
  <c r="D126" i="5"/>
  <c r="C126" i="5"/>
  <c r="B126" i="5"/>
  <c r="A126" i="5"/>
  <c r="CS125" i="5"/>
  <c r="CM125" i="5"/>
  <c r="CK125" i="5"/>
  <c r="CJ125" i="5"/>
  <c r="CI125" i="5"/>
  <c r="CG125" i="5"/>
  <c r="CF125" i="5"/>
  <c r="CE125" i="5"/>
  <c r="CD125" i="5"/>
  <c r="CC125" i="5"/>
  <c r="CB125" i="5"/>
  <c r="CA125" i="5"/>
  <c r="BZ125" i="5"/>
  <c r="BY125" i="5"/>
  <c r="BW125" i="5"/>
  <c r="BV125" i="5"/>
  <c r="BU125" i="5"/>
  <c r="BS125" i="5"/>
  <c r="BR125" i="5"/>
  <c r="BQ125" i="5"/>
  <c r="BP125" i="5"/>
  <c r="BO125" i="5"/>
  <c r="BM125" i="5"/>
  <c r="BF125" i="5"/>
  <c r="BC125" i="5"/>
  <c r="AY125" i="5"/>
  <c r="AX125" i="5"/>
  <c r="AW125" i="5"/>
  <c r="AV125" i="5"/>
  <c r="AU125" i="5"/>
  <c r="AT125" i="5"/>
  <c r="AR125" i="5"/>
  <c r="AQ125" i="5"/>
  <c r="AP125" i="5"/>
  <c r="AO125" i="5"/>
  <c r="AN125" i="5"/>
  <c r="AM125" i="5"/>
  <c r="AL125" i="5"/>
  <c r="AH125" i="5"/>
  <c r="AF125" i="5"/>
  <c r="AD125" i="5"/>
  <c r="AB125" i="5"/>
  <c r="Y125" i="5"/>
  <c r="X125" i="5"/>
  <c r="W125" i="5"/>
  <c r="V125" i="5"/>
  <c r="U125" i="5"/>
  <c r="T125" i="5"/>
  <c r="S125" i="5"/>
  <c r="R125" i="5"/>
  <c r="Q125" i="5"/>
  <c r="P125" i="5"/>
  <c r="O125" i="5"/>
  <c r="N125" i="5"/>
  <c r="M125" i="5"/>
  <c r="L125" i="5"/>
  <c r="K125" i="5"/>
  <c r="J125" i="5"/>
  <c r="I125" i="5"/>
  <c r="H125" i="5"/>
  <c r="G125" i="5"/>
  <c r="F125" i="5"/>
  <c r="E125" i="5"/>
  <c r="D125" i="5"/>
  <c r="C125" i="5"/>
  <c r="B125" i="5"/>
  <c r="A125" i="5"/>
  <c r="CS124" i="5"/>
  <c r="CM124" i="5"/>
  <c r="CK124" i="5"/>
  <c r="CJ124" i="5"/>
  <c r="CI124" i="5"/>
  <c r="CG124" i="5"/>
  <c r="CF124" i="5"/>
  <c r="CE124" i="5"/>
  <c r="CD124" i="5"/>
  <c r="CC124" i="5"/>
  <c r="CB124" i="5"/>
  <c r="CA124" i="5"/>
  <c r="BZ124" i="5"/>
  <c r="BY124" i="5"/>
  <c r="BX124" i="5"/>
  <c r="BW124" i="5"/>
  <c r="BV124" i="5"/>
  <c r="BU124" i="5"/>
  <c r="BS124" i="5"/>
  <c r="BR124" i="5"/>
  <c r="BQ124" i="5"/>
  <c r="BP124" i="5"/>
  <c r="BO124" i="5"/>
  <c r="BM124" i="5"/>
  <c r="BF124" i="5"/>
  <c r="BC124" i="5"/>
  <c r="AY124" i="5"/>
  <c r="AX124" i="5"/>
  <c r="AW124" i="5"/>
  <c r="AV124" i="5"/>
  <c r="AU124" i="5"/>
  <c r="AT124" i="5"/>
  <c r="AR124" i="5"/>
  <c r="AQ124" i="5"/>
  <c r="AP124" i="5"/>
  <c r="AO124" i="5"/>
  <c r="AN124" i="5"/>
  <c r="AM124" i="5"/>
  <c r="AL124" i="5"/>
  <c r="AH124" i="5"/>
  <c r="AF124" i="5"/>
  <c r="AD124" i="5"/>
  <c r="AB124" i="5"/>
  <c r="Y124" i="5"/>
  <c r="X124" i="5"/>
  <c r="W124" i="5"/>
  <c r="V124" i="5"/>
  <c r="U124" i="5"/>
  <c r="T124" i="5"/>
  <c r="S124" i="5"/>
  <c r="R124" i="5"/>
  <c r="Q124" i="5"/>
  <c r="P124" i="5"/>
  <c r="O124" i="5"/>
  <c r="N124" i="5"/>
  <c r="M124" i="5"/>
  <c r="L124" i="5"/>
  <c r="K124" i="5"/>
  <c r="J124" i="5"/>
  <c r="I124" i="5"/>
  <c r="H124" i="5"/>
  <c r="G124" i="5"/>
  <c r="F124" i="5"/>
  <c r="E124" i="5"/>
  <c r="D124" i="5"/>
  <c r="C124" i="5"/>
  <c r="B124" i="5"/>
  <c r="A124" i="5"/>
  <c r="CS123" i="5"/>
  <c r="CM123" i="5"/>
  <c r="CK123" i="5"/>
  <c r="CJ123" i="5"/>
  <c r="CI123" i="5"/>
  <c r="CG123" i="5"/>
  <c r="CF123" i="5"/>
  <c r="CE123" i="5"/>
  <c r="CD123" i="5"/>
  <c r="CC123" i="5"/>
  <c r="CB123" i="5"/>
  <c r="CA123" i="5"/>
  <c r="BZ123" i="5"/>
  <c r="BY123" i="5"/>
  <c r="BX123" i="5"/>
  <c r="BW123" i="5"/>
  <c r="BV123" i="5"/>
  <c r="BU123" i="5"/>
  <c r="BS123" i="5"/>
  <c r="BR123" i="5"/>
  <c r="BQ123" i="5"/>
  <c r="BP123" i="5"/>
  <c r="BO123" i="5"/>
  <c r="BM123" i="5"/>
  <c r="BF123" i="5"/>
  <c r="BC123" i="5"/>
  <c r="AY123" i="5"/>
  <c r="AX123" i="5"/>
  <c r="AW123" i="5"/>
  <c r="AV123" i="5"/>
  <c r="AU123" i="5"/>
  <c r="AT123" i="5"/>
  <c r="AR123" i="5"/>
  <c r="AQ123" i="5"/>
  <c r="AP123" i="5"/>
  <c r="AO123" i="5"/>
  <c r="AN123" i="5"/>
  <c r="AM123" i="5"/>
  <c r="AL123" i="5"/>
  <c r="AH123" i="5"/>
  <c r="AF123" i="5"/>
  <c r="AD123" i="5"/>
  <c r="AB123" i="5"/>
  <c r="Y123" i="5"/>
  <c r="X123" i="5"/>
  <c r="W123" i="5"/>
  <c r="V123" i="5"/>
  <c r="U123" i="5"/>
  <c r="T123" i="5"/>
  <c r="S123" i="5"/>
  <c r="R123" i="5"/>
  <c r="Q123" i="5"/>
  <c r="P123" i="5"/>
  <c r="O123" i="5"/>
  <c r="N123" i="5"/>
  <c r="M123" i="5"/>
  <c r="L123" i="5"/>
  <c r="K123" i="5"/>
  <c r="J123" i="5"/>
  <c r="I123" i="5"/>
  <c r="H123" i="5"/>
  <c r="G123" i="5"/>
  <c r="F123" i="5"/>
  <c r="E123" i="5"/>
  <c r="D123" i="5"/>
  <c r="C123" i="5"/>
  <c r="B123" i="5"/>
  <c r="A123" i="5"/>
  <c r="CS122" i="5"/>
  <c r="CM122" i="5"/>
  <c r="CJ122" i="5"/>
  <c r="CI122" i="5"/>
  <c r="CG122" i="5"/>
  <c r="CF122" i="5"/>
  <c r="CE122" i="5"/>
  <c r="CD122" i="5"/>
  <c r="CC122" i="5"/>
  <c r="CB122" i="5"/>
  <c r="CA122" i="5"/>
  <c r="BZ122" i="5"/>
  <c r="BY122" i="5"/>
  <c r="BX122" i="5"/>
  <c r="BW122" i="5"/>
  <c r="BV122" i="5"/>
  <c r="BU122" i="5"/>
  <c r="BS122" i="5"/>
  <c r="BR122" i="5"/>
  <c r="BQ122" i="5"/>
  <c r="BP122" i="5"/>
  <c r="BO122" i="5"/>
  <c r="BM122" i="5"/>
  <c r="BF122" i="5"/>
  <c r="BC122" i="5"/>
  <c r="AY122" i="5"/>
  <c r="AX122" i="5"/>
  <c r="AW122" i="5"/>
  <c r="AV122" i="5"/>
  <c r="AU122" i="5"/>
  <c r="AT122" i="5"/>
  <c r="AR122" i="5"/>
  <c r="AQ122" i="5"/>
  <c r="AP122" i="5"/>
  <c r="AO122" i="5"/>
  <c r="AN122" i="5"/>
  <c r="AM122" i="5"/>
  <c r="AL122" i="5"/>
  <c r="AH122" i="5"/>
  <c r="AF122" i="5"/>
  <c r="AD122" i="5"/>
  <c r="AB122" i="5"/>
  <c r="Y122" i="5"/>
  <c r="X122" i="5"/>
  <c r="W122" i="5"/>
  <c r="V122" i="5"/>
  <c r="U122" i="5"/>
  <c r="T122" i="5"/>
  <c r="S122" i="5"/>
  <c r="R122" i="5"/>
  <c r="Q122" i="5"/>
  <c r="P122" i="5"/>
  <c r="O122" i="5"/>
  <c r="N122" i="5"/>
  <c r="M122" i="5"/>
  <c r="L122" i="5"/>
  <c r="K122" i="5"/>
  <c r="J122" i="5"/>
  <c r="I122" i="5"/>
  <c r="H122" i="5"/>
  <c r="G122" i="5"/>
  <c r="F122" i="5"/>
  <c r="E122" i="5"/>
  <c r="D122" i="5"/>
  <c r="C122" i="5"/>
  <c r="B122" i="5"/>
  <c r="A122" i="5"/>
  <c r="CS121" i="5"/>
  <c r="CM121" i="5"/>
  <c r="CJ121" i="5"/>
  <c r="CI121" i="5"/>
  <c r="CG121" i="5"/>
  <c r="CF121" i="5"/>
  <c r="CE121" i="5"/>
  <c r="CD121" i="5"/>
  <c r="CC121" i="5"/>
  <c r="CB121" i="5"/>
  <c r="CA121" i="5"/>
  <c r="BZ121" i="5"/>
  <c r="BY121" i="5"/>
  <c r="BX121" i="5"/>
  <c r="BW121" i="5"/>
  <c r="BV121" i="5"/>
  <c r="BU121" i="5"/>
  <c r="BS121" i="5"/>
  <c r="BR121" i="5"/>
  <c r="BQ121" i="5"/>
  <c r="BP121" i="5"/>
  <c r="BO121" i="5"/>
  <c r="BM121" i="5"/>
  <c r="BF121" i="5"/>
  <c r="BC121" i="5"/>
  <c r="AY121" i="5"/>
  <c r="AX121" i="5"/>
  <c r="AW121" i="5"/>
  <c r="AV121" i="5"/>
  <c r="AU121" i="5"/>
  <c r="AT121" i="5"/>
  <c r="AR121" i="5"/>
  <c r="AQ121" i="5"/>
  <c r="AP121" i="5"/>
  <c r="AO121" i="5"/>
  <c r="AN121" i="5"/>
  <c r="AM121" i="5"/>
  <c r="AL121" i="5"/>
  <c r="AH121" i="5"/>
  <c r="AF121" i="5"/>
  <c r="AD121" i="5"/>
  <c r="AB121" i="5"/>
  <c r="Y121" i="5"/>
  <c r="X121" i="5"/>
  <c r="W121" i="5"/>
  <c r="V121" i="5"/>
  <c r="U121" i="5"/>
  <c r="T121" i="5"/>
  <c r="S121" i="5"/>
  <c r="R121" i="5"/>
  <c r="Q121" i="5"/>
  <c r="P121" i="5"/>
  <c r="O121" i="5"/>
  <c r="N121" i="5"/>
  <c r="M121" i="5"/>
  <c r="L121" i="5"/>
  <c r="K121" i="5"/>
  <c r="J121" i="5"/>
  <c r="I121" i="5"/>
  <c r="H121" i="5"/>
  <c r="G121" i="5"/>
  <c r="F121" i="5"/>
  <c r="E121" i="5"/>
  <c r="D121" i="5"/>
  <c r="C121" i="5"/>
  <c r="B121" i="5"/>
  <c r="A121" i="5"/>
  <c r="CS120" i="5"/>
  <c r="CM120" i="5"/>
  <c r="CK120" i="5"/>
  <c r="CJ120" i="5"/>
  <c r="CI120" i="5"/>
  <c r="CG120" i="5"/>
  <c r="CF120" i="5"/>
  <c r="CE120" i="5"/>
  <c r="CD120" i="5"/>
  <c r="CC120" i="5"/>
  <c r="CB120" i="5"/>
  <c r="CA120" i="5"/>
  <c r="BZ120" i="5"/>
  <c r="BY120" i="5"/>
  <c r="BX120" i="5"/>
  <c r="BW120" i="5"/>
  <c r="BV120" i="5"/>
  <c r="BU120" i="5"/>
  <c r="BS120" i="5"/>
  <c r="BR120" i="5"/>
  <c r="BQ120" i="5"/>
  <c r="BP120" i="5"/>
  <c r="BO120" i="5"/>
  <c r="BM120" i="5"/>
  <c r="BF120" i="5"/>
  <c r="BC120" i="5"/>
  <c r="AY120" i="5"/>
  <c r="AX120" i="5"/>
  <c r="AW120" i="5"/>
  <c r="AV120" i="5"/>
  <c r="AU120" i="5"/>
  <c r="AT120" i="5"/>
  <c r="AR120" i="5"/>
  <c r="AQ120" i="5"/>
  <c r="AP120" i="5"/>
  <c r="AO120" i="5"/>
  <c r="AN120" i="5"/>
  <c r="AM120" i="5"/>
  <c r="AL120" i="5"/>
  <c r="AH120" i="5"/>
  <c r="AF120" i="5"/>
  <c r="AD120" i="5"/>
  <c r="AB120" i="5"/>
  <c r="Y120" i="5"/>
  <c r="X120" i="5"/>
  <c r="W120" i="5"/>
  <c r="V120" i="5"/>
  <c r="U120" i="5"/>
  <c r="T120" i="5"/>
  <c r="S120" i="5"/>
  <c r="R120" i="5"/>
  <c r="Q120" i="5"/>
  <c r="P120" i="5"/>
  <c r="O120" i="5"/>
  <c r="N120" i="5"/>
  <c r="M120" i="5"/>
  <c r="L120" i="5"/>
  <c r="K120" i="5"/>
  <c r="J120" i="5"/>
  <c r="I120" i="5"/>
  <c r="H120" i="5"/>
  <c r="G120" i="5"/>
  <c r="F120" i="5"/>
  <c r="E120" i="5"/>
  <c r="D120" i="5"/>
  <c r="C120" i="5"/>
  <c r="B120" i="5"/>
  <c r="A120" i="5"/>
  <c r="CS119" i="5"/>
  <c r="CM119" i="5"/>
  <c r="CK119" i="5"/>
  <c r="CJ119" i="5"/>
  <c r="CI119" i="5"/>
  <c r="CG119" i="5"/>
  <c r="CF119" i="5"/>
  <c r="CE119" i="5"/>
  <c r="CD119" i="5"/>
  <c r="CC119" i="5"/>
  <c r="CB119" i="5"/>
  <c r="CA119" i="5"/>
  <c r="BZ119" i="5"/>
  <c r="BY119" i="5"/>
  <c r="BX119" i="5"/>
  <c r="BW119" i="5"/>
  <c r="BV119" i="5"/>
  <c r="BU119" i="5"/>
  <c r="BS119" i="5"/>
  <c r="BR119" i="5"/>
  <c r="BQ119" i="5"/>
  <c r="BP119" i="5"/>
  <c r="BO119" i="5"/>
  <c r="BM119" i="5"/>
  <c r="BF119" i="5"/>
  <c r="BC119" i="5"/>
  <c r="AY119" i="5"/>
  <c r="AX119" i="5"/>
  <c r="AW119" i="5"/>
  <c r="AV119" i="5"/>
  <c r="AU119" i="5"/>
  <c r="AT119" i="5"/>
  <c r="AR119" i="5"/>
  <c r="AQ119" i="5"/>
  <c r="AP119" i="5"/>
  <c r="AO119" i="5"/>
  <c r="AN119" i="5"/>
  <c r="AM119" i="5"/>
  <c r="AL119" i="5"/>
  <c r="AH119" i="5"/>
  <c r="AF119" i="5"/>
  <c r="AD119" i="5"/>
  <c r="AB119" i="5"/>
  <c r="Y119" i="5"/>
  <c r="X119" i="5"/>
  <c r="W119" i="5"/>
  <c r="V119" i="5"/>
  <c r="U119" i="5"/>
  <c r="T119" i="5"/>
  <c r="S119" i="5"/>
  <c r="R119" i="5"/>
  <c r="Q119" i="5"/>
  <c r="P119" i="5"/>
  <c r="O119" i="5"/>
  <c r="N119" i="5"/>
  <c r="M119" i="5"/>
  <c r="L119" i="5"/>
  <c r="K119" i="5"/>
  <c r="J119" i="5"/>
  <c r="I119" i="5"/>
  <c r="H119" i="5"/>
  <c r="G119" i="5"/>
  <c r="F119" i="5"/>
  <c r="E119" i="5"/>
  <c r="D119" i="5"/>
  <c r="C119" i="5"/>
  <c r="B119" i="5"/>
  <c r="A119" i="5"/>
  <c r="CS118" i="5"/>
  <c r="CM118" i="5"/>
  <c r="CK118" i="5"/>
  <c r="CJ118" i="5"/>
  <c r="CI118" i="5"/>
  <c r="CG118" i="5"/>
  <c r="CF118" i="5"/>
  <c r="CE118" i="5"/>
  <c r="CD118" i="5"/>
  <c r="CC118" i="5"/>
  <c r="CB118" i="5"/>
  <c r="CA118" i="5"/>
  <c r="BZ118" i="5"/>
  <c r="BY118" i="5"/>
  <c r="BX118" i="5"/>
  <c r="BW118" i="5"/>
  <c r="BV118" i="5"/>
  <c r="BU118" i="5"/>
  <c r="BS118" i="5"/>
  <c r="BR118" i="5"/>
  <c r="BQ118" i="5"/>
  <c r="BP118" i="5"/>
  <c r="BO118" i="5"/>
  <c r="BM118" i="5"/>
  <c r="BF118" i="5"/>
  <c r="BC118" i="5"/>
  <c r="AY118" i="5"/>
  <c r="AX118" i="5"/>
  <c r="AW118" i="5"/>
  <c r="AV118" i="5"/>
  <c r="AU118" i="5"/>
  <c r="AT118" i="5"/>
  <c r="AR118" i="5"/>
  <c r="AQ118" i="5"/>
  <c r="AP118" i="5"/>
  <c r="AO118" i="5"/>
  <c r="AN118" i="5"/>
  <c r="AM118" i="5"/>
  <c r="AL118" i="5"/>
  <c r="AH118" i="5"/>
  <c r="AF118" i="5"/>
  <c r="AD118" i="5"/>
  <c r="AB118" i="5"/>
  <c r="Y118" i="5"/>
  <c r="X118" i="5"/>
  <c r="W118" i="5"/>
  <c r="V118" i="5"/>
  <c r="U118" i="5"/>
  <c r="T118" i="5"/>
  <c r="S118" i="5"/>
  <c r="R118" i="5"/>
  <c r="Q118" i="5"/>
  <c r="P118" i="5"/>
  <c r="O118" i="5"/>
  <c r="N118" i="5"/>
  <c r="M118" i="5"/>
  <c r="L118" i="5"/>
  <c r="K118" i="5"/>
  <c r="J118" i="5"/>
  <c r="I118" i="5"/>
  <c r="H118" i="5"/>
  <c r="G118" i="5"/>
  <c r="F118" i="5"/>
  <c r="E118" i="5"/>
  <c r="D118" i="5"/>
  <c r="C118" i="5"/>
  <c r="B118" i="5"/>
  <c r="A118" i="5"/>
  <c r="CS117" i="5"/>
  <c r="CM117" i="5"/>
  <c r="CK117" i="5"/>
  <c r="CJ117" i="5"/>
  <c r="CI117" i="5"/>
  <c r="CG117" i="5"/>
  <c r="CF117" i="5"/>
  <c r="CE117" i="5"/>
  <c r="CD117" i="5"/>
  <c r="CC117" i="5"/>
  <c r="CB117" i="5"/>
  <c r="CA117" i="5"/>
  <c r="BZ117" i="5"/>
  <c r="BY117" i="5"/>
  <c r="BX117" i="5"/>
  <c r="BW117" i="5"/>
  <c r="BV117" i="5"/>
  <c r="BU117" i="5"/>
  <c r="BS117" i="5"/>
  <c r="BR117" i="5"/>
  <c r="BQ117" i="5"/>
  <c r="BP117" i="5"/>
  <c r="BO117" i="5"/>
  <c r="BM117" i="5"/>
  <c r="BF117" i="5"/>
  <c r="BC117" i="5"/>
  <c r="AY117" i="5"/>
  <c r="AX117" i="5"/>
  <c r="AW117" i="5"/>
  <c r="AV117" i="5"/>
  <c r="AU117" i="5"/>
  <c r="AT117" i="5"/>
  <c r="AR117" i="5"/>
  <c r="AQ117" i="5"/>
  <c r="AP117" i="5"/>
  <c r="AO117" i="5"/>
  <c r="AN117" i="5"/>
  <c r="AM117" i="5"/>
  <c r="AL117" i="5"/>
  <c r="AH117" i="5"/>
  <c r="AF117" i="5"/>
  <c r="AD117" i="5"/>
  <c r="AB117" i="5"/>
  <c r="Y117" i="5"/>
  <c r="X117" i="5"/>
  <c r="W117" i="5"/>
  <c r="V117" i="5"/>
  <c r="U117" i="5"/>
  <c r="T117" i="5"/>
  <c r="S117" i="5"/>
  <c r="R117" i="5"/>
  <c r="Q117" i="5"/>
  <c r="P117" i="5"/>
  <c r="O117" i="5"/>
  <c r="N117" i="5"/>
  <c r="M117" i="5"/>
  <c r="L117" i="5"/>
  <c r="K117" i="5"/>
  <c r="J117" i="5"/>
  <c r="I117" i="5"/>
  <c r="H117" i="5"/>
  <c r="G117" i="5"/>
  <c r="F117" i="5"/>
  <c r="E117" i="5"/>
  <c r="D117" i="5"/>
  <c r="C117" i="5"/>
  <c r="B117" i="5"/>
  <c r="A117" i="5"/>
  <c r="CS116" i="5"/>
  <c r="CM116" i="5"/>
  <c r="CK116" i="5"/>
  <c r="CJ116" i="5"/>
  <c r="CI116" i="5"/>
  <c r="CG116" i="5"/>
  <c r="CF116" i="5"/>
  <c r="CE116" i="5"/>
  <c r="CD116" i="5"/>
  <c r="CC116" i="5"/>
  <c r="CB116" i="5"/>
  <c r="CA116" i="5"/>
  <c r="BZ116" i="5"/>
  <c r="BY116" i="5"/>
  <c r="BX116" i="5"/>
  <c r="BW116" i="5"/>
  <c r="BV116" i="5"/>
  <c r="BU116" i="5"/>
  <c r="BS116" i="5"/>
  <c r="BR116" i="5"/>
  <c r="BQ116" i="5"/>
  <c r="BP116" i="5"/>
  <c r="BO116" i="5"/>
  <c r="BM116" i="5"/>
  <c r="BF116" i="5"/>
  <c r="BC116" i="5"/>
  <c r="AY116" i="5"/>
  <c r="AX116" i="5"/>
  <c r="AW116" i="5"/>
  <c r="AV116" i="5"/>
  <c r="AU116" i="5"/>
  <c r="AT116" i="5"/>
  <c r="AR116" i="5"/>
  <c r="AQ116" i="5"/>
  <c r="AP116" i="5"/>
  <c r="AO116" i="5"/>
  <c r="AN116" i="5"/>
  <c r="AM116" i="5"/>
  <c r="AL116" i="5"/>
  <c r="AH116" i="5"/>
  <c r="AF116" i="5"/>
  <c r="AD116" i="5"/>
  <c r="AB116" i="5"/>
  <c r="Y116" i="5"/>
  <c r="X116" i="5"/>
  <c r="W116" i="5"/>
  <c r="V116" i="5"/>
  <c r="U116" i="5"/>
  <c r="T116" i="5"/>
  <c r="S116" i="5"/>
  <c r="R116" i="5"/>
  <c r="Q116" i="5"/>
  <c r="P116" i="5"/>
  <c r="O116" i="5"/>
  <c r="N116" i="5"/>
  <c r="M116" i="5"/>
  <c r="L116" i="5"/>
  <c r="K116" i="5"/>
  <c r="J116" i="5"/>
  <c r="I116" i="5"/>
  <c r="H116" i="5"/>
  <c r="G116" i="5"/>
  <c r="F116" i="5"/>
  <c r="E116" i="5"/>
  <c r="D116" i="5"/>
  <c r="C116" i="5"/>
  <c r="B116" i="5"/>
  <c r="A116" i="5"/>
  <c r="CS115" i="5"/>
  <c r="CM115" i="5"/>
  <c r="CK115" i="5"/>
  <c r="CJ115" i="5"/>
  <c r="CI115" i="5"/>
  <c r="CG115" i="5"/>
  <c r="CF115" i="5"/>
  <c r="CE115" i="5"/>
  <c r="CD115" i="5"/>
  <c r="CC115" i="5"/>
  <c r="CB115" i="5"/>
  <c r="CA115" i="5"/>
  <c r="BZ115" i="5"/>
  <c r="BY115" i="5"/>
  <c r="BX115" i="5"/>
  <c r="BW115" i="5"/>
  <c r="BV115" i="5"/>
  <c r="BU115" i="5"/>
  <c r="BS115" i="5"/>
  <c r="BR115" i="5"/>
  <c r="BQ115" i="5"/>
  <c r="BP115" i="5"/>
  <c r="BO115" i="5"/>
  <c r="BM115" i="5"/>
  <c r="BF115" i="5"/>
  <c r="BC115" i="5"/>
  <c r="AY115" i="5"/>
  <c r="AX115" i="5"/>
  <c r="AW115" i="5"/>
  <c r="AV115" i="5"/>
  <c r="AU115" i="5"/>
  <c r="AT115" i="5"/>
  <c r="AR115" i="5"/>
  <c r="AQ115" i="5"/>
  <c r="AP115" i="5"/>
  <c r="AO115" i="5"/>
  <c r="AN115" i="5"/>
  <c r="AM115" i="5"/>
  <c r="AL115" i="5"/>
  <c r="AH115" i="5"/>
  <c r="AF115" i="5"/>
  <c r="AD115" i="5"/>
  <c r="AB115" i="5"/>
  <c r="Y115" i="5"/>
  <c r="X115" i="5"/>
  <c r="W115" i="5"/>
  <c r="V115" i="5"/>
  <c r="U115" i="5"/>
  <c r="T115" i="5"/>
  <c r="S115" i="5"/>
  <c r="R115" i="5"/>
  <c r="Q115" i="5"/>
  <c r="P115" i="5"/>
  <c r="O115" i="5"/>
  <c r="N115" i="5"/>
  <c r="M115" i="5"/>
  <c r="L115" i="5"/>
  <c r="K115" i="5"/>
  <c r="J115" i="5"/>
  <c r="I115" i="5"/>
  <c r="H115" i="5"/>
  <c r="G115" i="5"/>
  <c r="F115" i="5"/>
  <c r="E115" i="5"/>
  <c r="D115" i="5"/>
  <c r="C115" i="5"/>
  <c r="B115" i="5"/>
  <c r="A115" i="5"/>
  <c r="CS114" i="5"/>
  <c r="CM114" i="5"/>
  <c r="CK114" i="5"/>
  <c r="CJ114" i="5"/>
  <c r="CI114" i="5"/>
  <c r="CG114" i="5"/>
  <c r="CF114" i="5"/>
  <c r="CE114" i="5"/>
  <c r="CD114" i="5"/>
  <c r="CC114" i="5"/>
  <c r="CB114" i="5"/>
  <c r="CA114" i="5"/>
  <c r="BZ114" i="5"/>
  <c r="BY114" i="5"/>
  <c r="BX114" i="5"/>
  <c r="BW114" i="5"/>
  <c r="BV114" i="5"/>
  <c r="BU114" i="5"/>
  <c r="BS114" i="5"/>
  <c r="BR114" i="5"/>
  <c r="BQ114" i="5"/>
  <c r="BP114" i="5"/>
  <c r="BO114" i="5"/>
  <c r="BM114" i="5"/>
  <c r="BF114" i="5"/>
  <c r="BC114" i="5"/>
  <c r="AY114" i="5"/>
  <c r="AX114" i="5"/>
  <c r="AW114" i="5"/>
  <c r="AV114" i="5"/>
  <c r="AU114" i="5"/>
  <c r="AT114" i="5"/>
  <c r="AR114" i="5"/>
  <c r="AQ114" i="5"/>
  <c r="AP114" i="5"/>
  <c r="AO114" i="5"/>
  <c r="AN114" i="5"/>
  <c r="AM114" i="5"/>
  <c r="AL114" i="5"/>
  <c r="AH114" i="5"/>
  <c r="AF114" i="5"/>
  <c r="AD114" i="5"/>
  <c r="AB114" i="5"/>
  <c r="Y114" i="5"/>
  <c r="X114" i="5"/>
  <c r="W114" i="5"/>
  <c r="V114" i="5"/>
  <c r="U114" i="5"/>
  <c r="T114" i="5"/>
  <c r="S114" i="5"/>
  <c r="R114" i="5"/>
  <c r="Q114" i="5"/>
  <c r="P114" i="5"/>
  <c r="O114" i="5"/>
  <c r="N114" i="5"/>
  <c r="M114" i="5"/>
  <c r="L114" i="5"/>
  <c r="K114" i="5"/>
  <c r="J114" i="5"/>
  <c r="I114" i="5"/>
  <c r="H114" i="5"/>
  <c r="G114" i="5"/>
  <c r="F114" i="5"/>
  <c r="E114" i="5"/>
  <c r="D114" i="5"/>
  <c r="C114" i="5"/>
  <c r="B114" i="5"/>
  <c r="A114" i="5"/>
  <c r="CS113" i="5"/>
  <c r="CM113" i="5"/>
  <c r="CK113" i="5"/>
  <c r="CJ113" i="5"/>
  <c r="CI113" i="5"/>
  <c r="CG113" i="5"/>
  <c r="CF113" i="5"/>
  <c r="CE113" i="5"/>
  <c r="CD113" i="5"/>
  <c r="CC113" i="5"/>
  <c r="CB113" i="5"/>
  <c r="CA113" i="5"/>
  <c r="BZ113" i="5"/>
  <c r="BY113" i="5"/>
  <c r="BW113" i="5"/>
  <c r="BV113" i="5"/>
  <c r="BU113" i="5"/>
  <c r="BS113" i="5"/>
  <c r="BR113" i="5"/>
  <c r="BQ113" i="5"/>
  <c r="BP113" i="5"/>
  <c r="BO113" i="5"/>
  <c r="BM113" i="5"/>
  <c r="BF113" i="5"/>
  <c r="BC113" i="5"/>
  <c r="AY113" i="5"/>
  <c r="AX113" i="5"/>
  <c r="AW113" i="5"/>
  <c r="AV113" i="5"/>
  <c r="AU113" i="5"/>
  <c r="AT113" i="5"/>
  <c r="AR113" i="5"/>
  <c r="AQ113" i="5"/>
  <c r="AP113" i="5"/>
  <c r="AO113" i="5"/>
  <c r="AN113" i="5"/>
  <c r="AM113" i="5"/>
  <c r="AL113" i="5"/>
  <c r="AH113" i="5"/>
  <c r="AF113" i="5"/>
  <c r="AD113" i="5"/>
  <c r="AB113" i="5"/>
  <c r="Y113" i="5"/>
  <c r="X113" i="5"/>
  <c r="W113" i="5"/>
  <c r="V113" i="5"/>
  <c r="U113" i="5"/>
  <c r="T113" i="5"/>
  <c r="S113" i="5"/>
  <c r="R113" i="5"/>
  <c r="Q113" i="5"/>
  <c r="P113" i="5"/>
  <c r="O113" i="5"/>
  <c r="N113" i="5"/>
  <c r="M113" i="5"/>
  <c r="L113" i="5"/>
  <c r="K113" i="5"/>
  <c r="J113" i="5"/>
  <c r="I113" i="5"/>
  <c r="H113" i="5"/>
  <c r="G113" i="5"/>
  <c r="F113" i="5"/>
  <c r="E113" i="5"/>
  <c r="D113" i="5"/>
  <c r="C113" i="5"/>
  <c r="B113" i="5"/>
  <c r="A113" i="5"/>
  <c r="CS112" i="5"/>
  <c r="CM112" i="5"/>
  <c r="CK112" i="5"/>
  <c r="CJ112" i="5"/>
  <c r="CI112" i="5"/>
  <c r="CG112" i="5"/>
  <c r="CF112" i="5"/>
  <c r="CE112" i="5"/>
  <c r="CD112" i="5"/>
  <c r="CC112" i="5"/>
  <c r="CB112" i="5"/>
  <c r="CA112" i="5"/>
  <c r="BZ112" i="5"/>
  <c r="BY112" i="5"/>
  <c r="BX112" i="5"/>
  <c r="BW112" i="5"/>
  <c r="BV112" i="5"/>
  <c r="BU112" i="5"/>
  <c r="BS112" i="5"/>
  <c r="BR112" i="5"/>
  <c r="BQ112" i="5"/>
  <c r="BP112" i="5"/>
  <c r="BO112" i="5"/>
  <c r="BM112" i="5"/>
  <c r="BF112" i="5"/>
  <c r="BC112" i="5"/>
  <c r="AY112" i="5"/>
  <c r="AX112" i="5"/>
  <c r="AW112" i="5"/>
  <c r="AV112" i="5"/>
  <c r="AU112" i="5"/>
  <c r="AT112" i="5"/>
  <c r="AR112" i="5"/>
  <c r="AQ112" i="5"/>
  <c r="AP112" i="5"/>
  <c r="AO112" i="5"/>
  <c r="AN112" i="5"/>
  <c r="AM112" i="5"/>
  <c r="AL112" i="5"/>
  <c r="AH112" i="5"/>
  <c r="AF112" i="5"/>
  <c r="AD112" i="5"/>
  <c r="AB112" i="5"/>
  <c r="Y112" i="5"/>
  <c r="X112" i="5"/>
  <c r="W112" i="5"/>
  <c r="V112" i="5"/>
  <c r="U112" i="5"/>
  <c r="T112" i="5"/>
  <c r="S112" i="5"/>
  <c r="R112" i="5"/>
  <c r="Q112" i="5"/>
  <c r="P112" i="5"/>
  <c r="O112" i="5"/>
  <c r="N112" i="5"/>
  <c r="M112" i="5"/>
  <c r="L112" i="5"/>
  <c r="K112" i="5"/>
  <c r="J112" i="5"/>
  <c r="I112" i="5"/>
  <c r="H112" i="5"/>
  <c r="G112" i="5"/>
  <c r="F112" i="5"/>
  <c r="E112" i="5"/>
  <c r="D112" i="5"/>
  <c r="C112" i="5"/>
  <c r="B112" i="5"/>
  <c r="A112" i="5"/>
  <c r="CS111" i="5"/>
  <c r="CM111" i="5"/>
  <c r="CK111" i="5"/>
  <c r="CJ111" i="5"/>
  <c r="CI111" i="5"/>
  <c r="CG111" i="5"/>
  <c r="CF111" i="5"/>
  <c r="CE111" i="5"/>
  <c r="CD111" i="5"/>
  <c r="CC111" i="5"/>
  <c r="CB111" i="5"/>
  <c r="CA111" i="5"/>
  <c r="BZ111" i="5"/>
  <c r="BY111" i="5"/>
  <c r="BX111" i="5"/>
  <c r="BW111" i="5"/>
  <c r="BV111" i="5"/>
  <c r="BU111" i="5"/>
  <c r="BS111" i="5"/>
  <c r="BR111" i="5"/>
  <c r="BQ111" i="5"/>
  <c r="BP111" i="5"/>
  <c r="BO111" i="5"/>
  <c r="BM111" i="5"/>
  <c r="BF111" i="5"/>
  <c r="BC111" i="5"/>
  <c r="AY111" i="5"/>
  <c r="AX111" i="5"/>
  <c r="AW111" i="5"/>
  <c r="AV111" i="5"/>
  <c r="AU111" i="5"/>
  <c r="AT111" i="5"/>
  <c r="AR111" i="5"/>
  <c r="AQ111" i="5"/>
  <c r="AP111" i="5"/>
  <c r="AO111" i="5"/>
  <c r="AN111" i="5"/>
  <c r="AM111" i="5"/>
  <c r="AL111" i="5"/>
  <c r="AH111" i="5"/>
  <c r="AF111" i="5"/>
  <c r="AD111" i="5"/>
  <c r="AB111" i="5"/>
  <c r="Y111" i="5"/>
  <c r="X111" i="5"/>
  <c r="W111" i="5"/>
  <c r="V111" i="5"/>
  <c r="U111" i="5"/>
  <c r="T111" i="5"/>
  <c r="S111" i="5"/>
  <c r="R111" i="5"/>
  <c r="Q111" i="5"/>
  <c r="P111" i="5"/>
  <c r="O111" i="5"/>
  <c r="N111" i="5"/>
  <c r="M111" i="5"/>
  <c r="L111" i="5"/>
  <c r="K111" i="5"/>
  <c r="J111" i="5"/>
  <c r="I111" i="5"/>
  <c r="H111" i="5"/>
  <c r="G111" i="5"/>
  <c r="F111" i="5"/>
  <c r="E111" i="5"/>
  <c r="D111" i="5"/>
  <c r="C111" i="5"/>
  <c r="B111" i="5"/>
  <c r="A111" i="5"/>
  <c r="CS110" i="5"/>
  <c r="CM110" i="5"/>
  <c r="CK110" i="5"/>
  <c r="CJ110" i="5"/>
  <c r="CI110" i="5"/>
  <c r="CG110" i="5"/>
  <c r="CF110" i="5"/>
  <c r="CE110" i="5"/>
  <c r="CD110" i="5"/>
  <c r="CC110" i="5"/>
  <c r="CB110" i="5"/>
  <c r="CA110" i="5"/>
  <c r="BZ110" i="5"/>
  <c r="BY110" i="5"/>
  <c r="BX110" i="5"/>
  <c r="BW110" i="5"/>
  <c r="BV110" i="5"/>
  <c r="BU110" i="5"/>
  <c r="BS110" i="5"/>
  <c r="BR110" i="5"/>
  <c r="BQ110" i="5"/>
  <c r="BP110" i="5"/>
  <c r="BO110" i="5"/>
  <c r="BM110" i="5"/>
  <c r="BF110" i="5"/>
  <c r="BC110" i="5"/>
  <c r="AY110" i="5"/>
  <c r="AX110" i="5"/>
  <c r="AW110" i="5"/>
  <c r="AV110" i="5"/>
  <c r="AU110" i="5"/>
  <c r="AT110" i="5"/>
  <c r="AR110" i="5"/>
  <c r="AQ110" i="5"/>
  <c r="AP110" i="5"/>
  <c r="AO110" i="5"/>
  <c r="AN110" i="5"/>
  <c r="AM110" i="5"/>
  <c r="AL110" i="5"/>
  <c r="AH110" i="5"/>
  <c r="AF110" i="5"/>
  <c r="AD110" i="5"/>
  <c r="AB110" i="5"/>
  <c r="Y110" i="5"/>
  <c r="X110" i="5"/>
  <c r="W110" i="5"/>
  <c r="V110" i="5"/>
  <c r="U110" i="5"/>
  <c r="T110" i="5"/>
  <c r="S110" i="5"/>
  <c r="R110" i="5"/>
  <c r="Q110" i="5"/>
  <c r="P110" i="5"/>
  <c r="O110" i="5"/>
  <c r="N110" i="5"/>
  <c r="M110" i="5"/>
  <c r="L110" i="5"/>
  <c r="K110" i="5"/>
  <c r="J110" i="5"/>
  <c r="I110" i="5"/>
  <c r="H110" i="5"/>
  <c r="G110" i="5"/>
  <c r="F110" i="5"/>
  <c r="E110" i="5"/>
  <c r="D110" i="5"/>
  <c r="C110" i="5"/>
  <c r="B110" i="5"/>
  <c r="A110" i="5"/>
  <c r="CS109" i="5"/>
  <c r="CM109" i="5"/>
  <c r="CK109" i="5"/>
  <c r="CJ109" i="5"/>
  <c r="CI109" i="5"/>
  <c r="CG109" i="5"/>
  <c r="CF109" i="5"/>
  <c r="CE109" i="5"/>
  <c r="CD109" i="5"/>
  <c r="CC109" i="5"/>
  <c r="CB109" i="5"/>
  <c r="CA109" i="5"/>
  <c r="BZ109" i="5"/>
  <c r="BY109" i="5"/>
  <c r="BX109" i="5"/>
  <c r="BW109" i="5"/>
  <c r="BV109" i="5"/>
  <c r="BU109" i="5"/>
  <c r="BS109" i="5"/>
  <c r="BR109" i="5"/>
  <c r="BQ109" i="5"/>
  <c r="BP109" i="5"/>
  <c r="BO109" i="5"/>
  <c r="BM109" i="5"/>
  <c r="BF109" i="5"/>
  <c r="BC109" i="5"/>
  <c r="AY109" i="5"/>
  <c r="AX109" i="5"/>
  <c r="AW109" i="5"/>
  <c r="AV109" i="5"/>
  <c r="AU109" i="5"/>
  <c r="AT109" i="5"/>
  <c r="AR109" i="5"/>
  <c r="AQ109" i="5"/>
  <c r="AP109" i="5"/>
  <c r="AO109" i="5"/>
  <c r="AN109" i="5"/>
  <c r="AM109" i="5"/>
  <c r="AL109" i="5"/>
  <c r="AH109" i="5"/>
  <c r="AF109" i="5"/>
  <c r="AD109" i="5"/>
  <c r="AB109" i="5"/>
  <c r="Y109" i="5"/>
  <c r="X109" i="5"/>
  <c r="W109" i="5"/>
  <c r="V109" i="5"/>
  <c r="U109" i="5"/>
  <c r="T109" i="5"/>
  <c r="S109" i="5"/>
  <c r="R109" i="5"/>
  <c r="Q109" i="5"/>
  <c r="P109" i="5"/>
  <c r="O109" i="5"/>
  <c r="N109" i="5"/>
  <c r="M109" i="5"/>
  <c r="L109" i="5"/>
  <c r="K109" i="5"/>
  <c r="J109" i="5"/>
  <c r="I109" i="5"/>
  <c r="H109" i="5"/>
  <c r="G109" i="5"/>
  <c r="F109" i="5"/>
  <c r="E109" i="5"/>
  <c r="D109" i="5"/>
  <c r="C109" i="5"/>
  <c r="B109" i="5"/>
  <c r="A109" i="5"/>
  <c r="CS108" i="5"/>
  <c r="CM108" i="5"/>
  <c r="CK108" i="5"/>
  <c r="CJ108" i="5"/>
  <c r="CI108" i="5"/>
  <c r="CG108" i="5"/>
  <c r="CF108" i="5"/>
  <c r="CE108" i="5"/>
  <c r="CD108" i="5"/>
  <c r="CC108" i="5"/>
  <c r="CB108" i="5"/>
  <c r="CA108" i="5"/>
  <c r="BZ108" i="5"/>
  <c r="BY108" i="5"/>
  <c r="BX108" i="5"/>
  <c r="BW108" i="5"/>
  <c r="BV108" i="5"/>
  <c r="BU108" i="5"/>
  <c r="BS108" i="5"/>
  <c r="BR108" i="5"/>
  <c r="BQ108" i="5"/>
  <c r="BP108" i="5"/>
  <c r="BO108" i="5"/>
  <c r="BN108" i="5"/>
  <c r="BM108" i="5"/>
  <c r="BL108" i="5"/>
  <c r="BF108" i="5"/>
  <c r="BC108" i="5"/>
  <c r="AY108" i="5"/>
  <c r="AX108" i="5"/>
  <c r="AW108" i="5"/>
  <c r="AV108" i="5"/>
  <c r="AU108" i="5"/>
  <c r="AT108" i="5"/>
  <c r="AR108" i="5"/>
  <c r="AQ108" i="5"/>
  <c r="AP108" i="5"/>
  <c r="AO108" i="5"/>
  <c r="AN108" i="5"/>
  <c r="AM108" i="5"/>
  <c r="AL108" i="5"/>
  <c r="AH108" i="5"/>
  <c r="AF108" i="5"/>
  <c r="AD108" i="5"/>
  <c r="AB108" i="5"/>
  <c r="Y108" i="5"/>
  <c r="X108" i="5"/>
  <c r="W108" i="5"/>
  <c r="V108" i="5"/>
  <c r="U108" i="5"/>
  <c r="T108" i="5"/>
  <c r="S108" i="5"/>
  <c r="R108" i="5"/>
  <c r="Q108" i="5"/>
  <c r="P108" i="5"/>
  <c r="O108" i="5"/>
  <c r="N108" i="5"/>
  <c r="M108" i="5"/>
  <c r="L108" i="5"/>
  <c r="K108" i="5"/>
  <c r="J108" i="5"/>
  <c r="I108" i="5"/>
  <c r="H108" i="5"/>
  <c r="G108" i="5"/>
  <c r="F108" i="5"/>
  <c r="E108" i="5"/>
  <c r="D108" i="5"/>
  <c r="C108" i="5"/>
  <c r="B108" i="5"/>
  <c r="A108" i="5"/>
  <c r="CS107" i="5"/>
  <c r="CM107" i="5"/>
  <c r="CK107" i="5"/>
  <c r="CJ107" i="5"/>
  <c r="CI107" i="5"/>
  <c r="CG107" i="5"/>
  <c r="CF107" i="5"/>
  <c r="CE107" i="5"/>
  <c r="CD107" i="5"/>
  <c r="CC107" i="5"/>
  <c r="CB107" i="5"/>
  <c r="CA107" i="5"/>
  <c r="BZ107" i="5"/>
  <c r="BY107" i="5"/>
  <c r="BX107" i="5"/>
  <c r="BW107" i="5"/>
  <c r="BV107" i="5"/>
  <c r="BU107" i="5"/>
  <c r="BS107" i="5"/>
  <c r="BR107" i="5"/>
  <c r="BQ107" i="5"/>
  <c r="BP107" i="5"/>
  <c r="BO107" i="5"/>
  <c r="BM107" i="5"/>
  <c r="BF107" i="5"/>
  <c r="BC107" i="5"/>
  <c r="AY107" i="5"/>
  <c r="AX107" i="5"/>
  <c r="AW107" i="5"/>
  <c r="AV107" i="5"/>
  <c r="AU107" i="5"/>
  <c r="AT107" i="5"/>
  <c r="AR107" i="5"/>
  <c r="AQ107" i="5"/>
  <c r="AP107" i="5"/>
  <c r="AO107" i="5"/>
  <c r="AN107" i="5"/>
  <c r="AM107" i="5"/>
  <c r="AL107" i="5"/>
  <c r="AH107" i="5"/>
  <c r="AF107" i="5"/>
  <c r="AD107" i="5"/>
  <c r="AB107" i="5"/>
  <c r="Y107" i="5"/>
  <c r="X107" i="5"/>
  <c r="W107" i="5"/>
  <c r="V107" i="5"/>
  <c r="U107" i="5"/>
  <c r="T107" i="5"/>
  <c r="S107" i="5"/>
  <c r="R107" i="5"/>
  <c r="Q107" i="5"/>
  <c r="P107" i="5"/>
  <c r="O107" i="5"/>
  <c r="N107" i="5"/>
  <c r="M107" i="5"/>
  <c r="L107" i="5"/>
  <c r="K107" i="5"/>
  <c r="J107" i="5"/>
  <c r="I107" i="5"/>
  <c r="H107" i="5"/>
  <c r="G107" i="5"/>
  <c r="F107" i="5"/>
  <c r="E107" i="5"/>
  <c r="D107" i="5"/>
  <c r="C107" i="5"/>
  <c r="B107" i="5"/>
  <c r="A107" i="5"/>
  <c r="CS106" i="5"/>
  <c r="CM106" i="5"/>
  <c r="CJ106" i="5"/>
  <c r="CI106" i="5"/>
  <c r="CG106" i="5"/>
  <c r="CF106" i="5"/>
  <c r="CE106" i="5"/>
  <c r="CD106" i="5"/>
  <c r="CC106" i="5"/>
  <c r="CB106" i="5"/>
  <c r="CA106" i="5"/>
  <c r="BZ106" i="5"/>
  <c r="BY106" i="5"/>
  <c r="BW106" i="5"/>
  <c r="BV106" i="5"/>
  <c r="BU106" i="5"/>
  <c r="BS106" i="5"/>
  <c r="BR106" i="5"/>
  <c r="BQ106" i="5"/>
  <c r="BP106" i="5"/>
  <c r="BO106" i="5"/>
  <c r="BM106" i="5"/>
  <c r="BF106" i="5"/>
  <c r="BC106" i="5"/>
  <c r="AY106" i="5"/>
  <c r="AX106" i="5"/>
  <c r="AW106" i="5"/>
  <c r="AV106" i="5"/>
  <c r="AU106" i="5"/>
  <c r="AT106" i="5"/>
  <c r="AR106" i="5"/>
  <c r="AQ106" i="5"/>
  <c r="AP106" i="5"/>
  <c r="AO106" i="5"/>
  <c r="AN106" i="5"/>
  <c r="AM106" i="5"/>
  <c r="AL106" i="5"/>
  <c r="AH106" i="5"/>
  <c r="AF106" i="5"/>
  <c r="AD106" i="5"/>
  <c r="AB106" i="5"/>
  <c r="Y106" i="5"/>
  <c r="X106" i="5"/>
  <c r="W106" i="5"/>
  <c r="V106" i="5"/>
  <c r="U106" i="5"/>
  <c r="T106" i="5"/>
  <c r="S106" i="5"/>
  <c r="R106" i="5"/>
  <c r="Q106" i="5"/>
  <c r="P106" i="5"/>
  <c r="O106" i="5"/>
  <c r="N106" i="5"/>
  <c r="M106" i="5"/>
  <c r="L106" i="5"/>
  <c r="K106" i="5"/>
  <c r="J106" i="5"/>
  <c r="I106" i="5"/>
  <c r="H106" i="5"/>
  <c r="G106" i="5"/>
  <c r="F106" i="5"/>
  <c r="E106" i="5"/>
  <c r="D106" i="5"/>
  <c r="C106" i="5"/>
  <c r="B106" i="5"/>
  <c r="A106" i="5"/>
  <c r="CS105" i="5"/>
  <c r="CM105" i="5"/>
  <c r="CK105" i="5"/>
  <c r="CJ105" i="5"/>
  <c r="CI105" i="5"/>
  <c r="CG105" i="5"/>
  <c r="CF105" i="5"/>
  <c r="CE105" i="5"/>
  <c r="CD105" i="5"/>
  <c r="CC105" i="5"/>
  <c r="CB105" i="5"/>
  <c r="CA105" i="5"/>
  <c r="BZ105" i="5"/>
  <c r="BY105" i="5"/>
  <c r="BX105" i="5"/>
  <c r="BW105" i="5"/>
  <c r="BV105" i="5"/>
  <c r="BU105" i="5"/>
  <c r="BS105" i="5"/>
  <c r="BR105" i="5"/>
  <c r="BQ105" i="5"/>
  <c r="BP105" i="5"/>
  <c r="BO105" i="5"/>
  <c r="BM105" i="5"/>
  <c r="BL105" i="5"/>
  <c r="BF105" i="5"/>
  <c r="BC105" i="5"/>
  <c r="AZ105" i="5"/>
  <c r="AY105" i="5"/>
  <c r="AX105" i="5"/>
  <c r="AW105" i="5"/>
  <c r="AV105" i="5"/>
  <c r="AU105" i="5"/>
  <c r="AT105" i="5"/>
  <c r="AR105" i="5"/>
  <c r="AQ105" i="5"/>
  <c r="AP105" i="5"/>
  <c r="AO105" i="5"/>
  <c r="AN105" i="5"/>
  <c r="AM105" i="5"/>
  <c r="AL105" i="5"/>
  <c r="AH105" i="5"/>
  <c r="AF105" i="5"/>
  <c r="AD105" i="5"/>
  <c r="AB105" i="5"/>
  <c r="Y105" i="5"/>
  <c r="X105" i="5"/>
  <c r="W105" i="5"/>
  <c r="V105" i="5"/>
  <c r="U105" i="5"/>
  <c r="T105" i="5"/>
  <c r="S105" i="5"/>
  <c r="R105" i="5"/>
  <c r="Q105" i="5"/>
  <c r="P105" i="5"/>
  <c r="O105" i="5"/>
  <c r="N105" i="5"/>
  <c r="M105" i="5"/>
  <c r="L105" i="5"/>
  <c r="K105" i="5"/>
  <c r="J105" i="5"/>
  <c r="I105" i="5"/>
  <c r="H105" i="5"/>
  <c r="G105" i="5"/>
  <c r="F105" i="5"/>
  <c r="E105" i="5"/>
  <c r="D105" i="5"/>
  <c r="C105" i="5"/>
  <c r="B105" i="5"/>
  <c r="A105" i="5"/>
  <c r="CS104" i="5"/>
  <c r="CM104" i="5"/>
  <c r="CK104" i="5"/>
  <c r="CJ104" i="5"/>
  <c r="CI104" i="5"/>
  <c r="CG104" i="5"/>
  <c r="CF104" i="5"/>
  <c r="CE104" i="5"/>
  <c r="CD104" i="5"/>
  <c r="CC104" i="5"/>
  <c r="CB104" i="5"/>
  <c r="CA104" i="5"/>
  <c r="BZ104" i="5"/>
  <c r="BY104" i="5"/>
  <c r="BW104" i="5"/>
  <c r="BV104" i="5"/>
  <c r="BU104" i="5"/>
  <c r="BS104" i="5"/>
  <c r="BR104" i="5"/>
  <c r="BQ104" i="5"/>
  <c r="BP104" i="5"/>
  <c r="BO104" i="5"/>
  <c r="BM104" i="5"/>
  <c r="BF104" i="5"/>
  <c r="BC104" i="5"/>
  <c r="AZ104" i="5"/>
  <c r="AY104" i="5"/>
  <c r="AX104" i="5"/>
  <c r="AW104" i="5"/>
  <c r="AV104" i="5"/>
  <c r="AU104" i="5"/>
  <c r="AT104" i="5"/>
  <c r="AR104" i="5"/>
  <c r="AQ104" i="5"/>
  <c r="AP104" i="5"/>
  <c r="AO104" i="5"/>
  <c r="AN104" i="5"/>
  <c r="AM104" i="5"/>
  <c r="AL104" i="5"/>
  <c r="AH104" i="5"/>
  <c r="AF104" i="5"/>
  <c r="AD104" i="5"/>
  <c r="AB104" i="5"/>
  <c r="Y104" i="5"/>
  <c r="X104" i="5"/>
  <c r="W104" i="5"/>
  <c r="V104" i="5"/>
  <c r="U104" i="5"/>
  <c r="T104" i="5"/>
  <c r="S104" i="5"/>
  <c r="R104" i="5"/>
  <c r="Q104" i="5"/>
  <c r="P104" i="5"/>
  <c r="O104" i="5"/>
  <c r="N104" i="5"/>
  <c r="M104" i="5"/>
  <c r="L104" i="5"/>
  <c r="K104" i="5"/>
  <c r="J104" i="5"/>
  <c r="I104" i="5"/>
  <c r="H104" i="5"/>
  <c r="G104" i="5"/>
  <c r="F104" i="5"/>
  <c r="E104" i="5"/>
  <c r="D104" i="5"/>
  <c r="C104" i="5"/>
  <c r="B104" i="5"/>
  <c r="A104" i="5"/>
  <c r="CS103" i="5"/>
  <c r="CM103" i="5"/>
  <c r="CK103" i="5"/>
  <c r="CJ103" i="5"/>
  <c r="CI103" i="5"/>
  <c r="CG103" i="5"/>
  <c r="CF103" i="5"/>
  <c r="CE103" i="5"/>
  <c r="CD103" i="5"/>
  <c r="CC103" i="5"/>
  <c r="CB103" i="5"/>
  <c r="CA103" i="5"/>
  <c r="BZ103" i="5"/>
  <c r="BY103" i="5"/>
  <c r="BW103" i="5"/>
  <c r="BV103" i="5"/>
  <c r="BU103" i="5"/>
  <c r="BT103" i="5"/>
  <c r="BQ103" i="5"/>
  <c r="BP103" i="5"/>
  <c r="BO103" i="5"/>
  <c r="BM103" i="5"/>
  <c r="BF103" i="5"/>
  <c r="BC103" i="5"/>
  <c r="AZ103" i="5"/>
  <c r="AY103" i="5"/>
  <c r="AX103" i="5"/>
  <c r="AW103" i="5"/>
  <c r="AV103" i="5"/>
  <c r="AU103" i="5"/>
  <c r="AT103" i="5"/>
  <c r="AR103" i="5"/>
  <c r="AQ103" i="5"/>
  <c r="AP103" i="5"/>
  <c r="AO103" i="5"/>
  <c r="AN103" i="5"/>
  <c r="AM103" i="5"/>
  <c r="AL103" i="5"/>
  <c r="AH103" i="5"/>
  <c r="AF103" i="5"/>
  <c r="AD103" i="5"/>
  <c r="AB103" i="5"/>
  <c r="Y103" i="5"/>
  <c r="X103" i="5"/>
  <c r="W103" i="5"/>
  <c r="V103" i="5"/>
  <c r="U103" i="5"/>
  <c r="T103" i="5"/>
  <c r="S103" i="5"/>
  <c r="R103" i="5"/>
  <c r="Q103" i="5"/>
  <c r="P103" i="5"/>
  <c r="O103" i="5"/>
  <c r="N103" i="5"/>
  <c r="M103" i="5"/>
  <c r="L103" i="5"/>
  <c r="K103" i="5"/>
  <c r="J103" i="5"/>
  <c r="I103" i="5"/>
  <c r="H103" i="5"/>
  <c r="G103" i="5"/>
  <c r="F103" i="5"/>
  <c r="E103" i="5"/>
  <c r="D103" i="5"/>
  <c r="C103" i="5"/>
  <c r="B103" i="5"/>
  <c r="A103" i="5"/>
  <c r="CS102" i="5"/>
  <c r="CM102" i="5"/>
  <c r="CK102" i="5"/>
  <c r="CJ102" i="5"/>
  <c r="CI102" i="5"/>
  <c r="CG102" i="5"/>
  <c r="CF102" i="5"/>
  <c r="CE102" i="5"/>
  <c r="CD102" i="5"/>
  <c r="CC102" i="5"/>
  <c r="CB102" i="5"/>
  <c r="CA102" i="5"/>
  <c r="BZ102" i="5"/>
  <c r="BY102" i="5"/>
  <c r="BX102" i="5"/>
  <c r="BW102" i="5"/>
  <c r="BV102" i="5"/>
  <c r="BU102" i="5"/>
  <c r="BT102" i="5"/>
  <c r="BQ102" i="5"/>
  <c r="BP102" i="5"/>
  <c r="BO102" i="5"/>
  <c r="BM102" i="5"/>
  <c r="BF102" i="5"/>
  <c r="BC102" i="5"/>
  <c r="AZ102" i="5"/>
  <c r="AY102" i="5"/>
  <c r="AX102" i="5"/>
  <c r="AW102" i="5"/>
  <c r="AV102" i="5"/>
  <c r="AU102" i="5"/>
  <c r="AT102" i="5"/>
  <c r="AR102" i="5"/>
  <c r="AQ102" i="5"/>
  <c r="AP102" i="5"/>
  <c r="AO102" i="5"/>
  <c r="AN102" i="5"/>
  <c r="AM102" i="5"/>
  <c r="AL102" i="5"/>
  <c r="AH102" i="5"/>
  <c r="AF102" i="5"/>
  <c r="AD102" i="5"/>
  <c r="AB102" i="5"/>
  <c r="Y102" i="5"/>
  <c r="X102" i="5"/>
  <c r="W102" i="5"/>
  <c r="V102" i="5"/>
  <c r="U102" i="5"/>
  <c r="T102" i="5"/>
  <c r="S102" i="5"/>
  <c r="R102" i="5"/>
  <c r="Q102" i="5"/>
  <c r="P102" i="5"/>
  <c r="O102" i="5"/>
  <c r="N102" i="5"/>
  <c r="M102" i="5"/>
  <c r="L102" i="5"/>
  <c r="K102" i="5"/>
  <c r="J102" i="5"/>
  <c r="I102" i="5"/>
  <c r="H102" i="5"/>
  <c r="G102" i="5"/>
  <c r="F102" i="5"/>
  <c r="E102" i="5"/>
  <c r="D102" i="5"/>
  <c r="C102" i="5"/>
  <c r="B102" i="5"/>
  <c r="A102" i="5"/>
  <c r="CS101" i="5"/>
  <c r="CM101" i="5"/>
  <c r="CK101" i="5"/>
  <c r="CJ101" i="5"/>
  <c r="CI101" i="5"/>
  <c r="CG101" i="5"/>
  <c r="CF101" i="5"/>
  <c r="CE101" i="5"/>
  <c r="CD101" i="5"/>
  <c r="CC101" i="5"/>
  <c r="CB101" i="5"/>
  <c r="CA101" i="5"/>
  <c r="BZ101" i="5"/>
  <c r="BY101" i="5"/>
  <c r="BX101" i="5"/>
  <c r="BW101" i="5"/>
  <c r="BV101" i="5"/>
  <c r="BU101" i="5"/>
  <c r="BT101" i="5"/>
  <c r="BQ101" i="5"/>
  <c r="BP101" i="5"/>
  <c r="BO101" i="5"/>
  <c r="BM101" i="5"/>
  <c r="BF101" i="5"/>
  <c r="BC101" i="5"/>
  <c r="AZ101" i="5"/>
  <c r="AY101" i="5"/>
  <c r="AX101" i="5"/>
  <c r="AW101" i="5"/>
  <c r="AV101" i="5"/>
  <c r="AU101" i="5"/>
  <c r="AT101" i="5"/>
  <c r="AR101" i="5"/>
  <c r="AQ101" i="5"/>
  <c r="AP101" i="5"/>
  <c r="AO101" i="5"/>
  <c r="AN101" i="5"/>
  <c r="AM101" i="5"/>
  <c r="AL101" i="5"/>
  <c r="AH101" i="5"/>
  <c r="AF101" i="5"/>
  <c r="AD101" i="5"/>
  <c r="AB101" i="5"/>
  <c r="Y101" i="5"/>
  <c r="X101" i="5"/>
  <c r="W101" i="5"/>
  <c r="V101" i="5"/>
  <c r="U101" i="5"/>
  <c r="T101" i="5"/>
  <c r="S101" i="5"/>
  <c r="R101" i="5"/>
  <c r="Q101" i="5"/>
  <c r="P101" i="5"/>
  <c r="O101" i="5"/>
  <c r="N101" i="5"/>
  <c r="M101" i="5"/>
  <c r="L101" i="5"/>
  <c r="K101" i="5"/>
  <c r="J101" i="5"/>
  <c r="I101" i="5"/>
  <c r="H101" i="5"/>
  <c r="G101" i="5"/>
  <c r="F101" i="5"/>
  <c r="E101" i="5"/>
  <c r="D101" i="5"/>
  <c r="C101" i="5"/>
  <c r="B101" i="5"/>
  <c r="A101" i="5"/>
  <c r="CS100" i="5"/>
  <c r="CM100" i="5"/>
  <c r="CK100" i="5"/>
  <c r="CJ100" i="5"/>
  <c r="CI100" i="5"/>
  <c r="CG100" i="5"/>
  <c r="CF100" i="5"/>
  <c r="CE100" i="5"/>
  <c r="CD100" i="5"/>
  <c r="CC100" i="5"/>
  <c r="CB100" i="5"/>
  <c r="CA100" i="5"/>
  <c r="BZ100" i="5"/>
  <c r="BY100" i="5"/>
  <c r="BW100" i="5"/>
  <c r="BV100" i="5"/>
  <c r="BU100" i="5"/>
  <c r="BT100" i="5"/>
  <c r="BQ100" i="5"/>
  <c r="BP100" i="5"/>
  <c r="BO100" i="5"/>
  <c r="BM100" i="5"/>
  <c r="BF100" i="5"/>
  <c r="BC100" i="5"/>
  <c r="AZ100" i="5"/>
  <c r="AY100" i="5"/>
  <c r="AX100" i="5"/>
  <c r="AW100" i="5"/>
  <c r="AV100" i="5"/>
  <c r="AU100" i="5"/>
  <c r="AT100" i="5"/>
  <c r="AR100" i="5"/>
  <c r="AQ100" i="5"/>
  <c r="AP100" i="5"/>
  <c r="AO100" i="5"/>
  <c r="AN100" i="5"/>
  <c r="AM100" i="5"/>
  <c r="AL100" i="5"/>
  <c r="AH100" i="5"/>
  <c r="AF100" i="5"/>
  <c r="AD100" i="5"/>
  <c r="AB100" i="5"/>
  <c r="Y100" i="5"/>
  <c r="X100" i="5"/>
  <c r="W100" i="5"/>
  <c r="V100" i="5"/>
  <c r="U100" i="5"/>
  <c r="T100" i="5"/>
  <c r="S100" i="5"/>
  <c r="R100" i="5"/>
  <c r="Q100" i="5"/>
  <c r="P100" i="5"/>
  <c r="O100" i="5"/>
  <c r="N100" i="5"/>
  <c r="M100" i="5"/>
  <c r="L100" i="5"/>
  <c r="K100" i="5"/>
  <c r="J100" i="5"/>
  <c r="I100" i="5"/>
  <c r="H100" i="5"/>
  <c r="G100" i="5"/>
  <c r="F100" i="5"/>
  <c r="E100" i="5"/>
  <c r="D100" i="5"/>
  <c r="C100" i="5"/>
  <c r="B100" i="5"/>
  <c r="A100" i="5"/>
  <c r="CS99" i="5"/>
  <c r="CM99" i="5"/>
  <c r="CK99" i="5"/>
  <c r="CJ99" i="5"/>
  <c r="CI99" i="5"/>
  <c r="CG99" i="5"/>
  <c r="CF99" i="5"/>
  <c r="CE99" i="5"/>
  <c r="CD99" i="5"/>
  <c r="CC99" i="5"/>
  <c r="CB99" i="5"/>
  <c r="CA99" i="5"/>
  <c r="BZ99" i="5"/>
  <c r="BY99" i="5"/>
  <c r="BX99" i="5"/>
  <c r="BW99" i="5"/>
  <c r="BV99" i="5"/>
  <c r="BU99" i="5"/>
  <c r="BT99" i="5"/>
  <c r="BQ99" i="5"/>
  <c r="BP99" i="5"/>
  <c r="BO99" i="5"/>
  <c r="BM99" i="5"/>
  <c r="BF99" i="5"/>
  <c r="BC99" i="5"/>
  <c r="AZ99" i="5"/>
  <c r="AY99" i="5"/>
  <c r="AX99" i="5"/>
  <c r="AW99" i="5"/>
  <c r="AV99" i="5"/>
  <c r="AU99" i="5"/>
  <c r="AT99" i="5"/>
  <c r="AR99" i="5"/>
  <c r="AQ99" i="5"/>
  <c r="AP99" i="5"/>
  <c r="AO99" i="5"/>
  <c r="AN99" i="5"/>
  <c r="AM99" i="5"/>
  <c r="AL99" i="5"/>
  <c r="AH99" i="5"/>
  <c r="AF99" i="5"/>
  <c r="AD99" i="5"/>
  <c r="AB99" i="5"/>
  <c r="Y99" i="5"/>
  <c r="X99" i="5"/>
  <c r="W99" i="5"/>
  <c r="V99" i="5"/>
  <c r="U99" i="5"/>
  <c r="T99" i="5"/>
  <c r="S99" i="5"/>
  <c r="R99" i="5"/>
  <c r="Q99" i="5"/>
  <c r="P99" i="5"/>
  <c r="O99" i="5"/>
  <c r="N99" i="5"/>
  <c r="M99" i="5"/>
  <c r="L99" i="5"/>
  <c r="K99" i="5"/>
  <c r="J99" i="5"/>
  <c r="I99" i="5"/>
  <c r="H99" i="5"/>
  <c r="G99" i="5"/>
  <c r="F99" i="5"/>
  <c r="E99" i="5"/>
  <c r="D99" i="5"/>
  <c r="C99" i="5"/>
  <c r="B99" i="5"/>
  <c r="A99" i="5"/>
  <c r="CS98" i="5"/>
  <c r="CM98" i="5"/>
  <c r="CK98" i="5"/>
  <c r="CJ98" i="5"/>
  <c r="CI98" i="5"/>
  <c r="CG98" i="5"/>
  <c r="CF98" i="5"/>
  <c r="CE98" i="5"/>
  <c r="CD98" i="5"/>
  <c r="CC98" i="5"/>
  <c r="CB98" i="5"/>
  <c r="CA98" i="5"/>
  <c r="BZ98" i="5"/>
  <c r="BY98" i="5"/>
  <c r="BW98" i="5"/>
  <c r="BV98" i="5"/>
  <c r="BU98" i="5"/>
  <c r="BT98" i="5"/>
  <c r="BQ98" i="5"/>
  <c r="BP98" i="5"/>
  <c r="BO98" i="5"/>
  <c r="BM98" i="5"/>
  <c r="BF98" i="5"/>
  <c r="BC98" i="5"/>
  <c r="AZ98" i="5"/>
  <c r="AY98" i="5"/>
  <c r="AX98" i="5"/>
  <c r="AW98" i="5"/>
  <c r="AV98" i="5"/>
  <c r="AU98" i="5"/>
  <c r="AT98" i="5"/>
  <c r="AR98" i="5"/>
  <c r="AQ98" i="5"/>
  <c r="AP98" i="5"/>
  <c r="AO98" i="5"/>
  <c r="AN98" i="5"/>
  <c r="AM98" i="5"/>
  <c r="AL98" i="5"/>
  <c r="AH98" i="5"/>
  <c r="AF98" i="5"/>
  <c r="AD98" i="5"/>
  <c r="AB98" i="5"/>
  <c r="Y98" i="5"/>
  <c r="X98" i="5"/>
  <c r="W98" i="5"/>
  <c r="V98" i="5"/>
  <c r="U98" i="5"/>
  <c r="T98" i="5"/>
  <c r="S98" i="5"/>
  <c r="R98" i="5"/>
  <c r="Q98" i="5"/>
  <c r="P98" i="5"/>
  <c r="O98" i="5"/>
  <c r="N98" i="5"/>
  <c r="M98" i="5"/>
  <c r="L98" i="5"/>
  <c r="K98" i="5"/>
  <c r="J98" i="5"/>
  <c r="I98" i="5"/>
  <c r="H98" i="5"/>
  <c r="G98" i="5"/>
  <c r="F98" i="5"/>
  <c r="E98" i="5"/>
  <c r="D98" i="5"/>
  <c r="C98" i="5"/>
  <c r="B98" i="5"/>
  <c r="A98" i="5"/>
  <c r="CS97" i="5"/>
  <c r="CM97" i="5"/>
  <c r="CK97" i="5"/>
  <c r="CJ97" i="5"/>
  <c r="CI97" i="5"/>
  <c r="CG97" i="5"/>
  <c r="CF97" i="5"/>
  <c r="CE97" i="5"/>
  <c r="CD97" i="5"/>
  <c r="CC97" i="5"/>
  <c r="CB97" i="5"/>
  <c r="CA97" i="5"/>
  <c r="BZ97" i="5"/>
  <c r="BY97" i="5"/>
  <c r="BW97" i="5"/>
  <c r="BV97" i="5"/>
  <c r="BU97" i="5"/>
  <c r="BT97" i="5"/>
  <c r="BQ97" i="5"/>
  <c r="BP97" i="5"/>
  <c r="BO97" i="5"/>
  <c r="BM97" i="5"/>
  <c r="BF97" i="5"/>
  <c r="BC97" i="5"/>
  <c r="AZ97" i="5"/>
  <c r="AY97" i="5"/>
  <c r="AX97" i="5"/>
  <c r="AW97" i="5"/>
  <c r="AV97" i="5"/>
  <c r="AU97" i="5"/>
  <c r="AT97" i="5"/>
  <c r="AR97" i="5"/>
  <c r="AQ97" i="5"/>
  <c r="AP97" i="5"/>
  <c r="AO97" i="5"/>
  <c r="AN97" i="5"/>
  <c r="AM97" i="5"/>
  <c r="AL97" i="5"/>
  <c r="AH97" i="5"/>
  <c r="AF97" i="5"/>
  <c r="AD97" i="5"/>
  <c r="AB97" i="5"/>
  <c r="Y97" i="5"/>
  <c r="X97" i="5"/>
  <c r="W97" i="5"/>
  <c r="V97" i="5"/>
  <c r="U97" i="5"/>
  <c r="T97" i="5"/>
  <c r="S97" i="5"/>
  <c r="R97" i="5"/>
  <c r="Q97" i="5"/>
  <c r="P97" i="5"/>
  <c r="O97" i="5"/>
  <c r="N97" i="5"/>
  <c r="M97" i="5"/>
  <c r="L97" i="5"/>
  <c r="K97" i="5"/>
  <c r="J97" i="5"/>
  <c r="I97" i="5"/>
  <c r="H97" i="5"/>
  <c r="G97" i="5"/>
  <c r="F97" i="5"/>
  <c r="E97" i="5"/>
  <c r="D97" i="5"/>
  <c r="C97" i="5"/>
  <c r="B97" i="5"/>
  <c r="A97" i="5"/>
  <c r="CS96" i="5"/>
  <c r="CM96" i="5"/>
  <c r="CK96" i="5"/>
  <c r="CJ96" i="5"/>
  <c r="CI96" i="5"/>
  <c r="CG96" i="5"/>
  <c r="CF96" i="5"/>
  <c r="CE96" i="5"/>
  <c r="CD96" i="5"/>
  <c r="CC96" i="5"/>
  <c r="CB96" i="5"/>
  <c r="CA96" i="5"/>
  <c r="BZ96" i="5"/>
  <c r="BY96" i="5"/>
  <c r="BW96" i="5"/>
  <c r="BV96" i="5"/>
  <c r="BU96" i="5"/>
  <c r="BT96" i="5"/>
  <c r="BQ96" i="5"/>
  <c r="BP96" i="5"/>
  <c r="BO96" i="5"/>
  <c r="BM96" i="5"/>
  <c r="BF96" i="5"/>
  <c r="BC96" i="5"/>
  <c r="AZ96" i="5"/>
  <c r="AY96" i="5"/>
  <c r="AX96" i="5"/>
  <c r="AW96" i="5"/>
  <c r="AV96" i="5"/>
  <c r="AU96" i="5"/>
  <c r="AT96" i="5"/>
  <c r="AR96" i="5"/>
  <c r="AQ96" i="5"/>
  <c r="AP96" i="5"/>
  <c r="AO96" i="5"/>
  <c r="AN96" i="5"/>
  <c r="AM96" i="5"/>
  <c r="AL96" i="5"/>
  <c r="AH96" i="5"/>
  <c r="AF96" i="5"/>
  <c r="AD96" i="5"/>
  <c r="AB96" i="5"/>
  <c r="Y96" i="5"/>
  <c r="X96" i="5"/>
  <c r="W96" i="5"/>
  <c r="V96" i="5"/>
  <c r="U96" i="5"/>
  <c r="T96" i="5"/>
  <c r="S96" i="5"/>
  <c r="R96" i="5"/>
  <c r="Q96" i="5"/>
  <c r="P96" i="5"/>
  <c r="O96" i="5"/>
  <c r="N96" i="5"/>
  <c r="M96" i="5"/>
  <c r="L96" i="5"/>
  <c r="K96" i="5"/>
  <c r="J96" i="5"/>
  <c r="I96" i="5"/>
  <c r="H96" i="5"/>
  <c r="G96" i="5"/>
  <c r="F96" i="5"/>
  <c r="E96" i="5"/>
  <c r="D96" i="5"/>
  <c r="C96" i="5"/>
  <c r="B96" i="5"/>
  <c r="A96" i="5"/>
  <c r="CS95" i="5"/>
  <c r="CM95" i="5"/>
  <c r="CK95" i="5"/>
  <c r="CJ95" i="5"/>
  <c r="CI95" i="5"/>
  <c r="CG95" i="5"/>
  <c r="CF95" i="5"/>
  <c r="CE95" i="5"/>
  <c r="CD95" i="5"/>
  <c r="CC95" i="5"/>
  <c r="CB95" i="5"/>
  <c r="CA95" i="5"/>
  <c r="BY95" i="5"/>
  <c r="BW95" i="5"/>
  <c r="BV95" i="5"/>
  <c r="BU95" i="5"/>
  <c r="BQ95" i="5"/>
  <c r="BP95" i="5"/>
  <c r="BO95" i="5"/>
  <c r="BM95" i="5"/>
  <c r="BF95" i="5"/>
  <c r="BC95" i="5"/>
  <c r="AZ95" i="5"/>
  <c r="AY95" i="5"/>
  <c r="AX95" i="5"/>
  <c r="AW95" i="5"/>
  <c r="AV95" i="5"/>
  <c r="AU95" i="5"/>
  <c r="AT95" i="5"/>
  <c r="AR95" i="5"/>
  <c r="AQ95" i="5"/>
  <c r="AP95" i="5"/>
  <c r="AO95" i="5"/>
  <c r="AN95" i="5"/>
  <c r="AM95" i="5"/>
  <c r="AL95" i="5"/>
  <c r="AH95" i="5"/>
  <c r="AF95" i="5"/>
  <c r="AD95" i="5"/>
  <c r="AB95" i="5"/>
  <c r="Y95" i="5"/>
  <c r="X95" i="5"/>
  <c r="W95" i="5"/>
  <c r="V95" i="5"/>
  <c r="U95" i="5"/>
  <c r="T95" i="5"/>
  <c r="S95" i="5"/>
  <c r="R95" i="5"/>
  <c r="Q95" i="5"/>
  <c r="P95" i="5"/>
  <c r="O95" i="5"/>
  <c r="N95" i="5"/>
  <c r="M95" i="5"/>
  <c r="L95" i="5"/>
  <c r="K95" i="5"/>
  <c r="J95" i="5"/>
  <c r="I95" i="5"/>
  <c r="H95" i="5"/>
  <c r="G95" i="5"/>
  <c r="F95" i="5"/>
  <c r="E95" i="5"/>
  <c r="D95" i="5"/>
  <c r="C95" i="5"/>
  <c r="B95" i="5"/>
  <c r="A95" i="5"/>
  <c r="CS94" i="5"/>
  <c r="CM94" i="5"/>
  <c r="CK94" i="5"/>
  <c r="CJ94" i="5"/>
  <c r="CI94" i="5"/>
  <c r="CG94" i="5"/>
  <c r="CF94" i="5"/>
  <c r="CE94" i="5"/>
  <c r="CD94" i="5"/>
  <c r="CC94" i="5"/>
  <c r="CB94" i="5"/>
  <c r="CA94" i="5"/>
  <c r="BZ94" i="5"/>
  <c r="BY94" i="5"/>
  <c r="BW94" i="5"/>
  <c r="BV94" i="5"/>
  <c r="BU94" i="5"/>
  <c r="BT94" i="5"/>
  <c r="BQ94" i="5"/>
  <c r="BP94" i="5"/>
  <c r="BO94" i="5"/>
  <c r="BM94" i="5"/>
  <c r="BF94" i="5"/>
  <c r="BC94" i="5"/>
  <c r="AZ94" i="5"/>
  <c r="AY94" i="5"/>
  <c r="AX94" i="5"/>
  <c r="AW94" i="5"/>
  <c r="AV94" i="5"/>
  <c r="AU94" i="5"/>
  <c r="AT94" i="5"/>
  <c r="AR94" i="5"/>
  <c r="AQ94" i="5"/>
  <c r="AP94" i="5"/>
  <c r="AO94" i="5"/>
  <c r="AN94" i="5"/>
  <c r="AM94" i="5"/>
  <c r="AL94" i="5"/>
  <c r="AH94" i="5"/>
  <c r="AF94" i="5"/>
  <c r="AD94" i="5"/>
  <c r="AB94" i="5"/>
  <c r="Y94" i="5"/>
  <c r="X94" i="5"/>
  <c r="W94" i="5"/>
  <c r="V94" i="5"/>
  <c r="U94" i="5"/>
  <c r="T94" i="5"/>
  <c r="S94" i="5"/>
  <c r="R94" i="5"/>
  <c r="Q94" i="5"/>
  <c r="P94" i="5"/>
  <c r="O94" i="5"/>
  <c r="N94" i="5"/>
  <c r="M94" i="5"/>
  <c r="L94" i="5"/>
  <c r="K94" i="5"/>
  <c r="J94" i="5"/>
  <c r="I94" i="5"/>
  <c r="H94" i="5"/>
  <c r="G94" i="5"/>
  <c r="F94" i="5"/>
  <c r="E94" i="5"/>
  <c r="D94" i="5"/>
  <c r="C94" i="5"/>
  <c r="B94" i="5"/>
  <c r="A94" i="5"/>
  <c r="CS93" i="5"/>
  <c r="CM93" i="5"/>
  <c r="CK93" i="5"/>
  <c r="CJ93" i="5"/>
  <c r="CI93" i="5"/>
  <c r="CG93" i="5"/>
  <c r="CF93" i="5"/>
  <c r="CE93" i="5"/>
  <c r="CD93" i="5"/>
  <c r="CC93" i="5"/>
  <c r="CB93" i="5"/>
  <c r="CA93" i="5"/>
  <c r="BY93" i="5"/>
  <c r="BW93" i="5"/>
  <c r="BV93" i="5"/>
  <c r="BU93" i="5"/>
  <c r="BQ93" i="5"/>
  <c r="BP93" i="5"/>
  <c r="BO93" i="5"/>
  <c r="BM93" i="5"/>
  <c r="BF93" i="5"/>
  <c r="BC93" i="5"/>
  <c r="AY93" i="5"/>
  <c r="AX93" i="5"/>
  <c r="AW93" i="5"/>
  <c r="AV93" i="5"/>
  <c r="AU93" i="5"/>
  <c r="AT93" i="5"/>
  <c r="AR93" i="5"/>
  <c r="AQ93" i="5"/>
  <c r="AP93" i="5"/>
  <c r="AO93" i="5"/>
  <c r="AN93" i="5"/>
  <c r="AM93" i="5"/>
  <c r="AL93" i="5"/>
  <c r="AH93" i="5"/>
  <c r="AF93" i="5"/>
  <c r="AD93" i="5"/>
  <c r="AB93" i="5"/>
  <c r="Y93" i="5"/>
  <c r="X93" i="5"/>
  <c r="W93" i="5"/>
  <c r="V93" i="5"/>
  <c r="U93" i="5"/>
  <c r="T93" i="5"/>
  <c r="S93" i="5"/>
  <c r="R93" i="5"/>
  <c r="Q93" i="5"/>
  <c r="P93" i="5"/>
  <c r="O93" i="5"/>
  <c r="N93" i="5"/>
  <c r="M93" i="5"/>
  <c r="L93" i="5"/>
  <c r="K93" i="5"/>
  <c r="J93" i="5"/>
  <c r="I93" i="5"/>
  <c r="H93" i="5"/>
  <c r="G93" i="5"/>
  <c r="F93" i="5"/>
  <c r="E93" i="5"/>
  <c r="D93" i="5"/>
  <c r="C93" i="5"/>
  <c r="B93" i="5"/>
  <c r="A93" i="5"/>
  <c r="CS92" i="5"/>
  <c r="CM92" i="5"/>
  <c r="CK92" i="5"/>
  <c r="CJ92" i="5"/>
  <c r="CI92" i="5"/>
  <c r="CG92" i="5"/>
  <c r="CF92" i="5"/>
  <c r="CE92" i="5"/>
  <c r="CD92" i="5"/>
  <c r="CC92" i="5"/>
  <c r="CB92" i="5"/>
  <c r="CA92" i="5"/>
  <c r="BY92" i="5"/>
  <c r="BW92" i="5"/>
  <c r="BV92" i="5"/>
  <c r="BU92" i="5"/>
  <c r="BQ92" i="5"/>
  <c r="BP92" i="5"/>
  <c r="BO92" i="5"/>
  <c r="BM92" i="5"/>
  <c r="BF92" i="5"/>
  <c r="BC92" i="5"/>
  <c r="AZ92" i="5"/>
  <c r="AY92" i="5"/>
  <c r="AX92" i="5"/>
  <c r="AW92" i="5"/>
  <c r="AV92" i="5"/>
  <c r="AU92" i="5"/>
  <c r="AT92" i="5"/>
  <c r="AR92" i="5"/>
  <c r="AQ92" i="5"/>
  <c r="AP92" i="5"/>
  <c r="AO92" i="5"/>
  <c r="AN92" i="5"/>
  <c r="AM92" i="5"/>
  <c r="AL92" i="5"/>
  <c r="AH92" i="5"/>
  <c r="AF92" i="5"/>
  <c r="AD92" i="5"/>
  <c r="AB92" i="5"/>
  <c r="Y92" i="5"/>
  <c r="X92" i="5"/>
  <c r="W92" i="5"/>
  <c r="V92" i="5"/>
  <c r="U92" i="5"/>
  <c r="T92" i="5"/>
  <c r="S92" i="5"/>
  <c r="R92" i="5"/>
  <c r="Q92" i="5"/>
  <c r="P92" i="5"/>
  <c r="O92" i="5"/>
  <c r="N92" i="5"/>
  <c r="M92" i="5"/>
  <c r="L92" i="5"/>
  <c r="K92" i="5"/>
  <c r="J92" i="5"/>
  <c r="I92" i="5"/>
  <c r="H92" i="5"/>
  <c r="G92" i="5"/>
  <c r="F92" i="5"/>
  <c r="E92" i="5"/>
  <c r="D92" i="5"/>
  <c r="C92" i="5"/>
  <c r="B92" i="5"/>
  <c r="A92" i="5"/>
  <c r="CS91" i="5"/>
  <c r="CM91" i="5"/>
  <c r="CK91" i="5"/>
  <c r="CJ91" i="5"/>
  <c r="CI91" i="5"/>
  <c r="CG91" i="5"/>
  <c r="CF91" i="5"/>
  <c r="CE91" i="5"/>
  <c r="CD91" i="5"/>
  <c r="CC91" i="5"/>
  <c r="CB91" i="5"/>
  <c r="CA91" i="5"/>
  <c r="BY91" i="5"/>
  <c r="BW91" i="5"/>
  <c r="BV91" i="5"/>
  <c r="BU91" i="5"/>
  <c r="BQ91" i="5"/>
  <c r="BP91" i="5"/>
  <c r="BO91" i="5"/>
  <c r="BM91" i="5"/>
  <c r="BF91" i="5"/>
  <c r="BC91" i="5"/>
  <c r="AZ91" i="5"/>
  <c r="AY91" i="5"/>
  <c r="AX91" i="5"/>
  <c r="AW91" i="5"/>
  <c r="AV91" i="5"/>
  <c r="AU91" i="5"/>
  <c r="AT91" i="5"/>
  <c r="AR91" i="5"/>
  <c r="AQ91" i="5"/>
  <c r="AP91" i="5"/>
  <c r="AO91" i="5"/>
  <c r="AN91" i="5"/>
  <c r="AM91" i="5"/>
  <c r="AL91" i="5"/>
  <c r="AH91" i="5"/>
  <c r="AF91" i="5"/>
  <c r="AD91" i="5"/>
  <c r="AB91" i="5"/>
  <c r="Y91" i="5"/>
  <c r="X91" i="5"/>
  <c r="W91" i="5"/>
  <c r="V91" i="5"/>
  <c r="U91" i="5"/>
  <c r="T91" i="5"/>
  <c r="S91" i="5"/>
  <c r="R91" i="5"/>
  <c r="Q91" i="5"/>
  <c r="P91" i="5"/>
  <c r="O91" i="5"/>
  <c r="N91" i="5"/>
  <c r="M91" i="5"/>
  <c r="L91" i="5"/>
  <c r="K91" i="5"/>
  <c r="J91" i="5"/>
  <c r="I91" i="5"/>
  <c r="H91" i="5"/>
  <c r="G91" i="5"/>
  <c r="F91" i="5"/>
  <c r="E91" i="5"/>
  <c r="D91" i="5"/>
  <c r="C91" i="5"/>
  <c r="B91" i="5"/>
  <c r="A91" i="5"/>
  <c r="CS90" i="5"/>
  <c r="CM90" i="5"/>
  <c r="CK90" i="5"/>
  <c r="CJ90" i="5"/>
  <c r="CI90" i="5"/>
  <c r="CG90" i="5"/>
  <c r="CF90" i="5"/>
  <c r="CE90" i="5"/>
  <c r="CD90" i="5"/>
  <c r="CC90" i="5"/>
  <c r="CB90" i="5"/>
  <c r="CA90" i="5"/>
  <c r="BY90" i="5"/>
  <c r="BW90" i="5"/>
  <c r="BV90" i="5"/>
  <c r="BU90" i="5"/>
  <c r="BQ90" i="5"/>
  <c r="BP90" i="5"/>
  <c r="BO90" i="5"/>
  <c r="BM90" i="5"/>
  <c r="BF90" i="5"/>
  <c r="BC90" i="5"/>
  <c r="AZ90" i="5"/>
  <c r="AY90" i="5"/>
  <c r="AX90" i="5"/>
  <c r="AW90" i="5"/>
  <c r="AV90" i="5"/>
  <c r="AU90" i="5"/>
  <c r="AT90" i="5"/>
  <c r="AR90" i="5"/>
  <c r="AQ90" i="5"/>
  <c r="AP90" i="5"/>
  <c r="AO90" i="5"/>
  <c r="AN90" i="5"/>
  <c r="AM90" i="5"/>
  <c r="AL90" i="5"/>
  <c r="AH90" i="5"/>
  <c r="AF90" i="5"/>
  <c r="AD90" i="5"/>
  <c r="AB90" i="5"/>
  <c r="Y90" i="5"/>
  <c r="X90" i="5"/>
  <c r="W90" i="5"/>
  <c r="V90" i="5"/>
  <c r="U90" i="5"/>
  <c r="T90" i="5"/>
  <c r="S90" i="5"/>
  <c r="R90" i="5"/>
  <c r="Q90" i="5"/>
  <c r="P90" i="5"/>
  <c r="O90" i="5"/>
  <c r="N90" i="5"/>
  <c r="M90" i="5"/>
  <c r="L90" i="5"/>
  <c r="K90" i="5"/>
  <c r="J90" i="5"/>
  <c r="I90" i="5"/>
  <c r="H90" i="5"/>
  <c r="G90" i="5"/>
  <c r="F90" i="5"/>
  <c r="E90" i="5"/>
  <c r="D90" i="5"/>
  <c r="C90" i="5"/>
  <c r="B90" i="5"/>
  <c r="A90" i="5"/>
  <c r="CS89" i="5"/>
  <c r="CM89" i="5"/>
  <c r="CK89" i="5"/>
  <c r="CJ89" i="5"/>
  <c r="CI89" i="5"/>
  <c r="CG89" i="5"/>
  <c r="CF89" i="5"/>
  <c r="CE89" i="5"/>
  <c r="CD89" i="5"/>
  <c r="CC89" i="5"/>
  <c r="CB89" i="5"/>
  <c r="CA89" i="5"/>
  <c r="BY89" i="5"/>
  <c r="BW89" i="5"/>
  <c r="BV89" i="5"/>
  <c r="BU89" i="5"/>
  <c r="BQ89" i="5"/>
  <c r="BP89" i="5"/>
  <c r="BO89" i="5"/>
  <c r="BM89" i="5"/>
  <c r="BF89" i="5"/>
  <c r="BC89" i="5"/>
  <c r="AZ89" i="5"/>
  <c r="AY89" i="5"/>
  <c r="AX89" i="5"/>
  <c r="AW89" i="5"/>
  <c r="AV89" i="5"/>
  <c r="AU89" i="5"/>
  <c r="AT89" i="5"/>
  <c r="AR89" i="5"/>
  <c r="AQ89" i="5"/>
  <c r="AP89" i="5"/>
  <c r="AO89" i="5"/>
  <c r="AN89" i="5"/>
  <c r="AM89" i="5"/>
  <c r="AL89" i="5"/>
  <c r="AH89" i="5"/>
  <c r="AF89" i="5"/>
  <c r="AD89" i="5"/>
  <c r="AB89" i="5"/>
  <c r="Y89" i="5"/>
  <c r="X89" i="5"/>
  <c r="W89" i="5"/>
  <c r="V89" i="5"/>
  <c r="U89" i="5"/>
  <c r="T89" i="5"/>
  <c r="S89" i="5"/>
  <c r="R89" i="5"/>
  <c r="Q89" i="5"/>
  <c r="P89" i="5"/>
  <c r="O89" i="5"/>
  <c r="N89" i="5"/>
  <c r="M89" i="5"/>
  <c r="L89" i="5"/>
  <c r="K89" i="5"/>
  <c r="J89" i="5"/>
  <c r="I89" i="5"/>
  <c r="H89" i="5"/>
  <c r="G89" i="5"/>
  <c r="F89" i="5"/>
  <c r="E89" i="5"/>
  <c r="D89" i="5"/>
  <c r="C89" i="5"/>
  <c r="B89" i="5"/>
  <c r="A89" i="5"/>
  <c r="CS88" i="5"/>
  <c r="CM88" i="5"/>
  <c r="CK88" i="5"/>
  <c r="CJ88" i="5"/>
  <c r="CI88" i="5"/>
  <c r="CG88" i="5"/>
  <c r="CF88" i="5"/>
  <c r="CE88" i="5"/>
  <c r="CD88" i="5"/>
  <c r="CC88" i="5"/>
  <c r="CB88" i="5"/>
  <c r="CA88" i="5"/>
  <c r="BY88" i="5"/>
  <c r="BW88" i="5"/>
  <c r="BV88" i="5"/>
  <c r="BU88" i="5"/>
  <c r="BQ88" i="5"/>
  <c r="BP88" i="5"/>
  <c r="BO88" i="5"/>
  <c r="BM88" i="5"/>
  <c r="BF88" i="5"/>
  <c r="BC88" i="5"/>
  <c r="AY88" i="5"/>
  <c r="AX88" i="5"/>
  <c r="AW88" i="5"/>
  <c r="AV88" i="5"/>
  <c r="AU88" i="5"/>
  <c r="AT88" i="5"/>
  <c r="AR88" i="5"/>
  <c r="AQ88" i="5"/>
  <c r="AP88" i="5"/>
  <c r="AO88" i="5"/>
  <c r="AN88" i="5"/>
  <c r="AM88" i="5"/>
  <c r="AL88" i="5"/>
  <c r="AH88" i="5"/>
  <c r="AF88" i="5"/>
  <c r="AD88" i="5"/>
  <c r="AB88" i="5"/>
  <c r="Y88" i="5"/>
  <c r="X88" i="5"/>
  <c r="W88" i="5"/>
  <c r="V88" i="5"/>
  <c r="U88" i="5"/>
  <c r="T88" i="5"/>
  <c r="S88" i="5"/>
  <c r="R88" i="5"/>
  <c r="Q88" i="5"/>
  <c r="P88" i="5"/>
  <c r="O88" i="5"/>
  <c r="N88" i="5"/>
  <c r="M88" i="5"/>
  <c r="L88" i="5"/>
  <c r="K88" i="5"/>
  <c r="J88" i="5"/>
  <c r="I88" i="5"/>
  <c r="H88" i="5"/>
  <c r="G88" i="5"/>
  <c r="F88" i="5"/>
  <c r="E88" i="5"/>
  <c r="D88" i="5"/>
  <c r="C88" i="5"/>
  <c r="B88" i="5"/>
  <c r="A88" i="5"/>
  <c r="CS87" i="5"/>
  <c r="CM87" i="5"/>
  <c r="CK87" i="5"/>
  <c r="CJ87" i="5"/>
  <c r="CI87" i="5"/>
  <c r="CG87" i="5"/>
  <c r="CF87" i="5"/>
  <c r="CE87" i="5"/>
  <c r="CD87" i="5"/>
  <c r="CC87" i="5"/>
  <c r="CB87" i="5"/>
  <c r="CA87" i="5"/>
  <c r="BY87" i="5"/>
  <c r="BW87" i="5"/>
  <c r="BV87" i="5"/>
  <c r="BU87" i="5"/>
  <c r="BQ87" i="5"/>
  <c r="BP87" i="5"/>
  <c r="BO87" i="5"/>
  <c r="BM87" i="5"/>
  <c r="BF87" i="5"/>
  <c r="BC87" i="5"/>
  <c r="AZ87" i="5"/>
  <c r="AY87" i="5"/>
  <c r="AX87" i="5"/>
  <c r="AW87" i="5"/>
  <c r="AV87" i="5"/>
  <c r="AU87" i="5"/>
  <c r="AT87" i="5"/>
  <c r="AR87" i="5"/>
  <c r="AQ87" i="5"/>
  <c r="AP87" i="5"/>
  <c r="AO87" i="5"/>
  <c r="AN87" i="5"/>
  <c r="AM87" i="5"/>
  <c r="AL87" i="5"/>
  <c r="AH87" i="5"/>
  <c r="AF87" i="5"/>
  <c r="AD87" i="5"/>
  <c r="AB87" i="5"/>
  <c r="Y87" i="5"/>
  <c r="X87" i="5"/>
  <c r="W87" i="5"/>
  <c r="V87" i="5"/>
  <c r="U87" i="5"/>
  <c r="T87" i="5"/>
  <c r="S87" i="5"/>
  <c r="R87" i="5"/>
  <c r="Q87" i="5"/>
  <c r="P87" i="5"/>
  <c r="O87" i="5"/>
  <c r="N87" i="5"/>
  <c r="M87" i="5"/>
  <c r="L87" i="5"/>
  <c r="K87" i="5"/>
  <c r="J87" i="5"/>
  <c r="I87" i="5"/>
  <c r="H87" i="5"/>
  <c r="G87" i="5"/>
  <c r="F87" i="5"/>
  <c r="E87" i="5"/>
  <c r="D87" i="5"/>
  <c r="C87" i="5"/>
  <c r="B87" i="5"/>
  <c r="A87" i="5"/>
  <c r="CS86" i="5"/>
  <c r="CM86" i="5"/>
  <c r="CK86" i="5"/>
  <c r="CJ86" i="5"/>
  <c r="CI86" i="5"/>
  <c r="CG86" i="5"/>
  <c r="CF86" i="5"/>
  <c r="CE86" i="5"/>
  <c r="CD86" i="5"/>
  <c r="CC86" i="5"/>
  <c r="CB86" i="5"/>
  <c r="CA86" i="5"/>
  <c r="BY86" i="5"/>
  <c r="BW86" i="5"/>
  <c r="BV86" i="5"/>
  <c r="BU86" i="5"/>
  <c r="BQ86" i="5"/>
  <c r="BP86" i="5"/>
  <c r="BO86" i="5"/>
  <c r="BM86" i="5"/>
  <c r="BF86" i="5"/>
  <c r="BC86" i="5"/>
  <c r="AZ86" i="5"/>
  <c r="AY86" i="5"/>
  <c r="AX86" i="5"/>
  <c r="AW86" i="5"/>
  <c r="AV86" i="5"/>
  <c r="AU86" i="5"/>
  <c r="AT86" i="5"/>
  <c r="AR86" i="5"/>
  <c r="AQ86" i="5"/>
  <c r="AP86" i="5"/>
  <c r="AO86" i="5"/>
  <c r="AN86" i="5"/>
  <c r="AM86" i="5"/>
  <c r="AL86" i="5"/>
  <c r="AH86" i="5"/>
  <c r="AF86" i="5"/>
  <c r="AD86" i="5"/>
  <c r="AB86" i="5"/>
  <c r="Y86" i="5"/>
  <c r="X86" i="5"/>
  <c r="W86" i="5"/>
  <c r="V86" i="5"/>
  <c r="U86" i="5"/>
  <c r="T86" i="5"/>
  <c r="S86" i="5"/>
  <c r="R86" i="5"/>
  <c r="Q86" i="5"/>
  <c r="P86" i="5"/>
  <c r="O86" i="5"/>
  <c r="N86" i="5"/>
  <c r="M86" i="5"/>
  <c r="L86" i="5"/>
  <c r="K86" i="5"/>
  <c r="J86" i="5"/>
  <c r="I86" i="5"/>
  <c r="H86" i="5"/>
  <c r="G86" i="5"/>
  <c r="F86" i="5"/>
  <c r="E86" i="5"/>
  <c r="D86" i="5"/>
  <c r="C86" i="5"/>
  <c r="B86" i="5"/>
  <c r="A86" i="5"/>
  <c r="CS85" i="5"/>
  <c r="CM85" i="5"/>
  <c r="CK85" i="5"/>
  <c r="CJ85" i="5"/>
  <c r="CI85" i="5"/>
  <c r="CG85" i="5"/>
  <c r="CF85" i="5"/>
  <c r="CE85" i="5"/>
  <c r="CD85" i="5"/>
  <c r="CC85" i="5"/>
  <c r="CB85" i="5"/>
  <c r="CA85" i="5"/>
  <c r="BZ85" i="5"/>
  <c r="BY85" i="5"/>
  <c r="BW85" i="5"/>
  <c r="BV85" i="5"/>
  <c r="BU85" i="5"/>
  <c r="BT85" i="5"/>
  <c r="BQ85" i="5"/>
  <c r="BP85" i="5"/>
  <c r="BO85" i="5"/>
  <c r="BM85" i="5"/>
  <c r="BF85" i="5"/>
  <c r="BC85" i="5"/>
  <c r="AZ85" i="5"/>
  <c r="AY85" i="5"/>
  <c r="AX85" i="5"/>
  <c r="AW85" i="5"/>
  <c r="AV85" i="5"/>
  <c r="AU85" i="5"/>
  <c r="AT85" i="5"/>
  <c r="AR85" i="5"/>
  <c r="AQ85" i="5"/>
  <c r="AP85" i="5"/>
  <c r="AO85" i="5"/>
  <c r="AN85" i="5"/>
  <c r="AM85" i="5"/>
  <c r="AL85" i="5"/>
  <c r="AH85" i="5"/>
  <c r="AF85" i="5"/>
  <c r="AD85" i="5"/>
  <c r="AB85" i="5"/>
  <c r="Y85" i="5"/>
  <c r="X85" i="5"/>
  <c r="W85" i="5"/>
  <c r="V85" i="5"/>
  <c r="U85" i="5"/>
  <c r="T85" i="5"/>
  <c r="S85" i="5"/>
  <c r="R85" i="5"/>
  <c r="Q85" i="5"/>
  <c r="P85" i="5"/>
  <c r="O85" i="5"/>
  <c r="N85" i="5"/>
  <c r="M85" i="5"/>
  <c r="L85" i="5"/>
  <c r="K85" i="5"/>
  <c r="J85" i="5"/>
  <c r="I85" i="5"/>
  <c r="H85" i="5"/>
  <c r="G85" i="5"/>
  <c r="F85" i="5"/>
  <c r="E85" i="5"/>
  <c r="D85" i="5"/>
  <c r="C85" i="5"/>
  <c r="B85" i="5"/>
  <c r="A85" i="5"/>
  <c r="CS84" i="5"/>
  <c r="CM84" i="5"/>
  <c r="CK84" i="5"/>
  <c r="CJ84" i="5"/>
  <c r="CI84" i="5"/>
  <c r="CG84" i="5"/>
  <c r="CF84" i="5"/>
  <c r="CE84" i="5"/>
  <c r="CD84" i="5"/>
  <c r="CC84" i="5"/>
  <c r="CB84" i="5"/>
  <c r="CA84" i="5"/>
  <c r="BZ84" i="5"/>
  <c r="BY84" i="5"/>
  <c r="BW84" i="5"/>
  <c r="BV84" i="5"/>
  <c r="BU84" i="5"/>
  <c r="BT84" i="5"/>
  <c r="BQ84" i="5"/>
  <c r="BP84" i="5"/>
  <c r="BO84" i="5"/>
  <c r="BM84" i="5"/>
  <c r="BL84" i="5"/>
  <c r="BF84" i="5"/>
  <c r="BC84" i="5"/>
  <c r="AY84" i="5"/>
  <c r="AX84" i="5"/>
  <c r="AW84" i="5"/>
  <c r="AV84" i="5"/>
  <c r="AU84" i="5"/>
  <c r="AT84" i="5"/>
  <c r="AR84" i="5"/>
  <c r="AQ84" i="5"/>
  <c r="AP84" i="5"/>
  <c r="AO84" i="5"/>
  <c r="AN84" i="5"/>
  <c r="AM84" i="5"/>
  <c r="AL84" i="5"/>
  <c r="AH84" i="5"/>
  <c r="AF84" i="5"/>
  <c r="AD84" i="5"/>
  <c r="AB84" i="5"/>
  <c r="Y84" i="5"/>
  <c r="X84" i="5"/>
  <c r="W84" i="5"/>
  <c r="V84" i="5"/>
  <c r="U84" i="5"/>
  <c r="T84" i="5"/>
  <c r="S84" i="5"/>
  <c r="R84" i="5"/>
  <c r="Q84" i="5"/>
  <c r="P84" i="5"/>
  <c r="O84" i="5"/>
  <c r="N84" i="5"/>
  <c r="M84" i="5"/>
  <c r="L84" i="5"/>
  <c r="K84" i="5"/>
  <c r="J84" i="5"/>
  <c r="I84" i="5"/>
  <c r="H84" i="5"/>
  <c r="G84" i="5"/>
  <c r="F84" i="5"/>
  <c r="E84" i="5"/>
  <c r="D84" i="5"/>
  <c r="C84" i="5"/>
  <c r="B84" i="5"/>
  <c r="A84" i="5"/>
  <c r="CS83" i="5"/>
  <c r="CM83" i="5"/>
  <c r="CK83" i="5"/>
  <c r="CJ83" i="5"/>
  <c r="CI83" i="5"/>
  <c r="CG83" i="5"/>
  <c r="CF83" i="5"/>
  <c r="CE83" i="5"/>
  <c r="CD83" i="5"/>
  <c r="CC83" i="5"/>
  <c r="CB83" i="5"/>
  <c r="CA83" i="5"/>
  <c r="BZ83" i="5"/>
  <c r="BY83" i="5"/>
  <c r="BW83" i="5"/>
  <c r="BV83" i="5"/>
  <c r="BU83" i="5"/>
  <c r="BT83" i="5"/>
  <c r="BQ83" i="5"/>
  <c r="BP83" i="5"/>
  <c r="BO83" i="5"/>
  <c r="BM83" i="5"/>
  <c r="BF83" i="5"/>
  <c r="BC83" i="5"/>
  <c r="AZ83" i="5"/>
  <c r="AY83" i="5"/>
  <c r="AX83" i="5"/>
  <c r="AW83" i="5"/>
  <c r="AV83" i="5"/>
  <c r="AU83" i="5"/>
  <c r="AT83" i="5"/>
  <c r="AR83" i="5"/>
  <c r="AQ83" i="5"/>
  <c r="AP83" i="5"/>
  <c r="AO83" i="5"/>
  <c r="AN83" i="5"/>
  <c r="AM83" i="5"/>
  <c r="AL83" i="5"/>
  <c r="AH83" i="5"/>
  <c r="AF83" i="5"/>
  <c r="AD83" i="5"/>
  <c r="AB83" i="5"/>
  <c r="Y83" i="5"/>
  <c r="X83" i="5"/>
  <c r="W83" i="5"/>
  <c r="V83" i="5"/>
  <c r="U83" i="5"/>
  <c r="T83" i="5"/>
  <c r="S83" i="5"/>
  <c r="R83" i="5"/>
  <c r="Q83" i="5"/>
  <c r="P83" i="5"/>
  <c r="O83" i="5"/>
  <c r="N83" i="5"/>
  <c r="M83" i="5"/>
  <c r="L83" i="5"/>
  <c r="K83" i="5"/>
  <c r="J83" i="5"/>
  <c r="I83" i="5"/>
  <c r="H83" i="5"/>
  <c r="G83" i="5"/>
  <c r="F83" i="5"/>
  <c r="E83" i="5"/>
  <c r="D83" i="5"/>
  <c r="C83" i="5"/>
  <c r="B83" i="5"/>
  <c r="A83" i="5"/>
  <c r="CS82" i="5"/>
  <c r="CM82" i="5"/>
  <c r="CK82" i="5"/>
  <c r="CJ82" i="5"/>
  <c r="CI82" i="5"/>
  <c r="CG82" i="5"/>
  <c r="CF82" i="5"/>
  <c r="CE82" i="5"/>
  <c r="CD82" i="5"/>
  <c r="CC82" i="5"/>
  <c r="CB82" i="5"/>
  <c r="CA82" i="5"/>
  <c r="BZ82" i="5"/>
  <c r="BY82" i="5"/>
  <c r="BW82" i="5"/>
  <c r="BV82" i="5"/>
  <c r="BU82" i="5"/>
  <c r="BT82" i="5"/>
  <c r="BQ82" i="5"/>
  <c r="BP82" i="5"/>
  <c r="BO82" i="5"/>
  <c r="BM82" i="5"/>
  <c r="BF82" i="5"/>
  <c r="BC82" i="5"/>
  <c r="AZ82" i="5"/>
  <c r="AY82" i="5"/>
  <c r="AX82" i="5"/>
  <c r="AW82" i="5"/>
  <c r="AV82" i="5"/>
  <c r="AU82" i="5"/>
  <c r="AT82" i="5"/>
  <c r="AR82" i="5"/>
  <c r="AQ82" i="5"/>
  <c r="AP82" i="5"/>
  <c r="AO82" i="5"/>
  <c r="AN82" i="5"/>
  <c r="AM82" i="5"/>
  <c r="AL82" i="5"/>
  <c r="AH82" i="5"/>
  <c r="AF82" i="5"/>
  <c r="AD82" i="5"/>
  <c r="AB82" i="5"/>
  <c r="Y82" i="5"/>
  <c r="X82" i="5"/>
  <c r="W82" i="5"/>
  <c r="V82" i="5"/>
  <c r="U82" i="5"/>
  <c r="T82" i="5"/>
  <c r="S82" i="5"/>
  <c r="R82" i="5"/>
  <c r="Q82" i="5"/>
  <c r="P82" i="5"/>
  <c r="O82" i="5"/>
  <c r="N82" i="5"/>
  <c r="M82" i="5"/>
  <c r="L82" i="5"/>
  <c r="K82" i="5"/>
  <c r="J82" i="5"/>
  <c r="I82" i="5"/>
  <c r="H82" i="5"/>
  <c r="G82" i="5"/>
  <c r="F82" i="5"/>
  <c r="E82" i="5"/>
  <c r="D82" i="5"/>
  <c r="C82" i="5"/>
  <c r="B82" i="5"/>
  <c r="A82" i="5"/>
  <c r="CS81" i="5"/>
  <c r="CM81" i="5"/>
  <c r="CK81" i="5"/>
  <c r="CJ81" i="5"/>
  <c r="CI81" i="5"/>
  <c r="CG81" i="5"/>
  <c r="CF81" i="5"/>
  <c r="CE81" i="5"/>
  <c r="CD81" i="5"/>
  <c r="CC81" i="5"/>
  <c r="CB81" i="5"/>
  <c r="CA81" i="5"/>
  <c r="BY81" i="5"/>
  <c r="BW81" i="5"/>
  <c r="BV81" i="5"/>
  <c r="BU81" i="5"/>
  <c r="BQ81" i="5"/>
  <c r="BP81" i="5"/>
  <c r="BO81" i="5"/>
  <c r="BM81" i="5"/>
  <c r="BF81" i="5"/>
  <c r="BC81" i="5"/>
  <c r="AZ81" i="5"/>
  <c r="AY81" i="5"/>
  <c r="AX81" i="5"/>
  <c r="AW81" i="5"/>
  <c r="AV81" i="5"/>
  <c r="AU81" i="5"/>
  <c r="AT81" i="5"/>
  <c r="AR81" i="5"/>
  <c r="AQ81" i="5"/>
  <c r="AP81" i="5"/>
  <c r="AO81" i="5"/>
  <c r="AN81" i="5"/>
  <c r="AM81" i="5"/>
  <c r="AL81" i="5"/>
  <c r="AH81" i="5"/>
  <c r="AF81" i="5"/>
  <c r="AD81" i="5"/>
  <c r="AB81" i="5"/>
  <c r="Y81" i="5"/>
  <c r="X81" i="5"/>
  <c r="W81" i="5"/>
  <c r="V81" i="5"/>
  <c r="U81" i="5"/>
  <c r="T81" i="5"/>
  <c r="S81" i="5"/>
  <c r="R81" i="5"/>
  <c r="Q81" i="5"/>
  <c r="P81" i="5"/>
  <c r="O81" i="5"/>
  <c r="N81" i="5"/>
  <c r="M81" i="5"/>
  <c r="L81" i="5"/>
  <c r="K81" i="5"/>
  <c r="J81" i="5"/>
  <c r="I81" i="5"/>
  <c r="H81" i="5"/>
  <c r="G81" i="5"/>
  <c r="F81" i="5"/>
  <c r="E81" i="5"/>
  <c r="D81" i="5"/>
  <c r="C81" i="5"/>
  <c r="B81" i="5"/>
  <c r="A81" i="5"/>
  <c r="CS80" i="5"/>
  <c r="CM80" i="5"/>
  <c r="CK80" i="5"/>
  <c r="CJ80" i="5"/>
  <c r="CI80" i="5"/>
  <c r="CG80" i="5"/>
  <c r="CF80" i="5"/>
  <c r="CE80" i="5"/>
  <c r="CD80" i="5"/>
  <c r="CC80" i="5"/>
  <c r="CB80" i="5"/>
  <c r="CA80" i="5"/>
  <c r="BZ80" i="5"/>
  <c r="BY80" i="5"/>
  <c r="BW80" i="5"/>
  <c r="BV80" i="5"/>
  <c r="BU80" i="5"/>
  <c r="BT80" i="5"/>
  <c r="BQ80" i="5"/>
  <c r="BP80" i="5"/>
  <c r="BO80" i="5"/>
  <c r="BM80" i="5"/>
  <c r="BF80" i="5"/>
  <c r="BC80" i="5"/>
  <c r="AZ80" i="5"/>
  <c r="AY80" i="5"/>
  <c r="AX80" i="5"/>
  <c r="AW80" i="5"/>
  <c r="AV80" i="5"/>
  <c r="AU80" i="5"/>
  <c r="AT80" i="5"/>
  <c r="AR80" i="5"/>
  <c r="AQ80" i="5"/>
  <c r="AP80" i="5"/>
  <c r="AO80" i="5"/>
  <c r="AN80" i="5"/>
  <c r="AM80" i="5"/>
  <c r="AL80" i="5"/>
  <c r="AH80" i="5"/>
  <c r="AF80" i="5"/>
  <c r="AE80" i="5"/>
  <c r="AD80" i="5"/>
  <c r="AB80" i="5"/>
  <c r="Y80" i="5"/>
  <c r="X80" i="5"/>
  <c r="W80" i="5"/>
  <c r="V80" i="5"/>
  <c r="U80" i="5"/>
  <c r="T80" i="5"/>
  <c r="S80" i="5"/>
  <c r="R80" i="5"/>
  <c r="Q80" i="5"/>
  <c r="P80" i="5"/>
  <c r="O80" i="5"/>
  <c r="N80" i="5"/>
  <c r="M80" i="5"/>
  <c r="L80" i="5"/>
  <c r="K80" i="5"/>
  <c r="J80" i="5"/>
  <c r="I80" i="5"/>
  <c r="H80" i="5"/>
  <c r="G80" i="5"/>
  <c r="F80" i="5"/>
  <c r="E80" i="5"/>
  <c r="D80" i="5"/>
  <c r="C80" i="5"/>
  <c r="B80" i="5"/>
  <c r="A80" i="5"/>
  <c r="CS79" i="5"/>
  <c r="CM79" i="5"/>
  <c r="CK79" i="5"/>
  <c r="CJ79" i="5"/>
  <c r="CI79" i="5"/>
  <c r="CG79" i="5"/>
  <c r="CF79" i="5"/>
  <c r="CE79" i="5"/>
  <c r="CD79" i="5"/>
  <c r="CC79" i="5"/>
  <c r="CB79" i="5"/>
  <c r="CA79" i="5"/>
  <c r="BZ79" i="5"/>
  <c r="BY79" i="5"/>
  <c r="BW79" i="5"/>
  <c r="BV79" i="5"/>
  <c r="BU79" i="5"/>
  <c r="BT79" i="5"/>
  <c r="BQ79" i="5"/>
  <c r="BP79" i="5"/>
  <c r="BO79" i="5"/>
  <c r="BM79" i="5"/>
  <c r="BF79" i="5"/>
  <c r="BC79" i="5"/>
  <c r="AZ79" i="5"/>
  <c r="AY79" i="5"/>
  <c r="AX79" i="5"/>
  <c r="AW79" i="5"/>
  <c r="AV79" i="5"/>
  <c r="AU79" i="5"/>
  <c r="AT79" i="5"/>
  <c r="AR79" i="5"/>
  <c r="AQ79" i="5"/>
  <c r="AP79" i="5"/>
  <c r="AO79" i="5"/>
  <c r="AN79" i="5"/>
  <c r="AM79" i="5"/>
  <c r="AL79" i="5"/>
  <c r="AH79" i="5"/>
  <c r="AF79" i="5"/>
  <c r="AD79" i="5"/>
  <c r="AB79" i="5"/>
  <c r="Y79" i="5"/>
  <c r="X79" i="5"/>
  <c r="W79" i="5"/>
  <c r="V79" i="5"/>
  <c r="U79" i="5"/>
  <c r="T79" i="5"/>
  <c r="S79" i="5"/>
  <c r="R79" i="5"/>
  <c r="Q79" i="5"/>
  <c r="P79" i="5"/>
  <c r="O79" i="5"/>
  <c r="N79" i="5"/>
  <c r="M79" i="5"/>
  <c r="L79" i="5"/>
  <c r="K79" i="5"/>
  <c r="J79" i="5"/>
  <c r="I79" i="5"/>
  <c r="H79" i="5"/>
  <c r="G79" i="5"/>
  <c r="F79" i="5"/>
  <c r="E79" i="5"/>
  <c r="D79" i="5"/>
  <c r="C79" i="5"/>
  <c r="B79" i="5"/>
  <c r="A79" i="5"/>
  <c r="CS78" i="5"/>
  <c r="CM78" i="5"/>
  <c r="CK78" i="5"/>
  <c r="CJ78" i="5"/>
  <c r="CI78" i="5"/>
  <c r="CG78" i="5"/>
  <c r="CF78" i="5"/>
  <c r="CE78" i="5"/>
  <c r="CD78" i="5"/>
  <c r="CC78" i="5"/>
  <c r="CB78" i="5"/>
  <c r="CA78" i="5"/>
  <c r="BZ78" i="5"/>
  <c r="BY78" i="5"/>
  <c r="BW78" i="5"/>
  <c r="BV78" i="5"/>
  <c r="BU78" i="5"/>
  <c r="BT78" i="5"/>
  <c r="BQ78" i="5"/>
  <c r="BP78" i="5"/>
  <c r="BO78" i="5"/>
  <c r="BM78" i="5"/>
  <c r="BF78" i="5"/>
  <c r="BC78" i="5"/>
  <c r="AZ78" i="5"/>
  <c r="AY78" i="5"/>
  <c r="AX78" i="5"/>
  <c r="AW78" i="5"/>
  <c r="AV78" i="5"/>
  <c r="AU78" i="5"/>
  <c r="AT78" i="5"/>
  <c r="AR78" i="5"/>
  <c r="AQ78" i="5"/>
  <c r="AP78" i="5"/>
  <c r="AO78" i="5"/>
  <c r="AN78" i="5"/>
  <c r="AM78" i="5"/>
  <c r="AL78" i="5"/>
  <c r="AH78" i="5"/>
  <c r="AF78" i="5"/>
  <c r="AD78" i="5"/>
  <c r="AB78" i="5"/>
  <c r="Y78" i="5"/>
  <c r="X78" i="5"/>
  <c r="W78" i="5"/>
  <c r="V78" i="5"/>
  <c r="U78" i="5"/>
  <c r="T78" i="5"/>
  <c r="S78" i="5"/>
  <c r="R78" i="5"/>
  <c r="Q78" i="5"/>
  <c r="P78" i="5"/>
  <c r="O78" i="5"/>
  <c r="N78" i="5"/>
  <c r="M78" i="5"/>
  <c r="L78" i="5"/>
  <c r="K78" i="5"/>
  <c r="J78" i="5"/>
  <c r="I78" i="5"/>
  <c r="H78" i="5"/>
  <c r="G78" i="5"/>
  <c r="F78" i="5"/>
  <c r="E78" i="5"/>
  <c r="D78" i="5"/>
  <c r="C78" i="5"/>
  <c r="B78" i="5"/>
  <c r="A78" i="5"/>
  <c r="CS77" i="5"/>
  <c r="CM77" i="5"/>
  <c r="CK77" i="5"/>
  <c r="CJ77" i="5"/>
  <c r="CI77" i="5"/>
  <c r="CG77" i="5"/>
  <c r="CF77" i="5"/>
  <c r="CE77" i="5"/>
  <c r="CD77" i="5"/>
  <c r="CC77" i="5"/>
  <c r="CB77" i="5"/>
  <c r="CA77" i="5"/>
  <c r="BZ77" i="5"/>
  <c r="BY77" i="5"/>
  <c r="BW77" i="5"/>
  <c r="BV77" i="5"/>
  <c r="BU77" i="5"/>
  <c r="BT77" i="5"/>
  <c r="BQ77" i="5"/>
  <c r="BP77" i="5"/>
  <c r="BO77" i="5"/>
  <c r="BM77" i="5"/>
  <c r="BF77" i="5"/>
  <c r="BC77" i="5"/>
  <c r="AZ77" i="5"/>
  <c r="AY77" i="5"/>
  <c r="AX77" i="5"/>
  <c r="AW77" i="5"/>
  <c r="AV77" i="5"/>
  <c r="AU77" i="5"/>
  <c r="AT77" i="5"/>
  <c r="AR77" i="5"/>
  <c r="AQ77" i="5"/>
  <c r="AP77" i="5"/>
  <c r="AO77" i="5"/>
  <c r="AN77" i="5"/>
  <c r="AM77" i="5"/>
  <c r="AL77" i="5"/>
  <c r="AH77" i="5"/>
  <c r="AF77" i="5"/>
  <c r="AD77" i="5"/>
  <c r="AB77" i="5"/>
  <c r="Y77" i="5"/>
  <c r="X77" i="5"/>
  <c r="W77" i="5"/>
  <c r="V77" i="5"/>
  <c r="U77" i="5"/>
  <c r="T77" i="5"/>
  <c r="S77" i="5"/>
  <c r="R77" i="5"/>
  <c r="Q77" i="5"/>
  <c r="P77" i="5"/>
  <c r="O77" i="5"/>
  <c r="N77" i="5"/>
  <c r="M77" i="5"/>
  <c r="L77" i="5"/>
  <c r="K77" i="5"/>
  <c r="J77" i="5"/>
  <c r="I77" i="5"/>
  <c r="H77" i="5"/>
  <c r="G77" i="5"/>
  <c r="F77" i="5"/>
  <c r="E77" i="5"/>
  <c r="D77" i="5"/>
  <c r="C77" i="5"/>
  <c r="B77" i="5"/>
  <c r="A77" i="5"/>
  <c r="CS76" i="5"/>
  <c r="CM76" i="5"/>
  <c r="CK76" i="5"/>
  <c r="CJ76" i="5"/>
  <c r="CI76" i="5"/>
  <c r="CG76" i="5"/>
  <c r="CF76" i="5"/>
  <c r="CE76" i="5"/>
  <c r="CD76" i="5"/>
  <c r="CC76" i="5"/>
  <c r="CB76" i="5"/>
  <c r="CA76" i="5"/>
  <c r="BY76" i="5"/>
  <c r="BW76" i="5"/>
  <c r="BV76" i="5"/>
  <c r="BU76" i="5"/>
  <c r="BQ76" i="5"/>
  <c r="BP76" i="5"/>
  <c r="BO76" i="5"/>
  <c r="BM76" i="5"/>
  <c r="BF76" i="5"/>
  <c r="BC76" i="5"/>
  <c r="AZ76" i="5"/>
  <c r="AY76" i="5"/>
  <c r="AX76" i="5"/>
  <c r="AW76" i="5"/>
  <c r="AV76" i="5"/>
  <c r="AU76" i="5"/>
  <c r="AT76" i="5"/>
  <c r="AR76" i="5"/>
  <c r="AQ76" i="5"/>
  <c r="AP76" i="5"/>
  <c r="AO76" i="5"/>
  <c r="AN76" i="5"/>
  <c r="AM76" i="5"/>
  <c r="AL76" i="5"/>
  <c r="AH76" i="5"/>
  <c r="AF76" i="5"/>
  <c r="AD76" i="5"/>
  <c r="AB76" i="5"/>
  <c r="Y76" i="5"/>
  <c r="X76" i="5"/>
  <c r="W76" i="5"/>
  <c r="V76" i="5"/>
  <c r="U76" i="5"/>
  <c r="T76" i="5"/>
  <c r="S76" i="5"/>
  <c r="R76" i="5"/>
  <c r="Q76" i="5"/>
  <c r="P76" i="5"/>
  <c r="O76" i="5"/>
  <c r="N76" i="5"/>
  <c r="M76" i="5"/>
  <c r="L76" i="5"/>
  <c r="K76" i="5"/>
  <c r="J76" i="5"/>
  <c r="I76" i="5"/>
  <c r="H76" i="5"/>
  <c r="G76" i="5"/>
  <c r="F76" i="5"/>
  <c r="E76" i="5"/>
  <c r="D76" i="5"/>
  <c r="C76" i="5"/>
  <c r="B76" i="5"/>
  <c r="A76" i="5"/>
  <c r="CS75" i="5"/>
  <c r="CM75" i="5"/>
  <c r="CK75" i="5"/>
  <c r="CJ75" i="5"/>
  <c r="CI75" i="5"/>
  <c r="CG75" i="5"/>
  <c r="CF75" i="5"/>
  <c r="CE75" i="5"/>
  <c r="CD75" i="5"/>
  <c r="CC75" i="5"/>
  <c r="CB75" i="5"/>
  <c r="CA75" i="5"/>
  <c r="BZ75" i="5"/>
  <c r="BY75" i="5"/>
  <c r="BW75" i="5"/>
  <c r="BV75" i="5"/>
  <c r="BU75" i="5"/>
  <c r="BT75" i="5"/>
  <c r="BQ75" i="5"/>
  <c r="BP75" i="5"/>
  <c r="BO75" i="5"/>
  <c r="BM75" i="5"/>
  <c r="BF75" i="5"/>
  <c r="BC75" i="5"/>
  <c r="AZ75" i="5"/>
  <c r="AY75" i="5"/>
  <c r="AX75" i="5"/>
  <c r="AW75" i="5"/>
  <c r="AV75" i="5"/>
  <c r="AU75" i="5"/>
  <c r="AT75" i="5"/>
  <c r="AR75" i="5"/>
  <c r="AQ75" i="5"/>
  <c r="AP75" i="5"/>
  <c r="AO75" i="5"/>
  <c r="AN75" i="5"/>
  <c r="AM75" i="5"/>
  <c r="AL75" i="5"/>
  <c r="AH75" i="5"/>
  <c r="AF75" i="5"/>
  <c r="AE75" i="5"/>
  <c r="AD75" i="5"/>
  <c r="AB75" i="5"/>
  <c r="Y75" i="5"/>
  <c r="X75" i="5"/>
  <c r="W75" i="5"/>
  <c r="V75" i="5"/>
  <c r="U75" i="5"/>
  <c r="T75" i="5"/>
  <c r="S75" i="5"/>
  <c r="R75" i="5"/>
  <c r="Q75" i="5"/>
  <c r="P75" i="5"/>
  <c r="O75" i="5"/>
  <c r="N75" i="5"/>
  <c r="M75" i="5"/>
  <c r="L75" i="5"/>
  <c r="K75" i="5"/>
  <c r="J75" i="5"/>
  <c r="I75" i="5"/>
  <c r="H75" i="5"/>
  <c r="G75" i="5"/>
  <c r="F75" i="5"/>
  <c r="E75" i="5"/>
  <c r="D75" i="5"/>
  <c r="C75" i="5"/>
  <c r="B75" i="5"/>
  <c r="A75" i="5"/>
  <c r="CS74" i="5"/>
  <c r="CM74" i="5"/>
  <c r="CK74" i="5"/>
  <c r="CJ74" i="5"/>
  <c r="CI74" i="5"/>
  <c r="CG74" i="5"/>
  <c r="CF74" i="5"/>
  <c r="CE74" i="5"/>
  <c r="CD74" i="5"/>
  <c r="CC74" i="5"/>
  <c r="CB74" i="5"/>
  <c r="CA74" i="5"/>
  <c r="BZ74" i="5"/>
  <c r="BY74" i="5"/>
  <c r="BW74" i="5"/>
  <c r="BV74" i="5"/>
  <c r="BU74" i="5"/>
  <c r="BT74" i="5"/>
  <c r="BQ74" i="5"/>
  <c r="BP74" i="5"/>
  <c r="BO74" i="5"/>
  <c r="BM74" i="5"/>
  <c r="BF74" i="5"/>
  <c r="BC74" i="5"/>
  <c r="AZ74" i="5"/>
  <c r="AY74" i="5"/>
  <c r="AX74" i="5"/>
  <c r="AW74" i="5"/>
  <c r="AV74" i="5"/>
  <c r="AU74" i="5"/>
  <c r="AT74" i="5"/>
  <c r="AR74" i="5"/>
  <c r="AQ74" i="5"/>
  <c r="AP74" i="5"/>
  <c r="AO74" i="5"/>
  <c r="AN74" i="5"/>
  <c r="AM74" i="5"/>
  <c r="AL74" i="5"/>
  <c r="AH74" i="5"/>
  <c r="AF74" i="5"/>
  <c r="AD74" i="5"/>
  <c r="AB74" i="5"/>
  <c r="Y74" i="5"/>
  <c r="X74" i="5"/>
  <c r="W74" i="5"/>
  <c r="V74" i="5"/>
  <c r="U74" i="5"/>
  <c r="T74" i="5"/>
  <c r="S74" i="5"/>
  <c r="R74" i="5"/>
  <c r="Q74" i="5"/>
  <c r="P74" i="5"/>
  <c r="O74" i="5"/>
  <c r="N74" i="5"/>
  <c r="M74" i="5"/>
  <c r="L74" i="5"/>
  <c r="K74" i="5"/>
  <c r="J74" i="5"/>
  <c r="I74" i="5"/>
  <c r="H74" i="5"/>
  <c r="G74" i="5"/>
  <c r="F74" i="5"/>
  <c r="E74" i="5"/>
  <c r="D74" i="5"/>
  <c r="C74" i="5"/>
  <c r="B74" i="5"/>
  <c r="A74" i="5"/>
  <c r="CS73" i="5"/>
  <c r="CM73" i="5"/>
  <c r="CK73" i="5"/>
  <c r="CJ73" i="5"/>
  <c r="CI73" i="5"/>
  <c r="CG73" i="5"/>
  <c r="CF73" i="5"/>
  <c r="CE73" i="5"/>
  <c r="CD73" i="5"/>
  <c r="CC73" i="5"/>
  <c r="CB73" i="5"/>
  <c r="CA73" i="5"/>
  <c r="BZ73" i="5"/>
  <c r="BY73" i="5"/>
  <c r="BW73" i="5"/>
  <c r="BV73" i="5"/>
  <c r="BU73" i="5"/>
  <c r="BT73" i="5"/>
  <c r="BQ73" i="5"/>
  <c r="BP73" i="5"/>
  <c r="BO73" i="5"/>
  <c r="BM73" i="5"/>
  <c r="BF73" i="5"/>
  <c r="BC73" i="5"/>
  <c r="AZ73" i="5"/>
  <c r="AY73" i="5"/>
  <c r="AX73" i="5"/>
  <c r="AW73" i="5"/>
  <c r="AV73" i="5"/>
  <c r="AU73" i="5"/>
  <c r="AT73" i="5"/>
  <c r="AR73" i="5"/>
  <c r="AQ73" i="5"/>
  <c r="AP73" i="5"/>
  <c r="AO73" i="5"/>
  <c r="AN73" i="5"/>
  <c r="AM73" i="5"/>
  <c r="AL73" i="5"/>
  <c r="AH73" i="5"/>
  <c r="AF73" i="5"/>
  <c r="AD73" i="5"/>
  <c r="AB73" i="5"/>
  <c r="Y73" i="5"/>
  <c r="X73" i="5"/>
  <c r="W73" i="5"/>
  <c r="V73" i="5"/>
  <c r="U73" i="5"/>
  <c r="T73" i="5"/>
  <c r="S73" i="5"/>
  <c r="R73" i="5"/>
  <c r="Q73" i="5"/>
  <c r="P73" i="5"/>
  <c r="O73" i="5"/>
  <c r="N73" i="5"/>
  <c r="M73" i="5"/>
  <c r="L73" i="5"/>
  <c r="K73" i="5"/>
  <c r="J73" i="5"/>
  <c r="I73" i="5"/>
  <c r="H73" i="5"/>
  <c r="G73" i="5"/>
  <c r="F73" i="5"/>
  <c r="E73" i="5"/>
  <c r="D73" i="5"/>
  <c r="C73" i="5"/>
  <c r="B73" i="5"/>
  <c r="A73" i="5"/>
  <c r="CS72" i="5"/>
  <c r="CM72" i="5"/>
  <c r="CK72" i="5"/>
  <c r="CJ72" i="5"/>
  <c r="CI72" i="5"/>
  <c r="CG72" i="5"/>
  <c r="CF72" i="5"/>
  <c r="CE72" i="5"/>
  <c r="CD72" i="5"/>
  <c r="CC72" i="5"/>
  <c r="CB72" i="5"/>
  <c r="CA72" i="5"/>
  <c r="BZ72" i="5"/>
  <c r="BY72" i="5"/>
  <c r="BW72" i="5"/>
  <c r="BV72" i="5"/>
  <c r="BU72" i="5"/>
  <c r="BT72" i="5"/>
  <c r="BQ72" i="5"/>
  <c r="BP72" i="5"/>
  <c r="BO72" i="5"/>
  <c r="BM72" i="5"/>
  <c r="BF72" i="5"/>
  <c r="BC72" i="5"/>
  <c r="AZ72" i="5"/>
  <c r="AY72" i="5"/>
  <c r="AX72" i="5"/>
  <c r="AW72" i="5"/>
  <c r="AV72" i="5"/>
  <c r="AU72" i="5"/>
  <c r="AT72" i="5"/>
  <c r="AR72" i="5"/>
  <c r="AQ72" i="5"/>
  <c r="AP72" i="5"/>
  <c r="AO72" i="5"/>
  <c r="AN72" i="5"/>
  <c r="AM72" i="5"/>
  <c r="AL72" i="5"/>
  <c r="AH72" i="5"/>
  <c r="AF72" i="5"/>
  <c r="AD72" i="5"/>
  <c r="AB72" i="5"/>
  <c r="Y72" i="5"/>
  <c r="X72" i="5"/>
  <c r="W72" i="5"/>
  <c r="V72" i="5"/>
  <c r="U72" i="5"/>
  <c r="T72" i="5"/>
  <c r="S72" i="5"/>
  <c r="R72" i="5"/>
  <c r="Q72" i="5"/>
  <c r="P72" i="5"/>
  <c r="O72" i="5"/>
  <c r="N72" i="5"/>
  <c r="M72" i="5"/>
  <c r="L72" i="5"/>
  <c r="K72" i="5"/>
  <c r="J72" i="5"/>
  <c r="I72" i="5"/>
  <c r="H72" i="5"/>
  <c r="G72" i="5"/>
  <c r="F72" i="5"/>
  <c r="E72" i="5"/>
  <c r="D72" i="5"/>
  <c r="C72" i="5"/>
  <c r="B72" i="5"/>
  <c r="A72" i="5"/>
  <c r="CS71" i="5"/>
  <c r="CM71" i="5"/>
  <c r="CK71" i="5"/>
  <c r="CJ71" i="5"/>
  <c r="CI71" i="5"/>
  <c r="CG71" i="5"/>
  <c r="CF71" i="5"/>
  <c r="CE71" i="5"/>
  <c r="CD71" i="5"/>
  <c r="CC71" i="5"/>
  <c r="CB71" i="5"/>
  <c r="CA71" i="5"/>
  <c r="BZ71" i="5"/>
  <c r="BY71" i="5"/>
  <c r="BX71" i="5"/>
  <c r="BW71" i="5"/>
  <c r="BV71" i="5"/>
  <c r="BU71" i="5"/>
  <c r="BT71" i="5"/>
  <c r="BQ71" i="5"/>
  <c r="BP71" i="5"/>
  <c r="BO71" i="5"/>
  <c r="BM71" i="5"/>
  <c r="BF71" i="5"/>
  <c r="BC71" i="5"/>
  <c r="AZ71" i="5"/>
  <c r="AY71" i="5"/>
  <c r="AX71" i="5"/>
  <c r="AW71" i="5"/>
  <c r="AV71" i="5"/>
  <c r="AU71" i="5"/>
  <c r="AT71" i="5"/>
  <c r="AR71" i="5"/>
  <c r="AQ71" i="5"/>
  <c r="AP71" i="5"/>
  <c r="AO71" i="5"/>
  <c r="AN71" i="5"/>
  <c r="AM71" i="5"/>
  <c r="AL71" i="5"/>
  <c r="AH71" i="5"/>
  <c r="AF71" i="5"/>
  <c r="AE71" i="5"/>
  <c r="AD71" i="5"/>
  <c r="AB71" i="5"/>
  <c r="Y71" i="5"/>
  <c r="X71" i="5"/>
  <c r="W71" i="5"/>
  <c r="V71" i="5"/>
  <c r="U71" i="5"/>
  <c r="T71" i="5"/>
  <c r="S71" i="5"/>
  <c r="R71" i="5"/>
  <c r="Q71" i="5"/>
  <c r="P71" i="5"/>
  <c r="O71" i="5"/>
  <c r="N71" i="5"/>
  <c r="M71" i="5"/>
  <c r="L71" i="5"/>
  <c r="K71" i="5"/>
  <c r="J71" i="5"/>
  <c r="I71" i="5"/>
  <c r="H71" i="5"/>
  <c r="G71" i="5"/>
  <c r="F71" i="5"/>
  <c r="E71" i="5"/>
  <c r="D71" i="5"/>
  <c r="C71" i="5"/>
  <c r="B71" i="5"/>
  <c r="A71" i="5"/>
  <c r="CS70" i="5"/>
  <c r="CM70" i="5"/>
  <c r="CK70" i="5"/>
  <c r="CJ70" i="5"/>
  <c r="CI70" i="5"/>
  <c r="CG70" i="5"/>
  <c r="CF70" i="5"/>
  <c r="CE70" i="5"/>
  <c r="CD70" i="5"/>
  <c r="CC70" i="5"/>
  <c r="CB70" i="5"/>
  <c r="CA70" i="5"/>
  <c r="BY70" i="5"/>
  <c r="BX70" i="5"/>
  <c r="BW70" i="5"/>
  <c r="BV70" i="5"/>
  <c r="BU70" i="5"/>
  <c r="BQ70" i="5"/>
  <c r="BP70" i="5"/>
  <c r="BO70" i="5"/>
  <c r="BM70" i="5"/>
  <c r="BF70" i="5"/>
  <c r="BC70" i="5"/>
  <c r="AZ70" i="5"/>
  <c r="AY70" i="5"/>
  <c r="AX70" i="5"/>
  <c r="AW70" i="5"/>
  <c r="AV70" i="5"/>
  <c r="AU70" i="5"/>
  <c r="AT70" i="5"/>
  <c r="AR70" i="5"/>
  <c r="AQ70" i="5"/>
  <c r="AP70" i="5"/>
  <c r="AO70" i="5"/>
  <c r="AN70" i="5"/>
  <c r="AM70" i="5"/>
  <c r="AL70" i="5"/>
  <c r="AH70" i="5"/>
  <c r="AF70" i="5"/>
  <c r="AD70" i="5"/>
  <c r="AB70" i="5"/>
  <c r="Y70" i="5"/>
  <c r="X70" i="5"/>
  <c r="W70" i="5"/>
  <c r="V70" i="5"/>
  <c r="U70" i="5"/>
  <c r="T70" i="5"/>
  <c r="S70" i="5"/>
  <c r="R70" i="5"/>
  <c r="Q70" i="5"/>
  <c r="P70" i="5"/>
  <c r="O70" i="5"/>
  <c r="N70" i="5"/>
  <c r="M70" i="5"/>
  <c r="L70" i="5"/>
  <c r="K70" i="5"/>
  <c r="J70" i="5"/>
  <c r="I70" i="5"/>
  <c r="H70" i="5"/>
  <c r="G70" i="5"/>
  <c r="F70" i="5"/>
  <c r="E70" i="5"/>
  <c r="D70" i="5"/>
  <c r="C70" i="5"/>
  <c r="B70" i="5"/>
  <c r="A70" i="5"/>
  <c r="CS69" i="5"/>
  <c r="CM69" i="5"/>
  <c r="CK69" i="5"/>
  <c r="CJ69" i="5"/>
  <c r="CI69" i="5"/>
  <c r="CG69" i="5"/>
  <c r="CF69" i="5"/>
  <c r="CE69" i="5"/>
  <c r="CD69" i="5"/>
  <c r="CC69" i="5"/>
  <c r="CB69" i="5"/>
  <c r="CA69" i="5"/>
  <c r="BY69" i="5"/>
  <c r="BX69" i="5"/>
  <c r="BW69" i="5"/>
  <c r="BV69" i="5"/>
  <c r="BU69" i="5"/>
  <c r="BQ69" i="5"/>
  <c r="BP69" i="5"/>
  <c r="BO69" i="5"/>
  <c r="BM69" i="5"/>
  <c r="BL69" i="5"/>
  <c r="BF69" i="5"/>
  <c r="BC69" i="5"/>
  <c r="AY69" i="5"/>
  <c r="AX69" i="5"/>
  <c r="AW69" i="5"/>
  <c r="AV69" i="5"/>
  <c r="AU69" i="5"/>
  <c r="AT69" i="5"/>
  <c r="AR69" i="5"/>
  <c r="AQ69" i="5"/>
  <c r="AP69" i="5"/>
  <c r="AO69" i="5"/>
  <c r="AN69" i="5"/>
  <c r="AM69" i="5"/>
  <c r="AL69" i="5"/>
  <c r="AH69" i="5"/>
  <c r="AF69" i="5"/>
  <c r="AD69" i="5"/>
  <c r="AB69" i="5"/>
  <c r="Y69" i="5"/>
  <c r="X69" i="5"/>
  <c r="W69" i="5"/>
  <c r="V69" i="5"/>
  <c r="U69" i="5"/>
  <c r="T69" i="5"/>
  <c r="S69" i="5"/>
  <c r="R69" i="5"/>
  <c r="Q69" i="5"/>
  <c r="P69" i="5"/>
  <c r="O69" i="5"/>
  <c r="N69" i="5"/>
  <c r="M69" i="5"/>
  <c r="L69" i="5"/>
  <c r="K69" i="5"/>
  <c r="J69" i="5"/>
  <c r="I69" i="5"/>
  <c r="H69" i="5"/>
  <c r="G69" i="5"/>
  <c r="F69" i="5"/>
  <c r="E69" i="5"/>
  <c r="D69" i="5"/>
  <c r="C69" i="5"/>
  <c r="B69" i="5"/>
  <c r="A69" i="5"/>
  <c r="CS68" i="5"/>
  <c r="CM68" i="5"/>
  <c r="CK68" i="5"/>
  <c r="CJ68" i="5"/>
  <c r="CI68" i="5"/>
  <c r="CG68" i="5"/>
  <c r="CF68" i="5"/>
  <c r="CE68" i="5"/>
  <c r="CD68" i="5"/>
  <c r="CC68" i="5"/>
  <c r="CB68" i="5"/>
  <c r="CA68" i="5"/>
  <c r="BY68" i="5"/>
  <c r="BW68" i="5"/>
  <c r="BV68" i="5"/>
  <c r="BU68" i="5"/>
  <c r="BQ68" i="5"/>
  <c r="BP68" i="5"/>
  <c r="BO68" i="5"/>
  <c r="BM68" i="5"/>
  <c r="BF68" i="5"/>
  <c r="BC68" i="5"/>
  <c r="AY68" i="5"/>
  <c r="AX68" i="5"/>
  <c r="AW68" i="5"/>
  <c r="AV68" i="5"/>
  <c r="AU68" i="5"/>
  <c r="AT68" i="5"/>
  <c r="AR68" i="5"/>
  <c r="AQ68" i="5"/>
  <c r="AP68" i="5"/>
  <c r="AO68" i="5"/>
  <c r="AN68" i="5"/>
  <c r="AM68" i="5"/>
  <c r="AL68" i="5"/>
  <c r="AH68" i="5"/>
  <c r="AF68" i="5"/>
  <c r="AD68" i="5"/>
  <c r="AB68" i="5"/>
  <c r="Y68" i="5"/>
  <c r="X68" i="5"/>
  <c r="W68" i="5"/>
  <c r="V68" i="5"/>
  <c r="U68" i="5"/>
  <c r="T68" i="5"/>
  <c r="S68" i="5"/>
  <c r="R68" i="5"/>
  <c r="Q68" i="5"/>
  <c r="P68" i="5"/>
  <c r="O68" i="5"/>
  <c r="N68" i="5"/>
  <c r="M68" i="5"/>
  <c r="L68" i="5"/>
  <c r="K68" i="5"/>
  <c r="J68" i="5"/>
  <c r="I68" i="5"/>
  <c r="H68" i="5"/>
  <c r="G68" i="5"/>
  <c r="F68" i="5"/>
  <c r="E68" i="5"/>
  <c r="D68" i="5"/>
  <c r="C68" i="5"/>
  <c r="B68" i="5"/>
  <c r="A68" i="5"/>
  <c r="CS67" i="5"/>
  <c r="CM67" i="5"/>
  <c r="CK67" i="5"/>
  <c r="CJ67" i="5"/>
  <c r="CI67" i="5"/>
  <c r="CG67" i="5"/>
  <c r="CF67" i="5"/>
  <c r="CE67" i="5"/>
  <c r="CD67" i="5"/>
  <c r="CC67" i="5"/>
  <c r="CB67" i="5"/>
  <c r="CA67" i="5"/>
  <c r="BY67" i="5"/>
  <c r="BX67" i="5"/>
  <c r="BW67" i="5"/>
  <c r="BV67" i="5"/>
  <c r="BU67" i="5"/>
  <c r="BQ67" i="5"/>
  <c r="BP67" i="5"/>
  <c r="BO67" i="5"/>
  <c r="BM67" i="5"/>
  <c r="BF67" i="5"/>
  <c r="BC67" i="5"/>
  <c r="AZ67" i="5"/>
  <c r="AY67" i="5"/>
  <c r="AX67" i="5"/>
  <c r="AW67" i="5"/>
  <c r="AV67" i="5"/>
  <c r="AU67" i="5"/>
  <c r="AT67" i="5"/>
  <c r="AR67" i="5"/>
  <c r="AQ67" i="5"/>
  <c r="AP67" i="5"/>
  <c r="AO67" i="5"/>
  <c r="AN67" i="5"/>
  <c r="AM67" i="5"/>
  <c r="AL67" i="5"/>
  <c r="AH67" i="5"/>
  <c r="AF67" i="5"/>
  <c r="AD67" i="5"/>
  <c r="AB67" i="5"/>
  <c r="Y67" i="5"/>
  <c r="X67" i="5"/>
  <c r="W67" i="5"/>
  <c r="V67" i="5"/>
  <c r="U67" i="5"/>
  <c r="T67" i="5"/>
  <c r="S67" i="5"/>
  <c r="R67" i="5"/>
  <c r="Q67" i="5"/>
  <c r="P67" i="5"/>
  <c r="O67" i="5"/>
  <c r="N67" i="5"/>
  <c r="M67" i="5"/>
  <c r="L67" i="5"/>
  <c r="K67" i="5"/>
  <c r="J67" i="5"/>
  <c r="I67" i="5"/>
  <c r="H67" i="5"/>
  <c r="G67" i="5"/>
  <c r="F67" i="5"/>
  <c r="E67" i="5"/>
  <c r="D67" i="5"/>
  <c r="C67" i="5"/>
  <c r="B67" i="5"/>
  <c r="A67" i="5"/>
  <c r="CS66" i="5"/>
  <c r="CM66" i="5"/>
  <c r="CK66" i="5"/>
  <c r="CJ66" i="5"/>
  <c r="CI66" i="5"/>
  <c r="CG66" i="5"/>
  <c r="CF66" i="5"/>
  <c r="CE66" i="5"/>
  <c r="CD66" i="5"/>
  <c r="CC66" i="5"/>
  <c r="CB66" i="5"/>
  <c r="CA66" i="5"/>
  <c r="BY66" i="5"/>
  <c r="BX66" i="5"/>
  <c r="BW66" i="5"/>
  <c r="BV66" i="5"/>
  <c r="BU66" i="5"/>
  <c r="BQ66" i="5"/>
  <c r="BP66" i="5"/>
  <c r="BO66" i="5"/>
  <c r="BM66" i="5"/>
  <c r="BF66" i="5"/>
  <c r="BC66" i="5"/>
  <c r="AZ66" i="5"/>
  <c r="AY66" i="5"/>
  <c r="AX66" i="5"/>
  <c r="AW66" i="5"/>
  <c r="AV66" i="5"/>
  <c r="AU66" i="5"/>
  <c r="AT66" i="5"/>
  <c r="AR66" i="5"/>
  <c r="AQ66" i="5"/>
  <c r="AP66" i="5"/>
  <c r="AO66" i="5"/>
  <c r="AN66" i="5"/>
  <c r="AM66" i="5"/>
  <c r="AL66" i="5"/>
  <c r="AH66" i="5"/>
  <c r="AF66" i="5"/>
  <c r="AD66" i="5"/>
  <c r="AB66" i="5"/>
  <c r="Y66" i="5"/>
  <c r="X66" i="5"/>
  <c r="W66" i="5"/>
  <c r="V66" i="5"/>
  <c r="U66" i="5"/>
  <c r="T66" i="5"/>
  <c r="S66" i="5"/>
  <c r="R66" i="5"/>
  <c r="Q66" i="5"/>
  <c r="P66" i="5"/>
  <c r="O66" i="5"/>
  <c r="N66" i="5"/>
  <c r="M66" i="5"/>
  <c r="L66" i="5"/>
  <c r="K66" i="5"/>
  <c r="J66" i="5"/>
  <c r="I66" i="5"/>
  <c r="H66" i="5"/>
  <c r="G66" i="5"/>
  <c r="F66" i="5"/>
  <c r="E66" i="5"/>
  <c r="D66" i="5"/>
  <c r="C66" i="5"/>
  <c r="B66" i="5"/>
  <c r="A66" i="5"/>
  <c r="CS65" i="5"/>
  <c r="CM65" i="5"/>
  <c r="CK65" i="5"/>
  <c r="CJ65" i="5"/>
  <c r="CI65" i="5"/>
  <c r="CG65" i="5"/>
  <c r="CF65" i="5"/>
  <c r="CE65" i="5"/>
  <c r="CD65" i="5"/>
  <c r="CC65" i="5"/>
  <c r="CB65" i="5"/>
  <c r="CA65" i="5"/>
  <c r="BZ65" i="5"/>
  <c r="BY65" i="5"/>
  <c r="BX65" i="5"/>
  <c r="BW65" i="5"/>
  <c r="BV65" i="5"/>
  <c r="BU65" i="5"/>
  <c r="BS65" i="5"/>
  <c r="BR65" i="5"/>
  <c r="BQ65" i="5"/>
  <c r="BP65" i="5"/>
  <c r="BO65" i="5"/>
  <c r="BM65" i="5"/>
  <c r="BF65" i="5"/>
  <c r="BC65" i="5"/>
  <c r="AZ65" i="5"/>
  <c r="AY65" i="5"/>
  <c r="AX65" i="5"/>
  <c r="AW65" i="5"/>
  <c r="AV65" i="5"/>
  <c r="AU65" i="5"/>
  <c r="AT65" i="5"/>
  <c r="AR65" i="5"/>
  <c r="AQ65" i="5"/>
  <c r="AP65" i="5"/>
  <c r="AO65" i="5"/>
  <c r="AN65" i="5"/>
  <c r="AM65" i="5"/>
  <c r="AL65" i="5"/>
  <c r="AH65" i="5"/>
  <c r="AF65" i="5"/>
  <c r="AD65" i="5"/>
  <c r="AB65" i="5"/>
  <c r="Y65" i="5"/>
  <c r="X65" i="5"/>
  <c r="W65" i="5"/>
  <c r="V65" i="5"/>
  <c r="U65" i="5"/>
  <c r="T65" i="5"/>
  <c r="S65" i="5"/>
  <c r="R65" i="5"/>
  <c r="Q65" i="5"/>
  <c r="P65" i="5"/>
  <c r="O65" i="5"/>
  <c r="N65" i="5"/>
  <c r="M65" i="5"/>
  <c r="L65" i="5"/>
  <c r="K65" i="5"/>
  <c r="J65" i="5"/>
  <c r="I65" i="5"/>
  <c r="H65" i="5"/>
  <c r="G65" i="5"/>
  <c r="F65" i="5"/>
  <c r="E65" i="5"/>
  <c r="D65" i="5"/>
  <c r="C65" i="5"/>
  <c r="B65" i="5"/>
  <c r="A65" i="5"/>
  <c r="CS64" i="5"/>
  <c r="CM64" i="5"/>
  <c r="CK64" i="5"/>
  <c r="CJ64" i="5"/>
  <c r="CI64" i="5"/>
  <c r="CG64" i="5"/>
  <c r="CF64" i="5"/>
  <c r="CE64" i="5"/>
  <c r="CD64" i="5"/>
  <c r="CC64" i="5"/>
  <c r="CB64" i="5"/>
  <c r="CA64" i="5"/>
  <c r="BZ64" i="5"/>
  <c r="BY64" i="5"/>
  <c r="BX64" i="5"/>
  <c r="BW64" i="5"/>
  <c r="BV64" i="5"/>
  <c r="BU64" i="5"/>
  <c r="BS64" i="5"/>
  <c r="BR64" i="5"/>
  <c r="BQ64" i="5"/>
  <c r="BP64" i="5"/>
  <c r="BO64" i="5"/>
  <c r="BM64" i="5"/>
  <c r="BF64" i="5"/>
  <c r="BC64" i="5"/>
  <c r="AZ64" i="5"/>
  <c r="AY64" i="5"/>
  <c r="AX64" i="5"/>
  <c r="AW64" i="5"/>
  <c r="AV64" i="5"/>
  <c r="AU64" i="5"/>
  <c r="AT64" i="5"/>
  <c r="AR64" i="5"/>
  <c r="AQ64" i="5"/>
  <c r="AP64" i="5"/>
  <c r="AO64" i="5"/>
  <c r="AN64" i="5"/>
  <c r="AM64" i="5"/>
  <c r="AL64" i="5"/>
  <c r="AH64" i="5"/>
  <c r="AF64" i="5"/>
  <c r="AD64" i="5"/>
  <c r="AB64" i="5"/>
  <c r="Y64" i="5"/>
  <c r="X64" i="5"/>
  <c r="W64" i="5"/>
  <c r="V64" i="5"/>
  <c r="U64" i="5"/>
  <c r="T64" i="5"/>
  <c r="S64" i="5"/>
  <c r="R64" i="5"/>
  <c r="Q64" i="5"/>
  <c r="P64" i="5"/>
  <c r="O64" i="5"/>
  <c r="N64" i="5"/>
  <c r="M64" i="5"/>
  <c r="L64" i="5"/>
  <c r="K64" i="5"/>
  <c r="J64" i="5"/>
  <c r="I64" i="5"/>
  <c r="H64" i="5"/>
  <c r="G64" i="5"/>
  <c r="F64" i="5"/>
  <c r="E64" i="5"/>
  <c r="D64" i="5"/>
  <c r="C64" i="5"/>
  <c r="B64" i="5"/>
  <c r="A64" i="5"/>
  <c r="CS63" i="5"/>
  <c r="CM63" i="5"/>
  <c r="CK63" i="5"/>
  <c r="CJ63" i="5"/>
  <c r="CI63" i="5"/>
  <c r="CG63" i="5"/>
  <c r="CF63" i="5"/>
  <c r="CE63" i="5"/>
  <c r="CD63" i="5"/>
  <c r="CC63" i="5"/>
  <c r="CB63" i="5"/>
  <c r="CA63" i="5"/>
  <c r="BY63" i="5"/>
  <c r="BX63" i="5"/>
  <c r="BW63" i="5"/>
  <c r="BV63" i="5"/>
  <c r="BU63" i="5"/>
  <c r="BQ63" i="5"/>
  <c r="BP63" i="5"/>
  <c r="BO63" i="5"/>
  <c r="BM63" i="5"/>
  <c r="BF63" i="5"/>
  <c r="BC63" i="5"/>
  <c r="AZ63" i="5"/>
  <c r="AY63" i="5"/>
  <c r="AX63" i="5"/>
  <c r="AW63" i="5"/>
  <c r="AV63" i="5"/>
  <c r="AU63" i="5"/>
  <c r="AT63" i="5"/>
  <c r="AR63" i="5"/>
  <c r="AQ63" i="5"/>
  <c r="AP63" i="5"/>
  <c r="AO63" i="5"/>
  <c r="AN63" i="5"/>
  <c r="AM63" i="5"/>
  <c r="AL63" i="5"/>
  <c r="AH63" i="5"/>
  <c r="AF63" i="5"/>
  <c r="AD63" i="5"/>
  <c r="AB63" i="5"/>
  <c r="Y63" i="5"/>
  <c r="X63" i="5"/>
  <c r="W63" i="5"/>
  <c r="V63" i="5"/>
  <c r="U63" i="5"/>
  <c r="T63" i="5"/>
  <c r="S63" i="5"/>
  <c r="R63" i="5"/>
  <c r="Q63" i="5"/>
  <c r="P63" i="5"/>
  <c r="O63" i="5"/>
  <c r="N63" i="5"/>
  <c r="M63" i="5"/>
  <c r="L63" i="5"/>
  <c r="K63" i="5"/>
  <c r="J63" i="5"/>
  <c r="I63" i="5"/>
  <c r="H63" i="5"/>
  <c r="G63" i="5"/>
  <c r="F63" i="5"/>
  <c r="E63" i="5"/>
  <c r="D63" i="5"/>
  <c r="C63" i="5"/>
  <c r="B63" i="5"/>
  <c r="A63" i="5"/>
  <c r="CS62" i="5"/>
  <c r="CM62" i="5"/>
  <c r="CK62" i="5"/>
  <c r="CJ62" i="5"/>
  <c r="CI62" i="5"/>
  <c r="CG62" i="5"/>
  <c r="CF62" i="5"/>
  <c r="CE62" i="5"/>
  <c r="CD62" i="5"/>
  <c r="CC62" i="5"/>
  <c r="CB62" i="5"/>
  <c r="CA62" i="5"/>
  <c r="BZ62" i="5"/>
  <c r="BY62" i="5"/>
  <c r="BX62" i="5"/>
  <c r="BW62" i="5"/>
  <c r="BV62" i="5"/>
  <c r="BU62" i="5"/>
  <c r="BS62" i="5"/>
  <c r="BR62" i="5"/>
  <c r="BQ62" i="5"/>
  <c r="BP62" i="5"/>
  <c r="BO62" i="5"/>
  <c r="BM62" i="5"/>
  <c r="BF62" i="5"/>
  <c r="BC62" i="5"/>
  <c r="AZ62" i="5"/>
  <c r="AY62" i="5"/>
  <c r="AX62" i="5"/>
  <c r="AW62" i="5"/>
  <c r="AV62" i="5"/>
  <c r="AU62" i="5"/>
  <c r="AT62" i="5"/>
  <c r="AR62" i="5"/>
  <c r="AQ62" i="5"/>
  <c r="AP62" i="5"/>
  <c r="AO62" i="5"/>
  <c r="AN62" i="5"/>
  <c r="AM62" i="5"/>
  <c r="AL62" i="5"/>
  <c r="AH62" i="5"/>
  <c r="AF62" i="5"/>
  <c r="AD62" i="5"/>
  <c r="AB62" i="5"/>
  <c r="Y62" i="5"/>
  <c r="X62" i="5"/>
  <c r="W62" i="5"/>
  <c r="V62" i="5"/>
  <c r="U62" i="5"/>
  <c r="T62" i="5"/>
  <c r="S62" i="5"/>
  <c r="R62" i="5"/>
  <c r="Q62" i="5"/>
  <c r="P62" i="5"/>
  <c r="O62" i="5"/>
  <c r="N62" i="5"/>
  <c r="M62" i="5"/>
  <c r="L62" i="5"/>
  <c r="K62" i="5"/>
  <c r="J62" i="5"/>
  <c r="I62" i="5"/>
  <c r="H62" i="5"/>
  <c r="G62" i="5"/>
  <c r="F62" i="5"/>
  <c r="E62" i="5"/>
  <c r="D62" i="5"/>
  <c r="C62" i="5"/>
  <c r="B62" i="5"/>
  <c r="A62" i="5"/>
  <c r="CS61" i="5"/>
  <c r="CM61" i="5"/>
  <c r="CK61" i="5"/>
  <c r="CJ61" i="5"/>
  <c r="CI61" i="5"/>
  <c r="CG61" i="5"/>
  <c r="CF61" i="5"/>
  <c r="CE61" i="5"/>
  <c r="CD61" i="5"/>
  <c r="CC61" i="5"/>
  <c r="CB61" i="5"/>
  <c r="CA61" i="5"/>
  <c r="BZ61" i="5"/>
  <c r="BY61" i="5"/>
  <c r="BX61" i="5"/>
  <c r="BW61" i="5"/>
  <c r="BV61" i="5"/>
  <c r="BU61" i="5"/>
  <c r="BS61" i="5"/>
  <c r="BR61" i="5"/>
  <c r="BQ61" i="5"/>
  <c r="BP61" i="5"/>
  <c r="BO61" i="5"/>
  <c r="BM61" i="5"/>
  <c r="BF61" i="5"/>
  <c r="BC61" i="5"/>
  <c r="AZ61" i="5"/>
  <c r="AY61" i="5"/>
  <c r="AX61" i="5"/>
  <c r="AW61" i="5"/>
  <c r="AV61" i="5"/>
  <c r="AU61" i="5"/>
  <c r="AT61" i="5"/>
  <c r="AR61" i="5"/>
  <c r="AQ61" i="5"/>
  <c r="AP61" i="5"/>
  <c r="AO61" i="5"/>
  <c r="AN61" i="5"/>
  <c r="AM61" i="5"/>
  <c r="AL61" i="5"/>
  <c r="AH61" i="5"/>
  <c r="AF61" i="5"/>
  <c r="AD61" i="5"/>
  <c r="AB61" i="5"/>
  <c r="Y61" i="5"/>
  <c r="X61" i="5"/>
  <c r="W61" i="5"/>
  <c r="V61" i="5"/>
  <c r="U61" i="5"/>
  <c r="T61" i="5"/>
  <c r="S61" i="5"/>
  <c r="R61" i="5"/>
  <c r="Q61" i="5"/>
  <c r="P61" i="5"/>
  <c r="O61" i="5"/>
  <c r="N61" i="5"/>
  <c r="M61" i="5"/>
  <c r="L61" i="5"/>
  <c r="K61" i="5"/>
  <c r="J61" i="5"/>
  <c r="I61" i="5"/>
  <c r="H61" i="5"/>
  <c r="G61" i="5"/>
  <c r="F61" i="5"/>
  <c r="E61" i="5"/>
  <c r="D61" i="5"/>
  <c r="C61" i="5"/>
  <c r="B61" i="5"/>
  <c r="A61" i="5"/>
  <c r="CS60" i="5"/>
  <c r="CM60" i="5"/>
  <c r="CK60" i="5"/>
  <c r="CJ60" i="5"/>
  <c r="CI60" i="5"/>
  <c r="CG60" i="5"/>
  <c r="CF60" i="5"/>
  <c r="CE60" i="5"/>
  <c r="CD60" i="5"/>
  <c r="CC60" i="5"/>
  <c r="CB60" i="5"/>
  <c r="CA60" i="5"/>
  <c r="BZ60" i="5"/>
  <c r="BY60" i="5"/>
  <c r="BX60" i="5"/>
  <c r="BW60" i="5"/>
  <c r="BV60" i="5"/>
  <c r="BU60" i="5"/>
  <c r="BS60" i="5"/>
  <c r="BR60" i="5"/>
  <c r="BQ60" i="5"/>
  <c r="BP60" i="5"/>
  <c r="BO60" i="5"/>
  <c r="BM60" i="5"/>
  <c r="BF60" i="5"/>
  <c r="BC60" i="5"/>
  <c r="AZ60" i="5"/>
  <c r="AY60" i="5"/>
  <c r="AX60" i="5"/>
  <c r="AW60" i="5"/>
  <c r="AV60" i="5"/>
  <c r="AU60" i="5"/>
  <c r="AT60" i="5"/>
  <c r="AR60" i="5"/>
  <c r="AQ60" i="5"/>
  <c r="AP60" i="5"/>
  <c r="AO60" i="5"/>
  <c r="AN60" i="5"/>
  <c r="AM60" i="5"/>
  <c r="AL60" i="5"/>
  <c r="AH60" i="5"/>
  <c r="AF60" i="5"/>
  <c r="AD60" i="5"/>
  <c r="AB60" i="5"/>
  <c r="Y60" i="5"/>
  <c r="X60" i="5"/>
  <c r="W60" i="5"/>
  <c r="V60" i="5"/>
  <c r="U60" i="5"/>
  <c r="T60" i="5"/>
  <c r="S60" i="5"/>
  <c r="R60" i="5"/>
  <c r="Q60" i="5"/>
  <c r="P60" i="5"/>
  <c r="O60" i="5"/>
  <c r="N60" i="5"/>
  <c r="M60" i="5"/>
  <c r="L60" i="5"/>
  <c r="K60" i="5"/>
  <c r="J60" i="5"/>
  <c r="I60" i="5"/>
  <c r="H60" i="5"/>
  <c r="G60" i="5"/>
  <c r="F60" i="5"/>
  <c r="E60" i="5"/>
  <c r="D60" i="5"/>
  <c r="C60" i="5"/>
  <c r="B60" i="5"/>
  <c r="A60" i="5"/>
  <c r="CS59" i="5"/>
  <c r="CM59" i="5"/>
  <c r="CJ59" i="5"/>
  <c r="CI59" i="5"/>
  <c r="CG59" i="5"/>
  <c r="CF59" i="5"/>
  <c r="CE59" i="5"/>
  <c r="CD59" i="5"/>
  <c r="CC59" i="5"/>
  <c r="CB59" i="5"/>
  <c r="CA59" i="5"/>
  <c r="BZ59" i="5"/>
  <c r="BY59" i="5"/>
  <c r="BX59" i="5"/>
  <c r="BW59" i="5"/>
  <c r="BV59" i="5"/>
  <c r="BU59" i="5"/>
  <c r="BS59" i="5"/>
  <c r="BR59" i="5"/>
  <c r="BQ59" i="5"/>
  <c r="BP59" i="5"/>
  <c r="BO59" i="5"/>
  <c r="BM59" i="5"/>
  <c r="BF59" i="5"/>
  <c r="BC59" i="5"/>
  <c r="AZ59" i="5"/>
  <c r="AY59" i="5"/>
  <c r="AX59" i="5"/>
  <c r="AW59" i="5"/>
  <c r="AV59" i="5"/>
  <c r="AU59" i="5"/>
  <c r="AT59" i="5"/>
  <c r="AR59" i="5"/>
  <c r="AQ59" i="5"/>
  <c r="AP59" i="5"/>
  <c r="AO59" i="5"/>
  <c r="AN59" i="5"/>
  <c r="AM59" i="5"/>
  <c r="AL59" i="5"/>
  <c r="AH59" i="5"/>
  <c r="AF59" i="5"/>
  <c r="AD59" i="5"/>
  <c r="AB59" i="5"/>
  <c r="Y59" i="5"/>
  <c r="X59" i="5"/>
  <c r="W59" i="5"/>
  <c r="V59" i="5"/>
  <c r="U59" i="5"/>
  <c r="T59" i="5"/>
  <c r="S59" i="5"/>
  <c r="R59" i="5"/>
  <c r="Q59" i="5"/>
  <c r="P59" i="5"/>
  <c r="O59" i="5"/>
  <c r="N59" i="5"/>
  <c r="M59" i="5"/>
  <c r="L59" i="5"/>
  <c r="K59" i="5"/>
  <c r="J59" i="5"/>
  <c r="I59" i="5"/>
  <c r="H59" i="5"/>
  <c r="G59" i="5"/>
  <c r="F59" i="5"/>
  <c r="E59" i="5"/>
  <c r="D59" i="5"/>
  <c r="C59" i="5"/>
  <c r="B59" i="5"/>
  <c r="A59" i="5"/>
  <c r="CS58" i="5"/>
  <c r="CM58" i="5"/>
  <c r="CK58" i="5"/>
  <c r="CJ58" i="5"/>
  <c r="CI58" i="5"/>
  <c r="CG58" i="5"/>
  <c r="CF58" i="5"/>
  <c r="CE58" i="5"/>
  <c r="CD58" i="5"/>
  <c r="CC58" i="5"/>
  <c r="CB58" i="5"/>
  <c r="CA58" i="5"/>
  <c r="BZ58" i="5"/>
  <c r="BY58" i="5"/>
  <c r="BX58" i="5"/>
  <c r="BW58" i="5"/>
  <c r="BV58" i="5"/>
  <c r="BU58" i="5"/>
  <c r="BS58" i="5"/>
  <c r="BR58" i="5"/>
  <c r="BQ58" i="5"/>
  <c r="BP58" i="5"/>
  <c r="BO58" i="5"/>
  <c r="BM58" i="5"/>
  <c r="BF58" i="5"/>
  <c r="BC58" i="5"/>
  <c r="AZ58" i="5"/>
  <c r="AY58" i="5"/>
  <c r="AX58" i="5"/>
  <c r="AW58" i="5"/>
  <c r="AV58" i="5"/>
  <c r="AU58" i="5"/>
  <c r="AT58" i="5"/>
  <c r="AR58" i="5"/>
  <c r="AQ58" i="5"/>
  <c r="AP58" i="5"/>
  <c r="AO58" i="5"/>
  <c r="AN58" i="5"/>
  <c r="AM58" i="5"/>
  <c r="AL58" i="5"/>
  <c r="AH58" i="5"/>
  <c r="AF58" i="5"/>
  <c r="AD58" i="5"/>
  <c r="AB58" i="5"/>
  <c r="Y58" i="5"/>
  <c r="X58" i="5"/>
  <c r="W58" i="5"/>
  <c r="V58" i="5"/>
  <c r="U58" i="5"/>
  <c r="T58" i="5"/>
  <c r="S58" i="5"/>
  <c r="R58" i="5"/>
  <c r="Q58" i="5"/>
  <c r="P58" i="5"/>
  <c r="O58" i="5"/>
  <c r="N58" i="5"/>
  <c r="M58" i="5"/>
  <c r="L58" i="5"/>
  <c r="K58" i="5"/>
  <c r="J58" i="5"/>
  <c r="I58" i="5"/>
  <c r="H58" i="5"/>
  <c r="G58" i="5"/>
  <c r="F58" i="5"/>
  <c r="E58" i="5"/>
  <c r="D58" i="5"/>
  <c r="C58" i="5"/>
  <c r="B58" i="5"/>
  <c r="A58" i="5"/>
  <c r="CS57" i="5"/>
  <c r="CM57" i="5"/>
  <c r="CK57" i="5"/>
  <c r="CJ57" i="5"/>
  <c r="CI57" i="5"/>
  <c r="CG57" i="5"/>
  <c r="CF57" i="5"/>
  <c r="CE57" i="5"/>
  <c r="CD57" i="5"/>
  <c r="CC57" i="5"/>
  <c r="CB57" i="5"/>
  <c r="CA57" i="5"/>
  <c r="BZ57" i="5"/>
  <c r="BY57" i="5"/>
  <c r="BX57" i="5"/>
  <c r="BW57" i="5"/>
  <c r="BV57" i="5"/>
  <c r="BU57" i="5"/>
  <c r="BS57" i="5"/>
  <c r="BR57" i="5"/>
  <c r="BQ57" i="5"/>
  <c r="BP57" i="5"/>
  <c r="BO57" i="5"/>
  <c r="BM57" i="5"/>
  <c r="BF57" i="5"/>
  <c r="BC57" i="5"/>
  <c r="AZ57" i="5"/>
  <c r="AY57" i="5"/>
  <c r="AX57" i="5"/>
  <c r="AW57" i="5"/>
  <c r="AV57" i="5"/>
  <c r="AU57" i="5"/>
  <c r="AT57" i="5"/>
  <c r="AR57" i="5"/>
  <c r="AQ57" i="5"/>
  <c r="AP57" i="5"/>
  <c r="AO57" i="5"/>
  <c r="AN57" i="5"/>
  <c r="AM57" i="5"/>
  <c r="AL57" i="5"/>
  <c r="AH57" i="5"/>
  <c r="AF57" i="5"/>
  <c r="AD57" i="5"/>
  <c r="AB57" i="5"/>
  <c r="Y57" i="5"/>
  <c r="X57" i="5"/>
  <c r="W57" i="5"/>
  <c r="V57" i="5"/>
  <c r="U57" i="5"/>
  <c r="T57" i="5"/>
  <c r="S57" i="5"/>
  <c r="R57" i="5"/>
  <c r="Q57" i="5"/>
  <c r="P57" i="5"/>
  <c r="O57" i="5"/>
  <c r="N57" i="5"/>
  <c r="M57" i="5"/>
  <c r="L57" i="5"/>
  <c r="K57" i="5"/>
  <c r="J57" i="5"/>
  <c r="I57" i="5"/>
  <c r="H57" i="5"/>
  <c r="G57" i="5"/>
  <c r="F57" i="5"/>
  <c r="E57" i="5"/>
  <c r="D57" i="5"/>
  <c r="C57" i="5"/>
  <c r="B57" i="5"/>
  <c r="A57" i="5"/>
  <c r="CS56" i="5"/>
  <c r="CM56" i="5"/>
  <c r="CI56" i="5"/>
  <c r="CG56" i="5"/>
  <c r="CF56" i="5"/>
  <c r="CE56" i="5"/>
  <c r="CD56" i="5"/>
  <c r="CC56" i="5"/>
  <c r="CB56" i="5"/>
  <c r="CA56" i="5"/>
  <c r="BZ56" i="5"/>
  <c r="BY56" i="5"/>
  <c r="BX56" i="5"/>
  <c r="BW56" i="5"/>
  <c r="BV56" i="5"/>
  <c r="BU56" i="5"/>
  <c r="BS56" i="5"/>
  <c r="BR56" i="5"/>
  <c r="BQ56" i="5"/>
  <c r="BP56" i="5"/>
  <c r="BO56" i="5"/>
  <c r="BM56" i="5"/>
  <c r="BF56" i="5"/>
  <c r="BC56" i="5"/>
  <c r="AZ56" i="5"/>
  <c r="AY56" i="5"/>
  <c r="AX56" i="5"/>
  <c r="AW56" i="5"/>
  <c r="AV56" i="5"/>
  <c r="AU56" i="5"/>
  <c r="AT56" i="5"/>
  <c r="AR56" i="5"/>
  <c r="AQ56" i="5"/>
  <c r="AP56" i="5"/>
  <c r="AO56" i="5"/>
  <c r="AN56" i="5"/>
  <c r="AM56" i="5"/>
  <c r="AL56" i="5"/>
  <c r="AH56" i="5"/>
  <c r="AF56" i="5"/>
  <c r="AD56" i="5"/>
  <c r="AB56" i="5"/>
  <c r="Y56" i="5"/>
  <c r="X56" i="5"/>
  <c r="W56" i="5"/>
  <c r="V56" i="5"/>
  <c r="U56" i="5"/>
  <c r="T56" i="5"/>
  <c r="S56" i="5"/>
  <c r="R56" i="5"/>
  <c r="Q56" i="5"/>
  <c r="P56" i="5"/>
  <c r="O56" i="5"/>
  <c r="N56" i="5"/>
  <c r="M56" i="5"/>
  <c r="L56" i="5"/>
  <c r="K56" i="5"/>
  <c r="J56" i="5"/>
  <c r="I56" i="5"/>
  <c r="H56" i="5"/>
  <c r="G56" i="5"/>
  <c r="F56" i="5"/>
  <c r="E56" i="5"/>
  <c r="D56" i="5"/>
  <c r="C56" i="5"/>
  <c r="B56" i="5"/>
  <c r="A56" i="5"/>
  <c r="CS55" i="5"/>
  <c r="CM55" i="5"/>
  <c r="CK55" i="5"/>
  <c r="CJ55" i="5"/>
  <c r="CI55" i="5"/>
  <c r="CG55" i="5"/>
  <c r="CF55" i="5"/>
  <c r="CE55" i="5"/>
  <c r="CD55" i="5"/>
  <c r="CC55" i="5"/>
  <c r="CB55" i="5"/>
  <c r="CA55" i="5"/>
  <c r="BZ55" i="5"/>
  <c r="BY55" i="5"/>
  <c r="BX55" i="5"/>
  <c r="BW55" i="5"/>
  <c r="BV55" i="5"/>
  <c r="BU55" i="5"/>
  <c r="BS55" i="5"/>
  <c r="BR55" i="5"/>
  <c r="BQ55" i="5"/>
  <c r="BP55" i="5"/>
  <c r="BO55" i="5"/>
  <c r="BM55" i="5"/>
  <c r="BF55" i="5"/>
  <c r="BC55" i="5"/>
  <c r="AZ55" i="5"/>
  <c r="AY55" i="5"/>
  <c r="AX55" i="5"/>
  <c r="AW55" i="5"/>
  <c r="AV55" i="5"/>
  <c r="AU55" i="5"/>
  <c r="AT55" i="5"/>
  <c r="AR55" i="5"/>
  <c r="AQ55" i="5"/>
  <c r="AP55" i="5"/>
  <c r="AO55" i="5"/>
  <c r="AN55" i="5"/>
  <c r="AM55" i="5"/>
  <c r="AL55" i="5"/>
  <c r="AH55" i="5"/>
  <c r="AF55" i="5"/>
  <c r="AD55" i="5"/>
  <c r="AB55" i="5"/>
  <c r="Y55" i="5"/>
  <c r="X55" i="5"/>
  <c r="W55" i="5"/>
  <c r="V55" i="5"/>
  <c r="U55" i="5"/>
  <c r="T55" i="5"/>
  <c r="S55" i="5"/>
  <c r="R55" i="5"/>
  <c r="Q55" i="5"/>
  <c r="P55" i="5"/>
  <c r="O55" i="5"/>
  <c r="N55" i="5"/>
  <c r="M55" i="5"/>
  <c r="L55" i="5"/>
  <c r="K55" i="5"/>
  <c r="J55" i="5"/>
  <c r="I55" i="5"/>
  <c r="H55" i="5"/>
  <c r="G55" i="5"/>
  <c r="F55" i="5"/>
  <c r="E55" i="5"/>
  <c r="D55" i="5"/>
  <c r="C55" i="5"/>
  <c r="B55" i="5"/>
  <c r="A55" i="5"/>
  <c r="CS54" i="5"/>
  <c r="CM54" i="5"/>
  <c r="CK54" i="5"/>
  <c r="CJ54" i="5"/>
  <c r="CI54" i="5"/>
  <c r="CG54" i="5"/>
  <c r="CF54" i="5"/>
  <c r="CE54" i="5"/>
  <c r="CD54" i="5"/>
  <c r="CC54" i="5"/>
  <c r="CB54" i="5"/>
  <c r="CA54" i="5"/>
  <c r="BZ54" i="5"/>
  <c r="BY54" i="5"/>
  <c r="BX54" i="5"/>
  <c r="BW54" i="5"/>
  <c r="BV54" i="5"/>
  <c r="BU54" i="5"/>
  <c r="BS54" i="5"/>
  <c r="BR54" i="5"/>
  <c r="BQ54" i="5"/>
  <c r="BP54" i="5"/>
  <c r="BO54" i="5"/>
  <c r="BM54" i="5"/>
  <c r="BF54" i="5"/>
  <c r="BC54" i="5"/>
  <c r="AZ54" i="5"/>
  <c r="AY54" i="5"/>
  <c r="AX54" i="5"/>
  <c r="AW54" i="5"/>
  <c r="AV54" i="5"/>
  <c r="AU54" i="5"/>
  <c r="AT54" i="5"/>
  <c r="AR54" i="5"/>
  <c r="AQ54" i="5"/>
  <c r="AP54" i="5"/>
  <c r="AO54" i="5"/>
  <c r="AN54" i="5"/>
  <c r="AM54" i="5"/>
  <c r="AL54" i="5"/>
  <c r="AH54" i="5"/>
  <c r="AF54" i="5"/>
  <c r="AD54" i="5"/>
  <c r="AB54" i="5"/>
  <c r="Y54" i="5"/>
  <c r="X54" i="5"/>
  <c r="W54" i="5"/>
  <c r="V54" i="5"/>
  <c r="U54" i="5"/>
  <c r="T54" i="5"/>
  <c r="S54" i="5"/>
  <c r="R54" i="5"/>
  <c r="Q54" i="5"/>
  <c r="P54" i="5"/>
  <c r="O54" i="5"/>
  <c r="N54" i="5"/>
  <c r="M54" i="5"/>
  <c r="L54" i="5"/>
  <c r="K54" i="5"/>
  <c r="J54" i="5"/>
  <c r="I54" i="5"/>
  <c r="H54" i="5"/>
  <c r="G54" i="5"/>
  <c r="F54" i="5"/>
  <c r="E54" i="5"/>
  <c r="D54" i="5"/>
  <c r="C54" i="5"/>
  <c r="B54" i="5"/>
  <c r="A54" i="5"/>
  <c r="CS53" i="5"/>
  <c r="CM53" i="5"/>
  <c r="CK53" i="5"/>
  <c r="CJ53" i="5"/>
  <c r="CI53" i="5"/>
  <c r="CG53" i="5"/>
  <c r="CF53" i="5"/>
  <c r="CE53" i="5"/>
  <c r="CD53" i="5"/>
  <c r="CC53" i="5"/>
  <c r="CB53" i="5"/>
  <c r="CA53" i="5"/>
  <c r="BZ53" i="5"/>
  <c r="BY53" i="5"/>
  <c r="BX53" i="5"/>
  <c r="BW53" i="5"/>
  <c r="BV53" i="5"/>
  <c r="BU53" i="5"/>
  <c r="BS53" i="5"/>
  <c r="BR53" i="5"/>
  <c r="BQ53" i="5"/>
  <c r="BP53" i="5"/>
  <c r="BO53" i="5"/>
  <c r="BM53" i="5"/>
  <c r="BF53" i="5"/>
  <c r="BC53" i="5"/>
  <c r="AZ53" i="5"/>
  <c r="AY53" i="5"/>
  <c r="AX53" i="5"/>
  <c r="AW53" i="5"/>
  <c r="AV53" i="5"/>
  <c r="AU53" i="5"/>
  <c r="AT53" i="5"/>
  <c r="AR53" i="5"/>
  <c r="AQ53" i="5"/>
  <c r="AP53" i="5"/>
  <c r="AO53" i="5"/>
  <c r="AN53" i="5"/>
  <c r="AM53" i="5"/>
  <c r="AL53" i="5"/>
  <c r="AH53" i="5"/>
  <c r="AF53" i="5"/>
  <c r="AD53" i="5"/>
  <c r="AB53" i="5"/>
  <c r="Y53" i="5"/>
  <c r="X53" i="5"/>
  <c r="W53" i="5"/>
  <c r="V53" i="5"/>
  <c r="U53" i="5"/>
  <c r="T53" i="5"/>
  <c r="S53" i="5"/>
  <c r="R53" i="5"/>
  <c r="Q53" i="5"/>
  <c r="P53" i="5"/>
  <c r="O53" i="5"/>
  <c r="N53" i="5"/>
  <c r="M53" i="5"/>
  <c r="L53" i="5"/>
  <c r="K53" i="5"/>
  <c r="J53" i="5"/>
  <c r="I53" i="5"/>
  <c r="H53" i="5"/>
  <c r="G53" i="5"/>
  <c r="F53" i="5"/>
  <c r="E53" i="5"/>
  <c r="D53" i="5"/>
  <c r="C53" i="5"/>
  <c r="B53" i="5"/>
  <c r="A53" i="5"/>
  <c r="CS52" i="5"/>
  <c r="CM52" i="5"/>
  <c r="CK52" i="5"/>
  <c r="CJ52" i="5"/>
  <c r="CI52" i="5"/>
  <c r="CG52" i="5"/>
  <c r="CF52" i="5"/>
  <c r="CE52" i="5"/>
  <c r="CD52" i="5"/>
  <c r="CC52" i="5"/>
  <c r="CB52" i="5"/>
  <c r="CA52" i="5"/>
  <c r="BZ52" i="5"/>
  <c r="BY52" i="5"/>
  <c r="BX52" i="5"/>
  <c r="BW52" i="5"/>
  <c r="BV52" i="5"/>
  <c r="BU52" i="5"/>
  <c r="BS52" i="5"/>
  <c r="BR52" i="5"/>
  <c r="BQ52" i="5"/>
  <c r="BP52" i="5"/>
  <c r="BO52" i="5"/>
  <c r="BM52" i="5"/>
  <c r="BF52" i="5"/>
  <c r="BC52" i="5"/>
  <c r="AZ52" i="5"/>
  <c r="AY52" i="5"/>
  <c r="AX52" i="5"/>
  <c r="AW52" i="5"/>
  <c r="AV52" i="5"/>
  <c r="AU52" i="5"/>
  <c r="AT52" i="5"/>
  <c r="AR52" i="5"/>
  <c r="AQ52" i="5"/>
  <c r="AP52" i="5"/>
  <c r="AO52" i="5"/>
  <c r="AN52" i="5"/>
  <c r="AM52" i="5"/>
  <c r="AL52" i="5"/>
  <c r="AH52" i="5"/>
  <c r="AF52" i="5"/>
  <c r="AE52" i="5"/>
  <c r="AD52" i="5"/>
  <c r="AB52" i="5"/>
  <c r="Y52" i="5"/>
  <c r="X52" i="5"/>
  <c r="W52" i="5"/>
  <c r="V52" i="5"/>
  <c r="U52" i="5"/>
  <c r="T52" i="5"/>
  <c r="S52" i="5"/>
  <c r="R52" i="5"/>
  <c r="Q52" i="5"/>
  <c r="P52" i="5"/>
  <c r="O52" i="5"/>
  <c r="N52" i="5"/>
  <c r="M52" i="5"/>
  <c r="L52" i="5"/>
  <c r="K52" i="5"/>
  <c r="J52" i="5"/>
  <c r="I52" i="5"/>
  <c r="H52" i="5"/>
  <c r="G52" i="5"/>
  <c r="F52" i="5"/>
  <c r="E52" i="5"/>
  <c r="D52" i="5"/>
  <c r="C52" i="5"/>
  <c r="B52" i="5"/>
  <c r="A52" i="5"/>
  <c r="CS51" i="5"/>
  <c r="CM51" i="5"/>
  <c r="CK51" i="5"/>
  <c r="CJ51" i="5"/>
  <c r="CI51" i="5"/>
  <c r="CG51" i="5"/>
  <c r="CF51" i="5"/>
  <c r="CE51" i="5"/>
  <c r="CD51" i="5"/>
  <c r="CC51" i="5"/>
  <c r="CB51" i="5"/>
  <c r="CA51" i="5"/>
  <c r="BZ51" i="5"/>
  <c r="BY51" i="5"/>
  <c r="BX51" i="5"/>
  <c r="BW51" i="5"/>
  <c r="BV51" i="5"/>
  <c r="BU51" i="5"/>
  <c r="BS51" i="5"/>
  <c r="BR51" i="5"/>
  <c r="BQ51" i="5"/>
  <c r="BP51" i="5"/>
  <c r="BO51" i="5"/>
  <c r="BM51" i="5"/>
  <c r="BL51" i="5"/>
  <c r="BF51" i="5"/>
  <c r="BC51" i="5"/>
  <c r="AZ51" i="5"/>
  <c r="AY51" i="5"/>
  <c r="AX51" i="5"/>
  <c r="AW51" i="5"/>
  <c r="AV51" i="5"/>
  <c r="AU51" i="5"/>
  <c r="AT51" i="5"/>
  <c r="AR51" i="5"/>
  <c r="AQ51" i="5"/>
  <c r="AP51" i="5"/>
  <c r="AO51" i="5"/>
  <c r="AN51" i="5"/>
  <c r="AM51" i="5"/>
  <c r="AL51" i="5"/>
  <c r="AH51" i="5"/>
  <c r="AF51" i="5"/>
  <c r="AD51" i="5"/>
  <c r="AB51" i="5"/>
  <c r="Y51" i="5"/>
  <c r="X51" i="5"/>
  <c r="W51" i="5"/>
  <c r="V51" i="5"/>
  <c r="U51" i="5"/>
  <c r="T51" i="5"/>
  <c r="S51" i="5"/>
  <c r="R51" i="5"/>
  <c r="Q51" i="5"/>
  <c r="P51" i="5"/>
  <c r="O51" i="5"/>
  <c r="N51" i="5"/>
  <c r="M51" i="5"/>
  <c r="L51" i="5"/>
  <c r="K51" i="5"/>
  <c r="J51" i="5"/>
  <c r="I51" i="5"/>
  <c r="H51" i="5"/>
  <c r="G51" i="5"/>
  <c r="F51" i="5"/>
  <c r="E51" i="5"/>
  <c r="D51" i="5"/>
  <c r="C51" i="5"/>
  <c r="B51" i="5"/>
  <c r="A51" i="5"/>
  <c r="CS50" i="5"/>
  <c r="CM50" i="5"/>
  <c r="CK50" i="5"/>
  <c r="CJ50" i="5"/>
  <c r="CI50" i="5"/>
  <c r="CG50" i="5"/>
  <c r="CF50" i="5"/>
  <c r="CE50" i="5"/>
  <c r="CD50" i="5"/>
  <c r="CC50" i="5"/>
  <c r="CB50" i="5"/>
  <c r="CA50" i="5"/>
  <c r="BZ50" i="5"/>
  <c r="BY50" i="5"/>
  <c r="BW50" i="5"/>
  <c r="BV50" i="5"/>
  <c r="BU50" i="5"/>
  <c r="BS50" i="5"/>
  <c r="BR50" i="5"/>
  <c r="BQ50" i="5"/>
  <c r="BP50" i="5"/>
  <c r="BO50" i="5"/>
  <c r="BM50" i="5"/>
  <c r="BF50" i="5"/>
  <c r="BC50" i="5"/>
  <c r="AZ50" i="5"/>
  <c r="AY50" i="5"/>
  <c r="AX50" i="5"/>
  <c r="AW50" i="5"/>
  <c r="AV50" i="5"/>
  <c r="AU50" i="5"/>
  <c r="AT50" i="5"/>
  <c r="AR50" i="5"/>
  <c r="AQ50" i="5"/>
  <c r="AP50" i="5"/>
  <c r="AO50" i="5"/>
  <c r="AN50" i="5"/>
  <c r="AM50" i="5"/>
  <c r="AL50" i="5"/>
  <c r="AH50" i="5"/>
  <c r="AF50" i="5"/>
  <c r="AD50" i="5"/>
  <c r="AB50" i="5"/>
  <c r="Y50" i="5"/>
  <c r="X50" i="5"/>
  <c r="W50" i="5"/>
  <c r="V50" i="5"/>
  <c r="U50" i="5"/>
  <c r="T50" i="5"/>
  <c r="S50" i="5"/>
  <c r="R50" i="5"/>
  <c r="Q50" i="5"/>
  <c r="P50" i="5"/>
  <c r="O50" i="5"/>
  <c r="N50" i="5"/>
  <c r="M50" i="5"/>
  <c r="L50" i="5"/>
  <c r="K50" i="5"/>
  <c r="J50" i="5"/>
  <c r="I50" i="5"/>
  <c r="H50" i="5"/>
  <c r="G50" i="5"/>
  <c r="F50" i="5"/>
  <c r="E50" i="5"/>
  <c r="D50" i="5"/>
  <c r="C50" i="5"/>
  <c r="B50" i="5"/>
  <c r="A50" i="5"/>
  <c r="CS49" i="5"/>
  <c r="CM49" i="5"/>
  <c r="CK49" i="5"/>
  <c r="CJ49" i="5"/>
  <c r="CI49" i="5"/>
  <c r="CG49" i="5"/>
  <c r="CF49" i="5"/>
  <c r="CE49" i="5"/>
  <c r="CD49" i="5"/>
  <c r="CC49" i="5"/>
  <c r="CB49" i="5"/>
  <c r="CA49" i="5"/>
  <c r="BZ49" i="5"/>
  <c r="BY49" i="5"/>
  <c r="BX49" i="5"/>
  <c r="BW49" i="5"/>
  <c r="BV49" i="5"/>
  <c r="BU49" i="5"/>
  <c r="BS49" i="5"/>
  <c r="BR49" i="5"/>
  <c r="BQ49" i="5"/>
  <c r="BP49" i="5"/>
  <c r="BO49" i="5"/>
  <c r="BM49" i="5"/>
  <c r="BL49" i="5"/>
  <c r="BF49" i="5"/>
  <c r="BC49" i="5"/>
  <c r="AZ49" i="5"/>
  <c r="AY49" i="5"/>
  <c r="AX49" i="5"/>
  <c r="AW49" i="5"/>
  <c r="AV49" i="5"/>
  <c r="AU49" i="5"/>
  <c r="AT49" i="5"/>
  <c r="AR49" i="5"/>
  <c r="AQ49" i="5"/>
  <c r="AP49" i="5"/>
  <c r="AO49" i="5"/>
  <c r="AN49" i="5"/>
  <c r="AM49" i="5"/>
  <c r="AL49" i="5"/>
  <c r="AH49" i="5"/>
  <c r="AF49" i="5"/>
  <c r="AD49" i="5"/>
  <c r="AB49" i="5"/>
  <c r="Y49" i="5"/>
  <c r="X49" i="5"/>
  <c r="W49" i="5"/>
  <c r="V49" i="5"/>
  <c r="U49" i="5"/>
  <c r="T49" i="5"/>
  <c r="S49" i="5"/>
  <c r="R49" i="5"/>
  <c r="Q49" i="5"/>
  <c r="P49" i="5"/>
  <c r="O49" i="5"/>
  <c r="N49" i="5"/>
  <c r="M49" i="5"/>
  <c r="L49" i="5"/>
  <c r="K49" i="5"/>
  <c r="J49" i="5"/>
  <c r="I49" i="5"/>
  <c r="H49" i="5"/>
  <c r="G49" i="5"/>
  <c r="F49" i="5"/>
  <c r="E49" i="5"/>
  <c r="D49" i="5"/>
  <c r="C49" i="5"/>
  <c r="B49" i="5"/>
  <c r="A49" i="5"/>
  <c r="CS48" i="5"/>
  <c r="CM48" i="5"/>
  <c r="CK48" i="5"/>
  <c r="CJ48" i="5"/>
  <c r="CI48" i="5"/>
  <c r="CG48" i="5"/>
  <c r="CF48" i="5"/>
  <c r="CE48" i="5"/>
  <c r="CD48" i="5"/>
  <c r="CC48" i="5"/>
  <c r="CB48" i="5"/>
  <c r="CA48" i="5"/>
  <c r="BZ48" i="5"/>
  <c r="BY48" i="5"/>
  <c r="BX48" i="5"/>
  <c r="BW48" i="5"/>
  <c r="BV48" i="5"/>
  <c r="BU48" i="5"/>
  <c r="BS48" i="5"/>
  <c r="BR48" i="5"/>
  <c r="BQ48" i="5"/>
  <c r="BP48" i="5"/>
  <c r="BO48" i="5"/>
  <c r="BM48" i="5"/>
  <c r="BF48" i="5"/>
  <c r="BC48" i="5"/>
  <c r="AZ48" i="5"/>
  <c r="AY48" i="5"/>
  <c r="AX48" i="5"/>
  <c r="AW48" i="5"/>
  <c r="AV48" i="5"/>
  <c r="AU48" i="5"/>
  <c r="AT48" i="5"/>
  <c r="AR48" i="5"/>
  <c r="AQ48" i="5"/>
  <c r="AP48" i="5"/>
  <c r="AO48" i="5"/>
  <c r="AN48" i="5"/>
  <c r="AM48" i="5"/>
  <c r="AL48" i="5"/>
  <c r="AH48" i="5"/>
  <c r="AF48" i="5"/>
  <c r="AD48" i="5"/>
  <c r="AB48" i="5"/>
  <c r="Y48" i="5"/>
  <c r="X48" i="5"/>
  <c r="W48" i="5"/>
  <c r="V48" i="5"/>
  <c r="U48" i="5"/>
  <c r="T48" i="5"/>
  <c r="S48" i="5"/>
  <c r="R48" i="5"/>
  <c r="Q48" i="5"/>
  <c r="P48" i="5"/>
  <c r="O48" i="5"/>
  <c r="N48" i="5"/>
  <c r="M48" i="5"/>
  <c r="L48" i="5"/>
  <c r="K48" i="5"/>
  <c r="J48" i="5"/>
  <c r="I48" i="5"/>
  <c r="H48" i="5"/>
  <c r="G48" i="5"/>
  <c r="F48" i="5"/>
  <c r="E48" i="5"/>
  <c r="D48" i="5"/>
  <c r="C48" i="5"/>
  <c r="B48" i="5"/>
  <c r="A48" i="5"/>
  <c r="CS47" i="5"/>
  <c r="CM47" i="5"/>
  <c r="CK47" i="5"/>
  <c r="CJ47" i="5"/>
  <c r="CI47" i="5"/>
  <c r="CG47" i="5"/>
  <c r="CF47" i="5"/>
  <c r="CE47" i="5"/>
  <c r="CD47" i="5"/>
  <c r="CC47" i="5"/>
  <c r="CB47" i="5"/>
  <c r="CA47" i="5"/>
  <c r="BZ47" i="5"/>
  <c r="BY47" i="5"/>
  <c r="BX47" i="5"/>
  <c r="BW47" i="5"/>
  <c r="BV47" i="5"/>
  <c r="BU47" i="5"/>
  <c r="BS47" i="5"/>
  <c r="BR47" i="5"/>
  <c r="BQ47" i="5"/>
  <c r="BP47" i="5"/>
  <c r="BO47" i="5"/>
  <c r="BM47" i="5"/>
  <c r="BF47" i="5"/>
  <c r="BC47" i="5"/>
  <c r="AZ47" i="5"/>
  <c r="AY47" i="5"/>
  <c r="AX47" i="5"/>
  <c r="AW47" i="5"/>
  <c r="AV47" i="5"/>
  <c r="AU47" i="5"/>
  <c r="AT47" i="5"/>
  <c r="AR47" i="5"/>
  <c r="AQ47" i="5"/>
  <c r="AP47" i="5"/>
  <c r="AO47" i="5"/>
  <c r="AN47" i="5"/>
  <c r="AM47" i="5"/>
  <c r="AL47" i="5"/>
  <c r="AH47" i="5"/>
  <c r="AF47" i="5"/>
  <c r="AD47" i="5"/>
  <c r="AB47" i="5"/>
  <c r="Y47" i="5"/>
  <c r="X47" i="5"/>
  <c r="W47" i="5"/>
  <c r="V47" i="5"/>
  <c r="U47" i="5"/>
  <c r="T47" i="5"/>
  <c r="S47" i="5"/>
  <c r="R47" i="5"/>
  <c r="Q47" i="5"/>
  <c r="P47" i="5"/>
  <c r="O47" i="5"/>
  <c r="N47" i="5"/>
  <c r="M47" i="5"/>
  <c r="L47" i="5"/>
  <c r="K47" i="5"/>
  <c r="J47" i="5"/>
  <c r="I47" i="5"/>
  <c r="H47" i="5"/>
  <c r="G47" i="5"/>
  <c r="F47" i="5"/>
  <c r="E47" i="5"/>
  <c r="D47" i="5"/>
  <c r="C47" i="5"/>
  <c r="B47" i="5"/>
  <c r="A47" i="5"/>
  <c r="CS46" i="5"/>
  <c r="CM46" i="5"/>
  <c r="CK46" i="5"/>
  <c r="CJ46" i="5"/>
  <c r="CI46" i="5"/>
  <c r="CG46" i="5"/>
  <c r="CF46" i="5"/>
  <c r="CE46" i="5"/>
  <c r="CD46" i="5"/>
  <c r="CC46" i="5"/>
  <c r="CB46" i="5"/>
  <c r="CA46" i="5"/>
  <c r="BZ46" i="5"/>
  <c r="BY46" i="5"/>
  <c r="BX46" i="5"/>
  <c r="BW46" i="5"/>
  <c r="BV46" i="5"/>
  <c r="BU46" i="5"/>
  <c r="BS46" i="5"/>
  <c r="BR46" i="5"/>
  <c r="BQ46" i="5"/>
  <c r="BP46" i="5"/>
  <c r="BO46" i="5"/>
  <c r="BM46" i="5"/>
  <c r="BF46" i="5"/>
  <c r="BC46" i="5"/>
  <c r="AZ46" i="5"/>
  <c r="AY46" i="5"/>
  <c r="AX46" i="5"/>
  <c r="AW46" i="5"/>
  <c r="AV46" i="5"/>
  <c r="AU46" i="5"/>
  <c r="AT46" i="5"/>
  <c r="AR46" i="5"/>
  <c r="AQ46" i="5"/>
  <c r="AP46" i="5"/>
  <c r="AO46" i="5"/>
  <c r="AN46" i="5"/>
  <c r="AM46" i="5"/>
  <c r="AL46" i="5"/>
  <c r="AH46" i="5"/>
  <c r="AF46" i="5"/>
  <c r="AD46" i="5"/>
  <c r="AB46" i="5"/>
  <c r="Y46" i="5"/>
  <c r="X46" i="5"/>
  <c r="W46" i="5"/>
  <c r="V46" i="5"/>
  <c r="U46" i="5"/>
  <c r="T46" i="5"/>
  <c r="S46" i="5"/>
  <c r="R46" i="5"/>
  <c r="Q46" i="5"/>
  <c r="P46" i="5"/>
  <c r="O46" i="5"/>
  <c r="N46" i="5"/>
  <c r="M46" i="5"/>
  <c r="L46" i="5"/>
  <c r="K46" i="5"/>
  <c r="J46" i="5"/>
  <c r="I46" i="5"/>
  <c r="H46" i="5"/>
  <c r="G46" i="5"/>
  <c r="F46" i="5"/>
  <c r="E46" i="5"/>
  <c r="D46" i="5"/>
  <c r="C46" i="5"/>
  <c r="B46" i="5"/>
  <c r="A46" i="5"/>
  <c r="CS45" i="5"/>
  <c r="CM45" i="5"/>
  <c r="CK45" i="5"/>
  <c r="CJ45" i="5"/>
  <c r="CI45" i="5"/>
  <c r="CG45" i="5"/>
  <c r="CF45" i="5"/>
  <c r="CE45" i="5"/>
  <c r="CD45" i="5"/>
  <c r="CC45" i="5"/>
  <c r="CB45" i="5"/>
  <c r="CA45" i="5"/>
  <c r="BZ45" i="5"/>
  <c r="BY45" i="5"/>
  <c r="BX45" i="5"/>
  <c r="BW45" i="5"/>
  <c r="BV45" i="5"/>
  <c r="BU45" i="5"/>
  <c r="BS45" i="5"/>
  <c r="BR45" i="5"/>
  <c r="BQ45" i="5"/>
  <c r="BP45" i="5"/>
  <c r="BO45" i="5"/>
  <c r="BM45" i="5"/>
  <c r="BF45" i="5"/>
  <c r="BC45" i="5"/>
  <c r="AZ45" i="5"/>
  <c r="AY45" i="5"/>
  <c r="AX45" i="5"/>
  <c r="AW45" i="5"/>
  <c r="AV45" i="5"/>
  <c r="AU45" i="5"/>
  <c r="AT45" i="5"/>
  <c r="AR45" i="5"/>
  <c r="AQ45" i="5"/>
  <c r="AP45" i="5"/>
  <c r="AO45" i="5"/>
  <c r="AN45" i="5"/>
  <c r="AM45" i="5"/>
  <c r="AL45" i="5"/>
  <c r="AH45" i="5"/>
  <c r="AF45" i="5"/>
  <c r="AD45" i="5"/>
  <c r="AB45" i="5"/>
  <c r="Y45" i="5"/>
  <c r="X45" i="5"/>
  <c r="W45" i="5"/>
  <c r="V45" i="5"/>
  <c r="U45" i="5"/>
  <c r="T45" i="5"/>
  <c r="S45" i="5"/>
  <c r="R45" i="5"/>
  <c r="Q45" i="5"/>
  <c r="P45" i="5"/>
  <c r="O45" i="5"/>
  <c r="N45" i="5"/>
  <c r="M45" i="5"/>
  <c r="L45" i="5"/>
  <c r="K45" i="5"/>
  <c r="J45" i="5"/>
  <c r="I45" i="5"/>
  <c r="H45" i="5"/>
  <c r="G45" i="5"/>
  <c r="F45" i="5"/>
  <c r="E45" i="5"/>
  <c r="D45" i="5"/>
  <c r="C45" i="5"/>
  <c r="B45" i="5"/>
  <c r="A45" i="5"/>
  <c r="CS44" i="5"/>
  <c r="CM44" i="5"/>
  <c r="CK44" i="5"/>
  <c r="CJ44" i="5"/>
  <c r="CI44" i="5"/>
  <c r="CG44" i="5"/>
  <c r="CF44" i="5"/>
  <c r="CE44" i="5"/>
  <c r="CD44" i="5"/>
  <c r="CC44" i="5"/>
  <c r="CB44" i="5"/>
  <c r="CA44" i="5"/>
  <c r="BZ44" i="5"/>
  <c r="BY44" i="5"/>
  <c r="BX44" i="5"/>
  <c r="BW44" i="5"/>
  <c r="BV44" i="5"/>
  <c r="BU44" i="5"/>
  <c r="BS44" i="5"/>
  <c r="BR44" i="5"/>
  <c r="BQ44" i="5"/>
  <c r="BP44" i="5"/>
  <c r="BO44" i="5"/>
  <c r="BM44" i="5"/>
  <c r="BF44" i="5"/>
  <c r="BC44" i="5"/>
  <c r="AY44" i="5"/>
  <c r="AX44" i="5"/>
  <c r="AW44" i="5"/>
  <c r="AV44" i="5"/>
  <c r="AU44" i="5"/>
  <c r="AT44" i="5"/>
  <c r="AR44" i="5"/>
  <c r="AQ44" i="5"/>
  <c r="AP44" i="5"/>
  <c r="AO44" i="5"/>
  <c r="AN44" i="5"/>
  <c r="AM44" i="5"/>
  <c r="AL44" i="5"/>
  <c r="AH44" i="5"/>
  <c r="AF44" i="5"/>
  <c r="AE44" i="5"/>
  <c r="AD44" i="5"/>
  <c r="AB44" i="5"/>
  <c r="Y44" i="5"/>
  <c r="X44" i="5"/>
  <c r="W44" i="5"/>
  <c r="V44" i="5"/>
  <c r="U44" i="5"/>
  <c r="T44" i="5"/>
  <c r="S44" i="5"/>
  <c r="R44" i="5"/>
  <c r="Q44" i="5"/>
  <c r="P44" i="5"/>
  <c r="O44" i="5"/>
  <c r="N44" i="5"/>
  <c r="M44" i="5"/>
  <c r="L44" i="5"/>
  <c r="K44" i="5"/>
  <c r="J44" i="5"/>
  <c r="I44" i="5"/>
  <c r="H44" i="5"/>
  <c r="G44" i="5"/>
  <c r="F44" i="5"/>
  <c r="E44" i="5"/>
  <c r="D44" i="5"/>
  <c r="C44" i="5"/>
  <c r="B44" i="5"/>
  <c r="A44" i="5"/>
  <c r="CS43" i="5"/>
  <c r="CM43" i="5"/>
  <c r="CK43" i="5"/>
  <c r="CJ43" i="5"/>
  <c r="CI43" i="5"/>
  <c r="CG43" i="5"/>
  <c r="CF43" i="5"/>
  <c r="CE43" i="5"/>
  <c r="CD43" i="5"/>
  <c r="CC43" i="5"/>
  <c r="CB43" i="5"/>
  <c r="CA43" i="5"/>
  <c r="BZ43" i="5"/>
  <c r="BY43" i="5"/>
  <c r="BX43" i="5"/>
  <c r="BW43" i="5"/>
  <c r="BV43" i="5"/>
  <c r="BU43" i="5"/>
  <c r="BS43" i="5"/>
  <c r="BR43" i="5"/>
  <c r="BQ43" i="5"/>
  <c r="BP43" i="5"/>
  <c r="BO43" i="5"/>
  <c r="BM43" i="5"/>
  <c r="BF43" i="5"/>
  <c r="BC43" i="5"/>
  <c r="AZ43" i="5"/>
  <c r="AY43" i="5"/>
  <c r="AX43" i="5"/>
  <c r="AW43" i="5"/>
  <c r="AV43" i="5"/>
  <c r="AU43" i="5"/>
  <c r="AT43" i="5"/>
  <c r="AR43" i="5"/>
  <c r="AQ43" i="5"/>
  <c r="AP43" i="5"/>
  <c r="AO43" i="5"/>
  <c r="AN43" i="5"/>
  <c r="AM43" i="5"/>
  <c r="AL43" i="5"/>
  <c r="AH43" i="5"/>
  <c r="AF43" i="5"/>
  <c r="AD43" i="5"/>
  <c r="AB43" i="5"/>
  <c r="Y43" i="5"/>
  <c r="X43" i="5"/>
  <c r="W43" i="5"/>
  <c r="V43" i="5"/>
  <c r="U43" i="5"/>
  <c r="T43" i="5"/>
  <c r="S43" i="5"/>
  <c r="R43" i="5"/>
  <c r="Q43" i="5"/>
  <c r="P43" i="5"/>
  <c r="O43" i="5"/>
  <c r="N43" i="5"/>
  <c r="M43" i="5"/>
  <c r="L43" i="5"/>
  <c r="K43" i="5"/>
  <c r="J43" i="5"/>
  <c r="I43" i="5"/>
  <c r="H43" i="5"/>
  <c r="G43" i="5"/>
  <c r="F43" i="5"/>
  <c r="E43" i="5"/>
  <c r="D43" i="5"/>
  <c r="C43" i="5"/>
  <c r="B43" i="5"/>
  <c r="A43" i="5"/>
  <c r="CS42" i="5"/>
  <c r="CM42" i="5"/>
  <c r="CK42" i="5"/>
  <c r="CJ42" i="5"/>
  <c r="CI42" i="5"/>
  <c r="CG42" i="5"/>
  <c r="CF42" i="5"/>
  <c r="CE42" i="5"/>
  <c r="CD42" i="5"/>
  <c r="CC42" i="5"/>
  <c r="CB42" i="5"/>
  <c r="CA42" i="5"/>
  <c r="BZ42" i="5"/>
  <c r="BY42" i="5"/>
  <c r="BW42" i="5"/>
  <c r="BV42" i="5"/>
  <c r="BU42" i="5"/>
  <c r="BS42" i="5"/>
  <c r="BR42" i="5"/>
  <c r="BQ42" i="5"/>
  <c r="BP42" i="5"/>
  <c r="BO42" i="5"/>
  <c r="BM42" i="5"/>
  <c r="BF42" i="5"/>
  <c r="BC42" i="5"/>
  <c r="AZ42" i="5"/>
  <c r="AY42" i="5"/>
  <c r="AX42" i="5"/>
  <c r="AW42" i="5"/>
  <c r="AV42" i="5"/>
  <c r="AU42" i="5"/>
  <c r="AT42" i="5"/>
  <c r="AR42" i="5"/>
  <c r="AQ42" i="5"/>
  <c r="AP42" i="5"/>
  <c r="AO42" i="5"/>
  <c r="AN42" i="5"/>
  <c r="AM42" i="5"/>
  <c r="AL42" i="5"/>
  <c r="AH42" i="5"/>
  <c r="AF42" i="5"/>
  <c r="AE42" i="5"/>
  <c r="AD42" i="5"/>
  <c r="AB42" i="5"/>
  <c r="Y42" i="5"/>
  <c r="X42" i="5"/>
  <c r="W42" i="5"/>
  <c r="V42" i="5"/>
  <c r="U42" i="5"/>
  <c r="T42" i="5"/>
  <c r="S42" i="5"/>
  <c r="R42" i="5"/>
  <c r="Q42" i="5"/>
  <c r="P42" i="5"/>
  <c r="O42" i="5"/>
  <c r="N42" i="5"/>
  <c r="M42" i="5"/>
  <c r="L42" i="5"/>
  <c r="K42" i="5"/>
  <c r="J42" i="5"/>
  <c r="I42" i="5"/>
  <c r="H42" i="5"/>
  <c r="G42" i="5"/>
  <c r="F42" i="5"/>
  <c r="E42" i="5"/>
  <c r="D42" i="5"/>
  <c r="C42" i="5"/>
  <c r="B42" i="5"/>
  <c r="A42" i="5"/>
  <c r="CS41" i="5"/>
  <c r="CM41" i="5"/>
  <c r="CK41" i="5"/>
  <c r="CJ41" i="5"/>
  <c r="CI41" i="5"/>
  <c r="CG41" i="5"/>
  <c r="CF41" i="5"/>
  <c r="CE41" i="5"/>
  <c r="CD41" i="5"/>
  <c r="CC41" i="5"/>
  <c r="CB41" i="5"/>
  <c r="CA41" i="5"/>
  <c r="BZ41" i="5"/>
  <c r="BY41" i="5"/>
  <c r="BX41" i="5"/>
  <c r="BW41" i="5"/>
  <c r="BV41" i="5"/>
  <c r="BU41" i="5"/>
  <c r="BS41" i="5"/>
  <c r="BR41" i="5"/>
  <c r="BQ41" i="5"/>
  <c r="BP41" i="5"/>
  <c r="BO41" i="5"/>
  <c r="BM41" i="5"/>
  <c r="BL41" i="5"/>
  <c r="BF41" i="5"/>
  <c r="BC41" i="5"/>
  <c r="AZ41" i="5"/>
  <c r="AY41" i="5"/>
  <c r="AX41" i="5"/>
  <c r="AW41" i="5"/>
  <c r="AV41" i="5"/>
  <c r="AU41" i="5"/>
  <c r="AT41" i="5"/>
  <c r="AR41" i="5"/>
  <c r="AQ41" i="5"/>
  <c r="AP41" i="5"/>
  <c r="AO41" i="5"/>
  <c r="AN41" i="5"/>
  <c r="AM41" i="5"/>
  <c r="AL41" i="5"/>
  <c r="AH41" i="5"/>
  <c r="AF41" i="5"/>
  <c r="AD41" i="5"/>
  <c r="AB41" i="5"/>
  <c r="Y41" i="5"/>
  <c r="X41" i="5"/>
  <c r="W41" i="5"/>
  <c r="V41" i="5"/>
  <c r="U41" i="5"/>
  <c r="T41" i="5"/>
  <c r="S41" i="5"/>
  <c r="R41" i="5"/>
  <c r="Q41" i="5"/>
  <c r="P41" i="5"/>
  <c r="O41" i="5"/>
  <c r="N41" i="5"/>
  <c r="M41" i="5"/>
  <c r="L41" i="5"/>
  <c r="K41" i="5"/>
  <c r="J41" i="5"/>
  <c r="I41" i="5"/>
  <c r="H41" i="5"/>
  <c r="G41" i="5"/>
  <c r="F41" i="5"/>
  <c r="E41" i="5"/>
  <c r="D41" i="5"/>
  <c r="C41" i="5"/>
  <c r="B41" i="5"/>
  <c r="A41" i="5"/>
  <c r="CS40" i="5"/>
  <c r="CM40" i="5"/>
  <c r="CK40" i="5"/>
  <c r="CJ40" i="5"/>
  <c r="CI40" i="5"/>
  <c r="CG40" i="5"/>
  <c r="CF40" i="5"/>
  <c r="CE40" i="5"/>
  <c r="CD40" i="5"/>
  <c r="CC40" i="5"/>
  <c r="CB40" i="5"/>
  <c r="CA40" i="5"/>
  <c r="BZ40" i="5"/>
  <c r="BY40" i="5"/>
  <c r="BW40" i="5"/>
  <c r="BV40" i="5"/>
  <c r="BU40" i="5"/>
  <c r="BS40" i="5"/>
  <c r="BR40" i="5"/>
  <c r="BQ40" i="5"/>
  <c r="BP40" i="5"/>
  <c r="BO40" i="5"/>
  <c r="BM40" i="5"/>
  <c r="BF40" i="5"/>
  <c r="BC40" i="5"/>
  <c r="AZ40" i="5"/>
  <c r="AY40" i="5"/>
  <c r="AX40" i="5"/>
  <c r="AW40" i="5"/>
  <c r="AV40" i="5"/>
  <c r="AU40" i="5"/>
  <c r="AT40" i="5"/>
  <c r="AR40" i="5"/>
  <c r="AQ40" i="5"/>
  <c r="AP40" i="5"/>
  <c r="AO40" i="5"/>
  <c r="AN40" i="5"/>
  <c r="AM40" i="5"/>
  <c r="AL40" i="5"/>
  <c r="AH40" i="5"/>
  <c r="AF40" i="5"/>
  <c r="AD40" i="5"/>
  <c r="AB40" i="5"/>
  <c r="Y40" i="5"/>
  <c r="X40" i="5"/>
  <c r="W40" i="5"/>
  <c r="V40" i="5"/>
  <c r="U40" i="5"/>
  <c r="T40" i="5"/>
  <c r="S40" i="5"/>
  <c r="R40" i="5"/>
  <c r="Q40" i="5"/>
  <c r="P40" i="5"/>
  <c r="O40" i="5"/>
  <c r="N40" i="5"/>
  <c r="M40" i="5"/>
  <c r="L40" i="5"/>
  <c r="K40" i="5"/>
  <c r="J40" i="5"/>
  <c r="I40" i="5"/>
  <c r="H40" i="5"/>
  <c r="G40" i="5"/>
  <c r="F40" i="5"/>
  <c r="E40" i="5"/>
  <c r="D40" i="5"/>
  <c r="C40" i="5"/>
  <c r="B40" i="5"/>
  <c r="A40" i="5"/>
  <c r="CS39" i="5"/>
  <c r="CM39" i="5"/>
  <c r="CK39" i="5"/>
  <c r="CJ39" i="5"/>
  <c r="CI39" i="5"/>
  <c r="CG39" i="5"/>
  <c r="CF39" i="5"/>
  <c r="CE39" i="5"/>
  <c r="CD39" i="5"/>
  <c r="CC39" i="5"/>
  <c r="CB39" i="5"/>
  <c r="CA39" i="5"/>
  <c r="BZ39" i="5"/>
  <c r="BY39" i="5"/>
  <c r="BW39" i="5"/>
  <c r="BV39" i="5"/>
  <c r="BU39" i="5"/>
  <c r="BS39" i="5"/>
  <c r="BR39" i="5"/>
  <c r="BQ39" i="5"/>
  <c r="BP39" i="5"/>
  <c r="BO39" i="5"/>
  <c r="BM39" i="5"/>
  <c r="BF39" i="5"/>
  <c r="BC39" i="5"/>
  <c r="AZ39" i="5"/>
  <c r="AY39" i="5"/>
  <c r="AX39" i="5"/>
  <c r="AW39" i="5"/>
  <c r="AV39" i="5"/>
  <c r="AU39" i="5"/>
  <c r="AT39" i="5"/>
  <c r="AR39" i="5"/>
  <c r="AQ39" i="5"/>
  <c r="AP39" i="5"/>
  <c r="AO39" i="5"/>
  <c r="AN39" i="5"/>
  <c r="AM39" i="5"/>
  <c r="AL39" i="5"/>
  <c r="AH39" i="5"/>
  <c r="AF39" i="5"/>
  <c r="AD39" i="5"/>
  <c r="AB39" i="5"/>
  <c r="Y39" i="5"/>
  <c r="X39" i="5"/>
  <c r="W39" i="5"/>
  <c r="V39" i="5"/>
  <c r="U39" i="5"/>
  <c r="T39" i="5"/>
  <c r="S39" i="5"/>
  <c r="R39" i="5"/>
  <c r="Q39" i="5"/>
  <c r="P39" i="5"/>
  <c r="O39" i="5"/>
  <c r="N39" i="5"/>
  <c r="M39" i="5"/>
  <c r="L39" i="5"/>
  <c r="K39" i="5"/>
  <c r="J39" i="5"/>
  <c r="I39" i="5"/>
  <c r="H39" i="5"/>
  <c r="G39" i="5"/>
  <c r="F39" i="5"/>
  <c r="E39" i="5"/>
  <c r="D39" i="5"/>
  <c r="C39" i="5"/>
  <c r="B39" i="5"/>
  <c r="A39" i="5"/>
  <c r="CS38" i="5"/>
  <c r="CM38" i="5"/>
  <c r="CK38" i="5"/>
  <c r="CJ38" i="5"/>
  <c r="CI38" i="5"/>
  <c r="CG38" i="5"/>
  <c r="CF38" i="5"/>
  <c r="CE38" i="5"/>
  <c r="CD38" i="5"/>
  <c r="CC38" i="5"/>
  <c r="CB38" i="5"/>
  <c r="CA38" i="5"/>
  <c r="BZ38" i="5"/>
  <c r="BY38" i="5"/>
  <c r="BW38" i="5"/>
  <c r="BV38" i="5"/>
  <c r="BU38" i="5"/>
  <c r="BS38" i="5"/>
  <c r="BR38" i="5"/>
  <c r="BQ38" i="5"/>
  <c r="BP38" i="5"/>
  <c r="BO38" i="5"/>
  <c r="BM38" i="5"/>
  <c r="BF38" i="5"/>
  <c r="BC38" i="5"/>
  <c r="AZ38" i="5"/>
  <c r="AY38" i="5"/>
  <c r="AX38" i="5"/>
  <c r="AW38" i="5"/>
  <c r="AV38" i="5"/>
  <c r="AU38" i="5"/>
  <c r="AT38" i="5"/>
  <c r="AR38" i="5"/>
  <c r="AQ38" i="5"/>
  <c r="AP38" i="5"/>
  <c r="AO38" i="5"/>
  <c r="AN38" i="5"/>
  <c r="AM38" i="5"/>
  <c r="AL38" i="5"/>
  <c r="AH38" i="5"/>
  <c r="AF38" i="5"/>
  <c r="AD38" i="5"/>
  <c r="AB38" i="5"/>
  <c r="Y38" i="5"/>
  <c r="X38" i="5"/>
  <c r="W38" i="5"/>
  <c r="V38" i="5"/>
  <c r="U38" i="5"/>
  <c r="T38" i="5"/>
  <c r="S38" i="5"/>
  <c r="R38" i="5"/>
  <c r="Q38" i="5"/>
  <c r="P38" i="5"/>
  <c r="O38" i="5"/>
  <c r="N38" i="5"/>
  <c r="M38" i="5"/>
  <c r="L38" i="5"/>
  <c r="K38" i="5"/>
  <c r="J38" i="5"/>
  <c r="I38" i="5"/>
  <c r="H38" i="5"/>
  <c r="G38" i="5"/>
  <c r="F38" i="5"/>
  <c r="E38" i="5"/>
  <c r="D38" i="5"/>
  <c r="C38" i="5"/>
  <c r="B38" i="5"/>
  <c r="A38" i="5"/>
  <c r="CS37" i="5"/>
  <c r="CM37" i="5"/>
  <c r="CK37" i="5"/>
  <c r="CJ37" i="5"/>
  <c r="CI37" i="5"/>
  <c r="CG37" i="5"/>
  <c r="CF37" i="5"/>
  <c r="CE37" i="5"/>
  <c r="CD37" i="5"/>
  <c r="CC37" i="5"/>
  <c r="CB37" i="5"/>
  <c r="CA37" i="5"/>
  <c r="BZ37" i="5"/>
  <c r="BY37" i="5"/>
  <c r="BW37" i="5"/>
  <c r="BV37" i="5"/>
  <c r="BU37" i="5"/>
  <c r="BS37" i="5"/>
  <c r="BR37" i="5"/>
  <c r="BQ37" i="5"/>
  <c r="BP37" i="5"/>
  <c r="BO37" i="5"/>
  <c r="BM37" i="5"/>
  <c r="BL37" i="5"/>
  <c r="BF37" i="5"/>
  <c r="BC37" i="5"/>
  <c r="AZ37" i="5"/>
  <c r="AY37" i="5"/>
  <c r="AX37" i="5"/>
  <c r="AW37" i="5"/>
  <c r="AV37" i="5"/>
  <c r="AU37" i="5"/>
  <c r="AT37" i="5"/>
  <c r="AR37" i="5"/>
  <c r="AQ37" i="5"/>
  <c r="AP37" i="5"/>
  <c r="AO37" i="5"/>
  <c r="AN37" i="5"/>
  <c r="AM37" i="5"/>
  <c r="AL37" i="5"/>
  <c r="AH37" i="5"/>
  <c r="AF37" i="5"/>
  <c r="AD37" i="5"/>
  <c r="AB37" i="5"/>
  <c r="Y37" i="5"/>
  <c r="X37" i="5"/>
  <c r="W37" i="5"/>
  <c r="V37" i="5"/>
  <c r="U37" i="5"/>
  <c r="T37" i="5"/>
  <c r="S37" i="5"/>
  <c r="R37" i="5"/>
  <c r="Q37" i="5"/>
  <c r="P37" i="5"/>
  <c r="O37" i="5"/>
  <c r="N37" i="5"/>
  <c r="M37" i="5"/>
  <c r="L37" i="5"/>
  <c r="K37" i="5"/>
  <c r="J37" i="5"/>
  <c r="I37" i="5"/>
  <c r="H37" i="5"/>
  <c r="G37" i="5"/>
  <c r="F37" i="5"/>
  <c r="E37" i="5"/>
  <c r="D37" i="5"/>
  <c r="C37" i="5"/>
  <c r="B37" i="5"/>
  <c r="A37" i="5"/>
  <c r="CS36" i="5"/>
  <c r="CM36" i="5"/>
  <c r="CK36" i="5"/>
  <c r="CJ36" i="5"/>
  <c r="CI36" i="5"/>
  <c r="CG36" i="5"/>
  <c r="CF36" i="5"/>
  <c r="CE36" i="5"/>
  <c r="CD36" i="5"/>
  <c r="CC36" i="5"/>
  <c r="CB36" i="5"/>
  <c r="CA36" i="5"/>
  <c r="BZ36" i="5"/>
  <c r="BY36" i="5"/>
  <c r="BX36" i="5"/>
  <c r="BW36" i="5"/>
  <c r="BV36" i="5"/>
  <c r="BU36" i="5"/>
  <c r="BS36" i="5"/>
  <c r="BR36" i="5"/>
  <c r="BQ36" i="5"/>
  <c r="BP36" i="5"/>
  <c r="BO36" i="5"/>
  <c r="BM36" i="5"/>
  <c r="BF36" i="5"/>
  <c r="BC36" i="5"/>
  <c r="AZ36" i="5"/>
  <c r="AY36" i="5"/>
  <c r="AX36" i="5"/>
  <c r="AW36" i="5"/>
  <c r="AV36" i="5"/>
  <c r="AU36" i="5"/>
  <c r="AT36" i="5"/>
  <c r="AR36" i="5"/>
  <c r="AQ36" i="5"/>
  <c r="AP36" i="5"/>
  <c r="AO36" i="5"/>
  <c r="AN36" i="5"/>
  <c r="AM36" i="5"/>
  <c r="AL36" i="5"/>
  <c r="AH36" i="5"/>
  <c r="AF36" i="5"/>
  <c r="AD36" i="5"/>
  <c r="AB36" i="5"/>
  <c r="Y36" i="5"/>
  <c r="X36" i="5"/>
  <c r="W36" i="5"/>
  <c r="V36" i="5"/>
  <c r="U36" i="5"/>
  <c r="T36" i="5"/>
  <c r="S36" i="5"/>
  <c r="R36" i="5"/>
  <c r="Q36" i="5"/>
  <c r="P36" i="5"/>
  <c r="O36" i="5"/>
  <c r="N36" i="5"/>
  <c r="M36" i="5"/>
  <c r="L36" i="5"/>
  <c r="K36" i="5"/>
  <c r="J36" i="5"/>
  <c r="I36" i="5"/>
  <c r="H36" i="5"/>
  <c r="G36" i="5"/>
  <c r="F36" i="5"/>
  <c r="E36" i="5"/>
  <c r="D36" i="5"/>
  <c r="C36" i="5"/>
  <c r="B36" i="5"/>
  <c r="A36" i="5"/>
  <c r="CS35" i="5"/>
  <c r="CM35" i="5"/>
  <c r="CK35" i="5"/>
  <c r="CJ35" i="5"/>
  <c r="CI35" i="5"/>
  <c r="CG35" i="5"/>
  <c r="CF35" i="5"/>
  <c r="CE35" i="5"/>
  <c r="CD35" i="5"/>
  <c r="CC35" i="5"/>
  <c r="CB35" i="5"/>
  <c r="CA35" i="5"/>
  <c r="BZ35" i="5"/>
  <c r="BY35" i="5"/>
  <c r="BW35" i="5"/>
  <c r="BV35" i="5"/>
  <c r="BU35" i="5"/>
  <c r="BT35" i="5"/>
  <c r="BQ35" i="5"/>
  <c r="BP35" i="5"/>
  <c r="BO35" i="5"/>
  <c r="BM35" i="5"/>
  <c r="BF35" i="5"/>
  <c r="BC35" i="5"/>
  <c r="AZ35" i="5"/>
  <c r="AY35" i="5"/>
  <c r="AX35" i="5"/>
  <c r="AW35" i="5"/>
  <c r="AV35" i="5"/>
  <c r="AU35" i="5"/>
  <c r="AT35" i="5"/>
  <c r="AR35" i="5"/>
  <c r="AQ35" i="5"/>
  <c r="AP35" i="5"/>
  <c r="AO35" i="5"/>
  <c r="AN35" i="5"/>
  <c r="AM35" i="5"/>
  <c r="AL35" i="5"/>
  <c r="AH35" i="5"/>
  <c r="AF35" i="5"/>
  <c r="AD35" i="5"/>
  <c r="AB35" i="5"/>
  <c r="Y35" i="5"/>
  <c r="X35" i="5"/>
  <c r="W35" i="5"/>
  <c r="V35" i="5"/>
  <c r="U35" i="5"/>
  <c r="T35" i="5"/>
  <c r="S35" i="5"/>
  <c r="R35" i="5"/>
  <c r="Q35" i="5"/>
  <c r="P35" i="5"/>
  <c r="O35" i="5"/>
  <c r="N35" i="5"/>
  <c r="M35" i="5"/>
  <c r="L35" i="5"/>
  <c r="K35" i="5"/>
  <c r="J35" i="5"/>
  <c r="I35" i="5"/>
  <c r="H35" i="5"/>
  <c r="G35" i="5"/>
  <c r="F35" i="5"/>
  <c r="E35" i="5"/>
  <c r="D35" i="5"/>
  <c r="C35" i="5"/>
  <c r="B35" i="5"/>
  <c r="A35" i="5"/>
  <c r="CS34" i="5"/>
  <c r="CM34" i="5"/>
  <c r="CK34" i="5"/>
  <c r="CJ34" i="5"/>
  <c r="CI34" i="5"/>
  <c r="CG34" i="5"/>
  <c r="CF34" i="5"/>
  <c r="CE34" i="5"/>
  <c r="CD34" i="5"/>
  <c r="CC34" i="5"/>
  <c r="CB34" i="5"/>
  <c r="CA34" i="5"/>
  <c r="BZ34" i="5"/>
  <c r="BY34" i="5"/>
  <c r="BX34" i="5"/>
  <c r="BW34" i="5"/>
  <c r="BV34" i="5"/>
  <c r="BU34" i="5"/>
  <c r="BS34" i="5"/>
  <c r="BR34" i="5"/>
  <c r="BQ34" i="5"/>
  <c r="BP34" i="5"/>
  <c r="BO34" i="5"/>
  <c r="BM34" i="5"/>
  <c r="BF34" i="5"/>
  <c r="BC34" i="5"/>
  <c r="AZ34" i="5"/>
  <c r="AY34" i="5"/>
  <c r="AX34" i="5"/>
  <c r="AW34" i="5"/>
  <c r="AV34" i="5"/>
  <c r="AU34" i="5"/>
  <c r="AT34" i="5"/>
  <c r="AR34" i="5"/>
  <c r="AQ34" i="5"/>
  <c r="AP34" i="5"/>
  <c r="AO34" i="5"/>
  <c r="AN34" i="5"/>
  <c r="AM34" i="5"/>
  <c r="AL34" i="5"/>
  <c r="AH34" i="5"/>
  <c r="AF34" i="5"/>
  <c r="AD34" i="5"/>
  <c r="AB34" i="5"/>
  <c r="Y34" i="5"/>
  <c r="X34" i="5"/>
  <c r="W34" i="5"/>
  <c r="V34" i="5"/>
  <c r="U34" i="5"/>
  <c r="T34" i="5"/>
  <c r="S34" i="5"/>
  <c r="R34" i="5"/>
  <c r="Q34" i="5"/>
  <c r="P34" i="5"/>
  <c r="O34" i="5"/>
  <c r="N34" i="5"/>
  <c r="M34" i="5"/>
  <c r="L34" i="5"/>
  <c r="K34" i="5"/>
  <c r="J34" i="5"/>
  <c r="I34" i="5"/>
  <c r="H34" i="5"/>
  <c r="G34" i="5"/>
  <c r="F34" i="5"/>
  <c r="E34" i="5"/>
  <c r="D34" i="5"/>
  <c r="C34" i="5"/>
  <c r="B34" i="5"/>
  <c r="A34" i="5"/>
  <c r="CS33" i="5"/>
  <c r="CM33" i="5"/>
  <c r="CK33" i="5"/>
  <c r="CJ33" i="5"/>
  <c r="CI33" i="5"/>
  <c r="CG33" i="5"/>
  <c r="CF33" i="5"/>
  <c r="CE33" i="5"/>
  <c r="CD33" i="5"/>
  <c r="CC33" i="5"/>
  <c r="CB33" i="5"/>
  <c r="CA33" i="5"/>
  <c r="BZ33" i="5"/>
  <c r="BY33" i="5"/>
  <c r="BW33" i="5"/>
  <c r="BV33" i="5"/>
  <c r="BU33" i="5"/>
  <c r="BS33" i="5"/>
  <c r="BR33" i="5"/>
  <c r="BQ33" i="5"/>
  <c r="BP33" i="5"/>
  <c r="BO33" i="5"/>
  <c r="BM33" i="5"/>
  <c r="BF33" i="5"/>
  <c r="BC33" i="5"/>
  <c r="AZ33" i="5"/>
  <c r="AY33" i="5"/>
  <c r="AX33" i="5"/>
  <c r="AW33" i="5"/>
  <c r="AV33" i="5"/>
  <c r="AU33" i="5"/>
  <c r="AT33" i="5"/>
  <c r="AR33" i="5"/>
  <c r="AQ33" i="5"/>
  <c r="AP33" i="5"/>
  <c r="AO33" i="5"/>
  <c r="AN33" i="5"/>
  <c r="AM33" i="5"/>
  <c r="AL33" i="5"/>
  <c r="AH33" i="5"/>
  <c r="AF33" i="5"/>
  <c r="AE33" i="5"/>
  <c r="AD33" i="5"/>
  <c r="AB33" i="5"/>
  <c r="Y33" i="5"/>
  <c r="X33" i="5"/>
  <c r="W33" i="5"/>
  <c r="V33" i="5"/>
  <c r="U33" i="5"/>
  <c r="T33" i="5"/>
  <c r="S33" i="5"/>
  <c r="R33" i="5"/>
  <c r="Q33" i="5"/>
  <c r="P33" i="5"/>
  <c r="O33" i="5"/>
  <c r="N33" i="5"/>
  <c r="M33" i="5"/>
  <c r="L33" i="5"/>
  <c r="K33" i="5"/>
  <c r="J33" i="5"/>
  <c r="I33" i="5"/>
  <c r="H33" i="5"/>
  <c r="G33" i="5"/>
  <c r="F33" i="5"/>
  <c r="E33" i="5"/>
  <c r="D33" i="5"/>
  <c r="C33" i="5"/>
  <c r="B33" i="5"/>
  <c r="A33" i="5"/>
  <c r="CS32" i="5"/>
  <c r="CM32" i="5"/>
  <c r="CK32" i="5"/>
  <c r="CJ32" i="5"/>
  <c r="CI32" i="5"/>
  <c r="CG32" i="5"/>
  <c r="CF32" i="5"/>
  <c r="CE32" i="5"/>
  <c r="CD32" i="5"/>
  <c r="CC32" i="5"/>
  <c r="CB32" i="5"/>
  <c r="CA32" i="5"/>
  <c r="BZ32" i="5"/>
  <c r="BY32" i="5"/>
  <c r="BX32" i="5"/>
  <c r="BW32" i="5"/>
  <c r="BV32" i="5"/>
  <c r="BU32" i="5"/>
  <c r="BS32" i="5"/>
  <c r="BR32" i="5"/>
  <c r="BQ32" i="5"/>
  <c r="BP32" i="5"/>
  <c r="BO32" i="5"/>
  <c r="BM32" i="5"/>
  <c r="BF32" i="5"/>
  <c r="BC32" i="5"/>
  <c r="AZ32" i="5"/>
  <c r="AY32" i="5"/>
  <c r="AX32" i="5"/>
  <c r="AW32" i="5"/>
  <c r="AV32" i="5"/>
  <c r="AU32" i="5"/>
  <c r="AT32" i="5"/>
  <c r="AR32" i="5"/>
  <c r="AQ32" i="5"/>
  <c r="AP32" i="5"/>
  <c r="AO32" i="5"/>
  <c r="AN32" i="5"/>
  <c r="AM32" i="5"/>
  <c r="AL32" i="5"/>
  <c r="AH32" i="5"/>
  <c r="AF32" i="5"/>
  <c r="AD32" i="5"/>
  <c r="AB32" i="5"/>
  <c r="Y32" i="5"/>
  <c r="X32" i="5"/>
  <c r="W32" i="5"/>
  <c r="V32" i="5"/>
  <c r="U32" i="5"/>
  <c r="T32" i="5"/>
  <c r="S32" i="5"/>
  <c r="R32" i="5"/>
  <c r="Q32" i="5"/>
  <c r="P32" i="5"/>
  <c r="O32" i="5"/>
  <c r="N32" i="5"/>
  <c r="M32" i="5"/>
  <c r="L32" i="5"/>
  <c r="K32" i="5"/>
  <c r="J32" i="5"/>
  <c r="I32" i="5"/>
  <c r="H32" i="5"/>
  <c r="G32" i="5"/>
  <c r="F32" i="5"/>
  <c r="E32" i="5"/>
  <c r="D32" i="5"/>
  <c r="C32" i="5"/>
  <c r="B32" i="5"/>
  <c r="A32" i="5"/>
  <c r="CS31" i="5"/>
  <c r="CM31" i="5"/>
  <c r="CK31" i="5"/>
  <c r="CJ31" i="5"/>
  <c r="CI31" i="5"/>
  <c r="CG31" i="5"/>
  <c r="CF31" i="5"/>
  <c r="CE31" i="5"/>
  <c r="CD31" i="5"/>
  <c r="CC31" i="5"/>
  <c r="CB31" i="5"/>
  <c r="CA31" i="5"/>
  <c r="BZ31" i="5"/>
  <c r="BY31" i="5"/>
  <c r="BW31" i="5"/>
  <c r="BV31" i="5"/>
  <c r="BU31" i="5"/>
  <c r="BS31" i="5"/>
  <c r="BR31" i="5"/>
  <c r="BQ31" i="5"/>
  <c r="BP31" i="5"/>
  <c r="BO31" i="5"/>
  <c r="BM31" i="5"/>
  <c r="BL31" i="5"/>
  <c r="BF31" i="5"/>
  <c r="BC31" i="5"/>
  <c r="AZ31" i="5"/>
  <c r="AY31" i="5"/>
  <c r="AX31" i="5"/>
  <c r="AW31" i="5"/>
  <c r="AV31" i="5"/>
  <c r="AU31" i="5"/>
  <c r="AT31" i="5"/>
  <c r="AR31" i="5"/>
  <c r="AQ31" i="5"/>
  <c r="AP31" i="5"/>
  <c r="AO31" i="5"/>
  <c r="AN31" i="5"/>
  <c r="AM31" i="5"/>
  <c r="AL31" i="5"/>
  <c r="AH31" i="5"/>
  <c r="AF31" i="5"/>
  <c r="AD31" i="5"/>
  <c r="AB31" i="5"/>
  <c r="Y31" i="5"/>
  <c r="X31" i="5"/>
  <c r="W31" i="5"/>
  <c r="V31" i="5"/>
  <c r="U31" i="5"/>
  <c r="T31" i="5"/>
  <c r="S31" i="5"/>
  <c r="R31" i="5"/>
  <c r="Q31" i="5"/>
  <c r="P31" i="5"/>
  <c r="O31" i="5"/>
  <c r="N31" i="5"/>
  <c r="M31" i="5"/>
  <c r="L31" i="5"/>
  <c r="K31" i="5"/>
  <c r="J31" i="5"/>
  <c r="I31" i="5"/>
  <c r="H31" i="5"/>
  <c r="G31" i="5"/>
  <c r="F31" i="5"/>
  <c r="E31" i="5"/>
  <c r="D31" i="5"/>
  <c r="C31" i="5"/>
  <c r="B31" i="5"/>
  <c r="A31" i="5"/>
  <c r="CS30" i="5"/>
  <c r="CM30" i="5"/>
  <c r="CK30" i="5"/>
  <c r="CJ30" i="5"/>
  <c r="CI30" i="5"/>
  <c r="CG30" i="5"/>
  <c r="CF30" i="5"/>
  <c r="CE30" i="5"/>
  <c r="CD30" i="5"/>
  <c r="CC30" i="5"/>
  <c r="CB30" i="5"/>
  <c r="CA30" i="5"/>
  <c r="BZ30" i="5"/>
  <c r="BY30" i="5"/>
  <c r="BX30" i="5"/>
  <c r="BW30" i="5"/>
  <c r="BV30" i="5"/>
  <c r="BU30" i="5"/>
  <c r="BT30" i="5"/>
  <c r="BQ30" i="5"/>
  <c r="BP30" i="5"/>
  <c r="BO30" i="5"/>
  <c r="BM30" i="5"/>
  <c r="BL30" i="5"/>
  <c r="BF30" i="5"/>
  <c r="BC30" i="5"/>
  <c r="AY30" i="5"/>
  <c r="AX30" i="5"/>
  <c r="AW30" i="5"/>
  <c r="AV30" i="5"/>
  <c r="AU30" i="5"/>
  <c r="AT30" i="5"/>
  <c r="AR30" i="5"/>
  <c r="AQ30" i="5"/>
  <c r="AP30" i="5"/>
  <c r="AO30" i="5"/>
  <c r="AN30" i="5"/>
  <c r="AM30" i="5"/>
  <c r="AL30" i="5"/>
  <c r="AH30" i="5"/>
  <c r="AF30" i="5"/>
  <c r="AD30" i="5"/>
  <c r="AB30" i="5"/>
  <c r="Y30" i="5"/>
  <c r="X30" i="5"/>
  <c r="W30" i="5"/>
  <c r="V30" i="5"/>
  <c r="U30" i="5"/>
  <c r="T30" i="5"/>
  <c r="S30" i="5"/>
  <c r="R30" i="5"/>
  <c r="Q30" i="5"/>
  <c r="P30" i="5"/>
  <c r="O30" i="5"/>
  <c r="N30" i="5"/>
  <c r="M30" i="5"/>
  <c r="L30" i="5"/>
  <c r="K30" i="5"/>
  <c r="J30" i="5"/>
  <c r="I30" i="5"/>
  <c r="H30" i="5"/>
  <c r="G30" i="5"/>
  <c r="F30" i="5"/>
  <c r="E30" i="5"/>
  <c r="D30" i="5"/>
  <c r="C30" i="5"/>
  <c r="B30" i="5"/>
  <c r="A30" i="5"/>
  <c r="CS29" i="5"/>
  <c r="CM29" i="5"/>
  <c r="CK29" i="5"/>
  <c r="CJ29" i="5"/>
  <c r="CI29" i="5"/>
  <c r="CG29" i="5"/>
  <c r="CF29" i="5"/>
  <c r="CE29" i="5"/>
  <c r="CD29" i="5"/>
  <c r="CC29" i="5"/>
  <c r="CB29" i="5"/>
  <c r="CA29" i="5"/>
  <c r="BZ29" i="5"/>
  <c r="BY29" i="5"/>
  <c r="BX29" i="5"/>
  <c r="BW29" i="5"/>
  <c r="BV29" i="5"/>
  <c r="BU29" i="5"/>
  <c r="BT29" i="5"/>
  <c r="BQ29" i="5"/>
  <c r="BP29" i="5"/>
  <c r="BO29" i="5"/>
  <c r="BM29" i="5"/>
  <c r="BL29" i="5"/>
  <c r="BF29" i="5"/>
  <c r="BC29" i="5"/>
  <c r="AY29" i="5"/>
  <c r="AX29" i="5"/>
  <c r="AW29" i="5"/>
  <c r="AV29" i="5"/>
  <c r="AU29" i="5"/>
  <c r="AT29" i="5"/>
  <c r="AR29" i="5"/>
  <c r="AQ29" i="5"/>
  <c r="AP29" i="5"/>
  <c r="AO29" i="5"/>
  <c r="AN29" i="5"/>
  <c r="AM29" i="5"/>
  <c r="AL29" i="5"/>
  <c r="AH29" i="5"/>
  <c r="AF29" i="5"/>
  <c r="AD29" i="5"/>
  <c r="AB29" i="5"/>
  <c r="Y29" i="5"/>
  <c r="X29" i="5"/>
  <c r="W29" i="5"/>
  <c r="V29" i="5"/>
  <c r="U29" i="5"/>
  <c r="T29" i="5"/>
  <c r="S29" i="5"/>
  <c r="R29" i="5"/>
  <c r="Q29" i="5"/>
  <c r="P29" i="5"/>
  <c r="O29" i="5"/>
  <c r="N29" i="5"/>
  <c r="M29" i="5"/>
  <c r="L29" i="5"/>
  <c r="K29" i="5"/>
  <c r="J29" i="5"/>
  <c r="I29" i="5"/>
  <c r="H29" i="5"/>
  <c r="G29" i="5"/>
  <c r="F29" i="5"/>
  <c r="E29" i="5"/>
  <c r="D29" i="5"/>
  <c r="C29" i="5"/>
  <c r="B29" i="5"/>
  <c r="A29" i="5"/>
  <c r="CS28" i="5"/>
  <c r="CM28" i="5"/>
  <c r="CK28" i="5"/>
  <c r="CJ28" i="5"/>
  <c r="CI28" i="5"/>
  <c r="CG28" i="5"/>
  <c r="CF28" i="5"/>
  <c r="CE28" i="5"/>
  <c r="CD28" i="5"/>
  <c r="CC28" i="5"/>
  <c r="CB28" i="5"/>
  <c r="CA28" i="5"/>
  <c r="BZ28" i="5"/>
  <c r="BY28" i="5"/>
  <c r="BX28" i="5"/>
  <c r="BW28" i="5"/>
  <c r="BV28" i="5"/>
  <c r="BU28" i="5"/>
  <c r="BT28" i="5"/>
  <c r="BQ28" i="5"/>
  <c r="BP28" i="5"/>
  <c r="BO28" i="5"/>
  <c r="BM28" i="5"/>
  <c r="BL28" i="5"/>
  <c r="BF28" i="5"/>
  <c r="BC28" i="5"/>
  <c r="AY28" i="5"/>
  <c r="AX28" i="5"/>
  <c r="AW28" i="5"/>
  <c r="AV28" i="5"/>
  <c r="AU28" i="5"/>
  <c r="AT28" i="5"/>
  <c r="AR28" i="5"/>
  <c r="AQ28" i="5"/>
  <c r="AP28" i="5"/>
  <c r="AO28" i="5"/>
  <c r="AN28" i="5"/>
  <c r="AM28" i="5"/>
  <c r="AL28" i="5"/>
  <c r="AH28" i="5"/>
  <c r="AF28" i="5"/>
  <c r="AD28" i="5"/>
  <c r="AB28" i="5"/>
  <c r="Y28" i="5"/>
  <c r="X28" i="5"/>
  <c r="W28" i="5"/>
  <c r="V28" i="5"/>
  <c r="U28" i="5"/>
  <c r="T28" i="5"/>
  <c r="S28" i="5"/>
  <c r="R28" i="5"/>
  <c r="Q28" i="5"/>
  <c r="P28" i="5"/>
  <c r="O28" i="5"/>
  <c r="N28" i="5"/>
  <c r="M28" i="5"/>
  <c r="L28" i="5"/>
  <c r="K28" i="5"/>
  <c r="J28" i="5"/>
  <c r="I28" i="5"/>
  <c r="H28" i="5"/>
  <c r="G28" i="5"/>
  <c r="F28" i="5"/>
  <c r="E28" i="5"/>
  <c r="D28" i="5"/>
  <c r="C28" i="5"/>
  <c r="B28" i="5"/>
  <c r="A28" i="5"/>
  <c r="CS27" i="5"/>
  <c r="CM27" i="5"/>
  <c r="CK27" i="5"/>
  <c r="CJ27" i="5"/>
  <c r="CI27" i="5"/>
  <c r="CG27" i="5"/>
  <c r="CF27" i="5"/>
  <c r="CE27" i="5"/>
  <c r="CD27" i="5"/>
  <c r="CC27" i="5"/>
  <c r="CB27" i="5"/>
  <c r="CA27" i="5"/>
  <c r="BZ27" i="5"/>
  <c r="BY27" i="5"/>
  <c r="BW27" i="5"/>
  <c r="BV27" i="5"/>
  <c r="BU27" i="5"/>
  <c r="BT27" i="5"/>
  <c r="BQ27" i="5"/>
  <c r="BP27" i="5"/>
  <c r="BO27" i="5"/>
  <c r="BM27" i="5"/>
  <c r="BL27" i="5"/>
  <c r="BF27" i="5"/>
  <c r="BC27" i="5"/>
  <c r="AY27" i="5"/>
  <c r="AX27" i="5"/>
  <c r="AW27" i="5"/>
  <c r="AV27" i="5"/>
  <c r="AU27" i="5"/>
  <c r="AT27" i="5"/>
  <c r="AR27" i="5"/>
  <c r="AQ27" i="5"/>
  <c r="AP27" i="5"/>
  <c r="AO27" i="5"/>
  <c r="AN27" i="5"/>
  <c r="AM27" i="5"/>
  <c r="AL27" i="5"/>
  <c r="AH27" i="5"/>
  <c r="AF27" i="5"/>
  <c r="AD27" i="5"/>
  <c r="AB27" i="5"/>
  <c r="Y27" i="5"/>
  <c r="X27" i="5"/>
  <c r="W27" i="5"/>
  <c r="V27" i="5"/>
  <c r="U27" i="5"/>
  <c r="T27" i="5"/>
  <c r="S27" i="5"/>
  <c r="R27" i="5"/>
  <c r="Q27" i="5"/>
  <c r="P27" i="5"/>
  <c r="O27" i="5"/>
  <c r="N27" i="5"/>
  <c r="M27" i="5"/>
  <c r="L27" i="5"/>
  <c r="K27" i="5"/>
  <c r="J27" i="5"/>
  <c r="I27" i="5"/>
  <c r="H27" i="5"/>
  <c r="G27" i="5"/>
  <c r="F27" i="5"/>
  <c r="E27" i="5"/>
  <c r="D27" i="5"/>
  <c r="C27" i="5"/>
  <c r="B27" i="5"/>
  <c r="A27" i="5"/>
  <c r="CS26" i="5"/>
  <c r="CM26" i="5"/>
  <c r="CK26" i="5"/>
  <c r="CJ26" i="5"/>
  <c r="CI26" i="5"/>
  <c r="CG26" i="5"/>
  <c r="CF26" i="5"/>
  <c r="CE26" i="5"/>
  <c r="CD26" i="5"/>
  <c r="CC26" i="5"/>
  <c r="CB26" i="5"/>
  <c r="CA26" i="5"/>
  <c r="BZ26" i="5"/>
  <c r="BY26" i="5"/>
  <c r="BX26" i="5"/>
  <c r="BW26" i="5"/>
  <c r="BV26" i="5"/>
  <c r="BU26" i="5"/>
  <c r="BT26" i="5"/>
  <c r="BQ26" i="5"/>
  <c r="BP26" i="5"/>
  <c r="BO26" i="5"/>
  <c r="BM26" i="5"/>
  <c r="BL26" i="5"/>
  <c r="BF26" i="5"/>
  <c r="BC26" i="5"/>
  <c r="AY26" i="5"/>
  <c r="AX26" i="5"/>
  <c r="AW26" i="5"/>
  <c r="AV26" i="5"/>
  <c r="AU26" i="5"/>
  <c r="AT26" i="5"/>
  <c r="AR26" i="5"/>
  <c r="AQ26" i="5"/>
  <c r="AP26" i="5"/>
  <c r="AO26" i="5"/>
  <c r="AN26" i="5"/>
  <c r="AM26" i="5"/>
  <c r="AL26" i="5"/>
  <c r="AH26" i="5"/>
  <c r="AF26" i="5"/>
  <c r="AD26" i="5"/>
  <c r="AB26" i="5"/>
  <c r="Y26" i="5"/>
  <c r="X26" i="5"/>
  <c r="W26" i="5"/>
  <c r="V26" i="5"/>
  <c r="U26" i="5"/>
  <c r="T26" i="5"/>
  <c r="S26" i="5"/>
  <c r="R26" i="5"/>
  <c r="Q26" i="5"/>
  <c r="P26" i="5"/>
  <c r="O26" i="5"/>
  <c r="N26" i="5"/>
  <c r="M26" i="5"/>
  <c r="L26" i="5"/>
  <c r="K26" i="5"/>
  <c r="J26" i="5"/>
  <c r="I26" i="5"/>
  <c r="H26" i="5"/>
  <c r="G26" i="5"/>
  <c r="F26" i="5"/>
  <c r="E26" i="5"/>
  <c r="D26" i="5"/>
  <c r="C26" i="5"/>
  <c r="B26" i="5"/>
  <c r="A26" i="5"/>
  <c r="CS25" i="5"/>
  <c r="CM25" i="5"/>
  <c r="CK25" i="5"/>
  <c r="CJ25" i="5"/>
  <c r="CI25" i="5"/>
  <c r="CG25" i="5"/>
  <c r="CF25" i="5"/>
  <c r="CE25" i="5"/>
  <c r="CD25" i="5"/>
  <c r="CC25" i="5"/>
  <c r="CB25" i="5"/>
  <c r="CA25" i="5"/>
  <c r="BZ25" i="5"/>
  <c r="BY25" i="5"/>
  <c r="BX25" i="5"/>
  <c r="BW25" i="5"/>
  <c r="BV25" i="5"/>
  <c r="BU25" i="5"/>
  <c r="BT25" i="5"/>
  <c r="BQ25" i="5"/>
  <c r="BP25" i="5"/>
  <c r="BO25" i="5"/>
  <c r="BM25" i="5"/>
  <c r="BL25" i="5"/>
  <c r="BF25" i="5"/>
  <c r="BC25" i="5"/>
  <c r="AY25" i="5"/>
  <c r="AX25" i="5"/>
  <c r="AW25" i="5"/>
  <c r="AV25" i="5"/>
  <c r="AU25" i="5"/>
  <c r="AT25" i="5"/>
  <c r="AR25" i="5"/>
  <c r="AQ25" i="5"/>
  <c r="AP25" i="5"/>
  <c r="AO25" i="5"/>
  <c r="AN25" i="5"/>
  <c r="AM25" i="5"/>
  <c r="AL25" i="5"/>
  <c r="AH25" i="5"/>
  <c r="AF25" i="5"/>
  <c r="AD25" i="5"/>
  <c r="AB25" i="5"/>
  <c r="Y25" i="5"/>
  <c r="X25" i="5"/>
  <c r="W25" i="5"/>
  <c r="V25" i="5"/>
  <c r="U25" i="5"/>
  <c r="T25" i="5"/>
  <c r="S25" i="5"/>
  <c r="R25" i="5"/>
  <c r="Q25" i="5"/>
  <c r="P25" i="5"/>
  <c r="O25" i="5"/>
  <c r="N25" i="5"/>
  <c r="M25" i="5"/>
  <c r="L25" i="5"/>
  <c r="K25" i="5"/>
  <c r="J25" i="5"/>
  <c r="I25" i="5"/>
  <c r="H25" i="5"/>
  <c r="G25" i="5"/>
  <c r="F25" i="5"/>
  <c r="E25" i="5"/>
  <c r="D25" i="5"/>
  <c r="C25" i="5"/>
  <c r="B25" i="5"/>
  <c r="A25" i="5"/>
  <c r="CS24" i="5"/>
  <c r="CM24" i="5"/>
  <c r="CK24" i="5"/>
  <c r="CJ24" i="5"/>
  <c r="CI24" i="5"/>
  <c r="CG24" i="5"/>
  <c r="CF24" i="5"/>
  <c r="CE24" i="5"/>
  <c r="CD24" i="5"/>
  <c r="CC24" i="5"/>
  <c r="CB24" i="5"/>
  <c r="CA24" i="5"/>
  <c r="BZ24" i="5"/>
  <c r="BY24" i="5"/>
  <c r="BW24" i="5"/>
  <c r="BV24" i="5"/>
  <c r="BU24" i="5"/>
  <c r="BT24" i="5"/>
  <c r="BQ24" i="5"/>
  <c r="BP24" i="5"/>
  <c r="BO24" i="5"/>
  <c r="BM24" i="5"/>
  <c r="BL24" i="5"/>
  <c r="BF24" i="5"/>
  <c r="BC24" i="5"/>
  <c r="AY24" i="5"/>
  <c r="AX24" i="5"/>
  <c r="AW24" i="5"/>
  <c r="AV24" i="5"/>
  <c r="AU24" i="5"/>
  <c r="AT24" i="5"/>
  <c r="AR24" i="5"/>
  <c r="AQ24" i="5"/>
  <c r="AP24" i="5"/>
  <c r="AO24" i="5"/>
  <c r="AN24" i="5"/>
  <c r="AM24" i="5"/>
  <c r="AL24" i="5"/>
  <c r="AH24" i="5"/>
  <c r="AF24" i="5"/>
  <c r="AD24" i="5"/>
  <c r="AB24" i="5"/>
  <c r="Y24" i="5"/>
  <c r="X24" i="5"/>
  <c r="W24" i="5"/>
  <c r="V24" i="5"/>
  <c r="U24" i="5"/>
  <c r="T24" i="5"/>
  <c r="S24" i="5"/>
  <c r="R24" i="5"/>
  <c r="Q24" i="5"/>
  <c r="P24" i="5"/>
  <c r="O24" i="5"/>
  <c r="N24" i="5"/>
  <c r="M24" i="5"/>
  <c r="L24" i="5"/>
  <c r="K24" i="5"/>
  <c r="J24" i="5"/>
  <c r="I24" i="5"/>
  <c r="H24" i="5"/>
  <c r="G24" i="5"/>
  <c r="F24" i="5"/>
  <c r="E24" i="5"/>
  <c r="D24" i="5"/>
  <c r="C24" i="5"/>
  <c r="B24" i="5"/>
  <c r="A24" i="5"/>
  <c r="CS23" i="5"/>
  <c r="CM23" i="5"/>
  <c r="CK23" i="5"/>
  <c r="CJ23" i="5"/>
  <c r="CI23" i="5"/>
  <c r="CG23" i="5"/>
  <c r="CF23" i="5"/>
  <c r="CE23" i="5"/>
  <c r="CD23" i="5"/>
  <c r="CC23" i="5"/>
  <c r="CB23" i="5"/>
  <c r="CA23" i="5"/>
  <c r="BZ23" i="5"/>
  <c r="BY23" i="5"/>
  <c r="BW23" i="5"/>
  <c r="BV23" i="5"/>
  <c r="BU23" i="5"/>
  <c r="BT23" i="5"/>
  <c r="BQ23" i="5"/>
  <c r="BP23" i="5"/>
  <c r="BO23" i="5"/>
  <c r="BM23" i="5"/>
  <c r="BL23" i="5"/>
  <c r="BF23" i="5"/>
  <c r="BC23" i="5"/>
  <c r="AY23" i="5"/>
  <c r="AX23" i="5"/>
  <c r="AW23" i="5"/>
  <c r="AV23" i="5"/>
  <c r="AU23" i="5"/>
  <c r="AT23" i="5"/>
  <c r="AR23" i="5"/>
  <c r="AQ23" i="5"/>
  <c r="AP23" i="5"/>
  <c r="AO23" i="5"/>
  <c r="AN23" i="5"/>
  <c r="AM23" i="5"/>
  <c r="AL23" i="5"/>
  <c r="AH23" i="5"/>
  <c r="AF23" i="5"/>
  <c r="AD23" i="5"/>
  <c r="AB23" i="5"/>
  <c r="Y23" i="5"/>
  <c r="X23" i="5"/>
  <c r="W23" i="5"/>
  <c r="V23" i="5"/>
  <c r="U23" i="5"/>
  <c r="T23" i="5"/>
  <c r="S23" i="5"/>
  <c r="R23" i="5"/>
  <c r="Q23" i="5"/>
  <c r="P23" i="5"/>
  <c r="O23" i="5"/>
  <c r="N23" i="5"/>
  <c r="M23" i="5"/>
  <c r="L23" i="5"/>
  <c r="K23" i="5"/>
  <c r="J23" i="5"/>
  <c r="I23" i="5"/>
  <c r="H23" i="5"/>
  <c r="G23" i="5"/>
  <c r="F23" i="5"/>
  <c r="E23" i="5"/>
  <c r="D23" i="5"/>
  <c r="C23" i="5"/>
  <c r="B23" i="5"/>
  <c r="A23" i="5"/>
  <c r="CS22" i="5"/>
  <c r="CM22" i="5"/>
  <c r="CK22" i="5"/>
  <c r="CJ22" i="5"/>
  <c r="CI22" i="5"/>
  <c r="CG22" i="5"/>
  <c r="CF22" i="5"/>
  <c r="CE22" i="5"/>
  <c r="CD22" i="5"/>
  <c r="CC22" i="5"/>
  <c r="CB22" i="5"/>
  <c r="CA22" i="5"/>
  <c r="BZ22" i="5"/>
  <c r="BY22" i="5"/>
  <c r="BX22" i="5"/>
  <c r="BW22" i="5"/>
  <c r="BV22" i="5"/>
  <c r="BU22" i="5"/>
  <c r="BT22" i="5"/>
  <c r="BQ22" i="5"/>
  <c r="BP22" i="5"/>
  <c r="BO22" i="5"/>
  <c r="BM22" i="5"/>
  <c r="BL22" i="5"/>
  <c r="BF22" i="5"/>
  <c r="BC22" i="5"/>
  <c r="AY22" i="5"/>
  <c r="AX22" i="5"/>
  <c r="AW22" i="5"/>
  <c r="AV22" i="5"/>
  <c r="AU22" i="5"/>
  <c r="AT22" i="5"/>
  <c r="AR22" i="5"/>
  <c r="AQ22" i="5"/>
  <c r="AP22" i="5"/>
  <c r="AO22" i="5"/>
  <c r="AN22" i="5"/>
  <c r="AM22" i="5"/>
  <c r="AL22" i="5"/>
  <c r="AH22" i="5"/>
  <c r="AF22" i="5"/>
  <c r="AD22" i="5"/>
  <c r="AB22" i="5"/>
  <c r="Y22" i="5"/>
  <c r="X22" i="5"/>
  <c r="W22" i="5"/>
  <c r="V22" i="5"/>
  <c r="U22" i="5"/>
  <c r="T22" i="5"/>
  <c r="S22" i="5"/>
  <c r="R22" i="5"/>
  <c r="Q22" i="5"/>
  <c r="P22" i="5"/>
  <c r="O22" i="5"/>
  <c r="N22" i="5"/>
  <c r="M22" i="5"/>
  <c r="L22" i="5"/>
  <c r="K22" i="5"/>
  <c r="J22" i="5"/>
  <c r="I22" i="5"/>
  <c r="H22" i="5"/>
  <c r="G22" i="5"/>
  <c r="F22" i="5"/>
  <c r="E22" i="5"/>
  <c r="D22" i="5"/>
  <c r="C22" i="5"/>
  <c r="B22" i="5"/>
  <c r="A22" i="5"/>
  <c r="CS21" i="5"/>
  <c r="CM21" i="5"/>
  <c r="CK21" i="5"/>
  <c r="CJ21" i="5"/>
  <c r="CI21" i="5"/>
  <c r="CG21" i="5"/>
  <c r="CF21" i="5"/>
  <c r="CE21" i="5"/>
  <c r="CD21" i="5"/>
  <c r="CC21" i="5"/>
  <c r="CB21" i="5"/>
  <c r="CA21" i="5"/>
  <c r="BZ21" i="5"/>
  <c r="BY21" i="5"/>
  <c r="BX21" i="5"/>
  <c r="BW21" i="5"/>
  <c r="BV21" i="5"/>
  <c r="BU21" i="5"/>
  <c r="BT21" i="5"/>
  <c r="BQ21" i="5"/>
  <c r="BP21" i="5"/>
  <c r="BO21" i="5"/>
  <c r="BM21" i="5"/>
  <c r="BL21" i="5"/>
  <c r="BF21" i="5"/>
  <c r="BC21" i="5"/>
  <c r="AY21" i="5"/>
  <c r="AX21" i="5"/>
  <c r="AW21" i="5"/>
  <c r="AV21" i="5"/>
  <c r="AU21" i="5"/>
  <c r="AT21" i="5"/>
  <c r="AR21" i="5"/>
  <c r="AQ21" i="5"/>
  <c r="AP21" i="5"/>
  <c r="AO21" i="5"/>
  <c r="AN21" i="5"/>
  <c r="AM21" i="5"/>
  <c r="AL21" i="5"/>
  <c r="AH21" i="5"/>
  <c r="AF21" i="5"/>
  <c r="AD21" i="5"/>
  <c r="AB21" i="5"/>
  <c r="Y21" i="5"/>
  <c r="X21" i="5"/>
  <c r="W21" i="5"/>
  <c r="V21" i="5"/>
  <c r="U21" i="5"/>
  <c r="T21" i="5"/>
  <c r="S21" i="5"/>
  <c r="R21" i="5"/>
  <c r="Q21" i="5"/>
  <c r="P21" i="5"/>
  <c r="O21" i="5"/>
  <c r="N21" i="5"/>
  <c r="M21" i="5"/>
  <c r="L21" i="5"/>
  <c r="K21" i="5"/>
  <c r="J21" i="5"/>
  <c r="I21" i="5"/>
  <c r="H21" i="5"/>
  <c r="G21" i="5"/>
  <c r="F21" i="5"/>
  <c r="E21" i="5"/>
  <c r="D21" i="5"/>
  <c r="C21" i="5"/>
  <c r="B21" i="5"/>
  <c r="A21" i="5"/>
  <c r="CS20" i="5"/>
  <c r="CM20" i="5"/>
  <c r="CK20" i="5"/>
  <c r="CJ20" i="5"/>
  <c r="CI20" i="5"/>
  <c r="CG20" i="5"/>
  <c r="CF20" i="5"/>
  <c r="CE20" i="5"/>
  <c r="CD20" i="5"/>
  <c r="CC20" i="5"/>
  <c r="CB20" i="5"/>
  <c r="CA20" i="5"/>
  <c r="BZ20" i="5"/>
  <c r="BY20" i="5"/>
  <c r="BX20" i="5"/>
  <c r="BW20" i="5"/>
  <c r="BV20" i="5"/>
  <c r="BU20" i="5"/>
  <c r="BT20" i="5"/>
  <c r="BQ20" i="5"/>
  <c r="BP20" i="5"/>
  <c r="BO20" i="5"/>
  <c r="BM20" i="5"/>
  <c r="BL20" i="5"/>
  <c r="BF20" i="5"/>
  <c r="BC20" i="5"/>
  <c r="AY20" i="5"/>
  <c r="AX20" i="5"/>
  <c r="AW20" i="5"/>
  <c r="AV20" i="5"/>
  <c r="AU20" i="5"/>
  <c r="AT20" i="5"/>
  <c r="AR20" i="5"/>
  <c r="AQ20" i="5"/>
  <c r="AP20" i="5"/>
  <c r="AO20" i="5"/>
  <c r="AN20" i="5"/>
  <c r="AM20" i="5"/>
  <c r="AL20" i="5"/>
  <c r="AH20" i="5"/>
  <c r="AF20" i="5"/>
  <c r="AD20" i="5"/>
  <c r="AB20" i="5"/>
  <c r="Y20" i="5"/>
  <c r="X20" i="5"/>
  <c r="W20" i="5"/>
  <c r="V20" i="5"/>
  <c r="U20" i="5"/>
  <c r="T20" i="5"/>
  <c r="S20" i="5"/>
  <c r="R20" i="5"/>
  <c r="Q20" i="5"/>
  <c r="P20" i="5"/>
  <c r="O20" i="5"/>
  <c r="N20" i="5"/>
  <c r="M20" i="5"/>
  <c r="L20" i="5"/>
  <c r="K20" i="5"/>
  <c r="J20" i="5"/>
  <c r="I20" i="5"/>
  <c r="H20" i="5"/>
  <c r="G20" i="5"/>
  <c r="F20" i="5"/>
  <c r="E20" i="5"/>
  <c r="D20" i="5"/>
  <c r="C20" i="5"/>
  <c r="B20" i="5"/>
  <c r="A20" i="5"/>
  <c r="CS19" i="5"/>
  <c r="CM19" i="5"/>
  <c r="CK19" i="5"/>
  <c r="CJ19" i="5"/>
  <c r="CI19" i="5"/>
  <c r="CG19" i="5"/>
  <c r="CF19" i="5"/>
  <c r="CE19" i="5"/>
  <c r="CD19" i="5"/>
  <c r="CC19" i="5"/>
  <c r="CB19" i="5"/>
  <c r="CA19" i="5"/>
  <c r="BZ19" i="5"/>
  <c r="BY19" i="5"/>
  <c r="BX19" i="5"/>
  <c r="BW19" i="5"/>
  <c r="BV19" i="5"/>
  <c r="BU19" i="5"/>
  <c r="BT19" i="5"/>
  <c r="BQ19" i="5"/>
  <c r="BP19" i="5"/>
  <c r="BO19" i="5"/>
  <c r="BM19" i="5"/>
  <c r="BL19" i="5"/>
  <c r="BF19" i="5"/>
  <c r="BC19" i="5"/>
  <c r="AY19" i="5"/>
  <c r="AX19" i="5"/>
  <c r="AW19" i="5"/>
  <c r="AV19" i="5"/>
  <c r="AU19" i="5"/>
  <c r="AT19" i="5"/>
  <c r="AR19" i="5"/>
  <c r="AQ19" i="5"/>
  <c r="AP19" i="5"/>
  <c r="AO19" i="5"/>
  <c r="AN19" i="5"/>
  <c r="AM19" i="5"/>
  <c r="AL19" i="5"/>
  <c r="AH19" i="5"/>
  <c r="AF19" i="5"/>
  <c r="AD19" i="5"/>
  <c r="AB19" i="5"/>
  <c r="Y19" i="5"/>
  <c r="X19" i="5"/>
  <c r="W19" i="5"/>
  <c r="V19" i="5"/>
  <c r="U19" i="5"/>
  <c r="T19" i="5"/>
  <c r="S19" i="5"/>
  <c r="R19" i="5"/>
  <c r="Q19" i="5"/>
  <c r="P19" i="5"/>
  <c r="O19" i="5"/>
  <c r="N19" i="5"/>
  <c r="M19" i="5"/>
  <c r="L19" i="5"/>
  <c r="K19" i="5"/>
  <c r="J19" i="5"/>
  <c r="I19" i="5"/>
  <c r="H19" i="5"/>
  <c r="G19" i="5"/>
  <c r="F19" i="5"/>
  <c r="E19" i="5"/>
  <c r="D19" i="5"/>
  <c r="C19" i="5"/>
  <c r="B19" i="5"/>
  <c r="A19" i="5"/>
  <c r="CS18" i="5"/>
  <c r="CM18" i="5"/>
  <c r="CK18" i="5"/>
  <c r="CJ18" i="5"/>
  <c r="CI18" i="5"/>
  <c r="CG18" i="5"/>
  <c r="CF18" i="5"/>
  <c r="CE18" i="5"/>
  <c r="CD18" i="5"/>
  <c r="CC18" i="5"/>
  <c r="CB18" i="5"/>
  <c r="CA18" i="5"/>
  <c r="BY18" i="5"/>
  <c r="BX18" i="5"/>
  <c r="BW18" i="5"/>
  <c r="BV18" i="5"/>
  <c r="BU18" i="5"/>
  <c r="BQ18" i="5"/>
  <c r="BP18" i="5"/>
  <c r="BO18" i="5"/>
  <c r="BM18" i="5"/>
  <c r="BL18" i="5"/>
  <c r="BF18" i="5"/>
  <c r="BC18" i="5"/>
  <c r="AY18" i="5"/>
  <c r="AX18" i="5"/>
  <c r="AW18" i="5"/>
  <c r="AV18" i="5"/>
  <c r="AU18" i="5"/>
  <c r="AT18" i="5"/>
  <c r="AR18" i="5"/>
  <c r="AQ18" i="5"/>
  <c r="AP18" i="5"/>
  <c r="AO18" i="5"/>
  <c r="AN18" i="5"/>
  <c r="AM18" i="5"/>
  <c r="AL18" i="5"/>
  <c r="AH18" i="5"/>
  <c r="AF18" i="5"/>
  <c r="AD18" i="5"/>
  <c r="AB18" i="5"/>
  <c r="Y18" i="5"/>
  <c r="X18" i="5"/>
  <c r="W18" i="5"/>
  <c r="V18" i="5"/>
  <c r="U18" i="5"/>
  <c r="T18" i="5"/>
  <c r="S18" i="5"/>
  <c r="R18" i="5"/>
  <c r="Q18" i="5"/>
  <c r="P18" i="5"/>
  <c r="O18" i="5"/>
  <c r="N18" i="5"/>
  <c r="M18" i="5"/>
  <c r="L18" i="5"/>
  <c r="K18" i="5"/>
  <c r="J18" i="5"/>
  <c r="I18" i="5"/>
  <c r="H18" i="5"/>
  <c r="G18" i="5"/>
  <c r="F18" i="5"/>
  <c r="E18" i="5"/>
  <c r="D18" i="5"/>
  <c r="C18" i="5"/>
  <c r="B18" i="5"/>
  <c r="A18" i="5"/>
  <c r="CS17" i="5"/>
  <c r="CM17" i="5"/>
  <c r="CK17" i="5"/>
  <c r="CJ17" i="5"/>
  <c r="CI17" i="5"/>
  <c r="CG17" i="5"/>
  <c r="CF17" i="5"/>
  <c r="CE17" i="5"/>
  <c r="CD17" i="5"/>
  <c r="CC17" i="5"/>
  <c r="CB17" i="5"/>
  <c r="CA17" i="5"/>
  <c r="BZ17" i="5"/>
  <c r="BY17" i="5"/>
  <c r="BW17" i="5"/>
  <c r="BV17" i="5"/>
  <c r="BU17" i="5"/>
  <c r="BS17" i="5"/>
  <c r="BR17" i="5"/>
  <c r="BQ17" i="5"/>
  <c r="BP17" i="5"/>
  <c r="BO17" i="5"/>
  <c r="BN17" i="5"/>
  <c r="BM17" i="5"/>
  <c r="BL17" i="5"/>
  <c r="BH17" i="5"/>
  <c r="BG17" i="5"/>
  <c r="BF17" i="5"/>
  <c r="BC17" i="5"/>
  <c r="AZ17" i="5"/>
  <c r="AY17" i="5"/>
  <c r="AX17" i="5"/>
  <c r="AW17" i="5"/>
  <c r="AV17" i="5"/>
  <c r="AU17" i="5"/>
  <c r="AT17" i="5"/>
  <c r="AR17" i="5"/>
  <c r="AQ17" i="5"/>
  <c r="AP17" i="5"/>
  <c r="AO17" i="5"/>
  <c r="AN17" i="5"/>
  <c r="AM17" i="5"/>
  <c r="AL17" i="5"/>
  <c r="AH17" i="5"/>
  <c r="AF17" i="5"/>
  <c r="AE17" i="5"/>
  <c r="AD17" i="5"/>
  <c r="AB17" i="5"/>
  <c r="Z17" i="5"/>
  <c r="X17" i="5"/>
  <c r="W17" i="5"/>
  <c r="V17" i="5"/>
  <c r="U17" i="5"/>
  <c r="T17" i="5"/>
  <c r="S17" i="5"/>
  <c r="R17" i="5"/>
  <c r="Q17" i="5"/>
  <c r="P17" i="5"/>
  <c r="O17" i="5"/>
  <c r="N17" i="5"/>
  <c r="M17" i="5"/>
  <c r="L17" i="5"/>
  <c r="K17" i="5"/>
  <c r="J17" i="5"/>
  <c r="I17" i="5"/>
  <c r="H17" i="5"/>
  <c r="G17" i="5"/>
  <c r="F17" i="5"/>
  <c r="E17" i="5"/>
  <c r="D17" i="5"/>
  <c r="C17" i="5"/>
  <c r="B17" i="5"/>
  <c r="A17" i="5"/>
  <c r="CS16" i="5"/>
  <c r="CM16" i="5"/>
  <c r="CK16" i="5"/>
  <c r="CJ16" i="5"/>
  <c r="CI16" i="5"/>
  <c r="CG16" i="5"/>
  <c r="CF16" i="5"/>
  <c r="CE16" i="5"/>
  <c r="CD16" i="5"/>
  <c r="CC16" i="5"/>
  <c r="CB16" i="5"/>
  <c r="CA16" i="5"/>
  <c r="BZ16" i="5"/>
  <c r="BY16" i="5"/>
  <c r="BW16" i="5"/>
  <c r="BV16" i="5"/>
  <c r="BU16" i="5"/>
  <c r="BS16" i="5"/>
  <c r="BR16" i="5"/>
  <c r="BQ16" i="5"/>
  <c r="BP16" i="5"/>
  <c r="BO16" i="5"/>
  <c r="BM16" i="5"/>
  <c r="BG16" i="5"/>
  <c r="BF16" i="5"/>
  <c r="BD16" i="5"/>
  <c r="BC16" i="5"/>
  <c r="AY16" i="5"/>
  <c r="AX16" i="5"/>
  <c r="AW16" i="5"/>
  <c r="AV16" i="5"/>
  <c r="AU16" i="5"/>
  <c r="AT16" i="5"/>
  <c r="AS16" i="5"/>
  <c r="AR16" i="5"/>
  <c r="AQ16" i="5"/>
  <c r="AP16" i="5"/>
  <c r="AO16" i="5"/>
  <c r="AN16" i="5"/>
  <c r="AM16" i="5"/>
  <c r="AL16" i="5"/>
  <c r="AH16" i="5"/>
  <c r="AF16" i="5"/>
  <c r="AD16" i="5"/>
  <c r="AB16" i="5"/>
  <c r="Z16" i="5"/>
  <c r="X16" i="5"/>
  <c r="W16" i="5"/>
  <c r="V16" i="5"/>
  <c r="U16" i="5"/>
  <c r="T16" i="5"/>
  <c r="S16" i="5"/>
  <c r="R16" i="5"/>
  <c r="Q16" i="5"/>
  <c r="P16" i="5"/>
  <c r="O16" i="5"/>
  <c r="N16" i="5"/>
  <c r="M16" i="5"/>
  <c r="L16" i="5"/>
  <c r="K16" i="5"/>
  <c r="J16" i="5"/>
  <c r="I16" i="5"/>
  <c r="H16" i="5"/>
  <c r="G16" i="5"/>
  <c r="F16" i="5"/>
  <c r="E16" i="5"/>
  <c r="D16" i="5"/>
  <c r="C16" i="5"/>
  <c r="B16" i="5"/>
  <c r="A16" i="5"/>
  <c r="CS15" i="5"/>
  <c r="CM15" i="5"/>
  <c r="CK15" i="5"/>
  <c r="CJ15" i="5"/>
  <c r="CI15" i="5"/>
  <c r="CG15" i="5"/>
  <c r="CF15" i="5"/>
  <c r="CE15" i="5"/>
  <c r="CD15" i="5"/>
  <c r="CC15" i="5"/>
  <c r="CB15" i="5"/>
  <c r="CA15" i="5"/>
  <c r="BZ15" i="5"/>
  <c r="BY15" i="5"/>
  <c r="BW15" i="5"/>
  <c r="BV15" i="5"/>
  <c r="BU15" i="5"/>
  <c r="BS15" i="5"/>
  <c r="BR15" i="5"/>
  <c r="BQ15" i="5"/>
  <c r="BP15" i="5"/>
  <c r="BO15" i="5"/>
  <c r="BM15" i="5"/>
  <c r="BG15" i="5"/>
  <c r="BF15" i="5"/>
  <c r="BC15" i="5"/>
  <c r="AZ15" i="5"/>
  <c r="AY15" i="5"/>
  <c r="AX15" i="5"/>
  <c r="AW15" i="5"/>
  <c r="AV15" i="5"/>
  <c r="AU15" i="5"/>
  <c r="AT15" i="5"/>
  <c r="AR15" i="5"/>
  <c r="AQ15" i="5"/>
  <c r="AP15" i="5"/>
  <c r="AO15" i="5"/>
  <c r="AN15" i="5"/>
  <c r="AM15" i="5"/>
  <c r="AL15" i="5"/>
  <c r="AH15" i="5"/>
  <c r="AF15" i="5"/>
  <c r="AD15" i="5"/>
  <c r="AB15" i="5"/>
  <c r="Z15" i="5"/>
  <c r="X15" i="5"/>
  <c r="W15" i="5"/>
  <c r="V15" i="5"/>
  <c r="U15" i="5"/>
  <c r="T15" i="5"/>
  <c r="S15" i="5"/>
  <c r="R15" i="5"/>
  <c r="Q15" i="5"/>
  <c r="P15" i="5"/>
  <c r="O15" i="5"/>
  <c r="N15" i="5"/>
  <c r="M15" i="5"/>
  <c r="L15" i="5"/>
  <c r="K15" i="5"/>
  <c r="J15" i="5"/>
  <c r="I15" i="5"/>
  <c r="H15" i="5"/>
  <c r="G15" i="5"/>
  <c r="F15" i="5"/>
  <c r="E15" i="5"/>
  <c r="D15" i="5"/>
  <c r="C15" i="5"/>
  <c r="B15" i="5"/>
  <c r="A15" i="5"/>
  <c r="CS14" i="5"/>
  <c r="CM14" i="5"/>
  <c r="CK14" i="5"/>
  <c r="CJ14" i="5"/>
  <c r="CI14" i="5"/>
  <c r="CG14" i="5"/>
  <c r="CF14" i="5"/>
  <c r="CE14" i="5"/>
  <c r="CD14" i="5"/>
  <c r="CC14" i="5"/>
  <c r="CB14" i="5"/>
  <c r="CA14" i="5"/>
  <c r="BZ14" i="5"/>
  <c r="BY14" i="5"/>
  <c r="BW14" i="5"/>
  <c r="BV14" i="5"/>
  <c r="BU14" i="5"/>
  <c r="BS14" i="5"/>
  <c r="BR14" i="5"/>
  <c r="BQ14" i="5"/>
  <c r="BP14" i="5"/>
  <c r="BO14" i="5"/>
  <c r="BN14" i="5"/>
  <c r="BM14" i="5"/>
  <c r="BL14" i="5"/>
  <c r="BH14" i="5"/>
  <c r="BG14" i="5"/>
  <c r="BF14" i="5"/>
  <c r="BC14" i="5"/>
  <c r="AY14" i="5"/>
  <c r="AX14" i="5"/>
  <c r="AW14" i="5"/>
  <c r="AV14" i="5"/>
  <c r="AU14" i="5"/>
  <c r="AT14" i="5"/>
  <c r="AR14" i="5"/>
  <c r="AQ14" i="5"/>
  <c r="AP14" i="5"/>
  <c r="AO14" i="5"/>
  <c r="AN14" i="5"/>
  <c r="AM14" i="5"/>
  <c r="AL14" i="5"/>
  <c r="AH14" i="5"/>
  <c r="AF14" i="5"/>
  <c r="AE14" i="5"/>
  <c r="AD14" i="5"/>
  <c r="AB14" i="5"/>
  <c r="Z14" i="5"/>
  <c r="X14" i="5"/>
  <c r="W14" i="5"/>
  <c r="V14" i="5"/>
  <c r="U14" i="5"/>
  <c r="T14" i="5"/>
  <c r="S14" i="5"/>
  <c r="R14" i="5"/>
  <c r="Q14" i="5"/>
  <c r="P14" i="5"/>
  <c r="O14" i="5"/>
  <c r="N14" i="5"/>
  <c r="M14" i="5"/>
  <c r="L14" i="5"/>
  <c r="K14" i="5"/>
  <c r="J14" i="5"/>
  <c r="I14" i="5"/>
  <c r="H14" i="5"/>
  <c r="G14" i="5"/>
  <c r="F14" i="5"/>
  <c r="E14" i="5"/>
  <c r="D14" i="5"/>
  <c r="C14" i="5"/>
  <c r="B14" i="5"/>
  <c r="A14" i="5"/>
  <c r="CS13" i="5"/>
  <c r="CM13" i="5"/>
  <c r="CK13" i="5"/>
  <c r="CJ13" i="5"/>
  <c r="CI13" i="5"/>
  <c r="CG13" i="5"/>
  <c r="CF13" i="5"/>
  <c r="CE13" i="5"/>
  <c r="CD13" i="5"/>
  <c r="CC13" i="5"/>
  <c r="CB13" i="5"/>
  <c r="CA13" i="5"/>
  <c r="BZ13" i="5"/>
  <c r="BY13" i="5"/>
  <c r="BW13" i="5"/>
  <c r="BV13" i="5"/>
  <c r="BU13" i="5"/>
  <c r="BS13" i="5"/>
  <c r="BR13" i="5"/>
  <c r="BQ13" i="5"/>
  <c r="BP13" i="5"/>
  <c r="BO13" i="5"/>
  <c r="BM13" i="5"/>
  <c r="BL13" i="5"/>
  <c r="BG13" i="5"/>
  <c r="BF13" i="5"/>
  <c r="BC13" i="5"/>
  <c r="AY13" i="5"/>
  <c r="AX13" i="5"/>
  <c r="AW13" i="5"/>
  <c r="AV13" i="5"/>
  <c r="AU13" i="5"/>
  <c r="AT13" i="5"/>
  <c r="AR13" i="5"/>
  <c r="AQ13" i="5"/>
  <c r="AP13" i="5"/>
  <c r="AO13" i="5"/>
  <c r="AN13" i="5"/>
  <c r="AM13" i="5"/>
  <c r="AL13" i="5"/>
  <c r="AH13" i="5"/>
  <c r="AF13" i="5"/>
  <c r="AE13" i="5"/>
  <c r="AD13" i="5"/>
  <c r="AB13" i="5"/>
  <c r="Z13" i="5"/>
  <c r="X13" i="5"/>
  <c r="W13" i="5"/>
  <c r="V13" i="5"/>
  <c r="U13" i="5"/>
  <c r="T13" i="5"/>
  <c r="S13" i="5"/>
  <c r="R13" i="5"/>
  <c r="Q13" i="5"/>
  <c r="P13" i="5"/>
  <c r="O13" i="5"/>
  <c r="N13" i="5"/>
  <c r="M13" i="5"/>
  <c r="L13" i="5"/>
  <c r="K13" i="5"/>
  <c r="J13" i="5"/>
  <c r="I13" i="5"/>
  <c r="H13" i="5"/>
  <c r="G13" i="5"/>
  <c r="F13" i="5"/>
  <c r="E13" i="5"/>
  <c r="D13" i="5"/>
  <c r="C13" i="5"/>
  <c r="B13" i="5"/>
  <c r="A13" i="5"/>
  <c r="CS12" i="5"/>
  <c r="CM12" i="5"/>
  <c r="CK12" i="5"/>
  <c r="CJ12" i="5"/>
  <c r="CI12" i="5"/>
  <c r="CG12" i="5"/>
  <c r="CF12" i="5"/>
  <c r="CE12" i="5"/>
  <c r="CD12" i="5"/>
  <c r="CC12" i="5"/>
  <c r="CB12" i="5"/>
  <c r="CA12" i="5"/>
  <c r="BZ12" i="5"/>
  <c r="BY12" i="5"/>
  <c r="BX12" i="5"/>
  <c r="BW12" i="5"/>
  <c r="BV12" i="5"/>
  <c r="BU12" i="5"/>
  <c r="BS12" i="5"/>
  <c r="BR12" i="5"/>
  <c r="BQ12" i="5"/>
  <c r="BP12" i="5"/>
  <c r="BO12" i="5"/>
  <c r="BN12" i="5"/>
  <c r="BM12" i="5"/>
  <c r="BG12" i="5"/>
  <c r="BF12" i="5"/>
  <c r="BC12" i="5"/>
  <c r="AY12" i="5"/>
  <c r="AX12" i="5"/>
  <c r="AW12" i="5"/>
  <c r="AV12" i="5"/>
  <c r="AU12" i="5"/>
  <c r="AT12" i="5"/>
  <c r="AR12" i="5"/>
  <c r="AQ12" i="5"/>
  <c r="AP12" i="5"/>
  <c r="AO12" i="5"/>
  <c r="AN12" i="5"/>
  <c r="AM12" i="5"/>
  <c r="AL12" i="5"/>
  <c r="AH12" i="5"/>
  <c r="AF12" i="5"/>
  <c r="AD12" i="5"/>
  <c r="AB12" i="5"/>
  <c r="Z12" i="5"/>
  <c r="X12" i="5"/>
  <c r="W12" i="5"/>
  <c r="V12" i="5"/>
  <c r="U12" i="5"/>
  <c r="T12" i="5"/>
  <c r="S12" i="5"/>
  <c r="R12" i="5"/>
  <c r="Q12" i="5"/>
  <c r="P12" i="5"/>
  <c r="O12" i="5"/>
  <c r="N12" i="5"/>
  <c r="M12" i="5"/>
  <c r="L12" i="5"/>
  <c r="K12" i="5"/>
  <c r="J12" i="5"/>
  <c r="I12" i="5"/>
  <c r="H12" i="5"/>
  <c r="G12" i="5"/>
  <c r="F12" i="5"/>
  <c r="E12" i="5"/>
  <c r="D12" i="5"/>
  <c r="C12" i="5"/>
  <c r="B12" i="5"/>
  <c r="A12" i="5"/>
  <c r="CS11" i="5"/>
  <c r="CM11" i="5"/>
  <c r="CK11" i="5"/>
  <c r="CJ11" i="5"/>
  <c r="CI11" i="5"/>
  <c r="CG11" i="5"/>
  <c r="CF11" i="5"/>
  <c r="CE11" i="5"/>
  <c r="CD11" i="5"/>
  <c r="CC11" i="5"/>
  <c r="CB11" i="5"/>
  <c r="CA11" i="5"/>
  <c r="BZ11" i="5"/>
  <c r="BY11" i="5"/>
  <c r="BW11" i="5"/>
  <c r="BV11" i="5"/>
  <c r="BU11" i="5"/>
  <c r="BS11" i="5"/>
  <c r="BR11" i="5"/>
  <c r="BQ11" i="5"/>
  <c r="BP11" i="5"/>
  <c r="BO11" i="5"/>
  <c r="BN11" i="5"/>
  <c r="BM11" i="5"/>
  <c r="BL11" i="5"/>
  <c r="BG11" i="5"/>
  <c r="BF11" i="5"/>
  <c r="BC11" i="5"/>
  <c r="AY11" i="5"/>
  <c r="AX11" i="5"/>
  <c r="AW11" i="5"/>
  <c r="AV11" i="5"/>
  <c r="AU11" i="5"/>
  <c r="AT11" i="5"/>
  <c r="AR11" i="5"/>
  <c r="AQ11" i="5"/>
  <c r="AP11" i="5"/>
  <c r="AO11" i="5"/>
  <c r="AN11" i="5"/>
  <c r="AM11" i="5"/>
  <c r="AL11" i="5"/>
  <c r="AH11" i="5"/>
  <c r="AF11" i="5"/>
  <c r="AE11" i="5"/>
  <c r="AD11" i="5"/>
  <c r="AB11" i="5"/>
  <c r="Z11" i="5"/>
  <c r="X11" i="5"/>
  <c r="W11" i="5"/>
  <c r="V11" i="5"/>
  <c r="U11" i="5"/>
  <c r="T11" i="5"/>
  <c r="S11" i="5"/>
  <c r="R11" i="5"/>
  <c r="Q11" i="5"/>
  <c r="P11" i="5"/>
  <c r="O11" i="5"/>
  <c r="N11" i="5"/>
  <c r="M11" i="5"/>
  <c r="L11" i="5"/>
  <c r="K11" i="5"/>
  <c r="J11" i="5"/>
  <c r="I11" i="5"/>
  <c r="H11" i="5"/>
  <c r="G11" i="5"/>
  <c r="F11" i="5"/>
  <c r="E11" i="5"/>
  <c r="D11" i="5"/>
  <c r="C11" i="5"/>
  <c r="B11" i="5"/>
  <c r="A11" i="5"/>
  <c r="CS10" i="5"/>
  <c r="CM10" i="5"/>
  <c r="CK10" i="5"/>
  <c r="CJ10" i="5"/>
  <c r="CI10" i="5"/>
  <c r="CG10" i="5"/>
  <c r="CF10" i="5"/>
  <c r="CE10" i="5"/>
  <c r="CD10" i="5"/>
  <c r="CC10" i="5"/>
  <c r="CB10" i="5"/>
  <c r="CA10" i="5"/>
  <c r="BZ10" i="5"/>
  <c r="BY10" i="5"/>
  <c r="BX10" i="5"/>
  <c r="BW10" i="5"/>
  <c r="BV10" i="5"/>
  <c r="BU10" i="5"/>
  <c r="BS10" i="5"/>
  <c r="BR10" i="5"/>
  <c r="BQ10" i="5"/>
  <c r="BP10" i="5"/>
  <c r="BO10" i="5"/>
  <c r="BN10" i="5"/>
  <c r="BM10" i="5"/>
  <c r="BL10" i="5"/>
  <c r="BG10" i="5"/>
  <c r="BF10" i="5"/>
  <c r="BC10" i="5"/>
  <c r="AY10" i="5"/>
  <c r="AX10" i="5"/>
  <c r="AW10" i="5"/>
  <c r="AV10" i="5"/>
  <c r="AU10" i="5"/>
  <c r="AT10" i="5"/>
  <c r="AR10" i="5"/>
  <c r="AQ10" i="5"/>
  <c r="AP10" i="5"/>
  <c r="AO10" i="5"/>
  <c r="AN10" i="5"/>
  <c r="AM10" i="5"/>
  <c r="AL10" i="5"/>
  <c r="AH10" i="5"/>
  <c r="AF10" i="5"/>
  <c r="AE10" i="5"/>
  <c r="AD10" i="5"/>
  <c r="AB10" i="5"/>
  <c r="Z10" i="5"/>
  <c r="X10" i="5"/>
  <c r="W10" i="5"/>
  <c r="V10" i="5"/>
  <c r="U10" i="5"/>
  <c r="T10" i="5"/>
  <c r="S10" i="5"/>
  <c r="R10" i="5"/>
  <c r="Q10" i="5"/>
  <c r="P10" i="5"/>
  <c r="O10" i="5"/>
  <c r="N10" i="5"/>
  <c r="M10" i="5"/>
  <c r="L10" i="5"/>
  <c r="K10" i="5"/>
  <c r="J10" i="5"/>
  <c r="I10" i="5"/>
  <c r="H10" i="5"/>
  <c r="G10" i="5"/>
  <c r="F10" i="5"/>
  <c r="E10" i="5"/>
  <c r="D10" i="5"/>
  <c r="C10" i="5"/>
  <c r="B10" i="5"/>
  <c r="A10" i="5"/>
  <c r="CS9" i="5"/>
  <c r="CM9" i="5"/>
  <c r="CK9" i="5"/>
  <c r="CJ9" i="5"/>
  <c r="CI9" i="5"/>
  <c r="CG9" i="5"/>
  <c r="CF9" i="5"/>
  <c r="CE9" i="5"/>
  <c r="CD9" i="5"/>
  <c r="CC9" i="5"/>
  <c r="CB9" i="5"/>
  <c r="CA9" i="5"/>
  <c r="BZ9" i="5"/>
  <c r="BY9" i="5"/>
  <c r="BX9" i="5"/>
  <c r="BW9" i="5"/>
  <c r="BV9" i="5"/>
  <c r="BU9" i="5"/>
  <c r="BS9" i="5"/>
  <c r="BR9" i="5"/>
  <c r="BQ9" i="5"/>
  <c r="BP9" i="5"/>
  <c r="BO9" i="5"/>
  <c r="BN9" i="5"/>
  <c r="BM9" i="5"/>
  <c r="BL9" i="5"/>
  <c r="BG9" i="5"/>
  <c r="BF9" i="5"/>
  <c r="BC9" i="5"/>
  <c r="AZ9" i="5"/>
  <c r="AY9" i="5"/>
  <c r="AX9" i="5"/>
  <c r="AW9" i="5"/>
  <c r="AV9" i="5"/>
  <c r="AU9" i="5"/>
  <c r="AT9" i="5"/>
  <c r="AR9" i="5"/>
  <c r="AQ9" i="5"/>
  <c r="AP9" i="5"/>
  <c r="AO9" i="5"/>
  <c r="AN9" i="5"/>
  <c r="AM9" i="5"/>
  <c r="AL9" i="5"/>
  <c r="AH9" i="5"/>
  <c r="AF9" i="5"/>
  <c r="AE9" i="5"/>
  <c r="AD9" i="5"/>
  <c r="AB9" i="5"/>
  <c r="Z9" i="5"/>
  <c r="X9" i="5"/>
  <c r="W9" i="5"/>
  <c r="V9" i="5"/>
  <c r="U9" i="5"/>
  <c r="T9" i="5"/>
  <c r="S9" i="5"/>
  <c r="R9" i="5"/>
  <c r="Q9" i="5"/>
  <c r="P9" i="5"/>
  <c r="O9" i="5"/>
  <c r="N9" i="5"/>
  <c r="M9" i="5"/>
  <c r="L9" i="5"/>
  <c r="K9" i="5"/>
  <c r="J9" i="5"/>
  <c r="I9" i="5"/>
  <c r="H9" i="5"/>
  <c r="G9" i="5"/>
  <c r="F9" i="5"/>
  <c r="E9" i="5"/>
  <c r="D9" i="5"/>
  <c r="C9" i="5"/>
  <c r="B9" i="5"/>
  <c r="A9" i="5"/>
  <c r="CS8" i="5"/>
  <c r="CM8" i="5"/>
  <c r="CK8" i="5"/>
  <c r="CJ8" i="5"/>
  <c r="CI8" i="5"/>
  <c r="CG8" i="5"/>
  <c r="CF8" i="5"/>
  <c r="CE8" i="5"/>
  <c r="CD8" i="5"/>
  <c r="CC8" i="5"/>
  <c r="CB8" i="5"/>
  <c r="CA8" i="5"/>
  <c r="BZ8" i="5"/>
  <c r="BY8" i="5"/>
  <c r="BX8" i="5"/>
  <c r="BW8" i="5"/>
  <c r="BV8" i="5"/>
  <c r="BU8" i="5"/>
  <c r="BS8" i="5"/>
  <c r="BR8" i="5"/>
  <c r="BQ8" i="5"/>
  <c r="BP8" i="5"/>
  <c r="BO8" i="5"/>
  <c r="BN8" i="5"/>
  <c r="BM8" i="5"/>
  <c r="BL8" i="5"/>
  <c r="BG8" i="5"/>
  <c r="BF8" i="5"/>
  <c r="BC8" i="5"/>
  <c r="AY8" i="5"/>
  <c r="AX8" i="5"/>
  <c r="AW8" i="5"/>
  <c r="AV8" i="5"/>
  <c r="AU8" i="5"/>
  <c r="AT8" i="5"/>
  <c r="AS8" i="5"/>
  <c r="AR8" i="5"/>
  <c r="AQ8" i="5"/>
  <c r="AP8" i="5"/>
  <c r="AO8" i="5"/>
  <c r="AN8" i="5"/>
  <c r="AM8" i="5"/>
  <c r="AL8" i="5"/>
  <c r="AH8" i="5"/>
  <c r="AF8" i="5"/>
  <c r="AD8" i="5"/>
  <c r="AB8" i="5"/>
  <c r="Z8" i="5"/>
  <c r="X8" i="5"/>
  <c r="W8" i="5"/>
  <c r="V8" i="5"/>
  <c r="U8" i="5"/>
  <c r="T8" i="5"/>
  <c r="S8" i="5"/>
  <c r="R8" i="5"/>
  <c r="Q8" i="5"/>
  <c r="P8" i="5"/>
  <c r="O8" i="5"/>
  <c r="N8" i="5"/>
  <c r="M8" i="5"/>
  <c r="L8" i="5"/>
  <c r="K8" i="5"/>
  <c r="J8" i="5"/>
  <c r="I8" i="5"/>
  <c r="H8" i="5"/>
  <c r="G8" i="5"/>
  <c r="F8" i="5"/>
  <c r="E8" i="5"/>
  <c r="D8" i="5"/>
  <c r="C8" i="5"/>
  <c r="B8" i="5"/>
  <c r="A8" i="5"/>
  <c r="CS7" i="5"/>
  <c r="CM7" i="5"/>
  <c r="CK7" i="5"/>
  <c r="CJ7" i="5"/>
  <c r="CI7" i="5"/>
  <c r="CG7" i="5"/>
  <c r="CF7" i="5"/>
  <c r="CE7" i="5"/>
  <c r="CD7" i="5"/>
  <c r="CC7" i="5"/>
  <c r="CB7" i="5"/>
  <c r="CA7" i="5"/>
  <c r="BZ7" i="5"/>
  <c r="BY7" i="5"/>
  <c r="BX7" i="5"/>
  <c r="BW7" i="5"/>
  <c r="BV7" i="5"/>
  <c r="BU7" i="5"/>
  <c r="BS7" i="5"/>
  <c r="BR7" i="5"/>
  <c r="BQ7" i="5"/>
  <c r="BP7" i="5"/>
  <c r="BO7" i="5"/>
  <c r="BN7" i="5"/>
  <c r="BM7" i="5"/>
  <c r="BL7" i="5"/>
  <c r="BG7" i="5"/>
  <c r="BF7" i="5"/>
  <c r="BC7" i="5"/>
  <c r="AY7" i="5"/>
  <c r="AX7" i="5"/>
  <c r="AW7" i="5"/>
  <c r="AV7" i="5"/>
  <c r="AU7" i="5"/>
  <c r="AT7" i="5"/>
  <c r="AS7" i="5"/>
  <c r="AR7" i="5"/>
  <c r="AQ7" i="5"/>
  <c r="AP7" i="5"/>
  <c r="AO7" i="5"/>
  <c r="AN7" i="5"/>
  <c r="AM7" i="5"/>
  <c r="AL7" i="5"/>
  <c r="AH7" i="5"/>
  <c r="AF7" i="5"/>
  <c r="AD7" i="5"/>
  <c r="AB7" i="5"/>
  <c r="Z7" i="5"/>
  <c r="X7" i="5"/>
  <c r="W7" i="5"/>
  <c r="V7" i="5"/>
  <c r="U7" i="5"/>
  <c r="T7" i="5"/>
  <c r="S7" i="5"/>
  <c r="R7" i="5"/>
  <c r="Q7" i="5"/>
  <c r="P7" i="5"/>
  <c r="O7" i="5"/>
  <c r="N7" i="5"/>
  <c r="M7" i="5"/>
  <c r="L7" i="5"/>
  <c r="K7" i="5"/>
  <c r="J7" i="5"/>
  <c r="I7" i="5"/>
  <c r="H7" i="5"/>
  <c r="G7" i="5"/>
  <c r="F7" i="5"/>
  <c r="E7" i="5"/>
  <c r="D7" i="5"/>
  <c r="C7" i="5"/>
  <c r="B7" i="5"/>
  <c r="A7" i="5"/>
  <c r="CS6" i="5"/>
  <c r="CM6" i="5"/>
  <c r="CK6" i="5"/>
  <c r="CJ6" i="5"/>
  <c r="CI6" i="5"/>
  <c r="CG6" i="5"/>
  <c r="CF6" i="5"/>
  <c r="CE6" i="5"/>
  <c r="CD6" i="5"/>
  <c r="CC6" i="5"/>
  <c r="CB6" i="5"/>
  <c r="CA6" i="5"/>
  <c r="BZ6" i="5"/>
  <c r="BY6" i="5"/>
  <c r="BX6" i="5"/>
  <c r="BW6" i="5"/>
  <c r="BV6" i="5"/>
  <c r="BU6" i="5"/>
  <c r="BS6" i="5"/>
  <c r="BR6" i="5"/>
  <c r="BQ6" i="5"/>
  <c r="BP6" i="5"/>
  <c r="BO6" i="5"/>
  <c r="BN6" i="5"/>
  <c r="BM6" i="5"/>
  <c r="BL6" i="5"/>
  <c r="BH6" i="5"/>
  <c r="BG6" i="5"/>
  <c r="BF6" i="5"/>
  <c r="BC6" i="5"/>
  <c r="AY6" i="5"/>
  <c r="AX6" i="5"/>
  <c r="AW6" i="5"/>
  <c r="AV6" i="5"/>
  <c r="AU6" i="5"/>
  <c r="AT6" i="5"/>
  <c r="AS6" i="5"/>
  <c r="AR6" i="5"/>
  <c r="AQ6" i="5"/>
  <c r="AP6" i="5"/>
  <c r="AO6" i="5"/>
  <c r="AN6" i="5"/>
  <c r="AM6" i="5"/>
  <c r="AL6" i="5"/>
  <c r="AH6" i="5"/>
  <c r="AF6" i="5"/>
  <c r="AD6" i="5"/>
  <c r="AB6" i="5"/>
  <c r="Z6" i="5"/>
  <c r="X6" i="5"/>
  <c r="W6" i="5"/>
  <c r="V6" i="5"/>
  <c r="U6" i="5"/>
  <c r="T6" i="5"/>
  <c r="S6" i="5"/>
  <c r="R6" i="5"/>
  <c r="Q6" i="5"/>
  <c r="P6" i="5"/>
  <c r="O6" i="5"/>
  <c r="N6" i="5"/>
  <c r="M6" i="5"/>
  <c r="L6" i="5"/>
  <c r="K6" i="5"/>
  <c r="J6" i="5"/>
  <c r="I6" i="5"/>
  <c r="H6" i="5"/>
  <c r="G6" i="5"/>
  <c r="F6" i="5"/>
  <c r="E6" i="5"/>
  <c r="D6" i="5"/>
  <c r="C6" i="5"/>
  <c r="B6" i="5"/>
  <c r="A6" i="5"/>
  <c r="CS5" i="5"/>
  <c r="CM5" i="5"/>
  <c r="CK5" i="5"/>
  <c r="CJ5" i="5"/>
  <c r="CI5" i="5"/>
  <c r="CG5" i="5"/>
  <c r="CF5" i="5"/>
  <c r="CE5" i="5"/>
  <c r="CD5" i="5"/>
  <c r="CC5" i="5"/>
  <c r="CB5" i="5"/>
  <c r="CA5" i="5"/>
  <c r="BZ5" i="5"/>
  <c r="BY5" i="5"/>
  <c r="BX5" i="5"/>
  <c r="BW5" i="5"/>
  <c r="BV5" i="5"/>
  <c r="BU5" i="5"/>
  <c r="BS5" i="5"/>
  <c r="BR5" i="5"/>
  <c r="BQ5" i="5"/>
  <c r="BP5" i="5"/>
  <c r="BO5" i="5"/>
  <c r="BN5" i="5"/>
  <c r="BM5" i="5"/>
  <c r="BL5" i="5"/>
  <c r="BG5" i="5"/>
  <c r="BF5" i="5"/>
  <c r="BC5" i="5"/>
  <c r="AY5" i="5"/>
  <c r="AX5" i="5"/>
  <c r="AW5" i="5"/>
  <c r="AV5" i="5"/>
  <c r="AU5" i="5"/>
  <c r="AT5" i="5"/>
  <c r="AS5" i="5"/>
  <c r="AR5" i="5"/>
  <c r="AQ5" i="5"/>
  <c r="AP5" i="5"/>
  <c r="AO5" i="5"/>
  <c r="AN5" i="5"/>
  <c r="AM5" i="5"/>
  <c r="AL5" i="5"/>
  <c r="AH5" i="5"/>
  <c r="AF5" i="5"/>
  <c r="AD5" i="5"/>
  <c r="AB5" i="5"/>
  <c r="Z5" i="5"/>
  <c r="X5" i="5"/>
  <c r="W5" i="5"/>
  <c r="V5" i="5"/>
  <c r="U5" i="5"/>
  <c r="T5" i="5"/>
  <c r="S5" i="5"/>
  <c r="R5" i="5"/>
  <c r="Q5" i="5"/>
  <c r="P5" i="5"/>
  <c r="O5" i="5"/>
  <c r="N5" i="5"/>
  <c r="M5" i="5"/>
  <c r="L5" i="5"/>
  <c r="K5" i="5"/>
  <c r="J5" i="5"/>
  <c r="I5" i="5"/>
  <c r="H5" i="5"/>
  <c r="G5" i="5"/>
  <c r="F5" i="5"/>
  <c r="E5" i="5"/>
  <c r="D5" i="5"/>
  <c r="C5" i="5"/>
  <c r="B5" i="5"/>
  <c r="A5" i="5"/>
  <c r="CS4" i="5"/>
  <c r="CM4" i="5"/>
  <c r="CK4" i="5"/>
  <c r="CJ4" i="5"/>
  <c r="CI4" i="5"/>
  <c r="CG4" i="5"/>
  <c r="CF4" i="5"/>
  <c r="CE4" i="5"/>
  <c r="CD4" i="5"/>
  <c r="CC4" i="5"/>
  <c r="CB4" i="5"/>
  <c r="CA4" i="5"/>
  <c r="BZ4" i="5"/>
  <c r="BY4" i="5"/>
  <c r="BX4" i="5"/>
  <c r="BW4" i="5"/>
  <c r="BV4" i="5"/>
  <c r="BU4" i="5"/>
  <c r="BS4" i="5"/>
  <c r="BR4" i="5"/>
  <c r="BQ4" i="5"/>
  <c r="BP4" i="5"/>
  <c r="BO4" i="5"/>
  <c r="BN4" i="5"/>
  <c r="BM4" i="5"/>
  <c r="BL4" i="5"/>
  <c r="BH4" i="5"/>
  <c r="BG4" i="5"/>
  <c r="BF4" i="5"/>
  <c r="BC4" i="5"/>
  <c r="AY4" i="5"/>
  <c r="AX4" i="5"/>
  <c r="AW4" i="5"/>
  <c r="AV4" i="5"/>
  <c r="AU4" i="5"/>
  <c r="AT4" i="5"/>
  <c r="AS4" i="5"/>
  <c r="AR4" i="5"/>
  <c r="AQ4" i="5"/>
  <c r="AP4" i="5"/>
  <c r="AO4" i="5"/>
  <c r="AN4" i="5"/>
  <c r="AM4" i="5"/>
  <c r="AL4" i="5"/>
  <c r="AH4" i="5"/>
  <c r="AF4" i="5"/>
  <c r="AD4" i="5"/>
  <c r="AB4" i="5"/>
  <c r="Z4" i="5"/>
  <c r="X4" i="5"/>
  <c r="W4" i="5"/>
  <c r="V4" i="5"/>
  <c r="U4" i="5"/>
  <c r="T4" i="5"/>
  <c r="S4" i="5"/>
  <c r="R4" i="5"/>
  <c r="Q4" i="5"/>
  <c r="P4" i="5"/>
  <c r="O4" i="5"/>
  <c r="N4" i="5"/>
  <c r="M4" i="5"/>
  <c r="L4" i="5"/>
  <c r="K4" i="5"/>
  <c r="J4" i="5"/>
  <c r="I4" i="5"/>
  <c r="H4" i="5"/>
  <c r="G4" i="5"/>
  <c r="F4" i="5"/>
  <c r="E4" i="5"/>
  <c r="D4" i="5"/>
  <c r="C4" i="5"/>
  <c r="B4" i="5"/>
  <c r="A4" i="5"/>
  <c r="CS3" i="5"/>
  <c r="CM3" i="5"/>
  <c r="CK3" i="5"/>
  <c r="CJ3" i="5"/>
  <c r="CI3" i="5"/>
  <c r="CG3" i="5"/>
  <c r="CF3" i="5"/>
  <c r="CE3" i="5"/>
  <c r="CD3" i="5"/>
  <c r="CC3" i="5"/>
  <c r="CB3" i="5"/>
  <c r="CA3" i="5"/>
  <c r="BZ3" i="5"/>
  <c r="BY3" i="5"/>
  <c r="BW3" i="5"/>
  <c r="BV3" i="5"/>
  <c r="BU3" i="5"/>
  <c r="BS3" i="5"/>
  <c r="BR3" i="5"/>
  <c r="BQ3" i="5"/>
  <c r="BP3" i="5"/>
  <c r="BO3" i="5"/>
  <c r="BN3" i="5"/>
  <c r="BM3" i="5"/>
  <c r="BL3" i="5"/>
  <c r="BG3" i="5"/>
  <c r="BF3" i="5"/>
  <c r="BC3" i="5"/>
  <c r="AY3" i="5"/>
  <c r="AX3" i="5"/>
  <c r="AW3" i="5"/>
  <c r="AV3" i="5"/>
  <c r="AU3" i="5"/>
  <c r="AT3" i="5"/>
  <c r="AS3" i="5"/>
  <c r="AR3" i="5"/>
  <c r="AQ3" i="5"/>
  <c r="AP3" i="5"/>
  <c r="AO3" i="5"/>
  <c r="AN3" i="5"/>
  <c r="AM3" i="5"/>
  <c r="AL3" i="5"/>
  <c r="AH3" i="5"/>
  <c r="AF3" i="5"/>
  <c r="AD3" i="5"/>
  <c r="AB3" i="5"/>
  <c r="Z3" i="5"/>
  <c r="X3" i="5"/>
  <c r="W3" i="5"/>
  <c r="V3" i="5"/>
  <c r="U3" i="5"/>
  <c r="T3" i="5"/>
  <c r="S3" i="5"/>
  <c r="R3" i="5"/>
  <c r="Q3" i="5"/>
  <c r="P3" i="5"/>
  <c r="O3" i="5"/>
  <c r="N3" i="5"/>
  <c r="M3" i="5"/>
  <c r="L3" i="5"/>
  <c r="K3" i="5"/>
  <c r="J3" i="5"/>
  <c r="I3" i="5"/>
  <c r="H3" i="5"/>
  <c r="G3" i="5"/>
  <c r="F3" i="5"/>
  <c r="E3" i="5"/>
  <c r="D3" i="5"/>
  <c r="C3" i="5"/>
  <c r="B3" i="5"/>
  <c r="A3" i="5"/>
  <c r="CS2" i="5"/>
  <c r="CR2" i="5" a="1"/>
  <c r="CR2" i="5"/>
  <c r="CQ2" i="5" a="1"/>
  <c r="CQ2" i="5"/>
  <c r="CP1496" i="5"/>
  <c r="CP1495" i="5"/>
  <c r="CP1494" i="5"/>
  <c r="CP1493" i="5"/>
  <c r="CP1492" i="5"/>
  <c r="CP1491" i="5"/>
  <c r="CP1490" i="5"/>
  <c r="CP1489" i="5"/>
  <c r="CP1488" i="5"/>
  <c r="CP1487" i="5"/>
  <c r="CP1486" i="5"/>
  <c r="CP1485" i="5"/>
  <c r="CP1484" i="5"/>
  <c r="CP1483" i="5"/>
  <c r="CP1482" i="5"/>
  <c r="CP1481" i="5"/>
  <c r="CP1480" i="5"/>
  <c r="CP1479" i="5"/>
  <c r="CP1478" i="5"/>
  <c r="CP1477" i="5"/>
  <c r="CP1476" i="5"/>
  <c r="CP1475" i="5"/>
  <c r="CP1474" i="5"/>
  <c r="CP1473" i="5"/>
  <c r="CP1472" i="5"/>
  <c r="CP1471" i="5"/>
  <c r="CP1470" i="5"/>
  <c r="CP1469" i="5"/>
  <c r="CP1468" i="5"/>
  <c r="CP1467" i="5"/>
  <c r="CP1466" i="5"/>
  <c r="CP1465" i="5"/>
  <c r="CP1464" i="5"/>
  <c r="CP1463" i="5"/>
  <c r="CP1462" i="5"/>
  <c r="CP1461" i="5"/>
  <c r="CP1460" i="5"/>
  <c r="CP1459" i="5"/>
  <c r="CP1458" i="5"/>
  <c r="CP1457" i="5"/>
  <c r="CP1456" i="5"/>
  <c r="CP1455" i="5"/>
  <c r="CP1454" i="5"/>
  <c r="CP1453" i="5"/>
  <c r="CP1452" i="5"/>
  <c r="CP1451" i="5"/>
  <c r="CP1450" i="5"/>
  <c r="CP1449" i="5"/>
  <c r="CP1448" i="5"/>
  <c r="CP1447" i="5"/>
  <c r="CP1446" i="5"/>
  <c r="CP1445" i="5"/>
  <c r="CP1444" i="5"/>
  <c r="CP1443" i="5"/>
  <c r="CP1442" i="5"/>
  <c r="CP1441" i="5"/>
  <c r="CP1440" i="5"/>
  <c r="CP1439" i="5"/>
  <c r="CP1438" i="5"/>
  <c r="CP1437" i="5"/>
  <c r="CP1436" i="5"/>
  <c r="CP1435" i="5"/>
  <c r="CP1434" i="5"/>
  <c r="CP1433" i="5"/>
  <c r="CP1432" i="5"/>
  <c r="CP1431" i="5"/>
  <c r="CP1430" i="5"/>
  <c r="CP1429" i="5"/>
  <c r="CP1428" i="5"/>
  <c r="CP1427" i="5"/>
  <c r="CP1426" i="5"/>
  <c r="CP1425" i="5"/>
  <c r="CP1424" i="5"/>
  <c r="CP1423" i="5"/>
  <c r="CP1422" i="5"/>
  <c r="CP1421" i="5"/>
  <c r="CP1420" i="5"/>
  <c r="CP1419" i="5"/>
  <c r="CP1418" i="5"/>
  <c r="CP1417" i="5"/>
  <c r="CP1416" i="5"/>
  <c r="CP1415" i="5"/>
  <c r="CP1414" i="5"/>
  <c r="CP1413" i="5"/>
  <c r="CP1412" i="5"/>
  <c r="CP1411" i="5"/>
  <c r="CP1410" i="5"/>
  <c r="CP1409" i="5"/>
  <c r="CP1408" i="5"/>
  <c r="CP1407" i="5"/>
  <c r="CP1406" i="5"/>
  <c r="CP1405" i="5"/>
  <c r="CP1404" i="5"/>
  <c r="CP1403" i="5"/>
  <c r="CP1402" i="5"/>
  <c r="CP1401" i="5"/>
  <c r="CP1400" i="5"/>
  <c r="CP1399" i="5"/>
  <c r="CP1398" i="5"/>
  <c r="CP1397" i="5"/>
  <c r="CP1396" i="5"/>
  <c r="CP1395" i="5"/>
  <c r="CP1394" i="5"/>
  <c r="CP1393" i="5"/>
  <c r="CP1392" i="5"/>
  <c r="CP1391" i="5"/>
  <c r="CP1390" i="5"/>
  <c r="CP1389" i="5"/>
  <c r="CP1388" i="5"/>
  <c r="CP1387" i="5"/>
  <c r="CP1386" i="5"/>
  <c r="CP1385" i="5"/>
  <c r="CP1384" i="5"/>
  <c r="CP1383" i="5"/>
  <c r="CP1382" i="5"/>
  <c r="CP1381" i="5"/>
  <c r="CP1380" i="5"/>
  <c r="CP1379" i="5"/>
  <c r="CP1378" i="5"/>
  <c r="CP1377" i="5"/>
  <c r="CP1376" i="5"/>
  <c r="CP1375" i="5"/>
  <c r="CP1374" i="5"/>
  <c r="CP1373" i="5"/>
  <c r="CP1372" i="5"/>
  <c r="CP1371" i="5"/>
  <c r="CP1370" i="5"/>
  <c r="CP1369" i="5"/>
  <c r="CP1368" i="5"/>
  <c r="CP1367" i="5"/>
  <c r="CP1366" i="5"/>
  <c r="CP1365" i="5"/>
  <c r="CP1364" i="5"/>
  <c r="CP1363" i="5"/>
  <c r="CP1362" i="5"/>
  <c r="CP1361" i="5"/>
  <c r="CP1360" i="5"/>
  <c r="CP1359" i="5"/>
  <c r="CP1358" i="5"/>
  <c r="CP1357" i="5"/>
  <c r="CP1356" i="5"/>
  <c r="CP1355" i="5"/>
  <c r="CP1354" i="5"/>
  <c r="CP1353" i="5"/>
  <c r="CP1352" i="5"/>
  <c r="CP1351" i="5"/>
  <c r="CP1350" i="5"/>
  <c r="CP1349" i="5"/>
  <c r="CP1348" i="5"/>
  <c r="CP1347" i="5"/>
  <c r="CP1346" i="5"/>
  <c r="CP1345" i="5"/>
  <c r="CP1344" i="5"/>
  <c r="CP1343" i="5"/>
  <c r="CP1342" i="5"/>
  <c r="CP1341" i="5"/>
  <c r="CP1340" i="5"/>
  <c r="CP1339" i="5"/>
  <c r="CP1338" i="5"/>
  <c r="CP1337" i="5"/>
  <c r="CP1336" i="5"/>
  <c r="CP1335" i="5"/>
  <c r="CP1334" i="5"/>
  <c r="CP1333" i="5"/>
  <c r="CP1332" i="5"/>
  <c r="CP1331" i="5"/>
  <c r="CP1330" i="5"/>
  <c r="CP1329" i="5"/>
  <c r="CP1328" i="5"/>
  <c r="CP1327" i="5"/>
  <c r="CP1326" i="5"/>
  <c r="CP1325" i="5"/>
  <c r="CP1324" i="5"/>
  <c r="CP1323" i="5"/>
  <c r="CP1322" i="5"/>
  <c r="CP1321" i="5"/>
  <c r="CP1320" i="5"/>
  <c r="CP1319" i="5"/>
  <c r="CP1318" i="5"/>
  <c r="CP1317" i="5"/>
  <c r="CP1316" i="5"/>
  <c r="CP1315" i="5"/>
  <c r="CP1314" i="5"/>
  <c r="CP1313" i="5"/>
  <c r="CP1312" i="5"/>
  <c r="CP1311" i="5"/>
  <c r="CP1310" i="5"/>
  <c r="CP1309" i="5"/>
  <c r="CP1308" i="5"/>
  <c r="CP1307" i="5"/>
  <c r="CP1306" i="5"/>
  <c r="CP1305" i="5"/>
  <c r="CP1304" i="5"/>
  <c r="CP1303" i="5"/>
  <c r="CP1302" i="5"/>
  <c r="CP1301" i="5"/>
  <c r="CP1300" i="5"/>
  <c r="CP1299" i="5"/>
  <c r="CP1298" i="5"/>
  <c r="CP1297" i="5"/>
  <c r="CP1296" i="5"/>
  <c r="CP1295" i="5"/>
  <c r="CP1294" i="5"/>
  <c r="CP1293" i="5"/>
  <c r="CP1292" i="5"/>
  <c r="CP1291" i="5"/>
  <c r="CP1290" i="5"/>
  <c r="CP1289" i="5"/>
  <c r="CP1288" i="5"/>
  <c r="CP1287" i="5"/>
  <c r="CP1286" i="5"/>
  <c r="CP1285" i="5"/>
  <c r="CP1284" i="5"/>
  <c r="CP1283" i="5"/>
  <c r="CP1282" i="5"/>
  <c r="CP1281" i="5"/>
  <c r="CP1280" i="5"/>
  <c r="CP1279" i="5"/>
  <c r="CP1278" i="5"/>
  <c r="CP1277" i="5"/>
  <c r="CP1276" i="5"/>
  <c r="CP1275" i="5"/>
  <c r="CP1274" i="5"/>
  <c r="CP1273" i="5"/>
  <c r="CP1272" i="5"/>
  <c r="CP1271" i="5"/>
  <c r="CP1270" i="5"/>
  <c r="CP1269" i="5"/>
  <c r="CP1268" i="5"/>
  <c r="CP1267" i="5"/>
  <c r="CP1266" i="5"/>
  <c r="CP1265" i="5"/>
  <c r="CP1264" i="5"/>
  <c r="CP1263" i="5"/>
  <c r="CP1262" i="5"/>
  <c r="CP1261" i="5"/>
  <c r="CP1260" i="5"/>
  <c r="CP1259" i="5"/>
  <c r="CP1258" i="5"/>
  <c r="CP1257" i="5"/>
  <c r="CP1256" i="5"/>
  <c r="CP1255" i="5"/>
  <c r="CP1254" i="5"/>
  <c r="CP1253" i="5"/>
  <c r="CP1252" i="5"/>
  <c r="CP1251" i="5"/>
  <c r="CP1250" i="5"/>
  <c r="CP1249" i="5"/>
  <c r="CP1248" i="5"/>
  <c r="CP1247" i="5"/>
  <c r="CP1246" i="5"/>
  <c r="CP1245" i="5"/>
  <c r="CP1244" i="5"/>
  <c r="CP1243" i="5"/>
  <c r="CP1242" i="5"/>
  <c r="CP1241" i="5"/>
  <c r="CP1240" i="5"/>
  <c r="CP1239" i="5"/>
  <c r="CP1238" i="5"/>
  <c r="CP1237" i="5"/>
  <c r="CP1236" i="5"/>
  <c r="CP1235" i="5"/>
  <c r="CP1234" i="5"/>
  <c r="CP1233" i="5"/>
  <c r="CP1232" i="5"/>
  <c r="CP1231" i="5"/>
  <c r="CP1230" i="5"/>
  <c r="CP1229" i="5"/>
  <c r="CP1228" i="5"/>
  <c r="CP1227" i="5"/>
  <c r="CP1226" i="5"/>
  <c r="CP1225" i="5"/>
  <c r="CP1224" i="5"/>
  <c r="CP1223" i="5"/>
  <c r="CP1222" i="5"/>
  <c r="CP1221" i="5"/>
  <c r="CP1220" i="5"/>
  <c r="CP1219" i="5"/>
  <c r="CP1218" i="5"/>
  <c r="CP1217" i="5"/>
  <c r="CP1216" i="5"/>
  <c r="CP1215" i="5"/>
  <c r="CP1214" i="5"/>
  <c r="CP1213" i="5"/>
  <c r="CP1212" i="5"/>
  <c r="CP1211" i="5"/>
  <c r="CP1210" i="5"/>
  <c r="CP1209" i="5"/>
  <c r="CP1208" i="5"/>
  <c r="CP1207" i="5"/>
  <c r="CP1206" i="5"/>
  <c r="CP1205" i="5"/>
  <c r="CP1204" i="5"/>
  <c r="CP1203" i="5"/>
  <c r="CP1202" i="5"/>
  <c r="CP1201" i="5"/>
  <c r="CP1200" i="5"/>
  <c r="CP1199" i="5"/>
  <c r="CP1198" i="5"/>
  <c r="CP1197" i="5"/>
  <c r="CP1196" i="5"/>
  <c r="CP1195" i="5"/>
  <c r="CP1194" i="5"/>
  <c r="CP1193" i="5"/>
  <c r="CP1192" i="5"/>
  <c r="CP1191" i="5"/>
  <c r="CP1190" i="5"/>
  <c r="CP1189" i="5"/>
  <c r="CP1188" i="5"/>
  <c r="CP1187" i="5"/>
  <c r="CP1186" i="5"/>
  <c r="CP1185" i="5"/>
  <c r="CP1184" i="5"/>
  <c r="CP1183" i="5"/>
  <c r="CP1182" i="5"/>
  <c r="CP1181" i="5"/>
  <c r="CP1180" i="5"/>
  <c r="CP1179" i="5"/>
  <c r="CP1178" i="5"/>
  <c r="CP1177" i="5"/>
  <c r="CP1176" i="5"/>
  <c r="CP1175" i="5"/>
  <c r="CP1174" i="5"/>
  <c r="CP1173" i="5"/>
  <c r="CP1172" i="5"/>
  <c r="CP1171" i="5"/>
  <c r="CP1170" i="5"/>
  <c r="CP1169" i="5"/>
  <c r="CP1168" i="5"/>
  <c r="CP1167" i="5"/>
  <c r="CP1166" i="5"/>
  <c r="CP1165" i="5"/>
  <c r="CP1164" i="5"/>
  <c r="CP1163" i="5"/>
  <c r="CP1162" i="5"/>
  <c r="CP1161" i="5"/>
  <c r="CP1160" i="5"/>
  <c r="CP1159" i="5"/>
  <c r="CP1158" i="5"/>
  <c r="CP1157" i="5"/>
  <c r="CP1156" i="5"/>
  <c r="CP1155" i="5"/>
  <c r="CP1154" i="5"/>
  <c r="CP1153" i="5"/>
  <c r="CP1152" i="5"/>
  <c r="CP1151" i="5"/>
  <c r="CP1150" i="5"/>
  <c r="CP1149" i="5"/>
  <c r="CP1148" i="5"/>
  <c r="CP1147" i="5"/>
  <c r="CP1146" i="5"/>
  <c r="CP1145" i="5"/>
  <c r="CP1144" i="5"/>
  <c r="CP1143" i="5"/>
  <c r="CP1142" i="5"/>
  <c r="CP1141" i="5"/>
  <c r="CP1140" i="5"/>
  <c r="CP1139" i="5"/>
  <c r="CP1138" i="5"/>
  <c r="CP1137" i="5"/>
  <c r="CP1136" i="5"/>
  <c r="CP1135" i="5"/>
  <c r="CP1134" i="5"/>
  <c r="CP1133" i="5"/>
  <c r="CP1132" i="5"/>
  <c r="CP1131" i="5"/>
  <c r="CP1130" i="5"/>
  <c r="CP1129" i="5"/>
  <c r="CP1128" i="5"/>
  <c r="CP1127" i="5"/>
  <c r="CP1126" i="5"/>
  <c r="CP1125" i="5"/>
  <c r="CP1124" i="5"/>
  <c r="CP1123" i="5"/>
  <c r="CP1122" i="5"/>
  <c r="CP1121" i="5"/>
  <c r="CP1120" i="5"/>
  <c r="CP1119" i="5"/>
  <c r="CP1118" i="5"/>
  <c r="CP1117" i="5"/>
  <c r="CP1116" i="5"/>
  <c r="CP1115" i="5"/>
  <c r="CP1114" i="5"/>
  <c r="CP1113" i="5"/>
  <c r="CP1112" i="5"/>
  <c r="CP1111" i="5"/>
  <c r="CP1110" i="5"/>
  <c r="CP1109" i="5"/>
  <c r="CP1108" i="5"/>
  <c r="CP1107" i="5"/>
  <c r="CP1106" i="5"/>
  <c r="CP1105" i="5"/>
  <c r="CP1104" i="5"/>
  <c r="CP1103" i="5"/>
  <c r="CP1102" i="5"/>
  <c r="CP1101" i="5"/>
  <c r="CP1100" i="5"/>
  <c r="CP1099" i="5"/>
  <c r="CP1098" i="5"/>
  <c r="CP1097" i="5"/>
  <c r="CP1096" i="5"/>
  <c r="CP1095" i="5"/>
  <c r="CP1094" i="5"/>
  <c r="CP1093" i="5"/>
  <c r="CP1092" i="5"/>
  <c r="CP1091" i="5"/>
  <c r="CP1090" i="5"/>
  <c r="CP1089" i="5"/>
  <c r="CP1088" i="5"/>
  <c r="CP1087" i="5"/>
  <c r="CP1086" i="5"/>
  <c r="CP1085" i="5"/>
  <c r="CP1084" i="5"/>
  <c r="CP1083" i="5"/>
  <c r="CP1082" i="5"/>
  <c r="CP1081" i="5"/>
  <c r="CP1080" i="5"/>
  <c r="CP1079" i="5"/>
  <c r="CP1078" i="5"/>
  <c r="CP1077" i="5"/>
  <c r="CP1076" i="5"/>
  <c r="CP1075" i="5"/>
  <c r="CP1074" i="5"/>
  <c r="CP1073" i="5"/>
  <c r="CP1072" i="5"/>
  <c r="CP1071" i="5"/>
  <c r="CP1070" i="5"/>
  <c r="CP1069" i="5"/>
  <c r="CP1068" i="5"/>
  <c r="CP1067" i="5"/>
  <c r="CP1066" i="5"/>
  <c r="CP1065" i="5"/>
  <c r="CP1064" i="5"/>
  <c r="CP1063" i="5"/>
  <c r="CP1062" i="5"/>
  <c r="CP1061" i="5"/>
  <c r="CP1060" i="5"/>
  <c r="CP1059" i="5"/>
  <c r="CP1058" i="5"/>
  <c r="CP1057" i="5"/>
  <c r="CP1056" i="5"/>
  <c r="CP1055" i="5"/>
  <c r="CP1054" i="5"/>
  <c r="CP1053" i="5"/>
  <c r="CP1052" i="5"/>
  <c r="CP1051" i="5"/>
  <c r="CP1050" i="5"/>
  <c r="CP1049" i="5"/>
  <c r="CP1048" i="5"/>
  <c r="CP1047" i="5"/>
  <c r="CP1046" i="5"/>
  <c r="CP1045" i="5"/>
  <c r="CP1044" i="5"/>
  <c r="CP1043" i="5"/>
  <c r="CP1042" i="5"/>
  <c r="CP1041" i="5"/>
  <c r="CP1040" i="5"/>
  <c r="CP1039" i="5"/>
  <c r="CP1038" i="5"/>
  <c r="CP1037" i="5"/>
  <c r="CP1036" i="5"/>
  <c r="CP1035" i="5"/>
  <c r="CP1034" i="5"/>
  <c r="CP1033" i="5"/>
  <c r="CP1032" i="5"/>
  <c r="CP1031" i="5"/>
  <c r="CP1030" i="5"/>
  <c r="CP1029" i="5"/>
  <c r="CP1028" i="5"/>
  <c r="CP1027" i="5"/>
  <c r="CP1026" i="5"/>
  <c r="CP1025" i="5"/>
  <c r="CP1024" i="5"/>
  <c r="CP1023" i="5"/>
  <c r="CP1022" i="5"/>
  <c r="CP1021" i="5"/>
  <c r="CP1020" i="5"/>
  <c r="CP1019" i="5"/>
  <c r="CP1018" i="5"/>
  <c r="CP1017" i="5"/>
  <c r="CP1016" i="5"/>
  <c r="CP1015" i="5"/>
  <c r="CP1014" i="5"/>
  <c r="CP1013" i="5"/>
  <c r="CP1012" i="5"/>
  <c r="CP1011" i="5"/>
  <c r="CP1010" i="5"/>
  <c r="CP1009" i="5"/>
  <c r="CP1008" i="5"/>
  <c r="CP1007" i="5"/>
  <c r="CP1006" i="5"/>
  <c r="CP1005" i="5"/>
  <c r="CP1004" i="5"/>
  <c r="CP1003" i="5"/>
  <c r="CP1002" i="5"/>
  <c r="CP1001" i="5"/>
  <c r="CP1000" i="5"/>
  <c r="CP999" i="5"/>
  <c r="CP998" i="5"/>
  <c r="CP997" i="5"/>
  <c r="CP996" i="5"/>
  <c r="CP995" i="5"/>
  <c r="CP994" i="5"/>
  <c r="CP993" i="5"/>
  <c r="CP992" i="5"/>
  <c r="CP991" i="5"/>
  <c r="CP990" i="5"/>
  <c r="CP989" i="5"/>
  <c r="CP988" i="5"/>
  <c r="CP987" i="5"/>
  <c r="CP986" i="5"/>
  <c r="CP985" i="5"/>
  <c r="CP984" i="5"/>
  <c r="CP983" i="5"/>
  <c r="CP982" i="5"/>
  <c r="CP981" i="5"/>
  <c r="CP980" i="5"/>
  <c r="CP979" i="5"/>
  <c r="CP978" i="5"/>
  <c r="CP977" i="5"/>
  <c r="CP976" i="5"/>
  <c r="CP975" i="5"/>
  <c r="CP974" i="5"/>
  <c r="CP973" i="5"/>
  <c r="CP972" i="5"/>
  <c r="CP971" i="5"/>
  <c r="CP970" i="5"/>
  <c r="CP969" i="5"/>
  <c r="CP968" i="5"/>
  <c r="CP967" i="5"/>
  <c r="CP966" i="5"/>
  <c r="CP965" i="5"/>
  <c r="CP964" i="5"/>
  <c r="CP963" i="5"/>
  <c r="CP962" i="5"/>
  <c r="CP961" i="5"/>
  <c r="CP960" i="5"/>
  <c r="CP959" i="5"/>
  <c r="CP958" i="5"/>
  <c r="CP957" i="5"/>
  <c r="CP956" i="5"/>
  <c r="CP955" i="5"/>
  <c r="CP954" i="5"/>
  <c r="CP953" i="5"/>
  <c r="CP952" i="5"/>
  <c r="CP951" i="5"/>
  <c r="CP950" i="5"/>
  <c r="CP949" i="5"/>
  <c r="CP948" i="5"/>
  <c r="CP947" i="5"/>
  <c r="CP946" i="5"/>
  <c r="CP945" i="5"/>
  <c r="CP944" i="5"/>
  <c r="CP943" i="5"/>
  <c r="CP942" i="5"/>
  <c r="CP941" i="5"/>
  <c r="CP940" i="5"/>
  <c r="CP939" i="5"/>
  <c r="CP938" i="5"/>
  <c r="CP937" i="5"/>
  <c r="CP936" i="5"/>
  <c r="CP935" i="5"/>
  <c r="CP934" i="5"/>
  <c r="CP933" i="5"/>
  <c r="CP932" i="5"/>
  <c r="CP931" i="5"/>
  <c r="CP930" i="5"/>
  <c r="CP929" i="5"/>
  <c r="CP928" i="5"/>
  <c r="CP927" i="5"/>
  <c r="CP926" i="5"/>
  <c r="CP925" i="5"/>
  <c r="CP924" i="5"/>
  <c r="CP923" i="5"/>
  <c r="CP922" i="5"/>
  <c r="CP921" i="5"/>
  <c r="CP920" i="5"/>
  <c r="CP919" i="5"/>
  <c r="CP918" i="5"/>
  <c r="CP917" i="5"/>
  <c r="CP916" i="5"/>
  <c r="CP915" i="5"/>
  <c r="CP914" i="5"/>
  <c r="CP913" i="5"/>
  <c r="CP912" i="5"/>
  <c r="CP911" i="5"/>
  <c r="CP910" i="5"/>
  <c r="CP909" i="5"/>
  <c r="CP908" i="5"/>
  <c r="CP907" i="5"/>
  <c r="CP906" i="5"/>
  <c r="CP905" i="5"/>
  <c r="CP904" i="5"/>
  <c r="CP903" i="5"/>
  <c r="CP902" i="5"/>
  <c r="CP901" i="5"/>
  <c r="CP900" i="5"/>
  <c r="CP899" i="5"/>
  <c r="CP898" i="5"/>
  <c r="CP897" i="5"/>
  <c r="CP896" i="5"/>
  <c r="CP895" i="5"/>
  <c r="CP894" i="5"/>
  <c r="CP893" i="5"/>
  <c r="CP892" i="5"/>
  <c r="CP891" i="5"/>
  <c r="CP890" i="5"/>
  <c r="CP889" i="5"/>
  <c r="CP888" i="5"/>
  <c r="CP887" i="5"/>
  <c r="CP886" i="5"/>
  <c r="CP885" i="5"/>
  <c r="CP884" i="5"/>
  <c r="CP883" i="5"/>
  <c r="CP882" i="5"/>
  <c r="CP881" i="5"/>
  <c r="CP880" i="5"/>
  <c r="CP879" i="5"/>
  <c r="CP878" i="5"/>
  <c r="CP877" i="5"/>
  <c r="CP876" i="5"/>
  <c r="CP875" i="5"/>
  <c r="CP874" i="5"/>
  <c r="CP873" i="5"/>
  <c r="CP872" i="5"/>
  <c r="CP871" i="5"/>
  <c r="CP870" i="5"/>
  <c r="CP869" i="5"/>
  <c r="CP868" i="5"/>
  <c r="CP867" i="5"/>
  <c r="CP866" i="5"/>
  <c r="CP865" i="5"/>
  <c r="CP864" i="5"/>
  <c r="CP863" i="5"/>
  <c r="CP862" i="5"/>
  <c r="CP861" i="5"/>
  <c r="CP860" i="5"/>
  <c r="CP859" i="5"/>
  <c r="CP858" i="5"/>
  <c r="CP857" i="5"/>
  <c r="CP856" i="5"/>
  <c r="CP855" i="5"/>
  <c r="CP854" i="5"/>
  <c r="CP853" i="5"/>
  <c r="CP852" i="5"/>
  <c r="CP851" i="5"/>
  <c r="CP850" i="5"/>
  <c r="CP849" i="5"/>
  <c r="CP848" i="5"/>
  <c r="CP847" i="5"/>
  <c r="CP846" i="5"/>
  <c r="CP845" i="5"/>
  <c r="CP844" i="5"/>
  <c r="CP843" i="5"/>
  <c r="CP842" i="5"/>
  <c r="CP841" i="5"/>
  <c r="CP840" i="5"/>
  <c r="CP839" i="5"/>
  <c r="CP838" i="5"/>
  <c r="CP837" i="5"/>
  <c r="CP836" i="5"/>
  <c r="CP835" i="5"/>
  <c r="CP834" i="5"/>
  <c r="CP833" i="5"/>
  <c r="CP832" i="5"/>
  <c r="CP831" i="5"/>
  <c r="CP830" i="5"/>
  <c r="CP829" i="5"/>
  <c r="CP828" i="5"/>
  <c r="CP827" i="5"/>
  <c r="CP826" i="5"/>
  <c r="CP825" i="5"/>
  <c r="CP824" i="5"/>
  <c r="CP823" i="5"/>
  <c r="CP822" i="5"/>
  <c r="CP821" i="5"/>
  <c r="CP820" i="5"/>
  <c r="CP819" i="5"/>
  <c r="CP818" i="5"/>
  <c r="CP817" i="5"/>
  <c r="CP816" i="5"/>
  <c r="CP815" i="5"/>
  <c r="CP814" i="5"/>
  <c r="CP813" i="5"/>
  <c r="CP812" i="5"/>
  <c r="CP811" i="5"/>
  <c r="CP810" i="5"/>
  <c r="CP809" i="5"/>
  <c r="CP808" i="5"/>
  <c r="CP807" i="5"/>
  <c r="CP806" i="5"/>
  <c r="CP805" i="5"/>
  <c r="CP804" i="5"/>
  <c r="CP803" i="5"/>
  <c r="CP802" i="5"/>
  <c r="CP801" i="5"/>
  <c r="CP800" i="5"/>
  <c r="CP799" i="5"/>
  <c r="CP798" i="5"/>
  <c r="CP797" i="5"/>
  <c r="CP796" i="5"/>
  <c r="CP795" i="5"/>
  <c r="CP794" i="5"/>
  <c r="CP793" i="5"/>
  <c r="CP792" i="5"/>
  <c r="CP791" i="5"/>
  <c r="CP790" i="5"/>
  <c r="CP789" i="5"/>
  <c r="CP788" i="5"/>
  <c r="CP787" i="5"/>
  <c r="CP786" i="5"/>
  <c r="CP785" i="5"/>
  <c r="CP784" i="5"/>
  <c r="CP783" i="5"/>
  <c r="CP782" i="5"/>
  <c r="CP781" i="5"/>
  <c r="CP780" i="5"/>
  <c r="CP779" i="5"/>
  <c r="CP778" i="5"/>
  <c r="CP777" i="5"/>
  <c r="CP776" i="5"/>
  <c r="CP775" i="5"/>
  <c r="CP774" i="5"/>
  <c r="CP773" i="5"/>
  <c r="CP772" i="5"/>
  <c r="CP771" i="5"/>
  <c r="CP770" i="5"/>
  <c r="CP769" i="5"/>
  <c r="CP768" i="5"/>
  <c r="CP767" i="5"/>
  <c r="CP766" i="5"/>
  <c r="CP765" i="5"/>
  <c r="CP764" i="5"/>
  <c r="CP763" i="5"/>
  <c r="CP762" i="5"/>
  <c r="CP761" i="5"/>
  <c r="CP760" i="5"/>
  <c r="CP759" i="5"/>
  <c r="CP758" i="5"/>
  <c r="CP757" i="5"/>
  <c r="CP756" i="5"/>
  <c r="CP755" i="5"/>
  <c r="CP754" i="5"/>
  <c r="CP753" i="5"/>
  <c r="CP752" i="5"/>
  <c r="CP751" i="5"/>
  <c r="CP750" i="5"/>
  <c r="CP749" i="5"/>
  <c r="CP748" i="5"/>
  <c r="CP747" i="5"/>
  <c r="CP746" i="5"/>
  <c r="CP745" i="5"/>
  <c r="CP744" i="5"/>
  <c r="CP743" i="5"/>
  <c r="CP742" i="5"/>
  <c r="CP741" i="5"/>
  <c r="CP740" i="5"/>
  <c r="CP739" i="5"/>
  <c r="CP738" i="5"/>
  <c r="CP737" i="5"/>
  <c r="CP736" i="5"/>
  <c r="CP735" i="5"/>
  <c r="CP734" i="5"/>
  <c r="CP733" i="5"/>
  <c r="CP732" i="5"/>
  <c r="CP731" i="5"/>
  <c r="CP730" i="5"/>
  <c r="CP729" i="5"/>
  <c r="CP728" i="5"/>
  <c r="CP727" i="5"/>
  <c r="CP726" i="5"/>
  <c r="CP725" i="5"/>
  <c r="CP724" i="5"/>
  <c r="CP723" i="5"/>
  <c r="CP722" i="5"/>
  <c r="CP721" i="5"/>
  <c r="CP720" i="5"/>
  <c r="CP719" i="5"/>
  <c r="CP718" i="5"/>
  <c r="CP717" i="5"/>
  <c r="CP716" i="5"/>
  <c r="CP715" i="5"/>
  <c r="CP714" i="5"/>
  <c r="CP713" i="5"/>
  <c r="CP712" i="5"/>
  <c r="CP711" i="5"/>
  <c r="CP710" i="5"/>
  <c r="CP709" i="5"/>
  <c r="CP708" i="5"/>
  <c r="CP707" i="5"/>
  <c r="CP706" i="5"/>
  <c r="CP705" i="5"/>
  <c r="CP704" i="5"/>
  <c r="CP703" i="5"/>
  <c r="CP702" i="5"/>
  <c r="CP701" i="5"/>
  <c r="CP700" i="5"/>
  <c r="CP699" i="5"/>
  <c r="CP698" i="5"/>
  <c r="CP697" i="5"/>
  <c r="CP696" i="5"/>
  <c r="CP695" i="5"/>
  <c r="CP694" i="5"/>
  <c r="CP693" i="5"/>
  <c r="CP692" i="5"/>
  <c r="CP691" i="5"/>
  <c r="CP690" i="5"/>
  <c r="CP689" i="5"/>
  <c r="CP688" i="5"/>
  <c r="CP687" i="5"/>
  <c r="CP686" i="5"/>
  <c r="CP685" i="5"/>
  <c r="CP684" i="5"/>
  <c r="CP683" i="5"/>
  <c r="CP682" i="5"/>
  <c r="CP681" i="5"/>
  <c r="CP680" i="5"/>
  <c r="CP679" i="5"/>
  <c r="CP678" i="5"/>
  <c r="CP677" i="5"/>
  <c r="CP676" i="5"/>
  <c r="CP675" i="5"/>
  <c r="CP674" i="5"/>
  <c r="CP673" i="5"/>
  <c r="CP672" i="5"/>
  <c r="CP671" i="5"/>
  <c r="CP670" i="5"/>
  <c r="CP669" i="5"/>
  <c r="CP668" i="5"/>
  <c r="CP667" i="5"/>
  <c r="CP666" i="5"/>
  <c r="CP665" i="5"/>
  <c r="CP664" i="5"/>
  <c r="CP663" i="5"/>
  <c r="CP662" i="5"/>
  <c r="CP661" i="5"/>
  <c r="CP660" i="5"/>
  <c r="CP659" i="5"/>
  <c r="CP658" i="5"/>
  <c r="CP657" i="5"/>
  <c r="CP656" i="5"/>
  <c r="CP655" i="5"/>
  <c r="CP654" i="5"/>
  <c r="CP653" i="5"/>
  <c r="CP652" i="5"/>
  <c r="CP651" i="5"/>
  <c r="CP650" i="5"/>
  <c r="CP649" i="5"/>
  <c r="CP648" i="5"/>
  <c r="CP647" i="5"/>
  <c r="CP646" i="5"/>
  <c r="CP645" i="5"/>
  <c r="CP644" i="5"/>
  <c r="CP643" i="5"/>
  <c r="CP642" i="5"/>
  <c r="CP641" i="5"/>
  <c r="CP640" i="5"/>
  <c r="CP639" i="5"/>
  <c r="CP638" i="5"/>
  <c r="CP637" i="5"/>
  <c r="CP636" i="5"/>
  <c r="CP635" i="5"/>
  <c r="CP634" i="5"/>
  <c r="CP633" i="5"/>
  <c r="CP632" i="5"/>
  <c r="CP631" i="5"/>
  <c r="CP630" i="5"/>
  <c r="CP629" i="5"/>
  <c r="CP628" i="5"/>
  <c r="CP627" i="5"/>
  <c r="CP626" i="5"/>
  <c r="CP625" i="5"/>
  <c r="CP624" i="5"/>
  <c r="CP623" i="5"/>
  <c r="CP622" i="5"/>
  <c r="CP621" i="5"/>
  <c r="CP620" i="5"/>
  <c r="CP619" i="5"/>
  <c r="CP618" i="5"/>
  <c r="CP617" i="5"/>
  <c r="CP616" i="5"/>
  <c r="CP615" i="5"/>
  <c r="CP614" i="5"/>
  <c r="CP613" i="5"/>
  <c r="CP612" i="5"/>
  <c r="CP611" i="5"/>
  <c r="CP610" i="5"/>
  <c r="CP609" i="5"/>
  <c r="CP608" i="5"/>
  <c r="CP607" i="5"/>
  <c r="CP606" i="5"/>
  <c r="CP605" i="5"/>
  <c r="CP604" i="5"/>
  <c r="CP603" i="5"/>
  <c r="CP602" i="5"/>
  <c r="CP601" i="5"/>
  <c r="CP600" i="5"/>
  <c r="CP599" i="5"/>
  <c r="CP598" i="5"/>
  <c r="CP597" i="5"/>
  <c r="CP596" i="5"/>
  <c r="CP595" i="5"/>
  <c r="CP594" i="5"/>
  <c r="CP593" i="5"/>
  <c r="CP592" i="5"/>
  <c r="CP591" i="5"/>
  <c r="CP590" i="5"/>
  <c r="CP589" i="5"/>
  <c r="CP588" i="5"/>
  <c r="CP587" i="5"/>
  <c r="CP586" i="5"/>
  <c r="CP585" i="5"/>
  <c r="CP584" i="5"/>
  <c r="CP583" i="5"/>
  <c r="CP582" i="5"/>
  <c r="CP581" i="5"/>
  <c r="CP580" i="5"/>
  <c r="CP579" i="5"/>
  <c r="CP578" i="5"/>
  <c r="CP577" i="5"/>
  <c r="CP576" i="5"/>
  <c r="CP575" i="5"/>
  <c r="CP574" i="5"/>
  <c r="CP573" i="5"/>
  <c r="CP572" i="5"/>
  <c r="CP571" i="5"/>
  <c r="CP570" i="5"/>
  <c r="CP569" i="5"/>
  <c r="CP568" i="5"/>
  <c r="CP567" i="5"/>
  <c r="CP566" i="5"/>
  <c r="CP565" i="5"/>
  <c r="CP564" i="5"/>
  <c r="CP563" i="5"/>
  <c r="CP562" i="5"/>
  <c r="CP561" i="5"/>
  <c r="CP560" i="5"/>
  <c r="CP559" i="5"/>
  <c r="CP558" i="5"/>
  <c r="CP557" i="5"/>
  <c r="CP556" i="5"/>
  <c r="CP555" i="5"/>
  <c r="CP554" i="5"/>
  <c r="CP553" i="5"/>
  <c r="CP552" i="5"/>
  <c r="CP551" i="5"/>
  <c r="CP550" i="5"/>
  <c r="CP549" i="5"/>
  <c r="CP548" i="5"/>
  <c r="CP547" i="5"/>
  <c r="CP546" i="5"/>
  <c r="CP545" i="5"/>
  <c r="CP544" i="5"/>
  <c r="CP543" i="5"/>
  <c r="CP542" i="5"/>
  <c r="CP541" i="5"/>
  <c r="CP540" i="5"/>
  <c r="CP539" i="5"/>
  <c r="CP538" i="5"/>
  <c r="CP537" i="5"/>
  <c r="CP536" i="5"/>
  <c r="CP535" i="5"/>
  <c r="CP534" i="5"/>
  <c r="CP533" i="5"/>
  <c r="CP532" i="5"/>
  <c r="CP531" i="5"/>
  <c r="CP530" i="5"/>
  <c r="CP529" i="5"/>
  <c r="CP528" i="5"/>
  <c r="CP527" i="5"/>
  <c r="CP526" i="5"/>
  <c r="CP525" i="5"/>
  <c r="CP524" i="5"/>
  <c r="CP523" i="5"/>
  <c r="CP522" i="5"/>
  <c r="CP521" i="5"/>
  <c r="CP520" i="5"/>
  <c r="CP519" i="5"/>
  <c r="CP518" i="5"/>
  <c r="CP517" i="5"/>
  <c r="CP516" i="5"/>
  <c r="CP515" i="5"/>
  <c r="CP514" i="5"/>
  <c r="CP513" i="5"/>
  <c r="CP512" i="5"/>
  <c r="CP511" i="5"/>
  <c r="CP510" i="5"/>
  <c r="CP509" i="5"/>
  <c r="CP508" i="5"/>
  <c r="CP507" i="5"/>
  <c r="CP506" i="5"/>
  <c r="CP505" i="5"/>
  <c r="CP504" i="5"/>
  <c r="CP503" i="5"/>
  <c r="CP502" i="5"/>
  <c r="CP501" i="5"/>
  <c r="CP500" i="5"/>
  <c r="CP499" i="5"/>
  <c r="CP498" i="5"/>
  <c r="CP497" i="5"/>
  <c r="CP496" i="5"/>
  <c r="CP495" i="5"/>
  <c r="CP494" i="5"/>
  <c r="CP493" i="5"/>
  <c r="CP492" i="5"/>
  <c r="CP491" i="5"/>
  <c r="CP490" i="5"/>
  <c r="CP489" i="5"/>
  <c r="CP488" i="5"/>
  <c r="CP487" i="5"/>
  <c r="CP486" i="5"/>
  <c r="CP485" i="5"/>
  <c r="CP484" i="5"/>
  <c r="CP483" i="5"/>
  <c r="CP482" i="5"/>
  <c r="CP481" i="5"/>
  <c r="CP480" i="5"/>
  <c r="CP479" i="5"/>
  <c r="CP478" i="5"/>
  <c r="CP477" i="5"/>
  <c r="CP476" i="5"/>
  <c r="CP475" i="5"/>
  <c r="CP474" i="5"/>
  <c r="CP473" i="5"/>
  <c r="CP472" i="5"/>
  <c r="CP471" i="5"/>
  <c r="CP470" i="5"/>
  <c r="CP469" i="5"/>
  <c r="CP468" i="5"/>
  <c r="CP467" i="5"/>
  <c r="CP466" i="5"/>
  <c r="CP465" i="5"/>
  <c r="CP464" i="5"/>
  <c r="CP463" i="5"/>
  <c r="CP462" i="5"/>
  <c r="CP461" i="5"/>
  <c r="CP460" i="5"/>
  <c r="CP459" i="5"/>
  <c r="CP458" i="5"/>
  <c r="CP457" i="5"/>
  <c r="CP456" i="5"/>
  <c r="CP455" i="5"/>
  <c r="CP454" i="5"/>
  <c r="CP453" i="5"/>
  <c r="CP452" i="5"/>
  <c r="CP451" i="5"/>
  <c r="CP450" i="5"/>
  <c r="CP449" i="5"/>
  <c r="CP448" i="5"/>
  <c r="CP447" i="5"/>
  <c r="CP446" i="5"/>
  <c r="CP445" i="5"/>
  <c r="CP444" i="5"/>
  <c r="CP443" i="5"/>
  <c r="CP442" i="5"/>
  <c r="CP441" i="5"/>
  <c r="CP440" i="5"/>
  <c r="CP439" i="5"/>
  <c r="CP438" i="5"/>
  <c r="CP437" i="5"/>
  <c r="CP436" i="5"/>
  <c r="CP435" i="5"/>
  <c r="CP434" i="5"/>
  <c r="CP433" i="5"/>
  <c r="CP432" i="5"/>
  <c r="CP431" i="5"/>
  <c r="CP430" i="5"/>
  <c r="CP429" i="5"/>
  <c r="CP428" i="5"/>
  <c r="CP427" i="5"/>
  <c r="CP426" i="5"/>
  <c r="CP425" i="5"/>
  <c r="CP424" i="5"/>
  <c r="CP423" i="5"/>
  <c r="CP422" i="5"/>
  <c r="CP421" i="5"/>
  <c r="CP420" i="5"/>
  <c r="CP419" i="5"/>
  <c r="CP418" i="5"/>
  <c r="CP417" i="5"/>
  <c r="CP416" i="5"/>
  <c r="CP415" i="5"/>
  <c r="CP414" i="5"/>
  <c r="CP413" i="5"/>
  <c r="CP412" i="5"/>
  <c r="CP411" i="5"/>
  <c r="CP410" i="5"/>
  <c r="CP409" i="5"/>
  <c r="CP408" i="5"/>
  <c r="CP407" i="5"/>
  <c r="CP406" i="5"/>
  <c r="CP405" i="5"/>
  <c r="CP404" i="5"/>
  <c r="CP403" i="5"/>
  <c r="CP402" i="5"/>
  <c r="CP401" i="5"/>
  <c r="CP400" i="5"/>
  <c r="CP399" i="5"/>
  <c r="CP398" i="5"/>
  <c r="CP397" i="5"/>
  <c r="CP396" i="5"/>
  <c r="CP395" i="5"/>
  <c r="CP394" i="5"/>
  <c r="CP393" i="5"/>
  <c r="CP392" i="5"/>
  <c r="CP2" i="5" a="1"/>
  <c r="CP2" i="5"/>
  <c r="CO2" i="5" a="1"/>
  <c r="CO2" i="5"/>
  <c r="CN2" i="5" a="1"/>
  <c r="CN2" i="5"/>
  <c r="CM2" i="5"/>
  <c r="CK2" i="5"/>
  <c r="CJ2" i="5"/>
  <c r="CI2" i="5"/>
  <c r="CG2" i="5"/>
  <c r="CF2" i="5"/>
  <c r="CE2" i="5"/>
  <c r="CD2" i="5"/>
  <c r="CC2" i="5"/>
  <c r="CB2" i="5"/>
  <c r="CA2" i="5"/>
  <c r="BZ2" i="5"/>
  <c r="BY2" i="5"/>
  <c r="BX2" i="5"/>
  <c r="BW2" i="5"/>
  <c r="BV2" i="5"/>
  <c r="BU2" i="5"/>
  <c r="BS2" i="5"/>
  <c r="BR2" i="5"/>
  <c r="BQ2" i="5"/>
  <c r="BP2" i="5"/>
  <c r="BO2" i="5"/>
  <c r="BN2" i="5"/>
  <c r="BM2" i="5"/>
  <c r="BL2" i="5"/>
  <c r="BG2" i="5"/>
  <c r="BF2" i="5"/>
  <c r="BC2" i="5"/>
  <c r="AY2" i="5"/>
  <c r="AX2" i="5"/>
  <c r="AW2" i="5"/>
  <c r="AV2" i="5"/>
  <c r="AU2" i="5"/>
  <c r="AT2" i="5"/>
  <c r="AS2" i="5"/>
  <c r="AR2" i="5"/>
  <c r="AQ2" i="5"/>
  <c r="AP2" i="5"/>
  <c r="AO2" i="5"/>
  <c r="AN2" i="5"/>
  <c r="AM2" i="5"/>
  <c r="AL2" i="5"/>
  <c r="AH2" i="5"/>
  <c r="AF2" i="5"/>
  <c r="AD2" i="5"/>
  <c r="AB2" i="5"/>
  <c r="Z2" i="5"/>
  <c r="X2" i="5"/>
  <c r="W2" i="5"/>
  <c r="V2" i="5"/>
  <c r="U2" i="5"/>
  <c r="T2" i="5"/>
  <c r="S2" i="5"/>
  <c r="R2" i="5"/>
  <c r="Q2" i="5"/>
  <c r="P2" i="5"/>
  <c r="O2" i="5"/>
  <c r="N2" i="5"/>
  <c r="M2" i="5"/>
  <c r="L2" i="5"/>
  <c r="K2" i="5"/>
  <c r="J2" i="5"/>
  <c r="I2" i="5"/>
  <c r="H2" i="5"/>
  <c r="G2" i="5"/>
  <c r="F2" i="5"/>
  <c r="E2" i="5"/>
  <c r="D2" i="5"/>
  <c r="C2" i="5"/>
  <c r="B2" i="5"/>
  <c r="A2" i="5"/>
  <c r="CL1" i="5"/>
  <c r="CK1" i="5"/>
  <c r="CJ1" i="5"/>
  <c r="CI1" i="5"/>
  <c r="CG1" i="5"/>
  <c r="CF1" i="5"/>
  <c r="CE1" i="5"/>
  <c r="CD1" i="5"/>
  <c r="CC1" i="5"/>
  <c r="CB1" i="5"/>
  <c r="CA1" i="5"/>
  <c r="BZ1" i="5"/>
  <c r="BY1" i="5"/>
  <c r="BX1" i="5"/>
  <c r="BW1" i="5"/>
  <c r="BV1" i="5"/>
  <c r="BU1" i="5"/>
  <c r="BT1" i="5"/>
  <c r="BS1" i="5"/>
  <c r="BR1" i="5"/>
  <c r="BQ1" i="5"/>
  <c r="BP1" i="5"/>
  <c r="BO1" i="5"/>
  <c r="BN1" i="5"/>
  <c r="BM1" i="5"/>
  <c r="BL1" i="5"/>
  <c r="BK1" i="5"/>
  <c r="BJ1" i="5"/>
  <c r="BI1" i="5"/>
  <c r="BH1" i="5"/>
  <c r="BG1" i="5"/>
  <c r="BF1" i="5"/>
  <c r="BE1" i="5"/>
  <c r="BD1" i="5"/>
  <c r="BC1" i="5"/>
  <c r="BB1" i="5"/>
  <c r="BA1" i="5"/>
  <c r="AZ1" i="5"/>
  <c r="AY1" i="5"/>
  <c r="AX1" i="5"/>
  <c r="AW1" i="5"/>
  <c r="AV1" i="5"/>
  <c r="AU1" i="5"/>
  <c r="AT1" i="5"/>
  <c r="AS1" i="5"/>
  <c r="AR1" i="5"/>
  <c r="AQ1" i="5"/>
  <c r="AP1" i="5"/>
  <c r="AO1" i="5"/>
  <c r="AN1" i="5"/>
  <c r="AM1" i="5"/>
  <c r="AL1" i="5"/>
  <c r="AK1" i="5"/>
  <c r="AJ1" i="5"/>
  <c r="AI1" i="5"/>
  <c r="AH1" i="5"/>
  <c r="AG1" i="5"/>
  <c r="AF1"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O593" i="2"/>
  <c r="N593" i="2"/>
  <c r="M593" i="2"/>
  <c r="O592" i="2"/>
  <c r="N592" i="2"/>
  <c r="M592" i="2"/>
  <c r="O591" i="2"/>
  <c r="N591" i="2"/>
  <c r="M591" i="2"/>
  <c r="O590" i="2"/>
  <c r="N590" i="2"/>
  <c r="M590" i="2"/>
  <c r="O589" i="2"/>
  <c r="N589" i="2"/>
  <c r="M589" i="2"/>
  <c r="O588" i="2"/>
  <c r="N588" i="2"/>
  <c r="M588" i="2"/>
  <c r="O587" i="2"/>
  <c r="N587" i="2"/>
  <c r="M587" i="2"/>
  <c r="O586" i="2"/>
  <c r="N586" i="2"/>
  <c r="M586" i="2"/>
  <c r="O585" i="2"/>
  <c r="N585" i="2"/>
  <c r="M585" i="2"/>
  <c r="O584" i="2"/>
  <c r="N584" i="2"/>
  <c r="M584" i="2"/>
  <c r="O583" i="2"/>
  <c r="N583" i="2"/>
  <c r="M583" i="2"/>
  <c r="O582" i="2"/>
  <c r="N582" i="2"/>
  <c r="M582" i="2"/>
  <c r="O581" i="2"/>
  <c r="N581" i="2"/>
  <c r="M581" i="2"/>
  <c r="O580" i="2"/>
  <c r="N580" i="2"/>
  <c r="M580" i="2"/>
  <c r="O579" i="2"/>
  <c r="N579" i="2"/>
  <c r="M579" i="2"/>
  <c r="O578" i="2"/>
  <c r="N578" i="2"/>
  <c r="M578" i="2"/>
  <c r="O577" i="2"/>
  <c r="N577" i="2"/>
  <c r="M577" i="2"/>
  <c r="O576" i="2"/>
  <c r="N576" i="2"/>
  <c r="M576" i="2"/>
  <c r="O575" i="2"/>
  <c r="N575" i="2"/>
  <c r="M575" i="2"/>
  <c r="O574" i="2"/>
  <c r="N574" i="2"/>
  <c r="M574" i="2"/>
  <c r="O573" i="2"/>
  <c r="N573" i="2"/>
  <c r="M573" i="2"/>
  <c r="O572" i="2"/>
  <c r="N572" i="2"/>
  <c r="M572" i="2"/>
  <c r="O571" i="2"/>
  <c r="N571" i="2"/>
  <c r="M571" i="2"/>
  <c r="O570" i="2"/>
  <c r="N570" i="2"/>
  <c r="M570" i="2"/>
  <c r="O569" i="2"/>
  <c r="N569" i="2"/>
  <c r="M569" i="2"/>
  <c r="O568" i="2"/>
  <c r="N568" i="2"/>
  <c r="M568" i="2"/>
  <c r="O567" i="2"/>
  <c r="N567" i="2"/>
  <c r="M567" i="2"/>
  <c r="O566" i="2"/>
  <c r="N566" i="2"/>
  <c r="M566" i="2"/>
  <c r="O565" i="2"/>
  <c r="N565" i="2"/>
  <c r="M565" i="2"/>
  <c r="O564" i="2"/>
  <c r="N564" i="2"/>
  <c r="M564" i="2"/>
  <c r="O563" i="2"/>
  <c r="N563" i="2"/>
  <c r="M563" i="2"/>
  <c r="O562" i="2"/>
  <c r="N562" i="2"/>
  <c r="M562" i="2"/>
  <c r="O561" i="2"/>
  <c r="N561" i="2"/>
  <c r="M561" i="2"/>
  <c r="O560" i="2"/>
  <c r="N560" i="2"/>
  <c r="M560" i="2"/>
  <c r="O559" i="2"/>
  <c r="N559" i="2"/>
  <c r="M559" i="2"/>
  <c r="O558" i="2"/>
  <c r="N558" i="2"/>
  <c r="M558" i="2"/>
  <c r="O557" i="2"/>
  <c r="N557" i="2"/>
  <c r="M557" i="2"/>
  <c r="O556" i="2"/>
  <c r="N556" i="2"/>
  <c r="M556" i="2"/>
  <c r="O555" i="2"/>
  <c r="N555" i="2"/>
  <c r="M555" i="2"/>
  <c r="O554" i="2"/>
  <c r="N554" i="2"/>
  <c r="M554" i="2"/>
  <c r="O553" i="2"/>
  <c r="N553" i="2"/>
  <c r="M553" i="2"/>
  <c r="O552" i="2"/>
  <c r="N552" i="2"/>
  <c r="M552" i="2"/>
  <c r="O551" i="2"/>
  <c r="N551" i="2"/>
  <c r="M551" i="2"/>
  <c r="O550" i="2"/>
  <c r="N550" i="2"/>
  <c r="M550" i="2"/>
  <c r="O549" i="2"/>
  <c r="N549" i="2"/>
  <c r="M549" i="2"/>
  <c r="O548" i="2"/>
  <c r="N548" i="2"/>
  <c r="M548" i="2"/>
  <c r="O547" i="2"/>
  <c r="N547" i="2"/>
  <c r="M547" i="2"/>
  <c r="O546" i="2"/>
  <c r="N546" i="2"/>
  <c r="M546" i="2"/>
  <c r="O545" i="2"/>
  <c r="N545" i="2"/>
  <c r="M545" i="2"/>
  <c r="O544" i="2"/>
  <c r="N544" i="2"/>
  <c r="M544" i="2"/>
  <c r="O543" i="2"/>
  <c r="N543" i="2"/>
  <c r="M543" i="2"/>
  <c r="O542" i="2"/>
  <c r="N542" i="2"/>
  <c r="M542" i="2"/>
  <c r="O541" i="2"/>
  <c r="N541" i="2"/>
  <c r="M541" i="2"/>
  <c r="O540" i="2"/>
  <c r="N540" i="2"/>
  <c r="M540" i="2"/>
  <c r="O539" i="2"/>
  <c r="N539" i="2"/>
  <c r="M539" i="2"/>
  <c r="O538" i="2"/>
  <c r="N538" i="2"/>
  <c r="M538" i="2"/>
  <c r="O537" i="2"/>
  <c r="N537" i="2"/>
  <c r="M537" i="2"/>
  <c r="O536" i="2"/>
  <c r="N536" i="2"/>
  <c r="M536" i="2"/>
  <c r="O535" i="2"/>
  <c r="N535" i="2"/>
  <c r="M535" i="2"/>
  <c r="O534" i="2"/>
  <c r="N534" i="2"/>
  <c r="M534" i="2"/>
  <c r="O533" i="2"/>
  <c r="N533" i="2"/>
  <c r="M533" i="2"/>
  <c r="O532" i="2"/>
  <c r="N532" i="2"/>
  <c r="M532" i="2"/>
  <c r="O531" i="2"/>
  <c r="N531" i="2"/>
  <c r="M531" i="2"/>
  <c r="O530" i="2"/>
  <c r="N530" i="2"/>
  <c r="M530" i="2"/>
  <c r="O529" i="2"/>
  <c r="N529" i="2"/>
  <c r="M529" i="2"/>
  <c r="O528" i="2"/>
  <c r="N528" i="2"/>
  <c r="M528" i="2"/>
  <c r="O527" i="2"/>
  <c r="N527" i="2"/>
  <c r="M527" i="2"/>
  <c r="O526" i="2"/>
  <c r="N526" i="2"/>
  <c r="M526" i="2"/>
  <c r="O525" i="2"/>
  <c r="N525" i="2"/>
  <c r="M525" i="2"/>
  <c r="O524" i="2"/>
  <c r="N524" i="2"/>
  <c r="M524" i="2"/>
  <c r="O523" i="2"/>
  <c r="N523" i="2"/>
  <c r="M523" i="2"/>
  <c r="O522" i="2"/>
  <c r="N522" i="2"/>
  <c r="M522" i="2"/>
  <c r="O521" i="2"/>
  <c r="N521" i="2"/>
  <c r="M521" i="2"/>
  <c r="O520" i="2"/>
  <c r="N520" i="2"/>
  <c r="M520" i="2"/>
  <c r="O519" i="2"/>
  <c r="N519" i="2"/>
  <c r="M519" i="2"/>
  <c r="O518" i="2"/>
  <c r="N518" i="2"/>
  <c r="M518" i="2"/>
  <c r="O517" i="2"/>
  <c r="N517" i="2"/>
  <c r="M517" i="2"/>
  <c r="O516" i="2"/>
  <c r="N516" i="2"/>
  <c r="M516" i="2"/>
  <c r="O515" i="2"/>
  <c r="N515" i="2"/>
  <c r="M515" i="2"/>
  <c r="O514" i="2"/>
  <c r="N514" i="2"/>
  <c r="M514" i="2"/>
  <c r="O513" i="2"/>
  <c r="N513" i="2"/>
  <c r="M513" i="2"/>
  <c r="O512" i="2"/>
  <c r="N512" i="2"/>
  <c r="M512" i="2"/>
  <c r="O511" i="2"/>
  <c r="N511" i="2"/>
  <c r="M511" i="2"/>
  <c r="O510" i="2"/>
  <c r="N510" i="2"/>
  <c r="M510" i="2"/>
  <c r="O509" i="2"/>
  <c r="N509" i="2"/>
  <c r="M509" i="2"/>
  <c r="O508" i="2"/>
  <c r="N508" i="2"/>
  <c r="M508" i="2"/>
  <c r="O507" i="2"/>
  <c r="N507" i="2"/>
  <c r="M507" i="2"/>
  <c r="O506" i="2"/>
  <c r="N506" i="2"/>
  <c r="M506" i="2"/>
  <c r="O505" i="2"/>
  <c r="N505" i="2"/>
  <c r="M505" i="2"/>
  <c r="O504" i="2"/>
  <c r="N504" i="2"/>
  <c r="M504" i="2"/>
  <c r="O503" i="2"/>
  <c r="N503" i="2"/>
  <c r="M503" i="2"/>
  <c r="O502" i="2"/>
  <c r="N502" i="2"/>
  <c r="M502" i="2"/>
  <c r="O501" i="2"/>
  <c r="N501" i="2"/>
  <c r="M501" i="2"/>
  <c r="O500" i="2"/>
  <c r="N500" i="2"/>
  <c r="M500" i="2"/>
  <c r="O499" i="2"/>
  <c r="N499" i="2"/>
  <c r="M499" i="2"/>
  <c r="O498" i="2"/>
  <c r="N498" i="2"/>
  <c r="M498" i="2"/>
  <c r="O497" i="2"/>
  <c r="N497" i="2"/>
  <c r="M497" i="2"/>
  <c r="O496" i="2"/>
  <c r="N496" i="2"/>
  <c r="M496" i="2"/>
  <c r="O495" i="2"/>
  <c r="N495" i="2"/>
  <c r="M495" i="2"/>
  <c r="O494" i="2"/>
  <c r="N494" i="2"/>
  <c r="M494" i="2"/>
  <c r="O493" i="2"/>
  <c r="N493" i="2"/>
  <c r="M493" i="2"/>
  <c r="O492" i="2"/>
  <c r="N492" i="2"/>
  <c r="M492" i="2"/>
  <c r="O491" i="2"/>
  <c r="N491" i="2"/>
  <c r="M491" i="2"/>
  <c r="O490" i="2"/>
  <c r="N490" i="2"/>
  <c r="M490" i="2"/>
  <c r="O489" i="2"/>
  <c r="N489" i="2"/>
  <c r="M489" i="2"/>
  <c r="O488" i="2"/>
  <c r="N488" i="2"/>
  <c r="M488" i="2"/>
  <c r="O487" i="2"/>
  <c r="N487" i="2"/>
  <c r="M487" i="2"/>
  <c r="O486" i="2"/>
  <c r="N486" i="2"/>
  <c r="M486" i="2"/>
  <c r="O485" i="2"/>
  <c r="N485" i="2"/>
  <c r="M485" i="2"/>
  <c r="O484" i="2"/>
  <c r="N484" i="2"/>
  <c r="M484" i="2"/>
  <c r="O483" i="2"/>
  <c r="N483" i="2"/>
  <c r="M483" i="2"/>
  <c r="O482" i="2"/>
  <c r="N482" i="2"/>
  <c r="M482" i="2"/>
  <c r="O481" i="2"/>
  <c r="N481" i="2"/>
  <c r="M481" i="2"/>
  <c r="O480" i="2"/>
  <c r="N480" i="2"/>
  <c r="M480" i="2"/>
  <c r="O479" i="2"/>
  <c r="N479" i="2"/>
  <c r="M479" i="2"/>
  <c r="O478" i="2"/>
  <c r="N478" i="2"/>
  <c r="M478" i="2"/>
  <c r="O477" i="2"/>
  <c r="N477" i="2"/>
  <c r="M477" i="2"/>
  <c r="O476" i="2"/>
  <c r="N476" i="2"/>
  <c r="M476" i="2"/>
  <c r="O475" i="2"/>
  <c r="N475" i="2"/>
  <c r="M475" i="2"/>
  <c r="O474" i="2"/>
  <c r="N474" i="2"/>
  <c r="M474" i="2"/>
  <c r="O473" i="2"/>
  <c r="N473" i="2"/>
  <c r="M473" i="2"/>
  <c r="O472" i="2"/>
  <c r="N472" i="2"/>
  <c r="M472" i="2"/>
  <c r="O471" i="2"/>
  <c r="N471" i="2"/>
  <c r="M471" i="2"/>
  <c r="O470" i="2"/>
  <c r="N470" i="2"/>
  <c r="M470" i="2"/>
  <c r="O469" i="2"/>
  <c r="N469" i="2"/>
  <c r="M469" i="2"/>
  <c r="O468" i="2"/>
  <c r="N468" i="2"/>
  <c r="M468" i="2"/>
  <c r="O467" i="2"/>
  <c r="N467" i="2"/>
  <c r="M467" i="2"/>
  <c r="O466" i="2"/>
  <c r="N466" i="2"/>
  <c r="M466" i="2"/>
  <c r="O465" i="2"/>
  <c r="N465" i="2"/>
  <c r="M465" i="2"/>
  <c r="O464" i="2"/>
  <c r="N464" i="2"/>
  <c r="M464" i="2"/>
  <c r="O463" i="2"/>
  <c r="N463" i="2"/>
  <c r="M463" i="2"/>
  <c r="O462" i="2"/>
  <c r="N462" i="2"/>
  <c r="M462" i="2"/>
  <c r="O461" i="2"/>
  <c r="N461" i="2"/>
  <c r="M461" i="2"/>
  <c r="O460" i="2"/>
  <c r="N460" i="2"/>
  <c r="M460" i="2"/>
  <c r="O459" i="2"/>
  <c r="N459" i="2"/>
  <c r="M459" i="2"/>
  <c r="O458" i="2"/>
  <c r="N458" i="2"/>
  <c r="M458" i="2"/>
  <c r="O457" i="2"/>
  <c r="N457" i="2"/>
  <c r="M457" i="2"/>
  <c r="O456" i="2"/>
  <c r="N456" i="2"/>
  <c r="M456" i="2"/>
  <c r="O455" i="2"/>
  <c r="N455" i="2"/>
  <c r="M455" i="2"/>
  <c r="O454" i="2"/>
  <c r="N454" i="2"/>
  <c r="M454" i="2"/>
  <c r="O453" i="2"/>
  <c r="N453" i="2"/>
  <c r="M453" i="2"/>
  <c r="O452" i="2"/>
  <c r="N452" i="2"/>
  <c r="M452" i="2"/>
  <c r="O451" i="2"/>
  <c r="N451" i="2"/>
  <c r="M451" i="2"/>
  <c r="O450" i="2"/>
  <c r="N450" i="2"/>
  <c r="M450" i="2"/>
  <c r="O449" i="2"/>
  <c r="N449" i="2"/>
  <c r="M449" i="2"/>
  <c r="O448" i="2"/>
  <c r="N448" i="2"/>
  <c r="M448" i="2"/>
  <c r="O447" i="2"/>
  <c r="N447" i="2"/>
  <c r="M447" i="2"/>
  <c r="O446" i="2"/>
  <c r="N446" i="2"/>
  <c r="M446" i="2"/>
  <c r="O445" i="2"/>
  <c r="N445" i="2"/>
  <c r="M445" i="2"/>
  <c r="O444" i="2"/>
  <c r="N444" i="2"/>
  <c r="M444" i="2"/>
  <c r="O443" i="2"/>
  <c r="N443" i="2"/>
  <c r="M443" i="2"/>
  <c r="O442" i="2"/>
  <c r="N442" i="2"/>
  <c r="M442" i="2"/>
  <c r="O441" i="2"/>
  <c r="N441" i="2"/>
  <c r="M441" i="2"/>
  <c r="O440" i="2"/>
  <c r="N440" i="2"/>
  <c r="M440" i="2"/>
  <c r="O438" i="2"/>
  <c r="N438" i="2"/>
  <c r="M438" i="2"/>
  <c r="O437" i="2"/>
  <c r="N437" i="2"/>
  <c r="M437" i="2"/>
  <c r="O436" i="2"/>
  <c r="N436" i="2"/>
  <c r="M436" i="2"/>
  <c r="O435" i="2"/>
  <c r="N435" i="2"/>
  <c r="M435" i="2"/>
  <c r="O434" i="2"/>
  <c r="N434" i="2"/>
  <c r="M434" i="2"/>
  <c r="O433" i="2"/>
  <c r="N433" i="2"/>
  <c r="M433" i="2"/>
  <c r="O432" i="2"/>
  <c r="N432" i="2"/>
  <c r="M432" i="2"/>
  <c r="O431" i="2"/>
  <c r="N431" i="2"/>
  <c r="M431" i="2"/>
  <c r="O430" i="2"/>
  <c r="N430" i="2"/>
  <c r="M430" i="2"/>
  <c r="O429" i="2"/>
  <c r="N429" i="2"/>
  <c r="M429" i="2"/>
  <c r="O428" i="2"/>
  <c r="N428" i="2"/>
  <c r="M428" i="2"/>
  <c r="O427" i="2"/>
  <c r="N427" i="2"/>
  <c r="M427" i="2"/>
  <c r="O426" i="2"/>
  <c r="N426" i="2"/>
  <c r="M426" i="2"/>
  <c r="O425" i="2"/>
  <c r="N425" i="2"/>
  <c r="M425" i="2"/>
  <c r="O424" i="2"/>
  <c r="N424" i="2"/>
  <c r="M424" i="2"/>
  <c r="O423" i="2"/>
  <c r="N423" i="2"/>
  <c r="M423" i="2"/>
  <c r="O422" i="2"/>
  <c r="N422" i="2"/>
  <c r="M422" i="2"/>
  <c r="O421" i="2"/>
  <c r="N421" i="2"/>
  <c r="M421" i="2"/>
  <c r="O420" i="2"/>
  <c r="N420" i="2"/>
  <c r="M420" i="2"/>
  <c r="O419" i="2"/>
  <c r="N419" i="2"/>
  <c r="M419" i="2"/>
  <c r="O418" i="2"/>
  <c r="N418" i="2"/>
  <c r="M418" i="2"/>
  <c r="O417" i="2"/>
  <c r="N417" i="2"/>
  <c r="M417" i="2"/>
  <c r="O416" i="2"/>
  <c r="N416" i="2"/>
  <c r="M416" i="2"/>
  <c r="O415" i="2"/>
  <c r="N415" i="2"/>
  <c r="M415" i="2"/>
  <c r="O414" i="2"/>
  <c r="N414" i="2"/>
  <c r="M414" i="2"/>
  <c r="O413" i="2"/>
  <c r="N413" i="2"/>
  <c r="M413" i="2"/>
  <c r="O412" i="2"/>
  <c r="N412" i="2"/>
  <c r="M412" i="2"/>
  <c r="O411" i="2"/>
  <c r="N411" i="2"/>
  <c r="M411" i="2"/>
  <c r="O410" i="2"/>
  <c r="N410" i="2"/>
  <c r="M410" i="2"/>
  <c r="O409" i="2"/>
  <c r="N409" i="2"/>
  <c r="M409" i="2"/>
  <c r="O408" i="2"/>
  <c r="N408" i="2"/>
  <c r="M408" i="2"/>
  <c r="O407" i="2"/>
  <c r="N407" i="2"/>
  <c r="M407" i="2"/>
  <c r="O406" i="2"/>
  <c r="N406" i="2"/>
  <c r="M406" i="2"/>
  <c r="O405" i="2"/>
  <c r="N405" i="2"/>
  <c r="M405" i="2"/>
  <c r="O404" i="2"/>
  <c r="N404" i="2"/>
  <c r="M404" i="2"/>
  <c r="O403" i="2"/>
  <c r="N403" i="2"/>
  <c r="M403" i="2"/>
  <c r="O402" i="2"/>
  <c r="N402" i="2"/>
  <c r="M402" i="2"/>
  <c r="O401" i="2"/>
  <c r="N401" i="2"/>
  <c r="M401" i="2"/>
  <c r="O400" i="2"/>
  <c r="N400" i="2"/>
  <c r="M400" i="2"/>
  <c r="O399" i="2"/>
  <c r="N399" i="2"/>
  <c r="M399" i="2"/>
  <c r="O398" i="2"/>
  <c r="N398" i="2"/>
  <c r="M398" i="2"/>
  <c r="O397" i="2"/>
  <c r="N397" i="2"/>
  <c r="M397" i="2"/>
  <c r="O396" i="2"/>
  <c r="N396" i="2"/>
  <c r="M396" i="2"/>
  <c r="O395" i="2"/>
  <c r="N395" i="2"/>
  <c r="M395" i="2"/>
  <c r="O394" i="2"/>
  <c r="N394" i="2"/>
  <c r="M394" i="2"/>
  <c r="O393" i="2"/>
  <c r="N393" i="2"/>
  <c r="M393" i="2"/>
  <c r="O392" i="2"/>
  <c r="N392" i="2"/>
  <c r="M392" i="2"/>
  <c r="O391" i="2"/>
  <c r="N391" i="2"/>
  <c r="M391" i="2"/>
  <c r="O390" i="2"/>
  <c r="N390" i="2"/>
  <c r="M390" i="2"/>
  <c r="O389" i="2"/>
  <c r="N389" i="2"/>
  <c r="M389" i="2"/>
  <c r="O388" i="2"/>
  <c r="N388" i="2"/>
  <c r="M388" i="2"/>
  <c r="O387" i="2"/>
  <c r="N387" i="2"/>
  <c r="M387" i="2"/>
  <c r="O386" i="2"/>
  <c r="N386" i="2"/>
  <c r="M386" i="2"/>
  <c r="O385" i="2"/>
  <c r="N385" i="2"/>
  <c r="M385" i="2"/>
  <c r="O384" i="2"/>
  <c r="N384" i="2"/>
  <c r="M384" i="2"/>
  <c r="O383" i="2"/>
  <c r="N383" i="2"/>
  <c r="M383" i="2"/>
  <c r="O382" i="2"/>
  <c r="N382" i="2"/>
  <c r="M382" i="2"/>
  <c r="O381" i="2"/>
  <c r="N381" i="2"/>
  <c r="M381" i="2"/>
  <c r="O380" i="2"/>
  <c r="N380" i="2"/>
  <c r="M380" i="2"/>
  <c r="O379" i="2"/>
  <c r="N379" i="2"/>
  <c r="M379" i="2"/>
  <c r="O378" i="2"/>
  <c r="N378" i="2"/>
  <c r="M378" i="2"/>
  <c r="O377" i="2"/>
  <c r="N377" i="2"/>
  <c r="M377" i="2"/>
  <c r="O376" i="2"/>
  <c r="N376" i="2"/>
  <c r="M376" i="2"/>
  <c r="O375" i="2"/>
  <c r="N375" i="2"/>
  <c r="M375" i="2"/>
  <c r="O374" i="2"/>
  <c r="N374" i="2"/>
  <c r="M374" i="2"/>
  <c r="O372" i="2"/>
  <c r="N372" i="2"/>
  <c r="M372" i="2"/>
  <c r="O371" i="2"/>
  <c r="N371" i="2"/>
  <c r="M371" i="2"/>
  <c r="O370" i="2"/>
  <c r="N370" i="2"/>
  <c r="M370" i="2"/>
  <c r="O369" i="2"/>
  <c r="N369" i="2"/>
  <c r="M369" i="2"/>
  <c r="O368" i="2"/>
  <c r="N368" i="2"/>
  <c r="M368" i="2"/>
  <c r="O367" i="2"/>
  <c r="N367" i="2"/>
  <c r="M367" i="2"/>
  <c r="O366" i="2"/>
  <c r="N366" i="2"/>
  <c r="M366" i="2"/>
  <c r="O365" i="2"/>
  <c r="N365" i="2"/>
  <c r="M365" i="2"/>
  <c r="O364" i="2"/>
  <c r="N364" i="2"/>
  <c r="M364" i="2"/>
  <c r="O363" i="2"/>
  <c r="N363" i="2"/>
  <c r="M363" i="2"/>
  <c r="O362" i="2"/>
  <c r="N362" i="2"/>
  <c r="M362" i="2"/>
  <c r="O361" i="2"/>
  <c r="N361" i="2"/>
  <c r="M361" i="2"/>
  <c r="O360" i="2"/>
  <c r="N360" i="2"/>
  <c r="M360" i="2"/>
  <c r="O359" i="2"/>
  <c r="N359" i="2"/>
  <c r="M359" i="2"/>
  <c r="O358" i="2"/>
  <c r="N358" i="2"/>
  <c r="M358" i="2"/>
  <c r="O357" i="2"/>
  <c r="N357" i="2"/>
  <c r="M357" i="2"/>
  <c r="O356" i="2"/>
  <c r="N356" i="2"/>
  <c r="M356" i="2"/>
  <c r="O355" i="2"/>
  <c r="N355" i="2"/>
  <c r="M355" i="2"/>
  <c r="O354" i="2"/>
  <c r="N354" i="2"/>
  <c r="M354" i="2"/>
  <c r="O353" i="2"/>
  <c r="N353" i="2"/>
  <c r="M353" i="2"/>
  <c r="O352" i="2"/>
  <c r="N352" i="2"/>
  <c r="M352" i="2"/>
  <c r="O351" i="2"/>
  <c r="N351" i="2"/>
  <c r="M351" i="2"/>
  <c r="O350" i="2"/>
  <c r="N350" i="2"/>
  <c r="M350" i="2"/>
  <c r="O349" i="2"/>
  <c r="N349" i="2"/>
  <c r="M349" i="2"/>
  <c r="O348" i="2"/>
  <c r="N348" i="2"/>
  <c r="M348" i="2"/>
  <c r="O347" i="2"/>
  <c r="N347" i="2"/>
  <c r="M347" i="2"/>
  <c r="O346" i="2"/>
  <c r="N346" i="2"/>
  <c r="M346" i="2"/>
  <c r="O345" i="2"/>
  <c r="N345" i="2"/>
  <c r="M345" i="2"/>
  <c r="O344" i="2"/>
  <c r="N344" i="2"/>
  <c r="M344" i="2"/>
  <c r="O343" i="2"/>
  <c r="N343" i="2"/>
  <c r="M343" i="2"/>
  <c r="O342" i="2"/>
  <c r="N342" i="2"/>
  <c r="M342" i="2"/>
  <c r="O341" i="2"/>
  <c r="N341" i="2"/>
  <c r="M341" i="2"/>
  <c r="O340" i="2"/>
  <c r="N340" i="2"/>
  <c r="M340" i="2"/>
  <c r="O339" i="2"/>
  <c r="N339" i="2"/>
  <c r="M339" i="2"/>
  <c r="O338" i="2"/>
  <c r="N338" i="2"/>
  <c r="M338" i="2"/>
  <c r="O337" i="2"/>
  <c r="N337" i="2"/>
  <c r="M337" i="2"/>
  <c r="O336" i="2"/>
  <c r="N336" i="2"/>
  <c r="M336" i="2"/>
  <c r="O335" i="2"/>
  <c r="N335" i="2"/>
  <c r="M335" i="2"/>
  <c r="O334" i="2"/>
  <c r="N334" i="2"/>
  <c r="M334" i="2"/>
  <c r="O333" i="2"/>
  <c r="N333" i="2"/>
  <c r="M333" i="2"/>
  <c r="O332" i="2"/>
  <c r="N332" i="2"/>
  <c r="M332" i="2"/>
  <c r="O331" i="2"/>
  <c r="N331" i="2"/>
  <c r="M331" i="2"/>
  <c r="O330" i="2"/>
  <c r="N330" i="2"/>
  <c r="M330" i="2"/>
  <c r="O329" i="2"/>
  <c r="N329" i="2"/>
  <c r="M329" i="2"/>
  <c r="O328" i="2"/>
  <c r="N328" i="2"/>
  <c r="M328" i="2"/>
  <c r="O327" i="2"/>
  <c r="N327" i="2"/>
  <c r="M327" i="2"/>
  <c r="O326" i="2"/>
  <c r="N326" i="2"/>
  <c r="M326" i="2"/>
  <c r="O325" i="2"/>
  <c r="N325" i="2"/>
  <c r="M325" i="2"/>
  <c r="O324" i="2"/>
  <c r="N324" i="2"/>
  <c r="M324" i="2"/>
  <c r="O323" i="2"/>
  <c r="N323" i="2"/>
  <c r="M323" i="2"/>
  <c r="O322" i="2"/>
  <c r="N322" i="2"/>
  <c r="M322" i="2"/>
  <c r="O321" i="2"/>
  <c r="N321" i="2"/>
  <c r="M321" i="2"/>
  <c r="O320" i="2"/>
  <c r="N320" i="2"/>
  <c r="M320" i="2"/>
  <c r="O319" i="2"/>
  <c r="N319" i="2"/>
  <c r="M319" i="2"/>
  <c r="O318" i="2"/>
  <c r="N318" i="2"/>
  <c r="M318" i="2"/>
  <c r="O317" i="2"/>
  <c r="N317" i="2"/>
  <c r="M317" i="2"/>
  <c r="O316" i="2"/>
  <c r="N316" i="2"/>
  <c r="M316" i="2"/>
  <c r="O315" i="2"/>
  <c r="N315" i="2"/>
  <c r="M315" i="2"/>
  <c r="O314" i="2"/>
  <c r="N314" i="2"/>
  <c r="M314" i="2"/>
  <c r="O313" i="2"/>
  <c r="N313" i="2"/>
  <c r="M313" i="2"/>
  <c r="O312" i="2"/>
  <c r="N312" i="2"/>
  <c r="M312" i="2"/>
  <c r="O311" i="2"/>
  <c r="N311" i="2"/>
  <c r="M311" i="2"/>
  <c r="O310" i="2"/>
  <c r="N310" i="2"/>
  <c r="M310" i="2"/>
  <c r="O309" i="2"/>
  <c r="N309" i="2"/>
  <c r="M309" i="2"/>
  <c r="O308" i="2"/>
  <c r="N308" i="2"/>
  <c r="M308" i="2"/>
  <c r="O307" i="2"/>
  <c r="N307" i="2"/>
  <c r="M307" i="2"/>
  <c r="O306" i="2"/>
  <c r="N306" i="2"/>
  <c r="M306" i="2"/>
  <c r="O305" i="2"/>
  <c r="N305" i="2"/>
  <c r="M305" i="2"/>
  <c r="O304" i="2"/>
  <c r="N304" i="2"/>
  <c r="M304" i="2"/>
  <c r="O303" i="2"/>
  <c r="N303" i="2"/>
  <c r="M303" i="2"/>
  <c r="O302" i="2"/>
  <c r="N302" i="2"/>
  <c r="M302" i="2"/>
  <c r="O301" i="2"/>
  <c r="N301" i="2"/>
  <c r="M301" i="2"/>
  <c r="O300" i="2"/>
  <c r="N300" i="2"/>
  <c r="M300" i="2"/>
  <c r="O299" i="2"/>
  <c r="N299" i="2"/>
  <c r="M299" i="2"/>
  <c r="O298" i="2"/>
  <c r="N298" i="2"/>
  <c r="M298" i="2"/>
  <c r="O297" i="2"/>
  <c r="N297" i="2"/>
  <c r="M297" i="2"/>
  <c r="O296" i="2"/>
  <c r="N296" i="2"/>
  <c r="M296" i="2"/>
  <c r="O295" i="2"/>
  <c r="N295" i="2"/>
  <c r="M295" i="2"/>
  <c r="O294" i="2"/>
  <c r="N294" i="2"/>
  <c r="M294" i="2"/>
  <c r="O293" i="2"/>
  <c r="N293" i="2"/>
  <c r="M293" i="2"/>
  <c r="O292" i="2"/>
  <c r="N292" i="2"/>
  <c r="M292" i="2"/>
  <c r="O291" i="2"/>
  <c r="N291" i="2"/>
  <c r="M291" i="2"/>
  <c r="O290" i="2"/>
  <c r="N290" i="2"/>
  <c r="M290" i="2"/>
  <c r="O289" i="2"/>
  <c r="N289" i="2"/>
  <c r="M289" i="2"/>
  <c r="O288" i="2"/>
  <c r="N288" i="2"/>
  <c r="M288" i="2"/>
  <c r="O287" i="2"/>
  <c r="N287" i="2"/>
  <c r="M287" i="2"/>
  <c r="O286" i="2"/>
  <c r="N286" i="2"/>
  <c r="M286" i="2"/>
  <c r="O285" i="2"/>
  <c r="N285" i="2"/>
  <c r="M285" i="2"/>
  <c r="O284" i="2"/>
  <c r="N284" i="2"/>
  <c r="M284" i="2"/>
  <c r="O283" i="2"/>
  <c r="N283" i="2"/>
  <c r="M283" i="2"/>
  <c r="O282" i="2"/>
  <c r="N282" i="2"/>
  <c r="M282" i="2"/>
  <c r="O281" i="2"/>
  <c r="N281" i="2"/>
  <c r="M281" i="2"/>
  <c r="O280" i="2"/>
  <c r="N280" i="2"/>
  <c r="M280" i="2"/>
  <c r="O279" i="2"/>
  <c r="N279" i="2"/>
  <c r="M279" i="2"/>
  <c r="O278" i="2"/>
  <c r="N278" i="2"/>
  <c r="M278" i="2"/>
  <c r="O277" i="2"/>
  <c r="N277" i="2"/>
  <c r="M277" i="2"/>
  <c r="O276" i="2"/>
  <c r="N276" i="2"/>
  <c r="M276" i="2"/>
  <c r="O275" i="2"/>
  <c r="N275" i="2"/>
  <c r="M275" i="2"/>
  <c r="O274" i="2"/>
  <c r="N274" i="2"/>
  <c r="M274" i="2"/>
  <c r="O273" i="2"/>
  <c r="N273" i="2"/>
  <c r="M273" i="2"/>
  <c r="O272" i="2"/>
  <c r="N272" i="2"/>
  <c r="M272" i="2"/>
  <c r="O271" i="2"/>
  <c r="N271" i="2"/>
  <c r="M271" i="2"/>
  <c r="O270" i="2"/>
  <c r="N270" i="2"/>
  <c r="M270" i="2"/>
  <c r="O269" i="2"/>
  <c r="N269" i="2"/>
  <c r="M269" i="2"/>
  <c r="O268" i="2"/>
  <c r="N268" i="2"/>
  <c r="M268" i="2"/>
  <c r="O267" i="2"/>
  <c r="N267" i="2"/>
  <c r="M267" i="2"/>
  <c r="O266" i="2"/>
  <c r="N266" i="2"/>
  <c r="M266" i="2"/>
  <c r="O265" i="2"/>
  <c r="N265" i="2"/>
  <c r="M265" i="2"/>
  <c r="O264" i="2"/>
  <c r="N264" i="2"/>
  <c r="M264" i="2"/>
  <c r="O263" i="2"/>
  <c r="N263" i="2"/>
  <c r="M263" i="2"/>
  <c r="O262" i="2"/>
  <c r="N262" i="2"/>
  <c r="M262" i="2"/>
  <c r="O261" i="2"/>
  <c r="N261" i="2"/>
  <c r="M261" i="2"/>
  <c r="O260" i="2"/>
  <c r="N260" i="2"/>
  <c r="M260" i="2"/>
  <c r="O259" i="2"/>
  <c r="N259" i="2"/>
  <c r="M259" i="2"/>
  <c r="O258" i="2"/>
  <c r="N258" i="2"/>
  <c r="M258" i="2"/>
  <c r="O257" i="2"/>
  <c r="N257" i="2"/>
  <c r="M257" i="2"/>
  <c r="O256" i="2"/>
  <c r="N256" i="2"/>
  <c r="M256" i="2"/>
  <c r="O255" i="2"/>
  <c r="N255" i="2"/>
  <c r="M255" i="2"/>
  <c r="O254" i="2"/>
  <c r="N254" i="2"/>
  <c r="M254" i="2"/>
  <c r="O253" i="2"/>
  <c r="N253" i="2"/>
  <c r="M253" i="2"/>
  <c r="O252" i="2"/>
  <c r="N252" i="2"/>
  <c r="M252" i="2"/>
  <c r="O251" i="2"/>
  <c r="N251" i="2"/>
  <c r="M251" i="2"/>
  <c r="O250" i="2"/>
  <c r="N250" i="2"/>
  <c r="M250" i="2"/>
  <c r="O249" i="2"/>
  <c r="N249" i="2"/>
  <c r="M249" i="2"/>
  <c r="O248" i="2"/>
  <c r="N248" i="2"/>
  <c r="M248" i="2"/>
  <c r="O247" i="2"/>
  <c r="N247" i="2"/>
  <c r="M247" i="2"/>
  <c r="O246" i="2"/>
  <c r="N246" i="2"/>
  <c r="M246" i="2"/>
  <c r="O245" i="2"/>
  <c r="N245" i="2"/>
  <c r="M245" i="2"/>
  <c r="O244" i="2"/>
  <c r="N244" i="2"/>
  <c r="M244" i="2"/>
  <c r="O243" i="2"/>
  <c r="N243" i="2"/>
  <c r="M243" i="2"/>
  <c r="O242" i="2"/>
  <c r="N242" i="2"/>
  <c r="M242" i="2"/>
  <c r="O241" i="2"/>
  <c r="N241" i="2"/>
  <c r="M241" i="2"/>
  <c r="O240" i="2"/>
  <c r="N240" i="2"/>
  <c r="M240" i="2"/>
  <c r="O239" i="2"/>
  <c r="N239" i="2"/>
  <c r="M239" i="2"/>
  <c r="O238" i="2"/>
  <c r="N238" i="2"/>
  <c r="M238" i="2"/>
  <c r="O237" i="2"/>
  <c r="N237" i="2"/>
  <c r="M237" i="2"/>
  <c r="O236" i="2"/>
  <c r="N236" i="2"/>
  <c r="M236" i="2"/>
  <c r="O235" i="2"/>
  <c r="N235" i="2"/>
  <c r="M235" i="2"/>
  <c r="O234" i="2"/>
  <c r="N234" i="2"/>
  <c r="M234" i="2"/>
  <c r="O233" i="2"/>
  <c r="N233" i="2"/>
  <c r="M233" i="2"/>
  <c r="O232" i="2"/>
  <c r="N232" i="2"/>
  <c r="M232" i="2"/>
  <c r="O231" i="2"/>
  <c r="N231" i="2"/>
  <c r="M231" i="2"/>
  <c r="O230" i="2"/>
  <c r="N230" i="2"/>
  <c r="M230" i="2"/>
  <c r="O229" i="2"/>
  <c r="N229" i="2"/>
  <c r="M229" i="2"/>
  <c r="O228" i="2"/>
  <c r="N228" i="2"/>
  <c r="M228" i="2"/>
  <c r="O227" i="2"/>
  <c r="N227" i="2"/>
  <c r="M227" i="2"/>
  <c r="O226" i="2"/>
  <c r="N226" i="2"/>
  <c r="M226" i="2"/>
  <c r="O225" i="2"/>
  <c r="N225" i="2"/>
  <c r="M225" i="2"/>
  <c r="O224" i="2"/>
  <c r="N224" i="2"/>
  <c r="M224" i="2"/>
  <c r="O223" i="2"/>
  <c r="N223" i="2"/>
  <c r="M223" i="2"/>
  <c r="O222" i="2"/>
  <c r="N222" i="2"/>
  <c r="M222" i="2"/>
  <c r="O221" i="2"/>
  <c r="N221" i="2"/>
  <c r="M221" i="2"/>
  <c r="O220" i="2"/>
  <c r="N220" i="2"/>
  <c r="M220" i="2"/>
  <c r="O219" i="2"/>
  <c r="N219" i="2"/>
  <c r="M219" i="2"/>
  <c r="O218" i="2"/>
  <c r="N218" i="2"/>
  <c r="M218" i="2"/>
  <c r="O217" i="2"/>
  <c r="N217" i="2"/>
  <c r="M217" i="2"/>
  <c r="O216" i="2"/>
  <c r="N216" i="2"/>
  <c r="M216" i="2"/>
  <c r="O215" i="2"/>
  <c r="N215" i="2"/>
  <c r="M215" i="2"/>
  <c r="O214" i="2"/>
  <c r="N214" i="2"/>
  <c r="M214" i="2"/>
  <c r="O213" i="2"/>
  <c r="N213" i="2"/>
  <c r="M213" i="2"/>
  <c r="O212" i="2"/>
  <c r="N212" i="2"/>
  <c r="M212" i="2"/>
  <c r="O211" i="2"/>
  <c r="N211" i="2"/>
  <c r="M211" i="2"/>
  <c r="O210" i="2"/>
  <c r="N210" i="2"/>
  <c r="M210" i="2"/>
  <c r="O209" i="2"/>
  <c r="N209" i="2"/>
  <c r="M209" i="2"/>
  <c r="O208" i="2"/>
  <c r="N208" i="2"/>
  <c r="M208" i="2"/>
  <c r="O207" i="2"/>
  <c r="N207" i="2"/>
  <c r="M207" i="2"/>
  <c r="O206" i="2"/>
  <c r="N206" i="2"/>
  <c r="M206" i="2"/>
  <c r="O205" i="2"/>
  <c r="N205" i="2"/>
  <c r="M205" i="2"/>
  <c r="O204" i="2"/>
  <c r="N204" i="2"/>
  <c r="M204" i="2"/>
  <c r="O203" i="2"/>
  <c r="N203" i="2"/>
  <c r="M203" i="2"/>
  <c r="O202" i="2"/>
  <c r="N202" i="2"/>
  <c r="M202" i="2"/>
  <c r="O201" i="2"/>
  <c r="N201" i="2"/>
  <c r="M201" i="2"/>
  <c r="O200" i="2"/>
  <c r="N200" i="2"/>
  <c r="M200" i="2"/>
  <c r="O199" i="2"/>
  <c r="N199" i="2"/>
  <c r="M199" i="2"/>
  <c r="O198" i="2"/>
  <c r="N198" i="2"/>
  <c r="M198" i="2"/>
  <c r="O197" i="2"/>
  <c r="N197" i="2"/>
  <c r="M197" i="2"/>
  <c r="O196" i="2"/>
  <c r="N196" i="2"/>
  <c r="M196" i="2"/>
  <c r="O195" i="2"/>
  <c r="N195" i="2"/>
  <c r="M195" i="2"/>
  <c r="O194" i="2"/>
  <c r="N194" i="2"/>
  <c r="M194" i="2"/>
  <c r="O193" i="2"/>
  <c r="N193" i="2"/>
  <c r="M193" i="2"/>
  <c r="O192" i="2"/>
  <c r="N192" i="2"/>
  <c r="M192" i="2"/>
  <c r="O191" i="2"/>
  <c r="N191" i="2"/>
  <c r="M191" i="2"/>
  <c r="O190" i="2"/>
  <c r="N190" i="2"/>
  <c r="M190" i="2"/>
  <c r="O189" i="2"/>
  <c r="N189" i="2"/>
  <c r="M189" i="2"/>
  <c r="O188" i="2"/>
  <c r="N188" i="2"/>
  <c r="M188" i="2"/>
  <c r="O187" i="2"/>
  <c r="N187" i="2"/>
  <c r="M187" i="2"/>
  <c r="O186" i="2"/>
  <c r="N186" i="2"/>
  <c r="M186" i="2"/>
  <c r="O185" i="2"/>
  <c r="N185" i="2"/>
  <c r="M185" i="2"/>
  <c r="O184" i="2"/>
  <c r="N184" i="2"/>
  <c r="M184" i="2"/>
  <c r="O183" i="2"/>
  <c r="N183" i="2"/>
  <c r="M183" i="2"/>
  <c r="O182" i="2"/>
  <c r="N182" i="2"/>
  <c r="M182" i="2"/>
  <c r="O181" i="2"/>
  <c r="N181" i="2"/>
  <c r="M181" i="2"/>
  <c r="O180" i="2"/>
  <c r="N180" i="2"/>
  <c r="M180" i="2"/>
  <c r="O179" i="2"/>
  <c r="N179" i="2"/>
  <c r="M179" i="2"/>
  <c r="O178" i="2"/>
  <c r="N178" i="2"/>
  <c r="M178" i="2"/>
  <c r="O177" i="2"/>
  <c r="N177" i="2"/>
  <c r="M177" i="2"/>
  <c r="O176" i="2"/>
  <c r="N176" i="2"/>
  <c r="M176" i="2"/>
  <c r="O175" i="2"/>
  <c r="N175" i="2"/>
  <c r="M175" i="2"/>
  <c r="O174" i="2"/>
  <c r="N174" i="2"/>
  <c r="M174" i="2"/>
  <c r="O173" i="2"/>
  <c r="N173" i="2"/>
  <c r="M173" i="2"/>
  <c r="O172" i="2"/>
  <c r="N172" i="2"/>
  <c r="M172" i="2"/>
  <c r="O171" i="2"/>
  <c r="N171" i="2"/>
  <c r="M171" i="2"/>
  <c r="O170" i="2"/>
  <c r="N170" i="2"/>
  <c r="M170" i="2"/>
  <c r="O169" i="2"/>
  <c r="N169" i="2"/>
  <c r="M169" i="2"/>
  <c r="O168" i="2"/>
  <c r="N168" i="2"/>
  <c r="M168" i="2"/>
  <c r="O167" i="2"/>
  <c r="N167" i="2"/>
  <c r="M167" i="2"/>
  <c r="O166" i="2"/>
  <c r="N166" i="2"/>
  <c r="M166" i="2"/>
  <c r="O165" i="2"/>
  <c r="N165" i="2"/>
  <c r="M165" i="2"/>
  <c r="O164" i="2"/>
  <c r="N164" i="2"/>
  <c r="M164" i="2"/>
  <c r="O163" i="2"/>
  <c r="N163" i="2"/>
  <c r="M163" i="2"/>
  <c r="O162" i="2"/>
  <c r="N162" i="2"/>
  <c r="M162" i="2"/>
  <c r="O161" i="2"/>
  <c r="N161" i="2"/>
  <c r="M161" i="2"/>
  <c r="O160" i="2"/>
  <c r="N160" i="2"/>
  <c r="M160" i="2"/>
  <c r="O159" i="2"/>
  <c r="N159" i="2"/>
  <c r="M159" i="2"/>
  <c r="O158" i="2"/>
  <c r="N158" i="2"/>
  <c r="M158" i="2"/>
  <c r="O157" i="2"/>
  <c r="N157" i="2"/>
  <c r="M157" i="2"/>
  <c r="O156" i="2"/>
  <c r="N156" i="2"/>
  <c r="M156" i="2"/>
  <c r="O155" i="2"/>
  <c r="N155" i="2"/>
  <c r="M155" i="2"/>
  <c r="O154" i="2"/>
  <c r="N154" i="2"/>
  <c r="M154" i="2"/>
  <c r="O153" i="2"/>
  <c r="N153" i="2"/>
  <c r="M153" i="2"/>
  <c r="O152" i="2"/>
  <c r="N152" i="2"/>
  <c r="M152" i="2"/>
  <c r="O151" i="2"/>
  <c r="N151" i="2"/>
  <c r="M151" i="2"/>
  <c r="O150" i="2"/>
  <c r="N150" i="2"/>
  <c r="M150" i="2"/>
  <c r="O149" i="2"/>
  <c r="N149" i="2"/>
  <c r="M149" i="2"/>
  <c r="O148" i="2"/>
  <c r="N148" i="2"/>
  <c r="M148" i="2"/>
  <c r="O147" i="2"/>
  <c r="N147" i="2"/>
  <c r="M147" i="2"/>
  <c r="O146" i="2"/>
  <c r="N146" i="2"/>
  <c r="M146" i="2"/>
  <c r="O145" i="2"/>
  <c r="N145" i="2"/>
  <c r="M145" i="2"/>
  <c r="O144" i="2"/>
  <c r="N144" i="2"/>
  <c r="M144" i="2"/>
  <c r="O143" i="2"/>
  <c r="N143" i="2"/>
  <c r="M143" i="2"/>
  <c r="O142" i="2"/>
  <c r="N142" i="2"/>
  <c r="M142" i="2"/>
  <c r="O141" i="2"/>
  <c r="N141" i="2"/>
  <c r="M141" i="2"/>
  <c r="O140" i="2"/>
  <c r="N140" i="2"/>
  <c r="M140" i="2"/>
  <c r="O139" i="2"/>
  <c r="N139" i="2"/>
  <c r="M139" i="2"/>
  <c r="O138" i="2"/>
  <c r="N138" i="2"/>
  <c r="M138" i="2"/>
  <c r="O137" i="2"/>
  <c r="N137" i="2"/>
  <c r="M137" i="2"/>
  <c r="O136" i="2"/>
  <c r="N136" i="2"/>
  <c r="M136" i="2"/>
  <c r="O135" i="2"/>
  <c r="N135" i="2"/>
  <c r="M135" i="2"/>
  <c r="O134" i="2"/>
  <c r="N134" i="2"/>
  <c r="M134" i="2"/>
  <c r="O132" i="2"/>
  <c r="N132" i="2"/>
  <c r="M132" i="2"/>
  <c r="O131" i="2"/>
  <c r="N131" i="2"/>
  <c r="M131" i="2"/>
  <c r="O130" i="2"/>
  <c r="N130" i="2"/>
  <c r="M130" i="2"/>
  <c r="O129" i="2"/>
  <c r="N129" i="2"/>
  <c r="M129" i="2"/>
  <c r="O128" i="2"/>
  <c r="N128" i="2"/>
  <c r="M128" i="2"/>
  <c r="O127" i="2"/>
  <c r="N127" i="2"/>
  <c r="M127" i="2"/>
  <c r="O126" i="2"/>
  <c r="N126" i="2"/>
  <c r="M126" i="2"/>
  <c r="O125" i="2"/>
  <c r="N125" i="2"/>
  <c r="M125" i="2"/>
  <c r="O124" i="2"/>
  <c r="N124" i="2"/>
  <c r="M124" i="2"/>
  <c r="O123" i="2"/>
  <c r="N123" i="2"/>
  <c r="M123" i="2"/>
  <c r="O122" i="2"/>
  <c r="N122" i="2"/>
  <c r="M122" i="2"/>
  <c r="O121" i="2"/>
  <c r="N121" i="2"/>
  <c r="M121" i="2"/>
  <c r="O120" i="2"/>
  <c r="N120" i="2"/>
  <c r="M120" i="2"/>
  <c r="O119" i="2"/>
  <c r="N119" i="2"/>
  <c r="M119" i="2"/>
  <c r="O118" i="2"/>
  <c r="N118" i="2"/>
  <c r="M118" i="2"/>
  <c r="O117" i="2"/>
  <c r="N117" i="2"/>
  <c r="M117" i="2"/>
  <c r="O116" i="2"/>
  <c r="N116" i="2"/>
  <c r="M116" i="2"/>
  <c r="O115" i="2"/>
  <c r="N115" i="2"/>
  <c r="M115" i="2"/>
  <c r="O114" i="2"/>
  <c r="N114" i="2"/>
  <c r="M114" i="2"/>
  <c r="O113" i="2"/>
  <c r="N113" i="2"/>
  <c r="M113" i="2"/>
  <c r="O112" i="2"/>
  <c r="N112" i="2"/>
  <c r="M112" i="2"/>
  <c r="O111" i="2"/>
  <c r="N111" i="2"/>
  <c r="M111" i="2"/>
  <c r="O110" i="2"/>
  <c r="N110" i="2"/>
  <c r="M110" i="2"/>
  <c r="O109" i="2"/>
  <c r="N109" i="2"/>
  <c r="M109" i="2"/>
  <c r="O108" i="2"/>
  <c r="N108" i="2"/>
  <c r="M108" i="2"/>
  <c r="O107" i="2"/>
  <c r="N107" i="2"/>
  <c r="M107" i="2"/>
  <c r="O106" i="2"/>
  <c r="N106" i="2"/>
  <c r="M106" i="2"/>
  <c r="O105" i="2"/>
  <c r="N105" i="2"/>
  <c r="M105" i="2"/>
  <c r="O104" i="2"/>
  <c r="N104" i="2"/>
  <c r="M104" i="2"/>
  <c r="O103" i="2"/>
  <c r="N103" i="2"/>
  <c r="M103" i="2"/>
  <c r="O102" i="2"/>
  <c r="N102" i="2"/>
  <c r="M102" i="2"/>
  <c r="O101" i="2"/>
  <c r="N101" i="2"/>
  <c r="M101" i="2"/>
  <c r="O100" i="2"/>
  <c r="N100" i="2"/>
  <c r="M100" i="2"/>
  <c r="O99" i="2"/>
  <c r="N99" i="2"/>
  <c r="M99" i="2"/>
  <c r="O98" i="2"/>
  <c r="N98" i="2"/>
  <c r="M98" i="2"/>
  <c r="O97" i="2"/>
  <c r="N97" i="2"/>
  <c r="M97" i="2"/>
  <c r="O96" i="2"/>
  <c r="N96" i="2"/>
  <c r="M96" i="2"/>
  <c r="O95" i="2"/>
  <c r="N95" i="2"/>
  <c r="M95" i="2"/>
  <c r="O94" i="2"/>
  <c r="N94" i="2"/>
  <c r="M94" i="2"/>
  <c r="O93" i="2"/>
  <c r="N93" i="2"/>
  <c r="M93" i="2"/>
  <c r="O92" i="2"/>
  <c r="N92" i="2"/>
  <c r="M92" i="2"/>
  <c r="O91" i="2"/>
  <c r="N91" i="2"/>
  <c r="M91" i="2"/>
  <c r="O90" i="2"/>
  <c r="N90" i="2"/>
  <c r="M90" i="2"/>
  <c r="O89" i="2"/>
  <c r="N89" i="2"/>
  <c r="M89" i="2"/>
  <c r="O88" i="2"/>
  <c r="N88" i="2"/>
  <c r="M88" i="2"/>
  <c r="O87" i="2"/>
  <c r="N87" i="2"/>
  <c r="M87" i="2"/>
  <c r="O86" i="2"/>
  <c r="N86" i="2"/>
  <c r="M86" i="2"/>
  <c r="O85" i="2"/>
  <c r="N85" i="2"/>
  <c r="M85" i="2"/>
  <c r="O84" i="2"/>
  <c r="N84" i="2"/>
  <c r="M84" i="2"/>
  <c r="O83" i="2"/>
  <c r="N83" i="2"/>
  <c r="M83" i="2"/>
  <c r="O82" i="2"/>
  <c r="N82" i="2"/>
  <c r="M82" i="2"/>
  <c r="O81" i="2"/>
  <c r="N81" i="2"/>
  <c r="M81" i="2"/>
  <c r="O80" i="2"/>
  <c r="N80" i="2"/>
  <c r="M80" i="2"/>
  <c r="O79" i="2"/>
  <c r="N79" i="2"/>
  <c r="M79" i="2"/>
  <c r="O78" i="2"/>
  <c r="N78" i="2"/>
  <c r="M78" i="2"/>
  <c r="O77" i="2"/>
  <c r="N77" i="2"/>
  <c r="M77" i="2"/>
  <c r="O76" i="2"/>
  <c r="N76" i="2"/>
  <c r="M76" i="2"/>
  <c r="O75" i="2"/>
  <c r="N75" i="2"/>
  <c r="M75" i="2"/>
  <c r="O74" i="2"/>
  <c r="N74" i="2"/>
  <c r="M74" i="2"/>
  <c r="O73" i="2"/>
  <c r="N73" i="2"/>
  <c r="M73" i="2"/>
  <c r="O72" i="2"/>
  <c r="N72" i="2"/>
  <c r="M72" i="2"/>
  <c r="O71" i="2"/>
  <c r="N71" i="2"/>
  <c r="M71" i="2"/>
  <c r="O70" i="2"/>
  <c r="N70" i="2"/>
  <c r="M70" i="2"/>
  <c r="O69" i="2"/>
  <c r="N69" i="2"/>
  <c r="M69" i="2"/>
  <c r="O68" i="2"/>
  <c r="N68" i="2"/>
  <c r="M68" i="2"/>
  <c r="O67" i="2"/>
  <c r="N67" i="2"/>
  <c r="M67" i="2"/>
  <c r="O66" i="2"/>
  <c r="N66" i="2"/>
  <c r="M66" i="2"/>
  <c r="O65" i="2"/>
  <c r="N65" i="2"/>
  <c r="M65" i="2"/>
  <c r="O64" i="2"/>
  <c r="N64" i="2"/>
  <c r="M64" i="2"/>
  <c r="O63" i="2"/>
  <c r="N63" i="2"/>
  <c r="M63" i="2"/>
  <c r="O62" i="2"/>
  <c r="N62" i="2"/>
  <c r="M62" i="2"/>
  <c r="O61" i="2"/>
  <c r="N61" i="2"/>
  <c r="M61" i="2"/>
  <c r="O60" i="2"/>
  <c r="N60" i="2"/>
  <c r="M60" i="2"/>
  <c r="O59" i="2"/>
  <c r="N59" i="2"/>
  <c r="M59" i="2"/>
  <c r="O58" i="2"/>
  <c r="N58" i="2"/>
  <c r="M58" i="2"/>
  <c r="O57" i="2"/>
  <c r="N57" i="2"/>
  <c r="M57" i="2"/>
  <c r="O56" i="2"/>
  <c r="N56" i="2"/>
  <c r="M56" i="2"/>
  <c r="O55" i="2"/>
  <c r="N55" i="2"/>
  <c r="M55" i="2"/>
  <c r="O54" i="2"/>
  <c r="N54" i="2"/>
  <c r="M54" i="2"/>
  <c r="O53" i="2"/>
  <c r="N53" i="2"/>
  <c r="M53" i="2"/>
  <c r="O52" i="2"/>
  <c r="N52" i="2"/>
  <c r="M52" i="2"/>
  <c r="O51" i="2"/>
  <c r="N51" i="2"/>
  <c r="M51" i="2"/>
  <c r="O50" i="2"/>
  <c r="N50" i="2"/>
  <c r="M50" i="2"/>
  <c r="O49" i="2"/>
  <c r="N49" i="2"/>
  <c r="M49" i="2"/>
  <c r="O48" i="2"/>
  <c r="N48" i="2"/>
  <c r="M48" i="2"/>
  <c r="O47" i="2"/>
  <c r="N47" i="2"/>
  <c r="M47" i="2"/>
  <c r="O46" i="2"/>
  <c r="N46" i="2"/>
  <c r="M46" i="2"/>
  <c r="O45" i="2"/>
  <c r="N45" i="2"/>
  <c r="M45" i="2"/>
  <c r="O44" i="2"/>
  <c r="N44" i="2"/>
  <c r="M44" i="2"/>
  <c r="O43" i="2"/>
  <c r="N43" i="2"/>
  <c r="M43" i="2"/>
  <c r="O42" i="2"/>
  <c r="N42" i="2"/>
  <c r="M42" i="2"/>
  <c r="O41" i="2"/>
  <c r="N41" i="2"/>
  <c r="M41" i="2"/>
  <c r="O40" i="2"/>
  <c r="N40" i="2"/>
  <c r="M40" i="2"/>
  <c r="O39" i="2"/>
  <c r="N39" i="2"/>
  <c r="M39" i="2"/>
  <c r="O38" i="2"/>
  <c r="N38" i="2"/>
  <c r="M38" i="2"/>
  <c r="O37" i="2"/>
  <c r="N37" i="2"/>
  <c r="M37" i="2"/>
  <c r="O36" i="2"/>
  <c r="N36" i="2"/>
  <c r="M36" i="2"/>
  <c r="O35" i="2"/>
  <c r="N35" i="2"/>
  <c r="M35" i="2"/>
  <c r="O34" i="2"/>
  <c r="N34" i="2"/>
  <c r="M34" i="2"/>
  <c r="O33" i="2"/>
  <c r="N33" i="2"/>
  <c r="M33" i="2"/>
  <c r="O32" i="2"/>
  <c r="N32" i="2"/>
  <c r="M32" i="2"/>
  <c r="O30" i="2"/>
  <c r="N30" i="2"/>
  <c r="M30" i="2"/>
  <c r="O29" i="2"/>
  <c r="N29" i="2"/>
  <c r="M29" i="2"/>
  <c r="O28" i="2"/>
  <c r="N28" i="2"/>
  <c r="M28" i="2"/>
  <c r="O27" i="2"/>
  <c r="N27" i="2"/>
  <c r="M27" i="2"/>
  <c r="O26" i="2"/>
  <c r="N26" i="2"/>
  <c r="M26" i="2"/>
  <c r="O25" i="2"/>
  <c r="N25" i="2"/>
  <c r="M25" i="2"/>
  <c r="O24" i="2"/>
  <c r="N24" i="2"/>
  <c r="M24" i="2"/>
  <c r="O23" i="2"/>
  <c r="N23" i="2"/>
  <c r="M23" i="2"/>
  <c r="O22" i="2"/>
  <c r="N22" i="2"/>
  <c r="M22" i="2"/>
  <c r="O21" i="2"/>
  <c r="N21" i="2"/>
  <c r="M21" i="2"/>
  <c r="O20" i="2"/>
  <c r="N20" i="2"/>
  <c r="M20" i="2"/>
  <c r="O19" i="2"/>
  <c r="N19" i="2"/>
  <c r="M19" i="2"/>
  <c r="O18" i="2"/>
  <c r="N18" i="2"/>
  <c r="M18" i="2"/>
  <c r="O17" i="2"/>
  <c r="N17" i="2"/>
  <c r="M17" i="2"/>
  <c r="O16" i="2"/>
  <c r="N16" i="2"/>
  <c r="M1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O5" i="2"/>
  <c r="N5" i="2"/>
  <c r="M5" i="2"/>
  <c r="O4" i="2"/>
  <c r="N4" i="2"/>
  <c r="M4" i="2"/>
  <c r="O3" i="2"/>
  <c r="N3" i="2"/>
  <c r="M3" i="2"/>
  <c r="O2" i="2"/>
  <c r="N2" i="2"/>
  <c r="M2" i="2"/>
  <c r="BR602" i="1"/>
  <c r="BR601" i="1"/>
  <c r="BR600" i="1"/>
  <c r="BR599" i="1"/>
  <c r="BR598" i="1"/>
  <c r="BR597" i="1"/>
  <c r="BR596" i="1"/>
  <c r="BR595" i="1"/>
  <c r="BR594" i="1"/>
  <c r="BR593" i="1"/>
  <c r="BR592" i="1"/>
  <c r="BR591" i="1"/>
  <c r="BR590" i="1"/>
  <c r="BR589" i="1"/>
  <c r="BR588" i="1"/>
  <c r="BR587" i="1"/>
  <c r="BR586" i="1"/>
  <c r="BR585" i="1"/>
  <c r="BR584" i="1"/>
  <c r="BR583" i="1"/>
  <c r="BR582" i="1"/>
  <c r="BR581" i="1"/>
  <c r="BR580" i="1"/>
  <c r="BR579" i="1"/>
  <c r="BR578" i="1"/>
  <c r="BR577" i="1"/>
  <c r="BR576" i="1"/>
  <c r="BR575" i="1"/>
  <c r="BR574" i="1"/>
  <c r="BR573" i="1"/>
  <c r="BR572" i="1"/>
  <c r="BR571" i="1"/>
  <c r="BR570" i="1"/>
  <c r="BR569" i="1"/>
  <c r="BR568" i="1"/>
  <c r="BR567" i="1"/>
  <c r="BR566" i="1"/>
  <c r="BR565" i="1"/>
  <c r="BR564" i="1"/>
  <c r="BR563" i="1"/>
  <c r="BR562" i="1"/>
  <c r="BR561" i="1"/>
  <c r="BR560" i="1"/>
  <c r="BR559" i="1"/>
  <c r="BR558" i="1"/>
  <c r="BR557" i="1"/>
  <c r="BR556" i="1"/>
  <c r="BR555" i="1"/>
  <c r="BR554" i="1"/>
  <c r="BR553" i="1"/>
  <c r="BR552" i="1"/>
  <c r="BR551" i="1"/>
  <c r="BR550" i="1"/>
  <c r="BR549" i="1"/>
  <c r="BR548" i="1"/>
  <c r="BR547" i="1"/>
  <c r="BR546" i="1"/>
  <c r="BR545" i="1"/>
  <c r="BR544" i="1"/>
  <c r="BR543" i="1"/>
  <c r="BR542" i="1"/>
  <c r="BR541" i="1"/>
  <c r="BR540" i="1"/>
  <c r="BR539" i="1"/>
  <c r="BR538" i="1"/>
  <c r="BR537" i="1"/>
  <c r="BR536" i="1"/>
  <c r="BR535" i="1"/>
  <c r="BR534" i="1"/>
  <c r="BR533" i="1"/>
  <c r="BR532" i="1"/>
  <c r="BR531" i="1"/>
  <c r="BR530" i="1"/>
  <c r="BR529" i="1"/>
  <c r="BR528" i="1"/>
  <c r="BR527" i="1"/>
  <c r="BR526" i="1"/>
  <c r="BR525" i="1"/>
  <c r="BR524" i="1"/>
  <c r="BR523" i="1"/>
  <c r="BR522" i="1"/>
  <c r="BR521" i="1"/>
  <c r="BR520" i="1"/>
  <c r="BR519" i="1"/>
  <c r="BR518" i="1"/>
  <c r="BR517" i="1"/>
  <c r="BR516" i="1"/>
  <c r="BR515" i="1"/>
  <c r="BR514" i="1"/>
  <c r="BR513" i="1"/>
  <c r="BR512" i="1"/>
  <c r="BR511" i="1"/>
  <c r="BR510" i="1"/>
  <c r="BR509" i="1"/>
  <c r="BR508" i="1"/>
  <c r="BR507" i="1"/>
  <c r="BR506" i="1"/>
  <c r="BR505" i="1"/>
  <c r="BR504" i="1"/>
  <c r="BR503" i="1"/>
  <c r="BR502" i="1"/>
  <c r="BR501" i="1"/>
  <c r="BR500" i="1"/>
  <c r="BR499" i="1"/>
  <c r="BR498" i="1"/>
  <c r="BR497" i="1"/>
  <c r="BR496" i="1"/>
  <c r="BR495" i="1"/>
  <c r="BR494" i="1"/>
  <c r="BR493" i="1"/>
  <c r="BR492" i="1"/>
  <c r="BR491" i="1"/>
  <c r="BR490" i="1"/>
  <c r="BR489" i="1"/>
  <c r="BR488" i="1"/>
  <c r="BR487" i="1"/>
  <c r="BR486" i="1"/>
  <c r="BR485" i="1"/>
  <c r="BR484" i="1"/>
  <c r="BR483" i="1"/>
  <c r="BR482" i="1"/>
  <c r="BR481" i="1"/>
  <c r="BR480" i="1"/>
  <c r="BR479" i="1"/>
  <c r="BR478" i="1"/>
  <c r="BR477" i="1"/>
  <c r="BR476" i="1"/>
  <c r="BR475" i="1"/>
  <c r="BR474" i="1"/>
  <c r="BR473" i="1"/>
  <c r="BR472" i="1"/>
  <c r="BR471" i="1"/>
  <c r="BR470" i="1"/>
  <c r="BR469" i="1"/>
  <c r="BR468" i="1"/>
  <c r="BR467" i="1"/>
  <c r="BR466" i="1"/>
  <c r="BR465" i="1"/>
  <c r="BR464" i="1"/>
  <c r="BR463" i="1"/>
  <c r="BR462" i="1"/>
  <c r="BR461" i="1"/>
  <c r="BR460" i="1"/>
  <c r="BR459" i="1"/>
  <c r="BR458" i="1"/>
  <c r="BR457" i="1"/>
  <c r="BR456" i="1"/>
  <c r="BR455" i="1"/>
  <c r="BR454" i="1"/>
  <c r="BR453" i="1"/>
  <c r="BR452" i="1"/>
  <c r="BR451" i="1"/>
  <c r="BR450" i="1"/>
  <c r="BR449" i="1"/>
  <c r="BR448" i="1"/>
  <c r="BR447" i="1"/>
  <c r="BR446" i="1"/>
  <c r="BR445" i="1"/>
  <c r="BR444" i="1"/>
  <c r="BR442" i="1"/>
  <c r="BR441" i="1"/>
  <c r="BR440" i="1"/>
  <c r="BR439" i="1"/>
  <c r="BR438" i="1"/>
  <c r="BR437" i="1"/>
  <c r="BR436" i="1"/>
  <c r="BR435" i="1"/>
  <c r="BR434" i="1"/>
  <c r="BR433" i="1"/>
  <c r="BR432" i="1"/>
  <c r="BR431" i="1"/>
  <c r="BR430" i="1"/>
  <c r="BR429" i="1"/>
  <c r="BR428" i="1"/>
  <c r="BR427" i="1"/>
  <c r="BR426" i="1"/>
  <c r="BR425" i="1"/>
  <c r="BR424" i="1"/>
  <c r="BR423" i="1"/>
  <c r="BR422" i="1"/>
  <c r="BR421" i="1"/>
  <c r="BR420" i="1"/>
  <c r="BR419" i="1"/>
  <c r="BR418" i="1"/>
  <c r="BR417" i="1"/>
  <c r="BR416" i="1"/>
  <c r="BR415" i="1"/>
  <c r="BR414" i="1"/>
  <c r="BR413" i="1"/>
  <c r="BR412" i="1"/>
  <c r="BR411" i="1"/>
  <c r="BR410" i="1"/>
  <c r="BR409" i="1"/>
  <c r="BR408" i="1"/>
  <c r="BR407" i="1"/>
  <c r="BR406" i="1"/>
  <c r="BR405" i="1"/>
  <c r="BR404" i="1"/>
  <c r="BR403" i="1"/>
  <c r="BR402" i="1"/>
  <c r="BR401" i="1"/>
  <c r="BR400" i="1"/>
  <c r="BR399" i="1"/>
  <c r="BR398" i="1"/>
  <c r="BR397" i="1"/>
  <c r="BR396" i="1"/>
  <c r="BR395" i="1"/>
  <c r="BR394" i="1"/>
  <c r="BR393" i="1"/>
  <c r="BR392" i="1"/>
  <c r="BR391" i="1"/>
  <c r="BR390" i="1"/>
  <c r="BR389" i="1"/>
  <c r="BR388" i="1"/>
  <c r="BR387" i="1"/>
  <c r="BR386" i="1"/>
  <c r="BR385" i="1"/>
  <c r="BR384" i="1"/>
  <c r="BR383" i="1"/>
  <c r="BR382" i="1"/>
  <c r="BR381" i="1"/>
  <c r="BR380" i="1"/>
  <c r="BR379" i="1"/>
  <c r="BR378" i="1"/>
  <c r="BR377" i="1"/>
  <c r="BR376" i="1"/>
  <c r="BR374" i="1"/>
  <c r="BR373" i="1"/>
  <c r="BR372" i="1"/>
  <c r="BR371" i="1"/>
  <c r="BR370" i="1"/>
  <c r="BR369" i="1"/>
  <c r="BR368" i="1"/>
  <c r="BR367" i="1"/>
  <c r="BR366" i="1"/>
  <c r="BR365" i="1"/>
  <c r="BR364" i="1"/>
  <c r="BR363" i="1"/>
  <c r="BR362" i="1"/>
  <c r="BR361" i="1"/>
  <c r="BR360" i="1"/>
  <c r="BR359" i="1"/>
  <c r="BR358" i="1"/>
  <c r="BR357" i="1"/>
  <c r="BR356" i="1"/>
  <c r="BR355" i="1"/>
  <c r="BR354" i="1"/>
  <c r="BR353" i="1"/>
  <c r="BR352" i="1"/>
  <c r="BR351" i="1"/>
  <c r="BR350" i="1"/>
  <c r="BR349" i="1"/>
  <c r="BR348" i="1"/>
  <c r="BR347" i="1"/>
  <c r="BR346" i="1"/>
  <c r="BR345" i="1"/>
  <c r="BR344" i="1"/>
  <c r="BR343" i="1"/>
  <c r="BR342" i="1"/>
  <c r="BR341" i="1"/>
  <c r="BR340" i="1"/>
  <c r="BR339" i="1"/>
  <c r="BR338" i="1"/>
  <c r="BR337" i="1"/>
  <c r="BR336" i="1"/>
  <c r="BR335" i="1"/>
  <c r="BR334" i="1"/>
  <c r="BR333" i="1"/>
  <c r="BR332" i="1"/>
  <c r="BR331" i="1"/>
  <c r="BR330" i="1"/>
  <c r="BR329" i="1"/>
  <c r="BR328" i="1"/>
  <c r="BR327" i="1"/>
  <c r="BR326" i="1"/>
  <c r="BR325" i="1"/>
  <c r="BR324" i="1"/>
  <c r="BR323" i="1"/>
  <c r="BR322" i="1"/>
  <c r="BR321" i="1"/>
  <c r="BR320" i="1"/>
  <c r="BR319" i="1"/>
  <c r="BR318" i="1"/>
  <c r="BR317" i="1"/>
  <c r="BR316" i="1"/>
  <c r="BR315" i="1"/>
  <c r="BR314" i="1"/>
  <c r="BR313" i="1"/>
  <c r="BR312" i="1"/>
  <c r="BR311" i="1"/>
  <c r="BR310" i="1"/>
  <c r="BR309" i="1"/>
  <c r="BR308" i="1"/>
  <c r="BR307" i="1"/>
  <c r="BR306" i="1"/>
  <c r="BR305" i="1"/>
  <c r="BR304" i="1"/>
  <c r="BR303" i="1"/>
  <c r="BR302" i="1"/>
  <c r="BR301" i="1"/>
  <c r="BR300" i="1"/>
  <c r="BR299" i="1"/>
  <c r="BR298" i="1"/>
  <c r="BR297" i="1"/>
  <c r="BR296" i="1"/>
  <c r="BR295" i="1"/>
  <c r="BR294" i="1"/>
  <c r="BR293" i="1"/>
  <c r="BR292" i="1"/>
  <c r="BR291" i="1"/>
  <c r="BR290" i="1"/>
  <c r="BR289" i="1"/>
  <c r="BR288" i="1"/>
  <c r="BR287" i="1"/>
  <c r="BR286" i="1"/>
  <c r="BR285" i="1"/>
  <c r="BR284" i="1"/>
  <c r="BR283" i="1"/>
  <c r="BR282" i="1"/>
  <c r="BR281" i="1"/>
  <c r="BR280" i="1"/>
  <c r="BR279" i="1"/>
  <c r="BR278" i="1"/>
  <c r="BR277" i="1"/>
  <c r="BR276" i="1"/>
  <c r="BR275" i="1"/>
  <c r="BR274" i="1"/>
  <c r="BR273" i="1"/>
  <c r="BR272" i="1"/>
  <c r="BR271" i="1"/>
  <c r="BR270" i="1"/>
  <c r="BR269" i="1"/>
  <c r="BR268" i="1"/>
  <c r="BR267" i="1"/>
  <c r="BR266" i="1"/>
  <c r="BR265" i="1"/>
  <c r="BR264" i="1"/>
  <c r="BR263" i="1"/>
  <c r="BR262" i="1"/>
  <c r="BR261" i="1"/>
  <c r="BR260" i="1"/>
  <c r="BR259" i="1"/>
  <c r="BR258" i="1"/>
  <c r="BR257" i="1"/>
  <c r="BR256" i="1"/>
  <c r="BR255" i="1"/>
  <c r="BR254" i="1"/>
  <c r="BR253" i="1"/>
  <c r="BR252" i="1"/>
  <c r="BR251" i="1"/>
  <c r="BR250" i="1"/>
  <c r="BR249" i="1"/>
  <c r="BR248" i="1"/>
  <c r="BR247" i="1"/>
  <c r="BR246" i="1"/>
  <c r="BR245" i="1"/>
  <c r="BR244" i="1"/>
  <c r="BR243" i="1"/>
  <c r="BR242" i="1"/>
  <c r="BR241" i="1"/>
  <c r="BR240" i="1"/>
  <c r="BR239" i="1"/>
  <c r="BR238" i="1"/>
  <c r="BR237" i="1"/>
  <c r="BR236" i="1"/>
  <c r="BR235" i="1"/>
  <c r="BR234" i="1"/>
  <c r="BR233" i="1"/>
  <c r="BR232" i="1"/>
  <c r="BR231" i="1"/>
  <c r="BR230" i="1"/>
  <c r="BR229" i="1"/>
  <c r="BR228" i="1"/>
  <c r="BR227" i="1"/>
  <c r="BR226" i="1"/>
  <c r="BR225" i="1"/>
  <c r="BR224" i="1"/>
  <c r="BR223" i="1"/>
  <c r="BR222" i="1"/>
  <c r="BR221" i="1"/>
  <c r="BR220" i="1"/>
  <c r="BR219" i="1"/>
  <c r="BR218" i="1"/>
  <c r="BR217" i="1"/>
  <c r="BR216" i="1"/>
  <c r="BR215" i="1"/>
  <c r="BR214" i="1"/>
  <c r="BR213" i="1"/>
  <c r="BR212" i="1"/>
  <c r="BR211" i="1"/>
  <c r="BR210" i="1"/>
  <c r="BR209" i="1"/>
  <c r="BR208" i="1"/>
  <c r="BR207" i="1"/>
  <c r="BR206" i="1"/>
  <c r="BR205" i="1"/>
  <c r="BR204" i="1"/>
  <c r="BR203" i="1"/>
  <c r="BR202" i="1"/>
  <c r="BR201" i="1"/>
  <c r="BR200" i="1"/>
  <c r="BR199" i="1"/>
  <c r="BR198" i="1"/>
  <c r="BR197" i="1"/>
  <c r="BR196" i="1"/>
  <c r="BR195" i="1"/>
  <c r="BR194" i="1"/>
  <c r="BR193" i="1"/>
  <c r="BR192" i="1"/>
  <c r="BR191" i="1"/>
  <c r="BR190" i="1"/>
  <c r="BR189" i="1"/>
  <c r="BR188" i="1"/>
  <c r="BR187" i="1"/>
  <c r="BR186" i="1"/>
  <c r="BR185" i="1"/>
  <c r="BR184" i="1"/>
  <c r="BR183" i="1"/>
  <c r="BR182" i="1"/>
  <c r="BR181" i="1"/>
  <c r="BR180" i="1"/>
  <c r="BR179" i="1"/>
  <c r="BR178" i="1"/>
  <c r="BR177" i="1"/>
  <c r="BR176" i="1"/>
  <c r="BR175" i="1"/>
  <c r="BR174" i="1"/>
  <c r="BR173" i="1"/>
  <c r="BR172" i="1"/>
  <c r="BR171" i="1"/>
  <c r="BR170" i="1"/>
  <c r="BR169" i="1"/>
  <c r="BR168" i="1"/>
  <c r="BR167" i="1"/>
  <c r="BR166" i="1"/>
  <c r="BR165" i="1"/>
  <c r="BR164" i="1"/>
  <c r="BR163" i="1"/>
  <c r="BR162" i="1"/>
  <c r="BR161" i="1"/>
  <c r="BR160" i="1"/>
  <c r="BR159" i="1"/>
  <c r="BR158" i="1"/>
  <c r="BR157" i="1"/>
  <c r="BR156" i="1"/>
  <c r="BR155" i="1"/>
  <c r="BR154" i="1"/>
  <c r="BR153" i="1"/>
  <c r="BR152" i="1"/>
  <c r="BR151" i="1"/>
  <c r="BR150" i="1"/>
  <c r="BR149" i="1"/>
  <c r="BR148" i="1"/>
  <c r="BR147" i="1"/>
  <c r="BR146" i="1"/>
  <c r="BR145" i="1"/>
  <c r="BR144" i="1"/>
  <c r="BR143" i="1"/>
  <c r="BR142" i="1"/>
  <c r="BR141" i="1"/>
  <c r="BR140" i="1"/>
  <c r="BR139" i="1"/>
  <c r="BR138" i="1"/>
  <c r="BR137" i="1"/>
  <c r="BR136" i="1"/>
  <c r="BR135" i="1"/>
  <c r="BR134" i="1"/>
  <c r="BR133" i="1"/>
  <c r="BR132" i="1"/>
  <c r="BR131" i="1"/>
  <c r="BR130" i="1"/>
  <c r="BR129" i="1"/>
  <c r="BR128" i="1"/>
  <c r="BR127" i="1"/>
  <c r="BR126" i="1"/>
  <c r="BR125" i="1"/>
  <c r="BR124" i="1"/>
  <c r="BR123" i="1"/>
  <c r="BR122" i="1"/>
  <c r="BR121" i="1"/>
  <c r="BR120" i="1"/>
  <c r="BR119" i="1"/>
  <c r="BR118" i="1"/>
  <c r="BR117" i="1"/>
  <c r="BR116" i="1"/>
  <c r="BR115" i="1"/>
  <c r="BR114" i="1"/>
  <c r="BR113" i="1"/>
  <c r="BR112" i="1"/>
  <c r="BR111" i="1"/>
  <c r="BR110" i="1"/>
  <c r="BR109" i="1"/>
  <c r="BR108" i="1"/>
  <c r="BR107" i="1"/>
  <c r="BR106" i="1"/>
  <c r="BR105" i="1"/>
  <c r="BR104" i="1"/>
  <c r="BR103" i="1"/>
  <c r="BR102" i="1"/>
  <c r="BR101" i="1"/>
  <c r="BR100" i="1"/>
  <c r="BR99" i="1"/>
  <c r="BR98" i="1"/>
  <c r="BR97" i="1"/>
  <c r="BR96" i="1"/>
  <c r="BR95" i="1"/>
  <c r="BR94" i="1"/>
  <c r="BR93" i="1"/>
  <c r="BR92" i="1"/>
  <c r="BR91" i="1"/>
  <c r="BR90" i="1"/>
  <c r="BR89" i="1"/>
  <c r="BR88" i="1"/>
  <c r="BR87" i="1"/>
  <c r="BR86" i="1"/>
  <c r="BR85" i="1"/>
  <c r="BR84" i="1"/>
  <c r="BR83" i="1"/>
  <c r="BR82" i="1"/>
  <c r="BR81" i="1"/>
  <c r="BR80" i="1"/>
  <c r="BR79" i="1"/>
  <c r="BR78" i="1"/>
  <c r="BR77" i="1"/>
  <c r="BR76" i="1"/>
  <c r="BR75" i="1"/>
  <c r="BR74" i="1"/>
  <c r="BR73" i="1"/>
  <c r="BR72" i="1"/>
  <c r="BR71" i="1"/>
  <c r="BR70" i="1"/>
  <c r="BR69" i="1"/>
  <c r="BR68" i="1"/>
  <c r="BR67" i="1"/>
  <c r="BR66" i="1"/>
  <c r="BR65" i="1"/>
  <c r="BR64" i="1"/>
  <c r="BR63" i="1"/>
  <c r="BR62" i="1"/>
  <c r="BR61" i="1"/>
  <c r="BR60" i="1"/>
  <c r="BR59" i="1"/>
  <c r="BR58" i="1"/>
  <c r="BR57" i="1"/>
  <c r="BR56" i="1"/>
  <c r="BR55" i="1"/>
  <c r="BR54" i="1"/>
  <c r="BR53" i="1"/>
  <c r="BR52" i="1"/>
  <c r="BR51" i="1"/>
  <c r="BR50" i="1"/>
  <c r="BR49" i="1"/>
  <c r="BR48" i="1"/>
  <c r="BR47" i="1"/>
  <c r="BR46" i="1"/>
  <c r="BR45" i="1"/>
  <c r="BR44" i="1"/>
  <c r="BR43" i="1"/>
  <c r="BR42" i="1"/>
  <c r="BR41" i="1"/>
  <c r="BR40" i="1"/>
  <c r="BR39" i="1"/>
  <c r="BR38" i="1"/>
  <c r="BR37" i="1"/>
  <c r="BR36" i="1"/>
  <c r="BR35" i="1"/>
  <c r="BR34" i="1"/>
  <c r="BR33" i="1"/>
  <c r="BR32" i="1"/>
  <c r="BR31" i="1"/>
  <c r="BR30" i="1"/>
  <c r="BR29" i="1"/>
  <c r="BR28" i="1"/>
  <c r="BR27" i="1"/>
  <c r="BR26" i="1"/>
  <c r="BR25" i="1"/>
  <c r="BR24" i="1"/>
  <c r="BR23" i="1"/>
  <c r="BR22" i="1"/>
  <c r="BR21" i="1"/>
  <c r="BR20" i="1"/>
  <c r="BR19" i="1"/>
  <c r="BR18" i="1"/>
  <c r="BR17" i="1"/>
  <c r="BR16" i="1"/>
  <c r="BR15" i="1"/>
  <c r="BR14" i="1"/>
  <c r="BR13" i="1"/>
  <c r="BR12" i="1"/>
  <c r="BR11" i="1"/>
  <c r="BR10" i="1"/>
  <c r="BR9" i="1"/>
  <c r="BR8" i="1"/>
  <c r="BR7" i="1"/>
  <c r="BR6" i="1"/>
  <c r="BR5" i="1"/>
  <c r="BR4" i="1"/>
  <c r="BR3" i="1"/>
  <c r="BR2" i="1"/>
  <c r="CR1496" i="5" l="1"/>
  <c r="CR1495" i="5"/>
  <c r="CR1494" i="5"/>
  <c r="CR1493" i="5"/>
  <c r="CR1492" i="5"/>
  <c r="CR1491" i="5"/>
  <c r="CR1490" i="5"/>
  <c r="CR1489" i="5"/>
  <c r="CR1488" i="5"/>
  <c r="CR1487" i="5"/>
  <c r="CR1486" i="5"/>
  <c r="CR1485" i="5"/>
  <c r="CR1484" i="5"/>
  <c r="CR1483" i="5"/>
  <c r="CR1482" i="5"/>
  <c r="CR1481" i="5"/>
  <c r="CR1480" i="5"/>
  <c r="CR1479" i="5"/>
  <c r="CR1478" i="5"/>
  <c r="CR1477" i="5"/>
  <c r="CR1476" i="5"/>
  <c r="CR1475" i="5"/>
  <c r="CR1474" i="5"/>
  <c r="CR1473" i="5"/>
  <c r="CR1472" i="5"/>
  <c r="CR1471" i="5"/>
  <c r="CR1470" i="5"/>
  <c r="CR1469" i="5"/>
  <c r="CR1468" i="5"/>
  <c r="CR1467" i="5"/>
  <c r="CR1466" i="5"/>
  <c r="CR1465" i="5"/>
  <c r="CR1464" i="5"/>
  <c r="CR1463" i="5"/>
  <c r="CR1462" i="5"/>
  <c r="CR1461" i="5"/>
  <c r="CR1460" i="5"/>
  <c r="CR1459" i="5"/>
  <c r="CR1458" i="5"/>
  <c r="CR1457" i="5"/>
  <c r="CR1456" i="5"/>
  <c r="CR1455" i="5"/>
  <c r="CR1454" i="5"/>
  <c r="CR1453" i="5"/>
  <c r="CR1452" i="5"/>
  <c r="CR1451" i="5"/>
  <c r="CR1450" i="5"/>
  <c r="CR1449" i="5"/>
  <c r="CR1448" i="5"/>
  <c r="CR1447" i="5"/>
  <c r="CR1446" i="5"/>
  <c r="CR1445" i="5"/>
  <c r="CR1444" i="5"/>
  <c r="CR1443" i="5"/>
  <c r="CR1442" i="5"/>
  <c r="CR1441" i="5"/>
  <c r="CR1440" i="5"/>
  <c r="CR1439" i="5"/>
  <c r="CR1438" i="5"/>
  <c r="CR1437" i="5"/>
  <c r="CR1436" i="5"/>
  <c r="CR1435" i="5"/>
  <c r="CR1434" i="5"/>
  <c r="CR1433" i="5"/>
  <c r="CR1432" i="5"/>
  <c r="CR1431" i="5"/>
  <c r="CR1430" i="5"/>
  <c r="CR1429" i="5"/>
  <c r="CR1428" i="5"/>
  <c r="CR1427" i="5"/>
  <c r="CR1426" i="5"/>
  <c r="CR1425" i="5"/>
  <c r="CR1424" i="5"/>
  <c r="CR1423" i="5"/>
  <c r="CR1422" i="5"/>
  <c r="CR1421" i="5"/>
  <c r="CR1420" i="5"/>
  <c r="CR1419" i="5"/>
  <c r="CR1418" i="5"/>
  <c r="CR1417" i="5"/>
  <c r="CR1416" i="5"/>
  <c r="CR1415" i="5"/>
  <c r="CR1414" i="5"/>
  <c r="CR1413" i="5"/>
  <c r="CR1412" i="5"/>
  <c r="CR1411" i="5"/>
  <c r="CR1410" i="5"/>
  <c r="CR1409" i="5"/>
  <c r="CR1408" i="5"/>
  <c r="CR1407" i="5"/>
  <c r="CR1406" i="5"/>
  <c r="CR1405" i="5"/>
  <c r="CR1404" i="5"/>
  <c r="CR1403" i="5"/>
  <c r="CR1402" i="5"/>
  <c r="CR1401" i="5"/>
  <c r="CR1400" i="5"/>
  <c r="CR1399" i="5"/>
  <c r="CR1398" i="5"/>
  <c r="CR1397" i="5"/>
  <c r="CR1396" i="5"/>
  <c r="CR1395" i="5"/>
  <c r="CR1394" i="5"/>
  <c r="CR1393" i="5"/>
  <c r="CR1392" i="5"/>
  <c r="CR1391" i="5"/>
  <c r="CR1390" i="5"/>
  <c r="CR1389" i="5"/>
  <c r="CR1388" i="5"/>
  <c r="CR1387" i="5"/>
  <c r="CR1386" i="5"/>
  <c r="CR1385" i="5"/>
  <c r="CR1384" i="5"/>
  <c r="CR1383" i="5"/>
  <c r="CR1382" i="5"/>
  <c r="CR1381" i="5"/>
  <c r="CR1380" i="5"/>
  <c r="CR1379" i="5"/>
  <c r="CR1378" i="5"/>
  <c r="CR1377" i="5"/>
  <c r="CR1376" i="5"/>
  <c r="CR1375" i="5"/>
  <c r="CR1374" i="5"/>
  <c r="CR1373" i="5"/>
  <c r="CR1372" i="5"/>
  <c r="CR1371" i="5"/>
  <c r="CR1370" i="5"/>
  <c r="CR1369" i="5"/>
  <c r="CR1368" i="5"/>
  <c r="CR1367" i="5"/>
  <c r="CR1366" i="5"/>
  <c r="CR1365" i="5"/>
  <c r="CR1364" i="5"/>
  <c r="CR1363" i="5"/>
  <c r="CR1362" i="5"/>
  <c r="CR1361" i="5"/>
  <c r="CR1360" i="5"/>
  <c r="CR1359" i="5"/>
  <c r="CR1358" i="5"/>
  <c r="CR1357" i="5"/>
  <c r="CR1356" i="5"/>
  <c r="CR1355" i="5"/>
  <c r="CR1354" i="5"/>
  <c r="CR1353" i="5"/>
  <c r="CR1352" i="5"/>
  <c r="CR1351" i="5"/>
  <c r="CR1350" i="5"/>
  <c r="CR1349" i="5"/>
  <c r="CR1348" i="5"/>
  <c r="CR1347" i="5"/>
  <c r="CR1346" i="5"/>
  <c r="CR1345" i="5"/>
  <c r="CR1344" i="5"/>
  <c r="CR1343" i="5"/>
  <c r="CR1342" i="5"/>
  <c r="CR1341" i="5"/>
  <c r="CR1340" i="5"/>
  <c r="CR1339" i="5"/>
  <c r="CR1338" i="5"/>
  <c r="CR1337" i="5"/>
  <c r="CR1336" i="5"/>
  <c r="CR1335" i="5"/>
  <c r="CR1334" i="5"/>
  <c r="CR1333" i="5"/>
  <c r="CR1332" i="5"/>
  <c r="CR1331" i="5"/>
  <c r="CR1330" i="5"/>
  <c r="CR1329" i="5"/>
  <c r="CR1328" i="5"/>
  <c r="CR1327" i="5"/>
  <c r="CR1326" i="5"/>
  <c r="CR1325" i="5"/>
  <c r="CR1324" i="5"/>
  <c r="CR1323" i="5"/>
  <c r="CR1322" i="5"/>
  <c r="CR1321" i="5"/>
  <c r="CR1320" i="5"/>
  <c r="CR1319" i="5"/>
  <c r="CR1318" i="5"/>
  <c r="CR1317" i="5"/>
  <c r="CR1316" i="5"/>
  <c r="CR1315" i="5"/>
  <c r="CR1314" i="5"/>
  <c r="CR1313" i="5"/>
  <c r="CR1312" i="5"/>
  <c r="CR1311" i="5"/>
  <c r="CR1310" i="5"/>
  <c r="CR1309" i="5"/>
  <c r="CR1308" i="5"/>
  <c r="CR1307" i="5"/>
  <c r="CR1306" i="5"/>
  <c r="CR1305" i="5"/>
  <c r="CR1304" i="5"/>
  <c r="CR1303" i="5"/>
  <c r="CR1302" i="5"/>
  <c r="CR1301" i="5"/>
  <c r="CR1300" i="5"/>
  <c r="CR1299" i="5"/>
  <c r="CR1298" i="5"/>
  <c r="CR1297" i="5"/>
  <c r="CR1296" i="5"/>
  <c r="CR1295" i="5"/>
  <c r="CR1294" i="5"/>
  <c r="CR1293" i="5"/>
  <c r="CR1292" i="5"/>
  <c r="CR1291" i="5"/>
  <c r="CR1290" i="5"/>
  <c r="CR1289" i="5"/>
  <c r="CR1288" i="5"/>
  <c r="CR1287" i="5"/>
  <c r="CR1286" i="5"/>
  <c r="CR1285" i="5"/>
  <c r="CR1284" i="5"/>
  <c r="CR1283" i="5"/>
  <c r="CR1282" i="5"/>
  <c r="CR1281" i="5"/>
  <c r="CR1280" i="5"/>
  <c r="CR1279" i="5"/>
  <c r="CR1278" i="5"/>
  <c r="CR1277" i="5"/>
  <c r="CR1276" i="5"/>
  <c r="CR1275" i="5"/>
  <c r="CR1274" i="5"/>
  <c r="CR1273" i="5"/>
  <c r="CR1272" i="5"/>
  <c r="CR1271" i="5"/>
  <c r="CR1270" i="5"/>
  <c r="CR1269" i="5"/>
  <c r="CR1268" i="5"/>
  <c r="CR1267" i="5"/>
  <c r="CR1266" i="5"/>
  <c r="CR1265" i="5"/>
  <c r="CR1264" i="5"/>
  <c r="CR1263" i="5"/>
  <c r="CR1262" i="5"/>
  <c r="CR1261" i="5"/>
  <c r="CR1260" i="5"/>
  <c r="CR1259" i="5"/>
  <c r="CR1258" i="5"/>
  <c r="CR1257" i="5"/>
  <c r="CR1256" i="5"/>
  <c r="CR1255" i="5"/>
  <c r="CR1254" i="5"/>
  <c r="CR1253" i="5"/>
  <c r="CR1252" i="5"/>
  <c r="CR1251" i="5"/>
  <c r="CR1250" i="5"/>
  <c r="CR1249" i="5"/>
  <c r="CR1248" i="5"/>
  <c r="CR1247" i="5"/>
  <c r="CR1246" i="5"/>
  <c r="CR1245" i="5"/>
  <c r="CR1244" i="5"/>
  <c r="CR1243" i="5"/>
  <c r="CR1242" i="5"/>
  <c r="CR1241" i="5"/>
  <c r="CR1240" i="5"/>
  <c r="CR1239" i="5"/>
  <c r="CR1238" i="5"/>
  <c r="CR1237" i="5"/>
  <c r="CR1236" i="5"/>
  <c r="CR1235" i="5"/>
  <c r="CR1234" i="5"/>
  <c r="CR1233" i="5"/>
  <c r="CR1232" i="5"/>
  <c r="CR1231" i="5"/>
  <c r="CR1230" i="5"/>
  <c r="CR1229" i="5"/>
  <c r="CR1228" i="5"/>
  <c r="CR1227" i="5"/>
  <c r="CR1226" i="5"/>
  <c r="CR1225" i="5"/>
  <c r="CR1224" i="5"/>
  <c r="CR1223" i="5"/>
  <c r="CR1222" i="5"/>
  <c r="CR1221" i="5"/>
  <c r="CR1220" i="5"/>
  <c r="CR1219" i="5"/>
  <c r="CR1218" i="5"/>
  <c r="CR1217" i="5"/>
  <c r="CR1216" i="5"/>
  <c r="CR1215" i="5"/>
  <c r="CR1214" i="5"/>
  <c r="CR1213" i="5"/>
  <c r="CR1212" i="5"/>
  <c r="CR1211" i="5"/>
  <c r="CR1210" i="5"/>
  <c r="CR1209" i="5"/>
  <c r="CR1208" i="5"/>
  <c r="CR1207" i="5"/>
  <c r="CR1206" i="5"/>
  <c r="CR1205" i="5"/>
  <c r="CR1204" i="5"/>
  <c r="CR1203" i="5"/>
  <c r="CR1202" i="5"/>
  <c r="CR1201" i="5"/>
  <c r="CR1200" i="5"/>
  <c r="CR1199" i="5"/>
  <c r="CR1198" i="5"/>
  <c r="CR1197" i="5"/>
  <c r="CR1196" i="5"/>
  <c r="CR1195" i="5"/>
  <c r="CR1194" i="5"/>
  <c r="CR1193" i="5"/>
  <c r="CR1192" i="5"/>
  <c r="CR1191" i="5"/>
  <c r="CR1190" i="5"/>
  <c r="CR1189" i="5"/>
  <c r="CR1188" i="5"/>
  <c r="CR1187" i="5"/>
  <c r="CR1186" i="5"/>
  <c r="CR1185" i="5"/>
  <c r="CR1184" i="5"/>
  <c r="CR1183" i="5"/>
  <c r="CR1182" i="5"/>
  <c r="CR1181" i="5"/>
  <c r="CR1180" i="5"/>
  <c r="CR1179" i="5"/>
  <c r="CR1178" i="5"/>
  <c r="CR1177" i="5"/>
  <c r="CR1176" i="5"/>
  <c r="CR1175" i="5"/>
  <c r="CR1174" i="5"/>
  <c r="CR1173" i="5"/>
  <c r="CR1172" i="5"/>
  <c r="CR1171" i="5"/>
  <c r="CR1170" i="5"/>
  <c r="CR1169" i="5"/>
  <c r="CR1168" i="5"/>
  <c r="CR1167" i="5"/>
  <c r="CR1166" i="5"/>
  <c r="CR1165" i="5"/>
  <c r="CR1164" i="5"/>
  <c r="CR1163" i="5"/>
  <c r="CR1162" i="5"/>
  <c r="CR1161" i="5"/>
  <c r="CR1160" i="5"/>
  <c r="CR1159" i="5"/>
  <c r="CR1158" i="5"/>
  <c r="CR1157" i="5"/>
  <c r="CR1156" i="5"/>
  <c r="CR1155" i="5"/>
  <c r="CR1154" i="5"/>
  <c r="CR1153" i="5"/>
  <c r="CR1152" i="5"/>
  <c r="CR1151" i="5"/>
  <c r="CR1150" i="5"/>
  <c r="CR1149" i="5"/>
  <c r="CR1148" i="5"/>
  <c r="CR1147" i="5"/>
  <c r="CR1146" i="5"/>
  <c r="CR1145" i="5"/>
  <c r="CR1144" i="5"/>
  <c r="CR1143" i="5"/>
  <c r="CR1142" i="5"/>
  <c r="CR1141" i="5"/>
  <c r="CR1140" i="5"/>
  <c r="CR1139" i="5"/>
  <c r="CR1138" i="5"/>
  <c r="CR1137" i="5"/>
  <c r="CR1136" i="5"/>
  <c r="CR1135" i="5"/>
  <c r="CR1134" i="5"/>
  <c r="CR1133" i="5"/>
  <c r="CR1132" i="5"/>
  <c r="CR1131" i="5"/>
  <c r="CR1130" i="5"/>
  <c r="CR1129" i="5"/>
  <c r="CR1128" i="5"/>
  <c r="CR1127" i="5"/>
  <c r="CR1126" i="5"/>
  <c r="CR1125" i="5"/>
  <c r="CR1124" i="5"/>
  <c r="CR1123" i="5"/>
  <c r="CR1122" i="5"/>
  <c r="CR1121" i="5"/>
  <c r="CR1120" i="5"/>
  <c r="CR1119" i="5"/>
  <c r="CR1118" i="5"/>
  <c r="CR1117" i="5"/>
  <c r="CR1116" i="5"/>
  <c r="CR1115" i="5"/>
  <c r="CR1114" i="5"/>
  <c r="CR1113" i="5"/>
  <c r="CR1112" i="5"/>
  <c r="CR1111" i="5"/>
  <c r="CR1110" i="5"/>
  <c r="CR1109" i="5"/>
  <c r="CR1108" i="5"/>
  <c r="CR1107" i="5"/>
  <c r="CR1106" i="5"/>
  <c r="CR1105" i="5"/>
  <c r="CR1104" i="5"/>
  <c r="CR1103" i="5"/>
  <c r="CR1102" i="5"/>
  <c r="CR1101" i="5"/>
  <c r="CR1100" i="5"/>
  <c r="CR1099" i="5"/>
  <c r="CR1098" i="5"/>
  <c r="CR1097" i="5"/>
  <c r="CR1096" i="5"/>
  <c r="CR1095" i="5"/>
  <c r="CR1094" i="5"/>
  <c r="CR1093" i="5"/>
  <c r="CR1092" i="5"/>
  <c r="CR1091" i="5"/>
  <c r="CR1090" i="5"/>
  <c r="CR1089" i="5"/>
  <c r="CR1088" i="5"/>
  <c r="CR1087" i="5"/>
  <c r="CR1086" i="5"/>
  <c r="CR1085" i="5"/>
  <c r="CR1084" i="5"/>
  <c r="CR1083" i="5"/>
  <c r="CR1082" i="5"/>
  <c r="CR1081" i="5"/>
  <c r="CR1080" i="5"/>
  <c r="CR1079" i="5"/>
  <c r="CR1078" i="5"/>
  <c r="CR1077" i="5"/>
  <c r="CR1076" i="5"/>
  <c r="CR1075" i="5"/>
  <c r="CR1074" i="5"/>
  <c r="CR1073" i="5"/>
  <c r="CR1072" i="5"/>
  <c r="CR1071" i="5"/>
  <c r="CR1070" i="5"/>
  <c r="CR1069" i="5"/>
  <c r="CR1068" i="5"/>
  <c r="CR1067" i="5"/>
  <c r="CR1066" i="5"/>
  <c r="CR1065" i="5"/>
  <c r="CR1064" i="5"/>
  <c r="CR1063" i="5"/>
  <c r="CR1062" i="5"/>
  <c r="CR1061" i="5"/>
  <c r="CR1060" i="5"/>
  <c r="CR1059" i="5"/>
  <c r="CR1058" i="5"/>
  <c r="CR1057" i="5"/>
  <c r="CR1056" i="5"/>
  <c r="CR1055" i="5"/>
  <c r="CR1054" i="5"/>
  <c r="CR1053" i="5"/>
  <c r="CR1052" i="5"/>
  <c r="CR1051" i="5"/>
  <c r="CR1050" i="5"/>
  <c r="CR1049" i="5"/>
  <c r="CR1048" i="5"/>
  <c r="CR1047" i="5"/>
  <c r="CR1046" i="5"/>
  <c r="CR1045" i="5"/>
  <c r="CR1044" i="5"/>
  <c r="CR1043" i="5"/>
  <c r="CR1042" i="5"/>
  <c r="CR1041" i="5"/>
  <c r="CR1040" i="5"/>
  <c r="CR1039" i="5"/>
  <c r="CR1038" i="5"/>
  <c r="CR1037" i="5"/>
  <c r="CR1036" i="5"/>
  <c r="CR1035" i="5"/>
  <c r="CR1034" i="5"/>
  <c r="CR1033" i="5"/>
  <c r="CR1032" i="5"/>
  <c r="CR1031" i="5"/>
  <c r="CR1030" i="5"/>
  <c r="CR1029" i="5"/>
  <c r="CR1028" i="5"/>
  <c r="CR1027" i="5"/>
  <c r="CR1026" i="5"/>
  <c r="CR1025" i="5"/>
  <c r="CR1024" i="5"/>
  <c r="CR1023" i="5"/>
  <c r="CR1022" i="5"/>
  <c r="CR1021" i="5"/>
  <c r="CR1020" i="5"/>
  <c r="CR1019" i="5"/>
  <c r="CR1018" i="5"/>
  <c r="CR1017" i="5"/>
  <c r="CR1016" i="5"/>
  <c r="CR1015" i="5"/>
  <c r="CR1014" i="5"/>
  <c r="CR1013" i="5"/>
  <c r="CR1012" i="5"/>
  <c r="CR1011" i="5"/>
  <c r="CR1010" i="5"/>
  <c r="CR1009" i="5"/>
  <c r="CR1008" i="5"/>
  <c r="CR1007" i="5"/>
  <c r="CR1006" i="5"/>
  <c r="CR1005" i="5"/>
  <c r="CR1004" i="5"/>
  <c r="CR1003" i="5"/>
  <c r="CR1002" i="5"/>
  <c r="CR1001" i="5"/>
  <c r="CR1000" i="5"/>
  <c r="CR999" i="5"/>
  <c r="CR998" i="5"/>
  <c r="CR997" i="5"/>
  <c r="CR996" i="5"/>
  <c r="CR995" i="5"/>
  <c r="CR994" i="5"/>
  <c r="CR993" i="5"/>
  <c r="CR992" i="5"/>
  <c r="CR991" i="5"/>
  <c r="CR990" i="5"/>
  <c r="CR989" i="5"/>
  <c r="CR988" i="5"/>
  <c r="CR987" i="5"/>
  <c r="CR986" i="5"/>
  <c r="CR985" i="5"/>
  <c r="CR984" i="5"/>
  <c r="CR983" i="5"/>
  <c r="CR982" i="5"/>
  <c r="CR981" i="5"/>
  <c r="CR980" i="5"/>
  <c r="CR979" i="5"/>
  <c r="CR978" i="5"/>
  <c r="CR977" i="5"/>
  <c r="CR976" i="5"/>
  <c r="CR975" i="5"/>
  <c r="CR974" i="5"/>
  <c r="CR973" i="5"/>
  <c r="CR972" i="5"/>
  <c r="CR971" i="5"/>
  <c r="CR970" i="5"/>
  <c r="CR969" i="5"/>
  <c r="CR968" i="5"/>
  <c r="CR967" i="5"/>
  <c r="CR966" i="5"/>
  <c r="CR965" i="5"/>
  <c r="CR964" i="5"/>
  <c r="CR963" i="5"/>
  <c r="CR962" i="5"/>
  <c r="CR961" i="5"/>
  <c r="CR960" i="5"/>
  <c r="CR959" i="5"/>
  <c r="CR958" i="5"/>
  <c r="CR957" i="5"/>
  <c r="CR956" i="5"/>
  <c r="CR955" i="5"/>
  <c r="CR954" i="5"/>
  <c r="CR953" i="5"/>
  <c r="CR952" i="5"/>
  <c r="CR951" i="5"/>
  <c r="CR950" i="5"/>
  <c r="CR949" i="5"/>
  <c r="CR948" i="5"/>
  <c r="CR947" i="5"/>
  <c r="CR946" i="5"/>
  <c r="CR945" i="5"/>
  <c r="CR944" i="5"/>
  <c r="CR943" i="5"/>
  <c r="CR942" i="5"/>
  <c r="CR941" i="5"/>
  <c r="CR940" i="5"/>
  <c r="CR939" i="5"/>
  <c r="CR938" i="5"/>
  <c r="CR937" i="5"/>
  <c r="CR936" i="5"/>
  <c r="CR935" i="5"/>
  <c r="CR934" i="5"/>
  <c r="CR933" i="5"/>
  <c r="CR932" i="5"/>
  <c r="CR931" i="5"/>
  <c r="CR930" i="5"/>
  <c r="CR929" i="5"/>
  <c r="CR928" i="5"/>
  <c r="CR927" i="5"/>
  <c r="CR926" i="5"/>
  <c r="CR925" i="5"/>
  <c r="CR924" i="5"/>
  <c r="CR923" i="5"/>
  <c r="CR922" i="5"/>
  <c r="CR921" i="5"/>
  <c r="CR920" i="5"/>
  <c r="CR919" i="5"/>
  <c r="CR918" i="5"/>
  <c r="CR917" i="5"/>
  <c r="CR916" i="5"/>
  <c r="CR915" i="5"/>
  <c r="CR914" i="5"/>
  <c r="CR913" i="5"/>
  <c r="CR912" i="5"/>
  <c r="CR911" i="5"/>
  <c r="CR910" i="5"/>
  <c r="CR909" i="5"/>
  <c r="CR908" i="5"/>
  <c r="CR907" i="5"/>
  <c r="CR906" i="5"/>
  <c r="CR905" i="5"/>
  <c r="CR904" i="5"/>
  <c r="CR903" i="5"/>
  <c r="CR902" i="5"/>
  <c r="CR901" i="5"/>
  <c r="CR900" i="5"/>
  <c r="CR899" i="5"/>
  <c r="CR898" i="5"/>
  <c r="CR897" i="5"/>
  <c r="CR896" i="5"/>
  <c r="CR895" i="5"/>
  <c r="CR894" i="5"/>
  <c r="CR893" i="5"/>
  <c r="CR892" i="5"/>
  <c r="CR891" i="5"/>
  <c r="CR890" i="5"/>
  <c r="CR889" i="5"/>
  <c r="CR888" i="5"/>
  <c r="CR887" i="5"/>
  <c r="CR886" i="5"/>
  <c r="CR885" i="5"/>
  <c r="CR884" i="5"/>
  <c r="CR883" i="5"/>
  <c r="CR882" i="5"/>
  <c r="CR881" i="5"/>
  <c r="CR880" i="5"/>
  <c r="CR879" i="5"/>
  <c r="CR878" i="5"/>
  <c r="CR877" i="5"/>
  <c r="CR876" i="5"/>
  <c r="CR875" i="5"/>
  <c r="CR874" i="5"/>
  <c r="CR873" i="5"/>
  <c r="CR872" i="5"/>
  <c r="CR871" i="5"/>
  <c r="CR870" i="5"/>
  <c r="CR869" i="5"/>
  <c r="CR868" i="5"/>
  <c r="CR867" i="5"/>
  <c r="CR866" i="5"/>
  <c r="CR865" i="5"/>
  <c r="CR864" i="5"/>
  <c r="CR863" i="5"/>
  <c r="CR862" i="5"/>
  <c r="CR861" i="5"/>
  <c r="CR860" i="5"/>
  <c r="CR859" i="5"/>
  <c r="CR858" i="5"/>
  <c r="CR857" i="5"/>
  <c r="CR856" i="5"/>
  <c r="CR855" i="5"/>
  <c r="CR854" i="5"/>
  <c r="CR853" i="5"/>
  <c r="CR852" i="5"/>
  <c r="CR851" i="5"/>
  <c r="CR850" i="5"/>
  <c r="CR849" i="5"/>
  <c r="CR848" i="5"/>
  <c r="CR847" i="5"/>
  <c r="CR846" i="5"/>
  <c r="CR845" i="5"/>
  <c r="CR844" i="5"/>
  <c r="CR843" i="5"/>
  <c r="CR842" i="5"/>
  <c r="CR841" i="5"/>
  <c r="CR840" i="5"/>
  <c r="CR839" i="5"/>
  <c r="CR838" i="5"/>
  <c r="CR837" i="5"/>
  <c r="CR836" i="5"/>
  <c r="CR835" i="5"/>
  <c r="CR834" i="5"/>
  <c r="CR833" i="5"/>
  <c r="CR832" i="5"/>
  <c r="CR831" i="5"/>
  <c r="CR830" i="5"/>
  <c r="CR829" i="5"/>
  <c r="CR828" i="5"/>
  <c r="CR827" i="5"/>
  <c r="CR826" i="5"/>
  <c r="CR825" i="5"/>
  <c r="CR824" i="5"/>
  <c r="CR823" i="5"/>
  <c r="CR822" i="5"/>
  <c r="CR821" i="5"/>
  <c r="CR820" i="5"/>
  <c r="CR819" i="5"/>
  <c r="CR818" i="5"/>
  <c r="CR817" i="5"/>
  <c r="CR816" i="5"/>
  <c r="CR815" i="5"/>
  <c r="CR814" i="5"/>
  <c r="CR813" i="5"/>
  <c r="CR812" i="5"/>
  <c r="CR811" i="5"/>
  <c r="CR810" i="5"/>
  <c r="CR809" i="5"/>
  <c r="CR808" i="5"/>
  <c r="CR807" i="5"/>
  <c r="CR806" i="5"/>
  <c r="CR805" i="5"/>
  <c r="CR804" i="5"/>
  <c r="CR803" i="5"/>
  <c r="CR802" i="5"/>
  <c r="CR801" i="5"/>
  <c r="CR800" i="5"/>
  <c r="CR799" i="5"/>
  <c r="CR798" i="5"/>
  <c r="CR797" i="5"/>
  <c r="CR796" i="5"/>
  <c r="CR795" i="5"/>
  <c r="CR794" i="5"/>
  <c r="CR793" i="5"/>
  <c r="CR792" i="5"/>
  <c r="CR791" i="5"/>
  <c r="CR790" i="5"/>
  <c r="CR789" i="5"/>
  <c r="CR788" i="5"/>
  <c r="CR787" i="5"/>
  <c r="CR786" i="5"/>
  <c r="CR785" i="5"/>
  <c r="CR784" i="5"/>
  <c r="CR783" i="5"/>
  <c r="CR782" i="5"/>
  <c r="CR781" i="5"/>
  <c r="CR780" i="5"/>
  <c r="CR779" i="5"/>
  <c r="CR778" i="5"/>
  <c r="CR777" i="5"/>
  <c r="CR776" i="5"/>
  <c r="CR775" i="5"/>
  <c r="CR774" i="5"/>
  <c r="CR773" i="5"/>
  <c r="CR772" i="5"/>
  <c r="CR771" i="5"/>
  <c r="CR770" i="5"/>
  <c r="CR769" i="5"/>
  <c r="CR768" i="5"/>
  <c r="CR767" i="5"/>
  <c r="CR766" i="5"/>
  <c r="CR765" i="5"/>
  <c r="CR764" i="5"/>
  <c r="CR763" i="5"/>
  <c r="CR762" i="5"/>
  <c r="CR761" i="5"/>
  <c r="CR760" i="5"/>
  <c r="CR759" i="5"/>
  <c r="CR758" i="5"/>
  <c r="CR757" i="5"/>
  <c r="CR756" i="5"/>
  <c r="CR755" i="5"/>
  <c r="CR754" i="5"/>
  <c r="CR753" i="5"/>
  <c r="CR752" i="5"/>
  <c r="CR751" i="5"/>
  <c r="CR750" i="5"/>
  <c r="CR749" i="5"/>
  <c r="CR748" i="5"/>
  <c r="CR747" i="5"/>
  <c r="CR746" i="5"/>
  <c r="CR745" i="5"/>
  <c r="CR744" i="5"/>
  <c r="CR743" i="5"/>
  <c r="CR742" i="5"/>
  <c r="CR741" i="5"/>
  <c r="CR740" i="5"/>
  <c r="CR739" i="5"/>
  <c r="CR738" i="5"/>
  <c r="CR737" i="5"/>
  <c r="CR736" i="5"/>
  <c r="CR735" i="5"/>
  <c r="CR734" i="5"/>
  <c r="CR733" i="5"/>
  <c r="CR732" i="5"/>
  <c r="CR731" i="5"/>
  <c r="CR730" i="5"/>
  <c r="CR729" i="5"/>
  <c r="CR728" i="5"/>
  <c r="CR727" i="5"/>
  <c r="CR726" i="5"/>
  <c r="CR725" i="5"/>
  <c r="CR724" i="5"/>
  <c r="CR723" i="5"/>
  <c r="CR722" i="5"/>
  <c r="CR721" i="5"/>
  <c r="CR720" i="5"/>
  <c r="CR719" i="5"/>
  <c r="CR718" i="5"/>
  <c r="CR717" i="5"/>
  <c r="CR716" i="5"/>
  <c r="CR715" i="5"/>
  <c r="CR714" i="5"/>
  <c r="CR713" i="5"/>
  <c r="CR712" i="5"/>
  <c r="CR711" i="5"/>
  <c r="CR710" i="5"/>
  <c r="CR709" i="5"/>
  <c r="CR708" i="5"/>
  <c r="CR707" i="5"/>
  <c r="CR706" i="5"/>
  <c r="CR705" i="5"/>
  <c r="CR704" i="5"/>
  <c r="CR703" i="5"/>
  <c r="CR702" i="5"/>
  <c r="CR701" i="5"/>
  <c r="CR700" i="5"/>
  <c r="CR699" i="5"/>
  <c r="CR698" i="5"/>
  <c r="CR697" i="5"/>
  <c r="CR696" i="5"/>
  <c r="CR695" i="5"/>
  <c r="CR694" i="5"/>
  <c r="CR693" i="5"/>
  <c r="CR692" i="5"/>
  <c r="CR691" i="5"/>
  <c r="CR690" i="5"/>
  <c r="CR689" i="5"/>
  <c r="CR688" i="5"/>
  <c r="CR687" i="5"/>
  <c r="CR686" i="5"/>
  <c r="CR685" i="5"/>
  <c r="CR684" i="5"/>
  <c r="CR683" i="5"/>
  <c r="CR682" i="5"/>
  <c r="CR681" i="5"/>
  <c r="CR680" i="5"/>
  <c r="CR679" i="5"/>
  <c r="CR678" i="5"/>
  <c r="CR677" i="5"/>
  <c r="CR676" i="5"/>
  <c r="CR675" i="5"/>
  <c r="CR674" i="5"/>
  <c r="CR673" i="5"/>
  <c r="CR672" i="5"/>
  <c r="CR671" i="5"/>
  <c r="CR670" i="5"/>
  <c r="CR669" i="5"/>
  <c r="CR668" i="5"/>
  <c r="CR667" i="5"/>
  <c r="CR666" i="5"/>
  <c r="CR665" i="5"/>
  <c r="CR664" i="5"/>
  <c r="CR663" i="5"/>
  <c r="CR662" i="5"/>
  <c r="CR661" i="5"/>
  <c r="CR660" i="5"/>
  <c r="CR659" i="5"/>
  <c r="CR658" i="5"/>
  <c r="CR657" i="5"/>
  <c r="CR656" i="5"/>
  <c r="CR655" i="5"/>
  <c r="CR654" i="5"/>
  <c r="CR653" i="5"/>
  <c r="CR652" i="5"/>
  <c r="CR651" i="5"/>
  <c r="CR650" i="5"/>
  <c r="CR649" i="5"/>
  <c r="CR648" i="5"/>
  <c r="CR647" i="5"/>
  <c r="CR646" i="5"/>
  <c r="CR645" i="5"/>
  <c r="CR644" i="5"/>
  <c r="CR643" i="5"/>
  <c r="CR642" i="5"/>
  <c r="CR641" i="5"/>
  <c r="CR640" i="5"/>
  <c r="CR639" i="5"/>
  <c r="CR638" i="5"/>
  <c r="CR637" i="5"/>
  <c r="CR636" i="5"/>
  <c r="CR635" i="5"/>
  <c r="CR634" i="5"/>
  <c r="CR633" i="5"/>
  <c r="CR632" i="5"/>
  <c r="CR631" i="5"/>
  <c r="CR630" i="5"/>
  <c r="CR629" i="5"/>
  <c r="CR628" i="5"/>
  <c r="CR627" i="5"/>
  <c r="CR626" i="5"/>
  <c r="CR625" i="5"/>
  <c r="CR624" i="5"/>
  <c r="CR623" i="5"/>
  <c r="CR622" i="5"/>
  <c r="CR621" i="5"/>
  <c r="CR620" i="5"/>
  <c r="CR619" i="5"/>
  <c r="CR618" i="5"/>
  <c r="CR617" i="5"/>
  <c r="CR616" i="5"/>
  <c r="CR615" i="5"/>
  <c r="CR614" i="5"/>
  <c r="CR613" i="5"/>
  <c r="CR612" i="5"/>
  <c r="CR611" i="5"/>
  <c r="CR610" i="5"/>
  <c r="CR609" i="5"/>
  <c r="CR608" i="5"/>
  <c r="CR607" i="5"/>
  <c r="CR606" i="5"/>
  <c r="CR605" i="5"/>
  <c r="CR604" i="5"/>
  <c r="CR603" i="5"/>
  <c r="CR602" i="5"/>
  <c r="CR601" i="5"/>
  <c r="CR600" i="5"/>
  <c r="CR599" i="5"/>
  <c r="CR598" i="5"/>
  <c r="CR597" i="5"/>
  <c r="CR596" i="5"/>
  <c r="CR595" i="5"/>
  <c r="CR594" i="5"/>
  <c r="CR593" i="5"/>
  <c r="CR592" i="5"/>
  <c r="CR591" i="5"/>
  <c r="CR590" i="5"/>
  <c r="CR589" i="5"/>
  <c r="CR588" i="5"/>
  <c r="CR587" i="5"/>
  <c r="CR586" i="5"/>
  <c r="CR585" i="5"/>
  <c r="CR584" i="5"/>
  <c r="CR583" i="5"/>
  <c r="CR582" i="5"/>
  <c r="CR581" i="5"/>
  <c r="CR580" i="5"/>
  <c r="CR579" i="5"/>
  <c r="CR578" i="5"/>
  <c r="CR577" i="5"/>
  <c r="CR576" i="5"/>
  <c r="CR575" i="5"/>
  <c r="CR574" i="5"/>
  <c r="CR573" i="5"/>
  <c r="CR572" i="5"/>
  <c r="CR571" i="5"/>
  <c r="CR570" i="5"/>
  <c r="CR569" i="5"/>
  <c r="CR568" i="5"/>
  <c r="CR567" i="5"/>
  <c r="CR566" i="5"/>
  <c r="CR565" i="5"/>
  <c r="CR564" i="5"/>
  <c r="CR563" i="5"/>
  <c r="CR562" i="5"/>
  <c r="CR561" i="5"/>
  <c r="CR560" i="5"/>
  <c r="CR559" i="5"/>
  <c r="CR558" i="5"/>
  <c r="CR557" i="5"/>
  <c r="CR556" i="5"/>
  <c r="CR555" i="5"/>
  <c r="CR554" i="5"/>
  <c r="CR553" i="5"/>
  <c r="CR552" i="5"/>
  <c r="CR551" i="5"/>
  <c r="CR550" i="5"/>
  <c r="CR549" i="5"/>
  <c r="CR548" i="5"/>
  <c r="CR547" i="5"/>
  <c r="CR546" i="5"/>
  <c r="CR545" i="5"/>
  <c r="CR544" i="5"/>
  <c r="CR543" i="5"/>
  <c r="CR542" i="5"/>
  <c r="CR541" i="5"/>
  <c r="CR540" i="5"/>
  <c r="CR539" i="5"/>
  <c r="CR538" i="5"/>
  <c r="CR537" i="5"/>
  <c r="CR536" i="5"/>
  <c r="CR535" i="5"/>
  <c r="CR534" i="5"/>
  <c r="CR533" i="5"/>
  <c r="CR532" i="5"/>
  <c r="CR531" i="5"/>
  <c r="CR530" i="5"/>
  <c r="CR529" i="5"/>
  <c r="CR528" i="5"/>
  <c r="CR527" i="5"/>
  <c r="CR526" i="5"/>
  <c r="CR525" i="5"/>
  <c r="CR524" i="5"/>
  <c r="CR523" i="5"/>
  <c r="CR522" i="5"/>
  <c r="CR521" i="5"/>
  <c r="CR520" i="5"/>
  <c r="CR519" i="5"/>
  <c r="CR518" i="5"/>
  <c r="CR517" i="5"/>
  <c r="CR516" i="5"/>
  <c r="CR515" i="5"/>
  <c r="CR514" i="5"/>
  <c r="CR513" i="5"/>
  <c r="CR512" i="5"/>
  <c r="CR511" i="5"/>
  <c r="CR510" i="5"/>
  <c r="CR509" i="5"/>
  <c r="CR508" i="5"/>
  <c r="CR507" i="5"/>
  <c r="CR506" i="5"/>
  <c r="CR505" i="5"/>
  <c r="CR504" i="5"/>
  <c r="CR503" i="5"/>
  <c r="CR502" i="5"/>
  <c r="CR501" i="5"/>
  <c r="CR500" i="5"/>
  <c r="CR499" i="5"/>
  <c r="CR498" i="5"/>
  <c r="CR497" i="5"/>
  <c r="CR496" i="5"/>
  <c r="CR495" i="5"/>
  <c r="CR494" i="5"/>
  <c r="CR493" i="5"/>
  <c r="CR492" i="5"/>
  <c r="CR491" i="5"/>
  <c r="CR490" i="5"/>
  <c r="CR489" i="5"/>
  <c r="CR488" i="5"/>
  <c r="CR487" i="5"/>
  <c r="CR486" i="5"/>
  <c r="CR485" i="5"/>
  <c r="CR484" i="5"/>
  <c r="CR483" i="5"/>
  <c r="CR482" i="5"/>
  <c r="CR481" i="5"/>
  <c r="CR480" i="5"/>
  <c r="CR479" i="5"/>
  <c r="CR478" i="5"/>
  <c r="CR477" i="5"/>
  <c r="CR476" i="5"/>
  <c r="CR475" i="5"/>
  <c r="CR474" i="5"/>
  <c r="CR473" i="5"/>
  <c r="CR472" i="5"/>
  <c r="CR471" i="5"/>
  <c r="CR470" i="5"/>
  <c r="CR469" i="5"/>
  <c r="CR468" i="5"/>
  <c r="CR467" i="5"/>
  <c r="CR466" i="5"/>
  <c r="CR465" i="5"/>
  <c r="CR464" i="5"/>
  <c r="CR463" i="5"/>
  <c r="CR462" i="5"/>
  <c r="CR461" i="5"/>
  <c r="CR460" i="5"/>
  <c r="CR459" i="5"/>
  <c r="CR458" i="5"/>
  <c r="CR457" i="5"/>
  <c r="CR456" i="5"/>
  <c r="CR455" i="5"/>
  <c r="CR454" i="5"/>
  <c r="CR453" i="5"/>
  <c r="CR452" i="5"/>
  <c r="CR451" i="5"/>
  <c r="CR450" i="5"/>
  <c r="CR449" i="5"/>
  <c r="CR448" i="5"/>
  <c r="CR447" i="5"/>
  <c r="CR446" i="5"/>
  <c r="CR445" i="5"/>
  <c r="CR444" i="5"/>
  <c r="CR443" i="5"/>
  <c r="CR442" i="5"/>
  <c r="CR441" i="5"/>
  <c r="CR440" i="5"/>
  <c r="CR439" i="5"/>
  <c r="CR438" i="5"/>
  <c r="CR437" i="5"/>
  <c r="CR436" i="5"/>
  <c r="CR435" i="5"/>
  <c r="CR434" i="5"/>
  <c r="CR433" i="5"/>
  <c r="CR432" i="5"/>
  <c r="CR431" i="5"/>
  <c r="CR430" i="5"/>
  <c r="CR429" i="5"/>
  <c r="CR428" i="5"/>
  <c r="CR427" i="5"/>
  <c r="CR426" i="5"/>
  <c r="CR425" i="5"/>
  <c r="CR424" i="5"/>
  <c r="CR423" i="5"/>
  <c r="CR422" i="5"/>
  <c r="CR421" i="5"/>
  <c r="CR420" i="5"/>
  <c r="CR419" i="5"/>
  <c r="CR418" i="5"/>
  <c r="CR417" i="5"/>
  <c r="CR416" i="5"/>
  <c r="CR415" i="5"/>
  <c r="CR414" i="5"/>
  <c r="CR413" i="5"/>
  <c r="CR412" i="5"/>
  <c r="CR411" i="5"/>
  <c r="CR410" i="5"/>
  <c r="CR409" i="5"/>
  <c r="CR408" i="5"/>
  <c r="CR407" i="5"/>
  <c r="CR406" i="5"/>
  <c r="CR405" i="5"/>
  <c r="CR404" i="5"/>
  <c r="CR403" i="5"/>
  <c r="CR402" i="5"/>
  <c r="CR401" i="5"/>
  <c r="CR400" i="5"/>
  <c r="CR399" i="5"/>
  <c r="CR398" i="5"/>
  <c r="CR397" i="5"/>
  <c r="CR396" i="5"/>
  <c r="CR395" i="5"/>
  <c r="CR394" i="5"/>
  <c r="CR393" i="5"/>
  <c r="CR392" i="5"/>
  <c r="CR391" i="5"/>
  <c r="CR390" i="5"/>
  <c r="CR389" i="5"/>
  <c r="CR388" i="5"/>
  <c r="CR387" i="5"/>
  <c r="CR386" i="5"/>
  <c r="CR385" i="5"/>
  <c r="CR384" i="5"/>
  <c r="CR383" i="5"/>
  <c r="CR382" i="5"/>
  <c r="CR381" i="5"/>
  <c r="CR380" i="5"/>
  <c r="CR379" i="5"/>
  <c r="CR378" i="5"/>
  <c r="CR377" i="5"/>
  <c r="CR376" i="5"/>
  <c r="CR375" i="5"/>
  <c r="CR374" i="5"/>
  <c r="CR373" i="5"/>
  <c r="CR372" i="5"/>
  <c r="CR371" i="5"/>
  <c r="CR370" i="5"/>
  <c r="CR369" i="5"/>
  <c r="CR368" i="5"/>
  <c r="CR367" i="5"/>
  <c r="CR366" i="5"/>
  <c r="CR365" i="5"/>
  <c r="CR364" i="5"/>
  <c r="CR363" i="5"/>
  <c r="CR362" i="5"/>
  <c r="CR361" i="5"/>
  <c r="CR360" i="5"/>
  <c r="CR359" i="5"/>
  <c r="CR358" i="5"/>
  <c r="CR357" i="5"/>
  <c r="CR356" i="5"/>
  <c r="CR355" i="5"/>
  <c r="CR354" i="5"/>
  <c r="CR353" i="5"/>
  <c r="CR352" i="5"/>
  <c r="CR351" i="5"/>
  <c r="CR350" i="5"/>
  <c r="CR349" i="5"/>
  <c r="CR348" i="5"/>
  <c r="CR347" i="5"/>
  <c r="CR346" i="5"/>
  <c r="CR345" i="5"/>
  <c r="CR344" i="5"/>
  <c r="CR343" i="5"/>
  <c r="CR342" i="5"/>
  <c r="CR341" i="5"/>
  <c r="CR340" i="5"/>
  <c r="CR339" i="5"/>
  <c r="CR338" i="5"/>
  <c r="CR337" i="5"/>
  <c r="CR336" i="5"/>
  <c r="CR335" i="5"/>
  <c r="CR334" i="5"/>
  <c r="CR333" i="5"/>
  <c r="CR332" i="5"/>
  <c r="CR331" i="5"/>
  <c r="CR330" i="5"/>
  <c r="CR329" i="5"/>
  <c r="CR328" i="5"/>
  <c r="CR327" i="5"/>
  <c r="CR326" i="5"/>
  <c r="CR325" i="5"/>
  <c r="CR324" i="5"/>
  <c r="CR323" i="5"/>
  <c r="CR322" i="5"/>
  <c r="CR321" i="5"/>
  <c r="CR320" i="5"/>
  <c r="CR319" i="5"/>
  <c r="CR318" i="5"/>
  <c r="CR317" i="5"/>
  <c r="CR316" i="5"/>
  <c r="CR315" i="5"/>
  <c r="CR314" i="5"/>
  <c r="CR313" i="5"/>
  <c r="CR312" i="5"/>
  <c r="CR311" i="5"/>
  <c r="CR310" i="5"/>
  <c r="CR309" i="5"/>
  <c r="CR308" i="5"/>
  <c r="CR307" i="5"/>
  <c r="CR306" i="5"/>
  <c r="CR305" i="5"/>
  <c r="CR304" i="5"/>
  <c r="CR303" i="5"/>
  <c r="CR302" i="5"/>
  <c r="CR301" i="5"/>
  <c r="CR300" i="5"/>
  <c r="CR299" i="5"/>
  <c r="CR298" i="5"/>
  <c r="CR297" i="5"/>
  <c r="CR296" i="5"/>
  <c r="CR295" i="5"/>
  <c r="CR294" i="5"/>
  <c r="CR293" i="5"/>
  <c r="CR292" i="5"/>
  <c r="CR291" i="5"/>
  <c r="CR290" i="5"/>
  <c r="CR289" i="5"/>
  <c r="CR288" i="5"/>
  <c r="CR287" i="5"/>
  <c r="CR286" i="5"/>
  <c r="CR285" i="5"/>
  <c r="CR284" i="5"/>
  <c r="CR283" i="5"/>
  <c r="CR282" i="5"/>
  <c r="CR281" i="5"/>
  <c r="CR280" i="5"/>
  <c r="CR279" i="5"/>
  <c r="CR278" i="5"/>
  <c r="CR277" i="5"/>
  <c r="CR276" i="5"/>
  <c r="CR275" i="5"/>
  <c r="CR274" i="5"/>
  <c r="CR273" i="5"/>
  <c r="CR272" i="5"/>
  <c r="CR271" i="5"/>
  <c r="CR270" i="5"/>
  <c r="CR269" i="5"/>
  <c r="CR268" i="5"/>
  <c r="CR267" i="5"/>
  <c r="CR266" i="5"/>
  <c r="CR265" i="5"/>
  <c r="CR264" i="5"/>
  <c r="CR263" i="5"/>
  <c r="CR262" i="5"/>
  <c r="CR261" i="5"/>
  <c r="CR260" i="5"/>
  <c r="CR259" i="5"/>
  <c r="CR258" i="5"/>
  <c r="CR257" i="5"/>
  <c r="CR256" i="5"/>
  <c r="CR255" i="5"/>
  <c r="CR254" i="5"/>
  <c r="CR253" i="5"/>
  <c r="CR252" i="5"/>
  <c r="CR251" i="5"/>
  <c r="CR250" i="5"/>
  <c r="CR249" i="5"/>
  <c r="CR248" i="5"/>
  <c r="CR247" i="5"/>
  <c r="CR246" i="5"/>
  <c r="CR245" i="5"/>
  <c r="CR244" i="5"/>
  <c r="CR243" i="5"/>
  <c r="CR242" i="5"/>
  <c r="CR241" i="5"/>
  <c r="CR240" i="5"/>
  <c r="CR239" i="5"/>
  <c r="CR238" i="5"/>
  <c r="CR237" i="5"/>
  <c r="CR236" i="5"/>
  <c r="CR235" i="5"/>
  <c r="CR234" i="5"/>
  <c r="CR233" i="5"/>
  <c r="CR232" i="5"/>
  <c r="CR231" i="5"/>
  <c r="CR230" i="5"/>
  <c r="CR229" i="5"/>
  <c r="CR228" i="5"/>
  <c r="CR227" i="5"/>
  <c r="CR226" i="5"/>
  <c r="CR225" i="5"/>
  <c r="CR224" i="5"/>
  <c r="CR223" i="5"/>
  <c r="CR222" i="5"/>
  <c r="CR221" i="5"/>
  <c r="CR220" i="5"/>
  <c r="CR219" i="5"/>
  <c r="CR218" i="5"/>
  <c r="CR217" i="5"/>
  <c r="CR216" i="5"/>
  <c r="CR215" i="5"/>
  <c r="CR214" i="5"/>
  <c r="CR213" i="5"/>
  <c r="CR212" i="5"/>
  <c r="CR211" i="5"/>
  <c r="CR210" i="5"/>
  <c r="CR209" i="5"/>
  <c r="CR208" i="5"/>
  <c r="CR207" i="5"/>
  <c r="CR206" i="5"/>
  <c r="CR205" i="5"/>
  <c r="CR204" i="5"/>
  <c r="CR203" i="5"/>
  <c r="CR202" i="5"/>
  <c r="CR201" i="5"/>
  <c r="CR200" i="5"/>
  <c r="CR199" i="5"/>
  <c r="CR198" i="5"/>
  <c r="CR197" i="5"/>
  <c r="CR196" i="5"/>
  <c r="CR195" i="5"/>
  <c r="CR194" i="5"/>
  <c r="CR193" i="5"/>
  <c r="CR192" i="5"/>
  <c r="CR191" i="5"/>
  <c r="CR190" i="5"/>
  <c r="CR189" i="5"/>
  <c r="CR188" i="5"/>
  <c r="CR187" i="5"/>
  <c r="CR186" i="5"/>
  <c r="CR185" i="5"/>
  <c r="CR184" i="5"/>
  <c r="CR183" i="5"/>
  <c r="CR182" i="5"/>
  <c r="CR181" i="5"/>
  <c r="CR180" i="5"/>
  <c r="CR179" i="5"/>
  <c r="CR178" i="5"/>
  <c r="CR177" i="5"/>
  <c r="CR176" i="5"/>
  <c r="CR175" i="5"/>
  <c r="CR174" i="5"/>
  <c r="CR173" i="5"/>
  <c r="CR172" i="5"/>
  <c r="CR171" i="5"/>
  <c r="CR170" i="5"/>
  <c r="CR169" i="5"/>
  <c r="CR168" i="5"/>
  <c r="CR167" i="5"/>
  <c r="CR166" i="5"/>
  <c r="CR165" i="5"/>
  <c r="CR164" i="5"/>
  <c r="CR163" i="5"/>
  <c r="CR162" i="5"/>
  <c r="CR161" i="5"/>
  <c r="CR160" i="5"/>
  <c r="CR159" i="5"/>
  <c r="CR158" i="5"/>
  <c r="CR157" i="5"/>
  <c r="CR156" i="5"/>
  <c r="CR155" i="5"/>
  <c r="CR154" i="5"/>
  <c r="CR153" i="5"/>
  <c r="CR152" i="5"/>
  <c r="CR151" i="5"/>
  <c r="CR150" i="5"/>
  <c r="CR149" i="5"/>
  <c r="CR148" i="5"/>
  <c r="CR147" i="5"/>
  <c r="CR146" i="5"/>
  <c r="CR145" i="5"/>
  <c r="CR144" i="5"/>
  <c r="CR143" i="5"/>
  <c r="CR142" i="5"/>
  <c r="CR141" i="5"/>
  <c r="CR140" i="5"/>
  <c r="CR139" i="5"/>
  <c r="CR138" i="5"/>
  <c r="CR137" i="5"/>
  <c r="CR136" i="5"/>
  <c r="CR135" i="5"/>
  <c r="CR134" i="5"/>
  <c r="CR133" i="5"/>
  <c r="CR132" i="5"/>
  <c r="CR131" i="5"/>
  <c r="CR130" i="5"/>
  <c r="CR129" i="5"/>
  <c r="CR128" i="5"/>
  <c r="CR127" i="5"/>
  <c r="CR126" i="5"/>
  <c r="CR125" i="5"/>
  <c r="CR124" i="5"/>
  <c r="CR123" i="5"/>
  <c r="CR122" i="5"/>
  <c r="CR121" i="5"/>
  <c r="CR120" i="5"/>
  <c r="CR119" i="5"/>
  <c r="CR118" i="5"/>
  <c r="CR117" i="5"/>
  <c r="CR116" i="5"/>
  <c r="CR115" i="5"/>
  <c r="CR114" i="5"/>
  <c r="CR113" i="5"/>
  <c r="CR112" i="5"/>
  <c r="CR111" i="5"/>
  <c r="CR110" i="5"/>
  <c r="CR109" i="5"/>
  <c r="CR108" i="5"/>
  <c r="CR107" i="5"/>
  <c r="CR106" i="5"/>
  <c r="CR105" i="5"/>
  <c r="CR104" i="5"/>
  <c r="CR103" i="5"/>
  <c r="CR102" i="5"/>
  <c r="CR101" i="5"/>
  <c r="CR100" i="5"/>
  <c r="CR99" i="5"/>
  <c r="CR98" i="5"/>
  <c r="CR97" i="5"/>
  <c r="CR96" i="5"/>
  <c r="CR95" i="5"/>
  <c r="CR94" i="5"/>
  <c r="CR93" i="5"/>
  <c r="CR92" i="5"/>
  <c r="CR91" i="5"/>
  <c r="CR90" i="5"/>
  <c r="CR89" i="5"/>
  <c r="CR88" i="5"/>
  <c r="CR87" i="5"/>
  <c r="CR86" i="5"/>
  <c r="CR85" i="5"/>
  <c r="CR84" i="5"/>
  <c r="CR83" i="5"/>
  <c r="CR82" i="5"/>
  <c r="CR81" i="5"/>
  <c r="CR80" i="5"/>
  <c r="CR79" i="5"/>
  <c r="CR78" i="5"/>
  <c r="CR77" i="5"/>
  <c r="CR76" i="5"/>
  <c r="CR75" i="5"/>
  <c r="CR74" i="5"/>
  <c r="CR73" i="5"/>
  <c r="CR72" i="5"/>
  <c r="CR71" i="5"/>
  <c r="CR70" i="5"/>
  <c r="CR69" i="5"/>
  <c r="CR68" i="5"/>
  <c r="CR67" i="5"/>
  <c r="CR66" i="5"/>
  <c r="CR65" i="5"/>
  <c r="CR64" i="5"/>
  <c r="CR63" i="5"/>
  <c r="CR62" i="5"/>
  <c r="CR61" i="5"/>
  <c r="CR60" i="5"/>
  <c r="CR59" i="5"/>
  <c r="CR58" i="5"/>
  <c r="CR57" i="5"/>
  <c r="CR56" i="5"/>
  <c r="CR55" i="5"/>
  <c r="CR54" i="5"/>
  <c r="CR53" i="5"/>
  <c r="CR52" i="5"/>
  <c r="CR51" i="5"/>
  <c r="CR50" i="5"/>
  <c r="CR49" i="5"/>
  <c r="CR48" i="5"/>
  <c r="CR47" i="5"/>
  <c r="CR46" i="5"/>
  <c r="CR45" i="5"/>
  <c r="CR44" i="5"/>
  <c r="CR43" i="5"/>
  <c r="CR42" i="5"/>
  <c r="CR41" i="5"/>
  <c r="CR40" i="5"/>
  <c r="CR39" i="5"/>
  <c r="CR38" i="5"/>
  <c r="CR37" i="5"/>
  <c r="CR36" i="5"/>
  <c r="CR35" i="5"/>
  <c r="CR34" i="5"/>
  <c r="CR33" i="5"/>
  <c r="CR32" i="5"/>
  <c r="CR31" i="5"/>
  <c r="CR30" i="5"/>
  <c r="CR29" i="5"/>
  <c r="CR28" i="5"/>
  <c r="CR27" i="5"/>
  <c r="CR26" i="5"/>
  <c r="CR25" i="5"/>
  <c r="CR24" i="5"/>
  <c r="CR23" i="5"/>
  <c r="CR22" i="5"/>
  <c r="CR21" i="5"/>
  <c r="CR20" i="5"/>
  <c r="CR19" i="5"/>
  <c r="CR18" i="5"/>
  <c r="CR17" i="5"/>
  <c r="CR16" i="5"/>
  <c r="CR15" i="5"/>
  <c r="CR14" i="5"/>
  <c r="CR13" i="5"/>
  <c r="CR12" i="5"/>
  <c r="CR11" i="5"/>
  <c r="CR10" i="5"/>
  <c r="CR9" i="5"/>
  <c r="CR8" i="5"/>
  <c r="CR7" i="5"/>
  <c r="CR6" i="5"/>
  <c r="CR5" i="5"/>
  <c r="CR4" i="5"/>
  <c r="CR3" i="5"/>
  <c r="CQ1496" i="5"/>
  <c r="CQ1495" i="5"/>
  <c r="CQ1494" i="5"/>
  <c r="CQ1493" i="5"/>
  <c r="CQ1492" i="5"/>
  <c r="CQ1491" i="5"/>
  <c r="CQ1490" i="5"/>
  <c r="CQ1489" i="5"/>
  <c r="CQ1488" i="5"/>
  <c r="CQ1487" i="5"/>
  <c r="CQ1486" i="5"/>
  <c r="CQ1485" i="5"/>
  <c r="CQ1484" i="5"/>
  <c r="CQ1483" i="5"/>
  <c r="CQ1482" i="5"/>
  <c r="CQ1481" i="5"/>
  <c r="CQ1480" i="5"/>
  <c r="CQ1479" i="5"/>
  <c r="CQ1478" i="5"/>
  <c r="CQ1477" i="5"/>
  <c r="CQ1476" i="5"/>
  <c r="CQ1475" i="5"/>
  <c r="CQ1474" i="5"/>
  <c r="CQ1473" i="5"/>
  <c r="CQ1472" i="5"/>
  <c r="CQ1471" i="5"/>
  <c r="CQ1470" i="5"/>
  <c r="CQ1469" i="5"/>
  <c r="CQ1468" i="5"/>
  <c r="CQ1467" i="5"/>
  <c r="CQ1466" i="5"/>
  <c r="CQ1465" i="5"/>
  <c r="CQ1464" i="5"/>
  <c r="CQ1463" i="5"/>
  <c r="CQ1462" i="5"/>
  <c r="CQ1461" i="5"/>
  <c r="CQ1460" i="5"/>
  <c r="CQ1459" i="5"/>
  <c r="CQ1458" i="5"/>
  <c r="CQ1457" i="5"/>
  <c r="CQ1456" i="5"/>
  <c r="CQ1455" i="5"/>
  <c r="CQ1454" i="5"/>
  <c r="CQ1453" i="5"/>
  <c r="CQ1452" i="5"/>
  <c r="CQ1451" i="5"/>
  <c r="CQ1450" i="5"/>
  <c r="CQ1449" i="5"/>
  <c r="CQ1448" i="5"/>
  <c r="CQ1447" i="5"/>
  <c r="CQ1446" i="5"/>
  <c r="CQ1445" i="5"/>
  <c r="CQ1444" i="5"/>
  <c r="CQ1443" i="5"/>
  <c r="CQ1442" i="5"/>
  <c r="CQ1441" i="5"/>
  <c r="CQ1440" i="5"/>
  <c r="CQ1439" i="5"/>
  <c r="CQ1438" i="5"/>
  <c r="CQ1437" i="5"/>
  <c r="CQ1436" i="5"/>
  <c r="CQ1435" i="5"/>
  <c r="CQ1434" i="5"/>
  <c r="CQ1433" i="5"/>
  <c r="CQ1432" i="5"/>
  <c r="CQ1431" i="5"/>
  <c r="CQ1430" i="5"/>
  <c r="CQ1429" i="5"/>
  <c r="CQ1428" i="5"/>
  <c r="CQ1427" i="5"/>
  <c r="CQ1426" i="5"/>
  <c r="CQ1425" i="5"/>
  <c r="CQ1424" i="5"/>
  <c r="CQ1423" i="5"/>
  <c r="CQ1422" i="5"/>
  <c r="CQ1421" i="5"/>
  <c r="CQ1420" i="5"/>
  <c r="CQ1419" i="5"/>
  <c r="CQ1418" i="5"/>
  <c r="CQ1417" i="5"/>
  <c r="CQ1416" i="5"/>
  <c r="CQ1415" i="5"/>
  <c r="CQ1414" i="5"/>
  <c r="CQ1413" i="5"/>
  <c r="CQ1412" i="5"/>
  <c r="CQ1411" i="5"/>
  <c r="CQ1410" i="5"/>
  <c r="CQ1409" i="5"/>
  <c r="CQ1408" i="5"/>
  <c r="CQ1407" i="5"/>
  <c r="CQ1406" i="5"/>
  <c r="CQ1405" i="5"/>
  <c r="CQ1404" i="5"/>
  <c r="CQ1403" i="5"/>
  <c r="CQ1402" i="5"/>
  <c r="CQ1401" i="5"/>
  <c r="CQ1400" i="5"/>
  <c r="CQ1399" i="5"/>
  <c r="CQ1398" i="5"/>
  <c r="CQ1397" i="5"/>
  <c r="CQ1396" i="5"/>
  <c r="CQ1395" i="5"/>
  <c r="CQ1394" i="5"/>
  <c r="CQ1393" i="5"/>
  <c r="CQ1392" i="5"/>
  <c r="CQ1391" i="5"/>
  <c r="CQ1390" i="5"/>
  <c r="CQ1389" i="5"/>
  <c r="CQ1388" i="5"/>
  <c r="CQ1387" i="5"/>
  <c r="CQ1386" i="5"/>
  <c r="CQ1385" i="5"/>
  <c r="CQ1384" i="5"/>
  <c r="CQ1383" i="5"/>
  <c r="CQ1382" i="5"/>
  <c r="CQ1381" i="5"/>
  <c r="CQ1380" i="5"/>
  <c r="CQ1379" i="5"/>
  <c r="CQ1378" i="5"/>
  <c r="CQ1377" i="5"/>
  <c r="CQ1376" i="5"/>
  <c r="CQ1375" i="5"/>
  <c r="CQ1374" i="5"/>
  <c r="CQ1373" i="5"/>
  <c r="CQ1372" i="5"/>
  <c r="CQ1371" i="5"/>
  <c r="CQ1370" i="5"/>
  <c r="CQ1369" i="5"/>
  <c r="CQ1368" i="5"/>
  <c r="CQ1367" i="5"/>
  <c r="CQ1366" i="5"/>
  <c r="CQ1365" i="5"/>
  <c r="CQ1364" i="5"/>
  <c r="CQ1363" i="5"/>
  <c r="CQ1362" i="5"/>
  <c r="CQ1361" i="5"/>
  <c r="CQ1360" i="5"/>
  <c r="CQ1359" i="5"/>
  <c r="CQ1358" i="5"/>
  <c r="CQ1357" i="5"/>
  <c r="CQ1356" i="5"/>
  <c r="CQ1355" i="5"/>
  <c r="CQ1354" i="5"/>
  <c r="CQ1353" i="5"/>
  <c r="CQ1352" i="5"/>
  <c r="CQ1351" i="5"/>
  <c r="CQ1350" i="5"/>
  <c r="CQ1349" i="5"/>
  <c r="CQ1348" i="5"/>
  <c r="CQ1347" i="5"/>
  <c r="CQ1346" i="5"/>
  <c r="CQ1345" i="5"/>
  <c r="CQ1344" i="5"/>
  <c r="CQ1343" i="5"/>
  <c r="CQ1342" i="5"/>
  <c r="CQ1341" i="5"/>
  <c r="CQ1340" i="5"/>
  <c r="CQ1339" i="5"/>
  <c r="CQ1338" i="5"/>
  <c r="CQ1337" i="5"/>
  <c r="CQ1336" i="5"/>
  <c r="CQ1335" i="5"/>
  <c r="CQ1334" i="5"/>
  <c r="CQ1333" i="5"/>
  <c r="CQ1332" i="5"/>
  <c r="CQ1331" i="5"/>
  <c r="CQ1330" i="5"/>
  <c r="CQ1329" i="5"/>
  <c r="CQ1328" i="5"/>
  <c r="CQ1327" i="5"/>
  <c r="CQ1326" i="5"/>
  <c r="CQ1325" i="5"/>
  <c r="CQ1324" i="5"/>
  <c r="CQ1323" i="5"/>
  <c r="CQ1322" i="5"/>
  <c r="CQ1321" i="5"/>
  <c r="CQ1320" i="5"/>
  <c r="CQ1319" i="5"/>
  <c r="CQ1318" i="5"/>
  <c r="CQ1317" i="5"/>
  <c r="CQ1316" i="5"/>
  <c r="CQ1315" i="5"/>
  <c r="CQ1314" i="5"/>
  <c r="CQ1313" i="5"/>
  <c r="CQ1312" i="5"/>
  <c r="CQ1311" i="5"/>
  <c r="CQ1310" i="5"/>
  <c r="CQ1309" i="5"/>
  <c r="CQ1308" i="5"/>
  <c r="CQ1307" i="5"/>
  <c r="CQ1306" i="5"/>
  <c r="CQ1305" i="5"/>
  <c r="CQ1304" i="5"/>
  <c r="CQ1303" i="5"/>
  <c r="CQ1302" i="5"/>
  <c r="CQ1301" i="5"/>
  <c r="CQ1300" i="5"/>
  <c r="CQ1299" i="5"/>
  <c r="CQ1298" i="5"/>
  <c r="CQ1297" i="5"/>
  <c r="CQ1296" i="5"/>
  <c r="CQ1295" i="5"/>
  <c r="CQ1294" i="5"/>
  <c r="CQ1293" i="5"/>
  <c r="CQ1292" i="5"/>
  <c r="CQ1291" i="5"/>
  <c r="CQ1290" i="5"/>
  <c r="CQ1289" i="5"/>
  <c r="CQ1288" i="5"/>
  <c r="CQ1287" i="5"/>
  <c r="CQ1286" i="5"/>
  <c r="CQ1285" i="5"/>
  <c r="CQ1284" i="5"/>
  <c r="CQ1283" i="5"/>
  <c r="CQ1282" i="5"/>
  <c r="CQ1281" i="5"/>
  <c r="CQ1280" i="5"/>
  <c r="CQ1279" i="5"/>
  <c r="CQ1278" i="5"/>
  <c r="CQ1277" i="5"/>
  <c r="CQ1276" i="5"/>
  <c r="CQ1275" i="5"/>
  <c r="CQ1274" i="5"/>
  <c r="CQ1273" i="5"/>
  <c r="CQ1272" i="5"/>
  <c r="CQ1271" i="5"/>
  <c r="CQ1270" i="5"/>
  <c r="CQ1269" i="5"/>
  <c r="CQ1268" i="5"/>
  <c r="CQ1267" i="5"/>
  <c r="CQ1266" i="5"/>
  <c r="CQ1265" i="5"/>
  <c r="CQ1264" i="5"/>
  <c r="CQ1263" i="5"/>
  <c r="CQ1262" i="5"/>
  <c r="CQ1261" i="5"/>
  <c r="CQ1260" i="5"/>
  <c r="CQ1259" i="5"/>
  <c r="CQ1258" i="5"/>
  <c r="CQ1257" i="5"/>
  <c r="CQ1256" i="5"/>
  <c r="CQ1255" i="5"/>
  <c r="CQ1254" i="5"/>
  <c r="CQ1253" i="5"/>
  <c r="CQ1252" i="5"/>
  <c r="CQ1251" i="5"/>
  <c r="CQ1250" i="5"/>
  <c r="CQ1249" i="5"/>
  <c r="CQ1248" i="5"/>
  <c r="CQ1247" i="5"/>
  <c r="CQ1246" i="5"/>
  <c r="CQ1245" i="5"/>
  <c r="CQ1244" i="5"/>
  <c r="CQ1243" i="5"/>
  <c r="CQ1242" i="5"/>
  <c r="CQ1241" i="5"/>
  <c r="CQ1240" i="5"/>
  <c r="CQ1239" i="5"/>
  <c r="CQ1238" i="5"/>
  <c r="CQ1237" i="5"/>
  <c r="CQ1236" i="5"/>
  <c r="CQ1235" i="5"/>
  <c r="CQ1234" i="5"/>
  <c r="CQ1233" i="5"/>
  <c r="CQ1232" i="5"/>
  <c r="CQ1231" i="5"/>
  <c r="CQ1230" i="5"/>
  <c r="CQ1229" i="5"/>
  <c r="CQ1228" i="5"/>
  <c r="CQ1227" i="5"/>
  <c r="CQ1226" i="5"/>
  <c r="CQ1225" i="5"/>
  <c r="CQ1224" i="5"/>
  <c r="CQ1223" i="5"/>
  <c r="CQ1222" i="5"/>
  <c r="CQ1221" i="5"/>
  <c r="CQ1220" i="5"/>
  <c r="CQ1219" i="5"/>
  <c r="CQ1218" i="5"/>
  <c r="CQ1217" i="5"/>
  <c r="CQ1216" i="5"/>
  <c r="CQ1215" i="5"/>
  <c r="CQ1214" i="5"/>
  <c r="CQ1213" i="5"/>
  <c r="CQ1212" i="5"/>
  <c r="CQ1211" i="5"/>
  <c r="CQ1210" i="5"/>
  <c r="CQ1209" i="5"/>
  <c r="CQ1208" i="5"/>
  <c r="CQ1207" i="5"/>
  <c r="CQ1206" i="5"/>
  <c r="CQ1205" i="5"/>
  <c r="CQ1204" i="5"/>
  <c r="CQ1203" i="5"/>
  <c r="CQ1202" i="5"/>
  <c r="CQ1201" i="5"/>
  <c r="CQ1200" i="5"/>
  <c r="CQ1199" i="5"/>
  <c r="CQ1198" i="5"/>
  <c r="CQ1197" i="5"/>
  <c r="CQ1196" i="5"/>
  <c r="CQ1195" i="5"/>
  <c r="CQ1194" i="5"/>
  <c r="CQ1193" i="5"/>
  <c r="CQ1192" i="5"/>
  <c r="CQ1191" i="5"/>
  <c r="CQ1190" i="5"/>
  <c r="CQ1189" i="5"/>
  <c r="CQ1188" i="5"/>
  <c r="CQ1187" i="5"/>
  <c r="CQ1186" i="5"/>
  <c r="CQ1185" i="5"/>
  <c r="CQ1184" i="5"/>
  <c r="CQ1183" i="5"/>
  <c r="CQ1182" i="5"/>
  <c r="CQ1181" i="5"/>
  <c r="CQ1180" i="5"/>
  <c r="CQ1179" i="5"/>
  <c r="CQ1178" i="5"/>
  <c r="CQ1177" i="5"/>
  <c r="CQ1176" i="5"/>
  <c r="CQ1175" i="5"/>
  <c r="CQ1174" i="5"/>
  <c r="CQ1173" i="5"/>
  <c r="CQ1172" i="5"/>
  <c r="CQ1171" i="5"/>
  <c r="CQ1170" i="5"/>
  <c r="CQ1169" i="5"/>
  <c r="CQ1168" i="5"/>
  <c r="CQ1167" i="5"/>
  <c r="CQ1166" i="5"/>
  <c r="CQ1165" i="5"/>
  <c r="CQ1164" i="5"/>
  <c r="CQ1163" i="5"/>
  <c r="CQ1162" i="5"/>
  <c r="CQ1161" i="5"/>
  <c r="CQ1160" i="5"/>
  <c r="CQ1159" i="5"/>
  <c r="CQ1158" i="5"/>
  <c r="CQ1157" i="5"/>
  <c r="CQ1156" i="5"/>
  <c r="CQ1155" i="5"/>
  <c r="CQ1154" i="5"/>
  <c r="CQ1153" i="5"/>
  <c r="CQ1152" i="5"/>
  <c r="CQ1151" i="5"/>
  <c r="CQ1150" i="5"/>
  <c r="CQ1149" i="5"/>
  <c r="CQ1148" i="5"/>
  <c r="CQ1147" i="5"/>
  <c r="CQ1146" i="5"/>
  <c r="CQ1145" i="5"/>
  <c r="CQ1144" i="5"/>
  <c r="CQ1143" i="5"/>
  <c r="CQ1142" i="5"/>
  <c r="CQ1141" i="5"/>
  <c r="CQ1140" i="5"/>
  <c r="CQ1139" i="5"/>
  <c r="CQ1138" i="5"/>
  <c r="CQ1137" i="5"/>
  <c r="CQ1136" i="5"/>
  <c r="CQ1135" i="5"/>
  <c r="CQ1134" i="5"/>
  <c r="CQ1133" i="5"/>
  <c r="CQ1132" i="5"/>
  <c r="CQ1131" i="5"/>
  <c r="CQ1130" i="5"/>
  <c r="CQ1129" i="5"/>
  <c r="CQ1128" i="5"/>
  <c r="CQ1127" i="5"/>
  <c r="CQ1126" i="5"/>
  <c r="CQ1125" i="5"/>
  <c r="CQ1124" i="5"/>
  <c r="CQ1123" i="5"/>
  <c r="CQ1122" i="5"/>
  <c r="CQ1121" i="5"/>
  <c r="CQ1120" i="5"/>
  <c r="CQ1119" i="5"/>
  <c r="CQ1118" i="5"/>
  <c r="CQ1117" i="5"/>
  <c r="CQ1116" i="5"/>
  <c r="CQ1115" i="5"/>
  <c r="CQ1114" i="5"/>
  <c r="CQ1113" i="5"/>
  <c r="CQ1112" i="5"/>
  <c r="CQ1111" i="5"/>
  <c r="CQ1110" i="5"/>
  <c r="CQ1109" i="5"/>
  <c r="CQ1108" i="5"/>
  <c r="CQ1107" i="5"/>
  <c r="CQ1106" i="5"/>
  <c r="CQ1105" i="5"/>
  <c r="CQ1104" i="5"/>
  <c r="CQ1103" i="5"/>
  <c r="CQ1102" i="5"/>
  <c r="CQ1101" i="5"/>
  <c r="CQ1100" i="5"/>
  <c r="CQ1099" i="5"/>
  <c r="CQ1098" i="5"/>
  <c r="CQ1097" i="5"/>
  <c r="CQ1096" i="5"/>
  <c r="CQ1095" i="5"/>
  <c r="CQ1094" i="5"/>
  <c r="CQ1093" i="5"/>
  <c r="CQ1092" i="5"/>
  <c r="CQ1091" i="5"/>
  <c r="CQ1090" i="5"/>
  <c r="CQ1089" i="5"/>
  <c r="CQ1088" i="5"/>
  <c r="CQ1087" i="5"/>
  <c r="CQ1086" i="5"/>
  <c r="CQ1085" i="5"/>
  <c r="CQ1084" i="5"/>
  <c r="CQ1083" i="5"/>
  <c r="CQ1082" i="5"/>
  <c r="CQ1081" i="5"/>
  <c r="CQ1080" i="5"/>
  <c r="CQ1079" i="5"/>
  <c r="CQ1078" i="5"/>
  <c r="CQ1077" i="5"/>
  <c r="CQ1076" i="5"/>
  <c r="CQ1075" i="5"/>
  <c r="CQ1074" i="5"/>
  <c r="CQ1073" i="5"/>
  <c r="CQ1072" i="5"/>
  <c r="CQ1071" i="5"/>
  <c r="CQ1070" i="5"/>
  <c r="CQ1069" i="5"/>
  <c r="CQ1068" i="5"/>
  <c r="CQ1067" i="5"/>
  <c r="CQ1066" i="5"/>
  <c r="CQ1065" i="5"/>
  <c r="CQ1064" i="5"/>
  <c r="CQ1063" i="5"/>
  <c r="CQ1062" i="5"/>
  <c r="CQ1061" i="5"/>
  <c r="CQ1060" i="5"/>
  <c r="CQ1059" i="5"/>
  <c r="CQ1058" i="5"/>
  <c r="CQ1057" i="5"/>
  <c r="CQ1056" i="5"/>
  <c r="CQ1055" i="5"/>
  <c r="CQ1054" i="5"/>
  <c r="CQ1053" i="5"/>
  <c r="CQ1052" i="5"/>
  <c r="CQ1051" i="5"/>
  <c r="CQ1050" i="5"/>
  <c r="CQ1049" i="5"/>
  <c r="CQ1048" i="5"/>
  <c r="CQ1047" i="5"/>
  <c r="CQ1046" i="5"/>
  <c r="CQ1045" i="5"/>
  <c r="CQ1044" i="5"/>
  <c r="CQ1043" i="5"/>
  <c r="CQ1042" i="5"/>
  <c r="CQ1041" i="5"/>
  <c r="CQ1040" i="5"/>
  <c r="CQ1039" i="5"/>
  <c r="CQ1038" i="5"/>
  <c r="CQ1037" i="5"/>
  <c r="CQ1036" i="5"/>
  <c r="CQ1035" i="5"/>
  <c r="CQ1034" i="5"/>
  <c r="CQ1033" i="5"/>
  <c r="CQ1032" i="5"/>
  <c r="CQ1031" i="5"/>
  <c r="CQ1030" i="5"/>
  <c r="CQ1029" i="5"/>
  <c r="CQ1028" i="5"/>
  <c r="CQ1027" i="5"/>
  <c r="CQ1026" i="5"/>
  <c r="CQ1025" i="5"/>
  <c r="CQ1024" i="5"/>
  <c r="CQ1023" i="5"/>
  <c r="CQ1022" i="5"/>
  <c r="CQ1021" i="5"/>
  <c r="CQ1020" i="5"/>
  <c r="CQ1019" i="5"/>
  <c r="CQ1018" i="5"/>
  <c r="CQ1017" i="5"/>
  <c r="CQ1016" i="5"/>
  <c r="CQ1015" i="5"/>
  <c r="CQ1014" i="5"/>
  <c r="CQ1013" i="5"/>
  <c r="CQ1012" i="5"/>
  <c r="CQ1011" i="5"/>
  <c r="CQ1010" i="5"/>
  <c r="CQ1009" i="5"/>
  <c r="CQ1008" i="5"/>
  <c r="CQ1007" i="5"/>
  <c r="CQ1006" i="5"/>
  <c r="CQ1005" i="5"/>
  <c r="CQ1004" i="5"/>
  <c r="CQ1003" i="5"/>
  <c r="CQ1002" i="5"/>
  <c r="CQ1001" i="5"/>
  <c r="CQ1000" i="5"/>
  <c r="CQ999" i="5"/>
  <c r="CQ998" i="5"/>
  <c r="CQ997" i="5"/>
  <c r="CQ996" i="5"/>
  <c r="CQ995" i="5"/>
  <c r="CQ994" i="5"/>
  <c r="CQ993" i="5"/>
  <c r="CQ992" i="5"/>
  <c r="CQ991" i="5"/>
  <c r="CQ990" i="5"/>
  <c r="CQ989" i="5"/>
  <c r="CQ988" i="5"/>
  <c r="CQ987" i="5"/>
  <c r="CQ986" i="5"/>
  <c r="CQ985" i="5"/>
  <c r="CQ984" i="5"/>
  <c r="CQ983" i="5"/>
  <c r="CQ982" i="5"/>
  <c r="CQ981" i="5"/>
  <c r="CQ980" i="5"/>
  <c r="CQ979" i="5"/>
  <c r="CQ978" i="5"/>
  <c r="CQ977" i="5"/>
  <c r="CQ976" i="5"/>
  <c r="CQ975" i="5"/>
  <c r="CQ974" i="5"/>
  <c r="CQ973" i="5"/>
  <c r="CQ972" i="5"/>
  <c r="CQ971" i="5"/>
  <c r="CQ970" i="5"/>
  <c r="CQ969" i="5"/>
  <c r="CQ968" i="5"/>
  <c r="CQ967" i="5"/>
  <c r="CQ966" i="5"/>
  <c r="CQ965" i="5"/>
  <c r="CQ964" i="5"/>
  <c r="CQ963" i="5"/>
  <c r="CQ962" i="5"/>
  <c r="CQ961" i="5"/>
  <c r="CQ960" i="5"/>
  <c r="CQ959" i="5"/>
  <c r="CQ958" i="5"/>
  <c r="CQ957" i="5"/>
  <c r="CQ956" i="5"/>
  <c r="CQ955" i="5"/>
  <c r="CQ954" i="5"/>
  <c r="CQ953" i="5"/>
  <c r="CQ952" i="5"/>
  <c r="CQ951" i="5"/>
  <c r="CQ950" i="5"/>
  <c r="CQ949" i="5"/>
  <c r="CQ948" i="5"/>
  <c r="CQ947" i="5"/>
  <c r="CQ946" i="5"/>
  <c r="CQ945" i="5"/>
  <c r="CQ944" i="5"/>
  <c r="CQ943" i="5"/>
  <c r="CQ942" i="5"/>
  <c r="CQ941" i="5"/>
  <c r="CQ940" i="5"/>
  <c r="CQ939" i="5"/>
  <c r="CQ938" i="5"/>
  <c r="CQ937" i="5"/>
  <c r="CQ936" i="5"/>
  <c r="CQ935" i="5"/>
  <c r="CQ934" i="5"/>
  <c r="CQ933" i="5"/>
  <c r="CQ932" i="5"/>
  <c r="CQ931" i="5"/>
  <c r="CQ930" i="5"/>
  <c r="CQ929" i="5"/>
  <c r="CQ928" i="5"/>
  <c r="CQ927" i="5"/>
  <c r="CQ926" i="5"/>
  <c r="CQ925" i="5"/>
  <c r="CQ924" i="5"/>
  <c r="CQ923" i="5"/>
  <c r="CQ922" i="5"/>
  <c r="CQ921" i="5"/>
  <c r="CQ920" i="5"/>
  <c r="CQ919" i="5"/>
  <c r="CQ918" i="5"/>
  <c r="CQ917" i="5"/>
  <c r="CQ916" i="5"/>
  <c r="CQ915" i="5"/>
  <c r="CQ914" i="5"/>
  <c r="CQ913" i="5"/>
  <c r="CQ912" i="5"/>
  <c r="CQ911" i="5"/>
  <c r="CQ910" i="5"/>
  <c r="CQ909" i="5"/>
  <c r="CQ908" i="5"/>
  <c r="CQ907" i="5"/>
  <c r="CQ906" i="5"/>
  <c r="CQ905" i="5"/>
  <c r="CQ904" i="5"/>
  <c r="CQ903" i="5"/>
  <c r="CQ902" i="5"/>
  <c r="CQ901" i="5"/>
  <c r="CQ900" i="5"/>
  <c r="CQ899" i="5"/>
  <c r="CQ898" i="5"/>
  <c r="CQ897" i="5"/>
  <c r="CQ896" i="5"/>
  <c r="CQ895" i="5"/>
  <c r="CQ894" i="5"/>
  <c r="CQ893" i="5"/>
  <c r="CQ892" i="5"/>
  <c r="CQ891" i="5"/>
  <c r="CQ890" i="5"/>
  <c r="CQ889" i="5"/>
  <c r="CQ888" i="5"/>
  <c r="CQ887" i="5"/>
  <c r="CQ886" i="5"/>
  <c r="CQ885" i="5"/>
  <c r="CQ884" i="5"/>
  <c r="CQ883" i="5"/>
  <c r="CQ882" i="5"/>
  <c r="CQ881" i="5"/>
  <c r="CQ880" i="5"/>
  <c r="CQ879" i="5"/>
  <c r="CQ878" i="5"/>
  <c r="CQ877" i="5"/>
  <c r="CQ876" i="5"/>
  <c r="CQ875" i="5"/>
  <c r="CQ874" i="5"/>
  <c r="CQ873" i="5"/>
  <c r="CQ872" i="5"/>
  <c r="CQ871" i="5"/>
  <c r="CQ870" i="5"/>
  <c r="CQ869" i="5"/>
  <c r="CQ868" i="5"/>
  <c r="CQ867" i="5"/>
  <c r="CQ866" i="5"/>
  <c r="CQ865" i="5"/>
  <c r="CQ864" i="5"/>
  <c r="CQ863" i="5"/>
  <c r="CQ862" i="5"/>
  <c r="CQ861" i="5"/>
  <c r="CQ860" i="5"/>
  <c r="CQ859" i="5"/>
  <c r="CQ858" i="5"/>
  <c r="CQ857" i="5"/>
  <c r="CQ856" i="5"/>
  <c r="CQ855" i="5"/>
  <c r="CQ854" i="5"/>
  <c r="CQ853" i="5"/>
  <c r="CQ852" i="5"/>
  <c r="CQ851" i="5"/>
  <c r="CQ850" i="5"/>
  <c r="CQ849" i="5"/>
  <c r="CQ848" i="5"/>
  <c r="CQ847" i="5"/>
  <c r="CQ846" i="5"/>
  <c r="CQ845" i="5"/>
  <c r="CQ844" i="5"/>
  <c r="CQ843" i="5"/>
  <c r="CQ842" i="5"/>
  <c r="CQ841" i="5"/>
  <c r="CQ840" i="5"/>
  <c r="CQ839" i="5"/>
  <c r="CQ838" i="5"/>
  <c r="CQ837" i="5"/>
  <c r="CQ836" i="5"/>
  <c r="CQ835" i="5"/>
  <c r="CQ834" i="5"/>
  <c r="CQ833" i="5"/>
  <c r="CQ832" i="5"/>
  <c r="CQ831" i="5"/>
  <c r="CQ830" i="5"/>
  <c r="CQ829" i="5"/>
  <c r="CQ828" i="5"/>
  <c r="CQ827" i="5"/>
  <c r="CQ826" i="5"/>
  <c r="CQ825" i="5"/>
  <c r="CQ824" i="5"/>
  <c r="CQ823" i="5"/>
  <c r="CQ822" i="5"/>
  <c r="CQ821" i="5"/>
  <c r="CQ820" i="5"/>
  <c r="CQ819" i="5"/>
  <c r="CQ818" i="5"/>
  <c r="CQ817" i="5"/>
  <c r="CQ816" i="5"/>
  <c r="CQ815" i="5"/>
  <c r="CQ814" i="5"/>
  <c r="CQ813" i="5"/>
  <c r="CQ812" i="5"/>
  <c r="CQ811" i="5"/>
  <c r="CQ810" i="5"/>
  <c r="CQ809" i="5"/>
  <c r="CQ808" i="5"/>
  <c r="CQ807" i="5"/>
  <c r="CQ806" i="5"/>
  <c r="CQ805" i="5"/>
  <c r="CQ804" i="5"/>
  <c r="CQ803" i="5"/>
  <c r="CQ802" i="5"/>
  <c r="CQ801" i="5"/>
  <c r="CQ800" i="5"/>
  <c r="CQ799" i="5"/>
  <c r="CQ798" i="5"/>
  <c r="CQ797" i="5"/>
  <c r="CQ796" i="5"/>
  <c r="CQ795" i="5"/>
  <c r="CQ794" i="5"/>
  <c r="CQ793" i="5"/>
  <c r="CQ792" i="5"/>
  <c r="CQ791" i="5"/>
  <c r="CQ790" i="5"/>
  <c r="CQ789" i="5"/>
  <c r="CQ788" i="5"/>
  <c r="CQ787" i="5"/>
  <c r="CQ786" i="5"/>
  <c r="CQ785" i="5"/>
  <c r="CQ784" i="5"/>
  <c r="CQ783" i="5"/>
  <c r="CQ782" i="5"/>
  <c r="CQ781" i="5"/>
  <c r="CQ780" i="5"/>
  <c r="CQ779" i="5"/>
  <c r="CQ778" i="5"/>
  <c r="CQ777" i="5"/>
  <c r="CQ776" i="5"/>
  <c r="CQ775" i="5"/>
  <c r="CQ774" i="5"/>
  <c r="CQ773" i="5"/>
  <c r="CQ772" i="5"/>
  <c r="CQ771" i="5"/>
  <c r="CQ770" i="5"/>
  <c r="CQ769" i="5"/>
  <c r="CQ768" i="5"/>
  <c r="CQ767" i="5"/>
  <c r="CQ766" i="5"/>
  <c r="CQ765" i="5"/>
  <c r="CQ764" i="5"/>
  <c r="CQ763" i="5"/>
  <c r="CQ762" i="5"/>
  <c r="CQ761" i="5"/>
  <c r="CQ760" i="5"/>
  <c r="CQ759" i="5"/>
  <c r="CQ758" i="5"/>
  <c r="CQ757" i="5"/>
  <c r="CQ756" i="5"/>
  <c r="CQ755" i="5"/>
  <c r="CQ754" i="5"/>
  <c r="CQ753" i="5"/>
  <c r="CQ752" i="5"/>
  <c r="CQ751" i="5"/>
  <c r="CQ750" i="5"/>
  <c r="CQ749" i="5"/>
  <c r="CQ748" i="5"/>
  <c r="CQ747" i="5"/>
  <c r="CQ746" i="5"/>
  <c r="CQ745" i="5"/>
  <c r="CQ744" i="5"/>
  <c r="CQ743" i="5"/>
  <c r="CQ742" i="5"/>
  <c r="CQ741" i="5"/>
  <c r="CQ740" i="5"/>
  <c r="CQ739" i="5"/>
  <c r="CQ738" i="5"/>
  <c r="CQ737" i="5"/>
  <c r="CQ736" i="5"/>
  <c r="CQ735" i="5"/>
  <c r="CQ734" i="5"/>
  <c r="CQ733" i="5"/>
  <c r="CQ732" i="5"/>
  <c r="CQ731" i="5"/>
  <c r="CQ730" i="5"/>
  <c r="CQ729" i="5"/>
  <c r="CQ728" i="5"/>
  <c r="CQ727" i="5"/>
  <c r="CQ726" i="5"/>
  <c r="CQ725" i="5"/>
  <c r="CQ724" i="5"/>
  <c r="CQ723" i="5"/>
  <c r="CQ722" i="5"/>
  <c r="CQ721" i="5"/>
  <c r="CQ720" i="5"/>
  <c r="CQ719" i="5"/>
  <c r="CQ718" i="5"/>
  <c r="CQ717" i="5"/>
  <c r="CQ716" i="5"/>
  <c r="CQ715" i="5"/>
  <c r="CQ714" i="5"/>
  <c r="CQ713" i="5"/>
  <c r="CQ712" i="5"/>
  <c r="CQ711" i="5"/>
  <c r="CQ710" i="5"/>
  <c r="CQ709" i="5"/>
  <c r="CQ708" i="5"/>
  <c r="CQ707" i="5"/>
  <c r="CQ706" i="5"/>
  <c r="CQ705" i="5"/>
  <c r="CQ704" i="5"/>
  <c r="CQ703" i="5"/>
  <c r="CQ702" i="5"/>
  <c r="CQ701" i="5"/>
  <c r="CQ700" i="5"/>
  <c r="CQ699" i="5"/>
  <c r="CQ698" i="5"/>
  <c r="CQ697" i="5"/>
  <c r="CQ696" i="5"/>
  <c r="CQ695" i="5"/>
  <c r="CQ694" i="5"/>
  <c r="CQ693" i="5"/>
  <c r="CQ692" i="5"/>
  <c r="CQ691" i="5"/>
  <c r="CQ690" i="5"/>
  <c r="CQ689" i="5"/>
  <c r="CQ688" i="5"/>
  <c r="CQ687" i="5"/>
  <c r="CQ686" i="5"/>
  <c r="CQ685" i="5"/>
  <c r="CQ684" i="5"/>
  <c r="CQ683" i="5"/>
  <c r="CQ682" i="5"/>
  <c r="CQ681" i="5"/>
  <c r="CQ680" i="5"/>
  <c r="CQ679" i="5"/>
  <c r="CQ678" i="5"/>
  <c r="CQ677" i="5"/>
  <c r="CQ676" i="5"/>
  <c r="CQ675" i="5"/>
  <c r="CQ674" i="5"/>
  <c r="CQ673" i="5"/>
  <c r="CQ672" i="5"/>
  <c r="CQ671" i="5"/>
  <c r="CQ670" i="5"/>
  <c r="CQ669" i="5"/>
  <c r="CQ668" i="5"/>
  <c r="CQ667" i="5"/>
  <c r="CQ666" i="5"/>
  <c r="CQ665" i="5"/>
  <c r="CQ664" i="5"/>
  <c r="CQ663" i="5"/>
  <c r="CQ662" i="5"/>
  <c r="CQ661" i="5"/>
  <c r="CQ660" i="5"/>
  <c r="CQ659" i="5"/>
  <c r="CQ658" i="5"/>
  <c r="CQ657" i="5"/>
  <c r="CQ656" i="5"/>
  <c r="CQ655" i="5"/>
  <c r="CQ654" i="5"/>
  <c r="CQ653" i="5"/>
  <c r="CQ652" i="5"/>
  <c r="CQ651" i="5"/>
  <c r="CQ650" i="5"/>
  <c r="CQ649" i="5"/>
  <c r="CQ648" i="5"/>
  <c r="CQ647" i="5"/>
  <c r="CQ646" i="5"/>
  <c r="CQ645" i="5"/>
  <c r="CQ644" i="5"/>
  <c r="CQ643" i="5"/>
  <c r="CQ642" i="5"/>
  <c r="CQ641" i="5"/>
  <c r="CQ640" i="5"/>
  <c r="CQ639" i="5"/>
  <c r="CQ638" i="5"/>
  <c r="CQ637" i="5"/>
  <c r="CQ636" i="5"/>
  <c r="CQ635" i="5"/>
  <c r="CQ634" i="5"/>
  <c r="CQ633" i="5"/>
  <c r="CQ632" i="5"/>
  <c r="CQ631" i="5"/>
  <c r="CQ630" i="5"/>
  <c r="CQ629" i="5"/>
  <c r="CQ628" i="5"/>
  <c r="CQ627" i="5"/>
  <c r="CQ626" i="5"/>
  <c r="CQ625" i="5"/>
  <c r="CQ624" i="5"/>
  <c r="CQ623" i="5"/>
  <c r="CQ622" i="5"/>
  <c r="CQ621" i="5"/>
  <c r="CQ620" i="5"/>
  <c r="CQ619" i="5"/>
  <c r="CQ618" i="5"/>
  <c r="CQ617" i="5"/>
  <c r="CQ616" i="5"/>
  <c r="CQ615" i="5"/>
  <c r="CQ614" i="5"/>
  <c r="CQ613" i="5"/>
  <c r="CQ612" i="5"/>
  <c r="CQ611" i="5"/>
  <c r="CQ610" i="5"/>
  <c r="CQ609" i="5"/>
  <c r="CQ608" i="5"/>
  <c r="CQ607" i="5"/>
  <c r="CQ606" i="5"/>
  <c r="CQ605" i="5"/>
  <c r="CQ604" i="5"/>
  <c r="CQ603" i="5"/>
  <c r="CQ602" i="5"/>
  <c r="CQ601" i="5"/>
  <c r="CQ600" i="5"/>
  <c r="CQ599" i="5"/>
  <c r="CQ598" i="5"/>
  <c r="CQ597" i="5"/>
  <c r="CQ596" i="5"/>
  <c r="CQ595" i="5"/>
  <c r="CQ594" i="5"/>
  <c r="CQ593" i="5"/>
  <c r="CQ592" i="5"/>
  <c r="CQ591" i="5"/>
  <c r="CQ590" i="5"/>
  <c r="CQ589" i="5"/>
  <c r="CQ588" i="5"/>
  <c r="CQ587" i="5"/>
  <c r="CQ586" i="5"/>
  <c r="CQ585" i="5"/>
  <c r="CQ584" i="5"/>
  <c r="CQ583" i="5"/>
  <c r="CQ582" i="5"/>
  <c r="CQ581" i="5"/>
  <c r="CQ580" i="5"/>
  <c r="CQ579" i="5"/>
  <c r="CQ578" i="5"/>
  <c r="CQ577" i="5"/>
  <c r="CQ576" i="5"/>
  <c r="CQ575" i="5"/>
  <c r="CQ574" i="5"/>
  <c r="CQ573" i="5"/>
  <c r="CQ572" i="5"/>
  <c r="CQ571" i="5"/>
  <c r="CQ570" i="5"/>
  <c r="CQ569" i="5"/>
  <c r="CQ568" i="5"/>
  <c r="CQ567" i="5"/>
  <c r="CQ566" i="5"/>
  <c r="CQ565" i="5"/>
  <c r="CQ564" i="5"/>
  <c r="CQ563" i="5"/>
  <c r="CQ562" i="5"/>
  <c r="CQ561" i="5"/>
  <c r="CQ560" i="5"/>
  <c r="CQ559" i="5"/>
  <c r="CQ558" i="5"/>
  <c r="CQ557" i="5"/>
  <c r="CQ556" i="5"/>
  <c r="CQ555" i="5"/>
  <c r="CQ554" i="5"/>
  <c r="CQ553" i="5"/>
  <c r="CQ552" i="5"/>
  <c r="CQ551" i="5"/>
  <c r="CQ550" i="5"/>
  <c r="CQ549" i="5"/>
  <c r="CQ548" i="5"/>
  <c r="CQ547" i="5"/>
  <c r="CQ546" i="5"/>
  <c r="CQ545" i="5"/>
  <c r="CQ544" i="5"/>
  <c r="CQ543" i="5"/>
  <c r="CQ542" i="5"/>
  <c r="CQ541" i="5"/>
  <c r="CQ540" i="5"/>
  <c r="CQ539" i="5"/>
  <c r="CQ538" i="5"/>
  <c r="CQ537" i="5"/>
  <c r="CQ536" i="5"/>
  <c r="CQ535" i="5"/>
  <c r="CQ534" i="5"/>
  <c r="CQ533" i="5"/>
  <c r="CQ532" i="5"/>
  <c r="CQ531" i="5"/>
  <c r="CQ530" i="5"/>
  <c r="CQ529" i="5"/>
  <c r="CQ528" i="5"/>
  <c r="CQ527" i="5"/>
  <c r="CQ526" i="5"/>
  <c r="CQ525" i="5"/>
  <c r="CQ524" i="5"/>
  <c r="CQ523" i="5"/>
  <c r="CQ522" i="5"/>
  <c r="CQ521" i="5"/>
  <c r="CQ520" i="5"/>
  <c r="CQ519" i="5"/>
  <c r="CQ518" i="5"/>
  <c r="CQ517" i="5"/>
  <c r="CQ516" i="5"/>
  <c r="CQ515" i="5"/>
  <c r="CQ514" i="5"/>
  <c r="CQ513" i="5"/>
  <c r="CQ512" i="5"/>
  <c r="CQ511" i="5"/>
  <c r="CQ510" i="5"/>
  <c r="CQ509" i="5"/>
  <c r="CQ508" i="5"/>
  <c r="CQ507" i="5"/>
  <c r="CQ506" i="5"/>
  <c r="CQ505" i="5"/>
  <c r="CQ504" i="5"/>
  <c r="CQ503" i="5"/>
  <c r="CQ502" i="5"/>
  <c r="CQ501" i="5"/>
  <c r="CQ500" i="5"/>
  <c r="CQ499" i="5"/>
  <c r="CQ498" i="5"/>
  <c r="CQ497" i="5"/>
  <c r="CQ496" i="5"/>
  <c r="CQ495" i="5"/>
  <c r="CQ494" i="5"/>
  <c r="CQ493" i="5"/>
  <c r="CQ492" i="5"/>
  <c r="CQ491" i="5"/>
  <c r="CQ490" i="5"/>
  <c r="CQ489" i="5"/>
  <c r="CQ488" i="5"/>
  <c r="CQ487" i="5"/>
  <c r="CQ486" i="5"/>
  <c r="CQ485" i="5"/>
  <c r="CQ484" i="5"/>
  <c r="CQ483" i="5"/>
  <c r="CQ482" i="5"/>
  <c r="CQ481" i="5"/>
  <c r="CQ480" i="5"/>
  <c r="CQ479" i="5"/>
  <c r="CQ478" i="5"/>
  <c r="CQ477" i="5"/>
  <c r="CQ476" i="5"/>
  <c r="CQ475" i="5"/>
  <c r="CQ474" i="5"/>
  <c r="CQ473" i="5"/>
  <c r="CQ472" i="5"/>
  <c r="CQ471" i="5"/>
  <c r="CQ470" i="5"/>
  <c r="CQ469" i="5"/>
  <c r="CQ468" i="5"/>
  <c r="CQ467" i="5"/>
  <c r="CQ466" i="5"/>
  <c r="CQ465" i="5"/>
  <c r="CQ464" i="5"/>
  <c r="CQ463" i="5"/>
  <c r="CQ462" i="5"/>
  <c r="CQ461" i="5"/>
  <c r="CQ460" i="5"/>
  <c r="CQ459" i="5"/>
  <c r="CQ458" i="5"/>
  <c r="CQ457" i="5"/>
  <c r="CQ456" i="5"/>
  <c r="CQ455" i="5"/>
  <c r="CQ454" i="5"/>
  <c r="CQ453" i="5"/>
  <c r="CQ452" i="5"/>
  <c r="CQ451" i="5"/>
  <c r="CQ450" i="5"/>
  <c r="CQ449" i="5"/>
  <c r="CQ448" i="5"/>
  <c r="CQ447" i="5"/>
  <c r="CQ446" i="5"/>
  <c r="CQ445" i="5"/>
  <c r="CQ444" i="5"/>
  <c r="CQ443" i="5"/>
  <c r="CQ442" i="5"/>
  <c r="CQ441" i="5"/>
  <c r="CQ440" i="5"/>
  <c r="CQ439" i="5"/>
  <c r="CQ438" i="5"/>
  <c r="CQ437" i="5"/>
  <c r="CQ436" i="5"/>
  <c r="CQ435" i="5"/>
  <c r="CQ434" i="5"/>
  <c r="CQ433" i="5"/>
  <c r="CQ432" i="5"/>
  <c r="CQ431" i="5"/>
  <c r="CQ430" i="5"/>
  <c r="CQ429" i="5"/>
  <c r="CQ428" i="5"/>
  <c r="CQ427" i="5"/>
  <c r="CQ426" i="5"/>
  <c r="CQ425" i="5"/>
  <c r="CQ424" i="5"/>
  <c r="CQ423" i="5"/>
  <c r="CQ422" i="5"/>
  <c r="CQ421" i="5"/>
  <c r="CQ420" i="5"/>
  <c r="CQ419" i="5"/>
  <c r="CQ418" i="5"/>
  <c r="CQ417" i="5"/>
  <c r="CQ416" i="5"/>
  <c r="CQ415" i="5"/>
  <c r="CQ414" i="5"/>
  <c r="CQ413" i="5"/>
  <c r="CQ412" i="5"/>
  <c r="CQ411" i="5"/>
  <c r="CQ410" i="5"/>
  <c r="CQ409" i="5"/>
  <c r="CQ408" i="5"/>
  <c r="CQ407" i="5"/>
  <c r="CQ406" i="5"/>
  <c r="CQ405" i="5"/>
  <c r="CQ404" i="5"/>
  <c r="CQ403" i="5"/>
  <c r="CQ402" i="5"/>
  <c r="CQ401" i="5"/>
  <c r="CQ400" i="5"/>
  <c r="CQ399" i="5"/>
  <c r="CQ398" i="5"/>
  <c r="CQ397" i="5"/>
  <c r="CQ396" i="5"/>
  <c r="CQ395" i="5"/>
  <c r="CQ394" i="5"/>
  <c r="CQ393" i="5"/>
  <c r="CQ392" i="5"/>
  <c r="CQ391" i="5"/>
  <c r="CQ390" i="5"/>
  <c r="CQ389" i="5"/>
  <c r="CQ388" i="5"/>
  <c r="CQ387" i="5"/>
  <c r="CQ386" i="5"/>
  <c r="CQ385" i="5"/>
  <c r="CQ384" i="5"/>
  <c r="CQ383" i="5"/>
  <c r="CQ382" i="5"/>
  <c r="CQ381" i="5"/>
  <c r="CQ380" i="5"/>
  <c r="CQ379" i="5"/>
  <c r="CQ378" i="5"/>
  <c r="CQ377" i="5"/>
  <c r="CQ376" i="5"/>
  <c r="CQ375" i="5"/>
  <c r="CQ374" i="5"/>
  <c r="CQ373" i="5"/>
  <c r="CQ372" i="5"/>
  <c r="CQ371" i="5"/>
  <c r="CQ370" i="5"/>
  <c r="CQ369" i="5"/>
  <c r="CQ368" i="5"/>
  <c r="CQ367" i="5"/>
  <c r="CQ366" i="5"/>
  <c r="CQ365" i="5"/>
  <c r="CQ364" i="5"/>
  <c r="CQ363" i="5"/>
  <c r="CQ362" i="5"/>
  <c r="CQ361" i="5"/>
  <c r="CQ360" i="5"/>
  <c r="CQ359" i="5"/>
  <c r="CQ358" i="5"/>
  <c r="CQ357" i="5"/>
  <c r="CQ356" i="5"/>
  <c r="CQ355" i="5"/>
  <c r="CQ354" i="5"/>
  <c r="CQ353" i="5"/>
  <c r="CQ352" i="5"/>
  <c r="CQ351" i="5"/>
  <c r="CQ350" i="5"/>
  <c r="CQ349" i="5"/>
  <c r="CQ348" i="5"/>
  <c r="CQ347" i="5"/>
  <c r="CQ346" i="5"/>
  <c r="CQ345" i="5"/>
  <c r="CQ344" i="5"/>
  <c r="CQ343" i="5"/>
  <c r="CQ342" i="5"/>
  <c r="CQ341" i="5"/>
  <c r="CQ340" i="5"/>
  <c r="CQ339" i="5"/>
  <c r="CQ338" i="5"/>
  <c r="CQ337" i="5"/>
  <c r="CQ336" i="5"/>
  <c r="CQ335" i="5"/>
  <c r="CQ334" i="5"/>
  <c r="CQ333" i="5"/>
  <c r="CQ332" i="5"/>
  <c r="CQ331" i="5"/>
  <c r="CQ330" i="5"/>
  <c r="CQ329" i="5"/>
  <c r="CQ328" i="5"/>
  <c r="CQ327" i="5"/>
  <c r="CQ326" i="5"/>
  <c r="CQ325" i="5"/>
  <c r="CQ324" i="5"/>
  <c r="CQ323" i="5"/>
  <c r="CQ322" i="5"/>
  <c r="CQ321" i="5"/>
  <c r="CQ320" i="5"/>
  <c r="CQ319" i="5"/>
  <c r="CQ318" i="5"/>
  <c r="CQ317" i="5"/>
  <c r="CQ316" i="5"/>
  <c r="CQ315" i="5"/>
  <c r="CQ314" i="5"/>
  <c r="CQ313" i="5"/>
  <c r="CQ312" i="5"/>
  <c r="CQ311" i="5"/>
  <c r="CQ310" i="5"/>
  <c r="CQ309" i="5"/>
  <c r="CQ308" i="5"/>
  <c r="CQ307" i="5"/>
  <c r="CQ306" i="5"/>
  <c r="CQ305" i="5"/>
  <c r="CQ304" i="5"/>
  <c r="CQ303" i="5"/>
  <c r="CQ302" i="5"/>
  <c r="CQ301" i="5"/>
  <c r="CQ300" i="5"/>
  <c r="CQ299" i="5"/>
  <c r="CQ298" i="5"/>
  <c r="CQ297" i="5"/>
  <c r="CQ296" i="5"/>
  <c r="CQ295" i="5"/>
  <c r="CQ294" i="5"/>
  <c r="CQ293" i="5"/>
  <c r="CQ292" i="5"/>
  <c r="CQ291" i="5"/>
  <c r="CQ290" i="5"/>
  <c r="CQ289" i="5"/>
  <c r="CQ288" i="5"/>
  <c r="CQ287" i="5"/>
  <c r="CQ286" i="5"/>
  <c r="CQ285" i="5"/>
  <c r="CQ284" i="5"/>
  <c r="CQ283" i="5"/>
  <c r="CQ282" i="5"/>
  <c r="CQ281" i="5"/>
  <c r="CQ280" i="5"/>
  <c r="CQ279" i="5"/>
  <c r="CQ278" i="5"/>
  <c r="CQ277" i="5"/>
  <c r="CQ276" i="5"/>
  <c r="CQ275" i="5"/>
  <c r="CQ274" i="5"/>
  <c r="CQ273" i="5"/>
  <c r="CQ272" i="5"/>
  <c r="CQ271" i="5"/>
  <c r="CQ270" i="5"/>
  <c r="CQ269" i="5"/>
  <c r="CQ268" i="5"/>
  <c r="CQ267" i="5"/>
  <c r="CQ266" i="5"/>
  <c r="CQ265" i="5"/>
  <c r="CQ264" i="5"/>
  <c r="CQ263" i="5"/>
  <c r="CQ262" i="5"/>
  <c r="CQ261" i="5"/>
  <c r="CQ260" i="5"/>
  <c r="CQ259" i="5"/>
  <c r="CQ258" i="5"/>
  <c r="CQ257" i="5"/>
  <c r="CQ256" i="5"/>
  <c r="CQ255" i="5"/>
  <c r="CQ254" i="5"/>
  <c r="CQ253" i="5"/>
  <c r="CQ252" i="5"/>
  <c r="CQ251" i="5"/>
  <c r="CQ250" i="5"/>
  <c r="CQ249" i="5"/>
  <c r="CQ248" i="5"/>
  <c r="CQ247" i="5"/>
  <c r="CQ246" i="5"/>
  <c r="CQ245" i="5"/>
  <c r="CQ244" i="5"/>
  <c r="CQ243" i="5"/>
  <c r="CQ242" i="5"/>
  <c r="CQ241" i="5"/>
  <c r="CQ240" i="5"/>
  <c r="CQ239" i="5"/>
  <c r="CQ238" i="5"/>
  <c r="CQ237" i="5"/>
  <c r="CQ236" i="5"/>
  <c r="CQ235" i="5"/>
  <c r="CQ234" i="5"/>
  <c r="CQ233" i="5"/>
  <c r="CQ232" i="5"/>
  <c r="CQ231" i="5"/>
  <c r="CQ230" i="5"/>
  <c r="CQ229" i="5"/>
  <c r="CQ228" i="5"/>
  <c r="CQ227" i="5"/>
  <c r="CQ226" i="5"/>
  <c r="CQ225" i="5"/>
  <c r="CQ224" i="5"/>
  <c r="CQ223" i="5"/>
  <c r="CQ222" i="5"/>
  <c r="CQ221" i="5"/>
  <c r="CQ220" i="5"/>
  <c r="CQ219" i="5"/>
  <c r="CQ218" i="5"/>
  <c r="CQ217" i="5"/>
  <c r="CQ216" i="5"/>
  <c r="CQ215" i="5"/>
  <c r="CQ214" i="5"/>
  <c r="CQ213" i="5"/>
  <c r="CQ212" i="5"/>
  <c r="CQ211" i="5"/>
  <c r="CQ210" i="5"/>
  <c r="CQ209" i="5"/>
  <c r="CQ208" i="5"/>
  <c r="CQ207" i="5"/>
  <c r="CQ206" i="5"/>
  <c r="CQ205" i="5"/>
  <c r="CQ204" i="5"/>
  <c r="CQ203" i="5"/>
  <c r="CQ202" i="5"/>
  <c r="CQ201" i="5"/>
  <c r="CQ200" i="5"/>
  <c r="CQ199" i="5"/>
  <c r="CQ198" i="5"/>
  <c r="CQ197" i="5"/>
  <c r="CQ196" i="5"/>
  <c r="CQ195" i="5"/>
  <c r="CQ194" i="5"/>
  <c r="CQ193" i="5"/>
  <c r="CQ192" i="5"/>
  <c r="CQ191" i="5"/>
  <c r="CQ190" i="5"/>
  <c r="CQ189" i="5"/>
  <c r="CQ188" i="5"/>
  <c r="CQ187" i="5"/>
  <c r="CQ186" i="5"/>
  <c r="CQ185" i="5"/>
  <c r="CQ184" i="5"/>
  <c r="CQ183" i="5"/>
  <c r="CQ182" i="5"/>
  <c r="CQ181" i="5"/>
  <c r="CQ180" i="5"/>
  <c r="CQ179" i="5"/>
  <c r="CQ178" i="5"/>
  <c r="CQ177" i="5"/>
  <c r="CQ176" i="5"/>
  <c r="CQ175" i="5"/>
  <c r="CQ174" i="5"/>
  <c r="CQ173" i="5"/>
  <c r="CQ172" i="5"/>
  <c r="CQ171" i="5"/>
  <c r="CQ170" i="5"/>
  <c r="CQ169" i="5"/>
  <c r="CQ168" i="5"/>
  <c r="CQ167" i="5"/>
  <c r="CQ166" i="5"/>
  <c r="CQ165" i="5"/>
  <c r="CQ164" i="5"/>
  <c r="CQ163" i="5"/>
  <c r="CQ162" i="5"/>
  <c r="CQ161" i="5"/>
  <c r="CQ160" i="5"/>
  <c r="CQ159" i="5"/>
  <c r="CQ158" i="5"/>
  <c r="CQ157" i="5"/>
  <c r="CQ156" i="5"/>
  <c r="CQ155" i="5"/>
  <c r="CQ154" i="5"/>
  <c r="CQ153" i="5"/>
  <c r="CQ152" i="5"/>
  <c r="CQ151" i="5"/>
  <c r="CQ150" i="5"/>
  <c r="CQ149" i="5"/>
  <c r="CQ148" i="5"/>
  <c r="CQ147" i="5"/>
  <c r="CQ146" i="5"/>
  <c r="CQ145" i="5"/>
  <c r="CQ144" i="5"/>
  <c r="CQ143" i="5"/>
  <c r="CQ142" i="5"/>
  <c r="CQ141" i="5"/>
  <c r="CQ140" i="5"/>
  <c r="CQ139" i="5"/>
  <c r="CQ138" i="5"/>
  <c r="CQ137" i="5"/>
  <c r="CQ136" i="5"/>
  <c r="CQ135" i="5"/>
  <c r="CQ134" i="5"/>
  <c r="CQ133" i="5"/>
  <c r="CQ132" i="5"/>
  <c r="CQ131" i="5"/>
  <c r="CQ130" i="5"/>
  <c r="CQ129" i="5"/>
  <c r="CQ128" i="5"/>
  <c r="CQ127" i="5"/>
  <c r="CQ126" i="5"/>
  <c r="CQ125" i="5"/>
  <c r="CQ124" i="5"/>
  <c r="CQ123" i="5"/>
  <c r="CQ122" i="5"/>
  <c r="CQ121" i="5"/>
  <c r="CQ120" i="5"/>
  <c r="CQ119" i="5"/>
  <c r="CQ118" i="5"/>
  <c r="CQ117" i="5"/>
  <c r="CQ116" i="5"/>
  <c r="CQ115" i="5"/>
  <c r="CQ114" i="5"/>
  <c r="CQ113" i="5"/>
  <c r="CQ112" i="5"/>
  <c r="CQ111" i="5"/>
  <c r="CQ110" i="5"/>
  <c r="CQ109" i="5"/>
  <c r="CQ108" i="5"/>
  <c r="CQ107" i="5"/>
  <c r="CQ106" i="5"/>
  <c r="CQ105" i="5"/>
  <c r="CQ104" i="5"/>
  <c r="CQ103" i="5"/>
  <c r="CQ102" i="5"/>
  <c r="CQ101" i="5"/>
  <c r="CQ100" i="5"/>
  <c r="CQ99" i="5"/>
  <c r="CQ98" i="5"/>
  <c r="CQ97" i="5"/>
  <c r="CQ96" i="5"/>
  <c r="CQ95" i="5"/>
  <c r="CQ94" i="5"/>
  <c r="CQ93" i="5"/>
  <c r="CQ92" i="5"/>
  <c r="CQ91" i="5"/>
  <c r="CQ90" i="5"/>
  <c r="CQ89" i="5"/>
  <c r="CQ88" i="5"/>
  <c r="CQ87" i="5"/>
  <c r="CQ86" i="5"/>
  <c r="CQ85" i="5"/>
  <c r="CQ84" i="5"/>
  <c r="CQ83" i="5"/>
  <c r="CQ82" i="5"/>
  <c r="CQ81" i="5"/>
  <c r="CQ80" i="5"/>
  <c r="CQ79" i="5"/>
  <c r="CQ78" i="5"/>
  <c r="CQ77" i="5"/>
  <c r="CQ76" i="5"/>
  <c r="CQ75" i="5"/>
  <c r="CQ74" i="5"/>
  <c r="CQ73" i="5"/>
  <c r="CQ72" i="5"/>
  <c r="CQ71" i="5"/>
  <c r="CQ70" i="5"/>
  <c r="CQ69" i="5"/>
  <c r="CQ68" i="5"/>
  <c r="CQ67" i="5"/>
  <c r="CQ66" i="5"/>
  <c r="CQ65" i="5"/>
  <c r="CQ64" i="5"/>
  <c r="CQ63" i="5"/>
  <c r="CQ62" i="5"/>
  <c r="CQ61" i="5"/>
  <c r="CQ60" i="5"/>
  <c r="CQ59" i="5"/>
  <c r="CQ58" i="5"/>
  <c r="CQ57" i="5"/>
  <c r="CQ56" i="5"/>
  <c r="CQ55" i="5"/>
  <c r="CQ54" i="5"/>
  <c r="CQ53" i="5"/>
  <c r="CQ52" i="5"/>
  <c r="CQ51" i="5"/>
  <c r="CQ50" i="5"/>
  <c r="CQ49" i="5"/>
  <c r="CQ48" i="5"/>
  <c r="CQ47" i="5"/>
  <c r="CQ46" i="5"/>
  <c r="CQ45" i="5"/>
  <c r="CQ44" i="5"/>
  <c r="CQ43" i="5"/>
  <c r="CQ42" i="5"/>
  <c r="CQ41" i="5"/>
  <c r="CQ40" i="5"/>
  <c r="CQ39" i="5"/>
  <c r="CQ38" i="5"/>
  <c r="CQ37" i="5"/>
  <c r="CQ36" i="5"/>
  <c r="CQ35" i="5"/>
  <c r="CQ34" i="5"/>
  <c r="CQ33" i="5"/>
  <c r="CQ32" i="5"/>
  <c r="CQ31" i="5"/>
  <c r="CQ30" i="5"/>
  <c r="CQ29" i="5"/>
  <c r="CQ28" i="5"/>
  <c r="CQ27" i="5"/>
  <c r="CQ26" i="5"/>
  <c r="CQ25" i="5"/>
  <c r="CQ24" i="5"/>
  <c r="CQ23" i="5"/>
  <c r="CQ22" i="5"/>
  <c r="CQ21" i="5"/>
  <c r="CQ20" i="5"/>
  <c r="CQ19" i="5"/>
  <c r="CQ18" i="5"/>
  <c r="CQ17" i="5"/>
  <c r="CQ16" i="5"/>
  <c r="CQ15" i="5"/>
  <c r="CQ14" i="5"/>
  <c r="CQ13" i="5"/>
  <c r="CQ12" i="5"/>
  <c r="CQ11" i="5"/>
  <c r="CQ10" i="5"/>
  <c r="CQ9" i="5"/>
  <c r="CQ8" i="5"/>
  <c r="CQ7" i="5"/>
  <c r="CQ6" i="5"/>
  <c r="CQ5" i="5"/>
  <c r="CQ4" i="5"/>
  <c r="CQ3" i="5"/>
  <c r="CP391" i="5"/>
  <c r="CP390" i="5"/>
  <c r="CP389" i="5"/>
  <c r="CP388" i="5"/>
  <c r="CP387" i="5"/>
  <c r="CP386" i="5"/>
  <c r="CP385" i="5"/>
  <c r="CP384" i="5"/>
  <c r="CP383" i="5"/>
  <c r="CP382" i="5"/>
  <c r="CP381" i="5"/>
  <c r="CP380" i="5"/>
  <c r="CP379" i="5"/>
  <c r="CP378" i="5"/>
  <c r="CP377" i="5"/>
  <c r="CP376" i="5"/>
  <c r="CP375" i="5"/>
  <c r="CP374" i="5"/>
  <c r="CP373" i="5"/>
  <c r="CP372" i="5"/>
  <c r="CP371" i="5"/>
  <c r="CP370" i="5"/>
  <c r="CP369" i="5"/>
  <c r="CP368" i="5"/>
  <c r="CP367" i="5"/>
  <c r="CP366" i="5"/>
  <c r="CP365" i="5"/>
  <c r="CP364" i="5"/>
  <c r="CP363" i="5"/>
  <c r="CP362" i="5"/>
  <c r="CP361" i="5"/>
  <c r="CP360" i="5"/>
  <c r="CP359" i="5"/>
  <c r="CP358" i="5"/>
  <c r="CP357" i="5"/>
  <c r="CP356" i="5"/>
  <c r="CP355" i="5"/>
  <c r="CP354" i="5"/>
  <c r="CP353" i="5"/>
  <c r="CP352" i="5"/>
  <c r="CP351" i="5"/>
  <c r="CP350" i="5"/>
  <c r="CP349" i="5"/>
  <c r="CP348" i="5"/>
  <c r="CP347" i="5"/>
  <c r="CP346" i="5"/>
  <c r="CP345" i="5"/>
  <c r="CP344" i="5"/>
  <c r="CP343" i="5"/>
  <c r="CP342" i="5"/>
  <c r="CP341" i="5"/>
  <c r="CP340" i="5"/>
  <c r="CP339" i="5"/>
  <c r="CP338" i="5"/>
  <c r="CP337" i="5"/>
  <c r="CP336" i="5"/>
  <c r="CP335" i="5"/>
  <c r="CP334" i="5"/>
  <c r="CP333" i="5"/>
  <c r="CP332" i="5"/>
  <c r="CP331" i="5"/>
  <c r="CP330" i="5"/>
  <c r="CP329" i="5"/>
  <c r="CP328" i="5"/>
  <c r="CP327" i="5"/>
  <c r="CP326" i="5"/>
  <c r="CP325" i="5"/>
  <c r="CP324" i="5"/>
  <c r="CP323" i="5"/>
  <c r="CP322" i="5"/>
  <c r="CP321" i="5"/>
  <c r="CP320" i="5"/>
  <c r="CP319" i="5"/>
  <c r="CP318" i="5"/>
  <c r="CP317" i="5"/>
  <c r="CP316" i="5"/>
  <c r="CP315" i="5"/>
  <c r="CP314" i="5"/>
  <c r="CP313" i="5"/>
  <c r="CP312" i="5"/>
  <c r="CP311" i="5"/>
  <c r="CP310" i="5"/>
  <c r="CP309" i="5"/>
  <c r="CP308" i="5"/>
  <c r="CP307" i="5"/>
  <c r="CP306" i="5"/>
  <c r="CP305" i="5"/>
  <c r="CP304" i="5"/>
  <c r="CP303" i="5"/>
  <c r="CP302" i="5"/>
  <c r="CP301" i="5"/>
  <c r="CP300" i="5"/>
  <c r="CP299" i="5"/>
  <c r="CP298" i="5"/>
  <c r="CP297" i="5"/>
  <c r="CP296" i="5"/>
  <c r="CP295" i="5"/>
  <c r="CP294" i="5"/>
  <c r="CP293" i="5"/>
  <c r="CP292" i="5"/>
  <c r="CP291" i="5"/>
  <c r="CP290" i="5"/>
  <c r="CP289" i="5"/>
  <c r="CP288" i="5"/>
  <c r="CP287" i="5"/>
  <c r="CP286" i="5"/>
  <c r="CP285" i="5"/>
  <c r="CP284" i="5"/>
  <c r="CP283" i="5"/>
  <c r="CP282" i="5"/>
  <c r="CP281" i="5"/>
  <c r="CP280" i="5"/>
  <c r="CP279" i="5"/>
  <c r="CP278" i="5"/>
  <c r="CP277" i="5"/>
  <c r="CP276" i="5"/>
  <c r="CP275" i="5"/>
  <c r="CP274" i="5"/>
  <c r="CP273" i="5"/>
  <c r="CP272" i="5"/>
  <c r="CP271" i="5"/>
  <c r="CP270" i="5"/>
  <c r="CP269" i="5"/>
  <c r="CP268" i="5"/>
  <c r="CP267" i="5"/>
  <c r="CP266" i="5"/>
  <c r="CP265" i="5"/>
  <c r="CP264" i="5"/>
  <c r="CP263" i="5"/>
  <c r="CP262" i="5"/>
  <c r="CP261" i="5"/>
  <c r="CP260" i="5"/>
  <c r="CP259" i="5"/>
  <c r="CP258" i="5"/>
  <c r="CP257" i="5"/>
  <c r="CP256" i="5"/>
  <c r="CP255" i="5"/>
  <c r="CP254" i="5"/>
  <c r="CP253" i="5"/>
  <c r="CP252" i="5"/>
  <c r="CP251" i="5"/>
  <c r="CP250" i="5"/>
  <c r="CP249" i="5"/>
  <c r="CP248" i="5"/>
  <c r="CP247" i="5"/>
  <c r="CP246" i="5"/>
  <c r="CP245" i="5"/>
  <c r="CP244" i="5"/>
  <c r="CP243" i="5"/>
  <c r="CP242" i="5"/>
  <c r="CP241" i="5"/>
  <c r="CP240" i="5"/>
  <c r="CP239" i="5"/>
  <c r="CP238" i="5"/>
  <c r="CP237" i="5"/>
  <c r="CP236" i="5"/>
  <c r="CP235" i="5"/>
  <c r="CP234" i="5"/>
  <c r="CP233" i="5"/>
  <c r="CP232" i="5"/>
  <c r="CP231" i="5"/>
  <c r="CP230" i="5"/>
  <c r="CP229" i="5"/>
  <c r="CP228" i="5"/>
  <c r="CP227" i="5"/>
  <c r="CP226" i="5"/>
  <c r="CP225" i="5"/>
  <c r="CP224" i="5"/>
  <c r="CP223" i="5"/>
  <c r="CP222" i="5"/>
  <c r="CP221" i="5"/>
  <c r="CP220" i="5"/>
  <c r="CP219" i="5"/>
  <c r="CP218" i="5"/>
  <c r="CP217" i="5"/>
  <c r="CP216" i="5"/>
  <c r="CP215" i="5"/>
  <c r="CP214" i="5"/>
  <c r="CP213" i="5"/>
  <c r="CP212" i="5"/>
  <c r="CP211" i="5"/>
  <c r="CP210" i="5"/>
  <c r="CP209" i="5"/>
  <c r="CP208" i="5"/>
  <c r="CP207" i="5"/>
  <c r="CP206" i="5"/>
  <c r="CP205" i="5"/>
  <c r="CP204" i="5"/>
  <c r="CP203" i="5"/>
  <c r="CP202" i="5"/>
  <c r="CP201" i="5"/>
  <c r="CP200" i="5"/>
  <c r="CP199" i="5"/>
  <c r="CP198" i="5"/>
  <c r="CP197" i="5"/>
  <c r="CP196" i="5"/>
  <c r="CP195" i="5"/>
  <c r="CP194" i="5"/>
  <c r="CP193" i="5"/>
  <c r="CP192" i="5"/>
  <c r="CP191" i="5"/>
  <c r="CP190" i="5"/>
  <c r="CP189" i="5"/>
  <c r="CP188" i="5"/>
  <c r="CP187" i="5"/>
  <c r="CP186" i="5"/>
  <c r="CP185" i="5"/>
  <c r="CP184" i="5"/>
  <c r="CP183" i="5"/>
  <c r="CP182" i="5"/>
  <c r="CP181" i="5"/>
  <c r="CP180" i="5"/>
  <c r="CP179" i="5"/>
  <c r="CP178" i="5"/>
  <c r="CP177" i="5"/>
  <c r="CP176" i="5"/>
  <c r="CP175" i="5"/>
  <c r="CP174" i="5"/>
  <c r="CP173" i="5"/>
  <c r="CP172" i="5"/>
  <c r="CP171" i="5"/>
  <c r="CP170" i="5"/>
  <c r="CP169" i="5"/>
  <c r="CP168" i="5"/>
  <c r="CP167" i="5"/>
  <c r="CP166" i="5"/>
  <c r="CP165" i="5"/>
  <c r="CP164" i="5"/>
  <c r="CP163" i="5"/>
  <c r="CP162" i="5"/>
  <c r="CP161" i="5"/>
  <c r="CP160" i="5"/>
  <c r="CP159" i="5"/>
  <c r="CP158" i="5"/>
  <c r="CP157" i="5"/>
  <c r="CP156" i="5"/>
  <c r="CP155" i="5"/>
  <c r="CP154" i="5"/>
  <c r="CP153" i="5"/>
  <c r="CP152" i="5"/>
  <c r="CP151" i="5"/>
  <c r="CP150" i="5"/>
  <c r="CP149" i="5"/>
  <c r="CP148" i="5"/>
  <c r="CP147" i="5"/>
  <c r="CP146" i="5"/>
  <c r="CP145" i="5"/>
  <c r="CP144" i="5"/>
  <c r="CP143" i="5"/>
  <c r="CP142" i="5"/>
  <c r="CP141" i="5"/>
  <c r="CP140" i="5"/>
  <c r="CP139" i="5"/>
  <c r="CP138" i="5"/>
  <c r="CP137" i="5"/>
  <c r="CP136" i="5"/>
  <c r="CP135" i="5"/>
  <c r="CP134" i="5"/>
  <c r="CP133" i="5"/>
  <c r="CP132" i="5"/>
  <c r="CP131" i="5"/>
  <c r="CP130" i="5"/>
  <c r="CP129" i="5"/>
  <c r="CP128" i="5"/>
  <c r="CP127" i="5"/>
  <c r="CP126" i="5"/>
  <c r="CP125" i="5"/>
  <c r="CP124" i="5"/>
  <c r="CP123" i="5"/>
  <c r="CP122" i="5"/>
  <c r="CP121" i="5"/>
  <c r="CP120" i="5"/>
  <c r="CP119" i="5"/>
  <c r="CP118" i="5"/>
  <c r="CP117" i="5"/>
  <c r="CP116" i="5"/>
  <c r="CP115" i="5"/>
  <c r="CP114" i="5"/>
  <c r="CP113" i="5"/>
  <c r="CP112" i="5"/>
  <c r="CP111" i="5"/>
  <c r="CP110" i="5"/>
  <c r="CP109" i="5"/>
  <c r="CP108" i="5"/>
  <c r="CP107" i="5"/>
  <c r="CP106" i="5"/>
  <c r="CP105" i="5"/>
  <c r="CP104" i="5"/>
  <c r="CP103" i="5"/>
  <c r="CP102" i="5"/>
  <c r="CP101" i="5"/>
  <c r="CP100" i="5"/>
  <c r="CP99" i="5"/>
  <c r="CP98" i="5"/>
  <c r="CP97" i="5"/>
  <c r="CP96" i="5"/>
  <c r="CP95" i="5"/>
  <c r="CP94" i="5"/>
  <c r="CP93" i="5"/>
  <c r="CP92" i="5"/>
  <c r="CP91" i="5"/>
  <c r="CP90" i="5"/>
  <c r="CP89" i="5"/>
  <c r="CP88" i="5"/>
  <c r="CP87" i="5"/>
  <c r="CP86" i="5"/>
  <c r="CP85" i="5"/>
  <c r="CP84" i="5"/>
  <c r="CP83" i="5"/>
  <c r="CP82" i="5"/>
  <c r="CP81" i="5"/>
  <c r="CP80" i="5"/>
  <c r="CP79" i="5"/>
  <c r="CP78" i="5"/>
  <c r="CP77" i="5"/>
  <c r="CP76" i="5"/>
  <c r="CP75" i="5"/>
  <c r="CP74" i="5"/>
  <c r="CP73" i="5"/>
  <c r="CP72" i="5"/>
  <c r="CP71" i="5"/>
  <c r="CP70" i="5"/>
  <c r="CP69" i="5"/>
  <c r="CP68" i="5"/>
  <c r="CP67" i="5"/>
  <c r="CP66" i="5"/>
  <c r="CP65" i="5"/>
  <c r="CP64" i="5"/>
  <c r="CP63" i="5"/>
  <c r="CP62" i="5"/>
  <c r="CP61" i="5"/>
  <c r="CP60" i="5"/>
  <c r="CP59" i="5"/>
  <c r="CP58" i="5"/>
  <c r="CP57" i="5"/>
  <c r="CP56" i="5"/>
  <c r="CP55" i="5"/>
  <c r="CP54" i="5"/>
  <c r="CP53" i="5"/>
  <c r="CP52" i="5"/>
  <c r="CP51" i="5"/>
  <c r="CP50" i="5"/>
  <c r="CP49" i="5"/>
  <c r="CP48" i="5"/>
  <c r="CP47" i="5"/>
  <c r="CP46" i="5"/>
  <c r="CP45" i="5"/>
  <c r="CP44" i="5"/>
  <c r="CP43" i="5"/>
  <c r="CP42" i="5"/>
  <c r="CP41" i="5"/>
  <c r="CP40" i="5"/>
  <c r="CP39" i="5"/>
  <c r="CP38" i="5"/>
  <c r="CP37" i="5"/>
  <c r="CP36" i="5"/>
  <c r="CP35" i="5"/>
  <c r="CP34" i="5"/>
  <c r="CP33" i="5"/>
  <c r="CP32" i="5"/>
  <c r="CP31" i="5"/>
  <c r="CP30" i="5"/>
  <c r="CP29" i="5"/>
  <c r="CP28" i="5"/>
  <c r="CP27" i="5"/>
  <c r="CP26" i="5"/>
  <c r="CP25" i="5"/>
  <c r="CP24" i="5"/>
  <c r="CP23" i="5"/>
  <c r="CP22" i="5"/>
  <c r="CP21" i="5"/>
  <c r="CP20" i="5"/>
  <c r="CP19" i="5"/>
  <c r="CP18" i="5"/>
  <c r="CP17" i="5"/>
  <c r="CP16" i="5"/>
  <c r="CP15" i="5"/>
  <c r="CP14" i="5"/>
  <c r="CP13" i="5"/>
  <c r="CP12" i="5"/>
  <c r="CP11" i="5"/>
  <c r="CP10" i="5"/>
  <c r="CP9" i="5"/>
  <c r="CP8" i="5"/>
  <c r="CP7" i="5"/>
  <c r="CP6" i="5"/>
  <c r="CP5" i="5"/>
  <c r="CP4" i="5"/>
  <c r="CP3" i="5"/>
  <c r="CO1496" i="5"/>
  <c r="CO1495" i="5"/>
  <c r="CO1494" i="5"/>
  <c r="CO1493" i="5"/>
  <c r="CO1492" i="5"/>
  <c r="CO1491" i="5"/>
  <c r="CO1490" i="5"/>
  <c r="CO1489" i="5"/>
  <c r="CO1488" i="5"/>
  <c r="CO1487" i="5"/>
  <c r="CO1486" i="5"/>
  <c r="CO1485" i="5"/>
  <c r="CO1484" i="5"/>
  <c r="CO1483" i="5"/>
  <c r="CO1482" i="5"/>
  <c r="CO1481" i="5"/>
  <c r="CO1480" i="5"/>
  <c r="CO1479" i="5"/>
  <c r="CO1478" i="5"/>
  <c r="CO1477" i="5"/>
  <c r="CO1476" i="5"/>
  <c r="CO1475" i="5"/>
  <c r="CO1474" i="5"/>
  <c r="CO1473" i="5"/>
  <c r="CO1472" i="5"/>
  <c r="CO1471" i="5"/>
  <c r="CO1470" i="5"/>
  <c r="CO1469" i="5"/>
  <c r="CO1468" i="5"/>
  <c r="CO1467" i="5"/>
  <c r="CO1466" i="5"/>
  <c r="CO1465" i="5"/>
  <c r="CO1464" i="5"/>
  <c r="CO1463" i="5"/>
  <c r="CO1462" i="5"/>
  <c r="CO1461" i="5"/>
  <c r="CO1460" i="5"/>
  <c r="CO1459" i="5"/>
  <c r="CO1458" i="5"/>
  <c r="CO1457" i="5"/>
  <c r="CO1456" i="5"/>
  <c r="CO1455" i="5"/>
  <c r="CO1454" i="5"/>
  <c r="CO1453" i="5"/>
  <c r="CO1452" i="5"/>
  <c r="CO1451" i="5"/>
  <c r="CO1450" i="5"/>
  <c r="CO1449" i="5"/>
  <c r="CO1448" i="5"/>
  <c r="CO1447" i="5"/>
  <c r="CO1446" i="5"/>
  <c r="CO1445" i="5"/>
  <c r="CO1444" i="5"/>
  <c r="CO1443" i="5"/>
  <c r="CO1442" i="5"/>
  <c r="CO1441" i="5"/>
  <c r="CO1440" i="5"/>
  <c r="CO1439" i="5"/>
  <c r="CO1438" i="5"/>
  <c r="CO1437" i="5"/>
  <c r="CO1436" i="5"/>
  <c r="CO1435" i="5"/>
  <c r="CO1434" i="5"/>
  <c r="CO1433" i="5"/>
  <c r="CO1432" i="5"/>
  <c r="CO1431" i="5"/>
  <c r="CO1430" i="5"/>
  <c r="CO1429" i="5"/>
  <c r="CO1428" i="5"/>
  <c r="CO1427" i="5"/>
  <c r="CO1426" i="5"/>
  <c r="CO1425" i="5"/>
  <c r="CO1424" i="5"/>
  <c r="CO1423" i="5"/>
  <c r="CO1422" i="5"/>
  <c r="CO1421" i="5"/>
  <c r="CO1420" i="5"/>
  <c r="CO1419" i="5"/>
  <c r="CO1418" i="5"/>
  <c r="CO1417" i="5"/>
  <c r="CO1416" i="5"/>
  <c r="CO1415" i="5"/>
  <c r="CO1414" i="5"/>
  <c r="CO1413" i="5"/>
  <c r="CO1412" i="5"/>
  <c r="CO1411" i="5"/>
  <c r="CO1410" i="5"/>
  <c r="CO1409" i="5"/>
  <c r="CO1408" i="5"/>
  <c r="CO1407" i="5"/>
  <c r="CO1406" i="5"/>
  <c r="CO1405" i="5"/>
  <c r="CO1404" i="5"/>
  <c r="CO1403" i="5"/>
  <c r="CO1402" i="5"/>
  <c r="CO1401" i="5"/>
  <c r="CO1400" i="5"/>
  <c r="CO1399" i="5"/>
  <c r="CO1398" i="5"/>
  <c r="CO1397" i="5"/>
  <c r="CO1396" i="5"/>
  <c r="CO1395" i="5"/>
  <c r="CO1394" i="5"/>
  <c r="CO1393" i="5"/>
  <c r="CO1392" i="5"/>
  <c r="CO1391" i="5"/>
  <c r="CO1390" i="5"/>
  <c r="CO1389" i="5"/>
  <c r="CO1388" i="5"/>
  <c r="CO1387" i="5"/>
  <c r="CO1386" i="5"/>
  <c r="CO1385" i="5"/>
  <c r="CO1384" i="5"/>
  <c r="CO1383" i="5"/>
  <c r="CO1382" i="5"/>
  <c r="CO1381" i="5"/>
  <c r="CO1380" i="5"/>
  <c r="CO1379" i="5"/>
  <c r="CO1378" i="5"/>
  <c r="CO1377" i="5"/>
  <c r="CO1376" i="5"/>
  <c r="CO1375" i="5"/>
  <c r="CO1374" i="5"/>
  <c r="CO1373" i="5"/>
  <c r="CO1372" i="5"/>
  <c r="CO1371" i="5"/>
  <c r="CO1370" i="5"/>
  <c r="CO1369" i="5"/>
  <c r="CO1368" i="5"/>
  <c r="CO1367" i="5"/>
  <c r="CO1366" i="5"/>
  <c r="CO1365" i="5"/>
  <c r="CO1364" i="5"/>
  <c r="CO1363" i="5"/>
  <c r="CO1362" i="5"/>
  <c r="CO1361" i="5"/>
  <c r="CO1360" i="5"/>
  <c r="CO1359" i="5"/>
  <c r="CO1358" i="5"/>
  <c r="CO1357" i="5"/>
  <c r="CO1356" i="5"/>
  <c r="CO1355" i="5"/>
  <c r="CO1354" i="5"/>
  <c r="CO1353" i="5"/>
  <c r="CO1352" i="5"/>
  <c r="CO1351" i="5"/>
  <c r="CO1350" i="5"/>
  <c r="CO1349" i="5"/>
  <c r="CO1348" i="5"/>
  <c r="CO1347" i="5"/>
  <c r="CO1346" i="5"/>
  <c r="CO1345" i="5"/>
  <c r="CO1344" i="5"/>
  <c r="CO1343" i="5"/>
  <c r="CO1342" i="5"/>
  <c r="CO1341" i="5"/>
  <c r="CO1340" i="5"/>
  <c r="CO1339" i="5"/>
  <c r="CO1338" i="5"/>
  <c r="CO1337" i="5"/>
  <c r="CO1336" i="5"/>
  <c r="CO1335" i="5"/>
  <c r="CO1334" i="5"/>
  <c r="CO1333" i="5"/>
  <c r="CO1332" i="5"/>
  <c r="CO1331" i="5"/>
  <c r="CO1330" i="5"/>
  <c r="CO1329" i="5"/>
  <c r="CO1328" i="5"/>
  <c r="CO1327" i="5"/>
  <c r="CO1326" i="5"/>
  <c r="CO1325" i="5"/>
  <c r="CO1324" i="5"/>
  <c r="CO1323" i="5"/>
  <c r="CO1322" i="5"/>
  <c r="CO1321" i="5"/>
  <c r="CO1320" i="5"/>
  <c r="CO1319" i="5"/>
  <c r="CO1318" i="5"/>
  <c r="CO1317" i="5"/>
  <c r="CO1316" i="5"/>
  <c r="CO1315" i="5"/>
  <c r="CO1314" i="5"/>
  <c r="CO1313" i="5"/>
  <c r="CO1312" i="5"/>
  <c r="CO1311" i="5"/>
  <c r="CO1310" i="5"/>
  <c r="CO1309" i="5"/>
  <c r="CO1308" i="5"/>
  <c r="CO1307" i="5"/>
  <c r="CO1306" i="5"/>
  <c r="CO1305" i="5"/>
  <c r="CO1304" i="5"/>
  <c r="CO1303" i="5"/>
  <c r="CO1302" i="5"/>
  <c r="CO1301" i="5"/>
  <c r="CO1300" i="5"/>
  <c r="CO1299" i="5"/>
  <c r="CO1298" i="5"/>
  <c r="CO1297" i="5"/>
  <c r="CO1296" i="5"/>
  <c r="CO1295" i="5"/>
  <c r="CO1294" i="5"/>
  <c r="CO1293" i="5"/>
  <c r="CO1292" i="5"/>
  <c r="CO1291" i="5"/>
  <c r="CO1290" i="5"/>
  <c r="CO1289" i="5"/>
  <c r="CO1288" i="5"/>
  <c r="CO1287" i="5"/>
  <c r="CO1286" i="5"/>
  <c r="CO1285" i="5"/>
  <c r="CO1284" i="5"/>
  <c r="CO1283" i="5"/>
  <c r="CO1282" i="5"/>
  <c r="CO1281" i="5"/>
  <c r="CO1280" i="5"/>
  <c r="CO1279" i="5"/>
  <c r="CO1278" i="5"/>
  <c r="CO1277" i="5"/>
  <c r="CO1276" i="5"/>
  <c r="CO1275" i="5"/>
  <c r="CO1274" i="5"/>
  <c r="CO1273" i="5"/>
  <c r="CO1272" i="5"/>
  <c r="CO1271" i="5"/>
  <c r="CO1270" i="5"/>
  <c r="CO1269" i="5"/>
  <c r="CO1268" i="5"/>
  <c r="CO1267" i="5"/>
  <c r="CO1266" i="5"/>
  <c r="CO1265" i="5"/>
  <c r="CO1264" i="5"/>
  <c r="CO1263" i="5"/>
  <c r="CO1262" i="5"/>
  <c r="CO1261" i="5"/>
  <c r="CO1260" i="5"/>
  <c r="CO1259" i="5"/>
  <c r="CO1258" i="5"/>
  <c r="CO1257" i="5"/>
  <c r="CO1256" i="5"/>
  <c r="CO1255" i="5"/>
  <c r="CO1254" i="5"/>
  <c r="CO1253" i="5"/>
  <c r="CO1252" i="5"/>
  <c r="CO1251" i="5"/>
  <c r="CO1250" i="5"/>
  <c r="CO1249" i="5"/>
  <c r="CO1248" i="5"/>
  <c r="CO1247" i="5"/>
  <c r="CO1246" i="5"/>
  <c r="CO1245" i="5"/>
  <c r="CO1244" i="5"/>
  <c r="CO1243" i="5"/>
  <c r="CO1242" i="5"/>
  <c r="CO1241" i="5"/>
  <c r="CO1240" i="5"/>
  <c r="CO1239" i="5"/>
  <c r="CO1238" i="5"/>
  <c r="CO1237" i="5"/>
  <c r="CO1236" i="5"/>
  <c r="CO1235" i="5"/>
  <c r="CO1234" i="5"/>
  <c r="CO1233" i="5"/>
  <c r="CO1232" i="5"/>
  <c r="CO1231" i="5"/>
  <c r="CO1230" i="5"/>
  <c r="CO1229" i="5"/>
  <c r="CO1228" i="5"/>
  <c r="CO1227" i="5"/>
  <c r="CO1226" i="5"/>
  <c r="CO1225" i="5"/>
  <c r="CO1224" i="5"/>
  <c r="CO1223" i="5"/>
  <c r="CO1222" i="5"/>
  <c r="CO1221" i="5"/>
  <c r="CO1220" i="5"/>
  <c r="CO1219" i="5"/>
  <c r="CO1218" i="5"/>
  <c r="CO1217" i="5"/>
  <c r="CO1216" i="5"/>
  <c r="CO1215" i="5"/>
  <c r="CO1214" i="5"/>
  <c r="CO1213" i="5"/>
  <c r="CO1212" i="5"/>
  <c r="CO1211" i="5"/>
  <c r="CO1210" i="5"/>
  <c r="CO1209" i="5"/>
  <c r="CO1208" i="5"/>
  <c r="CO1207" i="5"/>
  <c r="CO1206" i="5"/>
  <c r="CO1205" i="5"/>
  <c r="CO1204" i="5"/>
  <c r="CO1203" i="5"/>
  <c r="CO1202" i="5"/>
  <c r="CO1201" i="5"/>
  <c r="CO1200" i="5"/>
  <c r="CO1199" i="5"/>
  <c r="CO1198" i="5"/>
  <c r="CO1197" i="5"/>
  <c r="CO1196" i="5"/>
  <c r="CO1195" i="5"/>
  <c r="CO1194" i="5"/>
  <c r="CO1193" i="5"/>
  <c r="CO1192" i="5"/>
  <c r="CO1191" i="5"/>
  <c r="CO1190" i="5"/>
  <c r="CO1189" i="5"/>
  <c r="CO1188" i="5"/>
  <c r="CO1187" i="5"/>
  <c r="CO1186" i="5"/>
  <c r="CO1185" i="5"/>
  <c r="CO1184" i="5"/>
  <c r="CO1183" i="5"/>
  <c r="CO1182" i="5"/>
  <c r="CO1181" i="5"/>
  <c r="CO1180" i="5"/>
  <c r="CO1179" i="5"/>
  <c r="CO1178" i="5"/>
  <c r="CO1177" i="5"/>
  <c r="CO1176" i="5"/>
  <c r="CO1175" i="5"/>
  <c r="CO1174" i="5"/>
  <c r="CO1173" i="5"/>
  <c r="CO1172" i="5"/>
  <c r="CO1171" i="5"/>
  <c r="CO1170" i="5"/>
  <c r="CO1169" i="5"/>
  <c r="CO1168" i="5"/>
  <c r="CO1167" i="5"/>
  <c r="CO1166" i="5"/>
  <c r="CO1165" i="5"/>
  <c r="CO1164" i="5"/>
  <c r="CO1163" i="5"/>
  <c r="CO1162" i="5"/>
  <c r="CO1161" i="5"/>
  <c r="CO1160" i="5"/>
  <c r="CO1159" i="5"/>
  <c r="CO1158" i="5"/>
  <c r="CO1157" i="5"/>
  <c r="CO1156" i="5"/>
  <c r="CO1155" i="5"/>
  <c r="CO1154" i="5"/>
  <c r="CO1153" i="5"/>
  <c r="CO1152" i="5"/>
  <c r="CO1151" i="5"/>
  <c r="CO1150" i="5"/>
  <c r="CO1149" i="5"/>
  <c r="CO1148" i="5"/>
  <c r="CO1147" i="5"/>
  <c r="CO1146" i="5"/>
  <c r="CO1145" i="5"/>
  <c r="CO1144" i="5"/>
  <c r="CO1143" i="5"/>
  <c r="CO1142" i="5"/>
  <c r="CO1141" i="5"/>
  <c r="CO1140" i="5"/>
  <c r="CO1139" i="5"/>
  <c r="CO1138" i="5"/>
  <c r="CO1137" i="5"/>
  <c r="CO1136" i="5"/>
  <c r="CO1135" i="5"/>
  <c r="CO1134" i="5"/>
  <c r="CO1133" i="5"/>
  <c r="CO1132" i="5"/>
  <c r="CO1131" i="5"/>
  <c r="CO1130" i="5"/>
  <c r="CO1129" i="5"/>
  <c r="CO1128" i="5"/>
  <c r="CO1127" i="5"/>
  <c r="CO1126" i="5"/>
  <c r="CO1125" i="5"/>
  <c r="CO1124" i="5"/>
  <c r="CO1123" i="5"/>
  <c r="CO1122" i="5"/>
  <c r="CO1121" i="5"/>
  <c r="CO1120" i="5"/>
  <c r="CO1119" i="5"/>
  <c r="CO1118" i="5"/>
  <c r="CO1117" i="5"/>
  <c r="CO1116" i="5"/>
  <c r="CO1115" i="5"/>
  <c r="CO1114" i="5"/>
  <c r="CO1113" i="5"/>
  <c r="CO1112" i="5"/>
  <c r="CO1111" i="5"/>
  <c r="CO1110" i="5"/>
  <c r="CO1109" i="5"/>
  <c r="CO1108" i="5"/>
  <c r="CO1107" i="5"/>
  <c r="CO1106" i="5"/>
  <c r="CO1105" i="5"/>
  <c r="CO1104" i="5"/>
  <c r="CO1103" i="5"/>
  <c r="CO1102" i="5"/>
  <c r="CO1101" i="5"/>
  <c r="CO1100" i="5"/>
  <c r="CO1099" i="5"/>
  <c r="CO1098" i="5"/>
  <c r="CO1097" i="5"/>
  <c r="CO1096" i="5"/>
  <c r="CO1095" i="5"/>
  <c r="CO1094" i="5"/>
  <c r="CO1093" i="5"/>
  <c r="CO1092" i="5"/>
  <c r="CO1091" i="5"/>
  <c r="CO1090" i="5"/>
  <c r="CO1089" i="5"/>
  <c r="CO1088" i="5"/>
  <c r="CO1087" i="5"/>
  <c r="CO1086" i="5"/>
  <c r="CO1085" i="5"/>
  <c r="CO1084" i="5"/>
  <c r="CO1083" i="5"/>
  <c r="CO1082" i="5"/>
  <c r="CO1081" i="5"/>
  <c r="CO1080" i="5"/>
  <c r="CO1079" i="5"/>
  <c r="CO1078" i="5"/>
  <c r="CO1077" i="5"/>
  <c r="CO1076" i="5"/>
  <c r="CO1075" i="5"/>
  <c r="CO1074" i="5"/>
  <c r="CO1073" i="5"/>
  <c r="CO1072" i="5"/>
  <c r="CO1071" i="5"/>
  <c r="CO1070" i="5"/>
  <c r="CO1069" i="5"/>
  <c r="CO1068" i="5"/>
  <c r="CO1067" i="5"/>
  <c r="CO1066" i="5"/>
  <c r="CO1065" i="5"/>
  <c r="CO1064" i="5"/>
  <c r="CO1063" i="5"/>
  <c r="CO1062" i="5"/>
  <c r="CO1061" i="5"/>
  <c r="CO1060" i="5"/>
  <c r="CO1059" i="5"/>
  <c r="CO1058" i="5"/>
  <c r="CO1057" i="5"/>
  <c r="CO1056" i="5"/>
  <c r="CO1055" i="5"/>
  <c r="CO1054" i="5"/>
  <c r="CO1053" i="5"/>
  <c r="CO1052" i="5"/>
  <c r="CO1051" i="5"/>
  <c r="CO1050" i="5"/>
  <c r="CO1049" i="5"/>
  <c r="CO1048" i="5"/>
  <c r="CO1047" i="5"/>
  <c r="CO1046" i="5"/>
  <c r="CO1045" i="5"/>
  <c r="CO1044" i="5"/>
  <c r="CO1043" i="5"/>
  <c r="CO1042" i="5"/>
  <c r="CO1041" i="5"/>
  <c r="CO1040" i="5"/>
  <c r="CO1039" i="5"/>
  <c r="CO1038" i="5"/>
  <c r="CO1037" i="5"/>
  <c r="CO1036" i="5"/>
  <c r="CO1035" i="5"/>
  <c r="CO1034" i="5"/>
  <c r="CO1033" i="5"/>
  <c r="CO1032" i="5"/>
  <c r="CO1031" i="5"/>
  <c r="CO1030" i="5"/>
  <c r="CO1029" i="5"/>
  <c r="CO1028" i="5"/>
  <c r="CO1027" i="5"/>
  <c r="CO1026" i="5"/>
  <c r="CO1025" i="5"/>
  <c r="CO1024" i="5"/>
  <c r="CO1023" i="5"/>
  <c r="CO1022" i="5"/>
  <c r="CO1021" i="5"/>
  <c r="CO1020" i="5"/>
  <c r="CO1019" i="5"/>
  <c r="CO1018" i="5"/>
  <c r="CO1017" i="5"/>
  <c r="CO1016" i="5"/>
  <c r="CO1015" i="5"/>
  <c r="CO1014" i="5"/>
  <c r="CO1013" i="5"/>
  <c r="CO1012" i="5"/>
  <c r="CO1011" i="5"/>
  <c r="CO1010" i="5"/>
  <c r="CO1009" i="5"/>
  <c r="CO1008" i="5"/>
  <c r="CO1007" i="5"/>
  <c r="CO1006" i="5"/>
  <c r="CO1005" i="5"/>
  <c r="CO1004" i="5"/>
  <c r="CO1003" i="5"/>
  <c r="CO1002" i="5"/>
  <c r="CO1001" i="5"/>
  <c r="CO1000" i="5"/>
  <c r="CO999" i="5"/>
  <c r="CO998" i="5"/>
  <c r="CO997" i="5"/>
  <c r="CO996" i="5"/>
  <c r="CO995" i="5"/>
  <c r="CO994" i="5"/>
  <c r="CO993" i="5"/>
  <c r="CO992" i="5"/>
  <c r="CO991" i="5"/>
  <c r="CO990" i="5"/>
  <c r="CO989" i="5"/>
  <c r="CO988" i="5"/>
  <c r="CO987" i="5"/>
  <c r="CO986" i="5"/>
  <c r="CO985" i="5"/>
  <c r="CO984" i="5"/>
  <c r="CO983" i="5"/>
  <c r="CO982" i="5"/>
  <c r="CO981" i="5"/>
  <c r="CO980" i="5"/>
  <c r="CO979" i="5"/>
  <c r="CO978" i="5"/>
  <c r="CO977" i="5"/>
  <c r="CO976" i="5"/>
  <c r="CO975" i="5"/>
  <c r="CO974" i="5"/>
  <c r="CO973" i="5"/>
  <c r="CO972" i="5"/>
  <c r="CO971" i="5"/>
  <c r="CO970" i="5"/>
  <c r="CO969" i="5"/>
  <c r="CO968" i="5"/>
  <c r="CO967" i="5"/>
  <c r="CO966" i="5"/>
  <c r="CO965" i="5"/>
  <c r="CO964" i="5"/>
  <c r="CO963" i="5"/>
  <c r="CO962" i="5"/>
  <c r="CO961" i="5"/>
  <c r="CO960" i="5"/>
  <c r="CO959" i="5"/>
  <c r="CO958" i="5"/>
  <c r="CO957" i="5"/>
  <c r="CO956" i="5"/>
  <c r="CO955" i="5"/>
  <c r="CO954" i="5"/>
  <c r="CO953" i="5"/>
  <c r="CO952" i="5"/>
  <c r="CO951" i="5"/>
  <c r="CO950" i="5"/>
  <c r="CO949" i="5"/>
  <c r="CO948" i="5"/>
  <c r="CO947" i="5"/>
  <c r="CO946" i="5"/>
  <c r="CO945" i="5"/>
  <c r="CO944" i="5"/>
  <c r="CO943" i="5"/>
  <c r="CO942" i="5"/>
  <c r="CO941" i="5"/>
  <c r="CO940" i="5"/>
  <c r="CO939" i="5"/>
  <c r="CO938" i="5"/>
  <c r="CO937" i="5"/>
  <c r="CO936" i="5"/>
  <c r="CO935" i="5"/>
  <c r="CO934" i="5"/>
  <c r="CO933" i="5"/>
  <c r="CO932" i="5"/>
  <c r="CO931" i="5"/>
  <c r="CO930" i="5"/>
  <c r="CO929" i="5"/>
  <c r="CO928" i="5"/>
  <c r="CO927" i="5"/>
  <c r="CO926" i="5"/>
  <c r="CO925" i="5"/>
  <c r="CO924" i="5"/>
  <c r="CO923" i="5"/>
  <c r="CO922" i="5"/>
  <c r="CO921" i="5"/>
  <c r="CO920" i="5"/>
  <c r="CO919" i="5"/>
  <c r="CO918" i="5"/>
  <c r="CO917" i="5"/>
  <c r="CO916" i="5"/>
  <c r="CO915" i="5"/>
  <c r="CO914" i="5"/>
  <c r="CO913" i="5"/>
  <c r="CO912" i="5"/>
  <c r="CO911" i="5"/>
  <c r="CO910" i="5"/>
  <c r="CO909" i="5"/>
  <c r="CO908" i="5"/>
  <c r="CO907" i="5"/>
  <c r="CO906" i="5"/>
  <c r="CO905" i="5"/>
  <c r="CO904" i="5"/>
  <c r="CO903" i="5"/>
  <c r="CO902" i="5"/>
  <c r="CO901" i="5"/>
  <c r="CO900" i="5"/>
  <c r="CO899" i="5"/>
  <c r="CO898" i="5"/>
  <c r="CO897" i="5"/>
  <c r="CO896" i="5"/>
  <c r="CO895" i="5"/>
  <c r="CO894" i="5"/>
  <c r="CO893" i="5"/>
  <c r="CO892" i="5"/>
  <c r="CO891" i="5"/>
  <c r="CO890" i="5"/>
  <c r="CO889" i="5"/>
  <c r="CO888" i="5"/>
  <c r="CO887" i="5"/>
  <c r="CO886" i="5"/>
  <c r="CO885" i="5"/>
  <c r="CO884" i="5"/>
  <c r="CO883" i="5"/>
  <c r="CO882" i="5"/>
  <c r="CO881" i="5"/>
  <c r="CO880" i="5"/>
  <c r="CO879" i="5"/>
  <c r="CO878" i="5"/>
  <c r="CO877" i="5"/>
  <c r="CO876" i="5"/>
  <c r="CO875" i="5"/>
  <c r="CO874" i="5"/>
  <c r="CO873" i="5"/>
  <c r="CO872" i="5"/>
  <c r="CO871" i="5"/>
  <c r="CO870" i="5"/>
  <c r="CO869" i="5"/>
  <c r="CO868" i="5"/>
  <c r="CO867" i="5"/>
  <c r="CO866" i="5"/>
  <c r="CO865" i="5"/>
  <c r="CO864" i="5"/>
  <c r="CO863" i="5"/>
  <c r="CO862" i="5"/>
  <c r="CO861" i="5"/>
  <c r="CO860" i="5"/>
  <c r="CO859" i="5"/>
  <c r="CO858" i="5"/>
  <c r="CO857" i="5"/>
  <c r="CO856" i="5"/>
  <c r="CO855" i="5"/>
  <c r="CO854" i="5"/>
  <c r="CO853" i="5"/>
  <c r="CO852" i="5"/>
  <c r="CO851" i="5"/>
  <c r="CO850" i="5"/>
  <c r="CO849" i="5"/>
  <c r="CO848" i="5"/>
  <c r="CO847" i="5"/>
  <c r="CO846" i="5"/>
  <c r="CO845" i="5"/>
  <c r="CO844" i="5"/>
  <c r="CO843" i="5"/>
  <c r="CO842" i="5"/>
  <c r="CO841" i="5"/>
  <c r="CO840" i="5"/>
  <c r="CO839" i="5"/>
  <c r="CO838" i="5"/>
  <c r="CO837" i="5"/>
  <c r="CO836" i="5"/>
  <c r="CO835" i="5"/>
  <c r="CO834" i="5"/>
  <c r="CO833" i="5"/>
  <c r="CO832" i="5"/>
  <c r="CO831" i="5"/>
  <c r="CO830" i="5"/>
  <c r="CO829" i="5"/>
  <c r="CO828" i="5"/>
  <c r="CO827" i="5"/>
  <c r="CO826" i="5"/>
  <c r="CO825" i="5"/>
  <c r="CO824" i="5"/>
  <c r="CO823" i="5"/>
  <c r="CO822" i="5"/>
  <c r="CO821" i="5"/>
  <c r="CO820" i="5"/>
  <c r="CO819" i="5"/>
  <c r="CO818" i="5"/>
  <c r="CO817" i="5"/>
  <c r="CO816" i="5"/>
  <c r="CO815" i="5"/>
  <c r="CO814" i="5"/>
  <c r="CO813" i="5"/>
  <c r="CO812" i="5"/>
  <c r="CO811" i="5"/>
  <c r="CO810" i="5"/>
  <c r="CO809" i="5"/>
  <c r="CO808" i="5"/>
  <c r="CO807" i="5"/>
  <c r="CO806" i="5"/>
  <c r="CO805" i="5"/>
  <c r="CO804" i="5"/>
  <c r="CO803" i="5"/>
  <c r="CO802" i="5"/>
  <c r="CO801" i="5"/>
  <c r="CO800" i="5"/>
  <c r="CO799" i="5"/>
  <c r="CO798" i="5"/>
  <c r="CO797" i="5"/>
  <c r="CO796" i="5"/>
  <c r="CO795" i="5"/>
  <c r="CO794" i="5"/>
  <c r="CO793" i="5"/>
  <c r="CO792" i="5"/>
  <c r="CO791" i="5"/>
  <c r="CO790" i="5"/>
  <c r="CO789" i="5"/>
  <c r="CO788" i="5"/>
  <c r="CO787" i="5"/>
  <c r="CO786" i="5"/>
  <c r="CO785" i="5"/>
  <c r="CO784" i="5"/>
  <c r="CO783" i="5"/>
  <c r="CO782" i="5"/>
  <c r="CO781" i="5"/>
  <c r="CO780" i="5"/>
  <c r="CO779" i="5"/>
  <c r="CO778" i="5"/>
  <c r="CO777" i="5"/>
  <c r="CO776" i="5"/>
  <c r="CO775" i="5"/>
  <c r="CO774" i="5"/>
  <c r="CO773" i="5"/>
  <c r="CO772" i="5"/>
  <c r="CO771" i="5"/>
  <c r="CO770" i="5"/>
  <c r="CO769" i="5"/>
  <c r="CO768" i="5"/>
  <c r="CO767" i="5"/>
  <c r="CO766" i="5"/>
  <c r="CO765" i="5"/>
  <c r="CO764" i="5"/>
  <c r="CO763" i="5"/>
  <c r="CO762" i="5"/>
  <c r="CO761" i="5"/>
  <c r="CO760" i="5"/>
  <c r="CO759" i="5"/>
  <c r="CO758" i="5"/>
  <c r="CO757" i="5"/>
  <c r="CO756" i="5"/>
  <c r="CO755" i="5"/>
  <c r="CO754" i="5"/>
  <c r="CO753" i="5"/>
  <c r="CO752" i="5"/>
  <c r="CO751" i="5"/>
  <c r="CO750" i="5"/>
  <c r="CO749" i="5"/>
  <c r="CO748" i="5"/>
  <c r="CO747" i="5"/>
  <c r="CO746" i="5"/>
  <c r="CO745" i="5"/>
  <c r="CO744" i="5"/>
  <c r="CO743" i="5"/>
  <c r="CO742" i="5"/>
  <c r="CO741" i="5"/>
  <c r="CO740" i="5"/>
  <c r="CO739" i="5"/>
  <c r="CO738" i="5"/>
  <c r="CO737" i="5"/>
  <c r="CO736" i="5"/>
  <c r="CO735" i="5"/>
  <c r="CO734" i="5"/>
  <c r="CO733" i="5"/>
  <c r="CO732" i="5"/>
  <c r="CO731" i="5"/>
  <c r="CO730" i="5"/>
  <c r="CO729" i="5"/>
  <c r="CO728" i="5"/>
  <c r="CO727" i="5"/>
  <c r="CO726" i="5"/>
  <c r="CO725" i="5"/>
  <c r="CO724" i="5"/>
  <c r="CO723" i="5"/>
  <c r="CO722" i="5"/>
  <c r="CO721" i="5"/>
  <c r="CO720" i="5"/>
  <c r="CO719" i="5"/>
  <c r="CO718" i="5"/>
  <c r="CO717" i="5"/>
  <c r="CO716" i="5"/>
  <c r="CO715" i="5"/>
  <c r="CO714" i="5"/>
  <c r="CO713" i="5"/>
  <c r="CO712" i="5"/>
  <c r="CO711" i="5"/>
  <c r="CO710" i="5"/>
  <c r="CO709" i="5"/>
  <c r="CO708" i="5"/>
  <c r="CO707" i="5"/>
  <c r="CO706" i="5"/>
  <c r="CO705" i="5"/>
  <c r="CO704" i="5"/>
  <c r="CO703" i="5"/>
  <c r="CO702" i="5"/>
  <c r="CO701" i="5"/>
  <c r="CO700" i="5"/>
  <c r="CO699" i="5"/>
  <c r="CO698" i="5"/>
  <c r="CO697" i="5"/>
  <c r="CO696" i="5"/>
  <c r="CO695" i="5"/>
  <c r="CO694" i="5"/>
  <c r="CO693" i="5"/>
  <c r="CO692" i="5"/>
  <c r="CO691" i="5"/>
  <c r="CO690" i="5"/>
  <c r="CO689" i="5"/>
  <c r="CO688" i="5"/>
  <c r="CO687" i="5"/>
  <c r="CO686" i="5"/>
  <c r="CO685" i="5"/>
  <c r="CO684" i="5"/>
  <c r="CO683" i="5"/>
  <c r="CO682" i="5"/>
  <c r="CO681" i="5"/>
  <c r="CO680" i="5"/>
  <c r="CO679" i="5"/>
  <c r="CO678" i="5"/>
  <c r="CO677" i="5"/>
  <c r="CO676" i="5"/>
  <c r="CO675" i="5"/>
  <c r="CO674" i="5"/>
  <c r="CO673" i="5"/>
  <c r="CO672" i="5"/>
  <c r="CO671" i="5"/>
  <c r="CO670" i="5"/>
  <c r="CO669" i="5"/>
  <c r="CO668" i="5"/>
  <c r="CO667" i="5"/>
  <c r="CO666" i="5"/>
  <c r="CO665" i="5"/>
  <c r="CO664" i="5"/>
  <c r="CO663" i="5"/>
  <c r="CO662" i="5"/>
  <c r="CO661" i="5"/>
  <c r="CO660" i="5"/>
  <c r="CO659" i="5"/>
  <c r="CO658" i="5"/>
  <c r="CO657" i="5"/>
  <c r="CO656" i="5"/>
  <c r="CO655" i="5"/>
  <c r="CO654" i="5"/>
  <c r="CO653" i="5"/>
  <c r="CO652" i="5"/>
  <c r="CO651" i="5"/>
  <c r="CO650" i="5"/>
  <c r="CO649" i="5"/>
  <c r="CO648" i="5"/>
  <c r="CO647" i="5"/>
  <c r="CO646" i="5"/>
  <c r="CO645" i="5"/>
  <c r="CO644" i="5"/>
  <c r="CO643" i="5"/>
  <c r="CO642" i="5"/>
  <c r="CO641" i="5"/>
  <c r="CO640" i="5"/>
  <c r="CO639" i="5"/>
  <c r="CO638" i="5"/>
  <c r="CO637" i="5"/>
  <c r="CO636" i="5"/>
  <c r="CO635" i="5"/>
  <c r="CO634" i="5"/>
  <c r="CO633" i="5"/>
  <c r="CO632" i="5"/>
  <c r="CO631" i="5"/>
  <c r="CO630" i="5"/>
  <c r="CO629" i="5"/>
  <c r="CO628" i="5"/>
  <c r="CO627" i="5"/>
  <c r="CO626" i="5"/>
  <c r="CO625" i="5"/>
  <c r="CO624" i="5"/>
  <c r="CO623" i="5"/>
  <c r="CO622" i="5"/>
  <c r="CO621" i="5"/>
  <c r="CO620" i="5"/>
  <c r="CO619" i="5"/>
  <c r="CO618" i="5"/>
  <c r="CO617" i="5"/>
  <c r="CO616" i="5"/>
  <c r="CO615" i="5"/>
  <c r="CO614" i="5"/>
  <c r="CO613" i="5"/>
  <c r="CO612" i="5"/>
  <c r="CO611" i="5"/>
  <c r="CO610" i="5"/>
  <c r="CO609" i="5"/>
  <c r="CO608" i="5"/>
  <c r="CO607" i="5"/>
  <c r="CO606" i="5"/>
  <c r="CO605" i="5"/>
  <c r="CO604" i="5"/>
  <c r="CO603" i="5"/>
  <c r="CO602" i="5"/>
  <c r="CO601" i="5"/>
  <c r="CO600" i="5"/>
  <c r="CO599" i="5"/>
  <c r="CO598" i="5"/>
  <c r="CO597" i="5"/>
  <c r="CO596" i="5"/>
  <c r="CO595" i="5"/>
  <c r="CO594" i="5"/>
  <c r="CO593" i="5"/>
  <c r="CO592" i="5"/>
  <c r="CO591" i="5"/>
  <c r="CO590" i="5"/>
  <c r="CO589" i="5"/>
  <c r="CO588" i="5"/>
  <c r="CO587" i="5"/>
  <c r="CO586" i="5"/>
  <c r="CO585" i="5"/>
  <c r="CO584" i="5"/>
  <c r="CO583" i="5"/>
  <c r="CO582" i="5"/>
  <c r="CO581" i="5"/>
  <c r="CO580" i="5"/>
  <c r="CO579" i="5"/>
  <c r="CO578" i="5"/>
  <c r="CO577" i="5"/>
  <c r="CO576" i="5"/>
  <c r="CO575" i="5"/>
  <c r="CO574" i="5"/>
  <c r="CO573" i="5"/>
  <c r="CO572" i="5"/>
  <c r="CO571" i="5"/>
  <c r="CO570" i="5"/>
  <c r="CO569" i="5"/>
  <c r="CO568" i="5"/>
  <c r="CO567" i="5"/>
  <c r="CO566" i="5"/>
  <c r="CO565" i="5"/>
  <c r="CO564" i="5"/>
  <c r="CO563" i="5"/>
  <c r="CO562" i="5"/>
  <c r="CO561" i="5"/>
  <c r="CO560" i="5"/>
  <c r="CO559" i="5"/>
  <c r="CO558" i="5"/>
  <c r="CO557" i="5"/>
  <c r="CO556" i="5"/>
  <c r="CO555" i="5"/>
  <c r="CO554" i="5"/>
  <c r="CO553" i="5"/>
  <c r="CO552" i="5"/>
  <c r="CO551" i="5"/>
  <c r="CO550" i="5"/>
  <c r="CO549" i="5"/>
  <c r="CO548" i="5"/>
  <c r="CO547" i="5"/>
  <c r="CO546" i="5"/>
  <c r="CO545" i="5"/>
  <c r="CO544" i="5"/>
  <c r="CO543" i="5"/>
  <c r="CO542" i="5"/>
  <c r="CO541" i="5"/>
  <c r="CO540" i="5"/>
  <c r="CO539" i="5"/>
  <c r="CO538" i="5"/>
  <c r="CO537" i="5"/>
  <c r="CO536" i="5"/>
  <c r="CO535" i="5"/>
  <c r="CO534" i="5"/>
  <c r="CO533" i="5"/>
  <c r="CO532" i="5"/>
  <c r="CO531" i="5"/>
  <c r="CO530" i="5"/>
  <c r="CO529" i="5"/>
  <c r="CO528" i="5"/>
  <c r="CO527" i="5"/>
  <c r="CO526" i="5"/>
  <c r="CO525" i="5"/>
  <c r="CO524" i="5"/>
  <c r="CO523" i="5"/>
  <c r="CO522" i="5"/>
  <c r="CO521" i="5"/>
  <c r="CO520" i="5"/>
  <c r="CO519" i="5"/>
  <c r="CO518" i="5"/>
  <c r="CO517" i="5"/>
  <c r="CO516" i="5"/>
  <c r="CO515" i="5"/>
  <c r="CO514" i="5"/>
  <c r="CO513" i="5"/>
  <c r="CO512" i="5"/>
  <c r="CO511" i="5"/>
  <c r="CO510" i="5"/>
  <c r="CO509" i="5"/>
  <c r="CO508" i="5"/>
  <c r="CO507" i="5"/>
  <c r="CO506" i="5"/>
  <c r="CO505" i="5"/>
  <c r="CO504" i="5"/>
  <c r="CO503" i="5"/>
  <c r="CO502" i="5"/>
  <c r="CO501" i="5"/>
  <c r="CO500" i="5"/>
  <c r="CO499" i="5"/>
  <c r="CO498" i="5"/>
  <c r="CO497" i="5"/>
  <c r="CO496" i="5"/>
  <c r="CO495" i="5"/>
  <c r="CO494" i="5"/>
  <c r="CO493" i="5"/>
  <c r="CO492" i="5"/>
  <c r="CO491" i="5"/>
  <c r="CO490" i="5"/>
  <c r="CO489" i="5"/>
  <c r="CO488" i="5"/>
  <c r="CO487" i="5"/>
  <c r="CO486" i="5"/>
  <c r="CO485" i="5"/>
  <c r="CO484" i="5"/>
  <c r="CO483" i="5"/>
  <c r="CO482" i="5"/>
  <c r="CO481" i="5"/>
  <c r="CO480" i="5"/>
  <c r="CO479" i="5"/>
  <c r="CO478" i="5"/>
  <c r="CO477" i="5"/>
  <c r="CO476" i="5"/>
  <c r="CO475" i="5"/>
  <c r="CO474" i="5"/>
  <c r="CO473" i="5"/>
  <c r="CO472" i="5"/>
  <c r="CO471" i="5"/>
  <c r="CO470" i="5"/>
  <c r="CO469" i="5"/>
  <c r="CO468" i="5"/>
  <c r="CO467" i="5"/>
  <c r="CO466" i="5"/>
  <c r="CO465" i="5"/>
  <c r="CO464" i="5"/>
  <c r="CO463" i="5"/>
  <c r="CO462" i="5"/>
  <c r="CO461" i="5"/>
  <c r="CO460" i="5"/>
  <c r="CO459" i="5"/>
  <c r="CO458" i="5"/>
  <c r="CO457" i="5"/>
  <c r="CO456" i="5"/>
  <c r="CO455" i="5"/>
  <c r="CO454" i="5"/>
  <c r="CO453" i="5"/>
  <c r="CO452" i="5"/>
  <c r="CO451" i="5"/>
  <c r="CO450" i="5"/>
  <c r="CO449" i="5"/>
  <c r="CO448" i="5"/>
  <c r="CO447" i="5"/>
  <c r="CO446" i="5"/>
  <c r="CO445" i="5"/>
  <c r="CO444" i="5"/>
  <c r="CO443" i="5"/>
  <c r="CO442" i="5"/>
  <c r="CO441" i="5"/>
  <c r="CO440" i="5"/>
  <c r="CO439" i="5"/>
  <c r="CO438" i="5"/>
  <c r="CO437" i="5"/>
  <c r="CO436" i="5"/>
  <c r="CO435" i="5"/>
  <c r="CO434" i="5"/>
  <c r="CO433" i="5"/>
  <c r="CO432" i="5"/>
  <c r="CO431" i="5"/>
  <c r="CO430" i="5"/>
  <c r="CO429" i="5"/>
  <c r="CO428" i="5"/>
  <c r="CO427" i="5"/>
  <c r="CO426" i="5"/>
  <c r="CO425" i="5"/>
  <c r="CO424" i="5"/>
  <c r="CO423" i="5"/>
  <c r="CO422" i="5"/>
  <c r="CO421" i="5"/>
  <c r="CO420" i="5"/>
  <c r="CO419" i="5"/>
  <c r="CO418" i="5"/>
  <c r="CO417" i="5"/>
  <c r="CO416" i="5"/>
  <c r="CO415" i="5"/>
  <c r="CO414" i="5"/>
  <c r="CO413" i="5"/>
  <c r="CO412" i="5"/>
  <c r="CO411" i="5"/>
  <c r="CO410" i="5"/>
  <c r="CO409" i="5"/>
  <c r="CO408" i="5"/>
  <c r="CO407" i="5"/>
  <c r="CO406" i="5"/>
  <c r="CO405" i="5"/>
  <c r="CO404" i="5"/>
  <c r="CO403" i="5"/>
  <c r="CO402" i="5"/>
  <c r="CO401" i="5"/>
  <c r="CO400" i="5"/>
  <c r="CO399" i="5"/>
  <c r="CO398" i="5"/>
  <c r="CO397" i="5"/>
  <c r="CO396" i="5"/>
  <c r="CO395" i="5"/>
  <c r="CO394" i="5"/>
  <c r="CO393" i="5"/>
  <c r="CO392" i="5"/>
  <c r="CO391" i="5"/>
  <c r="CO390" i="5"/>
  <c r="CO389" i="5"/>
  <c r="CO388" i="5"/>
  <c r="CO387" i="5"/>
  <c r="CO386" i="5"/>
  <c r="CO385" i="5"/>
  <c r="CO384" i="5"/>
  <c r="CO383" i="5"/>
  <c r="CO382" i="5"/>
  <c r="CO381" i="5"/>
  <c r="CO380" i="5"/>
  <c r="CO379" i="5"/>
  <c r="CO378" i="5"/>
  <c r="CO377" i="5"/>
  <c r="CO376" i="5"/>
  <c r="CO375" i="5"/>
  <c r="CO374" i="5"/>
  <c r="CO373" i="5"/>
  <c r="CO372" i="5"/>
  <c r="CO371" i="5"/>
  <c r="CO370" i="5"/>
  <c r="CO369" i="5"/>
  <c r="CO368" i="5"/>
  <c r="CO367" i="5"/>
  <c r="CO366" i="5"/>
  <c r="CO365" i="5"/>
  <c r="CO364" i="5"/>
  <c r="CO363" i="5"/>
  <c r="CO362" i="5"/>
  <c r="CO361" i="5"/>
  <c r="CO360" i="5"/>
  <c r="CO359" i="5"/>
  <c r="CO358" i="5"/>
  <c r="CO357" i="5"/>
  <c r="CO356" i="5"/>
  <c r="CO355" i="5"/>
  <c r="CO354" i="5"/>
  <c r="CO353" i="5"/>
  <c r="CO352" i="5"/>
  <c r="CO351" i="5"/>
  <c r="CO350" i="5"/>
  <c r="CO349" i="5"/>
  <c r="CO348" i="5"/>
  <c r="CO347" i="5"/>
  <c r="CO346" i="5"/>
  <c r="CO345" i="5"/>
  <c r="CO344" i="5"/>
  <c r="CO343" i="5"/>
  <c r="CO342" i="5"/>
  <c r="CO341" i="5"/>
  <c r="CO340" i="5"/>
  <c r="CO339" i="5"/>
  <c r="CO338" i="5"/>
  <c r="CO337" i="5"/>
  <c r="CO336" i="5"/>
  <c r="CO335" i="5"/>
  <c r="CO334" i="5"/>
  <c r="CO333" i="5"/>
  <c r="CO332" i="5"/>
  <c r="CO331" i="5"/>
  <c r="CO330" i="5"/>
  <c r="CO329" i="5"/>
  <c r="CO328" i="5"/>
  <c r="CO327" i="5"/>
  <c r="CO326" i="5"/>
  <c r="CO325" i="5"/>
  <c r="CO324" i="5"/>
  <c r="CO323" i="5"/>
  <c r="CO322" i="5"/>
  <c r="CO321" i="5"/>
  <c r="CO320" i="5"/>
  <c r="CO319" i="5"/>
  <c r="CO318" i="5"/>
  <c r="CO317" i="5"/>
  <c r="CO316" i="5"/>
  <c r="CO315" i="5"/>
  <c r="CO314" i="5"/>
  <c r="CO313" i="5"/>
  <c r="CO312" i="5"/>
  <c r="CO311" i="5"/>
  <c r="CO310" i="5"/>
  <c r="CO309" i="5"/>
  <c r="CO308" i="5"/>
  <c r="CO307" i="5"/>
  <c r="CO306" i="5"/>
  <c r="CO305" i="5"/>
  <c r="CO304" i="5"/>
  <c r="CO303" i="5"/>
  <c r="CO302" i="5"/>
  <c r="CO301" i="5"/>
  <c r="CO300" i="5"/>
  <c r="CO299" i="5"/>
  <c r="CO298" i="5"/>
  <c r="CO297" i="5"/>
  <c r="CO296" i="5"/>
  <c r="CO295" i="5"/>
  <c r="CO294" i="5"/>
  <c r="CO293" i="5"/>
  <c r="CO292" i="5"/>
  <c r="CO291" i="5"/>
  <c r="CO290" i="5"/>
  <c r="CO289" i="5"/>
  <c r="CO288" i="5"/>
  <c r="CO287" i="5"/>
  <c r="CO286" i="5"/>
  <c r="CO285" i="5"/>
  <c r="CO284" i="5"/>
  <c r="CO283" i="5"/>
  <c r="CO282" i="5"/>
  <c r="CO281" i="5"/>
  <c r="CO280" i="5"/>
  <c r="CO279" i="5"/>
  <c r="CO278" i="5"/>
  <c r="CO277" i="5"/>
  <c r="CO276" i="5"/>
  <c r="CO275" i="5"/>
  <c r="CO274" i="5"/>
  <c r="CO273" i="5"/>
  <c r="CO272" i="5"/>
  <c r="CO271" i="5"/>
  <c r="CO270" i="5"/>
  <c r="CO269" i="5"/>
  <c r="CO268" i="5"/>
  <c r="CO267" i="5"/>
  <c r="CO266" i="5"/>
  <c r="CO265" i="5"/>
  <c r="CO264" i="5"/>
  <c r="CO263" i="5"/>
  <c r="CO262" i="5"/>
  <c r="CO261" i="5"/>
  <c r="CO260" i="5"/>
  <c r="CO259" i="5"/>
  <c r="CO258" i="5"/>
  <c r="CO257" i="5"/>
  <c r="CO256" i="5"/>
  <c r="CO255" i="5"/>
  <c r="CO254" i="5"/>
  <c r="CO253" i="5"/>
  <c r="CO252" i="5"/>
  <c r="CO251" i="5"/>
  <c r="CO250" i="5"/>
  <c r="CO249" i="5"/>
  <c r="CO248" i="5"/>
  <c r="CO247" i="5"/>
  <c r="CO246" i="5"/>
  <c r="CO245" i="5"/>
  <c r="CO244" i="5"/>
  <c r="CO243" i="5"/>
  <c r="CO242" i="5"/>
  <c r="CO241" i="5"/>
  <c r="CO240" i="5"/>
  <c r="CO239" i="5"/>
  <c r="CO238" i="5"/>
  <c r="CO237" i="5"/>
  <c r="CO236" i="5"/>
  <c r="CO235" i="5"/>
  <c r="CO234" i="5"/>
  <c r="CO233" i="5"/>
  <c r="CO232" i="5"/>
  <c r="CO231" i="5"/>
  <c r="CO230" i="5"/>
  <c r="CO229" i="5"/>
  <c r="CO228" i="5"/>
  <c r="CO227" i="5"/>
  <c r="CO226" i="5"/>
  <c r="CO225" i="5"/>
  <c r="CO224" i="5"/>
  <c r="CO223" i="5"/>
  <c r="CO222" i="5"/>
  <c r="CO221" i="5"/>
  <c r="CO220" i="5"/>
  <c r="CO219" i="5"/>
  <c r="CO218" i="5"/>
  <c r="CO217" i="5"/>
  <c r="CO216" i="5"/>
  <c r="CO215" i="5"/>
  <c r="CO214" i="5"/>
  <c r="CO213" i="5"/>
  <c r="CO212" i="5"/>
  <c r="CO211" i="5"/>
  <c r="CO210" i="5"/>
  <c r="CO209" i="5"/>
  <c r="CO208" i="5"/>
  <c r="CO207" i="5"/>
  <c r="CO206" i="5"/>
  <c r="CO205" i="5"/>
  <c r="CO204" i="5"/>
  <c r="CO203" i="5"/>
  <c r="CO202" i="5"/>
  <c r="CO201" i="5"/>
  <c r="CO200" i="5"/>
  <c r="CO199" i="5"/>
  <c r="CO198" i="5"/>
  <c r="CO197" i="5"/>
  <c r="CO196" i="5"/>
  <c r="CO195" i="5"/>
  <c r="CO194" i="5"/>
  <c r="CO193" i="5"/>
  <c r="CO192" i="5"/>
  <c r="CO191" i="5"/>
  <c r="CO190" i="5"/>
  <c r="CO189" i="5"/>
  <c r="CO188" i="5"/>
  <c r="CO187" i="5"/>
  <c r="CO186" i="5"/>
  <c r="CO185" i="5"/>
  <c r="CO184" i="5"/>
  <c r="CO183" i="5"/>
  <c r="CO182" i="5"/>
  <c r="CO181" i="5"/>
  <c r="CO180" i="5"/>
  <c r="CO179" i="5"/>
  <c r="CO178" i="5"/>
  <c r="CO177" i="5"/>
  <c r="CO176" i="5"/>
  <c r="CO175" i="5"/>
  <c r="CO174" i="5"/>
  <c r="CO173" i="5"/>
  <c r="CO172" i="5"/>
  <c r="CO171" i="5"/>
  <c r="CO170" i="5"/>
  <c r="CO169" i="5"/>
  <c r="CO168" i="5"/>
  <c r="CO167" i="5"/>
  <c r="CO166" i="5"/>
  <c r="CO165" i="5"/>
  <c r="CO164" i="5"/>
  <c r="CO163" i="5"/>
  <c r="CO162" i="5"/>
  <c r="CO161" i="5"/>
  <c r="CO160" i="5"/>
  <c r="CO159" i="5"/>
  <c r="CO158" i="5"/>
  <c r="CO157" i="5"/>
  <c r="CO156" i="5"/>
  <c r="CO155" i="5"/>
  <c r="CO154" i="5"/>
  <c r="CO153" i="5"/>
  <c r="CO152" i="5"/>
  <c r="CO151" i="5"/>
  <c r="CO150" i="5"/>
  <c r="CO149" i="5"/>
  <c r="CO148" i="5"/>
  <c r="CO147" i="5"/>
  <c r="CO146" i="5"/>
  <c r="CO145" i="5"/>
  <c r="CO144" i="5"/>
  <c r="CO143" i="5"/>
  <c r="CO142" i="5"/>
  <c r="CO141" i="5"/>
  <c r="CO140" i="5"/>
  <c r="CO139" i="5"/>
  <c r="CO138" i="5"/>
  <c r="CO137" i="5"/>
  <c r="CO136" i="5"/>
  <c r="CO135" i="5"/>
  <c r="CO134" i="5"/>
  <c r="CO133" i="5"/>
  <c r="CO132" i="5"/>
  <c r="CO131" i="5"/>
  <c r="CO130" i="5"/>
  <c r="CO129" i="5"/>
  <c r="CO128" i="5"/>
  <c r="CO127" i="5"/>
  <c r="CO126" i="5"/>
  <c r="CO125" i="5"/>
  <c r="CO124" i="5"/>
  <c r="CO123" i="5"/>
  <c r="CO122" i="5"/>
  <c r="CO121" i="5"/>
  <c r="CO120" i="5"/>
  <c r="CO119" i="5"/>
  <c r="CO118" i="5"/>
  <c r="CO117" i="5"/>
  <c r="CO116" i="5"/>
  <c r="CO115" i="5"/>
  <c r="CO114" i="5"/>
  <c r="CO113" i="5"/>
  <c r="CO112" i="5"/>
  <c r="CO111" i="5"/>
  <c r="CO110" i="5"/>
  <c r="CO109" i="5"/>
  <c r="CO108" i="5"/>
  <c r="CO107" i="5"/>
  <c r="CO106" i="5"/>
  <c r="CO105" i="5"/>
  <c r="CO104" i="5"/>
  <c r="CO103" i="5"/>
  <c r="CO102" i="5"/>
  <c r="CO101" i="5"/>
  <c r="CO100" i="5"/>
  <c r="CO99" i="5"/>
  <c r="CO98" i="5"/>
  <c r="CO97" i="5"/>
  <c r="CO96" i="5"/>
  <c r="CO95" i="5"/>
  <c r="CO94" i="5"/>
  <c r="CO93" i="5"/>
  <c r="CO92" i="5"/>
  <c r="CO91" i="5"/>
  <c r="CO90" i="5"/>
  <c r="CO89" i="5"/>
  <c r="CO88" i="5"/>
  <c r="CO87" i="5"/>
  <c r="CO86" i="5"/>
  <c r="CO85" i="5"/>
  <c r="CO84" i="5"/>
  <c r="CO83" i="5"/>
  <c r="CO82" i="5"/>
  <c r="CO81" i="5"/>
  <c r="CO80" i="5"/>
  <c r="CO79" i="5"/>
  <c r="CO78" i="5"/>
  <c r="CO77" i="5"/>
  <c r="CO76" i="5"/>
  <c r="CO75" i="5"/>
  <c r="CO74" i="5"/>
  <c r="CO73" i="5"/>
  <c r="CO72" i="5"/>
  <c r="CO71" i="5"/>
  <c r="CO70" i="5"/>
  <c r="CO69" i="5"/>
  <c r="CO68" i="5"/>
  <c r="CO67" i="5"/>
  <c r="CO66" i="5"/>
  <c r="CO65" i="5"/>
  <c r="CO64" i="5"/>
  <c r="CO63" i="5"/>
  <c r="CO62" i="5"/>
  <c r="CO61" i="5"/>
  <c r="CO60" i="5"/>
  <c r="CO59" i="5"/>
  <c r="CO58" i="5"/>
  <c r="CO57" i="5"/>
  <c r="CO56" i="5"/>
  <c r="CO55" i="5"/>
  <c r="CO54" i="5"/>
  <c r="CO53" i="5"/>
  <c r="CO52" i="5"/>
  <c r="CO51" i="5"/>
  <c r="CO50" i="5"/>
  <c r="CO49" i="5"/>
  <c r="CO48" i="5"/>
  <c r="CO47" i="5"/>
  <c r="CO46" i="5"/>
  <c r="CO45" i="5"/>
  <c r="CO44" i="5"/>
  <c r="CO43" i="5"/>
  <c r="CO42" i="5"/>
  <c r="CO41" i="5"/>
  <c r="CO40" i="5"/>
  <c r="CO39" i="5"/>
  <c r="CO38" i="5"/>
  <c r="CO37" i="5"/>
  <c r="CO36" i="5"/>
  <c r="CO35" i="5"/>
  <c r="CO34" i="5"/>
  <c r="CO33" i="5"/>
  <c r="CO32" i="5"/>
  <c r="CO31" i="5"/>
  <c r="CO30" i="5"/>
  <c r="CO29" i="5"/>
  <c r="CO28" i="5"/>
  <c r="CO27" i="5"/>
  <c r="CO26" i="5"/>
  <c r="CO25" i="5"/>
  <c r="CO24" i="5"/>
  <c r="CO23" i="5"/>
  <c r="CO22" i="5"/>
  <c r="CO21" i="5"/>
  <c r="CO20" i="5"/>
  <c r="CO19" i="5"/>
  <c r="CO18" i="5"/>
  <c r="CO17" i="5"/>
  <c r="CO16" i="5"/>
  <c r="CO15" i="5"/>
  <c r="CO14" i="5"/>
  <c r="CO13" i="5"/>
  <c r="CO12" i="5"/>
  <c r="CO11" i="5"/>
  <c r="CO10" i="5"/>
  <c r="CO9" i="5"/>
  <c r="CO8" i="5"/>
  <c r="CO7" i="5"/>
  <c r="CO6" i="5"/>
  <c r="CO5" i="5"/>
  <c r="CO4" i="5"/>
  <c r="CO3" i="5"/>
  <c r="CN1496" i="5"/>
  <c r="CN1495" i="5"/>
  <c r="CN1494" i="5"/>
  <c r="CN1493" i="5"/>
  <c r="CN1492" i="5"/>
  <c r="CN1491" i="5"/>
  <c r="CN1490" i="5"/>
  <c r="CN1489" i="5"/>
  <c r="CN1488" i="5"/>
  <c r="CN1487" i="5"/>
  <c r="CN1486" i="5"/>
  <c r="CN1485" i="5"/>
  <c r="CN1484" i="5"/>
  <c r="CN1483" i="5"/>
  <c r="CN1482" i="5"/>
  <c r="CN1481" i="5"/>
  <c r="CN1480" i="5"/>
  <c r="CN1479" i="5"/>
  <c r="CN1478" i="5"/>
  <c r="CN1477" i="5"/>
  <c r="CN1476" i="5"/>
  <c r="CN1475" i="5"/>
  <c r="CN1474" i="5"/>
  <c r="CN1473" i="5"/>
  <c r="CN1472" i="5"/>
  <c r="CN1471" i="5"/>
  <c r="CN1470" i="5"/>
  <c r="CN1469" i="5"/>
  <c r="CN1468" i="5"/>
  <c r="CN1467" i="5"/>
  <c r="CN1466" i="5"/>
  <c r="CN1465" i="5"/>
  <c r="CN1464" i="5"/>
  <c r="CN1463" i="5"/>
  <c r="CN1462" i="5"/>
  <c r="CN1461" i="5"/>
  <c r="CN1460" i="5"/>
  <c r="CN1459" i="5"/>
  <c r="CN1458" i="5"/>
  <c r="CN1457" i="5"/>
  <c r="CN1456" i="5"/>
  <c r="CN1455" i="5"/>
  <c r="CN1454" i="5"/>
  <c r="CN1453" i="5"/>
  <c r="CN1452" i="5"/>
  <c r="CN1451" i="5"/>
  <c r="CN1450" i="5"/>
  <c r="CN1449" i="5"/>
  <c r="CN1448" i="5"/>
  <c r="CN1447" i="5"/>
  <c r="CN1446" i="5"/>
  <c r="CN1445" i="5"/>
  <c r="CN1444" i="5"/>
  <c r="CN1443" i="5"/>
  <c r="CN1442" i="5"/>
  <c r="CN1441" i="5"/>
  <c r="CN1440" i="5"/>
  <c r="CN1439" i="5"/>
  <c r="CN1438" i="5"/>
  <c r="CN1437" i="5"/>
  <c r="CN1436" i="5"/>
  <c r="CN1435" i="5"/>
  <c r="CN1434" i="5"/>
  <c r="CN1433" i="5"/>
  <c r="CN1432" i="5"/>
  <c r="CN1431" i="5"/>
  <c r="CN1430" i="5"/>
  <c r="CN1429" i="5"/>
  <c r="CN1428" i="5"/>
  <c r="CN1427" i="5"/>
  <c r="CN1426" i="5"/>
  <c r="CN1425" i="5"/>
  <c r="CN1424" i="5"/>
  <c r="CN1423" i="5"/>
  <c r="CN1422" i="5"/>
  <c r="CN1421" i="5"/>
  <c r="CN1420" i="5"/>
  <c r="CN1419" i="5"/>
  <c r="CN1418" i="5"/>
  <c r="CN1417" i="5"/>
  <c r="CN1416" i="5"/>
  <c r="CN1415" i="5"/>
  <c r="CN1414" i="5"/>
  <c r="CN1413" i="5"/>
  <c r="CN1412" i="5"/>
  <c r="CN1411" i="5"/>
  <c r="CN1410" i="5"/>
  <c r="CN1409" i="5"/>
  <c r="CN1408" i="5"/>
  <c r="CN1407" i="5"/>
  <c r="CN1406" i="5"/>
  <c r="CN1405" i="5"/>
  <c r="CN1404" i="5"/>
  <c r="CN1403" i="5"/>
  <c r="CN1402" i="5"/>
  <c r="CN1401" i="5"/>
  <c r="CN1400" i="5"/>
  <c r="CN1399" i="5"/>
  <c r="CN1398" i="5"/>
  <c r="CN1397" i="5"/>
  <c r="CN1396" i="5"/>
  <c r="CN1395" i="5"/>
  <c r="CN1394" i="5"/>
  <c r="CN1393" i="5"/>
  <c r="CN1392" i="5"/>
  <c r="CN1391" i="5"/>
  <c r="CN1390" i="5"/>
  <c r="CN1389" i="5"/>
  <c r="CN1388" i="5"/>
  <c r="CN1387" i="5"/>
  <c r="CN1386" i="5"/>
  <c r="CN1385" i="5"/>
  <c r="CN1384" i="5"/>
  <c r="CN1383" i="5"/>
  <c r="CN1382" i="5"/>
  <c r="CN1381" i="5"/>
  <c r="CN1380" i="5"/>
  <c r="CN1379" i="5"/>
  <c r="CN1378" i="5"/>
  <c r="CN1377" i="5"/>
  <c r="CN1376" i="5"/>
  <c r="CN1375" i="5"/>
  <c r="CN1374" i="5"/>
  <c r="CN1373" i="5"/>
  <c r="CN1372" i="5"/>
  <c r="CN1371" i="5"/>
  <c r="CN1370" i="5"/>
  <c r="CN1369" i="5"/>
  <c r="CN1368" i="5"/>
  <c r="CN1367" i="5"/>
  <c r="CN1366" i="5"/>
  <c r="CN1365" i="5"/>
  <c r="CN1364" i="5"/>
  <c r="CN1363" i="5"/>
  <c r="CN1362" i="5"/>
  <c r="CN1361" i="5"/>
  <c r="CN1360" i="5"/>
  <c r="CN1359" i="5"/>
  <c r="CN1358" i="5"/>
  <c r="CN1357" i="5"/>
  <c r="CN1356" i="5"/>
  <c r="CN1355" i="5"/>
  <c r="CN1354" i="5"/>
  <c r="CN1353" i="5"/>
  <c r="CN1352" i="5"/>
  <c r="CN1351" i="5"/>
  <c r="CN1350" i="5"/>
  <c r="CN1349" i="5"/>
  <c r="CN1348" i="5"/>
  <c r="CN1347" i="5"/>
  <c r="CN1346" i="5"/>
  <c r="CN1345" i="5"/>
  <c r="CN1344" i="5"/>
  <c r="CN1343" i="5"/>
  <c r="CN1342" i="5"/>
  <c r="CN1341" i="5"/>
  <c r="CN1340" i="5"/>
  <c r="CN1339" i="5"/>
  <c r="CN1338" i="5"/>
  <c r="CN1337" i="5"/>
  <c r="CN1336" i="5"/>
  <c r="CN1335" i="5"/>
  <c r="CN1334" i="5"/>
  <c r="CN1333" i="5"/>
  <c r="CN1332" i="5"/>
  <c r="CN1331" i="5"/>
  <c r="CN1330" i="5"/>
  <c r="CN1329" i="5"/>
  <c r="CN1328" i="5"/>
  <c r="CN1327" i="5"/>
  <c r="CN1326" i="5"/>
  <c r="CN1325" i="5"/>
  <c r="CN1324" i="5"/>
  <c r="CN1323" i="5"/>
  <c r="CN1322" i="5"/>
  <c r="CN1321" i="5"/>
  <c r="CN1320" i="5"/>
  <c r="CN1319" i="5"/>
  <c r="CN1318" i="5"/>
  <c r="CN1317" i="5"/>
  <c r="CN1316" i="5"/>
  <c r="CN1315" i="5"/>
  <c r="CN1314" i="5"/>
  <c r="CN1313" i="5"/>
  <c r="CN1312" i="5"/>
  <c r="CN1311" i="5"/>
  <c r="CN1310" i="5"/>
  <c r="CN1309" i="5"/>
  <c r="CN1308" i="5"/>
  <c r="CN1307" i="5"/>
  <c r="CN1306" i="5"/>
  <c r="CN1305" i="5"/>
  <c r="CN1304" i="5"/>
  <c r="CN1303" i="5"/>
  <c r="CN1302" i="5"/>
  <c r="CN1301" i="5"/>
  <c r="CN1300" i="5"/>
  <c r="CN1299" i="5"/>
  <c r="CN1298" i="5"/>
  <c r="CN1297" i="5"/>
  <c r="CN1296" i="5"/>
  <c r="CN1295" i="5"/>
  <c r="CN1294" i="5"/>
  <c r="CN1293" i="5"/>
  <c r="CN1292" i="5"/>
  <c r="CN1291" i="5"/>
  <c r="CN1290" i="5"/>
  <c r="CN1289" i="5"/>
  <c r="CN1288" i="5"/>
  <c r="CN1287" i="5"/>
  <c r="CN1286" i="5"/>
  <c r="CN1285" i="5"/>
  <c r="CN1284" i="5"/>
  <c r="CN1283" i="5"/>
  <c r="CN1282" i="5"/>
  <c r="CN1281" i="5"/>
  <c r="CN1280" i="5"/>
  <c r="CN1279" i="5"/>
  <c r="CN1278" i="5"/>
  <c r="CN1277" i="5"/>
  <c r="CN1276" i="5"/>
  <c r="CN1275" i="5"/>
  <c r="CN1274" i="5"/>
  <c r="CN1273" i="5"/>
  <c r="CN1272" i="5"/>
  <c r="CN1271" i="5"/>
  <c r="CN1270" i="5"/>
  <c r="CN1269" i="5"/>
  <c r="CN1268" i="5"/>
  <c r="CN1267" i="5"/>
  <c r="CN1266" i="5"/>
  <c r="CN1265" i="5"/>
  <c r="CN1264" i="5"/>
  <c r="CN1263" i="5"/>
  <c r="CN1262" i="5"/>
  <c r="CN1261" i="5"/>
  <c r="CN1260" i="5"/>
  <c r="CN1259" i="5"/>
  <c r="CN1258" i="5"/>
  <c r="CN1257" i="5"/>
  <c r="CN1256" i="5"/>
  <c r="CN1255" i="5"/>
  <c r="CN1254" i="5"/>
  <c r="CN1253" i="5"/>
  <c r="CN1252" i="5"/>
  <c r="CN1251" i="5"/>
  <c r="CN1250" i="5"/>
  <c r="CN1249" i="5"/>
  <c r="CN1248" i="5"/>
  <c r="CN1247" i="5"/>
  <c r="CN1246" i="5"/>
  <c r="CN1245" i="5"/>
  <c r="CN1244" i="5"/>
  <c r="CN1243" i="5"/>
  <c r="CN1242" i="5"/>
  <c r="CN1241" i="5"/>
  <c r="CN1240" i="5"/>
  <c r="CN1239" i="5"/>
  <c r="CN1238" i="5"/>
  <c r="CN1237" i="5"/>
  <c r="CN1236" i="5"/>
  <c r="CN1235" i="5"/>
  <c r="CN1234" i="5"/>
  <c r="CN1233" i="5"/>
  <c r="CN1232" i="5"/>
  <c r="CN1231" i="5"/>
  <c r="CN1230" i="5"/>
  <c r="CN1229" i="5"/>
  <c r="CN1228" i="5"/>
  <c r="CN1227" i="5"/>
  <c r="CN1226" i="5"/>
  <c r="CN1225" i="5"/>
  <c r="CN1224" i="5"/>
  <c r="CN1223" i="5"/>
  <c r="CN1222" i="5"/>
  <c r="CN1221" i="5"/>
  <c r="CN1220" i="5"/>
  <c r="CN1219" i="5"/>
  <c r="CN1218" i="5"/>
  <c r="CN1217" i="5"/>
  <c r="CN1216" i="5"/>
  <c r="CN1215" i="5"/>
  <c r="CN1214" i="5"/>
  <c r="CN1213" i="5"/>
  <c r="CN1212" i="5"/>
  <c r="CN1211" i="5"/>
  <c r="CN1210" i="5"/>
  <c r="CN1209" i="5"/>
  <c r="CN1208" i="5"/>
  <c r="CN1207" i="5"/>
  <c r="CN1206" i="5"/>
  <c r="CN1205" i="5"/>
  <c r="CN1204" i="5"/>
  <c r="CN1203" i="5"/>
  <c r="CN1202" i="5"/>
  <c r="CN1201" i="5"/>
  <c r="CN1200" i="5"/>
  <c r="CN1199" i="5"/>
  <c r="CN1198" i="5"/>
  <c r="CN1197" i="5"/>
  <c r="CN1196" i="5"/>
  <c r="CN1195" i="5"/>
  <c r="CN1194" i="5"/>
  <c r="CN1193" i="5"/>
  <c r="CN1192" i="5"/>
  <c r="CN1191" i="5"/>
  <c r="CN1190" i="5"/>
  <c r="CN1189" i="5"/>
  <c r="CN1188" i="5"/>
  <c r="CN1187" i="5"/>
  <c r="CN1186" i="5"/>
  <c r="CN1185" i="5"/>
  <c r="CN1184" i="5"/>
  <c r="CN1183" i="5"/>
  <c r="CN1182" i="5"/>
  <c r="CN1181" i="5"/>
  <c r="CN1180" i="5"/>
  <c r="CN1179" i="5"/>
  <c r="CN1178" i="5"/>
  <c r="CN1177" i="5"/>
  <c r="CN1176" i="5"/>
  <c r="CN1175" i="5"/>
  <c r="CN1174" i="5"/>
  <c r="CN1173" i="5"/>
  <c r="CN1172" i="5"/>
  <c r="CN1171" i="5"/>
  <c r="CN1170" i="5"/>
  <c r="CN1169" i="5"/>
  <c r="CN1168" i="5"/>
  <c r="CN1167" i="5"/>
  <c r="CN1166" i="5"/>
  <c r="CN1165" i="5"/>
  <c r="CN1164" i="5"/>
  <c r="CN1163" i="5"/>
  <c r="CN1162" i="5"/>
  <c r="CN1161" i="5"/>
  <c r="CN1160" i="5"/>
  <c r="CN1159" i="5"/>
  <c r="CN1158" i="5"/>
  <c r="CN1157" i="5"/>
  <c r="CN1156" i="5"/>
  <c r="CN1155" i="5"/>
  <c r="CN1154" i="5"/>
  <c r="CN1153" i="5"/>
  <c r="CN1152" i="5"/>
  <c r="CN1151" i="5"/>
  <c r="CN1150" i="5"/>
  <c r="CN1149" i="5"/>
  <c r="CN1148" i="5"/>
  <c r="CN1147" i="5"/>
  <c r="CN1146" i="5"/>
  <c r="CN1145" i="5"/>
  <c r="CN1144" i="5"/>
  <c r="CN1143" i="5"/>
  <c r="CN1142" i="5"/>
  <c r="CN1141" i="5"/>
  <c r="CN1140" i="5"/>
  <c r="CN1139" i="5"/>
  <c r="CN1138" i="5"/>
  <c r="CN1137" i="5"/>
  <c r="CN1136" i="5"/>
  <c r="CN1135" i="5"/>
  <c r="CN1134" i="5"/>
  <c r="CN1133" i="5"/>
  <c r="CN1132" i="5"/>
  <c r="CN1131" i="5"/>
  <c r="CN1130" i="5"/>
  <c r="CN1129" i="5"/>
  <c r="CN1128" i="5"/>
  <c r="CN1127" i="5"/>
  <c r="CN1126" i="5"/>
  <c r="CN1125" i="5"/>
  <c r="CN1124" i="5"/>
  <c r="CN1123" i="5"/>
  <c r="CN1122" i="5"/>
  <c r="CN1121" i="5"/>
  <c r="CN1120" i="5"/>
  <c r="CN1119" i="5"/>
  <c r="CN1118" i="5"/>
  <c r="CN1117" i="5"/>
  <c r="CN1116" i="5"/>
  <c r="CN1115" i="5"/>
  <c r="CN1114" i="5"/>
  <c r="CN1113" i="5"/>
  <c r="CN1112" i="5"/>
  <c r="CN1111" i="5"/>
  <c r="CN1110" i="5"/>
  <c r="CN1109" i="5"/>
  <c r="CN1108" i="5"/>
  <c r="CN1107" i="5"/>
  <c r="CN1106" i="5"/>
  <c r="CN1105" i="5"/>
  <c r="CN1104" i="5"/>
  <c r="CN1103" i="5"/>
  <c r="CN1102" i="5"/>
  <c r="CN1101" i="5"/>
  <c r="CN1100" i="5"/>
  <c r="CN1099" i="5"/>
  <c r="CN1098" i="5"/>
  <c r="CN1097" i="5"/>
  <c r="CN1096" i="5"/>
  <c r="CN1095" i="5"/>
  <c r="CN1094" i="5"/>
  <c r="CN1093" i="5"/>
  <c r="CN1092" i="5"/>
  <c r="CN1091" i="5"/>
  <c r="CN1090" i="5"/>
  <c r="CN1089" i="5"/>
  <c r="CN1088" i="5"/>
  <c r="CN1087" i="5"/>
  <c r="CN1086" i="5"/>
  <c r="CN1085" i="5"/>
  <c r="CN1084" i="5"/>
  <c r="CN1083" i="5"/>
  <c r="CN1082" i="5"/>
  <c r="CN1081" i="5"/>
  <c r="CN1080" i="5"/>
  <c r="CN1079" i="5"/>
  <c r="CN1078" i="5"/>
  <c r="CN1077" i="5"/>
  <c r="CN1076" i="5"/>
  <c r="CN1075" i="5"/>
  <c r="CN1074" i="5"/>
  <c r="CN1073" i="5"/>
  <c r="CN1072" i="5"/>
  <c r="CN1071" i="5"/>
  <c r="CN1070" i="5"/>
  <c r="CN1069" i="5"/>
  <c r="CN1068" i="5"/>
  <c r="CN1067" i="5"/>
  <c r="CN1066" i="5"/>
  <c r="CN1065" i="5"/>
  <c r="CN1064" i="5"/>
  <c r="CN1063" i="5"/>
  <c r="CN1062" i="5"/>
  <c r="CN1061" i="5"/>
  <c r="CN1060" i="5"/>
  <c r="CN1059" i="5"/>
  <c r="CN1058" i="5"/>
  <c r="CN1057" i="5"/>
  <c r="CN1056" i="5"/>
  <c r="CN1055" i="5"/>
  <c r="CN1054" i="5"/>
  <c r="CN1053" i="5"/>
  <c r="CN1052" i="5"/>
  <c r="CN1051" i="5"/>
  <c r="CN1050" i="5"/>
  <c r="CN1049" i="5"/>
  <c r="CN1048" i="5"/>
  <c r="CN1047" i="5"/>
  <c r="CN1046" i="5"/>
  <c r="CN1045" i="5"/>
  <c r="CN1044" i="5"/>
  <c r="CN1043" i="5"/>
  <c r="CN1042" i="5"/>
  <c r="CN1041" i="5"/>
  <c r="CN1040" i="5"/>
  <c r="CN1039" i="5"/>
  <c r="CN1038" i="5"/>
  <c r="CN1037" i="5"/>
  <c r="CN1036" i="5"/>
  <c r="CN1035" i="5"/>
  <c r="CN1034" i="5"/>
  <c r="CN1033" i="5"/>
  <c r="CN1032" i="5"/>
  <c r="CN1031" i="5"/>
  <c r="CN1030" i="5"/>
  <c r="CN1029" i="5"/>
  <c r="CN1028" i="5"/>
  <c r="CN1027" i="5"/>
  <c r="CN1026" i="5"/>
  <c r="CN1025" i="5"/>
  <c r="CN1024" i="5"/>
  <c r="CN1023" i="5"/>
  <c r="CN1022" i="5"/>
  <c r="CN1021" i="5"/>
  <c r="CN1020" i="5"/>
  <c r="CN1019" i="5"/>
  <c r="CN1018" i="5"/>
  <c r="CN1017" i="5"/>
  <c r="CN1016" i="5"/>
  <c r="CN1015" i="5"/>
  <c r="CN1014" i="5"/>
  <c r="CN1013" i="5"/>
  <c r="CN1012" i="5"/>
  <c r="CN1011" i="5"/>
  <c r="CN1010" i="5"/>
  <c r="CN1009" i="5"/>
  <c r="CN1008" i="5"/>
  <c r="CN1007" i="5"/>
  <c r="CN1006" i="5"/>
  <c r="CN1005" i="5"/>
  <c r="CN1004" i="5"/>
  <c r="CN1003" i="5"/>
  <c r="CN1002" i="5"/>
  <c r="CN1001" i="5"/>
  <c r="CN1000" i="5"/>
  <c r="CN999" i="5"/>
  <c r="CN998" i="5"/>
  <c r="CN997" i="5"/>
  <c r="CN996" i="5"/>
  <c r="CN995" i="5"/>
  <c r="CN994" i="5"/>
  <c r="CN993" i="5"/>
  <c r="CN992" i="5"/>
  <c r="CN991" i="5"/>
  <c r="CN990" i="5"/>
  <c r="CN989" i="5"/>
  <c r="CN988" i="5"/>
  <c r="CN987" i="5"/>
  <c r="CN986" i="5"/>
  <c r="CN985" i="5"/>
  <c r="CN984" i="5"/>
  <c r="CN983" i="5"/>
  <c r="CN982" i="5"/>
  <c r="CN981" i="5"/>
  <c r="CN980" i="5"/>
  <c r="CN979" i="5"/>
  <c r="CN978" i="5"/>
  <c r="CN977" i="5"/>
  <c r="CN976" i="5"/>
  <c r="CN975" i="5"/>
  <c r="CN974" i="5"/>
  <c r="CN973" i="5"/>
  <c r="CN972" i="5"/>
  <c r="CN971" i="5"/>
  <c r="CN970" i="5"/>
  <c r="CN969" i="5"/>
  <c r="CN968" i="5"/>
  <c r="CN967" i="5"/>
  <c r="CN966" i="5"/>
  <c r="CN965" i="5"/>
  <c r="CN964" i="5"/>
  <c r="CN963" i="5"/>
  <c r="CN962" i="5"/>
  <c r="CN961" i="5"/>
  <c r="CN960" i="5"/>
  <c r="CN959" i="5"/>
  <c r="CN958" i="5"/>
  <c r="CN957" i="5"/>
  <c r="CN956" i="5"/>
  <c r="CN955" i="5"/>
  <c r="CN954" i="5"/>
  <c r="CN953" i="5"/>
  <c r="CN952" i="5"/>
  <c r="CN951" i="5"/>
  <c r="CN950" i="5"/>
  <c r="CN949" i="5"/>
  <c r="CN948" i="5"/>
  <c r="CN947" i="5"/>
  <c r="CN946" i="5"/>
  <c r="CN945" i="5"/>
  <c r="CN944" i="5"/>
  <c r="CN943" i="5"/>
  <c r="CN942" i="5"/>
  <c r="CN941" i="5"/>
  <c r="CN940" i="5"/>
  <c r="CN939" i="5"/>
  <c r="CN938" i="5"/>
  <c r="CN937" i="5"/>
  <c r="CN936" i="5"/>
  <c r="CN935" i="5"/>
  <c r="CN934" i="5"/>
  <c r="CN933" i="5"/>
  <c r="CN932" i="5"/>
  <c r="CN931" i="5"/>
  <c r="CN930" i="5"/>
  <c r="CN929" i="5"/>
  <c r="CN928" i="5"/>
  <c r="CN927" i="5"/>
  <c r="CN926" i="5"/>
  <c r="CN925" i="5"/>
  <c r="CN924" i="5"/>
  <c r="CN923" i="5"/>
  <c r="CN922" i="5"/>
  <c r="CN921" i="5"/>
  <c r="CN920" i="5"/>
  <c r="CN919" i="5"/>
  <c r="CN918" i="5"/>
  <c r="CN917" i="5"/>
  <c r="CN916" i="5"/>
  <c r="CN915" i="5"/>
  <c r="CN914" i="5"/>
  <c r="CN913" i="5"/>
  <c r="CN912" i="5"/>
  <c r="CN911" i="5"/>
  <c r="CN910" i="5"/>
  <c r="CN909" i="5"/>
  <c r="CN908" i="5"/>
  <c r="CN907" i="5"/>
  <c r="CN906" i="5"/>
  <c r="CN905" i="5"/>
  <c r="CN904" i="5"/>
  <c r="CN903" i="5"/>
  <c r="CN902" i="5"/>
  <c r="CN901" i="5"/>
  <c r="CN900" i="5"/>
  <c r="CN899" i="5"/>
  <c r="CN898" i="5"/>
  <c r="CN897" i="5"/>
  <c r="CN896" i="5"/>
  <c r="CN895" i="5"/>
  <c r="CN894" i="5"/>
  <c r="CN893" i="5"/>
  <c r="CN892" i="5"/>
  <c r="CN891" i="5"/>
  <c r="CN890" i="5"/>
  <c r="CN889" i="5"/>
  <c r="CN888" i="5"/>
  <c r="CN887" i="5"/>
  <c r="CN886" i="5"/>
  <c r="CN885" i="5"/>
  <c r="CN884" i="5"/>
  <c r="CN883" i="5"/>
  <c r="CN882" i="5"/>
  <c r="CN881" i="5"/>
  <c r="CN880" i="5"/>
  <c r="CN879" i="5"/>
  <c r="CN878" i="5"/>
  <c r="CN877" i="5"/>
  <c r="CN876" i="5"/>
  <c r="CN875" i="5"/>
  <c r="CN874" i="5"/>
  <c r="CN873" i="5"/>
  <c r="CN872" i="5"/>
  <c r="CN871" i="5"/>
  <c r="CN870" i="5"/>
  <c r="CN869" i="5"/>
  <c r="CN868" i="5"/>
  <c r="CN867" i="5"/>
  <c r="CN866" i="5"/>
  <c r="CN865" i="5"/>
  <c r="CN864" i="5"/>
  <c r="CN863" i="5"/>
  <c r="CN862" i="5"/>
  <c r="CN861" i="5"/>
  <c r="CN860" i="5"/>
  <c r="CN859" i="5"/>
  <c r="CN858" i="5"/>
  <c r="CN857" i="5"/>
  <c r="CN856" i="5"/>
  <c r="CN855" i="5"/>
  <c r="CN854" i="5"/>
  <c r="CN853" i="5"/>
  <c r="CN852" i="5"/>
  <c r="CN851" i="5"/>
  <c r="CN850" i="5"/>
  <c r="CN849" i="5"/>
  <c r="CN848" i="5"/>
  <c r="CN847" i="5"/>
  <c r="CN846" i="5"/>
  <c r="CN845" i="5"/>
  <c r="CN844" i="5"/>
  <c r="CN843" i="5"/>
  <c r="CN842" i="5"/>
  <c r="CN841" i="5"/>
  <c r="CN840" i="5"/>
  <c r="CN839" i="5"/>
  <c r="CN838" i="5"/>
  <c r="CN837" i="5"/>
  <c r="CN836" i="5"/>
  <c r="CN835" i="5"/>
  <c r="CN834" i="5"/>
  <c r="CN833" i="5"/>
  <c r="CN832" i="5"/>
  <c r="CN831" i="5"/>
  <c r="CN830" i="5"/>
  <c r="CN829" i="5"/>
  <c r="CN828" i="5"/>
  <c r="CN827" i="5"/>
  <c r="CN826" i="5"/>
  <c r="CN825" i="5"/>
  <c r="CN824" i="5"/>
  <c r="CN823" i="5"/>
  <c r="CN822" i="5"/>
  <c r="CN821" i="5"/>
  <c r="CN820" i="5"/>
  <c r="CN819" i="5"/>
  <c r="CN818" i="5"/>
  <c r="CN817" i="5"/>
  <c r="CN816" i="5"/>
  <c r="CN815" i="5"/>
  <c r="CN814" i="5"/>
  <c r="CN813" i="5"/>
  <c r="CN812" i="5"/>
  <c r="CN811" i="5"/>
  <c r="CN810" i="5"/>
  <c r="CN809" i="5"/>
  <c r="CN808" i="5"/>
  <c r="CN807" i="5"/>
  <c r="CN806" i="5"/>
  <c r="CN805" i="5"/>
  <c r="CN804" i="5"/>
  <c r="CN803" i="5"/>
  <c r="CN802" i="5"/>
  <c r="CN801" i="5"/>
  <c r="CN800" i="5"/>
  <c r="CN799" i="5"/>
  <c r="CN798" i="5"/>
  <c r="CN797" i="5"/>
  <c r="CN796" i="5"/>
  <c r="CN795" i="5"/>
  <c r="CN794" i="5"/>
  <c r="CN793" i="5"/>
  <c r="CN792" i="5"/>
  <c r="CN791" i="5"/>
  <c r="CN790" i="5"/>
  <c r="CN789" i="5"/>
  <c r="CN788" i="5"/>
  <c r="CN787" i="5"/>
  <c r="CN786" i="5"/>
  <c r="CN785" i="5"/>
  <c r="CN784" i="5"/>
  <c r="CN783" i="5"/>
  <c r="CN782" i="5"/>
  <c r="CN781" i="5"/>
  <c r="CN780" i="5"/>
  <c r="CN779" i="5"/>
  <c r="CN778" i="5"/>
  <c r="CN777" i="5"/>
  <c r="CN776" i="5"/>
  <c r="CN775" i="5"/>
  <c r="CN774" i="5"/>
  <c r="CN773" i="5"/>
  <c r="CN772" i="5"/>
  <c r="CN771" i="5"/>
  <c r="CN770" i="5"/>
  <c r="CN769" i="5"/>
  <c r="CN768" i="5"/>
  <c r="CN767" i="5"/>
  <c r="CN766" i="5"/>
  <c r="CN765" i="5"/>
  <c r="CN764" i="5"/>
  <c r="CN763" i="5"/>
  <c r="CN762" i="5"/>
  <c r="CN761" i="5"/>
  <c r="CN760" i="5"/>
  <c r="CN759" i="5"/>
  <c r="CN758" i="5"/>
  <c r="CN757" i="5"/>
  <c r="CN756" i="5"/>
  <c r="CN755" i="5"/>
  <c r="CN754" i="5"/>
  <c r="CN753" i="5"/>
  <c r="CN752" i="5"/>
  <c r="CN751" i="5"/>
  <c r="CN750" i="5"/>
  <c r="CN749" i="5"/>
  <c r="CN748" i="5"/>
  <c r="CN747" i="5"/>
  <c r="CN746" i="5"/>
  <c r="CN745" i="5"/>
  <c r="CN744" i="5"/>
  <c r="CN743" i="5"/>
  <c r="CN742" i="5"/>
  <c r="CN741" i="5"/>
  <c r="CN740" i="5"/>
  <c r="CN739" i="5"/>
  <c r="CN738" i="5"/>
  <c r="CN737" i="5"/>
  <c r="CN736" i="5"/>
  <c r="CN735" i="5"/>
  <c r="CN734" i="5"/>
  <c r="CN733" i="5"/>
  <c r="CN732" i="5"/>
  <c r="CN731" i="5"/>
  <c r="CN730" i="5"/>
  <c r="CN729" i="5"/>
  <c r="CN728" i="5"/>
  <c r="CN727" i="5"/>
  <c r="CN726" i="5"/>
  <c r="CN725" i="5"/>
  <c r="CN724" i="5"/>
  <c r="CN723" i="5"/>
  <c r="CN722" i="5"/>
  <c r="CN721" i="5"/>
  <c r="CN720" i="5"/>
  <c r="CN719" i="5"/>
  <c r="CN718" i="5"/>
  <c r="CN717" i="5"/>
  <c r="CN716" i="5"/>
  <c r="CN715" i="5"/>
  <c r="CN714" i="5"/>
  <c r="CN713" i="5"/>
  <c r="CN712" i="5"/>
  <c r="CN711" i="5"/>
  <c r="CN710" i="5"/>
  <c r="CN709" i="5"/>
  <c r="CN708" i="5"/>
  <c r="CN707" i="5"/>
  <c r="CN706" i="5"/>
  <c r="CN705" i="5"/>
  <c r="CN704" i="5"/>
  <c r="CN703" i="5"/>
  <c r="CN702" i="5"/>
  <c r="CN701" i="5"/>
  <c r="CN700" i="5"/>
  <c r="CN699" i="5"/>
  <c r="CN698" i="5"/>
  <c r="CN697" i="5"/>
  <c r="CN696" i="5"/>
  <c r="CN695" i="5"/>
  <c r="CN694" i="5"/>
  <c r="CN693" i="5"/>
  <c r="CN692" i="5"/>
  <c r="CN691" i="5"/>
  <c r="CN690" i="5"/>
  <c r="CN689" i="5"/>
  <c r="CN688" i="5"/>
  <c r="CN687" i="5"/>
  <c r="CN686" i="5"/>
  <c r="CN685" i="5"/>
  <c r="CN684" i="5"/>
  <c r="CN683" i="5"/>
  <c r="CN682" i="5"/>
  <c r="CN681" i="5"/>
  <c r="CN680" i="5"/>
  <c r="CN679" i="5"/>
  <c r="CN678" i="5"/>
  <c r="CN677" i="5"/>
  <c r="CN676" i="5"/>
  <c r="CN675" i="5"/>
  <c r="CN674" i="5"/>
  <c r="CN673" i="5"/>
  <c r="CN672" i="5"/>
  <c r="CN671" i="5"/>
  <c r="CN670" i="5"/>
  <c r="CN669" i="5"/>
  <c r="CN668" i="5"/>
  <c r="CN667" i="5"/>
  <c r="CN666" i="5"/>
  <c r="CN665" i="5"/>
  <c r="CN664" i="5"/>
  <c r="CN663" i="5"/>
  <c r="CN662" i="5"/>
  <c r="CN661" i="5"/>
  <c r="CN660" i="5"/>
  <c r="CN659" i="5"/>
  <c r="CN658" i="5"/>
  <c r="CN657" i="5"/>
  <c r="CN656" i="5"/>
  <c r="CN655" i="5"/>
  <c r="CN654" i="5"/>
  <c r="CN653" i="5"/>
  <c r="CN652" i="5"/>
  <c r="CN651" i="5"/>
  <c r="CN650" i="5"/>
  <c r="CN649" i="5"/>
  <c r="CN648" i="5"/>
  <c r="CN647" i="5"/>
  <c r="CN646" i="5"/>
  <c r="CN645" i="5"/>
  <c r="CN644" i="5"/>
  <c r="CN643" i="5"/>
  <c r="CN642" i="5"/>
  <c r="CN641" i="5"/>
  <c r="CN640" i="5"/>
  <c r="CN639" i="5"/>
  <c r="CN638" i="5"/>
  <c r="CN637" i="5"/>
  <c r="CN636" i="5"/>
  <c r="CN635" i="5"/>
  <c r="CN634" i="5"/>
  <c r="CN633" i="5"/>
  <c r="CN632" i="5"/>
  <c r="CN631" i="5"/>
  <c r="CN630" i="5"/>
  <c r="CN629" i="5"/>
  <c r="CN628" i="5"/>
  <c r="CN627" i="5"/>
  <c r="CN626" i="5"/>
  <c r="CN625" i="5"/>
  <c r="CN624" i="5"/>
  <c r="CN623" i="5"/>
  <c r="CN622" i="5"/>
  <c r="CN621" i="5"/>
  <c r="CN620" i="5"/>
  <c r="CN619" i="5"/>
  <c r="CN618" i="5"/>
  <c r="CN617" i="5"/>
  <c r="CN616" i="5"/>
  <c r="CN615" i="5"/>
  <c r="CN614" i="5"/>
  <c r="CN613" i="5"/>
  <c r="CN612" i="5"/>
  <c r="CN611" i="5"/>
  <c r="CN610" i="5"/>
  <c r="CN609" i="5"/>
  <c r="CN608" i="5"/>
  <c r="CN607" i="5"/>
  <c r="CN606" i="5"/>
  <c r="CN605" i="5"/>
  <c r="CN604" i="5"/>
  <c r="CN603" i="5"/>
  <c r="CN602" i="5"/>
  <c r="CN601" i="5"/>
  <c r="CN600" i="5"/>
  <c r="CN599" i="5"/>
  <c r="CN598" i="5"/>
  <c r="CN597" i="5"/>
  <c r="CN596" i="5"/>
  <c r="CN595" i="5"/>
  <c r="CN594" i="5"/>
  <c r="CN593" i="5"/>
  <c r="CN592" i="5"/>
  <c r="CN591" i="5"/>
  <c r="CN590" i="5"/>
  <c r="CN589" i="5"/>
  <c r="CN588" i="5"/>
  <c r="CN587" i="5"/>
  <c r="CN586" i="5"/>
  <c r="CN585" i="5"/>
  <c r="CN584" i="5"/>
  <c r="CN583" i="5"/>
  <c r="CN582" i="5"/>
  <c r="CN581" i="5"/>
  <c r="CN580" i="5"/>
  <c r="CN579" i="5"/>
  <c r="CN578" i="5"/>
  <c r="CN577" i="5"/>
  <c r="CN576" i="5"/>
  <c r="CN575" i="5"/>
  <c r="CN574" i="5"/>
  <c r="CN573" i="5"/>
  <c r="CN572" i="5"/>
  <c r="CN571" i="5"/>
  <c r="CN570" i="5"/>
  <c r="CN569" i="5"/>
  <c r="CN568" i="5"/>
  <c r="CN567" i="5"/>
  <c r="CN566" i="5"/>
  <c r="CN565" i="5"/>
  <c r="CN564" i="5"/>
  <c r="CN563" i="5"/>
  <c r="CN562" i="5"/>
  <c r="CN561" i="5"/>
  <c r="CN560" i="5"/>
  <c r="CN559" i="5"/>
  <c r="CN558" i="5"/>
  <c r="CN557" i="5"/>
  <c r="CN556" i="5"/>
  <c r="CN555" i="5"/>
  <c r="CN554" i="5"/>
  <c r="CN553" i="5"/>
  <c r="CN552" i="5"/>
  <c r="CN551" i="5"/>
  <c r="CN550" i="5"/>
  <c r="CN549" i="5"/>
  <c r="CN548" i="5"/>
  <c r="CN547" i="5"/>
  <c r="CN546" i="5"/>
  <c r="CN545" i="5"/>
  <c r="CN544" i="5"/>
  <c r="CN543" i="5"/>
  <c r="CN542" i="5"/>
  <c r="CN541" i="5"/>
  <c r="CN540" i="5"/>
  <c r="CN539" i="5"/>
  <c r="CN538" i="5"/>
  <c r="CN537" i="5"/>
  <c r="CN536" i="5"/>
  <c r="CN535" i="5"/>
  <c r="CN534" i="5"/>
  <c r="CN533" i="5"/>
  <c r="CN532" i="5"/>
  <c r="CN531" i="5"/>
  <c r="CN530" i="5"/>
  <c r="CN529" i="5"/>
  <c r="CN528" i="5"/>
  <c r="CN527" i="5"/>
  <c r="CN526" i="5"/>
  <c r="CN525" i="5"/>
  <c r="CN524" i="5"/>
  <c r="CN523" i="5"/>
  <c r="CN522" i="5"/>
  <c r="CN521" i="5"/>
  <c r="CN520" i="5"/>
  <c r="CN519" i="5"/>
  <c r="CN518" i="5"/>
  <c r="CN517" i="5"/>
  <c r="CN516" i="5"/>
  <c r="CN515" i="5"/>
  <c r="CN514" i="5"/>
  <c r="CN513" i="5"/>
  <c r="CN512" i="5"/>
  <c r="CN511" i="5"/>
  <c r="CN510" i="5"/>
  <c r="CN509" i="5"/>
  <c r="CN508" i="5"/>
  <c r="CN507" i="5"/>
  <c r="CN506" i="5"/>
  <c r="CN505" i="5"/>
  <c r="CN504" i="5"/>
  <c r="CN503" i="5"/>
  <c r="CN502" i="5"/>
  <c r="CN501" i="5"/>
  <c r="CN500" i="5"/>
  <c r="CN499" i="5"/>
  <c r="CN498" i="5"/>
  <c r="CN497" i="5"/>
  <c r="CN496" i="5"/>
  <c r="CN495" i="5"/>
  <c r="CN494" i="5"/>
  <c r="CN493" i="5"/>
  <c r="CN492" i="5"/>
  <c r="CN491" i="5"/>
  <c r="CN490" i="5"/>
  <c r="CN489" i="5"/>
  <c r="CN488" i="5"/>
  <c r="CN487" i="5"/>
  <c r="CN486" i="5"/>
  <c r="CN485" i="5"/>
  <c r="CN484" i="5"/>
  <c r="CN483" i="5"/>
  <c r="CN482" i="5"/>
  <c r="CN481" i="5"/>
  <c r="CN480" i="5"/>
  <c r="CN479" i="5"/>
  <c r="CN478" i="5"/>
  <c r="CN477" i="5"/>
  <c r="CN476" i="5"/>
  <c r="CN475" i="5"/>
  <c r="CN474" i="5"/>
  <c r="CN473" i="5"/>
  <c r="CN472" i="5"/>
  <c r="CN471" i="5"/>
  <c r="CN470" i="5"/>
  <c r="CN469" i="5"/>
  <c r="CN468" i="5"/>
  <c r="CN467" i="5"/>
  <c r="CN466" i="5"/>
  <c r="CN465" i="5"/>
  <c r="CN464" i="5"/>
  <c r="CN463" i="5"/>
  <c r="CN462" i="5"/>
  <c r="CN461" i="5"/>
  <c r="CN460" i="5"/>
  <c r="CN459" i="5"/>
  <c r="CN458" i="5"/>
  <c r="CN457" i="5"/>
  <c r="CN456" i="5"/>
  <c r="CN455" i="5"/>
  <c r="CN454" i="5"/>
  <c r="CN453" i="5"/>
  <c r="CN452" i="5"/>
  <c r="CN451" i="5"/>
  <c r="CN450" i="5"/>
  <c r="CN449" i="5"/>
  <c r="CN448" i="5"/>
  <c r="CN447" i="5"/>
  <c r="CN446" i="5"/>
  <c r="CN445" i="5"/>
  <c r="CN444" i="5"/>
  <c r="CN443" i="5"/>
  <c r="CN442" i="5"/>
  <c r="CN441" i="5"/>
  <c r="CN440" i="5"/>
  <c r="CN439" i="5"/>
  <c r="CN438" i="5"/>
  <c r="CN437" i="5"/>
  <c r="CN436" i="5"/>
  <c r="CN435" i="5"/>
  <c r="CN434" i="5"/>
  <c r="CN433" i="5"/>
  <c r="CN432" i="5"/>
  <c r="CN431" i="5"/>
  <c r="CN430" i="5"/>
  <c r="CN429" i="5"/>
  <c r="CN428" i="5"/>
  <c r="CN427" i="5"/>
  <c r="CN426" i="5"/>
  <c r="CN425" i="5"/>
  <c r="CN424" i="5"/>
  <c r="CN423" i="5"/>
  <c r="CN422" i="5"/>
  <c r="CN421" i="5"/>
  <c r="CN420" i="5"/>
  <c r="CN419" i="5"/>
  <c r="CN418" i="5"/>
  <c r="CN417" i="5"/>
  <c r="CN416" i="5"/>
  <c r="CN415" i="5"/>
  <c r="CN414" i="5"/>
  <c r="CN413" i="5"/>
  <c r="CN412" i="5"/>
  <c r="CN411" i="5"/>
  <c r="CN410" i="5"/>
  <c r="CN409" i="5"/>
  <c r="CN408" i="5"/>
  <c r="CN407" i="5"/>
  <c r="CN406" i="5"/>
  <c r="CN405" i="5"/>
  <c r="CN404" i="5"/>
  <c r="CN403" i="5"/>
  <c r="CN402" i="5"/>
  <c r="CN401" i="5"/>
  <c r="CN400" i="5"/>
  <c r="CN399" i="5"/>
  <c r="CN398" i="5"/>
  <c r="CN397" i="5"/>
  <c r="CN396" i="5"/>
  <c r="CN395" i="5"/>
  <c r="CN394" i="5"/>
  <c r="CN393" i="5"/>
  <c r="CN392" i="5"/>
  <c r="CN391" i="5"/>
  <c r="CN390" i="5"/>
  <c r="CN389" i="5"/>
  <c r="CN388" i="5"/>
  <c r="CN387" i="5"/>
  <c r="CN386" i="5"/>
  <c r="CN385" i="5"/>
  <c r="CN384" i="5"/>
  <c r="CN383" i="5"/>
  <c r="CN382" i="5"/>
  <c r="CN381" i="5"/>
  <c r="CN380" i="5"/>
  <c r="CN379" i="5"/>
  <c r="CN378" i="5"/>
  <c r="CN377" i="5"/>
  <c r="CN376" i="5"/>
  <c r="CN375" i="5"/>
  <c r="CN374" i="5"/>
  <c r="CN373" i="5"/>
  <c r="CN372" i="5"/>
  <c r="CN371" i="5"/>
  <c r="CN370" i="5"/>
  <c r="CN369" i="5"/>
  <c r="CN368" i="5"/>
  <c r="CN367" i="5"/>
  <c r="CN366" i="5"/>
  <c r="CN365" i="5"/>
  <c r="CN364" i="5"/>
  <c r="CN363" i="5"/>
  <c r="CN362" i="5"/>
  <c r="CN361" i="5"/>
  <c r="CN360" i="5"/>
  <c r="CN359" i="5"/>
  <c r="CN358" i="5"/>
  <c r="CN357" i="5"/>
  <c r="CN356" i="5"/>
  <c r="CN355" i="5"/>
  <c r="CN354" i="5"/>
  <c r="CN353" i="5"/>
  <c r="CN352" i="5"/>
  <c r="CN351" i="5"/>
  <c r="CN350" i="5"/>
  <c r="CN349" i="5"/>
  <c r="CN348" i="5"/>
  <c r="CN347" i="5"/>
  <c r="CN346" i="5"/>
  <c r="CN345" i="5"/>
  <c r="CN344" i="5"/>
  <c r="CN343" i="5"/>
  <c r="CN342" i="5"/>
  <c r="CN341" i="5"/>
  <c r="CN340" i="5"/>
  <c r="CN339" i="5"/>
  <c r="CN338" i="5"/>
  <c r="CN337" i="5"/>
  <c r="CN336" i="5"/>
  <c r="CN335" i="5"/>
  <c r="CN334" i="5"/>
  <c r="CN333" i="5"/>
  <c r="CN332" i="5"/>
  <c r="CN331" i="5"/>
  <c r="CN330" i="5"/>
  <c r="CN329" i="5"/>
  <c r="CN328" i="5"/>
  <c r="CN327" i="5"/>
  <c r="CN326" i="5"/>
  <c r="CN325" i="5"/>
  <c r="CN324" i="5"/>
  <c r="CN323" i="5"/>
  <c r="CN322" i="5"/>
  <c r="CN321" i="5"/>
  <c r="CN320" i="5"/>
  <c r="CN319" i="5"/>
  <c r="CN318" i="5"/>
  <c r="CN317" i="5"/>
  <c r="CN316" i="5"/>
  <c r="CN315" i="5"/>
  <c r="CN314" i="5"/>
  <c r="CN313" i="5"/>
  <c r="CN312" i="5"/>
  <c r="CN311" i="5"/>
  <c r="CN310" i="5"/>
  <c r="CN309" i="5"/>
  <c r="CN308" i="5"/>
  <c r="CN307" i="5"/>
  <c r="CN306" i="5"/>
  <c r="CN305" i="5"/>
  <c r="CN304" i="5"/>
  <c r="CN303" i="5"/>
  <c r="CN302" i="5"/>
  <c r="CN301" i="5"/>
  <c r="CN300" i="5"/>
  <c r="CN299" i="5"/>
  <c r="CN298" i="5"/>
  <c r="CN297" i="5"/>
  <c r="CN296" i="5"/>
  <c r="CN295" i="5"/>
  <c r="CN294" i="5"/>
  <c r="CN293" i="5"/>
  <c r="CN292" i="5"/>
  <c r="CN291" i="5"/>
  <c r="CN290" i="5"/>
  <c r="CN289" i="5"/>
  <c r="CN288" i="5"/>
  <c r="CN287" i="5"/>
  <c r="CN286" i="5"/>
  <c r="CN285" i="5"/>
  <c r="CN284" i="5"/>
  <c r="CN283" i="5"/>
  <c r="CN282" i="5"/>
  <c r="CN281" i="5"/>
  <c r="CN280" i="5"/>
  <c r="CN279" i="5"/>
  <c r="CN278" i="5"/>
  <c r="CN277" i="5"/>
  <c r="CN276" i="5"/>
  <c r="CN275" i="5"/>
  <c r="CN274" i="5"/>
  <c r="CN273" i="5"/>
  <c r="CN272" i="5"/>
  <c r="CN271" i="5"/>
  <c r="CN270" i="5"/>
  <c r="CN269" i="5"/>
  <c r="CN268" i="5"/>
  <c r="CN267" i="5"/>
  <c r="CN266" i="5"/>
  <c r="CN265" i="5"/>
  <c r="CN264" i="5"/>
  <c r="CN263" i="5"/>
  <c r="CN262" i="5"/>
  <c r="CN261" i="5"/>
  <c r="CN260" i="5"/>
  <c r="CN259" i="5"/>
  <c r="CN258" i="5"/>
  <c r="CN257" i="5"/>
  <c r="CN256" i="5"/>
  <c r="CN255" i="5"/>
  <c r="CN254" i="5"/>
  <c r="CN253" i="5"/>
  <c r="CN252" i="5"/>
  <c r="CN251" i="5"/>
  <c r="CN250" i="5"/>
  <c r="CN249" i="5"/>
  <c r="CN248" i="5"/>
  <c r="CN247" i="5"/>
  <c r="CN246" i="5"/>
  <c r="CN245" i="5"/>
  <c r="CN244" i="5"/>
  <c r="CN243" i="5"/>
  <c r="CN242" i="5"/>
  <c r="CN241" i="5"/>
  <c r="CN240" i="5"/>
  <c r="CN239" i="5"/>
  <c r="CN238" i="5"/>
  <c r="CN237" i="5"/>
  <c r="CN236" i="5"/>
  <c r="CN235" i="5"/>
  <c r="CN234" i="5"/>
  <c r="CN233" i="5"/>
  <c r="CN232" i="5"/>
  <c r="CN231" i="5"/>
  <c r="CN230" i="5"/>
  <c r="CN229" i="5"/>
  <c r="CN228" i="5"/>
  <c r="CN227" i="5"/>
  <c r="CN226" i="5"/>
  <c r="CN225" i="5"/>
  <c r="CN224" i="5"/>
  <c r="CN223" i="5"/>
  <c r="CN222" i="5"/>
  <c r="CN221" i="5"/>
  <c r="CN220" i="5"/>
  <c r="CN219" i="5"/>
  <c r="CN218" i="5"/>
  <c r="CN217" i="5"/>
  <c r="CN216" i="5"/>
  <c r="CN215" i="5"/>
  <c r="CN214" i="5"/>
  <c r="CN213" i="5"/>
  <c r="CN212" i="5"/>
  <c r="CN211" i="5"/>
  <c r="CN210" i="5"/>
  <c r="CN209" i="5"/>
  <c r="CN208" i="5"/>
  <c r="CN207" i="5"/>
  <c r="CN206" i="5"/>
  <c r="CN205" i="5"/>
  <c r="CN204" i="5"/>
  <c r="CN203" i="5"/>
  <c r="CN202" i="5"/>
  <c r="CN201" i="5"/>
  <c r="CN200" i="5"/>
  <c r="CN199" i="5"/>
  <c r="CN198" i="5"/>
  <c r="CN197" i="5"/>
  <c r="CN196" i="5"/>
  <c r="CN195" i="5"/>
  <c r="CN194" i="5"/>
  <c r="CN193" i="5"/>
  <c r="CN192" i="5"/>
  <c r="CN191" i="5"/>
  <c r="CN190" i="5"/>
  <c r="CN189" i="5"/>
  <c r="CN188" i="5"/>
  <c r="CN187" i="5"/>
  <c r="CN186" i="5"/>
  <c r="CN185" i="5"/>
  <c r="CN184" i="5"/>
  <c r="CN183" i="5"/>
  <c r="CN182" i="5"/>
  <c r="CN181" i="5"/>
  <c r="CN180" i="5"/>
  <c r="CN179" i="5"/>
  <c r="CN178" i="5"/>
  <c r="CN177" i="5"/>
  <c r="CN176" i="5"/>
  <c r="CN175" i="5"/>
  <c r="CN174" i="5"/>
  <c r="CN173" i="5"/>
  <c r="CN172" i="5"/>
  <c r="CN171" i="5"/>
  <c r="CN170" i="5"/>
  <c r="CN169" i="5"/>
  <c r="CN168" i="5"/>
  <c r="CN167" i="5"/>
  <c r="CN166" i="5"/>
  <c r="CN165" i="5"/>
  <c r="CN164" i="5"/>
  <c r="CN163" i="5"/>
  <c r="CN162" i="5"/>
  <c r="CN161" i="5"/>
  <c r="CN160" i="5"/>
  <c r="CN159" i="5"/>
  <c r="CN158" i="5"/>
  <c r="CN157" i="5"/>
  <c r="CN156" i="5"/>
  <c r="CN155" i="5"/>
  <c r="CN154" i="5"/>
  <c r="CN153" i="5"/>
  <c r="CN152" i="5"/>
  <c r="CN151" i="5"/>
  <c r="CN150" i="5"/>
  <c r="CN149" i="5"/>
  <c r="CN148" i="5"/>
  <c r="CN147" i="5"/>
  <c r="CN146" i="5"/>
  <c r="CN145" i="5"/>
  <c r="CN144" i="5"/>
  <c r="CN143" i="5"/>
  <c r="CN142" i="5"/>
  <c r="CN141" i="5"/>
  <c r="CN140" i="5"/>
  <c r="CN139" i="5"/>
  <c r="CN138" i="5"/>
  <c r="CN137" i="5"/>
  <c r="CN136" i="5"/>
  <c r="CN135" i="5"/>
  <c r="CN134" i="5"/>
  <c r="CN133" i="5"/>
  <c r="CN132" i="5"/>
  <c r="CN131" i="5"/>
  <c r="CN130" i="5"/>
  <c r="CN129" i="5"/>
  <c r="CN128" i="5"/>
  <c r="CN127" i="5"/>
  <c r="CN126" i="5"/>
  <c r="CN125" i="5"/>
  <c r="CN124" i="5"/>
  <c r="CN123" i="5"/>
  <c r="CN122" i="5"/>
  <c r="CN121" i="5"/>
  <c r="CN120" i="5"/>
  <c r="CN119" i="5"/>
  <c r="CN118" i="5"/>
  <c r="CN117" i="5"/>
  <c r="CN116" i="5"/>
  <c r="CN115" i="5"/>
  <c r="CN114" i="5"/>
  <c r="CN113" i="5"/>
  <c r="CN112" i="5"/>
  <c r="CN111" i="5"/>
  <c r="CN110" i="5"/>
  <c r="CN109" i="5"/>
  <c r="CN108" i="5"/>
  <c r="CN107" i="5"/>
  <c r="CN106" i="5"/>
  <c r="CN105" i="5"/>
  <c r="CN104" i="5"/>
  <c r="CN103" i="5"/>
  <c r="CN102" i="5"/>
  <c r="CN101" i="5"/>
  <c r="CN100" i="5"/>
  <c r="CN99" i="5"/>
  <c r="CN98" i="5"/>
  <c r="CN97" i="5"/>
  <c r="CN96" i="5"/>
  <c r="CN95" i="5"/>
  <c r="CN94" i="5"/>
  <c r="CN93" i="5"/>
  <c r="CN92" i="5"/>
  <c r="CN91" i="5"/>
  <c r="CN90" i="5"/>
  <c r="CN89" i="5"/>
  <c r="CN88" i="5"/>
  <c r="CN87" i="5"/>
  <c r="CN86" i="5"/>
  <c r="CN85" i="5"/>
  <c r="CN84" i="5"/>
  <c r="CN83" i="5"/>
  <c r="CN82" i="5"/>
  <c r="CN81" i="5"/>
  <c r="CN80" i="5"/>
  <c r="CN79" i="5"/>
  <c r="CN78" i="5"/>
  <c r="CN77" i="5"/>
  <c r="CN76" i="5"/>
  <c r="CN75" i="5"/>
  <c r="CN74" i="5"/>
  <c r="CN73" i="5"/>
  <c r="CN72" i="5"/>
  <c r="CN71" i="5"/>
  <c r="CN70" i="5"/>
  <c r="CN69" i="5"/>
  <c r="CN68" i="5"/>
  <c r="CN67" i="5"/>
  <c r="CN66" i="5"/>
  <c r="CN65" i="5"/>
  <c r="CN64" i="5"/>
  <c r="CN63" i="5"/>
  <c r="CN62" i="5"/>
  <c r="CN61" i="5"/>
  <c r="CN60" i="5"/>
  <c r="CN59" i="5"/>
  <c r="CN58" i="5"/>
  <c r="CN57" i="5"/>
  <c r="CN56" i="5"/>
  <c r="CN55" i="5"/>
  <c r="CN54" i="5"/>
  <c r="CN53" i="5"/>
  <c r="CN52" i="5"/>
  <c r="CN51" i="5"/>
  <c r="CN50" i="5"/>
  <c r="CN49" i="5"/>
  <c r="CN48" i="5"/>
  <c r="CN47" i="5"/>
  <c r="CN46" i="5"/>
  <c r="CN45" i="5"/>
  <c r="CN44" i="5"/>
  <c r="CN43" i="5"/>
  <c r="CN42" i="5"/>
  <c r="CN41" i="5"/>
  <c r="CN40" i="5"/>
  <c r="CN39" i="5"/>
  <c r="CN38" i="5"/>
  <c r="CN37" i="5"/>
  <c r="CN36" i="5"/>
  <c r="CN35" i="5"/>
  <c r="CN34" i="5"/>
  <c r="CN33" i="5"/>
  <c r="CN32" i="5"/>
  <c r="CN31" i="5"/>
  <c r="CN30" i="5"/>
  <c r="CN29" i="5"/>
  <c r="CN28" i="5"/>
  <c r="CN27" i="5"/>
  <c r="CN26" i="5"/>
  <c r="CN25" i="5"/>
  <c r="CN24" i="5"/>
  <c r="CN23" i="5"/>
  <c r="CN22" i="5"/>
  <c r="CN21" i="5"/>
  <c r="CN20" i="5"/>
  <c r="CN19" i="5"/>
  <c r="CN18" i="5"/>
  <c r="CN17" i="5"/>
  <c r="CN16" i="5"/>
  <c r="CN15" i="5"/>
  <c r="CN14" i="5"/>
  <c r="CN13" i="5"/>
  <c r="CN12" i="5"/>
  <c r="CN11" i="5"/>
  <c r="CN10" i="5"/>
  <c r="CN9" i="5"/>
  <c r="CN8" i="5"/>
  <c r="CN7" i="5"/>
  <c r="CN6" i="5"/>
  <c r="CN5" i="5"/>
  <c r="CN4" i="5"/>
  <c r="CN3" i="5"/>
</calcChain>
</file>

<file path=xl/sharedStrings.xml><?xml version="1.0" encoding="utf-8"?>
<sst xmlns="http://schemas.openxmlformats.org/spreadsheetml/2006/main" count="36140" uniqueCount="5593">
  <si>
    <t>ID_Actividad</t>
  </si>
  <si>
    <t>Folio</t>
  </si>
  <si>
    <t>Fecha_Captura</t>
  </si>
  <si>
    <t>Clave_Proceso</t>
  </si>
  <si>
    <t>Clave_Proceso_Txt</t>
  </si>
  <si>
    <t>Meta</t>
  </si>
  <si>
    <t>Nombre_Meta</t>
  </si>
  <si>
    <t>Area</t>
  </si>
  <si>
    <t>Direccion</t>
  </si>
  <si>
    <t>Unidad_Medida</t>
  </si>
  <si>
    <t>Meta_Anual</t>
  </si>
  <si>
    <t>Enfoque_Actividad</t>
  </si>
  <si>
    <t>Nombre_Actividad</t>
  </si>
  <si>
    <t>Descripcion_Breve</t>
  </si>
  <si>
    <t>Temporalidad</t>
  </si>
  <si>
    <t>Fecha_Inicio</t>
  </si>
  <si>
    <t>Fecha_Fin</t>
  </si>
  <si>
    <t>Total_Sesiones</t>
  </si>
  <si>
    <t>Disciplina</t>
  </si>
  <si>
    <t>Subdisciplina</t>
  </si>
  <si>
    <t>Tipo_Actividad</t>
  </si>
  <si>
    <t>Proceso_Institucional</t>
  </si>
  <si>
    <t>Formato</t>
  </si>
  <si>
    <t>Tipo_Espacio</t>
  </si>
  <si>
    <t>Nombre_Espacio</t>
  </si>
  <si>
    <t>Especifique_Espacio</t>
  </si>
  <si>
    <t>Foto_Evidencia</t>
  </si>
  <si>
    <t>Genera_Ingresos</t>
  </si>
  <si>
    <t>Monto_Ingreso</t>
  </si>
  <si>
    <t>Agentes_Con_Contrato</t>
  </si>
  <si>
    <t>Cantidad_Agentes</t>
  </si>
  <si>
    <t>Registros_INDAUTOR</t>
  </si>
  <si>
    <t>Folio_INDAUTOR</t>
  </si>
  <si>
    <t>Costo</t>
  </si>
  <si>
    <t>Costo_Minimo</t>
  </si>
  <si>
    <t>Costo_Maximo</t>
  </si>
  <si>
    <t>Detalle_Tarifas</t>
  </si>
  <si>
    <t>Usuario_Registra</t>
  </si>
  <si>
    <t>Promesa_NC</t>
  </si>
  <si>
    <t>Eje_PG</t>
  </si>
  <si>
    <t>Objetivo_PG</t>
  </si>
  <si>
    <t>Estrategia_PG</t>
  </si>
  <si>
    <t>Acciones_PG</t>
  </si>
  <si>
    <t>Eje_Tranversal_PEC</t>
  </si>
  <si>
    <t>Enfoque_Accion</t>
  </si>
  <si>
    <t>Linea_PEC</t>
  </si>
  <si>
    <t>Estrategia_PEC</t>
  </si>
  <si>
    <t>Acciones_PEC</t>
  </si>
  <si>
    <t>Metas_PEC</t>
  </si>
  <si>
    <t>Actividad</t>
  </si>
  <si>
    <t>Categoria_Helper</t>
  </si>
  <si>
    <t>Tipo_Proceso_Formacion</t>
  </si>
  <si>
    <t>Tipo_Oferta_Formacion</t>
  </si>
  <si>
    <t>Tipo_Agente_Apoyado</t>
  </si>
  <si>
    <t>Cantidad_Agente_Apoyado</t>
  </si>
  <si>
    <t>Condicion_Agente</t>
  </si>
  <si>
    <t>Nombre_Agente</t>
  </si>
  <si>
    <t>Con_Apoyo</t>
  </si>
  <si>
    <t>Tipo_Apoyo</t>
  </si>
  <si>
    <t>Monto_Total_Contratado</t>
  </si>
  <si>
    <t>Tipo_Proyecto_Artistico</t>
  </si>
  <si>
    <t>Tipo_Circulacion</t>
  </si>
  <si>
    <t>Tipo_Patrimonio</t>
  </si>
  <si>
    <t>Tipo_Convenio</t>
  </si>
  <si>
    <t>Vinculacion_Actores</t>
  </si>
  <si>
    <t>Tipo_Vinculacion</t>
  </si>
  <si>
    <t>Detalle_Calendario</t>
  </si>
  <si>
    <t>Ubicacion_GPS</t>
  </si>
  <si>
    <t>Estado_Actividad</t>
  </si>
  <si>
    <t>Indicador_Oficial</t>
  </si>
  <si>
    <t>Nombre_Indicador</t>
  </si>
  <si>
    <t>Instrumento</t>
  </si>
  <si>
    <t>ACT00031</t>
  </si>
  <si>
    <t>SC-260604-111329</t>
  </si>
  <si>
    <t>PB3572</t>
  </si>
  <si>
    <t>Gestión de programas de exposiciones, actividades formativas y académicas en los Museos de la Secretaría de Cultura y actividades extramuros</t>
  </si>
  <si>
    <t>Creación de actividades para poblaciones especificas como mujeres, niños y niñas, adultos mayores y discapacidad en los Museos adscritos a la Secretaria de Cultura</t>
  </si>
  <si>
    <t>SUBSECRETARÍA DE DESARROLLO Y PROMOCIÓN ARTÍSTICA Y CULTURAL</t>
  </si>
  <si>
    <t>DIRECCIÓN GENERAL DE MUSEOS, ARTES VISUALES Y EXPOSICIONES</t>
  </si>
  <si>
    <t>Número de Actividades realizadas</t>
  </si>
  <si>
    <t>Cultural</t>
  </si>
  <si>
    <t>Juguetes tipicos en estampa alternativa</t>
  </si>
  <si>
    <t>Fomento del sentido crítico sobre la importancia de las artes visuales en el desarrollo cognitivo, social, humano y artístico.</t>
  </si>
  <si>
    <t>Única</t>
  </si>
  <si>
    <t>Cultura comunitaria</t>
  </si>
  <si>
    <t>Procesos de memoria</t>
  </si>
  <si>
    <t>Taller</t>
  </si>
  <si>
    <t>Ninguna</t>
  </si>
  <si>
    <t>Presencial</t>
  </si>
  <si>
    <t>Espacio Público</t>
  </si>
  <si>
    <t>Centro Nuevo Comienzo Balcones de las Joyas</t>
  </si>
  <si>
    <t>Sin costo</t>
  </si>
  <si>
    <t>ccardonav@guanajuato.gob.mx</t>
  </si>
  <si>
    <t>Arraigo y empoderamiento cultural de comunidades.</t>
  </si>
  <si>
    <t>2 Igualdad</t>
  </si>
  <si>
    <t>2.2 Fortalecer cohesión social</t>
  </si>
  <si>
    <t>2.2.3.2 Promover la participación de grupos prioritarios en actividades culturales</t>
  </si>
  <si>
    <t>Inclusión</t>
  </si>
  <si>
    <t>Ninguno (Población General)</t>
  </si>
  <si>
    <t>Fortalecimiento de la participación ciudadana y la mediación cultural</t>
  </si>
  <si>
    <t>Impulso a la ampliación de la oferta cultural en los territorios.</t>
  </si>
  <si>
    <t>Fortalecer la programación cultural en espacios públicos, espacios alternativos y otros espacios culturales.</t>
  </si>
  <si>
    <t>Incrementar en 25% la oferta cultural realizada en los municipios.</t>
  </si>
  <si>
    <t>Mediación</t>
  </si>
  <si>
    <t>Especie</t>
  </si>
  <si>
    <t>Convenio de colaboración entre la DGMAE y la Secretaría del Nuevo Comienzo</t>
  </si>
  <si>
    <t>Sí</t>
  </si>
  <si>
    <t>Acompañamiento Técnico</t>
  </si>
  <si>
    <t>Abierta</t>
  </si>
  <si>
    <t>ACT00032</t>
  </si>
  <si>
    <t>SC-260604-160740</t>
  </si>
  <si>
    <t>Centro Nuevo Comienzo Nuevo Amanecer</t>
  </si>
  <si>
    <t>NNA (Niñas, Niños y Adolescentes)</t>
  </si>
  <si>
    <t>Convenio de colaboración entre la DGMAVE y la Secretaría del Nuevo Comienzo</t>
  </si>
  <si>
    <t>ACT00033</t>
  </si>
  <si>
    <t>SC-260605-100441</t>
  </si>
  <si>
    <t>Derechos de los niños y niñas</t>
  </si>
  <si>
    <t>Mediación cultural</t>
  </si>
  <si>
    <t>Escuela Primaria Vespertina “Francisco Javier Mina”</t>
  </si>
  <si>
    <t>ACT00034</t>
  </si>
  <si>
    <t>SC-260605-103419</t>
  </si>
  <si>
    <t>Acoso Escolar</t>
  </si>
  <si>
    <t>Incentivar y fomentar un sentido crítico sobre la importancia de los derechos de los niños, niñas y adolescentes, en el desarrollo cognitivo, social, humano y artístico en la Escuela Primaria Vespertina Francisco Javier Mina, a través del programa “El Museo a la vuelta de tu casa”.</t>
  </si>
  <si>
    <t>ACT00035</t>
  </si>
  <si>
    <t>SC-260605-110629</t>
  </si>
  <si>
    <t>Sana Convivencia</t>
  </si>
  <si>
    <t>ACT00036</t>
  </si>
  <si>
    <t>SC-260610-105550</t>
  </si>
  <si>
    <t>Tarjeta Española para Mamá</t>
  </si>
  <si>
    <t>ACT00037</t>
  </si>
  <si>
    <t>SC-260610-114106</t>
  </si>
  <si>
    <t>ACT00038</t>
  </si>
  <si>
    <t>SC-260611-102905</t>
  </si>
  <si>
    <t>Creación y participación en actividades formativas y académicas de los museos adscritos a la Secretaria de Cultura</t>
  </si>
  <si>
    <t>1EEM "Diálogos de Museos y política pública"</t>
  </si>
  <si>
    <t>El I Encuentro Estatal de Museos de Guanajuato es un espacio de reunión y diálogo que convoca a representantes de museos, gestores culturales y profesionales del sector de los 46 municipios del estado, con el propósito de compartir experiencias, reflexionar sobre los retos actuales y visibilizar la diversidad del patrimonio cultural guanajuatense. Este encuentro impulsa la colaboración intermunicipal y el trabajo en red como ejes para fortalecer el papel social, educativo y cultural de los museos.</t>
  </si>
  <si>
    <t>Gestión cultural</t>
  </si>
  <si>
    <t>Encuentro cultural</t>
  </si>
  <si>
    <t>Evaluación</t>
  </si>
  <si>
    <t>Espacio Privado</t>
  </si>
  <si>
    <t>Hotel Hotsson</t>
  </si>
  <si>
    <t>Formación de formadores artísticos y culturales: Cursos y talleres de capacitación artística para docentes.  Encuentros entre formadores de casas de cultura.  Plataforma de colaboración entre instituciones culturales.</t>
  </si>
  <si>
    <t>2.4 Reducir brechas de desigualdad</t>
  </si>
  <si>
    <t>2.4.3 Descentralización de la oferta cultural</t>
  </si>
  <si>
    <t>2.4.3.3 Incidir en el involucramiento de las personas con el ecosistema cultural</t>
  </si>
  <si>
    <t>Cooperación</t>
  </si>
  <si>
    <t>Fortalecimiento del diálogo, la mediación y las capacidades de las redes comunitarias.</t>
  </si>
  <si>
    <t>Fortalecer las capacidades de autoridades locales y estatales</t>
  </si>
  <si>
    <t>Asesoría especializada</t>
  </si>
  <si>
    <t>Formación</t>
  </si>
  <si>
    <t>Asesoría</t>
  </si>
  <si>
    <t>Contrato de Prestación de Servicios</t>
  </si>
  <si>
    <t>ACT00039</t>
  </si>
  <si>
    <t>SC-260611-111846</t>
  </si>
  <si>
    <t>1EEM "Vámonos conociendo"</t>
  </si>
  <si>
    <t>Sesión de taller a cargo del Laboratorio Creativo Luciérnaga</t>
  </si>
  <si>
    <t>ACT00040</t>
  </si>
  <si>
    <t>SC-260611-140443</t>
  </si>
  <si>
    <t>1 EEM "Conferencia comunidades y museos"</t>
  </si>
  <si>
    <t>En conversación Álvaro Octavio Lara Huerta, Subsecretario deDesarrollo y Promoción Artística y Cultural de Guanajuato</t>
  </si>
  <si>
    <t>Conferencia</t>
  </si>
  <si>
    <t>Contrato de Prestacion de Servicios</t>
  </si>
  <si>
    <t>ACT00041</t>
  </si>
  <si>
    <t>SC-260611-143318</t>
  </si>
  <si>
    <t>1 EEM "Conociendo los museos de Guanajuato. Sesion de PechaKucha"</t>
  </si>
  <si>
    <t>Presentación de los museos con la dinámica PechaKucha.</t>
  </si>
  <si>
    <t>Vinculación</t>
  </si>
  <si>
    <t>Circulación / Exhibición</t>
  </si>
  <si>
    <t>No</t>
  </si>
  <si>
    <t>ACT00042</t>
  </si>
  <si>
    <t>SC-260611-154851</t>
  </si>
  <si>
    <t>1 EEM " Conferencia el diseño de exhibiciones"</t>
  </si>
  <si>
    <t>La conferencia se centró en la importancia de mirar a los públicos. Imparte Gabriel Horner en conversación con Óscar Ascencio.</t>
  </si>
  <si>
    <t>ACT00043</t>
  </si>
  <si>
    <t>SC-260612-103524</t>
  </si>
  <si>
    <t>1 EEM " ¿Qué somos Y qué tenemos en común?</t>
  </si>
  <si>
    <t>ACT00044</t>
  </si>
  <si>
    <t>SC-260612-110853</t>
  </si>
  <si>
    <t>1 EEM " Conferencia Las redes sociales, un campo abierto a la comunicación e los emprendimientos culturales"</t>
  </si>
  <si>
    <t>La conferencia la impartió Melania Chavarría.</t>
  </si>
  <si>
    <t>ACT00045</t>
  </si>
  <si>
    <t>SC-260612-113026</t>
  </si>
  <si>
    <t>1 EEM " Conversatorio los retos de la comunicación y la mediación de los museos"</t>
  </si>
  <si>
    <t>Participan Brenda Galvan, Museo de las identidades leonesas/ICL, Rafael Soldara, Museo de Celaya de Historia Regional, Míriam de los Ángeles</t>
  </si>
  <si>
    <t>Conversatorio</t>
  </si>
  <si>
    <t>Nuevo</t>
  </si>
  <si>
    <t>ACT00046</t>
  </si>
  <si>
    <t>SC-260612-122622</t>
  </si>
  <si>
    <t>1 EEM "Conferencia reflexiones sobre la educación en museos"</t>
  </si>
  <si>
    <t>Conferencia Impartida por la Mtr. Ariadna Vargas Trejo</t>
  </si>
  <si>
    <t>ACT00017</t>
  </si>
  <si>
    <t>SC-260615-100445</t>
  </si>
  <si>
    <t>"Museos para la niñez: Torneo de Rubik "</t>
  </si>
  <si>
    <t>La Asociación Mundial del Cubo (WCA) te invita a participar o presenciar el Torneo de Rubik. Una competencia en la que chicos y grandes pueden demostrar sus habilidades con este popular juego que ha dado la vuelta por todo el mundo.</t>
  </si>
  <si>
    <t>Multidisciplinario</t>
  </si>
  <si>
    <t>Interdisciplinario</t>
  </si>
  <si>
    <t>Activación cultural comunitaria</t>
  </si>
  <si>
    <t>Espacio a Cargo de la Secretaría</t>
  </si>
  <si>
    <t>Juventudes: Apropiación de espacios públicos: revitalizar espacios subutilizados para actividades comunitarias y culturales, con jóvenes en su diseño y gestión.</t>
  </si>
  <si>
    <t>1 Tranquilidad</t>
  </si>
  <si>
    <t>1.2 Fortalecer prevención del delito</t>
  </si>
  <si>
    <t>1.2.2 Fortalecimiento del tejido social</t>
  </si>
  <si>
    <t>1.2.3.4 Promover una cultura de paz desde las expresiones artísticas y culturales</t>
  </si>
  <si>
    <t>Protección y dinamización del patrimonio, la memoria y los espacios culturales</t>
  </si>
  <si>
    <t>Consolidación de los mecanismos de gobernanza para el uso de los espacios cultuales y zonas patrimoniales.</t>
  </si>
  <si>
    <t>Promover mecanismos de gobernanza para el aprovechamiento de espacios patrimoniales del estado de Guanajuato (ferias, festivales, encuentros comunitarios, etc.).</t>
  </si>
  <si>
    <t>Incrementar un 30% la participación de grupos, colectivos y comunidades en procesos de memoria, investigación, divulgación y difusión del patrimonio material e inmaterial</t>
  </si>
  <si>
    <t>Programación cultural en espacio público</t>
  </si>
  <si>
    <t>N/A</t>
  </si>
  <si>
    <t>ACT00018</t>
  </si>
  <si>
    <t>SC-260615-103418</t>
  </si>
  <si>
    <t>Artística</t>
  </si>
  <si>
    <t>Museos para la niñez: Proyectos Kamalio y Orquesta Ensamble Da Capo</t>
  </si>
  <si>
    <t>Orquesta Ensamble Da Capo está compuesta por alumnos de clases de música Amadeus Mozart, a cargo del maestro Eduardo Véjar. Con instrumentos de cuerda y percusión, son una orquesta que promueve la formación artística a través de la música en infancias y juventudes.</t>
  </si>
  <si>
    <t>Música</t>
  </si>
  <si>
    <t>Música tradicional</t>
  </si>
  <si>
    <t>Muestra artística</t>
  </si>
  <si>
    <t>Fomento a la creación y circulación cultural.</t>
  </si>
  <si>
    <t>Impulso a redes colaborativas y plataformas de visibilidad</t>
  </si>
  <si>
    <t>Celebrar esquemas de colaboración para facilitar la presencia de artistas locales en ferias, festivales y redes culturales nacionales e internacionales.</t>
  </si>
  <si>
    <t>Lograr un incremento anual del 10% en la circulación de obras fuera del territorio estatal.</t>
  </si>
  <si>
    <t>Presentación artística</t>
  </si>
  <si>
    <t>ACT00019</t>
  </si>
  <si>
    <t>SC-260615-104331</t>
  </si>
  <si>
    <t>Museos para la niñez: Magic Mind para la niñez. Meditación</t>
  </si>
  <si>
    <t>Meditación, yoga y aromaterapia en Terraza del Jardín de las esculturas. Imparte: Ana Gabriela Barajas Hernández de Magic Mind.</t>
  </si>
  <si>
    <t>Sostenibilidad del trabajo cultural y la economía creativa.</t>
  </si>
  <si>
    <t>Diseñar programas de formación y gestión cultural de base comunitaria.</t>
  </si>
  <si>
    <t>ACT00020</t>
  </si>
  <si>
    <t>SC-260615-112323</t>
  </si>
  <si>
    <t>Museos para la niñez: Cómo visitar un museo para niños</t>
  </si>
  <si>
    <t>La Plataforma de Arte emergente del Bajío LANZA te invita a participar en este divertido taller en el que podrás aprender cómo conocer y disfrutar de los museos.</t>
  </si>
  <si>
    <t>2.4.3.1 Impulsar el desarrollo artístico y cultural entre infancias y juventudes</t>
  </si>
  <si>
    <t>Diseñar e impartir talleres de formación en derechos culturales</t>
  </si>
  <si>
    <t>ACT00021</t>
  </si>
  <si>
    <t>SC-260615-113141</t>
  </si>
  <si>
    <t>Museos para la niñez: Ensamble Sinfónico Oviedo</t>
  </si>
  <si>
    <t>Déjate sorprender por las maravillosas piezas musicales que las niñas, niños y adolescentes del Instituto Oviedo nos traerán en este mes de las infancias. Acompáñanos en este recital integrado de pequeñas piezas camerísticas y concertantes de los períodos Barroco, Clásico y Romántico; yendo desde Vivaldi y Corelli hasta Busoni.</t>
  </si>
  <si>
    <t>Orquestas</t>
  </si>
  <si>
    <t>ACT00022</t>
  </si>
  <si>
    <t>SC-260615-114225</t>
  </si>
  <si>
    <t>Musos para la niñez: Misión Olimpo y un poco de IA</t>
  </si>
  <si>
    <t>ICONMUNITY invita a participar a las niñas a que exploten su creatividad al máximo utilizando la IA para entrenar un modelo basado en imágenes y videos de la instalación ubicada en el museo.</t>
  </si>
  <si>
    <t>Artes visuales</t>
  </si>
  <si>
    <t>Arte digital</t>
  </si>
  <si>
    <t>ACT00023</t>
  </si>
  <si>
    <t>SC-260615-115027</t>
  </si>
  <si>
    <t>Encuentro de Danza Guanajuato</t>
  </si>
  <si>
    <t>En el marco del Dïa de la Danza habitemos los espacios del museo desde los diferentes estilos de danza y encontramos las posibilidades de expresión a través del cuerpo con la participación de  15 academias y colectivos guanajuatenses.  En colaboración con Vaivén. Cuerpos en Escena.</t>
  </si>
  <si>
    <t>Artes escénicas</t>
  </si>
  <si>
    <t>Danza contemporánea</t>
  </si>
  <si>
    <t>Leer para crecer.</t>
  </si>
  <si>
    <t>Incentivar la creación y producción artística y cultural de agentes locales.</t>
  </si>
  <si>
    <t>Diseñar e implementar un sistema de reconocimiento público a las comunidades culturales.</t>
  </si>
  <si>
    <t>Incrementar nuevas producciones, obras y proyectos culturales en un 15% anual.</t>
  </si>
  <si>
    <t>ACT00024</t>
  </si>
  <si>
    <t>SC-260615-120517</t>
  </si>
  <si>
    <t>Museos para la niñez: "Donde nacen los sueños" Ballet infantil</t>
  </si>
  <si>
    <t>Disfruta del poder del ballet infantil como un lenguaje universal que acompaña el desarrollo, fortalece la disciplina y celebra la imaginación. Presenta: Rallye Studio Dirección: Ana Guillermina Oropeza y Mariah José Paloma Hurtado Martínez.</t>
  </si>
  <si>
    <t>Danza tradicional</t>
  </si>
  <si>
    <t>ACT00025</t>
  </si>
  <si>
    <t>SC-260615-122541</t>
  </si>
  <si>
    <t>Palabras Umbral, Palabrasfilo. Hilandera: Flor Bosco.</t>
  </si>
  <si>
    <t>Un tejido verbal hecho con fibras extraídas de diversos poetas. Hilandera: Flor Bosco.</t>
  </si>
  <si>
    <t>Literatura</t>
  </si>
  <si>
    <t>Fomento a la lectura</t>
  </si>
  <si>
    <t>4 Vocación</t>
  </si>
  <si>
    <t>4.4 Reforzar competencias lectoras y lógico matemáticas</t>
  </si>
  <si>
    <t>4.4.2 Competencias lectoras</t>
  </si>
  <si>
    <t>4.4.2 Fomentar el hábito lector</t>
  </si>
  <si>
    <t>ACT00026</t>
  </si>
  <si>
    <t>SC-260615-125555</t>
  </si>
  <si>
    <t>Entre medios y a través de. Diálogos con Miguel Mesa."Habitar ése bosque. Camila Apaez y Miguel Mesa"</t>
  </si>
  <si>
    <t>De forma teórica y práctica se dialogarán posibilidades para la gestación y desarrollo de proyectos artísticos, considerando los cruces entre medios, ideas, tecnología y disciplinas; tomando en cuenta la importancia de las decisiones estéticas, técnicas y políticas. El punto de partida será la exposición “Habitar ese bosque” que se encuentra expuesta en la sala CoLab del Museo de Arte e Historia de Guanajuato.</t>
  </si>
  <si>
    <t>Escultura</t>
  </si>
  <si>
    <t>Impulso a la educación artística y a la profesionalización del sector cultural</t>
  </si>
  <si>
    <t>Impulso a programas de formación y profesionalización para agentes culturales.</t>
  </si>
  <si>
    <t>Diseñar programas de formación y profesionalización modulares y flexibles.</t>
  </si>
  <si>
    <t>Incrementar un 30% la oferta de formación y profesionalización para agentes culturales.</t>
  </si>
  <si>
    <t>Creación</t>
  </si>
  <si>
    <t>ACT00027</t>
  </si>
  <si>
    <t>SC-260615-142412</t>
  </si>
  <si>
    <t>Museo en Escena. Encuentro Arte Guanajuato</t>
  </si>
  <si>
    <t>Presentación de performance de danza y música (saxofón) en diferentes espacios del museo como parte del programa del Dia Internacional de los Museos.</t>
  </si>
  <si>
    <t>ACT00028</t>
  </si>
  <si>
    <t>SC-260615-143235</t>
  </si>
  <si>
    <t>Libro de Zona 102. Festival FELIZ.  Región III, sector 03 y Zona 102.</t>
  </si>
  <si>
    <t>Cultivemos un mundo mejor a partir del arte y la literatura, abramos juntos las puertas del arte y la imaginación de las infancias. Descubre el poder de un libro. Abre una puerta al aprendizaje y la imaginación para tus hijos. ¡Ven a  FELIZ y cultivemos juntos el amor a la lectura</t>
  </si>
  <si>
    <t>Feria del libro</t>
  </si>
  <si>
    <t>ACT00029</t>
  </si>
  <si>
    <t>SC-260615-143913</t>
  </si>
  <si>
    <t>Conferencia: Hipnosis y Estados Alterados de Consciencia. Presenta: Ramón Iturbide."Bajo el signo de Saturno. Adivinación en el arte"</t>
  </si>
  <si>
    <t>Descubre qué es la hipnosis y su relación con la conciencia a partir de su análisis desde la psicología.</t>
  </si>
  <si>
    <t>Performance visual</t>
  </si>
  <si>
    <t>Creación de la Secretaría de Cultura, con una visión social de la política cultural.</t>
  </si>
  <si>
    <t>4.4.1 Competencias y habilidades</t>
  </si>
  <si>
    <t>ACT00030</t>
  </si>
  <si>
    <t>SC-260615-144427</t>
  </si>
  <si>
    <t>Conferencia: Tarot como camino del autoconocimiento. Presenta: Alejandra del Castillo Negrete. "Bajo el signo de Saturno. Adivinación en el arte"</t>
  </si>
  <si>
    <t>Charla en la que nos introduciremos en el mundo del tarot como una posible herramienta del análisis del comportamiento humano.</t>
  </si>
  <si>
    <t>Narrativa</t>
  </si>
  <si>
    <t>5 Prosperidad</t>
  </si>
  <si>
    <t>5.4 Fortalecer presencia turística</t>
  </si>
  <si>
    <t>ACT-SCYJ01916</t>
  </si>
  <si>
    <t>SC-260617-135837</t>
  </si>
  <si>
    <t>Compilación Viernes de Dolores en Guanajuato</t>
  </si>
  <si>
    <t>Presentación editorial a cargo del autor sobre la tradición del Viernes de Dolores en la ciudad de Guanajuato.</t>
  </si>
  <si>
    <t>Investigación cultural</t>
  </si>
  <si>
    <t>Presentación editorial</t>
  </si>
  <si>
    <t>ACT-SCHP41657</t>
  </si>
  <si>
    <t>SC-260617-140546</t>
  </si>
  <si>
    <t>Cuentacuentos: Luis Long, el arquitecto del tiempo</t>
  </si>
  <si>
    <t>Luis Long el relojero, viajero, constructor de palacios, arquitecto londinense y leones nos cuenta su historia iMil aventuras vivirán y muchos títeres verán!, actividad en torno al 99° Aniversario luctuoso de Louis Long.</t>
  </si>
  <si>
    <t>Teatro</t>
  </si>
  <si>
    <t>ACT-SCXD05649</t>
  </si>
  <si>
    <t>SC-260617-141205</t>
  </si>
  <si>
    <t>Taller familiar de barro</t>
  </si>
  <si>
    <t>Un espacio de encuentro y difusión en torno al cierre de las exposiciones La mayólica de Gorky González. Una tradición que vive, Dolores Porras. Taller de Cerámica y Diálogo entre los Grandes Maestros del Arte Popular de Guanajuato y Veracruz.</t>
  </si>
  <si>
    <t>ACT-SCQF07472</t>
  </si>
  <si>
    <t>SC-260617-142030</t>
  </si>
  <si>
    <t>Tradición cerámica en Guanajuato</t>
  </si>
  <si>
    <t>conferencia a cargo de Paulina Delgado en torno a esta importante tradición</t>
  </si>
  <si>
    <t>Artesanías y arte popular</t>
  </si>
  <si>
    <t>Cerámica</t>
  </si>
  <si>
    <t>ACT-SCNJ91361</t>
  </si>
  <si>
    <t>SC-260617-143326</t>
  </si>
  <si>
    <t>Talleres en el Día Mundial del Arte</t>
  </si>
  <si>
    <t>Invitamos a las niñas, niños y sus familias, a celebrar el Día Mundial del Arte con un recorrido lúdico por el Museo Conde Rul y a participar en nuestras mesas de arte: grabado, pintura y barro. Con participación musical  Sakura, tema y variaciones, por Gustavo Botello Áviles.</t>
  </si>
  <si>
    <t>Pintura</t>
  </si>
  <si>
    <t>ACT-SCNO77641</t>
  </si>
  <si>
    <t>SC-260617-143908</t>
  </si>
  <si>
    <t>Recital de guitarra en el Día Mundial del arte</t>
  </si>
  <si>
    <t>Con participación musical Sakura, tema y variaciones, por Gustavo Botello Áviles.</t>
  </si>
  <si>
    <t>Música académica</t>
  </si>
  <si>
    <t>ACT-SCEB55079</t>
  </si>
  <si>
    <t>SC-260617-144916</t>
  </si>
  <si>
    <t>Recorrido guiado en Día Mundial del arte</t>
  </si>
  <si>
    <t>Formación comunitaria</t>
  </si>
  <si>
    <t>Visitas guiadas</t>
  </si>
  <si>
    <t>Visitas institucionales</t>
  </si>
  <si>
    <t>ACT-SCAN56678</t>
  </si>
  <si>
    <t>SC-260618-113309</t>
  </si>
  <si>
    <t>Me conozco y me quiero</t>
  </si>
  <si>
    <t>Taller que tiene como objetivo fomentar el autoconocimiento, el autoestima y el amor propio en la niñez a través de una actividad artística, en donde las niñas y niños realizarán un autorretrato con diversos materiales, reflexionarán sobre sus cualidades, su valor y la importancia de su autocuidado propio y personal.</t>
  </si>
  <si>
    <t>Dibujo</t>
  </si>
  <si>
    <t>ACT-SCFI49355</t>
  </si>
  <si>
    <t>SC-260618-115051</t>
  </si>
  <si>
    <t>La escuela al Museo</t>
  </si>
  <si>
    <t>Estudiantes de la Licenciatura en Artes Visuales de la Universidad de Guanajuato acudirán a las distintas sedes de los Museos de la Secretaría de Cultura a participar en talleres artísticos, con la finalidad de que conozcan las valiosas colecciones de los museos y un primer acercamiento a las técnicas con las que fueron elaboradas algunas las obras.</t>
  </si>
  <si>
    <t>Visitas escolares</t>
  </si>
  <si>
    <t>ACT-SCJD19095</t>
  </si>
  <si>
    <t>SC-260618-115556</t>
  </si>
  <si>
    <t>Cuentos al piano</t>
  </si>
  <si>
    <t>Concierto dirigido a niñas y niños a cargo de estudiantes de música de la Universidad</t>
  </si>
  <si>
    <t>Vinculacion</t>
  </si>
  <si>
    <t>ACT-SCZZ10210</t>
  </si>
  <si>
    <t>SC-260618-141113</t>
  </si>
  <si>
    <t>Circulo de lectura escritura para niños, niñas y adolescentes</t>
  </si>
  <si>
    <t>A partir de la lectura de Cuentos para niños que se atreven a ser diferentes y Cuentos de buenas noches para niñas rebeldes se busca fomentar el respeto y empatía entre niños y niñas con énfasis en la equidad e igualdad.</t>
  </si>
  <si>
    <t>ACT-SCGV04211</t>
  </si>
  <si>
    <t>SC-260618-143128</t>
  </si>
  <si>
    <t>Museos desde la primera infancia</t>
  </si>
  <si>
    <t>Taller de experiencias artísticas que estimulan la necesidad natural de exploración de las niñas y niños de seis meses a cinco años, los participantes de la mano de su mamá, papá o cuidador participarán activamente en el descubrimiento de materiales, olores, sonidos y otros elementos que estimulen su desarrollo.</t>
  </si>
  <si>
    <t>ACT-SCMY03003</t>
  </si>
  <si>
    <t>SC-260618-143808</t>
  </si>
  <si>
    <t>Inauguración de la exposición: Poética del paisaje</t>
  </si>
  <si>
    <t>Apelando al poema del maestro Carlos Pellicer Cámara, la exposición Poética del Paisaje, vuelve a reunir a los ciudadanos tabasqueños con el acervo que resguarda el Museo Nacional de Arte, perteneciente a la red de museos del Instituto Nacional de Bellas Artes y Literatura.</t>
  </si>
  <si>
    <t>Exposición</t>
  </si>
  <si>
    <t>ACT-SCKO16141</t>
  </si>
  <si>
    <t>SC-260618-145323</t>
  </si>
  <si>
    <t>Noche misteriosa en los museos.</t>
  </si>
  <si>
    <t>Las niñas y niños participantes podrán visitar el museo en un horario especial, en donde a través de juego, arte y diversión podrán recorrer los espacios y las obras que atesoran este espacio.</t>
  </si>
  <si>
    <t>ACT-SCJC28810</t>
  </si>
  <si>
    <t>SC-260618-151905</t>
  </si>
  <si>
    <t>ACT-SCWL91147</t>
  </si>
  <si>
    <t>SC-260618-153933</t>
  </si>
  <si>
    <t>Cine para niños y niñas</t>
  </si>
  <si>
    <t>Presentación de  cortometrajes en torno al Día del niño y la niña</t>
  </si>
  <si>
    <t>Cinematografía y medios audiovisuales</t>
  </si>
  <si>
    <t>Cine</t>
  </si>
  <si>
    <t>ACT-SCFA11501</t>
  </si>
  <si>
    <t>SC-260618-155005</t>
  </si>
  <si>
    <t>Recital infantil</t>
  </si>
  <si>
    <t>Concierto dirigido a niñas y niños a cargo de alumnos de la Sección infantil y Nivel medio básico del Departamento de Música de la Universidad de Guanajuato.</t>
  </si>
  <si>
    <t>ACT-SCSV85618</t>
  </si>
  <si>
    <t>SC-260618-161122</t>
  </si>
  <si>
    <t>Clap, clap, clap, al compás del Museo. Presentación de Danza</t>
  </si>
  <si>
    <t>Celebración del Día Internacional de la Danza  En colaboración con la Licenciatura en Artes Escénicas de la Universidad de Guanajuato se llevará a cabo un recorrido por los Museos de Guanajuato, con presentaciones de danza a cargo de las y los estudiantes, al finalizar se llevará a cabo una conferencia en torno a esta corriente artística.</t>
  </si>
  <si>
    <t>ACT-SCQV21814</t>
  </si>
  <si>
    <t>SC-260619-101209</t>
  </si>
  <si>
    <t>Celebración del Día Internacional de la Danza</t>
  </si>
  <si>
    <t>ACT-SCVO74171</t>
  </si>
  <si>
    <t>SC-260619-103127</t>
  </si>
  <si>
    <t>Clap, clap, clap, al compás del Museo. Conferencia</t>
  </si>
  <si>
    <t>ACT-SCUZ80082</t>
  </si>
  <si>
    <t>SC-260619-103736</t>
  </si>
  <si>
    <t>Inauguración de la exposición: Manuel Álvarez Bravo, los años decisivos</t>
  </si>
  <si>
    <t>Manuel Álvarez Bravo (CDMX, 1902-2002), uno de los fundadores de la fotografía moderna mundial, es considerado de los máximos representantes de la fotografía latinoamericana del siglo XX.</t>
  </si>
  <si>
    <t>Fotografía</t>
  </si>
  <si>
    <t>ACT-SCRE54917</t>
  </si>
  <si>
    <t>SC-260619-110512</t>
  </si>
  <si>
    <t>Visita guiada libre</t>
  </si>
  <si>
    <t>Recorrido guiado por el museo</t>
  </si>
  <si>
    <t>ACT-SCJS28324</t>
  </si>
  <si>
    <t>SC-260619-111135</t>
  </si>
  <si>
    <t>ACT-SCQW88822</t>
  </si>
  <si>
    <t>SC-260619-114120</t>
  </si>
  <si>
    <t>2.1 Protección de derechos humanos</t>
  </si>
  <si>
    <t>2.1.3 Inclusión de personas con discapacidad</t>
  </si>
  <si>
    <t>2.1.3.2 Coordinar la incorporación progresiva de la accesibilidad universal</t>
  </si>
  <si>
    <t>ACT-SCGF02574</t>
  </si>
  <si>
    <t>SC-260619-114648</t>
  </si>
  <si>
    <t>ACT-SCDO56831</t>
  </si>
  <si>
    <t>SC-260619-115047</t>
  </si>
  <si>
    <t>ACT-SCID52619</t>
  </si>
  <si>
    <t>SC-260619-115439</t>
  </si>
  <si>
    <t>ACT-SCFY90265</t>
  </si>
  <si>
    <t>SC-260619-115815</t>
  </si>
  <si>
    <t>ACT-SCRR27760</t>
  </si>
  <si>
    <t>SC-260619-120149</t>
  </si>
  <si>
    <t>ACT-SCAF80267</t>
  </si>
  <si>
    <t>SC-260619-120509</t>
  </si>
  <si>
    <t>Visita guiada UVEG Telebachillerato Comunitario León Ramillete</t>
  </si>
  <si>
    <t>ACT-SCCR74811</t>
  </si>
  <si>
    <t>SC-260619-122603</t>
  </si>
  <si>
    <t>Visita guiada  Instituto Tecnológico Superior de Irapuato</t>
  </si>
  <si>
    <t>ACT-SCFB28687</t>
  </si>
  <si>
    <t>SC-260619-124027</t>
  </si>
  <si>
    <t>Visita guiada Universidad de Guanajuato (Facultad de Arquitectura)</t>
  </si>
  <si>
    <t>ACT-SCEY53656</t>
  </si>
  <si>
    <t>SC-260619-124452</t>
  </si>
  <si>
    <t>ACT-SCLN82017</t>
  </si>
  <si>
    <t>SC-260619-125429</t>
  </si>
  <si>
    <t>Visita guiada Pedro Poveda Funddé</t>
  </si>
  <si>
    <t>ACT-SCOL36987</t>
  </si>
  <si>
    <t>SC-260619-125806</t>
  </si>
  <si>
    <t>Visita guiada INGENIERO Ponciano Aguilar</t>
  </si>
  <si>
    <t>ACT-SCPT13660</t>
  </si>
  <si>
    <t>SC-260619-131142</t>
  </si>
  <si>
    <t>Visita práctica escolar</t>
  </si>
  <si>
    <t>ACT-SCJK83217</t>
  </si>
  <si>
    <t>SC-260619-141825</t>
  </si>
  <si>
    <t>ACT-SCAP74839</t>
  </si>
  <si>
    <t>SC-260619-142402</t>
  </si>
  <si>
    <t>Joint, Museos+Fanzines</t>
  </si>
  <si>
    <t>Presentación Editorial de Fanzines y Publicaciones Independientes, resultado del trabajo creativo y técnico de los estudiantes de la Licenciatura en Artes Visuales UG.</t>
  </si>
  <si>
    <t>VINCULACIÓN</t>
  </si>
  <si>
    <t>ACT-SCZY13401</t>
  </si>
  <si>
    <t>SC-260619-145021</t>
  </si>
  <si>
    <t>Visita escolar Secundaria Benito Juárez</t>
  </si>
  <si>
    <t>ACT-SCSH02504</t>
  </si>
  <si>
    <t>SC-260619-150004</t>
  </si>
  <si>
    <t>Taller de lectoescritura: Cada cabeza es un mundo</t>
  </si>
  <si>
    <t>A partir de la lectura de Persépolis de Marjane Satrapo y Niño Terror: Cómics de miedo para niños punketos a través del cómic y la novela gráfica las y los participantes reconocerán y reflexionarán sobre culturas distintas a las suyas, personajes similares en edades pero con distintos contextos.</t>
  </si>
  <si>
    <t>ACT-SCZG64402</t>
  </si>
  <si>
    <t>SC-260619-154616</t>
  </si>
  <si>
    <t>Visita práctica escolar. Sesión de dibujo UG</t>
  </si>
  <si>
    <t>ACT-SCRW57264</t>
  </si>
  <si>
    <t>SC-260619-155001</t>
  </si>
  <si>
    <t>ACT-SCRO46689</t>
  </si>
  <si>
    <t>SC-260622-100056</t>
  </si>
  <si>
    <t>Florilegio de mayo, peregrinaciones a Nuestra Señora de Guanajuato</t>
  </si>
  <si>
    <t>Conferencia en torno a la tradición en la ciudad de Guanajuato</t>
  </si>
  <si>
    <t>Patrimonio cultural</t>
  </si>
  <si>
    <t>Memoria histórica</t>
  </si>
  <si>
    <t>ACT-SCWW16326</t>
  </si>
  <si>
    <t>SC-260622-101207</t>
  </si>
  <si>
    <t>Cuentacuento: La gran campana</t>
  </si>
  <si>
    <t>Perdido por la lejana y antigua china un chinito me encontró, quien entre risas y canciones un cuentito me contó; la historia de un emperador malicioso quien además de peligroso era muy caprichoso ¡Una gran campana quería! pero nadie se imaginaba lo que para crearla provocaría.</t>
  </si>
  <si>
    <t>ACT-SCSX44941</t>
  </si>
  <si>
    <t>SC-260622-101654</t>
  </si>
  <si>
    <t>Visita guiada Gerontológico Salamanca</t>
  </si>
  <si>
    <t>ACT-SCMS43271</t>
  </si>
  <si>
    <t>SC-260622-102102</t>
  </si>
  <si>
    <t>Rumbo al festival del piano</t>
  </si>
  <si>
    <t>Presentación musical a cargo de estudiantes de Música de la Universidad de Guanajuato.</t>
  </si>
  <si>
    <t>ACT-SCPY84321</t>
  </si>
  <si>
    <t>SC-260622-103219</t>
  </si>
  <si>
    <t>Transmisión Radio UG EL DADO</t>
  </si>
  <si>
    <t>Transmición de Radio Universidad de Guanajuato en el Museo</t>
  </si>
  <si>
    <t>Programación cultural en recinto</t>
  </si>
  <si>
    <t>ACT-SCCK59938</t>
  </si>
  <si>
    <t>SC-260622-110744</t>
  </si>
  <si>
    <t>Los de afuera, presentación musical - visual urbana</t>
  </si>
  <si>
    <t>Presentación tanto musical como visual de arte urbano en la cual se da introducción a un público no familiarizado con tales disciplinas mientras conocen brevemente las historias de los artistas urbanos invitados.</t>
  </si>
  <si>
    <t>ACT-SCHE27788</t>
  </si>
  <si>
    <t>SC-260622-111214</t>
  </si>
  <si>
    <t>Inauguración: ¡Moda hoy! Diseño de moda latinoamericanx y latinx</t>
  </si>
  <si>
    <t>¡Moda hoy! reúne el talento de diseñadorxs latinxs que han marcado a la industria global con propuestas audaces, identitarias y llenas de historia.</t>
  </si>
  <si>
    <t>Patrimonio material</t>
  </si>
  <si>
    <t>ACT-SCQN89526</t>
  </si>
  <si>
    <t>SC-260622-112027</t>
  </si>
  <si>
    <t>Ecos, Tolula, música y danza.</t>
  </si>
  <si>
    <t>Ecos Tolula Ensamble presenta una propuesta escénica que muestra el interés por fusionar y enriquecer el contexto armónico, rítmico, visual y de movimiento de estas dos artes.</t>
  </si>
  <si>
    <t>ACT-SCQZ87444</t>
  </si>
  <si>
    <t>SC-260622-112432</t>
  </si>
  <si>
    <t>Conferencia en torno a la exposición¡Moda hoy! Diseño de moda latinoamericanx y latinx A través de piezas emblemáticas y narrativas contemporáneas, descubrirás cómo la creatividad latinoamericana sigue expandiendo sus fronteras.</t>
  </si>
  <si>
    <t>Charla</t>
  </si>
  <si>
    <t>ACT-SCZI86402</t>
  </si>
  <si>
    <t>SC-260622-113022</t>
  </si>
  <si>
    <t>Obra en análisis: observando el poder en El fusilero Marino.</t>
  </si>
  <si>
    <t>Actividad de mediación artística, en donde a partir de la obra el Fusilero Marino de Diego Rivera realizaremos un análisis de la técnica, la historia, el contexto político y social de la pieza, así como la representación del poder en la misma. El desarrollo de la sesión se llevará a cabo de manera participativa y colectiva, a través del diálogo crítico entre los asistentes.</t>
  </si>
  <si>
    <t>ACT-SCHH09885</t>
  </si>
  <si>
    <t>SC-260622-113516</t>
  </si>
  <si>
    <t>Transmisión Radio UG</t>
  </si>
  <si>
    <t>Transmisión de Radio Universidad de Guanajuato en el Museo</t>
  </si>
  <si>
    <t>Activación comunitaria</t>
  </si>
  <si>
    <t>Difusión cultural</t>
  </si>
  <si>
    <t>VINCULACION</t>
  </si>
  <si>
    <t>ACT-SCAZ01656</t>
  </si>
  <si>
    <t>SC-260622-114448</t>
  </si>
  <si>
    <t>ACT-SCKW17009</t>
  </si>
  <si>
    <t>SC-260622-114909</t>
  </si>
  <si>
    <t>ACT-SCXT69671</t>
  </si>
  <si>
    <t>SC-260622-115232</t>
  </si>
  <si>
    <t>ACT-SCCB66394</t>
  </si>
  <si>
    <t>SC-260622-115601</t>
  </si>
  <si>
    <t>ACT-SCVT09644</t>
  </si>
  <si>
    <t>SC-260622-115921</t>
  </si>
  <si>
    <t>ACT-SCRN21273</t>
  </si>
  <si>
    <t>SC-260622-120305</t>
  </si>
  <si>
    <t>ACT-SCQL83167</t>
  </si>
  <si>
    <t>SC-260622-120810</t>
  </si>
  <si>
    <t>ACT-SCMZ54375</t>
  </si>
  <si>
    <t>SC-260622-121605</t>
  </si>
  <si>
    <t>ACT-SCVP20410</t>
  </si>
  <si>
    <t>SC-260622-121932</t>
  </si>
  <si>
    <t>Visita guiada Esc. TVC Bachillerato Loma de Yerbabuena</t>
  </si>
  <si>
    <t>ACT-SCWC72951</t>
  </si>
  <si>
    <t>SC-260622-122514</t>
  </si>
  <si>
    <t>Visita guiada Esc. Pri. Aquiles Serdán</t>
  </si>
  <si>
    <t>ACT-SCOJ61319</t>
  </si>
  <si>
    <t>SC-260622-122905</t>
  </si>
  <si>
    <t>ACT-SCQS70160</t>
  </si>
  <si>
    <t>SC-260622-123746</t>
  </si>
  <si>
    <t>Concierto de la Orquesta Sinfónica Infantil del Departamento de Música y Artes Escénicas</t>
  </si>
  <si>
    <t>Espacios incidentales: Concierto de la Orquesta Sinfónica Infantil del Departamento de Música y Artes Escénicas</t>
  </si>
  <si>
    <t>ACT-SCQP56334</t>
  </si>
  <si>
    <t>SC-260622-125313</t>
  </si>
  <si>
    <t>Jornada: Miguel Cabrera</t>
  </si>
  <si>
    <t>Jornada de conferencias en torno al cierre de la exposición: Miguel Cabrera, Pintor de la Virgen María</t>
  </si>
  <si>
    <t>ACT-SCWW65984</t>
  </si>
  <si>
    <t>SC-260622-162308</t>
  </si>
  <si>
    <t>Palabrasumbral, palabrasfilo. Lectura de poesía.</t>
  </si>
  <si>
    <t>Lectura de poesía. Un tejido verbal hecho con fibras extraídas de 13 poetas latinoamericanos del siglo XX. En torno a la exposición Bajo el signo de saturno  del Museo de Arte Historia de Guanajuato.</t>
  </si>
  <si>
    <t>ACT-SCKC43099</t>
  </si>
  <si>
    <t>SC-260623-095522</t>
  </si>
  <si>
    <t>Reescribir el paisaje. Taller de lectoescritura a partir de la exposición Poética del Paisaje</t>
  </si>
  <si>
    <t>Taller que promueve el pensamiento y la escritura a partir de la obra de Carlos Pellicer y la aproximación de las obras de la exposición que se fundó a partir del paisaje como un elemento clave en la escritura del autor.</t>
  </si>
  <si>
    <t>ACT-SCJK78780</t>
  </si>
  <si>
    <t>SC-260623-100012</t>
  </si>
  <si>
    <t>Museum week: Sembrar la paz: taller de creación colectiva a partir de “Sembrador de pájaros"</t>
  </si>
  <si>
    <t>Actividad dirigida a niñas y niños Posteriormente, los participantes elaborarán pájaros de papel (origami) como símbolo de esperanza, comunidad y construcción colectiva.</t>
  </si>
  <si>
    <t>ACT-SCTN33043</t>
  </si>
  <si>
    <t>SC-260623-100427</t>
  </si>
  <si>
    <t>Danzón, patrimonio vivo, clases de baile.</t>
  </si>
  <si>
    <t>Sesiones guiadas de introducción al Danzón dentro del museo a cargo del Mtro. Juan Robles, director de Romance Danzonero.</t>
  </si>
  <si>
    <t>ACT-SCFT66371</t>
  </si>
  <si>
    <t>SC-260623-100758</t>
  </si>
  <si>
    <t>Diversión en los museos: Concierto Postransducción</t>
  </si>
  <si>
    <t>Concierto de música electroacústica y arte sonoro que concibe el sonido como materia plástica y maleable, esculpida en tiempo real a través del gesto y la tecnología. A partir de texturas densas, capas sostenidas y sonoridades ambientales, la obra constituye un universo acústico inmersivo que envuelve al espectador desde múltiples direcciones, alejándose de toda narrativa lineal o figurativa.</t>
  </si>
  <si>
    <t>Composición musical</t>
  </si>
  <si>
    <t>Profesionalización</t>
  </si>
  <si>
    <t>ACT-SCDW48745</t>
  </si>
  <si>
    <t>SC-260623-101343</t>
  </si>
  <si>
    <t>Taller de Flauta nativa</t>
  </si>
  <si>
    <t>Taller de artesanía en donde las y los participantes aprenderán los aspectos básicos para realizar una flauta nativa de América del norte, así como sus aspectos musicales.</t>
  </si>
  <si>
    <t>ACT-SCXA58208</t>
  </si>
  <si>
    <t>SC-260623-101758</t>
  </si>
  <si>
    <t>Puesta en escena</t>
  </si>
  <si>
    <t>Solicitud Préstamo de espacio, presentación de Artes escénicas</t>
  </si>
  <si>
    <t>ACT-SCGA50478</t>
  </si>
  <si>
    <t>SC-260623-103829</t>
  </si>
  <si>
    <t>Exposiciones permanentes y la producción de exposiciones temporales de los museos adscritos a la Secretaria de Cultura de Guanajuato</t>
  </si>
  <si>
    <t>Número de Exposiciones inauguradas</t>
  </si>
  <si>
    <t>Inauguración exposición Eterno Femenino</t>
  </si>
  <si>
    <t>La presente exposición creada por el Archivo General del Estado de Guanajuato, aborda el perfil ideal que se esperaba de las mujeres en el mundo occidental durante la llamada Bella Época</t>
  </si>
  <si>
    <t>ACT-SCTP89307</t>
  </si>
  <si>
    <t>SC-260624-125759</t>
  </si>
  <si>
    <t>Conversemos sobre arte</t>
  </si>
  <si>
    <t>Participa con tu escuela en recorridos mediados a través de las exposiciones permanentes y temporales del Museo Hermenegildo Bustos; posteriormente y con la ayuda del equipo de mediación  lleva a cabo un taller con diferentes técnicas artísticas y  refuerza tu aprendizaje.</t>
  </si>
  <si>
    <t>Semanal</t>
  </si>
  <si>
    <t>Fortalecimiento de las alianzas entre el sector cultural, educativo y productivo</t>
  </si>
  <si>
    <t>Establecer convenios con la Secretaría de Educación, universidades y el sector privado para ampliar la oferta de formación en modalidad presencial y virtual.</t>
  </si>
  <si>
    <t>Lograr un incremento del 30% de participación en agentes culturales en procesos de formación y profesionalización.</t>
  </si>
  <si>
    <t>ACT-SCGW11311</t>
  </si>
  <si>
    <t>SC-260624-130237</t>
  </si>
  <si>
    <t>Noche misteriosa. Historias tenebrosas</t>
  </si>
  <si>
    <t>Celebra el día del niño en el Museo Hermenegildo Bustos, recorre sus pasillos y salas a través de diferentes actividades. Haremos un círculo de relatos verdaderos o ficticios que conozcas acerca del Museo y de la ciudad de Purísima del Rincón, al mismo tiempo que conocerás sus salas de pintura de retratos.</t>
  </si>
  <si>
    <t>2.2.1 Participación social comunitaria</t>
  </si>
  <si>
    <t>Fortalecimiento de los procesos de identificación, conservación, investigación, divulgación y promoción del patrimonio cultural material e inmaterial.</t>
  </si>
  <si>
    <t>Realizar procesos de memoria colaborativa con comunidades para reconocer su legado cultural en el patrimonio estatal.</t>
  </si>
  <si>
    <t>Lograr un incremento anual del 10% de población que participa en actividades comunitarias para el aprovechamiento de los espacios culturales y zonas patrimoniales.</t>
  </si>
  <si>
    <t>ACT-SCZD01303</t>
  </si>
  <si>
    <t>SC-260624-141223</t>
  </si>
  <si>
    <t>Participación de artistas en las actividades extramuros en municipios del Estado de Guanajuato</t>
  </si>
  <si>
    <t>Alma en movimiento, Muestra de danza</t>
  </si>
  <si>
    <t>Muestra de danza en el patio central del Museo Hermenegildo Bustos, en conmemoración del Día internacional de la danza que se celebra cada 29 de abril. I.Motion Dance Studio</t>
  </si>
  <si>
    <t>Producción artística</t>
  </si>
  <si>
    <t>Apoyos para artistas populares.</t>
  </si>
  <si>
    <t>ACT-SCNQ95807</t>
  </si>
  <si>
    <t>SC-260624-142000</t>
  </si>
  <si>
    <t>ACT-SCAL57574</t>
  </si>
  <si>
    <t>SC-260624-142805</t>
  </si>
  <si>
    <t>ACT-SCCA19851</t>
  </si>
  <si>
    <t>SC-260624-144609</t>
  </si>
  <si>
    <t>Visita especial Universidad de León, facultad de arquitectura</t>
  </si>
  <si>
    <t>Visita de la UDL para compartir y adquirir conocimientos arquitectonicos acerca del edificio del museo Hermenegildo Bustos y aprender de la colección de arte que este alberga.</t>
  </si>
  <si>
    <t>ACT-SCWV81142</t>
  </si>
  <si>
    <t>SC-260624-145125</t>
  </si>
  <si>
    <t>Visita especial Club de Leones Convención</t>
  </si>
  <si>
    <t>Visita de miembros del Club de Leones de diferentes municipios para conocer acerca de la obra de Hermenegildo Bustos y la historia de Purísima del Rincón.</t>
  </si>
  <si>
    <t>ACT-SCOL78465</t>
  </si>
  <si>
    <t>SC-260624-151619</t>
  </si>
  <si>
    <t>ACT-SCBL86377</t>
  </si>
  <si>
    <t>SC-260624-161802</t>
  </si>
  <si>
    <t>Viernes libre de clases</t>
  </si>
  <si>
    <t>Taller orientado a niños de educación primaria cuyo viernes de consejo no tienen clases, este es impartido por personal de mediación utilizando diversos materiales artísticos para expandir el conocimiento y amor por el arte.</t>
  </si>
  <si>
    <t>Adaptación de la oferta cultural a los territorios.</t>
  </si>
  <si>
    <t>Crear un sistema de inteligencia cultural.</t>
  </si>
  <si>
    <t>Incrementar un 25% la participación de grupos prioritarios en prácticas culturales al 2030.</t>
  </si>
  <si>
    <t>ACT-SCKA45847</t>
  </si>
  <si>
    <t>SC-260624-162335</t>
  </si>
  <si>
    <t>Conferencia retratos de lo efímero. La muerte en la infancia en el arte.</t>
  </si>
  <si>
    <t>Fortalecer la oferta cultura en espacios independientes</t>
  </si>
  <si>
    <t>ACT-SCFB65135</t>
  </si>
  <si>
    <t>SC-260624-163225</t>
  </si>
  <si>
    <t>ACT-SCMK74426</t>
  </si>
  <si>
    <t>SC-260624-163633</t>
  </si>
  <si>
    <t>ACT-SCTH69990</t>
  </si>
  <si>
    <t>SC-260624-164350</t>
  </si>
  <si>
    <t>ACT-SCSH86841</t>
  </si>
  <si>
    <t>SC-260624-164829</t>
  </si>
  <si>
    <t>ACT-SCJJ15015</t>
  </si>
  <si>
    <t>SC-260624-165517</t>
  </si>
  <si>
    <t>ACT-SCAE27878</t>
  </si>
  <si>
    <t>SC-260624-170228</t>
  </si>
  <si>
    <t>ACT-SCGU37117</t>
  </si>
  <si>
    <t>SC-260625-093337</t>
  </si>
  <si>
    <t>ACT-SCNM90733</t>
  </si>
  <si>
    <t>SC-260625-093809</t>
  </si>
  <si>
    <t>ACT-SCEK01502</t>
  </si>
  <si>
    <t>SC-260625-094331</t>
  </si>
  <si>
    <t>ACT-SCAQ65320</t>
  </si>
  <si>
    <t>SC-260625-101239</t>
  </si>
  <si>
    <t>ACT-SCUZ08441</t>
  </si>
  <si>
    <t>SC-260625-103725</t>
  </si>
  <si>
    <t>Espacios incidentales: Escenas al vuelo. Nxuni el bailar del mio Cid</t>
  </si>
  <si>
    <t>Monólogo de la compañía Escenas al vuelo. Obra que sigue los pasos de Tino, un jóven arriero que emprende un viaje místico por la geografía, la música y la nostalgia de México para encontrar el camino de su propio espíritu.</t>
  </si>
  <si>
    <t>Fortalecer la vinculación y el trabajo con casas de cultura y centros culturales municipales.</t>
  </si>
  <si>
    <t>Vinculación interinstitucional para incorporar elementos culturales en el desarrollo de productos turísticos identitarios en los destinos, así como en la promoción y difusión de la actividad turística.</t>
  </si>
  <si>
    <t>ACT-SCLW02149</t>
  </si>
  <si>
    <t>SC-260625-105648</t>
  </si>
  <si>
    <t>Inauguración de exposición: Angelitos.</t>
  </si>
  <si>
    <t>Inauguración de exposición: Angelitos, la vida y muerte niña en México.</t>
  </si>
  <si>
    <t>ACT-SCOX41959</t>
  </si>
  <si>
    <t>SC-260625-123657</t>
  </si>
  <si>
    <t>ACT-SCSI98628</t>
  </si>
  <si>
    <t>SC-260625-143346</t>
  </si>
  <si>
    <t>Exposicion "Fragmentos y complicidades"</t>
  </si>
  <si>
    <t>Exposicion en el municipio de Tierra Blanca Gto, como parte del programa Arte en tu Plaza.</t>
  </si>
  <si>
    <t>Otras</t>
  </si>
  <si>
    <t>Arte urbano</t>
  </si>
  <si>
    <t>Plaza Pública Tierra Blanca Gto.</t>
  </si>
  <si>
    <t>Programa “Arte en tu plaza”: A. Apreciación del arte y la cultura en plazas públicas (canto, baile, poesía, oratoria, pintura, etc.). B. Exhibición de artesanos y artistas locales en escuelas, plazas cívicas y centros comerciales.</t>
  </si>
  <si>
    <t>Impulsar los proyectos culturales itinerantes.</t>
  </si>
  <si>
    <t>ACT-SCRP99464</t>
  </si>
  <si>
    <t>SC-260625-152824</t>
  </si>
  <si>
    <t>Exposicion "Homo videns"</t>
  </si>
  <si>
    <t>Exposición en el municipio de San Luis de la Paz, como parte del programa Arte en tu Plaza</t>
  </si>
  <si>
    <t>Plaza pública de San Luis de la Paz</t>
  </si>
  <si>
    <t>ACT-SCBT53042</t>
  </si>
  <si>
    <t>SC-260629-130952</t>
  </si>
  <si>
    <t>Noche de Museos</t>
  </si>
  <si>
    <t>Participa en el recorrido que se realiza al caer la tarde en el Museo Hermenegildo Bustos conociendo las diversas exposiciones que se encuentran en el recinto.</t>
  </si>
  <si>
    <t>ACT-SCLF06356</t>
  </si>
  <si>
    <t>SC-260629-131753</t>
  </si>
  <si>
    <t>Conferencia: Metamorfosis del alma.</t>
  </si>
  <si>
    <t>Conferencia con proyección de cortometraje con referencia a la población LGBTQ+</t>
  </si>
  <si>
    <t>Comunidad LGBTIQ+</t>
  </si>
  <si>
    <t>ACT-SCOF92079</t>
  </si>
  <si>
    <t>SC-260629-134521</t>
  </si>
  <si>
    <t>ACT-SCNO25177</t>
  </si>
  <si>
    <t>SC-260630-135620</t>
  </si>
  <si>
    <t>Inauguracion de la Exposición:  Mujeres en el territorio: encuentros situados</t>
  </si>
  <si>
    <t>Esta exposición parte del territorio como una construcción viva donde se cruzan cuerpo, espacio y memoria. El territorio no es neutro: se habita, se disputa y se resignifica. La mujer aparece aquí como sujeto activo que genera encuentro, produce contexto y transforma el espacio; desde esta premisa, la muestra propone un punto de encuentro: un espacio donde las experiencias de las mujeres dialogan entre sí. El territorio se entiende como una construcción múltiple que incluye el cuerpo, el espacio doméstico, la ciudad y la tierra; lugares donde se inscriben relaciones de poder, memoria y resistencia. La muestra propone un recorrido crítico que visibiliza cómo las mujeres configuran y reconfiguran el territorio desde lo íntimo hasta lo colectivo.</t>
  </si>
  <si>
    <t>ACT-SCGN01852</t>
  </si>
  <si>
    <t>SC-260630-140936</t>
  </si>
  <si>
    <t>Inauguracion Exposición: Altar de Dolores 2026</t>
  </si>
  <si>
    <t>El viernes previo a la Semana Santa se dedican altares a la Virgen de los Dolores, tradición que llegó a la Nueva España en el siglo XVI y que pervive hasta la actualidad. Los altares tienen una carga simbólica, como punto central se coloca una imagen de la Dolorosa</t>
  </si>
  <si>
    <t>Patrimonio inmaterial</t>
  </si>
  <si>
    <t>Ninguno</t>
  </si>
  <si>
    <t>ACT-SCFU00828</t>
  </si>
  <si>
    <t>SC-260630-143348</t>
  </si>
  <si>
    <t>El viernes previo a la Semana Santa se dedican altares a la Virgen de los Dolores, tradición que llegó a la Nueva España en el siglo XVI y que pervive hasta la actualidad. Los altares tienen una carga simbólica, como punto central se coloca una imagen de la Dolorosa. Además, le acompañan; flores, que representan vida y belleza; velas; esferas de vidrio, en alusión las lágrimas de María, a semejanza de las aguas frescas; naranjas, que refieren al amargo dolor de la Virgen, a estos frutos se les clavan banderas en correspondencia con el triunfo de Jesús y su resurrección; semillas y germinados, como pan de vida en que se convirtió el cuerpo de Cristo; trigo, como símbolo de la hostia; monograma de María; corazón atravesado por siete espadas, en relación a los siete dolores de la Virgen y los elementos asociados con la pasión de Cristo: clavos, escalera, corona de espinas, entre otros.</t>
  </si>
  <si>
    <t>ACT-SCMA89737</t>
  </si>
  <si>
    <t>SC-260630-144916</t>
  </si>
  <si>
    <t>Inauguracion Exposición:  Mujeres en el territorio: encuentros situados</t>
  </si>
  <si>
    <t>Mujeres en situación de vulnerabilidad</t>
  </si>
  <si>
    <t>ACT-SCGD31598</t>
  </si>
  <si>
    <t>SC-260630-145538</t>
  </si>
  <si>
    <t>Exposición:  La Sangre de Ella. Altar de Dolores por Ana Karen Gómez</t>
  </si>
  <si>
    <t>El viernes de Dolores es un día dedicado a venerar a la Virgen de los Dolores en recuerdo de los sufrimientos que padeció la madre de Cristo. En Guanajuato, el culto a la imagen de María en su advocación de esta Virgen se lleva a cabo desde épocas coloniales. Como parte de la tradición celebrada en este día en la Ciudad de Guanajuato se presenta este altar como instalación de la artista guanajuatense Ana Karen Gómez, a quien le interesa revisar la tradición haciendo uso de los distintos objetos que son utilizados para rendir culto.</t>
  </si>
  <si>
    <t>Instalación</t>
  </si>
  <si>
    <t>ACT-SCCM74525</t>
  </si>
  <si>
    <t>SC-260630-151657</t>
  </si>
  <si>
    <t>El viernes previo a la Semana Santa se dedican altares a la Virgen de los Dolores, tradición que llegó a la Nueva España en el siglo XVI y que pervive hasta la actualidad. Los altares tienen una carga simbólica, como punto central se coloca una imagen de la Dolorosa.</t>
  </si>
  <si>
    <t>ACT-SCQU60313</t>
  </si>
  <si>
    <t>SC-260630-153603</t>
  </si>
  <si>
    <t>ACT-SCEV02279</t>
  </si>
  <si>
    <t>SC-260630-154328</t>
  </si>
  <si>
    <t>Inauguracion de la Exposición:  Poética del paisaje</t>
  </si>
  <si>
    <t>Colaboración con el Museo Nacional de Arte</t>
  </si>
  <si>
    <t>ACT-SCVU78547</t>
  </si>
  <si>
    <t>SC-260630-155410</t>
  </si>
  <si>
    <t>Inauguracion de la Exposición: Manuel Álvarez Bravo, los años decisivos</t>
  </si>
  <si>
    <t>Manuel Álvarez Bravo (CDMX, 1902-2002), uno de los fundadores de la fotografía moderna mundial, es considerado de los máximos representantes de la fotografía latinoamericana del siglo XX. Su obra se extiende de finales de la década de 1920 a la de los noventas. Álvarez Bravo es una figura emblemática del periodo posterior a la Revolución Mexicana conocido como Renacimiento Mexicano. Fue aquel un periodo cuya riqueza se debe a la feliz, aunque no siempre serena, coexistencia de un afán de modernización y de la búsqueda de una identidad con raíces propias en que la arqueología, la historia y la etnología desempeñaron un papel relevante, de modo paralelo a las artes. Álvarez Bravo encarna ambas tendencias en el terreno de las artes plásticas.</t>
  </si>
  <si>
    <t>Patrimonio documental</t>
  </si>
  <si>
    <t>Colaboración con el Archivo Manuel Álvarez Bravo</t>
  </si>
  <si>
    <t>ACT-SCIE43011</t>
  </si>
  <si>
    <t>SC-260630-161617</t>
  </si>
  <si>
    <t>Inauguracion de la Exposición: ¡Moda hoy! Diseño latinoamericanx y latinx contemporáneo</t>
  </si>
  <si>
    <t>¡Moda hoy! Diseño Latinoamericanx y latinx contemporáneo, es una exposición que reúne el talento de diseñadorxs latinxs que han marcado a la industria global con propuestas audaces, identitarias y llenas de historia. Creada por el Fashion Institute of Technology (FIT) y en colaboración con el Museo Franz Mayer y la Secretaría de Cultura del Estado de Guanajuato, esta muestra explora la moda como herramienta de expresión, resistencia y afirmación cultural. Conformada por piezas emblemáticas y narrativas contemporáneas, como ejemplo de la creatividad latinoamericana que sigue expandiendo sus fronteras.</t>
  </si>
  <si>
    <t>Economía creativa</t>
  </si>
  <si>
    <t>Moda</t>
  </si>
  <si>
    <t>Museo del Instituto Tecnológico de la Moda de Nueva York, Museo Franz Mayer</t>
  </si>
  <si>
    <t>ACT-SCSC42201</t>
  </si>
  <si>
    <t>SC-260630-165433</t>
  </si>
  <si>
    <t>Inauguracion de la Exposición: Eterno femenino. El ser mujer en la Bella Época</t>
  </si>
  <si>
    <t>La presente exposición creada por el Archivo General del Estado de Guanajuato, aborda el perfil ideal que se esperaba de las mujeres en el mundo occidental durante la llamada Bella Época, que abarca un período que va de 1870 a 1914 aproximadamente y fue construida a partir de tomar diversas imágenes y textos de artículos de prensa que fueron publicados en dos revistas, que aunque eran de origen español, fueron leídas y tuvieron gran influencia en el público lector mexicano, sobre todo el femenino, perteneciente en su mayoría a las clases media y alta de la sociedad de ese tiempo y que fueron “La Ilustración Ibérica” y “La Ilustración Artística”, los grabados y sus artículos, junto con algunos objetos de época que les dan contexto, nos permitirán con esta muestra saber un poco más acerca de quiénes eran las mujeres de ese entonces y descubrir que parte de la esencia de su ser pervive en cada uno de nosotros hoy en día.</t>
  </si>
  <si>
    <t>Colaboración con el Archivo General del Estado de Guanajuato</t>
  </si>
  <si>
    <t>ACT-SCZJ59182</t>
  </si>
  <si>
    <t>SC-260701-150517</t>
  </si>
  <si>
    <t>Capacitación de guías turísticos</t>
  </si>
  <si>
    <t>Capacitación de la dependencia de turismo municipal enfocado en la preparación de guías turísticos para el desarrollo del ofrecimiento cultural y turístico del municipio de Purísima del Rincón</t>
  </si>
  <si>
    <t>Curso</t>
  </si>
  <si>
    <t>ACT-SCIN28718</t>
  </si>
  <si>
    <t>SC-260701-151531</t>
  </si>
  <si>
    <t>Inauguracion de la Exposición: De Japón a Antequera. Gráfica de Maestros Japoneses en Oaxaca</t>
  </si>
  <si>
    <t>Esta exposición presenta cincuenta piezas realizadas por distintos artistas japoneses en torno al trabajo y legado del gran maestro Shinzaburo Takeda. En tres núcleos temáticos: Evocaciones istmeñas, Animales mágicos y fantásticos, y Rostros, los públicos encontrarán un recorrido visual desde la gráfica japonesa sobre las tradiciones, usos y costumbres oaxaqueños.</t>
  </si>
  <si>
    <t>Grabado</t>
  </si>
  <si>
    <t>Fundación Shinzaburo Takeda</t>
  </si>
  <si>
    <t>ACT-SCSM43229</t>
  </si>
  <si>
    <t>SC-260702-120744</t>
  </si>
  <si>
    <t>Mago Melchor: Arte, magia, esoterismo y disidencia sexual.</t>
  </si>
  <si>
    <t>Conoce esta investigación sobre Mago Melchor, modelo retratado por José Raúl Pérez en su serie "Tarot Chilango" como el personaje de “Arcano XIII o la Muerte”, pieza que podemos conocer en la exposición temporal Bajo el Signo de Saturno. Adivinación en el Arte. Imparte: Lechedevirgen</t>
  </si>
  <si>
    <t>ACT-SCBC60407</t>
  </si>
  <si>
    <t>SC-260702-121620</t>
  </si>
  <si>
    <t>Gestión de la Cultura y poblaciones LGBTI+</t>
  </si>
  <si>
    <t>Esta ponencia propone que la gestión cultural puede funcionar como herramienta de mediación sociocultural para poblaciones LGBTI+. En este sentido, las disidencias sexo-genéricas se presentan como actores sociales con capacidad de intervenir activamente en el entorno cultural, mediante prácticas artísticas, comunitarias y afectivas que articulan identidad, territorio y memoria colectiva. Imparte: Uri artista mexicanx.</t>
  </si>
  <si>
    <t>Emprendimiento cultural</t>
  </si>
  <si>
    <t>ACT-SCOE58638</t>
  </si>
  <si>
    <t>SC-260702-122627</t>
  </si>
  <si>
    <t>Sitios arqueológicos de Léon. Nuevas Investigaciones</t>
  </si>
  <si>
    <t>Conoce los avances que se han logrado en materia de registros arqueológicos en el estado de Guanajuato, en especial con los de la ciudad de León a través de mapas, materiales fotográficos de los sitios y cerámicas encontradas además de lagunas publicaciones bibliográficas.  Impartido por: Arqlgo. Luis Humberto Carlín Vargas</t>
  </si>
  <si>
    <t>Mayor inversión en conservación del patrimonio artístico y cultural.</t>
  </si>
  <si>
    <t>Impulso al reconocimiento laboral para agentes culturales y creativos en las regiones del estado.</t>
  </si>
  <si>
    <t>Impulsar campañas de sensibilización sobre el valor económico y social del trabajo.</t>
  </si>
  <si>
    <t>Lograr un incremento anual del 15% de agentes culturales y creativos con contratos de servicios profesionales.</t>
  </si>
  <si>
    <t>ACT-SCQQ30458</t>
  </si>
  <si>
    <t>SC-260702-123851</t>
  </si>
  <si>
    <t>Presentación editorial del proyecto Sueños ARV</t>
  </si>
  <si>
    <t>Realizado por Hause Infonavit y beneficiado por el Patronato de Arte Contemporáneo (PAC) 2025. Durante la sesión se compartirán los resultados del proceso artístico-investigativo desarrollado por el colectivo, enfocado en la construcción de otras miradas y narrativas en torno al VIH desde la memoria colectiva, la experiencia situada y la producción colaborativa.</t>
  </si>
  <si>
    <t>ACT-SCGL39605</t>
  </si>
  <si>
    <t>SC-260702-124836</t>
  </si>
  <si>
    <t>Concierto para papá</t>
  </si>
  <si>
    <t>Recordemos las mejores canciones y cantemos juntos a papá en la voz y arreglos musicales de Daniel Escalera.</t>
  </si>
  <si>
    <t>Coro</t>
  </si>
  <si>
    <t>ACT-SCWD48387</t>
  </si>
  <si>
    <t>SC-260702-142006</t>
  </si>
  <si>
    <t>Taller mini encuadernación de libros</t>
  </si>
  <si>
    <t>Los Libros de Saku te ayudará a crear un hermoso regalo a papá: una genial libreta que le servirá para sus apuntes o para escribir sus recuerdos en familia.</t>
  </si>
  <si>
    <t>Literatura infantil y juvenil</t>
  </si>
  <si>
    <t>ACT-SCWJ67413</t>
  </si>
  <si>
    <t>SC-260702-152147</t>
  </si>
  <si>
    <t>Espacio Incidental: Activación Sonora</t>
  </si>
  <si>
    <t>Activación sonora con Miguel Mesa, en el marco de la exposición temporal Habitar ese Bosque.</t>
  </si>
  <si>
    <t>Laboratorio creativo</t>
  </si>
  <si>
    <t>Producción</t>
  </si>
  <si>
    <t>ACT-SCIE30645</t>
  </si>
  <si>
    <t>SC-260702-152833</t>
  </si>
  <si>
    <t>Grandiosa</t>
  </si>
  <si>
    <t>Una colaboración imperdible de danza y performance entre México y Chile 🇲🇽🇨🇱 a cargo de Manuel Alejandro Chávez Flores y Marco Ignacio Orellana. En el marco del mes del orgullo</t>
  </si>
  <si>
    <t>Campaña de difusión cultural</t>
  </si>
  <si>
    <t>ACT-SCUF74629</t>
  </si>
  <si>
    <t>SC-260702-154031</t>
  </si>
  <si>
    <t>Taller de Cartoneria Identiarte</t>
  </si>
  <si>
    <t>ACT-SCQD94004</t>
  </si>
  <si>
    <t>SC-260702-163559</t>
  </si>
  <si>
    <t>Taller de Fanzinarte</t>
  </si>
  <si>
    <t>ACT-SCWK91279</t>
  </si>
  <si>
    <t>SC-260702-164234</t>
  </si>
  <si>
    <t>Taller derechos niñas y niños</t>
  </si>
  <si>
    <t>Esc Prim Vesp Francisco Javier Mina</t>
  </si>
  <si>
    <t>ACT-SCGZ69056</t>
  </si>
  <si>
    <t>SC-260702-164751</t>
  </si>
  <si>
    <t>Esc Prim J Natividad Macias</t>
  </si>
  <si>
    <t>ACT-SCIZ23576</t>
  </si>
  <si>
    <t>SC-260702-165140</t>
  </si>
  <si>
    <t>Taller, mi espacio feliz</t>
  </si>
  <si>
    <t>ACT-SCXV96959</t>
  </si>
  <si>
    <t>SC-260702-165542</t>
  </si>
  <si>
    <t>ACT-SCKC53281</t>
  </si>
  <si>
    <t>SC-260702-165853</t>
  </si>
  <si>
    <t>Conferencia: Las poquianchis, una perspectiva filosofica</t>
  </si>
  <si>
    <t>Se contacto a la conferencista</t>
  </si>
  <si>
    <t>ACT-SCDN33785</t>
  </si>
  <si>
    <t>SC-260703-093957</t>
  </si>
  <si>
    <t>Conferencia: “Museos: Agentes Culturales de cambio”</t>
  </si>
  <si>
    <t>ACT-SCCA07519</t>
  </si>
  <si>
    <t>SC-260703-100930</t>
  </si>
  <si>
    <t>Crearte Taller de acuarela</t>
  </si>
  <si>
    <t>Taller de acuarela</t>
  </si>
  <si>
    <t>ACT-SCSJ46627</t>
  </si>
  <si>
    <t>SC-260703-103322</t>
  </si>
  <si>
    <t>Fanzinarte: Taller de Comic</t>
  </si>
  <si>
    <t>Taller de dibujo de comic</t>
  </si>
  <si>
    <t>ACT-SCMV29363</t>
  </si>
  <si>
    <t>SC-260703-104107</t>
  </si>
  <si>
    <t>Identiarte: Taller de cartoneria</t>
  </si>
  <si>
    <t>Taller de cartonería</t>
  </si>
  <si>
    <t>ACT-SCIP85126</t>
  </si>
  <si>
    <t>SC-260703-112158</t>
  </si>
  <si>
    <t>Visita escolar</t>
  </si>
  <si>
    <t>Jóvenes en riesgo</t>
  </si>
  <si>
    <t>ACT-SCBC19659</t>
  </si>
  <si>
    <t>SC-260703-113518</t>
  </si>
  <si>
    <t>ACT-SCBT73191</t>
  </si>
  <si>
    <t>SC-260703-113916</t>
  </si>
  <si>
    <t>ACT-SCDB68442</t>
  </si>
  <si>
    <t>SC-260703-114233</t>
  </si>
  <si>
    <t>ACT-SCFF91218</t>
  </si>
  <si>
    <t>SC-260703-123906</t>
  </si>
  <si>
    <t>Circulo de lectura</t>
  </si>
  <si>
    <t>Proceso de memoria comunitaria</t>
  </si>
  <si>
    <t>ACT-SCSR73635</t>
  </si>
  <si>
    <t>SC-260703-124719</t>
  </si>
  <si>
    <t>Creando brechas para hacer puentes: activismo social en el Cerro del Cubilete</t>
  </si>
  <si>
    <t>Conferencia "Creando brechas para hacer puentes: activismo social en el Cerro del Cubilete".</t>
  </si>
  <si>
    <t>Impulsar programas de mediación con líneas de trabajo enfocadas a la participación y acceso de grupos prioritarios y población de zonas prioritarias</t>
  </si>
  <si>
    <t>ACT-SCZR48473</t>
  </si>
  <si>
    <t>SC-260703-141631</t>
  </si>
  <si>
    <t>Cartonería, la tradición en nuestras manos.</t>
  </si>
  <si>
    <t>Conferencia sobre Cartonería, la tradición en nuestras manos.</t>
  </si>
  <si>
    <t>ACT-SCMR72135</t>
  </si>
  <si>
    <t>SC-260703-142531</t>
  </si>
  <si>
    <t>Taller-conversatorio: “Efraín Huerta: el cronista del Alba”</t>
  </si>
  <si>
    <t>ACT-SCWY89313</t>
  </si>
  <si>
    <t>SC-260703-143548</t>
  </si>
  <si>
    <t>Crearte "Taller de acuarela"</t>
  </si>
  <si>
    <t>ACT-SCYM74376</t>
  </si>
  <si>
    <t>SC-260703-144750</t>
  </si>
  <si>
    <t>ACT-SCUW89025</t>
  </si>
  <si>
    <t>SC-260703-150205</t>
  </si>
  <si>
    <t>Identiarte: Taller de Cartoneria</t>
  </si>
  <si>
    <t>ACT-SCRV34557</t>
  </si>
  <si>
    <t>SC-260703-151522</t>
  </si>
  <si>
    <t>Esc. Prim Vesp. Francisco Javier Mina</t>
  </si>
  <si>
    <t>ACT-SCBR42021</t>
  </si>
  <si>
    <t>SC-260703-152012</t>
  </si>
  <si>
    <t>Visita Escolar "Esc. J. Natividad Macias"</t>
  </si>
  <si>
    <t>ACT-SCNR35912</t>
  </si>
  <si>
    <t>SC-260703-153127</t>
  </si>
  <si>
    <t>Visita escolar "Esc. Prim. Vesp. Francisco Javier Mina"</t>
  </si>
  <si>
    <t>ACT-SCKK48572</t>
  </si>
  <si>
    <t>SC-260703-153535</t>
  </si>
  <si>
    <t>Arte en tu plaza Exposicion "Fragmentos y Complicidades"</t>
  </si>
  <si>
    <t>Exposición en la plaza pública del municipio de Salvatierra Guanajuato como parte del programa Arte en tu Plaza</t>
  </si>
  <si>
    <t>Plazuela del Carmen</t>
  </si>
  <si>
    <t>ACT-SCVW61936</t>
  </si>
  <si>
    <t>SC-260703-154437</t>
  </si>
  <si>
    <t>Arte en tu plaza Exposición "Homo Videns"</t>
  </si>
  <si>
    <t>Exposición en plaza pública del municipio de Manuel Doblado como parte del programa</t>
  </si>
  <si>
    <t>Plaza de armas "Insurgente José Antonio Torres"</t>
  </si>
  <si>
    <t>ACT-SCZL12704</t>
  </si>
  <si>
    <t>SC-260703-155604</t>
  </si>
  <si>
    <t>Activación Arte en tu plaza Activación "Fragmentos y complicidades"</t>
  </si>
  <si>
    <t>Mediación cultural entre la exposicion Fragmentos y complicidades y los ciudadanos del muninicpio de Salvatierra como parte del programa Arte en tu Plaza</t>
  </si>
  <si>
    <t>ACT-SCIW12431</t>
  </si>
  <si>
    <t>SC-260703-165420</t>
  </si>
  <si>
    <t>Activación Arte en tu plaza Activación "Homo Videns"</t>
  </si>
  <si>
    <t>Mediación cultural entre la exposición Homo videns y los ciudadanos del municipio de Manuel Doblado</t>
  </si>
  <si>
    <t>ACT-SCKP18157</t>
  </si>
  <si>
    <t>SC-260703-165940</t>
  </si>
  <si>
    <t>ACT-SCJN51368</t>
  </si>
  <si>
    <t>SC-260705-115000</t>
  </si>
  <si>
    <t>ACT-SCPE48487</t>
  </si>
  <si>
    <t>SC-260705-115649</t>
  </si>
  <si>
    <t>El museo a la vuelta de tu casa Purísima "Taller de cartonería mascaras de nuestra cultura"</t>
  </si>
  <si>
    <t>Fomentar la preservación de las tradiciones artesanales en Purísima del Rincón mediante un taller de elaboración de máscaras con la técnica de cartonería en el centro Nuevo Comienzo Guanajuatito, con el fin de fortalecer la identidad cultural local y descentralizar la oferta institucional a través del programa "El museo a la vuelta de tu casa" durante el año 2026.</t>
  </si>
  <si>
    <t>Cartonería</t>
  </si>
  <si>
    <t>Centro Nuevo Comienzo Guanajuatito en el municipio de Purísima del Rincón</t>
  </si>
  <si>
    <t>ACT-SCFP85411</t>
  </si>
  <si>
    <t>SC-260705-120116</t>
  </si>
  <si>
    <t>Mediación cultural entre la exposicion Homo videns y los ciudadanos del municipio de San Luis de la Paz</t>
  </si>
  <si>
    <t>Andador del Jardín Principal</t>
  </si>
  <si>
    <t>ACT-SCQI25133</t>
  </si>
  <si>
    <t>SC-260705-120606</t>
  </si>
  <si>
    <t>Collage del arcano mayor</t>
  </si>
  <si>
    <t>Actividad artística de taller familiar, corresponsabilidad con la exposición bajo el signo de saturno.</t>
  </si>
  <si>
    <t>ACT-SCCQ09985</t>
  </si>
  <si>
    <t>SC-260705-121406</t>
  </si>
  <si>
    <t>Móvil cósmico</t>
  </si>
  <si>
    <t>ACT-SCVH91156</t>
  </si>
  <si>
    <t>SC-260705-122110</t>
  </si>
  <si>
    <t>Topoto estelar</t>
  </si>
  <si>
    <t>ACT-SCLB21945</t>
  </si>
  <si>
    <t>SC-260705-122627</t>
  </si>
  <si>
    <t>El futuro en la palma de tu mano</t>
  </si>
  <si>
    <t>ACT-SCJB27190</t>
  </si>
  <si>
    <t>SC-260705-123536</t>
  </si>
  <si>
    <t>Sound Hill</t>
  </si>
  <si>
    <t>ACT-SCEO45859</t>
  </si>
  <si>
    <t>SC-260705-124025</t>
  </si>
  <si>
    <t>Noche misteriosa en el Museo.</t>
  </si>
  <si>
    <t>Actividad artistica de infancias.</t>
  </si>
  <si>
    <t>ACT-SCJW36296</t>
  </si>
  <si>
    <t>SC-260705-124443</t>
  </si>
  <si>
    <t>Visita "UPN"</t>
  </si>
  <si>
    <t>Visita mediada</t>
  </si>
  <si>
    <t>ACT-SCPH90627</t>
  </si>
  <si>
    <t>SC-260705-125950</t>
  </si>
  <si>
    <t>ACT-SCPN85383</t>
  </si>
  <si>
    <t>SC-260705-130839</t>
  </si>
  <si>
    <t>Visita escolar "PREPARATORIA OFICIAL"</t>
  </si>
  <si>
    <t>ACT-SCAD89173</t>
  </si>
  <si>
    <t>SC-260705-131255</t>
  </si>
  <si>
    <t>Visita Mediada</t>
  </si>
  <si>
    <t>ACT-SCFR38877</t>
  </si>
  <si>
    <t>SC-260705-131608</t>
  </si>
  <si>
    <t>Visita Escolar "SEC. TEC. 50"</t>
  </si>
  <si>
    <t>ACT-SCOC68941</t>
  </si>
  <si>
    <t>SC-260705-132023</t>
  </si>
  <si>
    <t>Visita escolar "SABES ZANGARRO"</t>
  </si>
  <si>
    <t>ACT-SCUD84258</t>
  </si>
  <si>
    <t>SC-260705-132353</t>
  </si>
  <si>
    <t>Visita Escolar "TELESECUNDARIA 1003 RUTAS CULTURALES"</t>
  </si>
  <si>
    <t>ACT-SCUI45342</t>
  </si>
  <si>
    <t>SC-260705-132800</t>
  </si>
  <si>
    <t>ACT-SCBR82299</t>
  </si>
  <si>
    <t>SC-260705-133155</t>
  </si>
  <si>
    <t>ACT-SCWV39108</t>
  </si>
  <si>
    <t>SC-260706-094255</t>
  </si>
  <si>
    <t>Visita escolar "INSTITUTO IGNACIO MONTES DE OCA"</t>
  </si>
  <si>
    <t>ACT-SCFY04264</t>
  </si>
  <si>
    <t>SC-260706-094807</t>
  </si>
  <si>
    <t>ACT-SCID84291</t>
  </si>
  <si>
    <t>SC-260706-101524</t>
  </si>
  <si>
    <t>ACT-SCVP63501</t>
  </si>
  <si>
    <t>SC-260706-102811</t>
  </si>
  <si>
    <t>Visita Escolar "MIGUEL BERNAL JIMÉNEZ"</t>
  </si>
  <si>
    <t>ACT-SCYN16296</t>
  </si>
  <si>
    <t>SC-260706-103237</t>
  </si>
  <si>
    <t>1 EEM "Encuentro Estatal de Museos 2026"</t>
  </si>
  <si>
    <t>ACT-SCWK56570</t>
  </si>
  <si>
    <t>SC-260706-104242</t>
  </si>
  <si>
    <t>ACT-SCAX49507</t>
  </si>
  <si>
    <t>SC-260706-104805</t>
  </si>
  <si>
    <t>Visita Escolar " Escuela 18 de Marzo"</t>
  </si>
  <si>
    <t>ACT-SCBV35787</t>
  </si>
  <si>
    <t>SC-260706-105945</t>
  </si>
  <si>
    <t>EL LIBRO COMO TERRITORIO ARTÍSTICO</t>
  </si>
  <si>
    <t>Taller especializado para artistas.</t>
  </si>
  <si>
    <t>Con costo</t>
  </si>
  <si>
    <t>Preferente: $2,293.00: General: $3,058.00</t>
  </si>
  <si>
    <t>ACT-SCCG56880</t>
  </si>
  <si>
    <t>SC-260706-111539</t>
  </si>
  <si>
    <t>Programa día internacional de los museos, Rally y tendedero</t>
  </si>
  <si>
    <t>Actividad artístico-cultural.</t>
  </si>
  <si>
    <t>ACT-SCGH08916</t>
  </si>
  <si>
    <t>SC-260706-114145</t>
  </si>
  <si>
    <t>Visita Escolar " Escuela Benito Juarez"</t>
  </si>
  <si>
    <t>ACT-SCCT66497</t>
  </si>
  <si>
    <t>SC-260706-114541</t>
  </si>
  <si>
    <t>ACT-SCPA84703</t>
  </si>
  <si>
    <t>SC-260706-114901</t>
  </si>
  <si>
    <t>Visita escolar " Escuela TÉCNICA #46"</t>
  </si>
  <si>
    <t>ACT-SCNX70930</t>
  </si>
  <si>
    <t>SC-260706-115213</t>
  </si>
  <si>
    <t>ACT-SCXF06033</t>
  </si>
  <si>
    <t>SC-260706-115725</t>
  </si>
  <si>
    <t>Visita Escolar "SABES GRAL. CÁNDIDO NAVARRO"</t>
  </si>
  <si>
    <t>ACT-SCYE97931</t>
  </si>
  <si>
    <t>SC-260706-120928</t>
  </si>
  <si>
    <t>Visita Escolar " Gabriela Mistral"</t>
  </si>
  <si>
    <t>ACT-SCYZ76922</t>
  </si>
  <si>
    <t>SC-260706-121930</t>
  </si>
  <si>
    <t>Visita Escolar " Escuela 20 de Noviembre"</t>
  </si>
  <si>
    <t>ACT-SCYV98198</t>
  </si>
  <si>
    <t>SC-260706-122409</t>
  </si>
  <si>
    <t>ACT-SCGK42453</t>
  </si>
  <si>
    <t>SC-260706-122730</t>
  </si>
  <si>
    <t>Visita Escolar "Preparatoria Alonso Espino"</t>
  </si>
  <si>
    <t>ACT-SCHE24369</t>
  </si>
  <si>
    <t>SC-260706-123253</t>
  </si>
  <si>
    <t>Visita escolar " Colegio Nueva Juventud"</t>
  </si>
  <si>
    <t>ACT-SCMQ02384</t>
  </si>
  <si>
    <t>SC-260706-123549</t>
  </si>
  <si>
    <t>Visita Escolar " JUAN MANUEL CERVANTES IMAZ"</t>
  </si>
  <si>
    <t>ACT-SCXN37407</t>
  </si>
  <si>
    <t>SC-260706-123943</t>
  </si>
  <si>
    <t>Fotografía espírita</t>
  </si>
  <si>
    <t>ACT-SCVB95206</t>
  </si>
  <si>
    <t>SC-260706-124710</t>
  </si>
  <si>
    <t>Retrato de Lupe Marín "Pitonisa"</t>
  </si>
  <si>
    <t>ACT-SCEP49266</t>
  </si>
  <si>
    <t>SC-260706-140845</t>
  </si>
  <si>
    <t>Collage de Kandisky</t>
  </si>
  <si>
    <t>ACT-SCWB71791</t>
  </si>
  <si>
    <t>SC-260706-141322</t>
  </si>
  <si>
    <t>Dibujo de Roberto Montenegro</t>
  </si>
  <si>
    <t>ACT-SCRL38727</t>
  </si>
  <si>
    <t>SC-260707-115446</t>
  </si>
  <si>
    <t>Inauguracion de la Exposición:  "Habitar ese bosque"</t>
  </si>
  <si>
    <t>Inauguración de la exposición temporal "Habitar ese bosque". Camila Apaez y Miguel Mesa A través de la cerámica, el sonido y la exploración sensorial, esta muestra propone un viaje íntimo que invita a reflexionar sobre la identidad, la materia y la forma en que percibimos nuestro entorno. Un recorrido que evoca paisajes sutiles: bosques silenciosos, raíces profundas y atmósferas que se sienten más allá de lo visible.</t>
  </si>
  <si>
    <t>Gestión de recursos económicos</t>
  </si>
  <si>
    <t>ACT-SCUA40620</t>
  </si>
  <si>
    <t>SC-260707-120431</t>
  </si>
  <si>
    <t>Préstamos de espacios y visita guiada a la exposición temporal: Bajo el Signo de Saturno. Adivinación en el arte.</t>
  </si>
  <si>
    <t>Recibimos al grupo del  Diplomado en Historia del Arte de la Universidad la Salle Bajío y posteriormente visitamos la exposición temporal Bajo el Signo de Saturno. Adivinación en el arte.</t>
  </si>
  <si>
    <t>ACT-SCSN66813</t>
  </si>
  <si>
    <t>SC-260707-121558</t>
  </si>
  <si>
    <t>Quiromancia al cuadro</t>
  </si>
  <si>
    <t>¡La Secretaría de Cultura te invita a disfrutar una noche más en el museo!  En esta ocasión la Dra. Cecilia Fuentes  acompañada del equipo de exposiciones y educativo del MAHG ofrecerán una actividad de mediación previa a la noche de museos.  En esta actividad mediada exploraremos algunas de las  posibilidades para leer una obra de arte, una invitación a ver nuevamente aquello que está frente a nosotros y compartirlo.</t>
  </si>
  <si>
    <t>ACT-SCJW65154</t>
  </si>
  <si>
    <t>SC-260707-123627</t>
  </si>
  <si>
    <t>Esta noche de museos Acompañando al equipo de mediación del MAHG contaremos con el acompañamientos de la Dra. Cecilia Fuentes, quien comentará algunas obras de la exposición</t>
  </si>
  <si>
    <t>ACT-SCVZ34613</t>
  </si>
  <si>
    <t>SC-260707-124044</t>
  </si>
  <si>
    <t>Inauguracion de la Exposición: Mi México Seihi Shinohara</t>
  </si>
  <si>
    <t>Apertura de la exposición temporal "Mi México Seihi Shinohara"  La muestra reúne 60 fotografías en blanco y negro sobre la vida cotidiana y la riqueza cultural de México</t>
  </si>
  <si>
    <t>ACT-SCOW48414</t>
  </si>
  <si>
    <t>SC-260707-143713</t>
  </si>
  <si>
    <t>Visita especial de la Universidad Humani Mundial</t>
  </si>
  <si>
    <t>Visita especial de la Universidad Humani Mundial para conocer la nueva exposición temporal "Angelitos"y conocer más acerca de las colecciones que ofrece el Museo Hermenegildo Bustos</t>
  </si>
  <si>
    <t>ACT-SCSV85126</t>
  </si>
  <si>
    <t>SC-260707-164342</t>
  </si>
  <si>
    <t>Convocatoria "Mujeres en las Artes Visuales en Guanajuato"</t>
  </si>
  <si>
    <t>Esta convocatoria tiene como objetivo, fortalecer la presencia y el desarrollo de las artes visuales en Guanajuato.</t>
  </si>
  <si>
    <t>Convocatoria pública</t>
  </si>
  <si>
    <t>Entrega de estímulos</t>
  </si>
  <si>
    <t>Híbrido</t>
  </si>
  <si>
    <t>Económico</t>
  </si>
  <si>
    <t>ACT-SCVE80091</t>
  </si>
  <si>
    <t>SC-260713-161259</t>
  </si>
  <si>
    <t>Visita Escolar "BACHILLERATO INVERNA GUANAJUATO"</t>
  </si>
  <si>
    <t>Museo de Arte e Historia de Guanajuato, sala Feliciano Peña</t>
  </si>
  <si>
    <t>ACT-SCYL97728</t>
  </si>
  <si>
    <t>SC-260713-162334</t>
  </si>
  <si>
    <t>Visita Escolar "ROSARIO CASTELLANOS"</t>
  </si>
  <si>
    <t>ACT-SCOG95384</t>
  </si>
  <si>
    <t>SC-260713-163319</t>
  </si>
  <si>
    <t>Visita "CENTRO FOX"</t>
  </si>
  <si>
    <t>ACT-SCHN23680</t>
  </si>
  <si>
    <t>SC-260714-160706</t>
  </si>
  <si>
    <t>Visita guiada libre.</t>
  </si>
  <si>
    <t>ACT-SCND30007</t>
  </si>
  <si>
    <t>SC-260716-142515</t>
  </si>
  <si>
    <t>ACT-SCUF33401</t>
  </si>
  <si>
    <t>SC-260716-153509</t>
  </si>
  <si>
    <t>Visita "Universidad UPN"</t>
  </si>
  <si>
    <t>ACT-SCUY62458</t>
  </si>
  <si>
    <t>SC-260716-155356</t>
  </si>
  <si>
    <t>Museo José y Tomas Chavez Morado</t>
  </si>
  <si>
    <t>ACT-SCDO40520</t>
  </si>
  <si>
    <t>SC-260804-112214</t>
  </si>
  <si>
    <t>Festival Escenautas. Mujeres en el puño. Hilando la ternura, conquistando la libertad.</t>
  </si>
  <si>
    <t>Recorrido sobre la lucha de las mujeres provenientes de la colonia conocida coloquialmente como "el puño" la historia de la fundación del asentamiento humano y la pelea por el derecho a la vivienda.</t>
  </si>
  <si>
    <t>Documental</t>
  </si>
  <si>
    <t>Festival</t>
  </si>
  <si>
    <t>Museo Hermenegildo Bustos, Sala temporal 8 y 9</t>
  </si>
  <si>
    <t>ACT-SCDP05616</t>
  </si>
  <si>
    <t>SC-260804-120257</t>
  </si>
  <si>
    <t>Visita especial a Ballet folclórico Cacaxtla del estado de Tlaxcala</t>
  </si>
  <si>
    <t>ACT-SCEO07614</t>
  </si>
  <si>
    <t>SC-260804-124523</t>
  </si>
  <si>
    <t>Recorrido por las exposiciones del museo brindado por el personal del mismo.</t>
  </si>
  <si>
    <t>ACT-SCWX99960</t>
  </si>
  <si>
    <t>SC-260806-114543</t>
  </si>
  <si>
    <t>ACT-SCGS78184</t>
  </si>
  <si>
    <t>SC-260810-104051</t>
  </si>
  <si>
    <t>Visita escolar "ROSARIO CASTELLANOS"</t>
  </si>
  <si>
    <t>ACT-SCMS87299</t>
  </si>
  <si>
    <t>SC-260810-111922</t>
  </si>
  <si>
    <t>Visita " Centro Fox"</t>
  </si>
  <si>
    <t>ACT-SCDK66386</t>
  </si>
  <si>
    <t>SC-260810-112932</t>
  </si>
  <si>
    <t>Visita Libre</t>
  </si>
  <si>
    <t>ACT-SCXR04810</t>
  </si>
  <si>
    <t>SC-260811-112314</t>
  </si>
  <si>
    <t>ACT-SCZC82172</t>
  </si>
  <si>
    <t>SC-260811-114244</t>
  </si>
  <si>
    <t>ACT-SCMX20599</t>
  </si>
  <si>
    <t>SC-260811-114834</t>
  </si>
  <si>
    <t>Visita "Universidad EPCA"</t>
  </si>
  <si>
    <t>ACT-SCRS70126</t>
  </si>
  <si>
    <t>SC-260811-122825</t>
  </si>
  <si>
    <t>ACT-SCTK25725</t>
  </si>
  <si>
    <t>SC-260811-123321</t>
  </si>
  <si>
    <t>Visita Escolar  "EPCA"</t>
  </si>
  <si>
    <t>ACT-SCOC09402</t>
  </si>
  <si>
    <t>SC-260811-124122</t>
  </si>
  <si>
    <t>Visita Libre con Taller.</t>
  </si>
  <si>
    <t>Visita mediada y Taller</t>
  </si>
  <si>
    <t>ACT-SCCP67857</t>
  </si>
  <si>
    <t>SC-260812-104920</t>
  </si>
  <si>
    <t>Visita Escolar "EDUCEM"</t>
  </si>
  <si>
    <t>ACT-SCCS62268</t>
  </si>
  <si>
    <t>SC-260813-105403</t>
  </si>
  <si>
    <t>Visita "UNIVERSIDAD HUMANI MUNDIAL"</t>
  </si>
  <si>
    <t>ACT-SCNW14743</t>
  </si>
  <si>
    <t>SC-260813-110302</t>
  </si>
  <si>
    <t>ACT-SCLT40746</t>
  </si>
  <si>
    <t>SC-260813-123118</t>
  </si>
  <si>
    <t>Visita "RUTAS/BIBLIOTECA OCTAVIO PAZ"</t>
  </si>
  <si>
    <t>ACT-SCLF83323</t>
  </si>
  <si>
    <t>SC-260813-123925</t>
  </si>
  <si>
    <t>Visita nocturna</t>
  </si>
  <si>
    <t>ACT-SCOZ36852</t>
  </si>
  <si>
    <t>SC-260813-145317</t>
  </si>
  <si>
    <t>ACT-SCVP57572</t>
  </si>
  <si>
    <t>SC-260813-154114</t>
  </si>
  <si>
    <t>ACT-SCIO65695</t>
  </si>
  <si>
    <t>SC-260813-160926</t>
  </si>
  <si>
    <t>ACT-SCVZ90691</t>
  </si>
  <si>
    <t>SC-260814-100629</t>
  </si>
  <si>
    <t>Visita "BIBLIOTECA ALFONSO VILLASEÑOR SÖLE"</t>
  </si>
  <si>
    <t>ACT-SCMD86853</t>
  </si>
  <si>
    <t>SC-260814-105423</t>
  </si>
  <si>
    <t>ACT-SCBM83374</t>
  </si>
  <si>
    <t>SC-260817-121215</t>
  </si>
  <si>
    <t>Visita escolar "UNIVERSIDAD DE LEÓN"</t>
  </si>
  <si>
    <t>ACT-SCRQ30368</t>
  </si>
  <si>
    <t>SC-260817-121605</t>
  </si>
  <si>
    <t>ACT-SCYT87172</t>
  </si>
  <si>
    <t>SC-260817-122026</t>
  </si>
  <si>
    <t>ACT-SCOL16601</t>
  </si>
  <si>
    <t>SC-260817-122538</t>
  </si>
  <si>
    <t>ACT-SCRP08378</t>
  </si>
  <si>
    <t>SC-260817-123543</t>
  </si>
  <si>
    <t>ACT-SCRE99313</t>
  </si>
  <si>
    <t>SC-260817-143223</t>
  </si>
  <si>
    <t>Visita Universidad IBERO</t>
  </si>
  <si>
    <t>ACT-SCAH67848</t>
  </si>
  <si>
    <t>SC-260817-145504</t>
  </si>
  <si>
    <t>Visita " Universidad de León"</t>
  </si>
  <si>
    <t>ACT-SCAH55092</t>
  </si>
  <si>
    <t>SC-260817-150013</t>
  </si>
  <si>
    <t>ART VENTURA</t>
  </si>
  <si>
    <t>ACT-SCVR60755</t>
  </si>
  <si>
    <t>SC-260817-155224</t>
  </si>
  <si>
    <t>CONVOCATORIA [COLab] 2026</t>
  </si>
  <si>
    <t>La convocatoria Co Lab 2026 busca impulsar proyectos que fusionen artes visuales y sonoras para generar nuevas formas de diálogo con el público. Su objetivo es fortalecer la visibilidad de propuestas interdisciplinarias y enriquecer la programación del Museo de Arte e Historia de Guanajuato. Se desarrollarán tres exposiciones que destaquen la innovación y el cruce de lenguajes contemporáneos.</t>
  </si>
  <si>
    <t>Realizar clínicas de acompañamiento técnico para fortalecer los proyectos postulados a convocatorias públicas.</t>
  </si>
  <si>
    <t>ACT-SCZJ44226</t>
  </si>
  <si>
    <t>SC-260817-162725</t>
  </si>
  <si>
    <t>Arte en tu Plaza exposición "Fragmentos y Complicidades</t>
  </si>
  <si>
    <t>Exposicion en el portal Morelos en el municipio de Huanímaro como parte del programa Arte en tu Plaza</t>
  </si>
  <si>
    <t>Portal Morelos</t>
  </si>
  <si>
    <t>Muestra itinerante</t>
  </si>
  <si>
    <t>ACT-SCTR14537</t>
  </si>
  <si>
    <t>SC-260818-103343</t>
  </si>
  <si>
    <t>Arte en tu Plaza exposicion" Homo Videns"</t>
  </si>
  <si>
    <t>adaptarse a contextos locales, estimula la interacción comunitaria y fortalece la presencia del arte como parte de la vida cotidiana. Además, permite la circulación del trabajo de artistas guanajuatenses, favoreciendo la diversidad visual y la cohesión cultural entre regiones.</t>
  </si>
  <si>
    <t>Jardín Principal de Jaral del Progreso</t>
  </si>
  <si>
    <t>ACT-SCJY66694</t>
  </si>
  <si>
    <t>SC-260818-105812</t>
  </si>
  <si>
    <t>Activación de la exposición "Homo Videns"</t>
  </si>
  <si>
    <t>Mediación cultural entre la exposición "Homo Videns" y los ciudadanos del municipio de Jaral del Progreso</t>
  </si>
  <si>
    <t>ACT-SCVX69015</t>
  </si>
  <si>
    <t>SC-260818-113043</t>
  </si>
  <si>
    <t>Activación de la exposicion "Fragmentos y Complicidades"</t>
  </si>
  <si>
    <t>Mediación cultural entre la exposición "Fragmentos y Complicidades" y los ciudadanos del municipio de Huanímaro</t>
  </si>
  <si>
    <t>Portal Morelos en el municipio de Huanímaro</t>
  </si>
  <si>
    <t>ACT-SCPO47673</t>
  </si>
  <si>
    <t>SC-260818-114026</t>
  </si>
  <si>
    <t>Taller de dibujo de comic.</t>
  </si>
  <si>
    <t>ACT-SCSM61699</t>
  </si>
  <si>
    <t>SC-260818-121848</t>
  </si>
  <si>
    <t>Taller de Cartonería</t>
  </si>
  <si>
    <t>ACT-SCEC78279</t>
  </si>
  <si>
    <t>SC-260818-122556</t>
  </si>
  <si>
    <t>Braceros "Hasta el ultimo aliento".</t>
  </si>
  <si>
    <t>Conferencia.</t>
  </si>
  <si>
    <t>2.1.5 Inclusión población migrante</t>
  </si>
  <si>
    <t>Personas Migrantes</t>
  </si>
  <si>
    <t>Vinculación con Conferencista</t>
  </si>
  <si>
    <t>ACT-SCIA91121</t>
  </si>
  <si>
    <t>SC-260818-123425</t>
  </si>
  <si>
    <t>Silao, el cubilete y la guerra cristera</t>
  </si>
  <si>
    <t>ACT-SCNU32492</t>
  </si>
  <si>
    <t>SC-260820-110800</t>
  </si>
  <si>
    <t>TALLER DE VERANO "ARTE Y CREATIVIDAD"</t>
  </si>
  <si>
    <t>ACT-SCFL23776</t>
  </si>
  <si>
    <t>SC-260820-125811</t>
  </si>
  <si>
    <t>Taller "Collage de tarot de arcanos mayores".</t>
  </si>
  <si>
    <t>ACT-SCJI40826</t>
  </si>
  <si>
    <t>SC-260820-153525</t>
  </si>
  <si>
    <t>Ciclo de cine "La montaña sagrada"</t>
  </si>
  <si>
    <t>Ciclo de cine</t>
  </si>
  <si>
    <t>ACT-SCQP93296</t>
  </si>
  <si>
    <t>SC-260820-154302</t>
  </si>
  <si>
    <t>Ciclo de cine "VALERY"</t>
  </si>
  <si>
    <t>ACT-SCYW55899</t>
  </si>
  <si>
    <t>SC-260820-154638</t>
  </si>
  <si>
    <t>Ciclo de cine "El rostro"</t>
  </si>
  <si>
    <t>ACT-SCWZ49328</t>
  </si>
  <si>
    <t>SC-260820-155009</t>
  </si>
  <si>
    <t>Ciclo de cine "Una martillo para las brujas"</t>
  </si>
  <si>
    <t>ACT-SCBS15027</t>
  </si>
  <si>
    <t>SC-260820-155434</t>
  </si>
  <si>
    <t>Retrato de Lupe Marín Pitonisa</t>
  </si>
  <si>
    <t>ACT-SCRN39622</t>
  </si>
  <si>
    <t>SC-260820-155910</t>
  </si>
  <si>
    <t>Plastas del paraíso. Un verano en el museo</t>
  </si>
  <si>
    <t>ACT-SCMN07435</t>
  </si>
  <si>
    <t>SC-260820-160259</t>
  </si>
  <si>
    <t>Esgrafiado de saturno. Un verano en el museo</t>
  </si>
  <si>
    <t>ACT-SCNF61446</t>
  </si>
  <si>
    <t>SC-260820-160637</t>
  </si>
  <si>
    <t>Collage de colores (Tarot)</t>
  </si>
  <si>
    <t>ACT-SCDZ82003</t>
  </si>
  <si>
    <t>SC-260820-161059</t>
  </si>
  <si>
    <t>Monotipia de Tamayo. Un verano en el museo</t>
  </si>
  <si>
    <t>ACT-SCOJ18223</t>
  </si>
  <si>
    <t>SC-260820-163400</t>
  </si>
  <si>
    <t>Rompecabezas del arcano mayor</t>
  </si>
  <si>
    <t>ACT-SCYI34868</t>
  </si>
  <si>
    <t>SC-260820-163952</t>
  </si>
  <si>
    <t>Lectura dramatizada de oráculos griegos</t>
  </si>
  <si>
    <t>ACT-SCLZ98766</t>
  </si>
  <si>
    <t>SC-260820-164208</t>
  </si>
  <si>
    <t>ACT-SCZY20708</t>
  </si>
  <si>
    <t>SC-260820-165021</t>
  </si>
  <si>
    <t>Presentación del catálogo de la exposición Bajo el Signo de Saturno. Adivinación en el arte"</t>
  </si>
  <si>
    <t>ACT-SCPR20785</t>
  </si>
  <si>
    <t>SC-260820-165501</t>
  </si>
  <si>
    <t>Presentación editorial "Querida Inés. La herencia que no se pudo mirar ni se quiso mirar. Biodecodificación y Constelaciones".</t>
  </si>
  <si>
    <t>Presentación editorial "Querida Inés. La herencia que no se pudo mirar ni se quiso mirar. Biodecodificación y Constelaciones" Presenta la autora María de la luz Dorantes Montes de Oca, Norma Angélica López Ramírez y Arturo Mora Alba.</t>
  </si>
  <si>
    <t>ACT-SCEM90365</t>
  </si>
  <si>
    <t>SC-260820-170133</t>
  </si>
  <si>
    <t>Taller de Lecto escritura: El revés de la imagen. Imparte Pedro Omar Rivera y Editorial Mar de Nombres</t>
  </si>
  <si>
    <t>Escritura creativa a partir de la exposición Bajo el Signo de Saturno. Adivinación en el Arte. A través de un enfoque teórico-práctico desarrollado en dos sesiones, las personas utilizan la observación y la reflexión de las obras de la exposición derivando en la construcción de personajes, relatos y textos introspectivos.  Imparte: Editorial Mar de Nombres y Pedro Omar Rivera  Jueves 2  Sesión 1 El símbolo como detonador narrativo: artrología y construcción de personajes.  Jueves 9  Sesión 2 Narrativa y estructura: el tarot como dispositivo de escritura.</t>
  </si>
  <si>
    <t>ACT-SCZA06114</t>
  </si>
  <si>
    <t>SC-260820-170525</t>
  </si>
  <si>
    <t>Taller de Tarot Fotográfico Crea tu propio arcano. Imparten: Eduardo Gómez y Daniel Arróniz</t>
  </si>
  <si>
    <t>El Tarot como herramienta creativa: Símbolos, Arquetipos y Azar en la creación de narrativas en el Arte</t>
  </si>
  <si>
    <t>ACT-SCLR62190</t>
  </si>
  <si>
    <t>SC-260820-170901</t>
  </si>
  <si>
    <t>Conferencia Carta Bazi y Feng Shui</t>
  </si>
  <si>
    <t>Conceptos de las artes metafísicas chinas, en los que el estudio del destino y la armonía energética nos ayudan a ampliar nuestras perspectivas sobre los mitos, tradiciones y simbolismos de la astrología ancestral china, en marco de la exposición temporal Bajo el Signo de Saturno, adivinación en el arte.</t>
  </si>
  <si>
    <t>ACT-SCNH26698</t>
  </si>
  <si>
    <t>SC-260820-171214</t>
  </si>
  <si>
    <t>Conferencia El Tarot como herramienta creativa: Símbolos, Arquetipos y Azar en la creación de narrativas en el Arte</t>
  </si>
  <si>
    <t>ACT-SCYI20383</t>
  </si>
  <si>
    <t>SC-260820-171658</t>
  </si>
  <si>
    <t>Lectura performática De lo espiritual en diálogos literarios. El revés de la imagen. Espacios Incidentales.</t>
  </si>
  <si>
    <t>Escuchemos los resultados y propuestas literarias del taller de Escritura creativa en el que a través de la literatura encontraremos un excelente estrategia de diálogo con la exposición Bajo el Signo de Saturno. Adivinación en el Arte.</t>
  </si>
  <si>
    <t>ACT-SCHW41152</t>
  </si>
  <si>
    <t>SC-260820-172015</t>
  </si>
  <si>
    <t>Coros del Valle de Señora.</t>
  </si>
  <si>
    <t>Disfrutemos del museo desde la música en compañía del Coro  Amanecer de la fundación Coros del Valle de Señora. Nos compartirán algunas piezas como La llorona, La bamba, Nanga Ti Feo y muchas más.</t>
  </si>
  <si>
    <t>ACT-SCXE00182</t>
  </si>
  <si>
    <t>SC-260820-172543</t>
  </si>
  <si>
    <t>Lectura performática. Espacios indicentales.</t>
  </si>
  <si>
    <t>Performance literario donde a través de poemas y el performance dialogaremos con las temáticas del misticismo y la adivinación, temas tocados en la exposición Bajo el Signo de Saturno. Presenta: Marjha Paulino</t>
  </si>
  <si>
    <t>ACT-SCLZ36153</t>
  </si>
  <si>
    <t>SC-260820-173030</t>
  </si>
  <si>
    <t>Inauguracion de Exposición: Bajo la sombra del mezquite</t>
  </si>
  <si>
    <t>Bajo la sombra del mezquite es un proyecto seleccionado de la Convocatoria Mujeres en las Artes Visuales en Guanajuato, que aborda la relación entre el cuerpo humano y el entorno vegetal a partir de biomateriales, registro de datos y activación sonora. La exposición reúne una serie de piezas desarrolladas con biotextiles, bioplásticos y biocompuestos derivados del mezquite, configuradas como extensiones corporales que operan dentro de un mismo sistema.   El proyecto parte del reconocimiento del mezquite como una especie clave en su ecosistema. Su capacidad para generar sombra, reducir la temperatura del entorno y favorecer la retención de humedad crea microclimas que permiten la coexistencia de otras formas de vida.</t>
  </si>
  <si>
    <t>Museo de Arte-Olga Costa-José Chávez Morado</t>
  </si>
  <si>
    <t>ACT-SCIW82641</t>
  </si>
  <si>
    <t>SC-260820-175730</t>
  </si>
  <si>
    <t>Conversatorio: De la máquina a la marca, ¿cómo dejó de coser para otros y empiezo lo mío?</t>
  </si>
  <si>
    <t>Conversatorio con profesionales del diseño que nos contarán sobre su experiencia de emprendimiento y estrategías para desarrollos de proyectos de moda textil.</t>
  </si>
  <si>
    <t>Museo del Pueblo de Guanajuato</t>
  </si>
  <si>
    <t>ACT-SCTW87174</t>
  </si>
  <si>
    <t>SC-260820-180147</t>
  </si>
  <si>
    <t>Taller: Verbalizar el río.</t>
  </si>
  <si>
    <t>Taller de reconocimiento y arborización de plantas del Ríos Pastita en Guanajuato capital.</t>
  </si>
  <si>
    <t>ACT-SCMI23044</t>
  </si>
  <si>
    <t>SC-260820-180507</t>
  </si>
  <si>
    <t>Museo Palacio de los Poderes</t>
  </si>
  <si>
    <t>ACT-SCRK24440</t>
  </si>
  <si>
    <t>SC-260820-180751</t>
  </si>
  <si>
    <t>Viaje sonoro, de la antigüedad a nuestros tiempos.</t>
  </si>
  <si>
    <t>El público será partícipe de Un Viaje Sonoro, en el que los ritmos más primitivos de la historia harán resonar el recinto</t>
  </si>
  <si>
    <t>Producción musical</t>
  </si>
  <si>
    <t>Museo Casa Diego Rivera</t>
  </si>
  <si>
    <t>ACT-SCAS85845</t>
  </si>
  <si>
    <t>SC-260820-181251</t>
  </si>
  <si>
    <t>ACT-SCZE71261</t>
  </si>
  <si>
    <t>SC-260820-181906</t>
  </si>
  <si>
    <t>Taller en búsqueda del Mezquite</t>
  </si>
  <si>
    <t>Exploración de biomateriales y creación de amuletos a partir de las formas del mezquite.</t>
  </si>
  <si>
    <t>ACT-SCIT34845</t>
  </si>
  <si>
    <t>SC-260820-182155</t>
  </si>
  <si>
    <t>Coloquio Frida Kahlo y Diego Rivera: estudios críticos, perspectivas y relecturas contemporáneas.</t>
  </si>
  <si>
    <t>Espacio académico de reflexión, diálogo crítico y análisis interdisciplinario sobre la obra, la figura y vida de Frida Kahlo y Diego Rivera.</t>
  </si>
  <si>
    <t>ACT-SCHK67760</t>
  </si>
  <si>
    <t>SC-260820-183030</t>
  </si>
  <si>
    <t>San Pancho vs Milán: ¿El Sombrero Guanajuatense en la cabeza del mundo?</t>
  </si>
  <si>
    <t>Un espacio de diálogo y reflexión que explora el potencial del sombrero guanajuatense como símbolo de identidad</t>
  </si>
  <si>
    <t>ACT-SCAX15944</t>
  </si>
  <si>
    <t>SC-260820-183419</t>
  </si>
  <si>
    <t>Talleres familiares de verano: Realismo mágico en Cianotipia</t>
  </si>
  <si>
    <t>A través de la técnica de cianotipia, las familias crearán imágenes únicas utilizando elementos naturales y objetos cotidianos.</t>
  </si>
  <si>
    <t>ACT-SCLB87432</t>
  </si>
  <si>
    <t>SC-260820-184347</t>
  </si>
  <si>
    <t>ACT-SCQN00282</t>
  </si>
  <si>
    <t>SC-260821-111858</t>
  </si>
  <si>
    <t>ACT-SCHU10776</t>
  </si>
  <si>
    <t>SC-260821-112253</t>
  </si>
  <si>
    <t>Recorrido guiado Casa Mata</t>
  </si>
  <si>
    <t>ACT-SCDT56541</t>
  </si>
  <si>
    <t>SC-260821-112707</t>
  </si>
  <si>
    <t>ACT-SCFC55475</t>
  </si>
  <si>
    <t>SC-260821-113259</t>
  </si>
  <si>
    <t>Curso de verano: Laboratorio de cartoneria</t>
  </si>
  <si>
    <t>A través de la cartonería y el arte popular, las niñas y los niños explorarán su creatividad</t>
  </si>
  <si>
    <t>ACT-SCGS74384</t>
  </si>
  <si>
    <t>SC-260821-113938</t>
  </si>
  <si>
    <t>Visita Guiada "Escuela Secundaria Rudolph"</t>
  </si>
  <si>
    <t>ACT-SCNF45811</t>
  </si>
  <si>
    <t>SC-260821-114520</t>
  </si>
  <si>
    <t>Recorrido Eterno Femenino</t>
  </si>
  <si>
    <t>ACT-SCML75018</t>
  </si>
  <si>
    <t>SC-260821-114845</t>
  </si>
  <si>
    <t>Taller: Intervención en sombreros de palma de San Francisco del Rincón</t>
  </si>
  <si>
    <t>Un taller práctico y creativo que invita a los participantes a descubrir y aplicar técnicas de bordado artesanal sobre sombreros de palma</t>
  </si>
  <si>
    <t>Arte popular</t>
  </si>
  <si>
    <t>ACT-SCOW93048</t>
  </si>
  <si>
    <t>SC-260821-120220</t>
  </si>
  <si>
    <t>ACT-SCCL84222</t>
  </si>
  <si>
    <t>SC-260821-120924</t>
  </si>
  <si>
    <t>ACT-SCSL55418</t>
  </si>
  <si>
    <t>SC-260821-121140</t>
  </si>
  <si>
    <t>Verano en el museo: Recorrido por Poética del paisaje y Manuel Álvarez Bravo, los años decisivos</t>
  </si>
  <si>
    <t>ACT-SCMG26633</t>
  </si>
  <si>
    <t>SC-260821-122322</t>
  </si>
  <si>
    <t>Verano en el museo: Recorrido por ¡Moda hoy! Diseño latinoamericanex y latinex</t>
  </si>
  <si>
    <t>ACT-SCBR91119</t>
  </si>
  <si>
    <t>SC-260821-123728</t>
  </si>
  <si>
    <t>ACT-SCXX09472</t>
  </si>
  <si>
    <t>SC-260827-095836</t>
  </si>
  <si>
    <t>PB3573</t>
  </si>
  <si>
    <t>Fortalecimiento del libro y sus plataformas: creación, producción, distribución e impulso a creadores</t>
  </si>
  <si>
    <t>Actividades de promoción y difusión de productos editoriales de manera presencial como son presentaciones de libros en diferentes municipios.</t>
  </si>
  <si>
    <t>DIRECCIÓN GENERAL DE EDITORIAL Y PUBLICACIONES</t>
  </si>
  <si>
    <t>Presentaciones realizadas</t>
  </si>
  <si>
    <t>Premiación Premio Nacional de Poesía Efraín Huerta</t>
  </si>
  <si>
    <t>Premiación</t>
  </si>
  <si>
    <t>Ceremonia de Premiación</t>
  </si>
  <si>
    <t>Foyer Teatro Juárez</t>
  </si>
  <si>
    <t>fmolinar@guanajuato.gob.mx</t>
  </si>
  <si>
    <t>Ceremonia</t>
  </si>
  <si>
    <t>Minerva Reynoso</t>
  </si>
  <si>
    <t>ACT-SCHG41917</t>
  </si>
  <si>
    <t>SC-260827-102744</t>
  </si>
  <si>
    <t>Participación en ferias de libro nacionales e internacionales</t>
  </si>
  <si>
    <t>Ferias de libros en las que se participa</t>
  </si>
  <si>
    <t>mesa de dialogo</t>
  </si>
  <si>
    <t>Mesas de dialogo de la escritoras</t>
  </si>
  <si>
    <t>Mesa de trabajo</t>
  </si>
  <si>
    <t>Incrementar la contratación de talento artístico local en actividades comunitarias.</t>
  </si>
  <si>
    <t>Apoyado con anterioridad</t>
  </si>
  <si>
    <t>Ana Paulina Calvillo, Amaranata Caballero, Rocio Corona, Flor Bisco, Karla Gasca,Lola Homer, Julieta Navarrete, Maria Edith Velázquez, Marjha Paulino, Ambara Gallardo, Sara Muñoz, Yadira Moreno, Camelia Rocio</t>
  </si>
  <si>
    <t>ACT-SCTQ57837</t>
  </si>
  <si>
    <t>SC-260827-134835</t>
  </si>
  <si>
    <t>Foro virtual del libro</t>
  </si>
  <si>
    <t>Foro virtual para publico en general</t>
  </si>
  <si>
    <t>Diaria</t>
  </si>
  <si>
    <t>Producción audiovisual</t>
  </si>
  <si>
    <t>Foro virtual</t>
  </si>
  <si>
    <t>Virtual</t>
  </si>
  <si>
    <t>Guanajuato Digital: Promoción de la oferta cultural y turística con uso de tecnología.</t>
  </si>
  <si>
    <t>Foro</t>
  </si>
  <si>
    <t>León Plascencia, José Antonio, Cecilia Eudave, Julieta Navarrete, Sara Pinedo, Ana Paulina Calvillo, Luis Felipe Pérez, Balam Rodrigo, Carlos Ulises Mata, Verónica Murguía Jorge Gutiérrez, Olga Gutiérrez , Amaranta caballero</t>
  </si>
  <si>
    <t>ACT-SCWI08231</t>
  </si>
  <si>
    <t>SC-260827-151753</t>
  </si>
  <si>
    <t>Cuentos de la Decima Letra</t>
  </si>
  <si>
    <t>Festival literario por el mes del orgullo</t>
  </si>
  <si>
    <t>Innovación cultural</t>
  </si>
  <si>
    <t>Festival Literario</t>
  </si>
  <si>
    <t>Forum Cultural Guanajuato</t>
  </si>
  <si>
    <t>Educación: Arte, cultura, activación física y deporte de calidad en todas las escuelas.</t>
  </si>
  <si>
    <t>Patho Villagrán, Marjha Paulino, Francisco Cuellar, Chrivan Suxi, Juanki Buenrostro, Isis Yepez, Ania Ghertz, Lael, Iván Mata, Terry Holiday, Nicolas Andrew, José Manuel Rios</t>
  </si>
  <si>
    <t>ACT-SCBV52724</t>
  </si>
  <si>
    <t>SC-260828-100954</t>
  </si>
  <si>
    <t>QC4042</t>
  </si>
  <si>
    <t>Preservación de Zonas Arqueológicas de Guanajuato, Sitio Arqueológico Cañada de la Virgen</t>
  </si>
  <si>
    <t>Atención a personas para conocer el Sitio Arqueológico Cañada de la Virgen en San Miguel de Allende tanto de forma presencial como por medios electrónicos.</t>
  </si>
  <si>
    <t>SUBSECRETARÍA DE DESARROLLO COMUNITARIO Y PROMOCIÓN PATRIMONIAL</t>
  </si>
  <si>
    <t>DIRECCIÓN GENERAL DE PATRIMONIO CULTURAL</t>
  </si>
  <si>
    <t>Personas atendidas de manera presencial y virtual</t>
  </si>
  <si>
    <t>Reporte de visitantes presenciales y virtuales en la Zona Arqueológica de Cañada de la Virgen en SMA.</t>
  </si>
  <si>
    <t>La atención al público es de martes a domingo de 10:00 a 18:00 horas, se otorga con servicios como; estacionamiento, transporte para traslado a la zona, taquilla, paquetería, sala introductoria, salas de exposición permanente y temporal, sanitarios, para proporcionar de la mejor manera, la atención a visitantes. Atención a grupos escolares de cualquier nivel. Las Zonas arqueológicas trabajan a través de un FIDEICOMISO, los lineamientos con los que operan permiten la exención de pago para grupos escolares únicamente los días miércoles.</t>
  </si>
  <si>
    <t>Zonas arqueológicas</t>
  </si>
  <si>
    <t>Sitio Patrimonial</t>
  </si>
  <si>
    <t>Zona Arqueológica Cañada de la Virgen</t>
  </si>
  <si>
    <t>Niños $25, adultos $100</t>
  </si>
  <si>
    <t>ealvarezt@guanajuato.gob.mx</t>
  </si>
  <si>
    <t>Impulsar proyectos de autogestión comunitaria para el cuidado, mantenimiento y aprovechamiento de espacios culturales y zonas patrimoniales.</t>
  </si>
  <si>
    <t>ACT-SCCO91399</t>
  </si>
  <si>
    <t>SC-260828-124703</t>
  </si>
  <si>
    <t>QC4045</t>
  </si>
  <si>
    <t>Fortalecimiento de Ediciones La Rana</t>
  </si>
  <si>
    <t>Dictamen de la convocatoria de Premio Nacional de Cuento, premiar al autor seleccionado y gestionar la publicación de texto ganador</t>
  </si>
  <si>
    <t>Dictamen de la convocatoria por tres jurados para otorgar premio</t>
  </si>
  <si>
    <t>Entrega de Premio Nacional de Cuento</t>
  </si>
  <si>
    <t>Reconocimiento público</t>
  </si>
  <si>
    <t>Ernesto Guevara</t>
  </si>
  <si>
    <t>ACT-SCFB82875</t>
  </si>
  <si>
    <t>SC-260828-133942</t>
  </si>
  <si>
    <t>Encuentros profesionales de la cadena del valor del libro.</t>
  </si>
  <si>
    <t>Encuentros realizados</t>
  </si>
  <si>
    <t>Festival de Escritores San Miguel de Allende</t>
  </si>
  <si>
    <t>Festival para escritores</t>
  </si>
  <si>
    <t>Hotel Real de Minas, San Miguel de Allende</t>
  </si>
  <si>
    <t>Karen Pailla, Estefani Vanesa, Maria Victoria, Jose Francisco, JJmason, Edgar Méndez, Cinthia</t>
  </si>
  <si>
    <t>ACT-SCIG15181</t>
  </si>
  <si>
    <t>SC-260828-145525</t>
  </si>
  <si>
    <t>Voces Guanajuato</t>
  </si>
  <si>
    <t>Conversatorio y lectura, voces Guanajuato</t>
  </si>
  <si>
    <t>Centro de Creación Literaria Xavier Villaurrutia</t>
  </si>
  <si>
    <t>Ana Paulina Calvillo, Karla Gasca y Ámbar Gallardo</t>
  </si>
  <si>
    <t>ACT-SCDJ57410</t>
  </si>
  <si>
    <t>SC-260828-161632</t>
  </si>
  <si>
    <t>Activación de la exposicion "Homo Videns" municipio de Comonfort</t>
  </si>
  <si>
    <t>Activación de la exposición "Homo Videns" en el municipio de Comonfort como parte del programa Arte en tu Plaza</t>
  </si>
  <si>
    <t>Plaza Civica Dr. Mora en el municipio de Comonfort</t>
  </si>
  <si>
    <t>ACT-SCBX82448</t>
  </si>
  <si>
    <t>SC-260828-162355</t>
  </si>
  <si>
    <t>PB3565</t>
  </si>
  <si>
    <t>Fortalecimiento de procesos participativos municipales</t>
  </si>
  <si>
    <t>Programa y listado de asistentes al Curso taller para la difusión del patrimonio cultural de la entidad.</t>
  </si>
  <si>
    <t>Curso taller realizado</t>
  </si>
  <si>
    <t>Identificación y uso adecuado de materiales pétreos para la conservación del patrimonio edificado en Guanajuato</t>
  </si>
  <si>
    <t>Identificar, evaluar, seleccionar y emplear adecuadamente los materiales pétreos originales y de reposición en la conservación del patrimonio edificado de Guanajuato</t>
  </si>
  <si>
    <t>Patrimonio arquitectónico</t>
  </si>
  <si>
    <t>Teatro Juárez</t>
  </si>
  <si>
    <t>mbmontero@guanajuato.gob.mx</t>
  </si>
  <si>
    <t>Fortalecer las capacidades técnicas  garantizando intervenciones compatibles, sustentables y acordes con los criterios de autenticidad y mínima alteración.</t>
  </si>
  <si>
    <t>ACT-SCMI05636</t>
  </si>
  <si>
    <t>SC-260831-141459</t>
  </si>
  <si>
    <t>QC4140</t>
  </si>
  <si>
    <t>Festivales, Encuentros y Ferias Culturales y Artísticas</t>
  </si>
  <si>
    <t>Encuentros culturales enfocados en la formación, reflexión y profesionalización de artistas, investigadoras, creadoras, docentes, promotoras culturales, gestoras y editoras, con actividades como talleres, clases magistrales.</t>
  </si>
  <si>
    <t>SIN ASIGNAR</t>
  </si>
  <si>
    <t>Asistentes y participantes de los encuentros</t>
  </si>
  <si>
    <t>abece</t>
  </si>
  <si>
    <t>fgggggggfd</t>
  </si>
  <si>
    <t>llarag@guanajuato.gob.mx</t>
  </si>
  <si>
    <t>hbghngcn</t>
  </si>
  <si>
    <t>ACT-SCDR96816</t>
  </si>
  <si>
    <t>SC-260904-102348</t>
  </si>
  <si>
    <t>Taller de inclusivo: El paisaje entre las manos.</t>
  </si>
  <si>
    <t>Representación de un paisaje a través de la exploración de texturas, olores y sensaciones, privilegiando el sentido del tacto.</t>
  </si>
  <si>
    <t>ACT-SCHD32027</t>
  </si>
  <si>
    <t>SC-260904-104122</t>
  </si>
  <si>
    <t>Talleres familiares de verano: Paisajes que cuentan historias.</t>
  </si>
  <si>
    <t>Las y los participantes descubren cómo los paisajes pueden expresar recuerdos, emociones y experiencias</t>
  </si>
  <si>
    <t>ACT-SCTH51490</t>
  </si>
  <si>
    <t>SC-260904-105217</t>
  </si>
  <si>
    <t>ACT-SCNE08864</t>
  </si>
  <si>
    <t>SC-260904-110101</t>
  </si>
  <si>
    <t>Recorrido guiado CIPEC</t>
  </si>
  <si>
    <t>ACT-SCIS40701</t>
  </si>
  <si>
    <t>SC-260904-111652</t>
  </si>
  <si>
    <t>Taller. Escribir la vida: el diario como memoria y expresión</t>
  </si>
  <si>
    <t>Conocer sobre el género literario del Diario</t>
  </si>
  <si>
    <t>ACT-SCSC14496</t>
  </si>
  <si>
    <t>SC-260904-112753</t>
  </si>
  <si>
    <t>ACT-SCOF01844</t>
  </si>
  <si>
    <t>SC-260904-125110</t>
  </si>
  <si>
    <t>Recorrido especial Consulado de Japón</t>
  </si>
  <si>
    <t>Recorrido por el Museo</t>
  </si>
  <si>
    <t>Museo Conde Rul</t>
  </si>
  <si>
    <t>ACT-SCIP21079</t>
  </si>
  <si>
    <t>SC-260904-130120</t>
  </si>
  <si>
    <t>ACT-SCNM26421</t>
  </si>
  <si>
    <t>SC-260907-135617</t>
  </si>
  <si>
    <t>Premio Cultura Investiga  Categoría Historia de Guanajuato 2026</t>
  </si>
  <si>
    <t>Reconocer, impulsar y difundir investiaciones relevantes a nivel nacional sobre el estado de Guanajuato en los campos de las Artes Visuales y la Historia que contribuyan al fortalecimiento de la identidad cultural, la construcción de memoria colectiva y la apropiación social del patrimonio, promoviendo el acceso equitativo al conocimiento y la participación de personas investigadoras, c readors y especialistas desde una perspectiva incluyente y de impacto social.</t>
  </si>
  <si>
    <t>ACT-SCIV93284</t>
  </si>
  <si>
    <t>SC-260908-100627</t>
  </si>
  <si>
    <t>Premio Cultura Investiga  Categoría Artes Visuales en Guanajuato  2026</t>
  </si>
  <si>
    <t>ACT-SCOV13911</t>
  </si>
  <si>
    <t>SC-260908-111134</t>
  </si>
  <si>
    <t>Arte en tu Plaza exposicion "Fragmentos y Complicidades" municipio de Silao de la Victoria</t>
  </si>
  <si>
    <t>Exposicion en la Plaza libertad en el municipio de Silao de la Victoria como parte del programa Arte en tu Plaza</t>
  </si>
  <si>
    <t>Plaza de la Libertad en el municipio de Silao de la Victoria</t>
  </si>
  <si>
    <t>ACT-SCEF46739</t>
  </si>
  <si>
    <t>SC-260908-112834</t>
  </si>
  <si>
    <t>Arte en tu Plaza exposicion "Homo Videns" municipio de Comonfort</t>
  </si>
  <si>
    <t>Exposicion en Plaza Civica Dr. Mora en el municipio de Comonfort como parte del programa Arte en tu Plaza</t>
  </si>
  <si>
    <t>ACT-SCFB30098</t>
  </si>
  <si>
    <t>SC-260908-140301</t>
  </si>
  <si>
    <t>ACT-SCUX59265</t>
  </si>
  <si>
    <t>SC-260908-140830</t>
  </si>
  <si>
    <t>ACT-SCOA06513</t>
  </si>
  <si>
    <t>SC-260908-141442</t>
  </si>
  <si>
    <t>Callejon del arte</t>
  </si>
  <si>
    <t>Espacio extramuros en donde artistas guanajuatenses tienen la oportunidad de exhibir y vender sus obras.</t>
  </si>
  <si>
    <t>Comercialización cultural</t>
  </si>
  <si>
    <t>Callejón de la Condesa</t>
  </si>
  <si>
    <t>Mercado cultural</t>
  </si>
  <si>
    <t>ACT-SCSO91081</t>
  </si>
  <si>
    <t>SC-260908-150727</t>
  </si>
  <si>
    <t>Espacios incidentales: Barroco, tango y silencio</t>
  </si>
  <si>
    <t>Un recorrido sonoro entre la elegancia barroca, la contemplación contemporánea y la intensidad del tango</t>
  </si>
  <si>
    <t>ACT-SCNK13055</t>
  </si>
  <si>
    <t>SC-260908-160607</t>
  </si>
  <si>
    <t>Activación interdisciplinar: Moda hoy, ayer y mañana.</t>
  </si>
  <si>
    <t>Presentación interdisciplinar para con algunas herramientas del teatro</t>
  </si>
  <si>
    <t>ACT-SCJS75643</t>
  </si>
  <si>
    <t>SC-260908-163445</t>
  </si>
  <si>
    <t>ACT-SCTU54508</t>
  </si>
  <si>
    <t>SC-260908-165831</t>
  </si>
  <si>
    <t>ACT-SCNV23326</t>
  </si>
  <si>
    <t>SC-260909-114038</t>
  </si>
  <si>
    <t>ACT-SCKX77224</t>
  </si>
  <si>
    <t>SC-260909-121517</t>
  </si>
  <si>
    <t>ACT-SCHN00336</t>
  </si>
  <si>
    <t>SC-260909-124841</t>
  </si>
  <si>
    <t>ACT-SCGN42034</t>
  </si>
  <si>
    <t>SC-260909-150607</t>
  </si>
  <si>
    <t>Visita guiada: Eterno Femenino.</t>
  </si>
  <si>
    <t>Recorrido por la exposición a cargo de la curadora.</t>
  </si>
  <si>
    <t>ACT-SCSV41561</t>
  </si>
  <si>
    <t>SC-260909-153941</t>
  </si>
  <si>
    <t>Conferencia Poética del Paisaje</t>
  </si>
  <si>
    <t>Conferencia con la curadora Tely Duarte, en torno al cierre de la exposición</t>
  </si>
  <si>
    <t>ACT-SCQW89910</t>
  </si>
  <si>
    <t>SC-260909-155520</t>
  </si>
  <si>
    <t>Taller “Una mañana de verano en el jardín de  Olga Costa”</t>
  </si>
  <si>
    <t>Taller infantil de exploración artística a través del jardín del Olga Costa,</t>
  </si>
  <si>
    <t>ACT-SCAC96318</t>
  </si>
  <si>
    <t>SC-260910-142634</t>
  </si>
  <si>
    <t>Cuentacuentos: Tlali Nantli</t>
  </si>
  <si>
    <t>Compilación de tres historias acerca del cuidado y preservación del medio ambiente, relatos musicalizados y en vivo narrados por títeres.</t>
  </si>
  <si>
    <t>ACT-SCAS88315</t>
  </si>
  <si>
    <t>SC-260910-143104</t>
  </si>
  <si>
    <t>Taller: El arte del rapacejo  | empuntado el rebozo de Uriangato</t>
  </si>
  <si>
    <t>Taller práctico que acerca a los participantes al arte del rapacejo</t>
  </si>
  <si>
    <t>ACT-SCNW78674</t>
  </si>
  <si>
    <t>SC-260910-143646</t>
  </si>
  <si>
    <t>Conversatorio: ¿Quién hereda el taller de rebozo?</t>
  </si>
  <si>
    <t>Este conversatorio invita a reflexionar sobre el futuro del oficio rebocero</t>
  </si>
  <si>
    <t>ACT-SCDD20458</t>
  </si>
  <si>
    <t>SC-260910-144509</t>
  </si>
  <si>
    <t>Capacitación Trastorno del Espectro Autista</t>
  </si>
  <si>
    <t>Charla de concientización en torno al autismo</t>
  </si>
  <si>
    <t>ACT-SCZY03455</t>
  </si>
  <si>
    <t>SC-260911-100534</t>
  </si>
  <si>
    <t>ACT-SCKA20778</t>
  </si>
  <si>
    <t>SC-260911-104136</t>
  </si>
  <si>
    <t>Conversatorio Moda hoy</t>
  </si>
  <si>
    <t>Charla con los curadores en torno a la exposición</t>
  </si>
  <si>
    <t>ACT-SCEG52588</t>
  </si>
  <si>
    <t>SC-260911-111858</t>
  </si>
  <si>
    <t>ACT-SCVL18515</t>
  </si>
  <si>
    <t>SC-260911-121144</t>
  </si>
  <si>
    <t>ACT-SCIV31392</t>
  </si>
  <si>
    <t>SC-260911-121657</t>
  </si>
  <si>
    <t>ACT-SCDN84830</t>
  </si>
  <si>
    <t>SC-260911-122203</t>
  </si>
  <si>
    <t>ACT-SCMT80704</t>
  </si>
  <si>
    <t>SC-260911-122858</t>
  </si>
  <si>
    <t>Visita guiada libre scout Gto</t>
  </si>
  <si>
    <t>ACT-SCSE03136</t>
  </si>
  <si>
    <t>SC-260911-123953</t>
  </si>
  <si>
    <t>Visita guiada CIANNA</t>
  </si>
  <si>
    <t>ACT-SCHE47742</t>
  </si>
  <si>
    <t>SC-260911-125850</t>
  </si>
  <si>
    <t>Visita guiada Escuela de Diseño</t>
  </si>
  <si>
    <t>ACT-SCMH52052</t>
  </si>
  <si>
    <t>SC-260911-135644</t>
  </si>
  <si>
    <t>ACT-SCEO23171</t>
  </si>
  <si>
    <t>SC-260911-140414</t>
  </si>
  <si>
    <t>Visita guiada COMUDEG</t>
  </si>
  <si>
    <t>ACT-SCRK60862</t>
  </si>
  <si>
    <t>SC-260911-144936</t>
  </si>
  <si>
    <t>Visita guiada Amigos de la Alhondiga</t>
  </si>
  <si>
    <t>ACT-SCQE64976</t>
  </si>
  <si>
    <t>SC-260911-145445</t>
  </si>
  <si>
    <t>Visita guiada UG</t>
  </si>
  <si>
    <t>ACT-SCZY90747</t>
  </si>
  <si>
    <t>SC-260911-145910</t>
  </si>
  <si>
    <t>ACT-SCKC19065</t>
  </si>
  <si>
    <t>SC-260911-150346</t>
  </si>
  <si>
    <t>ACT-SCKL99207</t>
  </si>
  <si>
    <t>SC-260911-150846</t>
  </si>
  <si>
    <t>ACT-SCJS85381</t>
  </si>
  <si>
    <t>SC-260911-151338</t>
  </si>
  <si>
    <t>ACT-SCJA53450</t>
  </si>
  <si>
    <t>SC-260911-151701</t>
  </si>
  <si>
    <t>ACT-SCAD02703</t>
  </si>
  <si>
    <t>SC-260911-152021</t>
  </si>
  <si>
    <t>ACT-SCLV27428</t>
  </si>
  <si>
    <t>SC-260911-152716</t>
  </si>
  <si>
    <t>ACT-SCBI74655</t>
  </si>
  <si>
    <t>SC-260911-153053</t>
  </si>
  <si>
    <t>ACT-SCNB99509</t>
  </si>
  <si>
    <t>SC-260911-160911</t>
  </si>
  <si>
    <t>ACT-SCGP32952</t>
  </si>
  <si>
    <t>SC-260914-102435</t>
  </si>
  <si>
    <t>El Diseño en el tarot. Historia, arte y ocultismo.</t>
  </si>
  <si>
    <t>El Diseño en el tarot. Historia, arte y ocultismo. Con Marisa Andrade Pérez Vela, Adrián García Orozco, Franca Toro.</t>
  </si>
  <si>
    <t>ACT-SCLX68215</t>
  </si>
  <si>
    <t>SC-260914-104335</t>
  </si>
  <si>
    <t>El espiritismo seduce a Francisco I. Madero. Presenta la autora: Yolia Tortolero Cervantes</t>
  </si>
  <si>
    <t>Conoce la relación entre el espiritismo y uno de los personajes históricos de nuestra nación.</t>
  </si>
  <si>
    <t>ACT-SCLU07350</t>
  </si>
  <si>
    <t>SC-260914-105149</t>
  </si>
  <si>
    <t>Las 7 luminarias y las constelaciones</t>
  </si>
  <si>
    <t>Diego García nos ocmparte la relación entre las siete luminarias y la bóveda celeste, además de su importancia identitaria en las comunidades adyacentes.</t>
  </si>
  <si>
    <t>ACT-SCKY29214</t>
  </si>
  <si>
    <t>SC-260914-110221</t>
  </si>
  <si>
    <t>Runas y sabiduría nórdica. El lenguaje simbólico del norte como puente entre historia, mito y conciencia.</t>
  </si>
  <si>
    <t>Runas y sabiduría nórdica. El lenguaje simbólico del norte como puente entre historia, mito y conciencia.  Con Berenice Vázquez</t>
  </si>
  <si>
    <t>ACT-SCUI68875</t>
  </si>
  <si>
    <t>SC-260914-111815</t>
  </si>
  <si>
    <t>ACT-SCTW29397</t>
  </si>
  <si>
    <t>SC-260914-112926</t>
  </si>
  <si>
    <t>Conversatorio La importancia de la imagen Butoh.</t>
  </si>
  <si>
    <t>Conversatorio La importancia de la imagen Butoh. Modera: Eugenia Vargas. Participan: César Alberto Guzmán, Teresa Carlos, y Natalia Cuéllar.</t>
  </si>
  <si>
    <t>ACT-SCKY93862</t>
  </si>
  <si>
    <t>SC-260914-113412</t>
  </si>
  <si>
    <t>Segundo Encuentro de Danza Butoh</t>
  </si>
  <si>
    <t>Natalia Cuéllar (Chile), Teresa Carlos (México)</t>
  </si>
  <si>
    <t>ACT-SCEV33562</t>
  </si>
  <si>
    <t>SC-260914-121800</t>
  </si>
  <si>
    <t>Apertura de la exposición efímera Luz Abisal</t>
  </si>
  <si>
    <t>Laboratorio Escénico Danza Teatro Ritual, dirección Eugenia Vargas. Fotógrafo: César Alberto Guzmán</t>
  </si>
  <si>
    <t>ACT-SCJY84263</t>
  </si>
  <si>
    <t>SC-260914-122835</t>
  </si>
  <si>
    <t>4° Festival de Cine de la Otredad. Muestra de Visuales</t>
  </si>
  <si>
    <t>Visuales Perros nos comparten su intervenció lumínica en la arquitectura interna del Museo con increíbles videomapings</t>
  </si>
  <si>
    <t>ACT-SCZY58450</t>
  </si>
  <si>
    <t>SC-260914-123244</t>
  </si>
  <si>
    <t>Activación Sonora con Miguel Meza. De la exposición Habitar ése Bosque.</t>
  </si>
  <si>
    <t>ACT-SCYM51625</t>
  </si>
  <si>
    <t>SC-260914-124024</t>
  </si>
  <si>
    <t>Proyección de Cortometraje "La Galereña", Concierto del Coro AJUG, Charla: Panoramas, perspectivas de la vida, Exposición efímera de los talleres de dibujo y pintura de los talleres AJUG.</t>
  </si>
  <si>
    <t>ACT-SCUF24467</t>
  </si>
  <si>
    <t>SC-260914-125054</t>
  </si>
  <si>
    <t>Espacios incidentales. Coros Voces del Alma y Acordes del Corazón</t>
  </si>
  <si>
    <t>En el mes del adulto mayo presentamos a personas jubiladas de la Asociación de Jubilados de la Universida de Guanajuato, quienes nos invitarán a un viaje a la música romántica de antaño.</t>
  </si>
  <si>
    <t>Música popular</t>
  </si>
  <si>
    <t>ACT-SCZJ24932</t>
  </si>
  <si>
    <t>SC-260914-140319</t>
  </si>
  <si>
    <t>Espacio Incidental La Prudencia</t>
  </si>
  <si>
    <t>Se parte de esta muestra teatral donde se cuestiona la honestidad, soledad y misterio. Colectivo Golpe de Máscara. Artes escénicas UDL</t>
  </si>
  <si>
    <t>ACT-SCYH28131</t>
  </si>
  <si>
    <t>SC-260914-153454</t>
  </si>
  <si>
    <t>ACT-SCNC66983</t>
  </si>
  <si>
    <t>SC-260915-155021</t>
  </si>
  <si>
    <t>Conferencia "Retablo dorado de Purísima de Bustos"</t>
  </si>
  <si>
    <t>Conferencia impartida por la Mtra. Carolusa González acerca de la composición y restauración del retablo dorado de la Parroquia de Purísima del Rincón</t>
  </si>
  <si>
    <t>ACT-SCBV35426</t>
  </si>
  <si>
    <t>SC-260915-155640</t>
  </si>
  <si>
    <t>Conferencia "Pincel a pincel, Juan Nepomuceno Herrera y Hermenegildo Bustos"</t>
  </si>
  <si>
    <t>Conferencia impartida por el Ing. Jesús Verdín Saldaña acerca de Hermenegildo Bustos y su obra.</t>
  </si>
  <si>
    <t>ACT-SCKJ13536</t>
  </si>
  <si>
    <t>SC-260915-155934</t>
  </si>
  <si>
    <t>Conferencia "Dichoso de tí angelito"</t>
  </si>
  <si>
    <t>Conferencia impartida por el Mtro. Ramón Avendaño sobre la colección "Angelitos: la vida y la muerte niña en México"</t>
  </si>
  <si>
    <t>ACT-SCRB24293</t>
  </si>
  <si>
    <t>SC-260915-160911</t>
  </si>
  <si>
    <t>Espacios incidentales: Presentación de danza "Inercia"</t>
  </si>
  <si>
    <t>Presentación de danza por integrantes del grupo I. Motion Dance Studio</t>
  </si>
  <si>
    <t>ACT-SCQB51111</t>
  </si>
  <si>
    <t>SC-260915-161610</t>
  </si>
  <si>
    <t>ACT-SCXI94588</t>
  </si>
  <si>
    <t>SC-260915-162952</t>
  </si>
  <si>
    <t>Espacios incidentales: presentación de la orquesta Vientos Musicales</t>
  </si>
  <si>
    <t>Presentación de la orquesta Vientos Musicales de Purísima del Rincón</t>
  </si>
  <si>
    <t>ACT-SCMV84403</t>
  </si>
  <si>
    <t>SC-260915-163815</t>
  </si>
  <si>
    <t>Espacios incidentales: Premios Juventudes</t>
  </si>
  <si>
    <t>Se otorgan premios juventudes a personas destacadas del municipio de Purísima del Rincón en diferentes categorías como arte y cultura, deporte, ciencias, etc.</t>
  </si>
  <si>
    <t>Uso temporal de espacio patrimonial</t>
  </si>
  <si>
    <t>Gestión de recursos materiales</t>
  </si>
  <si>
    <t>ACT-SCMY17952</t>
  </si>
  <si>
    <t>SC-260917-102217</t>
  </si>
  <si>
    <t>Recorrido Guiado</t>
  </si>
  <si>
    <t>ACT-SCMY83187</t>
  </si>
  <si>
    <t>SC-260917-103450</t>
  </si>
  <si>
    <t>ACT-SCSN19355</t>
  </si>
  <si>
    <t>SC-260917-103912</t>
  </si>
  <si>
    <t>Visita guiada por el museo</t>
  </si>
  <si>
    <t>ACT-SCEQ46334</t>
  </si>
  <si>
    <t>SC-260917-104819</t>
  </si>
  <si>
    <t>Se contacto al tallerista</t>
  </si>
  <si>
    <t>ACT-SCUH29282</t>
  </si>
  <si>
    <t>SC-260917-105528</t>
  </si>
  <si>
    <t>Se contacto a Tallerista</t>
  </si>
  <si>
    <t>ACT-SCNO55541</t>
  </si>
  <si>
    <t>SC-260917-110308</t>
  </si>
  <si>
    <t>ACT-SCUX09615</t>
  </si>
  <si>
    <t>SC-260917-113108</t>
  </si>
  <si>
    <t>Circulo de lectura e identidad</t>
  </si>
  <si>
    <t>ACT-SCAE51563</t>
  </si>
  <si>
    <t>SC-260917-143030</t>
  </si>
  <si>
    <t>ACT-SCTZ58716</t>
  </si>
  <si>
    <t>SC-260917-150311</t>
  </si>
  <si>
    <t>ACT-SCQU72854</t>
  </si>
  <si>
    <t>SC-260917-165145</t>
  </si>
  <si>
    <t>ACT-SCWD89991</t>
  </si>
  <si>
    <t>SC-260917-160101</t>
  </si>
  <si>
    <t>PB3567</t>
  </si>
  <si>
    <t>Formación e Investigación Artística</t>
  </si>
  <si>
    <t>Exposiciones temporales en distintas disciplinas artísticas.</t>
  </si>
  <si>
    <t>DIRECCIÓN GENERAL DE FORMACIÓN E INVESTIGACIÓN</t>
  </si>
  <si>
    <t>Exposiciones realizadas</t>
  </si>
  <si>
    <t>Exposicion travesia gráfica</t>
  </si>
  <si>
    <t>Inauguración de la exposición Travesía gráfica obra de Gilberto Guerrero</t>
  </si>
  <si>
    <t>Mensual</t>
  </si>
  <si>
    <t>Espacio préstamo a la Secretaría de Cultura</t>
  </si>
  <si>
    <t>claudia.ramirezm@guanajuato.gob.mx</t>
  </si>
  <si>
    <t>Mónica Ledesma Arias</t>
  </si>
  <si>
    <t>ACT-SCOF39726</t>
  </si>
  <si>
    <t>SC-260918-111642</t>
  </si>
  <si>
    <t>ACT-SCVS48670</t>
  </si>
  <si>
    <t>SC-260918-112632</t>
  </si>
  <si>
    <t>Recorrido guiado por el Museo</t>
  </si>
  <si>
    <t>ACT-SCNY62875</t>
  </si>
  <si>
    <t>SC-260918-113303</t>
  </si>
  <si>
    <t>ACT-SCKJ18026</t>
  </si>
  <si>
    <t>SC-260918-114022</t>
  </si>
  <si>
    <t>ACT-SCSG23490</t>
  </si>
  <si>
    <t>SC-260918-114545</t>
  </si>
  <si>
    <t>ACT-SCSA90746</t>
  </si>
  <si>
    <t>SC-260918-121346</t>
  </si>
  <si>
    <t>Cursos, talleres, y diplomados en la disciplina de las artes escénicas y multidisciplinares. Teatro, danza y artes vivas.</t>
  </si>
  <si>
    <t>Cursos, talleres, diplomados realizados</t>
  </si>
  <si>
    <t>Taller -laboratorio: Teatro abierto, nuevas narrativas, territorios expresivos y estrategias de producción</t>
  </si>
  <si>
    <t>Taller-laboratotio de teatro, con duración de 60 horas . El objetivo es generar un primer contacto con las formas y relaciones del teatro abierto, de esas nuevas narrativas, de estos territorios expresivos, que precisan a su vez de otras formas, espacios y estrategias de producción con sus nuevos espectadores, de manera de producir las coincidencias y los encuentros.</t>
  </si>
  <si>
    <t>Actividades artísticas y culturales en zonas de alta marginación.</t>
  </si>
  <si>
    <t>Promover alianzas para becas y estímulos con enfoque en grupos prioritarios y municipios con menor acceso a programas de formación.</t>
  </si>
  <si>
    <t>Taller-laboratorio teórico-práctico enfocado en el desarrollo de lenguajes escénicos contemporáneos, nuevas narrativas y herramientas de producción teatral.</t>
  </si>
  <si>
    <t>Humberto García Lázaro, Armando Rivero</t>
  </si>
  <si>
    <t>ACT-SCJW46062</t>
  </si>
  <si>
    <t>SC-260918-130913</t>
  </si>
  <si>
    <t>QC4049</t>
  </si>
  <si>
    <t>Centro de las Artes de Guanajuato, Claustro Mayor</t>
  </si>
  <si>
    <t>Programa académico del Centro de las Artes de Guanajuato, Claustro Mayor, incluye: cursos y talleres de especialización en las disciplinas de artes escénicas, visuales, plásticas, patrimonio cultural inmaterial y públicos específicos, en Salamanca</t>
  </si>
  <si>
    <t>Actividades realizadas</t>
  </si>
  <si>
    <t>Taller avanzado de grabado en metal FIC.</t>
  </si>
  <si>
    <t>Taller de grabado en metal dirigido a personas creadoras con trayectoria.Los resultados de este taller se presentarán como parte del programa de artes visuales del Festival Internacional Cervantino en su edición 54, en alineación a Francia como país invitado de honor, en una muestra tributo a Alice Rahon, artista franco-mexicana exponente del surrealismo.</t>
  </si>
  <si>
    <t>Espacio formativo y de producción práctica centrado en el desarrollo de técnicas avanzadas de grabado.</t>
  </si>
  <si>
    <t>Gilberto Guerrero Sánchez</t>
  </si>
  <si>
    <t>ACT-SCBC66974</t>
  </si>
  <si>
    <t>SC-260918-131816</t>
  </si>
  <si>
    <t>Cartografía de Archivos Vivos</t>
  </si>
  <si>
    <t>El taller de Cartografías de Archivos Vivos será un espacio participativo orientado a la construcción colectiva de conocimiento, memoria y territorio, donde se fusiona el mapeo social con la recuperación de narrativas orales y documentales (archivos).</t>
  </si>
  <si>
    <t>Es un laboratorio donde el cuerpo se aborda como un territorio vivo de mitos, mandatos y patrones. En él se pudieron vivenciar herramientas como el movimiento, la poesía y la atención plena. Fue dirigido a artistas escénicos , personas creadoras y personas estudiantes.</t>
  </si>
  <si>
    <t>Juan Manuel Garcia Belmonte, Valeria Oviedo</t>
  </si>
  <si>
    <t>ACT-SCHO27779</t>
  </si>
  <si>
    <t>SC-260918-151610</t>
  </si>
  <si>
    <t>Taller de gráfica experimental a través de la estampación y transferencia botánica</t>
  </si>
  <si>
    <t>Espacio de exploración artística que combina técnicas de estampación y transferencia gráfica utilizando elementos y pigmentos botánicos.</t>
  </si>
  <si>
    <t>Dotar al participante de los conocimientos de la técnica en la cual se hace una transferencia del material que da el color a todas las plantas y flores por medio del calor ya sea con inmersión en agua en ebullición o al vapor, plancha y/o presión, ya sea con martillo de madera o metal y con tórculo. Además se propone que las personas participantes generen piezas que planteen piezas de lo bidimensional a lo tridimensional.</t>
  </si>
  <si>
    <t>ALBERTINA TAFOLLA RODRIGUEZ</t>
  </si>
  <si>
    <t>ACT-SCSU96183</t>
  </si>
  <si>
    <t>SC-260918-160843</t>
  </si>
  <si>
    <t>Cursos, talleres, y diplomados en la disciplina de las artes plásticas, sobre distintas técnicas del grabado</t>
  </si>
  <si>
    <t>Taller de metodologías del grabado para la inclusión</t>
  </si>
  <si>
    <t>Taller de metodologías del grabado para la inclusión de programa de formación y especialización en grabado y litografía el cual tuvo una duración de 20 horas y tuvo una modalidad en linea.</t>
  </si>
  <si>
    <t>Modalidad en linea</t>
  </si>
  <si>
    <t>Capacitar a docentes y artistas con la finalidad de trabajar técnicas gráficas con grupos de personas que presentan barreras para el aprendizaje y la participación.</t>
  </si>
  <si>
    <t>Ana Patricia Marín</t>
  </si>
  <si>
    <t>ACT-SCRN10556</t>
  </si>
  <si>
    <t>SC-260918-163417</t>
  </si>
  <si>
    <t>Taller "Escritura poética. Genealogias de lo familiar"</t>
  </si>
  <si>
    <t>Taller de creación e investigación poética centrado en la exploración temática de la genealogía, la memoria y el entorno familiar.</t>
  </si>
  <si>
    <t>Poesía</t>
  </si>
  <si>
    <t>Impartición de dos talleres de formación e investigación literaria centrados en la escritura poética a través de las genealogías familiares.</t>
  </si>
  <si>
    <t>Ariana Ibañez Barrera</t>
  </si>
  <si>
    <t>ACT-SCWB12949</t>
  </si>
  <si>
    <t>SC-260918-165012</t>
  </si>
  <si>
    <t>ENCLAVE 2026. Poéticas de Origen Futuro Taller de Códigos Poéticos Expandidos</t>
  </si>
  <si>
    <t>El Taller Enclave 2026: Poéticas de origen futuro es un espacio de exploración creativa que articula la poesía con el live coding como práctica artística contemporánea. A través de la escritura en tiempo real y el uso de herramientas digitales, las y los participantes experimentan nuevas formas de creación poética donde el código se convierte en lenguaje expresivo, performativo y generador de sentido. El taller propone un diálogo entre lo humano y lo tecnológico, explorando cómo los procesos algorítmicos pueden expandir las posibilidades de la palabra, el ritmo y la narrativa. Desde una perspectiva experimental, se construyen piezas que integran texto, sonido y ejecución en vivo, abriendo rutas hacia una poética situada en el presente pero proyectada hacia futuros posibles.</t>
  </si>
  <si>
    <t>Taller enfocado en la experimentación y creación audiovisual en tiempo real mediante herramientas de live coding. A través de la interacción entre sonido, imagen y texto, el espacio propone al código como un lenguaje performativo y crítico, promoviendo metodologías de trabajo colaborativo que integran la improvisación para la construcción de narrativas abiertas y poéticas contemporáneas.</t>
  </si>
  <si>
    <t>Rocío Jazmín Cerón Flores, Malintzin Cortés, Vinicius Marquet</t>
  </si>
  <si>
    <t>Acompañamiento en las actividades impartidas en el taller.</t>
  </si>
  <si>
    <t>ACT-SCJH52543</t>
  </si>
  <si>
    <t>SC-260921-110314</t>
  </si>
  <si>
    <t>Taller " La cuerpa. Actividades sensoriales y sensibles"</t>
  </si>
  <si>
    <t>La cuerpa: Actividades sensoriales y sensibles" es un espacio de encuentro y exploración diseñado para reconectar con los sentidos, la escucha interna y la expresividad desde una perspectiva empática y de liberación.</t>
  </si>
  <si>
    <t>El taller presencial "La cuerpa: Actividades sensoriales y sensibles" es una experiencia vivencial de exploración corporal y sensibilidad artística. Combina dinámicas de integración sensorial, movimiento libre y creación colectiv. Está diseñado para reconectar con los sentidos y la expresión corporal en un ambiente seguro de trabajo en equipo.</t>
  </si>
  <si>
    <t>ARIANA IBAÑEZ BARRERA</t>
  </si>
  <si>
    <t>ACT-SCCL28269</t>
  </si>
  <si>
    <t>SC-260921-110015</t>
  </si>
  <si>
    <t>Cursos, talleres, y diplomados en la disciplina de las artes visuales, digitales y sonoras. Cine y sonorización.</t>
  </si>
  <si>
    <t>Taller de Modelado 3D en Blender</t>
  </si>
  <si>
    <t>Taller práctico sobre los fundamentos del modelado tridimensional en Blender, orientado a la creación y transformación de objetos virtuales, manejo de geometrías y aplicación básica de materiales, iluminación y renderizado para el desarrollo de proyectos de diseño y arte digital.</t>
  </si>
  <si>
    <t>En este taller se exploran las prácticas de creación en tiempo real mediante live coding, integrando sonido, imagen y texto como lenguajes poéticos. Las y los participantes experimentarán con el código como un medio expresivo, performativo y colaborativo, aprovechando la improvisación y el error para desarrollar piezas audiovisuales y prototipos que reflexionen sobre futuros posibles.</t>
  </si>
  <si>
    <t>Hasem Anzures, Alfredo López Soto</t>
  </si>
  <si>
    <t>ACT-SCPE79917</t>
  </si>
  <si>
    <t>SC-260921-114720</t>
  </si>
  <si>
    <t>Taller de Introducción a la interdisciplina.</t>
  </si>
  <si>
    <t>Taller de introducción a la interdisciplina dentro del programa de formación y especialización en artes digitales y multimedia.</t>
  </si>
  <si>
    <t>Inmersión metodológica que explora otras formas de producción y enseñanza artística mediante la práctica interdisciplinaria.</t>
  </si>
  <si>
    <t>Francisco González Hernández</t>
  </si>
  <si>
    <t>ACT-SCVU63289</t>
  </si>
  <si>
    <t>SC-260921-122345</t>
  </si>
  <si>
    <t>"Taller la niña y la ciencia "</t>
  </si>
  <si>
    <t>Proyecto del programa estatal de cultura infantil impulsado conjuntamente por la Secretaría de Cultura Federal y la SCUL, diseñado para vincular la ciencia y la cultura en beneficio del desarrollo creativo e intelectual de las infancias.</t>
  </si>
  <si>
    <t>Iniciativa inscrita en el programa estatal de cultura infantil, coordinada mediante convenio de colaboración entre la Secretaría de Cultura Federal y la Secretaría de Cultura del Estado de Guanajuato. El proyecto busca articular los lenguajes artísticos con la divulgación científica para fomentar el desarrollo integral, la curiosidad y la creatividad de la niñez en el estado.</t>
  </si>
  <si>
    <t>Amanda de Jesus Flores Santacruz</t>
  </si>
  <si>
    <t>ACT-SCLV97219</t>
  </si>
  <si>
    <t>SC-260921-124547</t>
  </si>
  <si>
    <t>Metodologia de procesos creativos</t>
  </si>
  <si>
    <t>Durante el desarrollo del taller se implementa una metodología enfocada en la experimentación práctica y el intercambio de experiencias entre las personas participantes. Las sesiones combinan momentos de reflexión con ejercicios individuales y colectivos orientados a estimular la creatividad desde diversas perspectivas.</t>
  </si>
  <si>
    <t>Proceso intensivo basado en retos creativos que culminan en una primera pieza colectiva.</t>
  </si>
  <si>
    <t>Mónica Pérez Quintero, Fabián Ávila Elizalde</t>
  </si>
  <si>
    <t>Apoyo en las actividades llevadas a cabo.</t>
  </si>
  <si>
    <t>ACT-SCTP93796</t>
  </si>
  <si>
    <t>SC-260921-134156</t>
  </si>
  <si>
    <t>Taller de Producción Audiovisual.</t>
  </si>
  <si>
    <t>Durante el desarrollo del taller, las personas participantes se enfocaron en los procesos de creación, registro, edición y postproducción audiovisual aplicados a proyectos de carácter cultural y tecnológico.</t>
  </si>
  <si>
    <t>Bases técnicas para producir imágenes en movimiento desde preproducción hasta montaje.</t>
  </si>
  <si>
    <t>Eliud Romero, Rene Valderrama Rochin</t>
  </si>
  <si>
    <t>Apoyo técnico en las sesiones llevadas a cabo.</t>
  </si>
  <si>
    <t>ACT-SCZN45583</t>
  </si>
  <si>
    <t>SC-260922-123055</t>
  </si>
  <si>
    <t>Cursos y talleres de iniciación artística para infantes y adolescentes. Artes plásticas, teatro, danza y arte popular.</t>
  </si>
  <si>
    <t>Curso y talleres artísticos realizados</t>
  </si>
  <si>
    <t>6o. Concurso Nacional de Literatura Infantil</t>
  </si>
  <si>
    <t>Este concurso convoca a escritoras y escritores de todo nuestro país para participar en dos categorías: cuento y poesía dirigidos a niñas y niños de segunda infancia</t>
  </si>
  <si>
    <t>Programas extraescolares de lectura y escritura, con: A. Formación de bibliotecarios y escritores locales mediante bibliotecas itinerantes. B. Concursos de creación literaria como cuentacuentos y oratoria en todos los niveles educativos.</t>
  </si>
  <si>
    <t>Este concurso convoca a escritoras y escritores de todo nuestro país para participar en dos categorías: cuento y poesía dirigidos a niñas y niños de segunda infancia.</t>
  </si>
  <si>
    <t>Ricardo Chávez Castañeda, Rodolfo Fonseca López, Carola Diez Biscaro</t>
  </si>
  <si>
    <t>ACT-SCAM76227</t>
  </si>
  <si>
    <t>SC-260922-134829</t>
  </si>
  <si>
    <t>Presentaciones artísticas de teatro, música y danza, editoriales, conversatorios, conferencias y charlas</t>
  </si>
  <si>
    <t>Grupo de la danza el torito de Romita.</t>
  </si>
  <si>
    <t>Participación del grupo de Danza el Torito de Romita en el Encuentro Estatal de Saberes Locales.</t>
  </si>
  <si>
    <t>Grupo danza el Torito de Romita</t>
  </si>
  <si>
    <t>ACT-SCWW82026</t>
  </si>
  <si>
    <t>SC-260922-152310</t>
  </si>
  <si>
    <t>PB3569</t>
  </si>
  <si>
    <t>Coordinación artística y operativa de la Banda de Música del Estado de Guanajuato</t>
  </si>
  <si>
    <t>Conciertos de la Banda de Música del Estado de Guanajuato en municipios del estado.</t>
  </si>
  <si>
    <t>DIRECCIÓN GENERAL DE PRODUCCIÓN ARTÍSTICA</t>
  </si>
  <si>
    <t>Conciertos</t>
  </si>
  <si>
    <t>Presentación Banda de Música</t>
  </si>
  <si>
    <t>Matinata de la Banda en Jardín Unión</t>
  </si>
  <si>
    <t>Jardín de la Unión</t>
  </si>
  <si>
    <t>machagoya@guanajuato.gob.mx</t>
  </si>
  <si>
    <t>ACT-SCCV58393</t>
  </si>
  <si>
    <t>SC-260922-160107</t>
  </si>
  <si>
    <t>Grupo de la danza apache guadalupana de Santa Cruz de Juventino Rosas</t>
  </si>
  <si>
    <t>Presentación de la Danza Apache guadalupana de Santa Cruz de Juventino Rosas en el Encuentro Estatal de Saberes locales.</t>
  </si>
  <si>
    <t>ACT-SCAP97980</t>
  </si>
  <si>
    <t>SC-260922-160706</t>
  </si>
  <si>
    <t>Agrupación de la Judea chiquita de Purísima del Rincón</t>
  </si>
  <si>
    <t>Participación de Agrupación de la Judea chiquita de Purísima del Rincón en el Encuentro Estatal de Saberes Locales.</t>
  </si>
  <si>
    <t>Kayka Producciones S.C.</t>
  </si>
  <si>
    <t>ACT-SCTS87185</t>
  </si>
  <si>
    <t>SC-260922-161523</t>
  </si>
  <si>
    <t>Cursos, talleres, y diplomados en los distintos ámbitos de la gestión cultura. Gestión de recursos y elaboración de proyectos.</t>
  </si>
  <si>
    <t>Taller de Diseño de postulaciones para becas de creación artística y cultural.</t>
  </si>
  <si>
    <t>Taller práctico e intensivo diseñado para orientar a creadores, gestores y agentes culturales en la estructuración, redacción y carpetado técnico de proyectos para convocatorias públicas e independientes.</t>
  </si>
  <si>
    <t>Luis Tareke Ortíz Cisneros</t>
  </si>
  <si>
    <t>ACT-SCMQ74551</t>
  </si>
  <si>
    <t>SC-260923-110614</t>
  </si>
  <si>
    <t>Conferencia 10 de Agosto</t>
  </si>
  <si>
    <t>ACT-SCKZ58880</t>
  </si>
  <si>
    <t>SC-260923-111454</t>
  </si>
  <si>
    <t>Conferencia "Migrantes de guanajuato"</t>
  </si>
  <si>
    <t>ACT-SCCN06688</t>
  </si>
  <si>
    <t>SC-260923-112900</t>
  </si>
  <si>
    <t>ACT-SCJU79713</t>
  </si>
  <si>
    <t>SC-260923-110558</t>
  </si>
  <si>
    <t>Programa anual expositivo del Centro de las Artes de Guanajuato, Claustro Mayor, con exposiciones temporales de artes plásticas y de los acervos CEARG en Salamanca</t>
  </si>
  <si>
    <t>Exposición "La Fortaleza. MarisolGuerrero"</t>
  </si>
  <si>
    <t>La exposición gira en torno a las genealogías familiares, los vínculos entre 3 generaciones madres, abuelas e hijas, así como los espacios compartidos dentro del hogar.</t>
  </si>
  <si>
    <t>ACT-SCZI57224</t>
  </si>
  <si>
    <t>SC-260923-130745</t>
  </si>
  <si>
    <t>Taller de improvisación Freeform + función escénica SOL</t>
  </si>
  <si>
    <t>Residencia - Taller de la Compañia Máscara de Agua. Taller de improvisación "Freeform" y función escenica SOL con una duración de 24 horas llevados a cabo en la modalidad presencial.</t>
  </si>
  <si>
    <t>Mauricio Cruz Márquez</t>
  </si>
  <si>
    <t>ACT-SCBB41292</t>
  </si>
  <si>
    <t>SC-260923-132221</t>
  </si>
  <si>
    <t>Personal del CEARG</t>
  </si>
  <si>
    <t>Participación en el Encuentro Estatal de Saberes Locales</t>
  </si>
  <si>
    <t>Divulgación cultural</t>
  </si>
  <si>
    <t>ACT-SCXY70009</t>
  </si>
  <si>
    <t>SC-260923-131659</t>
  </si>
  <si>
    <t>Ciclo Arte, juego y aprendizaje del Patrimonio Vivo (Memorias en juego, Cartografiando ando, libros vivos semillas de inspiración y bien vivir)</t>
  </si>
  <si>
    <t>Ciclo Arte, juego y aprendizaje es un espacio lúdico de encuentro de niñas, niños y adolescentes como agentes activos donde se recupera su experiencia y se potencia su relación consigo mismos, con los otrxs y su entorno, su memoria y patrimonio a través de una serie de talleres que desde diversas disciplinas artísticas detonan la creatividad, el juego, el aprendizaje, y la diversión.</t>
  </si>
  <si>
    <t>Sandra Samara Pérez Gutiérrez</t>
  </si>
  <si>
    <t>ACT-SCSA27668</t>
  </si>
  <si>
    <t>SC-260923-133733</t>
  </si>
  <si>
    <t>QC4102</t>
  </si>
  <si>
    <t>Fondo Estatal para la Cultura y las Artes</t>
  </si>
  <si>
    <t>Capacitación teórico-práctica a personas creadoras, gestoras, promotoras y productoras culturales a través de talleres para fortalecer sus capacidades en la formulación, planeación y evaluación de proyectos culturales y artísticos.</t>
  </si>
  <si>
    <t>Talleres realizados</t>
  </si>
  <si>
    <t>Taller El cerebro positrónico de Asimov, ciencia ficción para infancias y adolescencias</t>
  </si>
  <si>
    <t>Este taller busca un acercamiento al arte y los procesos creativos para niñas, niños y adolescentes a través de la ilustración</t>
  </si>
  <si>
    <t>Biblioteca pública municipal Francisco Orozco Muñoz</t>
  </si>
  <si>
    <t>Gerardo García Barrera</t>
  </si>
  <si>
    <t>ACT-SCSL85903</t>
  </si>
  <si>
    <t>SC-260923-114444</t>
  </si>
  <si>
    <t>ACT-SCTH89398</t>
  </si>
  <si>
    <t>SC-260923-125226</t>
  </si>
  <si>
    <t>Exposición "De lo invisible a lo visible. Cartografía de la memoria histórica afrodescendiente en guanajuato"</t>
  </si>
  <si>
    <t>Rescate de la memoria histórica, la herencia africana y la visibilización de las mujeres afrodescendientes</t>
  </si>
  <si>
    <t>Representaciones Arinder S.C.</t>
  </si>
  <si>
    <t>ACT-SCMO35805</t>
  </si>
  <si>
    <t>SC-260923-142115</t>
  </si>
  <si>
    <t>ACT-SCZI44962</t>
  </si>
  <si>
    <t>SC-260923-152958</t>
  </si>
  <si>
    <t>ACT-SCTJ40380</t>
  </si>
  <si>
    <t>SC-260923-161020</t>
  </si>
  <si>
    <t>Exposición "Muñecas. Hilo y tela"</t>
  </si>
  <si>
    <t>Muestra de arte popular mexicano que rinde homenaje a la identidad cultural, el legado textil y el papel de las mujeres como guardianas de las tradiciones.</t>
  </si>
  <si>
    <t>ACT-SCCR51057</t>
  </si>
  <si>
    <t>SC-260923-170347</t>
  </si>
  <si>
    <t>Inauguración Exposición "Territorios habitados, PECDA Guanajuato 2025"</t>
  </si>
  <si>
    <t>Una selección de proyectos de las disciplinas de Artes Plásticas y Medios Audiovisuales y Alternativos de los beneficiarios edicion 2025</t>
  </si>
  <si>
    <t>ACT-SCDW90018</t>
  </si>
  <si>
    <t>SC-260923-154150</t>
  </si>
  <si>
    <t>QC4142</t>
  </si>
  <si>
    <t>Ventanas al Territorio</t>
  </si>
  <si>
    <t>Programa de artes vivas en los 46 municipios, con presentaciones, talleres y procesos creativos de teatro, música, danza, narración oral y arte circense, participan agrupaciones locales, estatales e invitadas, articulada con espacios culturales y acompañada de mediación y formación comunitaria</t>
  </si>
  <si>
    <t>Asamblea WAPA - Taller de maquillaje teatral de danza</t>
  </si>
  <si>
    <t>Desarrollo de taller de maquillaje teatral de danza en el marco de la 10ma Asamblea WAPA.</t>
  </si>
  <si>
    <t>Centro Cultural Mariel</t>
  </si>
  <si>
    <t>iysalazarh@guanajuato.gob.mx</t>
  </si>
  <si>
    <t>5.5 Detonar economía naranja</t>
  </si>
  <si>
    <t>ACT-SCIB95757</t>
  </si>
  <si>
    <t>SC-260923-155158</t>
  </si>
  <si>
    <t>Circulo de Lectura</t>
  </si>
  <si>
    <t>Se contacto a lector</t>
  </si>
  <si>
    <t>ACT-SCNK06395</t>
  </si>
  <si>
    <t>SC-260924-105700</t>
  </si>
  <si>
    <t>ACT-SCNZ60763</t>
  </si>
  <si>
    <t>SC-260924-111052</t>
  </si>
  <si>
    <t>ACT-SCJQ99794</t>
  </si>
  <si>
    <t>SC-260924-120302</t>
  </si>
  <si>
    <t>Brotes: Talleres artísticos para primera infancia</t>
  </si>
  <si>
    <t>Taller inclusivo dirigido a niñas y niños con barreras para el aprendizaje y la participación, realizado en vinculación con personal del CAM, familias y cuidadoras para acompañar de forma integral su desarrollo e integración.</t>
  </si>
  <si>
    <t>María Yavhé Pérez Lara</t>
  </si>
  <si>
    <t>ACT-SCFZ57344</t>
  </si>
  <si>
    <t>SC-260924-135144</t>
  </si>
  <si>
    <t>Grupo de la danza el torito de Romita</t>
  </si>
  <si>
    <t>ACT-SCBF91981</t>
  </si>
  <si>
    <t>SC-260924-152334</t>
  </si>
  <si>
    <t>Personal del CEARG 2do turno</t>
  </si>
  <si>
    <t>ACT-SCKT28647</t>
  </si>
  <si>
    <t>SC-260924-163515</t>
  </si>
  <si>
    <t>ACT-SCWH81648</t>
  </si>
  <si>
    <t>SC-260924-161325</t>
  </si>
  <si>
    <t>PB3568</t>
  </si>
  <si>
    <t>Coordinación de Cultura y Arte Popular</t>
  </si>
  <si>
    <t>Concursos realizados que promuevan a los creadores, artesanos y portadores de saberes con apoyos</t>
  </si>
  <si>
    <t>Concursos realizados</t>
  </si>
  <si>
    <t>XXV Concurso - Muestra. La Cocina del Noreste</t>
  </si>
  <si>
    <t>Festival gastronómico busca fortalecer las tradiciones culinarias y los sistemas alimentarios tradicionales de la región noreste del estado</t>
  </si>
  <si>
    <t>Canchas deportivas de la comunidad de San José del Chilar</t>
  </si>
  <si>
    <t>Acuerdo especial de colaboración con el Municipio de Santa Catarina</t>
  </si>
  <si>
    <t>ACT-SCES26665</t>
  </si>
  <si>
    <t>SC-260925-093024</t>
  </si>
  <si>
    <t>Concurso-Exposición Máscaras de La Judea</t>
  </si>
  <si>
    <t>Concurso de arte popular para premiar y exhibir piezas talladas en madera, (máscaras de Judea tradicional).</t>
  </si>
  <si>
    <t>Otros Espacios Culturales</t>
  </si>
  <si>
    <t>Casa de cultura</t>
  </si>
  <si>
    <t>Convenio especial de colaboración con el municipio de Purísima del Rincón</t>
  </si>
  <si>
    <t>ACT-SCRG36310</t>
  </si>
  <si>
    <t>SC-260925-102322</t>
  </si>
  <si>
    <t>Exposiciones muestra de arte popular</t>
  </si>
  <si>
    <t>Exposiciones muestra realizadas</t>
  </si>
  <si>
    <t>Concurso exposición "Mascaras de la Judea"</t>
  </si>
  <si>
    <t>Exposición de mascaras de la Judea</t>
  </si>
  <si>
    <t>Acuerdo especial de colaboración con el municipio de Purisima del Rincon</t>
  </si>
  <si>
    <t>ACT-SCPI11207</t>
  </si>
  <si>
    <t>SC-260925-112659</t>
  </si>
  <si>
    <t>XVI Concurso- Exposición de Coloquio, pastorela y torito: Las máscaras</t>
  </si>
  <si>
    <t>muestra de los trabajos participantes del XVI Concurso • Exposición de Coloquio, Pastorela y Torito: Las Máscaras</t>
  </si>
  <si>
    <t>Zona Arqueológica Peralta</t>
  </si>
  <si>
    <t>Acuerdo especial de colaboración con el municipio de Abasolo</t>
  </si>
  <si>
    <t>ACT-SCFU79713</t>
  </si>
  <si>
    <t>SC-260925-121824</t>
  </si>
  <si>
    <t>Curso o taller de apoyo a los creadores y artesanos de arte popular</t>
  </si>
  <si>
    <t>Curso o taller realizado</t>
  </si>
  <si>
    <t>Taller Pastorela y Torito: creación de máscaras tradicionales de patol</t>
  </si>
  <si>
    <t>generar un espacio de aprendizaje y reflexión sobre la importancia de las máscaras tradicionales como elemento de identidad cultural, permitiendo que las personas participantes desarrollen habilidades creativas y artesanales mediante la elaboración de una pieza inspirada en las máscaras tradicionales de Pastorela y Torito.</t>
  </si>
  <si>
    <t>ACT-SCPP90088</t>
  </si>
  <si>
    <t>SC-260925-140256</t>
  </si>
  <si>
    <t>XXIX Concurso-Muestra-Venta Dulces Regionales 2026</t>
  </si>
  <si>
    <t>Muestra y venta de dulces tradicionales de la región</t>
  </si>
  <si>
    <t>Explanada Matamoros en el municipio de San Luis de la Paz, Guanajuato</t>
  </si>
  <si>
    <t>Acuerdo especial de colaboración con el Municipio de San Luis de la Paz</t>
  </si>
  <si>
    <t>ACT-SCOG94069</t>
  </si>
  <si>
    <t>SC-261001-011225</t>
  </si>
  <si>
    <t>QC4047</t>
  </si>
  <si>
    <t>Vientos Musicales para la Gente</t>
  </si>
  <si>
    <t>Capacitación a alumnado en el método multinivel en Bandas Sinfónicas, Orquestas Sinfónicas y Camerata</t>
  </si>
  <si>
    <t>Personas capacitadas</t>
  </si>
  <si>
    <t>Formación musical a NNAJ de Bandas, Orquestas y Camerata del Programa Vientos Musicales para la Gente</t>
  </si>
  <si>
    <t>Capacitación a alumnado en el método multinivel de Bandas Sinfónicas, Orquestas Sinfónicas y Camerata</t>
  </si>
  <si>
    <t>Formación musical, instrumental o coral</t>
  </si>
  <si>
    <t>Capacitación</t>
  </si>
  <si>
    <t>adriana.escamilla.vm@gmail.com</t>
  </si>
  <si>
    <t>Capacitación técnica</t>
  </si>
  <si>
    <t>Convenio de colaboración con las Instancias Culturales Municipales para el préstamo de espacios y el resguardo de instrumentos musicales del Programa</t>
  </si>
  <si>
    <t>ACT-SCJS30123</t>
  </si>
  <si>
    <t>SC-261002-122050</t>
  </si>
  <si>
    <t>Crearte: Taller de acuarela</t>
  </si>
  <si>
    <t>ACT-SCCN32873</t>
  </si>
  <si>
    <t>SC-261002-123646</t>
  </si>
  <si>
    <t>ACT-SCTP98926</t>
  </si>
  <si>
    <t>SC-261002-124532</t>
  </si>
  <si>
    <t>ACT-SCQP92821</t>
  </si>
  <si>
    <t>SC-261002-125257</t>
  </si>
  <si>
    <t>ACT-SCYX71100</t>
  </si>
  <si>
    <t>SC-261002-125721</t>
  </si>
  <si>
    <t>ACT-SCMB16984</t>
  </si>
  <si>
    <t>SC-261002-115909</t>
  </si>
  <si>
    <t>Laboratorio Creativo:  Alas para volar: creación y montaje escénico en artes escénicas y multidisciplinarias</t>
  </si>
  <si>
    <t>generar un espacio  para explorar, experimentar y desarrollar  la creación colectiva.En forma alternada se abarcaron los siguientes temas: La danza y la expresión corporal; El ritmo y la improvisación;La danza y el espacio escénico;Relación del cuerpo y el objeto; Mi guion escénico (estimular mi propia voz y la de mi comunidad). A la par de la formación académica se trazaron posibles escenas que conformarán el producto final.</t>
  </si>
  <si>
    <t>Cynthya Lorena Sepulveda</t>
  </si>
  <si>
    <t>ACT-SCIR74848</t>
  </si>
  <si>
    <t>SC-261002-132858</t>
  </si>
  <si>
    <t>Programa artístico del Centro de las Artes de Guanajuato en el Claustro Mayor, consistente en presentaciones de danza, teatro y música en Salamanca</t>
  </si>
  <si>
    <t>Eventos realizados</t>
  </si>
  <si>
    <t>Diplomado en danza contemporánea: Ejes de Creación escénica y multidisciplinaria</t>
  </si>
  <si>
    <t>Las personas participantes, en base a los conceptos aprendidos,  presentaron sus ejercicios individuales, haciendo equipos colaborativos, abordando las diversas ideas y temáticas que ellos mismos propusieron.</t>
  </si>
  <si>
    <t>Diplomado</t>
  </si>
  <si>
    <t>Johnny Millán Cazares</t>
  </si>
  <si>
    <t>ACT-SCKE58665</t>
  </si>
  <si>
    <t>SC-261002-135422</t>
  </si>
  <si>
    <t>Diplomado en danza clásica El Callejón: Programa de formación dancística y creación escénica</t>
  </si>
  <si>
    <t>Fortalecimiento técnico y bases del lenguaje escénico. Se dedicó el tiempo para  la preparación física, interpretación y montaje coreográfico de la obra  El Callejón.</t>
  </si>
  <si>
    <t>Ricardo Baéz lópez</t>
  </si>
  <si>
    <t>ACT-SCRP83395</t>
  </si>
  <si>
    <t>SC-261002-143443</t>
  </si>
  <si>
    <t>Residencia Bioarte y  Taller de Arte Biologico para la creación de nuevas narrativas</t>
  </si>
  <si>
    <t>La residencia y el taller de arte biológico  combina biología, tecnología y percepción ambiental, que como resultado tendrá la generación de una Instalación colectiva que convoca a reflexionar sobre los organismos invisibles que habitan los espacios culturales, proponiendo una relación más consciente con los ecosistemas microscópicos del entorno.</t>
  </si>
  <si>
    <t>Residencia artística</t>
  </si>
  <si>
    <t>Anna Korotkova</t>
  </si>
  <si>
    <t>ACT-SCAD32283</t>
  </si>
  <si>
    <t>SC-261002-162001</t>
  </si>
  <si>
    <t>Gigantes de tinta, la comparsa de la muerte. Taller de mojiganga contemporánea desde la gráfica</t>
  </si>
  <si>
    <t>Contexto histórico y actual de la mojiganga en susptualización e idea para desarrollar mojigangas con el tema de la tradición de día de muertos en Guanajuato, México. Estructuras para mojiganga Mojiganga a escala menor (Práctica de procesos de estampación gráfica y cartonería)(Impresor/instructor Joaquín Eduardo Ruíz Rosiles) Estampado en papel y textil dirigido a artistas populares. Procesos de impresión en papeles de diversos gramajes y materiales Impresión de estampas en formato bidimensional Impresión orientada hacia la tridimensionalidad</t>
  </si>
  <si>
    <t>Diseño gráfico</t>
  </si>
  <si>
    <t>Juan Hernández, Joaquín Ruíz Rosiles</t>
  </si>
  <si>
    <t>ACT-SCWP52765</t>
  </si>
  <si>
    <t>SC-261005-093047</t>
  </si>
  <si>
    <t>Taller el periodismo cultural y las nuevas tendencias de la economía creativa</t>
  </si>
  <si>
    <t>El periodismo cultural y la economía creativa en Guanajuato, convergen en espacios de formación crítica y foros de desarrollo económico tiene como objetivo formar profesionales que comuniquen el valor de las artes y conecten al público con creadores locales.</t>
  </si>
  <si>
    <t>Juan Armando Moreno Rodriguez,Alan Mc Lane Alejos</t>
  </si>
  <si>
    <t>ACT-SCAA07550</t>
  </si>
  <si>
    <t>SC-261005-100246</t>
  </si>
  <si>
    <t>Performance audiovisual Dr. Zoppa</t>
  </si>
  <si>
    <t>Performance audiovisual con el CMMAS</t>
  </si>
  <si>
    <t>Juan Armando Moreno Rodriguez,Francisco Colasanto</t>
  </si>
  <si>
    <t>ACT-SCSC67260</t>
  </si>
  <si>
    <t>SC-261005-102811</t>
  </si>
  <si>
    <t>Laboratorio Audiovisual para NNA</t>
  </si>
  <si>
    <t>Laboratorio de exploración identitaria a través de pedagogías lúdicas y animación audiovisual:Este es un espacio dirigido a niñas, niños y adolescentes, consiste en el desarrollo de un laboratorio en el que se explorarán los contextos comunitarios barriales desde las diversas miradas, percepciones e intereses, para comprender y reafirmar experiencias de apreciación sobre el proceso de lo que se encuentra detrás de los cortometrajes que se estarán exhibiendo y percibiendo, así como de las posibilidades y de captar y crear a partir de los lenguajes comunes.</t>
  </si>
  <si>
    <t>Nuevos medios</t>
  </si>
  <si>
    <t>Centro Nuevo Comienzo El Rehilete</t>
  </si>
  <si>
    <t>Victor Manuel Arcienega Trujillo,Annette Sánchez Quesada,Nataly López Escareño,Daniel Arellano Ruiz</t>
  </si>
  <si>
    <t>ACT-SCLG64192</t>
  </si>
  <si>
    <t>SC-261005-110556</t>
  </si>
  <si>
    <t>PB3574</t>
  </si>
  <si>
    <t>Operación del Sistema Estatal de Espacios Escénicos y Artes Vivas</t>
  </si>
  <si>
    <t>Actividades de artes vivas y eventos culturales en el estado de Guanajuato.</t>
  </si>
  <si>
    <t>Presentación artística de teatro</t>
  </si>
  <si>
    <t>Presentación artística de grupo de teatro de la casa de cultura</t>
  </si>
  <si>
    <t>Teatro de la Ciudad de Purísima</t>
  </si>
  <si>
    <t>Programa formativo modular</t>
  </si>
  <si>
    <t>ACT-SCGR50284</t>
  </si>
  <si>
    <t>SC-261005-125414</t>
  </si>
  <si>
    <t>Curso de verano infantil, taller de artes visuales para infancias</t>
  </si>
  <si>
    <t>Taller que acerca a niñas y niños a las artes escénicas a través del teatro</t>
  </si>
  <si>
    <t>CEARG</t>
  </si>
  <si>
    <t>Cristina Medina Lara, Leticia Hurtado López, Christian Alfredo González Pérez.</t>
  </si>
  <si>
    <t>ACT-SCRK04291</t>
  </si>
  <si>
    <t>SC-261005-133026</t>
  </si>
  <si>
    <t>Cristina Medina Lara, Leticia Hurtado López, Christian Alfredo González Pérez, Sara Zepeda Muñoz</t>
  </si>
  <si>
    <t>ACT-SCBB74452</t>
  </si>
  <si>
    <t>SC-261005-133904</t>
  </si>
  <si>
    <t>Cristina Medina Lara, Leticia Hurtado López, Cristian Alfredo González, Sara Zepeda Muñoz</t>
  </si>
  <si>
    <t>ACT-SCQZ71776</t>
  </si>
  <si>
    <t>SC-261005-141308</t>
  </si>
  <si>
    <t>ACT-SCXI88562</t>
  </si>
  <si>
    <t>SC-261005-143526</t>
  </si>
  <si>
    <t>ACT-SCYA08501</t>
  </si>
  <si>
    <t>SC-261005-144258</t>
  </si>
  <si>
    <t>ACT-SCSN82816</t>
  </si>
  <si>
    <t>SC-261005-144545</t>
  </si>
  <si>
    <t>ACT-SCDG78924</t>
  </si>
  <si>
    <t>SC-261005-144749</t>
  </si>
  <si>
    <t>ACT-SCVX90182</t>
  </si>
  <si>
    <t>SC-261005-144959</t>
  </si>
  <si>
    <t>ACT-SCIR07558</t>
  </si>
  <si>
    <t>SC-261005-150404</t>
  </si>
  <si>
    <t>ACT-SCFR24702</t>
  </si>
  <si>
    <t>SC-261005-150558</t>
  </si>
  <si>
    <t>ACT-SCVR72910</t>
  </si>
  <si>
    <t>SC-261005-150810</t>
  </si>
  <si>
    <t>ACT-SCWN41231</t>
  </si>
  <si>
    <t>SC-261005-151013</t>
  </si>
  <si>
    <t>ACT-SCFD64081</t>
  </si>
  <si>
    <t>SC-261005-151643</t>
  </si>
  <si>
    <t>ACT-SCMO58522</t>
  </si>
  <si>
    <t>SC-261005-151936</t>
  </si>
  <si>
    <t>ACT-SCAL82876</t>
  </si>
  <si>
    <t>SC-261005-153311</t>
  </si>
  <si>
    <t>ACT-SCNP58131</t>
  </si>
  <si>
    <t>SC-261005-154020</t>
  </si>
  <si>
    <t>ACT-SCPT19980</t>
  </si>
  <si>
    <t>SC-261005-154207</t>
  </si>
  <si>
    <t>ACT-SCLF07599</t>
  </si>
  <si>
    <t>SC-261005-154420</t>
  </si>
  <si>
    <t>ACT-SCYY62075</t>
  </si>
  <si>
    <t>SC-261005-154613</t>
  </si>
  <si>
    <t>ACT-SCDH11554</t>
  </si>
  <si>
    <t>SC-261005-155703</t>
  </si>
  <si>
    <t>ACT-SCFV66869</t>
  </si>
  <si>
    <t>SC-261005-160044</t>
  </si>
  <si>
    <t>ACT-SCWJ23456</t>
  </si>
  <si>
    <t>SC-261005-164752</t>
  </si>
  <si>
    <t>Taller de creación de literatura para adolescentes</t>
  </si>
  <si>
    <t>Este taller está dirigido a escritoras y escritores interesados en generar textos para adolescentes.</t>
  </si>
  <si>
    <t>Ricardo Chávez Castañeda</t>
  </si>
  <si>
    <t>ACT-SCRW71537</t>
  </si>
  <si>
    <t>SC-261005-165659</t>
  </si>
  <si>
    <t>ACT-SCHL56287</t>
  </si>
  <si>
    <t>SC-261005-165937</t>
  </si>
  <si>
    <t>ACT-SCVH99141</t>
  </si>
  <si>
    <t>SC-261005-170223</t>
  </si>
  <si>
    <t>ACT-SCCQ25265</t>
  </si>
  <si>
    <t>SC-261005-170519</t>
  </si>
  <si>
    <t>ACT-SCOL44580</t>
  </si>
  <si>
    <t>SC-261006-095611</t>
  </si>
  <si>
    <t>Rumbo al encuentro de escritoras</t>
  </si>
  <si>
    <t>Mesa de trabajo en municipio, rumbo al encuentro de escritoras 2027</t>
  </si>
  <si>
    <t>Bibliotecas municipales</t>
  </si>
  <si>
    <t>Encuentro de escritoras</t>
  </si>
  <si>
    <t>Ana Paulina Calvillo, Amaranta Caballero</t>
  </si>
  <si>
    <t>ACT-SCWM44500</t>
  </si>
  <si>
    <t>SC-261006-110045</t>
  </si>
  <si>
    <t>ACT-SCJT61532</t>
  </si>
  <si>
    <t>SC-261006-110850</t>
  </si>
  <si>
    <t>Conferencia Imágenes para la paz</t>
  </si>
  <si>
    <t>Se abordarán distintas aproximaciones visuales y conceptuales mediante las cuales el arte construye sentidos en torno a la paz, generando un espacio de diálogo con el público.</t>
  </si>
  <si>
    <t>ACT-SCJQ53039</t>
  </si>
  <si>
    <t>SC-261006-103203</t>
  </si>
  <si>
    <t>Presentación editorial del libro, La región de san Felipe</t>
  </si>
  <si>
    <t>Edición</t>
  </si>
  <si>
    <t>Patio de Presidencia Municipal San Felipe</t>
  </si>
  <si>
    <t>José Luis Lara Valdés</t>
  </si>
  <si>
    <t>ACT-SCAI04033</t>
  </si>
  <si>
    <t>SC-261006-111244</t>
  </si>
  <si>
    <t>Conversatorio con las artistas: Mujeres en el territorio, encuentros situados.</t>
  </si>
  <si>
    <t>Conversatorio en torno a la exposición con la curadora y artistas participantes.</t>
  </si>
  <si>
    <t>ACT-SCMS48317</t>
  </si>
  <si>
    <t>SC-261006-114059</t>
  </si>
  <si>
    <t>ACT-SCLH69157</t>
  </si>
  <si>
    <t>SC-261006-120745</t>
  </si>
  <si>
    <t>Inauguración: De Japón a Antequera. Gráfica de Maestros Japoneses en Oaxaca</t>
  </si>
  <si>
    <t>En esta exposición protagonizan los paisajes, retratos, animalia real y fantástica, usos y costumbres, textiles y vida cotidiana como espejo y reflejo de esa Oaxaca mágica por derecho propio.</t>
  </si>
  <si>
    <t>ACT-SCIE51380</t>
  </si>
  <si>
    <t>SC-261006-122745</t>
  </si>
  <si>
    <t>ACT-SCBK14914</t>
  </si>
  <si>
    <t>SC-261006-123150</t>
  </si>
  <si>
    <t>Dibujar como grabar: línea, trama y paisaje</t>
  </si>
  <si>
    <t>Las y los participantes aprenderán a construir volumen, luz y textura usando línea y tramado, tomando como base la observación del entorno (árboles, nubes, pasto), con un lenguaje cercano al grabado.</t>
  </si>
  <si>
    <t>ACT-SCPE86392</t>
  </si>
  <si>
    <t>SC-261006-112133</t>
  </si>
  <si>
    <t>Danza. Agrupación de circo de San Julián Tierra Blanca de Santa Cruz de Juventino Rosas</t>
  </si>
  <si>
    <t>Participación de Danza. Agrupación de circo de San Julián Tierra Blanca de Santa Cruz de Juventino Rosas dentro del Encuentro Estatal de Saberes Locales.</t>
  </si>
  <si>
    <t>Participación de Danza. Agrupación de circo de San Julián Tierra Blanca de Santa Cruz de Juventino Rosas</t>
  </si>
  <si>
    <t>Kayko Producciones S.C.</t>
  </si>
  <si>
    <t>ACT-SCVL27603</t>
  </si>
  <si>
    <t>SC-261006-123807</t>
  </si>
  <si>
    <t>Viernes libre de clases ¡al museo! “Colores de la naturaleza: pintando como Olga Costa”</t>
  </si>
  <si>
    <t>Taller infantil que busca fomentar la creatividad infantil, el reconocimiento de los elementos naturales y la apreciación del arte mexicano en la obra de Olga Costa.</t>
  </si>
  <si>
    <t>ACT-SCEH72319</t>
  </si>
  <si>
    <t>SC-261006-124419</t>
  </si>
  <si>
    <t>Desorientadxs: el arte de la resistencia.</t>
  </si>
  <si>
    <t>ACT-SCAK52512</t>
  </si>
  <si>
    <t>SC-261006-125108</t>
  </si>
  <si>
    <t>Recorrido Guiado "Colegio Cristiano Dr. Isaías León"</t>
  </si>
  <si>
    <t>ACT-SCYN03633</t>
  </si>
  <si>
    <t>SC-261006-125549</t>
  </si>
  <si>
    <t>Recorrido guiado "Universidad Autónoma de San Luis Potosí"</t>
  </si>
  <si>
    <t>ACT-SCWM36595</t>
  </si>
  <si>
    <t>SC-261006-125808</t>
  </si>
  <si>
    <t>Recorrido Guiado "Unviersidad de La Salle Bajío"</t>
  </si>
  <si>
    <t>ACT-SCDK79609</t>
  </si>
  <si>
    <t>SC-261006-130127</t>
  </si>
  <si>
    <t>Recorrido Guiado "UGTO-Área de español para extranjeros"</t>
  </si>
  <si>
    <t>ACT-SCRS96271</t>
  </si>
  <si>
    <t>SC-261006-130211</t>
  </si>
  <si>
    <t>Cursos, talleres, y diplomados en patrimonio cultural inmaterial, sobre territorio y comunidad.</t>
  </si>
  <si>
    <t>Taller Diversidad cultural en las políticas culturales municipales</t>
  </si>
  <si>
    <t>Espacio de formación para integrar los derechos culturales y la diversidad como ejes del desarrollo cultural local, con base en el libro Creatividades locales, editado por UNESCO</t>
  </si>
  <si>
    <t>Casa de la Cultura de Valle de Santiago</t>
  </si>
  <si>
    <t>Carlos Villaseñor Anaya</t>
  </si>
  <si>
    <t>ACT-SCBW36284</t>
  </si>
  <si>
    <t>SC-261006-131748</t>
  </si>
  <si>
    <t>Casa de Cultura Xochiquetzal</t>
  </si>
  <si>
    <t>ACT-SCKS34336</t>
  </si>
  <si>
    <t>SC-261006-132914</t>
  </si>
  <si>
    <t>Casa de Cultura Fray Andrés de San Miguel</t>
  </si>
  <si>
    <t>ACT-SCHC75119</t>
  </si>
  <si>
    <t>SC-261006-133344</t>
  </si>
  <si>
    <t>Casa de Cultura Manuel Torres Franco</t>
  </si>
  <si>
    <t>ACT-SCLA99017</t>
  </si>
  <si>
    <t>SC-261006-143618</t>
  </si>
  <si>
    <t>Patrimonio cultural.Miranda Giles</t>
  </si>
  <si>
    <t>Participación de  Miranda de los Ángeles Espinosa Giles con Patrimonio cultural en el Encuentro estatal de saberes locales</t>
  </si>
  <si>
    <t>Patrimonio vivo</t>
  </si>
  <si>
    <t>Miranda de los Ángeles Espinosa Giles</t>
  </si>
  <si>
    <t>ACT-SCJX43524</t>
  </si>
  <si>
    <t>SC-261006-153614</t>
  </si>
  <si>
    <t>Visita guiada a alumnos de la Universidad de Guanajuato.</t>
  </si>
  <si>
    <t>ACT-SCBY16288</t>
  </si>
  <si>
    <t>SC-261006-160913</t>
  </si>
  <si>
    <t>Visita guiada para el grupo amigos de la naturaleza y el arte.</t>
  </si>
  <si>
    <t>ACT-SCRY05562</t>
  </si>
  <si>
    <t>SC-261006-161533</t>
  </si>
  <si>
    <t>Visita guiada a grupo de Asociación de amigos del Museo Regional de Guanajuato Alhondiga de Granaditas (TURNO 512)</t>
  </si>
  <si>
    <t>ACT-SCEE03529</t>
  </si>
  <si>
    <t>SC-261006-161813</t>
  </si>
  <si>
    <t>ACT-SCNV66062</t>
  </si>
  <si>
    <t>SC-261006-162738</t>
  </si>
  <si>
    <t>MCDR Lectura de poesía: Poética del paisaje: entre pinceladas y versos de Carlos Pellicer.</t>
  </si>
  <si>
    <t>Lectura de poemas de Carlos Pellicer y que forman parte e inspiración de la exposición Poética del Paisaje del Museo Casa Diego Rivera.</t>
  </si>
  <si>
    <t>ACT-SCBM04283</t>
  </si>
  <si>
    <t>SC-261006-160521</t>
  </si>
  <si>
    <t>Artes visuales.Sebastián Ruelas</t>
  </si>
  <si>
    <t>Participación de Sebastián Ruelas en el Encuentro estatal de saberes locales</t>
  </si>
  <si>
    <t>Sebastián Ruelas</t>
  </si>
  <si>
    <t>ACT-SCRU82988</t>
  </si>
  <si>
    <t>SC-261006-163532</t>
  </si>
  <si>
    <t>Inauguración de exposiciones: Programa de Artes Visuales de la edición 54 del festival Internacional Cervantino</t>
  </si>
  <si>
    <t>La edición 54 del Programa de Artes Visuales está dedicado a abordar las diferentes miradas sobre el territorio, no visto únicamente como un espacio físico sino también como un hábitat político, social, natural y cultural que se vive desde lo espacial, lo íntimo y lo colectivo.   El Programa de Artes Visuales de la edición 54 del Festival Internacional Cervantino, se conforma por 49 exposiciones en 8 municipios del Estado, con la participación de 14 instituciones aliadas en 35 recintos; con 30 proyectos expositivos que cuentan con participación de talento guanajuatense, con más de 100 artistas individuales y 8 colectivos originarios del Estado de Guanajuato. Asimismo, contamos con presencia de los estados de Jalisco, Ciudad de México, Nuevo León y de países como Colombia, Estados Unidos, y de artistas, creadoras y creadores originarios o con vinculación a Francia, país invitado de honor en esta edición, a la cual se suma también la participación de espacios autogestivos del Estado con un total de 35 recintos, aumentando su participación en 2025 de un total de 27 espacios, y cuyos proyectos expositivos estarán vigentes durante las fechas del Festival Internacional Cervantino.  En los espacios de la Dirección General de Museos, Artes Visuales y Exposiciones del Circuito Guanajuato de la Seretaría de Cultura se inauguraron 13 proyectos: Herbario del reino artificial. Sami E. Nicolle, Terra Nova. Pintura de Paisaje de la colección BBVA, Manuel Lozano. Topografías digitales, Un susurro de luz en el jardín, La tirra que dejamos. Andrés Gutiérrez, Miradas Convergentes. Luis Nishizawa, Puntos suspendidos en el espacio, Retazos de vida, La devoción ignaciana en Guanajuato, RE/vuelta. Héctor Zámora, Escenario desplegable: entre bípedos y cuadrúpedos, Periplo: Los Portafolios Artes Gráficas y Fragmentos y complicidades.</t>
  </si>
  <si>
    <t>ACT-SCIR27388</t>
  </si>
  <si>
    <t>SC-261007-104630</t>
  </si>
  <si>
    <t>ACT-SCUZ23637</t>
  </si>
  <si>
    <t>SC-261007-114157</t>
  </si>
  <si>
    <t>ACT-SCJH49562</t>
  </si>
  <si>
    <t>SC-261007-115005</t>
  </si>
  <si>
    <t>Recorrido Guiado "UNIVERSIDAD TECNOLÓGICA"</t>
  </si>
  <si>
    <t>ACT-SCPD16906</t>
  </si>
  <si>
    <t>SC-261007-115509</t>
  </si>
  <si>
    <t>Taller de "Certificación de Mujeres al Frente"</t>
  </si>
  <si>
    <t>El taller y programa de "Mujeres al Frente" es un proceso de capacitación y certificación enfocado en el empoderamiento económico, personal y la profesionalización de mujeres emprendedoras y creadoras.</t>
  </si>
  <si>
    <t>ACT-SCEV04930</t>
  </si>
  <si>
    <t>SC-261007-120638</t>
  </si>
  <si>
    <t>Taller de Mezzotinta a color</t>
  </si>
  <si>
    <t>Este taller enseña a transformar una idea en una serie de estampas profesionales. En un inicio, los participantes preparan y graban su diseño sobre la placa para obtener las primeras pruebas de estado y ajustar detalles. Posteriormente, experimentan con color y tintas hasta hallar el acabado ideal, imprimen su tiraje definitivo numerado y concluyen con la revisión final, el firmado de las obras y la presentación de sus resultados.</t>
  </si>
  <si>
    <t>Otorgar a las personas participantes del taller los conocimientos sobre la técnica calcográfica también llamada “a la manera negra” que da la posibilidad de crear imágenes ricas en semitonos, negros aterciopelados y aproximaciones al color a través del entintado a la poupée.</t>
  </si>
  <si>
    <t>Oliver Esquivel</t>
  </si>
  <si>
    <t>ACT-SCFX97585</t>
  </si>
  <si>
    <t>SC-261007-122905</t>
  </si>
  <si>
    <t>Diplomado Pedagogías de lo corporal: Saberes locales; Cuerpo y Aprendizaje intuitivo</t>
  </si>
  <si>
    <t>El diplomado aborda las relaciones de la experiencia con la construcción del mundo a partir de aprendizajes vinculados al cuerpo, a las inteligencias diversificadas y los saberes que se despliegan de dichas experiencias, enlazando narrativas históricas, culturales, tradicionales, afectivas y corporales.</t>
  </si>
  <si>
    <t>Con el objetivo de traducirlo en proyectos de investigación, pedagógicos y creativos que vinculen al cuerpo desde una perspectiva más amplia, considerando otros cuerpos y no exclusivamente el apartado material humano, sino mas allá de lo humano y lo material.</t>
  </si>
  <si>
    <t>Edith Medina Paz, Zayra Espíritu, Melissa García Aguirre, Isaura Leonardo</t>
  </si>
  <si>
    <t>ACT-SCLW62426</t>
  </si>
  <si>
    <t>SC-261007-121902</t>
  </si>
  <si>
    <t>ACT-SCJU55686</t>
  </si>
  <si>
    <t>SC-261007-130546</t>
  </si>
  <si>
    <t>Apoyos económicos a personas físicas y morales para la producción de proyectos culturales y artísticos, en disciplinas como artes visuales, escénicas, música, arte sonoro, literatura, medios audiovisuales e interdisciplina, festivales y espacios independientes.</t>
  </si>
  <si>
    <t>Proyectos culturales apoyados</t>
  </si>
  <si>
    <t>Taller de Inteligencia Artificial, datos y cuerpo</t>
  </si>
  <si>
    <t>Este taller explora la relación entre la tecnología digital, los datos y la creación artística mediante la inteligencia artificial</t>
  </si>
  <si>
    <t>ACT-SCYI89333</t>
  </si>
  <si>
    <t>SC-261007-032406</t>
  </si>
  <si>
    <t>Capacitación docente y a personas beneficiarias de ensambles representativos en temas especializados a través de la enseñanza por competencias.</t>
  </si>
  <si>
    <t>Capacitación en temas específicos a docentes y ensambles de representación del Programa Vientos Musicales para la Gente</t>
  </si>
  <si>
    <t>Capacitación continua a docentes en temas específicos a través de la ensañanza por competencias</t>
  </si>
  <si>
    <t>Centro de las Artes de Guanajuato</t>
  </si>
  <si>
    <t>ACT-SCIN39392</t>
  </si>
  <si>
    <t>SC-261007-041143</t>
  </si>
  <si>
    <t>Capacitación a alumnado en el método multinivel en ensambles corales</t>
  </si>
  <si>
    <t>Formación musical a NNAJ en Ensambles Corales del Programa Vientos Musicales para la Gente</t>
  </si>
  <si>
    <t>Capacitación a alumnado en el método multinivel de Ensambles Corales</t>
  </si>
  <si>
    <t>Casa de cultura , Escuelas</t>
  </si>
  <si>
    <t>Convenio de colaboración con las Instancias Culturales Municipales para el préstamo de espacios y el resgurado de instrumentos musicales del Programa</t>
  </si>
  <si>
    <t>ACT-SCKI42814</t>
  </si>
  <si>
    <t>SC-261007-125808</t>
  </si>
  <si>
    <t>Recorrido guiado "IBERO"</t>
  </si>
  <si>
    <t>ACT-SCLE86988</t>
  </si>
  <si>
    <t>SC-261007-051454</t>
  </si>
  <si>
    <t>Presentación en Conmemoración a pacientes Oncológicas, mamás de Oncopedriatría, Embarazas, Lactantes y otras especialidades</t>
  </si>
  <si>
    <t>Presentación por parte del quintento de la Orquesta Juvenil de León</t>
  </si>
  <si>
    <t>Auditorio del Hospital General de León</t>
  </si>
  <si>
    <t>Capacitación en temas específicos a ensambles de representación del Programa</t>
  </si>
  <si>
    <t>Colaboración con el Hospital General de León</t>
  </si>
  <si>
    <t>ACT-SCZR98192</t>
  </si>
  <si>
    <t>SC-261007-053648</t>
  </si>
  <si>
    <t>Presentación del Encuentro de Orquestas</t>
  </si>
  <si>
    <t>Presentación de la Orquesta Sinfónica de León y Orquesta Cedros UP, Orquesta Trinitate Philarmonia</t>
  </si>
  <si>
    <t>Academia Renacimiento y Trinitate Philarmonia , Teatro Juárez</t>
  </si>
  <si>
    <t>Colaboración con la Orquesta Cedros UP y la Orquesta Trinitate Philarmonia</t>
  </si>
  <si>
    <t>ACT-SCLJ26393</t>
  </si>
  <si>
    <t>SC-261007-060154</t>
  </si>
  <si>
    <t>Presentaciones musicales de cierre primer semestre - meta 1</t>
  </si>
  <si>
    <t>Presentaciones musicales en municipios como parte de las actividades del cierre semestral</t>
  </si>
  <si>
    <t>Escuela Primaria Héroes de México</t>
  </si>
  <si>
    <t>Colaboración para el prestámo del espacio con la Escuela Primaria Héroes de México del municipio de Jerécuaro</t>
  </si>
  <si>
    <t>ACT-SCDB29664</t>
  </si>
  <si>
    <t>SC-261007-061625</t>
  </si>
  <si>
    <t>Presentaciones musicales de cierre primer semestre - meta 2</t>
  </si>
  <si>
    <t>Casa de la cultura y Jardín Principal</t>
  </si>
  <si>
    <t>Colaboración para el préstamo del espacio con Casa de Cultura de Apaseo el Grande y Jardín Principal en Cuerámaro</t>
  </si>
  <si>
    <t>ACT-SCPP14762</t>
  </si>
  <si>
    <t>SC-261007-063337</t>
  </si>
  <si>
    <t>Concierto en la presentación del programa del 54 Festival Internacional Cervantino</t>
  </si>
  <si>
    <t>Participación de alumnado de la Orquesta Juvenil, docentes del Programa e invitados especiales:</t>
  </si>
  <si>
    <t>Auditorio del Estado de Guanajuato</t>
  </si>
  <si>
    <t>Colaboración con la administración del Festival Internacional Cervantino</t>
  </si>
  <si>
    <t>ACT-SCUH59864</t>
  </si>
  <si>
    <t>SC-261007-172952</t>
  </si>
  <si>
    <t>Concierto de música</t>
  </si>
  <si>
    <t>Seguridad y Paz: Rescate y recuperación de espacios públicos en municipios y zonas con alta incidencia delictiva.</t>
  </si>
  <si>
    <t>ACT-SCID00018</t>
  </si>
  <si>
    <t>SC-261013-104924</t>
  </si>
  <si>
    <t>Visita escolar "CETIS33"</t>
  </si>
  <si>
    <t>ACT-SCQG28945</t>
  </si>
  <si>
    <t>SC-261014-122853</t>
  </si>
  <si>
    <t>Visita Escolar "BACHILLERATO INTEGRAL"</t>
  </si>
  <si>
    <t>ACT-SCXA33583</t>
  </si>
  <si>
    <t>SC-261014-124638</t>
  </si>
  <si>
    <t>VISITA ESPECIAL ENCUENTRO DE MUSEOS</t>
  </si>
  <si>
    <t>ACT-SCCS60210</t>
  </si>
  <si>
    <t>SC-261014-144306</t>
  </si>
  <si>
    <t>Visita Escolar "CETIS 21"</t>
  </si>
  <si>
    <t>ACT-SCTO13032</t>
  </si>
  <si>
    <t>SC-261014-144616</t>
  </si>
  <si>
    <t>Visita "Universidad La Salle"</t>
  </si>
  <si>
    <t>ACT-SCBL64940</t>
  </si>
  <si>
    <t>SC-261014-151357</t>
  </si>
  <si>
    <t>Visita escolar "UG"</t>
  </si>
  <si>
    <t>ACT-SCVB22709</t>
  </si>
  <si>
    <t>SC-261014-152210</t>
  </si>
  <si>
    <t>ACT-SCPY05941</t>
  </si>
  <si>
    <t>SC-261015-102920</t>
  </si>
  <si>
    <t>ACT-SCNB74103</t>
  </si>
  <si>
    <t>SC-261015-104032</t>
  </si>
  <si>
    <t>ACT-SCKP12636</t>
  </si>
  <si>
    <t>SC-261015-104540</t>
  </si>
  <si>
    <t>Visita escolar " LA SALLE ARQ"</t>
  </si>
  <si>
    <t>ACT-SCDB57542</t>
  </si>
  <si>
    <t>SC-261015-111103</t>
  </si>
  <si>
    <t>Carretilla de cuarzo</t>
  </si>
  <si>
    <t>Actividad artística de taller familiar, corresponsabilidad con la exposición permanente de cultura regional</t>
  </si>
  <si>
    <t>ACT-SCYQ40561</t>
  </si>
  <si>
    <t>SC-261015-145935</t>
  </si>
  <si>
    <t>PB3562</t>
  </si>
  <si>
    <t>Integración de nodos creativos y formativos</t>
  </si>
  <si>
    <t>Cursos y talleres para promotores culturales e instructores de casas de la cultura</t>
  </si>
  <si>
    <t>DIRECCIÓN GENERAL DE VINCULACIÓN Y DESARROLLO CULTURAL</t>
  </si>
  <si>
    <t>Cursos y talleres realizados</t>
  </si>
  <si>
    <t>augalde@guanajuato.gob.mx</t>
  </si>
  <si>
    <t>ACT-SCQN95689</t>
  </si>
  <si>
    <t>SC-261016-131302</t>
  </si>
  <si>
    <t>Talleres de educación artística y cultural no formales impartidos en casas de cultura y salones culturales</t>
  </si>
  <si>
    <t>Subsidios</t>
  </si>
  <si>
    <t>ACT-SCVZ93952</t>
  </si>
  <si>
    <t>SC-261016-143248</t>
  </si>
  <si>
    <t>Cursos y talleres de formación lectora para bibliotecarios, niños narradores y escritores, padres de familia y promotores de lectura</t>
  </si>
  <si>
    <t>Red de Bibliotecas Públicas</t>
  </si>
  <si>
    <t>ACT-SCKK85034</t>
  </si>
  <si>
    <t>SC-261016-145913</t>
  </si>
  <si>
    <t>Talleres de seguimiento a la implementación del programa curricular para la asignatura de artes en la educación básica</t>
  </si>
  <si>
    <t>Anual</t>
  </si>
  <si>
    <t>Escuelas públicas</t>
  </si>
  <si>
    <t>ACT-SCNL75473</t>
  </si>
  <si>
    <t>SC-261021-113012</t>
  </si>
  <si>
    <t>Exposición: Escenario Plegable: entre bípedos y cuadrúpedos. Cosa Rapozo y Exposición: Terra Nova. Pintura de Paisaje en la colección BBVA</t>
  </si>
  <si>
    <t>Escenario Plegable: entre bípedos y cuadrúpedos parte de una investigación sobre las ficciones culturales que han sostenido la separación entre lo humano y lo animal, así como sobre las formas en que ciertos cuerpos han sido construidos históricamente como alteridad.  La instalación traslada la lógica de la maqueta y el diorama a la escala del espacio público. Distintas plataformas fragmentan el paisaje y distribuyen en él figuras bípedas y cuadrúpedas junto a árboles, vegetación y cuerpos de agua reducidos a formas esquemáticas.             Terra Nova recurre a la idea de los territorios por descubrir para abordar la pintura de paisaje como un espacio de exploración artística e imaginativa. Las obras reunidas en esta exposición trazan geografías reales, evocadas o imaginadas, revelando la manera en que distintos artistas mexicanos del siglo XX interpretaron su entorno y expandieron los límites de la representación del paisaje. A través de un recorrido que va de la tradición figurativa a las visiones surrealistas y fantásticas, hasta las posibilidades expresivas de la abstracción, la muestra ofrece una mirada diversa sobre uno de los géneros fundamentales de la pintura mexicana. En estas obras, el paisaje aparece como naturaleza idealizada, fuerza telúrica, territorio simbólico o escenario de reflexión sobre la transformación del entorno y los desafíos ecológicos contemporáneos. Con piezas de artistas clave como Dr. Atl, David Alfaro Siqueiros, Carlos Orozco Romero, Jorge González Camarena, Gunther Gerzso, Joy Laville y Miguel Castro Leñero, entre otros, Terra Nova propone un diálogo entre arte, territorio e imaginación, invitando al público a descubrir nuevas formas de mirar el paisaje mexicano.</t>
  </si>
  <si>
    <t>Museo Casa Diego Rivera , Plaza San Fernanado</t>
  </si>
  <si>
    <t>ACT-SCTR53613</t>
  </si>
  <si>
    <t>SC-261021-114744</t>
  </si>
  <si>
    <t>Exposición: RE/vuelta. Héctor Zamora</t>
  </si>
  <si>
    <t>En 2015, Zamora presentó en Brasil una instalación/acción titulada REviraVOLTA, que consistía en una interpretación rítmica y musical colectiva a partir de los implementos tradicionales usados en la elaboración de las típicas nieves mexicanas de diversos sabores. Esta delicadeza culinaria tradicional es posible gracias a un sencillo proceso: se vierte la pulpa de diferentes frutas en contenedores metálicos, que a su vez se introducen en contenedores de madera más grandes rellenos con hielo y sal. Cuando se hace girar el contenedor metálico restregándolo contra el hielo, la temperatura de la pulpa disminuye drásticamente hasta que se congela. En el caso de la acción ideada por el artista, el papel de los productores de nieve estaba a cargo de un grupo de músicos que con actitud festiva ejecutaban una pieza inspirada en los ritmos del contexto cultural en que se presentaban. De tal manera, en el Centro Cultural Banco do Brasil en Brasilia el estilo musical se basó en una batucada compuesta por el instrumentista André Hosoi. El resultado de la acción, una cantidad importante de nieves de diferentes sabores, se ofreció luego en una mesa colocada al centro de las estaciones de trabajo de los músicos, de donde la gente podía servirse libremente para completar el ritual.</t>
  </si>
  <si>
    <t>Museo Regional de Guanajuato Alhóndiga de Granaditas</t>
  </si>
  <si>
    <t>ACT-SCYY07745</t>
  </si>
  <si>
    <t>SC-261021-142145</t>
  </si>
  <si>
    <t>Capacitaciones en danza folclórica dirigido a directores, maestros y ejecutantes del estado de Guanajuato</t>
  </si>
  <si>
    <t>Capacitaciones realizadas</t>
  </si>
  <si>
    <t>Capacitaciones en danza folclórica</t>
  </si>
  <si>
    <t>Danza folklórica</t>
  </si>
  <si>
    <t>ACT-SCBG58553</t>
  </si>
  <si>
    <t>SC-261021-123342</t>
  </si>
  <si>
    <t>Fideos a la chupícuaro</t>
  </si>
  <si>
    <t>ACT-SCSM54851</t>
  </si>
  <si>
    <t>SC-261021-165627</t>
  </si>
  <si>
    <t>El grito geométrico</t>
  </si>
  <si>
    <t>Actividad artística de taller familiar, corresponsabilidad con la exposición permanente de jardin de las esculturas</t>
  </si>
  <si>
    <t>ACT-SCJG05812</t>
  </si>
  <si>
    <t>SC-261022-104741</t>
  </si>
  <si>
    <t>Mural Veneciano</t>
  </si>
  <si>
    <t>Taller artístico especializado</t>
  </si>
  <si>
    <t>$2,300.00 por Persona</t>
  </si>
  <si>
    <t>ACT-SCKS19373</t>
  </si>
  <si>
    <t>SC-261022-111307</t>
  </si>
  <si>
    <t>Arte Objeto en el grabado</t>
  </si>
  <si>
    <t>ACT-SCRV11027</t>
  </si>
  <si>
    <t>SC-261022-112123</t>
  </si>
  <si>
    <t>Taller de formación "Marca personal y Redes Sociales"</t>
  </si>
  <si>
    <t>Taller virtual para la formación de artistas visuales en redes sociales y marca personal</t>
  </si>
  <si>
    <t>Plataforma virtual de la Secretaría</t>
  </si>
  <si>
    <t>ACT-SCCS95646</t>
  </si>
  <si>
    <t>SC-261022-114701</t>
  </si>
  <si>
    <t>Festival de Arte Urbano Guanajuato 2026 "Uriangato"</t>
  </si>
  <si>
    <t>Encuentro de Artes Urbanas en el marco del FUG 2026 en el municipio de Uriangato.</t>
  </si>
  <si>
    <t>Jardín Principal de Uriangato</t>
  </si>
  <si>
    <t>ACT-SCRU37929</t>
  </si>
  <si>
    <t>SC-261022-120543</t>
  </si>
  <si>
    <t>Capacitación para trabajadores del Museo en torno al autismo</t>
  </si>
  <si>
    <t>ACT-SCST39394</t>
  </si>
  <si>
    <t>SC-261022-121215</t>
  </si>
  <si>
    <t>El Pueblo en cartón: taller de muñecas</t>
  </si>
  <si>
    <t>ACT-SCRL25642</t>
  </si>
  <si>
    <t>SC-261022-122530</t>
  </si>
  <si>
    <t>Sesiones guiadas de introducción al Danzón</t>
  </si>
  <si>
    <t>ACT-SCBV34476</t>
  </si>
  <si>
    <t>SC-261023-120337</t>
  </si>
  <si>
    <t>Mi sueño de una tarde dominical.</t>
  </si>
  <si>
    <t>Taller relámpago y para toda la familia en donde las y los participantes crearán su reinterpretación personal del mural “Una tarde dominical en la Alameda Central”</t>
  </si>
  <si>
    <t>ACT-SCUT25950</t>
  </si>
  <si>
    <t>SC-261023-120739</t>
  </si>
  <si>
    <t>ACT-SCDD95654</t>
  </si>
  <si>
    <t>SC-261023-121453</t>
  </si>
  <si>
    <t>ACT-SCFB83750</t>
  </si>
  <si>
    <t>SC-261023-122704</t>
  </si>
  <si>
    <t>ACT-SCCW50829</t>
  </si>
  <si>
    <t>SC-261023-123943</t>
  </si>
  <si>
    <t>ACT-SCYI32876</t>
  </si>
  <si>
    <t>SC-261023-125028</t>
  </si>
  <si>
    <t>ACT-SCTR91697</t>
  </si>
  <si>
    <t>SC-261023-140938</t>
  </si>
  <si>
    <t>Cuentacuentos: Mitos, ritos y otros gritos</t>
  </si>
  <si>
    <t>Compilaciones de cuentos para toda la familia en torno al 51 Aniversario del Museo Casa Diego Rivera.</t>
  </si>
  <si>
    <t>ACT-SCML00255</t>
  </si>
  <si>
    <t>SC-261023-141608</t>
  </si>
  <si>
    <t>Cuarteto Alba: Concierto de música mexicana</t>
  </si>
  <si>
    <t>Recital de música mexicana en torno al Día de la Independencia de México</t>
  </si>
  <si>
    <t>ACT-SCCU88388</t>
  </si>
  <si>
    <t>SC-261023-142145</t>
  </si>
  <si>
    <t>Novela histórica, Los recuerdos del porvenir de Elena Garro y Cartucho de Nellie Campobello.</t>
  </si>
  <si>
    <t>Taller de lectoescritura para jóvenes.</t>
  </si>
  <si>
    <t>ACT-SCVC31610</t>
  </si>
  <si>
    <t>SC-261023-142632</t>
  </si>
  <si>
    <t>ACT-SCFH09646</t>
  </si>
  <si>
    <t>SC-261023-143711</t>
  </si>
  <si>
    <t>ACT-SCHJ17496</t>
  </si>
  <si>
    <t>SC-261023-144538</t>
  </si>
  <si>
    <t>ACT-SCCH70156</t>
  </si>
  <si>
    <t>SC-261023-145815</t>
  </si>
  <si>
    <t>ACT-SCAK96271</t>
  </si>
  <si>
    <t>SC-261023-153416</t>
  </si>
  <si>
    <t>Memorias colectivas del Museo del Pueblo de Guanajuato</t>
  </si>
  <si>
    <t>Taller en torno al Aniversario del Museo del Pueblo de Guanajuato</t>
  </si>
  <si>
    <t>ID_Territorio</t>
  </si>
  <si>
    <t>Municipio</t>
  </si>
  <si>
    <t>Tipo_Asentamiento</t>
  </si>
  <si>
    <t>Comunidad</t>
  </si>
  <si>
    <t>Nombre_Comunidad</t>
  </si>
  <si>
    <t>Otra_Comunidad</t>
  </si>
  <si>
    <t>ZAP_Nuevo_Comienzo</t>
  </si>
  <si>
    <t>ZAP_SSyP</t>
  </si>
  <si>
    <t>Cantidad</t>
  </si>
  <si>
    <t>Cantidad_Participacion</t>
  </si>
  <si>
    <t>Cantidad_Acceso</t>
  </si>
  <si>
    <t>Nombre_Comunidad_Final</t>
  </si>
  <si>
    <t>ZAP_NC_SI_NO</t>
  </si>
  <si>
    <t>ZAP_SSyP_SI_NO</t>
  </si>
  <si>
    <t>Tipo_Impacto</t>
  </si>
  <si>
    <t>4db1e6e8</t>
  </si>
  <si>
    <t>León</t>
  </si>
  <si>
    <t>Periurbano</t>
  </si>
  <si>
    <t>Las Joyas</t>
  </si>
  <si>
    <t>Si</t>
  </si>
  <si>
    <t>2d81693b</t>
  </si>
  <si>
    <t>El Carmen</t>
  </si>
  <si>
    <t>635c2bd3</t>
  </si>
  <si>
    <t>Silao de la Victoria</t>
  </si>
  <si>
    <t>Urbano</t>
  </si>
  <si>
    <t>Silao</t>
  </si>
  <si>
    <t>9803f503</t>
  </si>
  <si>
    <t>c28cdb33</t>
  </si>
  <si>
    <t>88f64665</t>
  </si>
  <si>
    <t>6143a7e4</t>
  </si>
  <si>
    <t>bfb569f3</t>
  </si>
  <si>
    <t>0229b757</t>
  </si>
  <si>
    <t>230eb128</t>
  </si>
  <si>
    <t>1aadd56c</t>
  </si>
  <si>
    <t>5d4f3ca5</t>
  </si>
  <si>
    <t>73fac33e</t>
  </si>
  <si>
    <t>36df9867</t>
  </si>
  <si>
    <t>d41e5cba</t>
  </si>
  <si>
    <t>615b692e</t>
  </si>
  <si>
    <t>8fadd5d8</t>
  </si>
  <si>
    <t>6a4f19f2</t>
  </si>
  <si>
    <t>La Martinica</t>
  </si>
  <si>
    <t>ff181aeb</t>
  </si>
  <si>
    <t>ae5f76ef</t>
  </si>
  <si>
    <t>7e8b2e19</t>
  </si>
  <si>
    <t>3b2905c8</t>
  </si>
  <si>
    <t>f64e11ca</t>
  </si>
  <si>
    <t>28aa1a2e</t>
  </si>
  <si>
    <t>94c7aafa</t>
  </si>
  <si>
    <t>8e7764b4</t>
  </si>
  <si>
    <t>53fe3fb0</t>
  </si>
  <si>
    <t>9d52d8b6</t>
  </si>
  <si>
    <t>45d69317</t>
  </si>
  <si>
    <t>4c11174b</t>
  </si>
  <si>
    <t>Guanajuato</t>
  </si>
  <si>
    <t>9d2da3d8</t>
  </si>
  <si>
    <t>565f3868</t>
  </si>
  <si>
    <t>a2236ecd</t>
  </si>
  <si>
    <t>80ad4989</t>
  </si>
  <si>
    <t>GUANAJUATO CENTRO</t>
  </si>
  <si>
    <t>0c520435</t>
  </si>
  <si>
    <t>fd8fa7a8</t>
  </si>
  <si>
    <t>7ab0d684</t>
  </si>
  <si>
    <t>1301aa39</t>
  </si>
  <si>
    <t>e7564688</t>
  </si>
  <si>
    <t>5dbe9294</t>
  </si>
  <si>
    <t>0270c462</t>
  </si>
  <si>
    <t>b3e84801</t>
  </si>
  <si>
    <t>10b2ece4</t>
  </si>
  <si>
    <t>c00ccf39</t>
  </si>
  <si>
    <t>4a84c156</t>
  </si>
  <si>
    <t>7ec2fd5b</t>
  </si>
  <si>
    <t>be305719</t>
  </si>
  <si>
    <t>9794e7bf</t>
  </si>
  <si>
    <t>e6696ec0</t>
  </si>
  <si>
    <t>332249d0</t>
  </si>
  <si>
    <t>9d74ad68</t>
  </si>
  <si>
    <t>ccfb0687</t>
  </si>
  <si>
    <t>731ebe28</t>
  </si>
  <si>
    <t>67d2e2c5</t>
  </si>
  <si>
    <t>fc4923ff</t>
  </si>
  <si>
    <t>a941cafd</t>
  </si>
  <si>
    <t>e9575eb8</t>
  </si>
  <si>
    <t>43160394</t>
  </si>
  <si>
    <t>f5562d24</t>
  </si>
  <si>
    <t>Rural</t>
  </si>
  <si>
    <t>3a2d8a91</t>
  </si>
  <si>
    <t>ad3cadd4</t>
  </si>
  <si>
    <t>27b2dc0e</t>
  </si>
  <si>
    <t>6508bb72</t>
  </si>
  <si>
    <t>f51f95aa</t>
  </si>
  <si>
    <t>870a1955</t>
  </si>
  <si>
    <t>fbad417a</t>
  </si>
  <si>
    <t>b973695e</t>
  </si>
  <si>
    <t>3a35508f</t>
  </si>
  <si>
    <t>cd440d34</t>
  </si>
  <si>
    <t>ae8faa78</t>
  </si>
  <si>
    <t>82929300</t>
  </si>
  <si>
    <t>69975b12</t>
  </si>
  <si>
    <t>b7ade0ed</t>
  </si>
  <si>
    <t>ZONA CENTRO</t>
  </si>
  <si>
    <t>894316cb</t>
  </si>
  <si>
    <t>82f493d3</t>
  </si>
  <si>
    <t>1a52a00a</t>
  </si>
  <si>
    <t>263eb7e9</t>
  </si>
  <si>
    <t>9eba1084</t>
  </si>
  <si>
    <t>aeaf18e1</t>
  </si>
  <si>
    <t>d8423119</t>
  </si>
  <si>
    <t>21d9139f</t>
  </si>
  <si>
    <t>bb3f44b9</t>
  </si>
  <si>
    <t>30456bd0</t>
  </si>
  <si>
    <t>574483d1</t>
  </si>
  <si>
    <t>47e3da24</t>
  </si>
  <si>
    <t>fc3409ac</t>
  </si>
  <si>
    <t>99a1872c</t>
  </si>
  <si>
    <t>e61a5b85</t>
  </si>
  <si>
    <t>db49b355</t>
  </si>
  <si>
    <t>668b4560</t>
  </si>
  <si>
    <t>11611566</t>
  </si>
  <si>
    <t>a1a8569e</t>
  </si>
  <si>
    <t>89c2ab17</t>
  </si>
  <si>
    <t>811dd022</t>
  </si>
  <si>
    <t>19cf0142</t>
  </si>
  <si>
    <t>7c75805d</t>
  </si>
  <si>
    <t>9539284d</t>
  </si>
  <si>
    <t>b2532d76</t>
  </si>
  <si>
    <t>5734f4fa</t>
  </si>
  <si>
    <t>7138c6eb</t>
  </si>
  <si>
    <t>95b6639e</t>
  </si>
  <si>
    <t>afc08eaa</t>
  </si>
  <si>
    <t>12882c4e</t>
  </si>
  <si>
    <t>Purísima del Rincón</t>
  </si>
  <si>
    <t>Purísima</t>
  </si>
  <si>
    <t>10e8cda5</t>
  </si>
  <si>
    <t>1cd76cc8</t>
  </si>
  <si>
    <t>b6f30544</t>
  </si>
  <si>
    <t>d7a91201</t>
  </si>
  <si>
    <t>c1c268b3</t>
  </si>
  <si>
    <t>714bdf49</t>
  </si>
  <si>
    <t>39e676a2</t>
  </si>
  <si>
    <t>67f17129</t>
  </si>
  <si>
    <t>ac9d9c08</t>
  </si>
  <si>
    <t>ae752625</t>
  </si>
  <si>
    <t>6a66f295</t>
  </si>
  <si>
    <t>44fb5da6</t>
  </si>
  <si>
    <t>fda7b47d</t>
  </si>
  <si>
    <t>65e57eb0</t>
  </si>
  <si>
    <t>1f4c7c70</t>
  </si>
  <si>
    <t>f4909de3</t>
  </si>
  <si>
    <t>b98b2b6d</t>
  </si>
  <si>
    <t>dc84feee</t>
  </si>
  <si>
    <t>adcab8cb</t>
  </si>
  <si>
    <t>cd916466</t>
  </si>
  <si>
    <t>60ee583a</t>
  </si>
  <si>
    <t>4a3dd377</t>
  </si>
  <si>
    <t>c0e9390d</t>
  </si>
  <si>
    <t>Tierra Blanca</t>
  </si>
  <si>
    <t>32395642</t>
  </si>
  <si>
    <t>San Luis de la Paz</t>
  </si>
  <si>
    <t>73b9b9af</t>
  </si>
  <si>
    <t>894063ee</t>
  </si>
  <si>
    <t>7691a6e9</t>
  </si>
  <si>
    <t>0ddbbd0c</t>
  </si>
  <si>
    <t>839d049a</t>
  </si>
  <si>
    <t>e620ece0</t>
  </si>
  <si>
    <t>0b7d49ed</t>
  </si>
  <si>
    <t>43e1d354</t>
  </si>
  <si>
    <t>08c4a117</t>
  </si>
  <si>
    <t>a38c33f5</t>
  </si>
  <si>
    <t>0c51bad6</t>
  </si>
  <si>
    <t>e6f444c3</t>
  </si>
  <si>
    <t>bc79c9f4</t>
  </si>
  <si>
    <t>edafee0a</t>
  </si>
  <si>
    <t>32300ea8</t>
  </si>
  <si>
    <t>d25c5b3f</t>
  </si>
  <si>
    <t>b0c86ee3</t>
  </si>
  <si>
    <t>0f0ae30d</t>
  </si>
  <si>
    <t>0d7a02e2</t>
  </si>
  <si>
    <t>a23d91db</t>
  </si>
  <si>
    <t>9d2f7f65</t>
  </si>
  <si>
    <t>69c9d5d1</t>
  </si>
  <si>
    <t>37d9626a</t>
  </si>
  <si>
    <t>63884486</t>
  </si>
  <si>
    <t>655d5e7d</t>
  </si>
  <si>
    <t>a885fee5</t>
  </si>
  <si>
    <t>6b193619</t>
  </si>
  <si>
    <t>c30746ff</t>
  </si>
  <si>
    <t>85e30a41</t>
  </si>
  <si>
    <t>cf1530f2</t>
  </si>
  <si>
    <t>802ec2c9</t>
  </si>
  <si>
    <t>e5328b82</t>
  </si>
  <si>
    <t>9348a770</t>
  </si>
  <si>
    <t>cc9907d0</t>
  </si>
  <si>
    <t>df3951b4</t>
  </si>
  <si>
    <t>1d43e932</t>
  </si>
  <si>
    <t>24416ad8</t>
  </si>
  <si>
    <t>72ad69b3</t>
  </si>
  <si>
    <t>5a7e5eb9</t>
  </si>
  <si>
    <t>d87315a1</t>
  </si>
  <si>
    <t>e7247faa</t>
  </si>
  <si>
    <t>13b3b6cf</t>
  </si>
  <si>
    <t>d3201ec0</t>
  </si>
  <si>
    <t>f0b514e7</t>
  </si>
  <si>
    <t>e8c24494</t>
  </si>
  <si>
    <t>4860c88b</t>
  </si>
  <si>
    <t>af5603db</t>
  </si>
  <si>
    <t>6ef0c93e</t>
  </si>
  <si>
    <t>deb62fcd</t>
  </si>
  <si>
    <t>Salvatierra</t>
  </si>
  <si>
    <t>3ed4adda</t>
  </si>
  <si>
    <t>Ciudad Manuel Doblado</t>
  </si>
  <si>
    <t>67814c53</t>
  </si>
  <si>
    <t>14ffd676</t>
  </si>
  <si>
    <t>7dd24e9e</t>
  </si>
  <si>
    <t>476ae39f</t>
  </si>
  <si>
    <t>0863ea19</t>
  </si>
  <si>
    <t>429df696</t>
  </si>
  <si>
    <t>a6078a54</t>
  </si>
  <si>
    <t>01f19e80</t>
  </si>
  <si>
    <t>9c844ef5</t>
  </si>
  <si>
    <t>f99b5ab6</t>
  </si>
  <si>
    <t>5c21f7fc</t>
  </si>
  <si>
    <t>23ae19ac</t>
  </si>
  <si>
    <t>a07f9b5e</t>
  </si>
  <si>
    <t>25b47f2c</t>
  </si>
  <si>
    <t>ea8501d9</t>
  </si>
  <si>
    <t>c9427865</t>
  </si>
  <si>
    <t>b38f2f94</t>
  </si>
  <si>
    <t>492b84a0</t>
  </si>
  <si>
    <t>f60c1105</t>
  </si>
  <si>
    <t>7c1bd3dc</t>
  </si>
  <si>
    <t>2f9a81d5</t>
  </si>
  <si>
    <t>c07af695</t>
  </si>
  <si>
    <t>95144d5a</t>
  </si>
  <si>
    <t>0d7ba978</t>
  </si>
  <si>
    <t>7e3ff1fb</t>
  </si>
  <si>
    <t>cbf5d6b6</t>
  </si>
  <si>
    <t>58772078</t>
  </si>
  <si>
    <t>13e4c0a0</t>
  </si>
  <si>
    <t>570cfba6</t>
  </si>
  <si>
    <t>eb438725</t>
  </si>
  <si>
    <t>102cf3cf</t>
  </si>
  <si>
    <t>d7a737e1</t>
  </si>
  <si>
    <t>fe27bd99</t>
  </si>
  <si>
    <t>96e25dfd</t>
  </si>
  <si>
    <t>138abada</t>
  </si>
  <si>
    <t>c36dbb30</t>
  </si>
  <si>
    <t>c98e0fa8</t>
  </si>
  <si>
    <t>459aac2c</t>
  </si>
  <si>
    <t>234b1ad8</t>
  </si>
  <si>
    <t>cd2b4d63</t>
  </si>
  <si>
    <t>2d380e90</t>
  </si>
  <si>
    <t>7549335b</t>
  </si>
  <si>
    <t>07c5fdb3</t>
  </si>
  <si>
    <t>717fd5b4</t>
  </si>
  <si>
    <t>e4989bb4</t>
  </si>
  <si>
    <t>67602eee</t>
  </si>
  <si>
    <t>125efa4c</t>
  </si>
  <si>
    <t>e949d942</t>
  </si>
  <si>
    <t>0aeeecf8</t>
  </si>
  <si>
    <t>479b0f8c</t>
  </si>
  <si>
    <t>65a4ee9b</t>
  </si>
  <si>
    <t>d0abd86c</t>
  </si>
  <si>
    <t>3f2afba5</t>
  </si>
  <si>
    <t>52dbbc59</t>
  </si>
  <si>
    <t>416bb468</t>
  </si>
  <si>
    <t>15b0477b</t>
  </si>
  <si>
    <t>8922953a</t>
  </si>
  <si>
    <t>c1ef70c5</t>
  </si>
  <si>
    <t>c30a8f3f</t>
  </si>
  <si>
    <t>a4b3c1b4</t>
  </si>
  <si>
    <t>545cec37</t>
  </si>
  <si>
    <t>f1945a01</t>
  </si>
  <si>
    <t>631ee54d</t>
  </si>
  <si>
    <t>b8054aec</t>
  </si>
  <si>
    <t>92f49eb8</t>
  </si>
  <si>
    <t>d36a61d4</t>
  </si>
  <si>
    <t>e2bf7f9f</t>
  </si>
  <si>
    <t>9b104c91</t>
  </si>
  <si>
    <t>e2c320cb</t>
  </si>
  <si>
    <t>ad544491</t>
  </si>
  <si>
    <t>a1e60d22</t>
  </si>
  <si>
    <t>8832c3bf</t>
  </si>
  <si>
    <t>ff8d8104</t>
  </si>
  <si>
    <t>f8141f58</t>
  </si>
  <si>
    <t>0ca4a839</t>
  </si>
  <si>
    <t>40efc309</t>
  </si>
  <si>
    <t>08eaab98</t>
  </si>
  <si>
    <t>b7149333</t>
  </si>
  <si>
    <t>7649794b</t>
  </si>
  <si>
    <t>875c60b6</t>
  </si>
  <si>
    <t>fec03aeb</t>
  </si>
  <si>
    <t>ee46ec4a</t>
  </si>
  <si>
    <t>3ea8800b</t>
  </si>
  <si>
    <t>55d5e9d0</t>
  </si>
  <si>
    <t>5b50f843</t>
  </si>
  <si>
    <t>6e812b7c</t>
  </si>
  <si>
    <t>1e9ae1b0</t>
  </si>
  <si>
    <t>cfc2ab83</t>
  </si>
  <si>
    <t>334c72f4</t>
  </si>
  <si>
    <t>f2087ce0</t>
  </si>
  <si>
    <t>edaf2b5a</t>
  </si>
  <si>
    <t>Huanímaro</t>
  </si>
  <si>
    <t>24c9ca1e</t>
  </si>
  <si>
    <t>Jaral del Progreso</t>
  </si>
  <si>
    <t>153d6c9a</t>
  </si>
  <si>
    <t>7fe1cf30</t>
  </si>
  <si>
    <t>dd6bb46f</t>
  </si>
  <si>
    <t>3f0dcc9e</t>
  </si>
  <si>
    <t>da8c9e92</t>
  </si>
  <si>
    <t>b5a60c3d</t>
  </si>
  <si>
    <t>6da85f76</t>
  </si>
  <si>
    <t>7d87080a</t>
  </si>
  <si>
    <t>547003d1</t>
  </si>
  <si>
    <t>b49660f0</t>
  </si>
  <si>
    <t>814f73ad</t>
  </si>
  <si>
    <t>5f4f1cfd</t>
  </si>
  <si>
    <t>4c43202e</t>
  </si>
  <si>
    <t>3187ef2b</t>
  </si>
  <si>
    <t>6cfe6dd8</t>
  </si>
  <si>
    <t>37d9eca4</t>
  </si>
  <si>
    <t>5262f1b4</t>
  </si>
  <si>
    <t>dd1f8590</t>
  </si>
  <si>
    <t>438f0292</t>
  </si>
  <si>
    <t>b7cc9e90</t>
  </si>
  <si>
    <t>c9f2322b</t>
  </si>
  <si>
    <t>8b73568c</t>
  </si>
  <si>
    <t>40b591ee</t>
  </si>
  <si>
    <t>d47ba2c2</t>
  </si>
  <si>
    <t>0e63da2a</t>
  </si>
  <si>
    <t>f1269da0</t>
  </si>
  <si>
    <t>037d8151</t>
  </si>
  <si>
    <t>23e3f879</t>
  </si>
  <si>
    <t>44317a5c</t>
  </si>
  <si>
    <t>f4cb14a7</t>
  </si>
  <si>
    <t>b9ad008a</t>
  </si>
  <si>
    <t>4ca4a50a</t>
  </si>
  <si>
    <t>9283d901</t>
  </si>
  <si>
    <t>64a0d378</t>
  </si>
  <si>
    <t>b0fa9ab2</t>
  </si>
  <si>
    <t>e7f61cf4</t>
  </si>
  <si>
    <t>7ea7981f</t>
  </si>
  <si>
    <t>ef05730f</t>
  </si>
  <si>
    <t>57187227</t>
  </si>
  <si>
    <t>55085379</t>
  </si>
  <si>
    <t>26ca7707</t>
  </si>
  <si>
    <t>f7d40f48</t>
  </si>
  <si>
    <t>60c1efc7</t>
  </si>
  <si>
    <t>f89db9f9</t>
  </si>
  <si>
    <t>822740a7</t>
  </si>
  <si>
    <t>c670cb86</t>
  </si>
  <si>
    <t>41817708</t>
  </si>
  <si>
    <t>1abb1273</t>
  </si>
  <si>
    <t>617e136c</t>
  </si>
  <si>
    <t>a32a788c</t>
  </si>
  <si>
    <t>48c9364b</t>
  </si>
  <si>
    <t>f62c562b</t>
  </si>
  <si>
    <t>f56c88d0</t>
  </si>
  <si>
    <t>Zona centro</t>
  </si>
  <si>
    <t>3fde7cdc</t>
  </si>
  <si>
    <t>e1294bb5</t>
  </si>
  <si>
    <t>086d77b6</t>
  </si>
  <si>
    <t>35b295f4</t>
  </si>
  <si>
    <t>San Miguel de Allende</t>
  </si>
  <si>
    <t>a8b80110</t>
  </si>
  <si>
    <t>Leon 1</t>
  </si>
  <si>
    <t>672e67ac</t>
  </si>
  <si>
    <t>466e653b</t>
  </si>
  <si>
    <t>f8723946</t>
  </si>
  <si>
    <t>Ciudad de mexico</t>
  </si>
  <si>
    <t>8f6806e9</t>
  </si>
  <si>
    <t>Comonfort</t>
  </si>
  <si>
    <t>d8507719</t>
  </si>
  <si>
    <t>Acámbaro</t>
  </si>
  <si>
    <t>ftgfdgfdg</t>
  </si>
  <si>
    <t>1a1bb7cb</t>
  </si>
  <si>
    <t>08d11cbf</t>
  </si>
  <si>
    <t>9446b28f</t>
  </si>
  <si>
    <t>8b9c93df</t>
  </si>
  <si>
    <t>2afb1b26</t>
  </si>
  <si>
    <t>781b65d5</t>
  </si>
  <si>
    <t>f1a6e0f7</t>
  </si>
  <si>
    <t>2840729e</t>
  </si>
  <si>
    <t>dd4d6928</t>
  </si>
  <si>
    <t>fd987758</t>
  </si>
  <si>
    <t>f54ac447</t>
  </si>
  <si>
    <t>8268de0a</t>
  </si>
  <si>
    <t>e503f9a6</t>
  </si>
  <si>
    <t>87ce72ec</t>
  </si>
  <si>
    <t>961571fe</t>
  </si>
  <si>
    <t>8f339163</t>
  </si>
  <si>
    <t>665d868e</t>
  </si>
  <si>
    <t>cc7ef046</t>
  </si>
  <si>
    <t>2c7714fd</t>
  </si>
  <si>
    <t>57e172bb</t>
  </si>
  <si>
    <t>0184cdfd</t>
  </si>
  <si>
    <t>2a7311c5</t>
  </si>
  <si>
    <t>02a319f3</t>
  </si>
  <si>
    <t>d9208971</t>
  </si>
  <si>
    <t>4b1e7ace</t>
  </si>
  <si>
    <t>11c77a24</t>
  </si>
  <si>
    <t>d16be8b7</t>
  </si>
  <si>
    <t>b17aae3c</t>
  </si>
  <si>
    <t>ae5dcd15</t>
  </si>
  <si>
    <t>ff28049b</t>
  </si>
  <si>
    <t>9953eeee</t>
  </si>
  <si>
    <t>e0b64e99</t>
  </si>
  <si>
    <t>9101655b</t>
  </si>
  <si>
    <t>fbacc731</t>
  </si>
  <si>
    <t>b46e8ce7</t>
  </si>
  <si>
    <t>a0e7c5b3</t>
  </si>
  <si>
    <t>1c544e0e</t>
  </si>
  <si>
    <t>1f9cd7c5</t>
  </si>
  <si>
    <t>1220a149</t>
  </si>
  <si>
    <t>a3e8ced4</t>
  </si>
  <si>
    <t>ab6a1461</t>
  </si>
  <si>
    <t>640b8f95</t>
  </si>
  <si>
    <t>fb97b50a</t>
  </si>
  <si>
    <t>6aeef4af</t>
  </si>
  <si>
    <t>c2e8a242</t>
  </si>
  <si>
    <t>dfa36800</t>
  </si>
  <si>
    <t>20f259aa</t>
  </si>
  <si>
    <t>b3c15138</t>
  </si>
  <si>
    <t>e59cc6b3</t>
  </si>
  <si>
    <t>5fd1823a</t>
  </si>
  <si>
    <t>f8a08eec</t>
  </si>
  <si>
    <t>160dfc71</t>
  </si>
  <si>
    <t>6d6d4f34</t>
  </si>
  <si>
    <t>5c8b4229</t>
  </si>
  <si>
    <t>d4e1c865</t>
  </si>
  <si>
    <t>ced8a940</t>
  </si>
  <si>
    <t>d12515e3</t>
  </si>
  <si>
    <t>010e00bc</t>
  </si>
  <si>
    <t>fce2ef2c</t>
  </si>
  <si>
    <t>def8e747</t>
  </si>
  <si>
    <t>48fa5082</t>
  </si>
  <si>
    <t>4f830032</t>
  </si>
  <si>
    <t>b075a994</t>
  </si>
  <si>
    <t>aaef127e</t>
  </si>
  <si>
    <t>7b793fec</t>
  </si>
  <si>
    <t>85bbba35</t>
  </si>
  <si>
    <t>6f410dd6</t>
  </si>
  <si>
    <t>cf1351c8</t>
  </si>
  <si>
    <t>8d9ba17a</t>
  </si>
  <si>
    <t>cf5d9a8c</t>
  </si>
  <si>
    <t>b2689729</t>
  </si>
  <si>
    <t>c7041758</t>
  </si>
  <si>
    <t>dd87757b</t>
  </si>
  <si>
    <t>a1e6f39b</t>
  </si>
  <si>
    <t>b31e0e43</t>
  </si>
  <si>
    <t>2fdb5e7d</t>
  </si>
  <si>
    <t>03c6b31d</t>
  </si>
  <si>
    <t>58d37c0f</t>
  </si>
  <si>
    <t>44f6ff1a</t>
  </si>
  <si>
    <t>7edcd39e</t>
  </si>
  <si>
    <t>f3efec83</t>
  </si>
  <si>
    <t>Salamanca</t>
  </si>
  <si>
    <t>331e8fd5</t>
  </si>
  <si>
    <t>b57250d5</t>
  </si>
  <si>
    <t>b545989a</t>
  </si>
  <si>
    <t>735015a3</t>
  </si>
  <si>
    <t>8edcff76</t>
  </si>
  <si>
    <t>0abc69ed</t>
  </si>
  <si>
    <t>1d29ccde</t>
  </si>
  <si>
    <t>65281850</t>
  </si>
  <si>
    <t>4b020bfe</t>
  </si>
  <si>
    <t>00ca5cc3</t>
  </si>
  <si>
    <t>b2f1464e</t>
  </si>
  <si>
    <t>5f1b44ac</t>
  </si>
  <si>
    <t>46e0a60a</t>
  </si>
  <si>
    <t>c835215b</t>
  </si>
  <si>
    <t>69427062</t>
  </si>
  <si>
    <t>9e15d826</t>
  </si>
  <si>
    <t>ed4b2e62</t>
  </si>
  <si>
    <t>ac2dd1b5</t>
  </si>
  <si>
    <t>e27d16dd</t>
  </si>
  <si>
    <t>cef7d0a1</t>
  </si>
  <si>
    <t>eda958f9</t>
  </si>
  <si>
    <t>4726fd87</t>
  </si>
  <si>
    <t>05b52a88</t>
  </si>
  <si>
    <t>d6aac67e</t>
  </si>
  <si>
    <t>ec02d0c9</t>
  </si>
  <si>
    <t>1e36e2be</t>
  </si>
  <si>
    <t>d43936bc</t>
  </si>
  <si>
    <t>e6ee3886</t>
  </si>
  <si>
    <t>c9f4098d</t>
  </si>
  <si>
    <t>15791d20</t>
  </si>
  <si>
    <t>888539cc</t>
  </si>
  <si>
    <t>90b21d76</t>
  </si>
  <si>
    <t>San Francisco del Rincón</t>
  </si>
  <si>
    <t>San Francisco</t>
  </si>
  <si>
    <t>bdd588aa</t>
  </si>
  <si>
    <t>63221f2c</t>
  </si>
  <si>
    <t>7748a096</t>
  </si>
  <si>
    <t>c8770d72</t>
  </si>
  <si>
    <t>958f902c</t>
  </si>
  <si>
    <t>fd59fbbc</t>
  </si>
  <si>
    <t>38d9c0f6</t>
  </si>
  <si>
    <t>c509d402</t>
  </si>
  <si>
    <t>d31966bb</t>
  </si>
  <si>
    <t>6d267520</t>
  </si>
  <si>
    <t>7a623ce2</t>
  </si>
  <si>
    <t>604e73b6</t>
  </si>
  <si>
    <t>ff8d2997</t>
  </si>
  <si>
    <t>4ddc6f27</t>
  </si>
  <si>
    <t>Santa Catarina</t>
  </si>
  <si>
    <t>Zona Rural</t>
  </si>
  <si>
    <t>a7c66982</t>
  </si>
  <si>
    <t>df0b0043</t>
  </si>
  <si>
    <t>4c70a290</t>
  </si>
  <si>
    <t>Abasolo</t>
  </si>
  <si>
    <t>d1b08e3b</t>
  </si>
  <si>
    <t>dcf185cd</t>
  </si>
  <si>
    <t>6e2bd820</t>
  </si>
  <si>
    <t>df899876</t>
  </si>
  <si>
    <t>5113460d</t>
  </si>
  <si>
    <t>4e2e3d36</t>
  </si>
  <si>
    <t>d96cbb89</t>
  </si>
  <si>
    <t>c214a740</t>
  </si>
  <si>
    <t>c8ec9d9b</t>
  </si>
  <si>
    <t>846f01d3</t>
  </si>
  <si>
    <t>494ba882</t>
  </si>
  <si>
    <t>4b6be4d9</t>
  </si>
  <si>
    <t>5c708b2b</t>
  </si>
  <si>
    <t>0843d5be</t>
  </si>
  <si>
    <t>dd94e26e</t>
  </si>
  <si>
    <t>9e260de4</t>
  </si>
  <si>
    <t>Villagrán</t>
  </si>
  <si>
    <t>fe7dd62d</t>
  </si>
  <si>
    <t>632790eb</t>
  </si>
  <si>
    <t>6a75d402</t>
  </si>
  <si>
    <t>9e20f945</t>
  </si>
  <si>
    <t>d7fec039</t>
  </si>
  <si>
    <t>c19b57df</t>
  </si>
  <si>
    <t>3faec726</t>
  </si>
  <si>
    <t>41df3d77</t>
  </si>
  <si>
    <t>583eb682</t>
  </si>
  <si>
    <t>f4111343</t>
  </si>
  <si>
    <t>4944eaa8</t>
  </si>
  <si>
    <t>a58f3d82</t>
  </si>
  <si>
    <t>f8502c10</t>
  </si>
  <si>
    <t>ca5f428f</t>
  </si>
  <si>
    <t>5b886de6</t>
  </si>
  <si>
    <t>0452361e</t>
  </si>
  <si>
    <t>a19059ab</t>
  </si>
  <si>
    <t>850eb029</t>
  </si>
  <si>
    <t>a3b4ec7a</t>
  </si>
  <si>
    <t>3e0772be</t>
  </si>
  <si>
    <t>feab2597</t>
  </si>
  <si>
    <t>479c3891</t>
  </si>
  <si>
    <t>b16f9c88</t>
  </si>
  <si>
    <t>d669c157</t>
  </si>
  <si>
    <t>403a8060</t>
  </si>
  <si>
    <t>4f17bb11</t>
  </si>
  <si>
    <t>dc5e1e0b</t>
  </si>
  <si>
    <t>7a01893f</t>
  </si>
  <si>
    <t>Dolores Hidalgo Cuna de la Independencia Nacional</t>
  </si>
  <si>
    <t>0f500036</t>
  </si>
  <si>
    <t>131ff2b0</t>
  </si>
  <si>
    <t>42b8efe4</t>
  </si>
  <si>
    <t>San Felipe</t>
  </si>
  <si>
    <t>6c785b36</t>
  </si>
  <si>
    <t>3cb0e228</t>
  </si>
  <si>
    <t>f8e09a59</t>
  </si>
  <si>
    <t>624de54d</t>
  </si>
  <si>
    <t>d7f2d19e</t>
  </si>
  <si>
    <t>98429c56</t>
  </si>
  <si>
    <t>e1e9913b</t>
  </si>
  <si>
    <t>91ed3a16</t>
  </si>
  <si>
    <t>f6d7cf72</t>
  </si>
  <si>
    <t>c486e90e</t>
  </si>
  <si>
    <t>a480738e</t>
  </si>
  <si>
    <t>6200c91d</t>
  </si>
  <si>
    <t>cd74a5e4</t>
  </si>
  <si>
    <t>Valle de Santiago</t>
  </si>
  <si>
    <t>1af5a63a</t>
  </si>
  <si>
    <t>Doctor Mora</t>
  </si>
  <si>
    <t>0414163f</t>
  </si>
  <si>
    <t>9667d715</t>
  </si>
  <si>
    <t>Manuel Doblado</t>
  </si>
  <si>
    <t>d3711ac1</t>
  </si>
  <si>
    <t>25519da3</t>
  </si>
  <si>
    <t>a53500cf</t>
  </si>
  <si>
    <t>b59e0f66</t>
  </si>
  <si>
    <t>0a778d1c</t>
  </si>
  <si>
    <t>6ae9de66</t>
  </si>
  <si>
    <t>9c6d497e</t>
  </si>
  <si>
    <t>ddd340d7</t>
  </si>
  <si>
    <t>4326e64d</t>
  </si>
  <si>
    <t>94ca90cb</t>
  </si>
  <si>
    <t>a95d6ec7</t>
  </si>
  <si>
    <t>fc9f41fd</t>
  </si>
  <si>
    <t>b0a40ae3</t>
  </si>
  <si>
    <t>4fee0a01</t>
  </si>
  <si>
    <t>6e0d2de8</t>
  </si>
  <si>
    <t>587ea571</t>
  </si>
  <si>
    <t>3da4db74</t>
  </si>
  <si>
    <t>8c3f24c8</t>
  </si>
  <si>
    <t>Apaseo el Grande</t>
  </si>
  <si>
    <t>d964b109</t>
  </si>
  <si>
    <t>9354ff18</t>
  </si>
  <si>
    <t>dc7d9cf9</t>
  </si>
  <si>
    <t>Jerécuaro</t>
  </si>
  <si>
    <t>Jerecuaro</t>
  </si>
  <si>
    <t>771784ad</t>
  </si>
  <si>
    <t>9c983222</t>
  </si>
  <si>
    <t>99d33322</t>
  </si>
  <si>
    <t>53abb9b2</t>
  </si>
  <si>
    <t>c7463ab4</t>
  </si>
  <si>
    <t>Cuerámaro</t>
  </si>
  <si>
    <t>Cueramaro</t>
  </si>
  <si>
    <t>d893b9db</t>
  </si>
  <si>
    <t>5ae78c2b</t>
  </si>
  <si>
    <t>660145da</t>
  </si>
  <si>
    <t>4cd2c418</t>
  </si>
  <si>
    <t>22188bd5</t>
  </si>
  <si>
    <t>fc6d9a38</t>
  </si>
  <si>
    <t>8515ccd9</t>
  </si>
  <si>
    <t>1a72d095</t>
  </si>
  <si>
    <t>11a40578</t>
  </si>
  <si>
    <t>d76aa026</t>
  </si>
  <si>
    <t>d097d9aa</t>
  </si>
  <si>
    <t>a0021896</t>
  </si>
  <si>
    <t>0b961fd4</t>
  </si>
  <si>
    <t>1395c929</t>
  </si>
  <si>
    <t>0da5f660</t>
  </si>
  <si>
    <t>ff7882a9</t>
  </si>
  <si>
    <t>3ecceb5a</t>
  </si>
  <si>
    <t>6a83f6bd</t>
  </si>
  <si>
    <t>7f0d4ed1</t>
  </si>
  <si>
    <t>15dbe9db</t>
  </si>
  <si>
    <t>Uriangato</t>
  </si>
  <si>
    <t>fbf883d1</t>
  </si>
  <si>
    <t>d3419531</t>
  </si>
  <si>
    <t>6f288e2c</t>
  </si>
  <si>
    <t>7591733f</t>
  </si>
  <si>
    <t>c35cf418</t>
  </si>
  <si>
    <t>e3d4c5dc</t>
  </si>
  <si>
    <t>db65a049</t>
  </si>
  <si>
    <t>f449ed87</t>
  </si>
  <si>
    <t>988c1e81</t>
  </si>
  <si>
    <t>c0915348</t>
  </si>
  <si>
    <t>9432ee1c</t>
  </si>
  <si>
    <t>34446713</t>
  </si>
  <si>
    <t>b9fa04a5</t>
  </si>
  <si>
    <t>26b36e43</t>
  </si>
  <si>
    <t>fbd6d729</t>
  </si>
  <si>
    <t>7d9ae033</t>
  </si>
  <si>
    <t>3730dca2</t>
  </si>
  <si>
    <t>ID_Poblacion</t>
  </si>
  <si>
    <t>Grupo_Etario</t>
  </si>
  <si>
    <t>Genero</t>
  </si>
  <si>
    <t>Grupo_Prioritario</t>
  </si>
  <si>
    <t>Cantidad_Poblacion</t>
  </si>
  <si>
    <t>c674760c</t>
  </si>
  <si>
    <t>Adultos Mayores (60 años o más)</t>
  </si>
  <si>
    <t>Mujer</t>
  </si>
  <si>
    <t>7ce416e4</t>
  </si>
  <si>
    <t>Niñas y Niños (6 a 12 años)</t>
  </si>
  <si>
    <t>Dato global</t>
  </si>
  <si>
    <t>f2bd699b</t>
  </si>
  <si>
    <t>a3f1a579</t>
  </si>
  <si>
    <t>534e70ac</t>
  </si>
  <si>
    <t>50488ace</t>
  </si>
  <si>
    <t>c2883e9e</t>
  </si>
  <si>
    <t>2f6ab82e</t>
  </si>
  <si>
    <t>Adultos (30 a 59 años)</t>
  </si>
  <si>
    <t>769ff7cf</t>
  </si>
  <si>
    <t>c2ee559e</t>
  </si>
  <si>
    <t>a16577fe</t>
  </si>
  <si>
    <t>9db5ef59</t>
  </si>
  <si>
    <t>3cec0f76</t>
  </si>
  <si>
    <t>ea4a8d2d</t>
  </si>
  <si>
    <t>056a26b1</t>
  </si>
  <si>
    <t>98dc8b4a</t>
  </si>
  <si>
    <t>acafb44f</t>
  </si>
  <si>
    <t>Adolescentes (13 a 17 años)</t>
  </si>
  <si>
    <t>32bcf775</t>
  </si>
  <si>
    <t>Jóvenes (18 a 29 años)</t>
  </si>
  <si>
    <t>c3ce3cdb</t>
  </si>
  <si>
    <t>e75f7305</t>
  </si>
  <si>
    <t>7fc4f019</t>
  </si>
  <si>
    <t>7d474b11</t>
  </si>
  <si>
    <t>d450a597</t>
  </si>
  <si>
    <t>f62ff286</t>
  </si>
  <si>
    <t>4578abcd</t>
  </si>
  <si>
    <t>7e4ae317</t>
  </si>
  <si>
    <t>335493ff</t>
  </si>
  <si>
    <t>fa776899</t>
  </si>
  <si>
    <t>8022319b</t>
  </si>
  <si>
    <t>f757ce63</t>
  </si>
  <si>
    <t>dc0044ee</t>
  </si>
  <si>
    <t>2a22d089</t>
  </si>
  <si>
    <t>72582f5c</t>
  </si>
  <si>
    <t>9152cc8e</t>
  </si>
  <si>
    <t>3bacb7b4</t>
  </si>
  <si>
    <t>f27556c5</t>
  </si>
  <si>
    <t>dbf3fb55</t>
  </si>
  <si>
    <t>372e9b8e</t>
  </si>
  <si>
    <t>4e69a4b7</t>
  </si>
  <si>
    <t>902ed411</t>
  </si>
  <si>
    <t>74071508</t>
  </si>
  <si>
    <t>2eaa0b67</t>
  </si>
  <si>
    <t>2529b6cf</t>
  </si>
  <si>
    <t>3c9619f7</t>
  </si>
  <si>
    <t>1af39f66</t>
  </si>
  <si>
    <t>91f797f1</t>
  </si>
  <si>
    <t>867386ae</t>
  </si>
  <si>
    <t>4e3d2863</t>
  </si>
  <si>
    <t>ef4c500e</t>
  </si>
  <si>
    <t>49a42d92</t>
  </si>
  <si>
    <t>bfd83393</t>
  </si>
  <si>
    <t>Primera Infancia (0 a 5 años)</t>
  </si>
  <si>
    <t>9eb4f709</t>
  </si>
  <si>
    <t>e3699cf1</t>
  </si>
  <si>
    <t>991db004</t>
  </si>
  <si>
    <t>b90e7100</t>
  </si>
  <si>
    <t>507a83b3</t>
  </si>
  <si>
    <t>aa0304e6</t>
  </si>
  <si>
    <t>09db4bdd</t>
  </si>
  <si>
    <t>62de6350</t>
  </si>
  <si>
    <t>85e5b2b3</t>
  </si>
  <si>
    <t>d8396303</t>
  </si>
  <si>
    <t>c226cf67</t>
  </si>
  <si>
    <t>9d5e649c</t>
  </si>
  <si>
    <t>98adea54</t>
  </si>
  <si>
    <t>75c5a470</t>
  </si>
  <si>
    <t>d0db83b6</t>
  </si>
  <si>
    <t>c3aa03c9</t>
  </si>
  <si>
    <t>48874cdc</t>
  </si>
  <si>
    <t>79cc93ac</t>
  </si>
  <si>
    <t>c2859d2e</t>
  </si>
  <si>
    <t>b89be4d9</t>
  </si>
  <si>
    <t>9efc8f98</t>
  </si>
  <si>
    <t>e5b27e2b</t>
  </si>
  <si>
    <t>4fa04ed3</t>
  </si>
  <si>
    <t>5819d111</t>
  </si>
  <si>
    <t>7d9bc34e</t>
  </si>
  <si>
    <t>6ba90595</t>
  </si>
  <si>
    <t>0553e8cf</t>
  </si>
  <si>
    <t>46ddb514</t>
  </si>
  <si>
    <t>0005aa5f</t>
  </si>
  <si>
    <t>a696076f</t>
  </si>
  <si>
    <t>e6974c7f</t>
  </si>
  <si>
    <t>714ee18c</t>
  </si>
  <si>
    <t>cb631d02</t>
  </si>
  <si>
    <t>8b0e95b6</t>
  </si>
  <si>
    <t>80c8d659</t>
  </si>
  <si>
    <t>a3f6bfe0</t>
  </si>
  <si>
    <t>af11e443</t>
  </si>
  <si>
    <t>79af9e9d</t>
  </si>
  <si>
    <t>24c5ec71</t>
  </si>
  <si>
    <t>cf3ecd12</t>
  </si>
  <si>
    <t>4c26deef</t>
  </si>
  <si>
    <t>59d45b26</t>
  </si>
  <si>
    <t>1fad0ad1</t>
  </si>
  <si>
    <t>18c79f4d</t>
  </si>
  <si>
    <t>7f891dc4</t>
  </si>
  <si>
    <t>fdfa12ae</t>
  </si>
  <si>
    <t>d07e1e2c</t>
  </si>
  <si>
    <t>7736e83b</t>
  </si>
  <si>
    <t>b10d7fb7</t>
  </si>
  <si>
    <t>0d225367</t>
  </si>
  <si>
    <t>82856692</t>
  </si>
  <si>
    <t>6574ab89</t>
  </si>
  <si>
    <t>df6401fd</t>
  </si>
  <si>
    <t>3663eae5</t>
  </si>
  <si>
    <t>b01fa953</t>
  </si>
  <si>
    <t>f1758ac2</t>
  </si>
  <si>
    <t>69e8e568</t>
  </si>
  <si>
    <t>0e5b38b6</t>
  </si>
  <si>
    <t>845ef4aa</t>
  </si>
  <si>
    <t>c2212ace</t>
  </si>
  <si>
    <t>721a86b7</t>
  </si>
  <si>
    <t>c4a4b9c8</t>
  </si>
  <si>
    <t>1501f4e7</t>
  </si>
  <si>
    <t>8ec7252a</t>
  </si>
  <si>
    <t>628d2503</t>
  </si>
  <si>
    <t>833d0aa4</t>
  </si>
  <si>
    <t>9a4d5271</t>
  </si>
  <si>
    <t>94b20d71</t>
  </si>
  <si>
    <t>26090c7c</t>
  </si>
  <si>
    <t>849e0bf1</t>
  </si>
  <si>
    <t>2c31a49e</t>
  </si>
  <si>
    <t>87f75cac</t>
  </si>
  <si>
    <t>71e0d69d</t>
  </si>
  <si>
    <t>09a62db6</t>
  </si>
  <si>
    <t>da11eed2</t>
  </si>
  <si>
    <t>69c973ab</t>
  </si>
  <si>
    <t>9c8e6fef</t>
  </si>
  <si>
    <t>094e577a</t>
  </si>
  <si>
    <t>6a390b16</t>
  </si>
  <si>
    <t>ba51404c</t>
  </si>
  <si>
    <t>28e77bd9</t>
  </si>
  <si>
    <t>84b9e856</t>
  </si>
  <si>
    <t>d8c8b8fc</t>
  </si>
  <si>
    <t>ce5fa2eb</t>
  </si>
  <si>
    <t>f1ca7b9f</t>
  </si>
  <si>
    <t>4fbc699d</t>
  </si>
  <si>
    <t>5da8967d</t>
  </si>
  <si>
    <t>c85b8116</t>
  </si>
  <si>
    <t>20978b65</t>
  </si>
  <si>
    <t>a03a9722</t>
  </si>
  <si>
    <t>082b7a12</t>
  </si>
  <si>
    <t>e83bcc19</t>
  </si>
  <si>
    <t>f8770d58</t>
  </si>
  <si>
    <t>8654274c</t>
  </si>
  <si>
    <t>823f41ca</t>
  </si>
  <si>
    <t>7ef73cbf</t>
  </si>
  <si>
    <t>73a5147a</t>
  </si>
  <si>
    <t>aacdf48f</t>
  </si>
  <si>
    <t>5eb9a471</t>
  </si>
  <si>
    <t>55fcb8f1</t>
  </si>
  <si>
    <t>0af827b3</t>
  </si>
  <si>
    <t>4cd06d88</t>
  </si>
  <si>
    <t>ba16d556</t>
  </si>
  <si>
    <t>25233603</t>
  </si>
  <si>
    <t>7b513ae5</t>
  </si>
  <si>
    <t>dbc4ecd1</t>
  </si>
  <si>
    <t>381d65e5</t>
  </si>
  <si>
    <t>1cfee2f0</t>
  </si>
  <si>
    <t>1f126d9c</t>
  </si>
  <si>
    <t>453edba2</t>
  </si>
  <si>
    <t>8aaf0477</t>
  </si>
  <si>
    <t>3dad61af</t>
  </si>
  <si>
    <t>4c931c6e</t>
  </si>
  <si>
    <t>86559351</t>
  </si>
  <si>
    <t>bb4ea23d</t>
  </si>
  <si>
    <t>42006d6d</t>
  </si>
  <si>
    <t>e5aac444</t>
  </si>
  <si>
    <t>6f900cb7</t>
  </si>
  <si>
    <t>a5a33a4d</t>
  </si>
  <si>
    <t>cd797666</t>
  </si>
  <si>
    <t>3ad6303d</t>
  </si>
  <si>
    <t>dd0fa473</t>
  </si>
  <si>
    <t>0b02a88d</t>
  </si>
  <si>
    <t>14f1b897</t>
  </si>
  <si>
    <t>c08c9bdb</t>
  </si>
  <si>
    <t>1d13da7e</t>
  </si>
  <si>
    <t>6ca54968</t>
  </si>
  <si>
    <t>7fdfcd35</t>
  </si>
  <si>
    <t>2b91069c</t>
  </si>
  <si>
    <t>c68655c3</t>
  </si>
  <si>
    <t>11e6f6fb</t>
  </si>
  <si>
    <t>3651fe4e</t>
  </si>
  <si>
    <t>511ef76c</t>
  </si>
  <si>
    <t>140ee279</t>
  </si>
  <si>
    <t>801e039d</t>
  </si>
  <si>
    <t>d5016c44</t>
  </si>
  <si>
    <t>c65fa499</t>
  </si>
  <si>
    <t>aac7893e</t>
  </si>
  <si>
    <t>488a42e9</t>
  </si>
  <si>
    <t>e86e0b41</t>
  </si>
  <si>
    <t>f2291527</t>
  </si>
  <si>
    <t>c2e210e9</t>
  </si>
  <si>
    <t>5f1920d2</t>
  </si>
  <si>
    <t>0ad3265f</t>
  </si>
  <si>
    <t>2071ddd9</t>
  </si>
  <si>
    <t>5985a572</t>
  </si>
  <si>
    <t>3f18d890</t>
  </si>
  <si>
    <t>d286667f</t>
  </si>
  <si>
    <t>ad2964a3</t>
  </si>
  <si>
    <t>9aa5d9c1</t>
  </si>
  <si>
    <t>1687ff54</t>
  </si>
  <si>
    <t>a50e5d57</t>
  </si>
  <si>
    <t>869e455a</t>
  </si>
  <si>
    <t>ff64693a</t>
  </si>
  <si>
    <t>4000d7be</t>
  </si>
  <si>
    <t>6db4fe48</t>
  </si>
  <si>
    <t>855720d4</t>
  </si>
  <si>
    <t>d7cf7a54</t>
  </si>
  <si>
    <t>ee0328cb</t>
  </si>
  <si>
    <t>e97a3724</t>
  </si>
  <si>
    <t>b15bd70c</t>
  </si>
  <si>
    <t>31733048</t>
  </si>
  <si>
    <t>de746233</t>
  </si>
  <si>
    <t>2184d714</t>
  </si>
  <si>
    <t>d470f517</t>
  </si>
  <si>
    <t>04fce989</t>
  </si>
  <si>
    <t>3fb4299f</t>
  </si>
  <si>
    <t>fe792afa</t>
  </si>
  <si>
    <t>ad63fbf1</t>
  </si>
  <si>
    <t>071acb34</t>
  </si>
  <si>
    <t>5d3f5450</t>
  </si>
  <si>
    <t>f66dac1f</t>
  </si>
  <si>
    <t>c480a65e</t>
  </si>
  <si>
    <t>bbc2657f</t>
  </si>
  <si>
    <t>4a04f664</t>
  </si>
  <si>
    <t>f636a4c5</t>
  </si>
  <si>
    <t>56b286cc</t>
  </si>
  <si>
    <t>fc94f85b</t>
  </si>
  <si>
    <t>0f5ccdff</t>
  </si>
  <si>
    <t>9e539b30</t>
  </si>
  <si>
    <t>4556bdba</t>
  </si>
  <si>
    <t>5b5f2287</t>
  </si>
  <si>
    <t>eae3931d</t>
  </si>
  <si>
    <t>89e1b874</t>
  </si>
  <si>
    <t>c77f66ab</t>
  </si>
  <si>
    <t>d19358bd</t>
  </si>
  <si>
    <t>b3448ada</t>
  </si>
  <si>
    <t>db04afea</t>
  </si>
  <si>
    <t>550cd1ec</t>
  </si>
  <si>
    <t>4d7b462f</t>
  </si>
  <si>
    <t>8299e99e</t>
  </si>
  <si>
    <t>6b532a7f</t>
  </si>
  <si>
    <t>ff4a9dcf</t>
  </si>
  <si>
    <t>fd46cc7f</t>
  </si>
  <si>
    <t>9c53e4c0</t>
  </si>
  <si>
    <t>5fb9d318</t>
  </si>
  <si>
    <t>9ac83547</t>
  </si>
  <si>
    <t>f44b06b2</t>
  </si>
  <si>
    <t>556f5c12</t>
  </si>
  <si>
    <t>b21d663f</t>
  </si>
  <si>
    <t>6a30ba3b</t>
  </si>
  <si>
    <t>9ecbd044</t>
  </si>
  <si>
    <t>7a68d26d</t>
  </si>
  <si>
    <t>0421347e</t>
  </si>
  <si>
    <t>6edb07a8</t>
  </si>
  <si>
    <t>448fa001</t>
  </si>
  <si>
    <t>f68d6c16</t>
  </si>
  <si>
    <t>5ee163b4</t>
  </si>
  <si>
    <t>b6b98204</t>
  </si>
  <si>
    <t>981f99b4</t>
  </si>
  <si>
    <t>6bf312ea</t>
  </si>
  <si>
    <t>3847cf4d</t>
  </si>
  <si>
    <t>eee274fa</t>
  </si>
  <si>
    <t>220d4fad</t>
  </si>
  <si>
    <t>d5373faf</t>
  </si>
  <si>
    <t>ec52a246</t>
  </si>
  <si>
    <t>478da2d6</t>
  </si>
  <si>
    <t>afb020d3</t>
  </si>
  <si>
    <t>290fab3c</t>
  </si>
  <si>
    <t>e687fe83</t>
  </si>
  <si>
    <t>0e494b17</t>
  </si>
  <si>
    <t>5b1f7dbd</t>
  </si>
  <si>
    <t>b0af8e91</t>
  </si>
  <si>
    <t>3bcc4c0c</t>
  </si>
  <si>
    <t>f942fd3b</t>
  </si>
  <si>
    <t>83a7228b</t>
  </si>
  <si>
    <t>9ac92da9</t>
  </si>
  <si>
    <t>702c30eb</t>
  </si>
  <si>
    <t>b218bf70</t>
  </si>
  <si>
    <t>31f4961a</t>
  </si>
  <si>
    <t>b681e474</t>
  </si>
  <si>
    <t>fd811dd3</t>
  </si>
  <si>
    <t>cf3ecc58</t>
  </si>
  <si>
    <t>722570d5</t>
  </si>
  <si>
    <t>e48dd4b6</t>
  </si>
  <si>
    <t>0ff27623</t>
  </si>
  <si>
    <t>049e977e</t>
  </si>
  <si>
    <t>ad402b70</t>
  </si>
  <si>
    <t>0d79a551</t>
  </si>
  <si>
    <t>ba5ba047</t>
  </si>
  <si>
    <t>eb7763ad</t>
  </si>
  <si>
    <t>9165bde7</t>
  </si>
  <si>
    <t>45276893</t>
  </si>
  <si>
    <t>5f33ddc1</t>
  </si>
  <si>
    <t>0288faa7</t>
  </si>
  <si>
    <t>3b650792</t>
  </si>
  <si>
    <t>da397a4c</t>
  </si>
  <si>
    <t>97b1ffb3</t>
  </si>
  <si>
    <t>b8222bfb</t>
  </si>
  <si>
    <t>c1306a65</t>
  </si>
  <si>
    <t>0aefc60a</t>
  </si>
  <si>
    <t>b5d50493</t>
  </si>
  <si>
    <t>8283b4d0</t>
  </si>
  <si>
    <t>e51f184c</t>
  </si>
  <si>
    <t>bc4ecdf7</t>
  </si>
  <si>
    <t>89a26a38</t>
  </si>
  <si>
    <t>b13fec79</t>
  </si>
  <si>
    <t>8fc5518d</t>
  </si>
  <si>
    <t>b434dd1f</t>
  </si>
  <si>
    <t>65a23710</t>
  </si>
  <si>
    <t>bafe20c3</t>
  </si>
  <si>
    <t>36b853e9</t>
  </si>
  <si>
    <t>86dacc71</t>
  </si>
  <si>
    <t>8b2706bb</t>
  </si>
  <si>
    <t>b5a8d8a7</t>
  </si>
  <si>
    <t>e6765393</t>
  </si>
  <si>
    <t>19d014a8</t>
  </si>
  <si>
    <t>8160de89</t>
  </si>
  <si>
    <t>7026c0ee</t>
  </si>
  <si>
    <t>ff809b6f</t>
  </si>
  <si>
    <t>631510dc</t>
  </si>
  <si>
    <t>33269a56</t>
  </si>
  <si>
    <t>e9152173</t>
  </si>
  <si>
    <t>e5b6dbb6</t>
  </si>
  <si>
    <t>014ccd21</t>
  </si>
  <si>
    <t>2fd41228</t>
  </si>
  <si>
    <t>62107680</t>
  </si>
  <si>
    <t>2f7102e0</t>
  </si>
  <si>
    <t>2d9f7e94</t>
  </si>
  <si>
    <t>2304ab9d</t>
  </si>
  <si>
    <t>01dae375</t>
  </si>
  <si>
    <t>15dc6d02</t>
  </si>
  <si>
    <t>6ced7724</t>
  </si>
  <si>
    <t>1d630d4f</t>
  </si>
  <si>
    <t>493b3399</t>
  </si>
  <si>
    <t>0d96479e</t>
  </si>
  <si>
    <t>ee8e5d7d</t>
  </si>
  <si>
    <t>2b2d06a3</t>
  </si>
  <si>
    <t>1881a63d</t>
  </si>
  <si>
    <t>a722a35d</t>
  </si>
  <si>
    <t>9a302c3c</t>
  </si>
  <si>
    <t>7bf3312a</t>
  </si>
  <si>
    <t>e7760d32</t>
  </si>
  <si>
    <t>e53a34e2</t>
  </si>
  <si>
    <t>29f08d39</t>
  </si>
  <si>
    <t>7228d6b6</t>
  </si>
  <si>
    <t>977f988b</t>
  </si>
  <si>
    <t>c7c7de84</t>
  </si>
  <si>
    <t>8b9e929c</t>
  </si>
  <si>
    <t>dccc5e35</t>
  </si>
  <si>
    <t>c0297716</t>
  </si>
  <si>
    <t>56e14e83</t>
  </si>
  <si>
    <t>20d503fd</t>
  </si>
  <si>
    <t>94792b80</t>
  </si>
  <si>
    <t>ac594c33</t>
  </si>
  <si>
    <t>d0fd42fc</t>
  </si>
  <si>
    <t>7fa4a5e0</t>
  </si>
  <si>
    <t>5ab0de49</t>
  </si>
  <si>
    <t>864fa4ca</t>
  </si>
  <si>
    <t>5c6c9427</t>
  </si>
  <si>
    <t>0a9580ad</t>
  </si>
  <si>
    <t>508586dc</t>
  </si>
  <si>
    <t>e1558791</t>
  </si>
  <si>
    <t>7c3fb3d4</t>
  </si>
  <si>
    <t>9c68c53a</t>
  </si>
  <si>
    <t>6564e5ea</t>
  </si>
  <si>
    <t>274080fc</t>
  </si>
  <si>
    <t>0e62eec7</t>
  </si>
  <si>
    <t>161b128b</t>
  </si>
  <si>
    <t>c355500d</t>
  </si>
  <si>
    <t>be5e2b6f</t>
  </si>
  <si>
    <t>cd8a2c30</t>
  </si>
  <si>
    <t>54c0f27d</t>
  </si>
  <si>
    <t>b8cb273f</t>
  </si>
  <si>
    <t>ebea6659</t>
  </si>
  <si>
    <t>4901cef8</t>
  </si>
  <si>
    <t>00c94fb1</t>
  </si>
  <si>
    <t>3feba646</t>
  </si>
  <si>
    <t>94d44d11</t>
  </si>
  <si>
    <t>ed1ba39d</t>
  </si>
  <si>
    <t>0b0f23b3</t>
  </si>
  <si>
    <t>No se cuenta con el dato</t>
  </si>
  <si>
    <t>f83d72c7</t>
  </si>
  <si>
    <t>Población afromexicana</t>
  </si>
  <si>
    <t>458c8c19</t>
  </si>
  <si>
    <t>12da0480</t>
  </si>
  <si>
    <t>48e45dab</t>
  </si>
  <si>
    <t>dbc7c557</t>
  </si>
  <si>
    <t>4da54ab0</t>
  </si>
  <si>
    <t>33229c04</t>
  </si>
  <si>
    <t>ed133de6</t>
  </si>
  <si>
    <t>d264389e</t>
  </si>
  <si>
    <t>245773cb</t>
  </si>
  <si>
    <t>31808c09</t>
  </si>
  <si>
    <t>e3e89540</t>
  </si>
  <si>
    <t>Hombre</t>
  </si>
  <si>
    <t>ea93e290</t>
  </si>
  <si>
    <t>18e6770a</t>
  </si>
  <si>
    <t>2f842ee7</t>
  </si>
  <si>
    <t>396ff8a6</t>
  </si>
  <si>
    <t>7f7798e0</t>
  </si>
  <si>
    <t>193dddaf</t>
  </si>
  <si>
    <t>23da24a8</t>
  </si>
  <si>
    <t>b88ed0ac</t>
  </si>
  <si>
    <t>85ab7239</t>
  </si>
  <si>
    <t>90dd9a14</t>
  </si>
  <si>
    <t>579c8593</t>
  </si>
  <si>
    <t>90c8ea84</t>
  </si>
  <si>
    <t>97acb888</t>
  </si>
  <si>
    <t>9bbb3837</t>
  </si>
  <si>
    <t>2c9f0706</t>
  </si>
  <si>
    <t>7cada595</t>
  </si>
  <si>
    <t>31b05b3e</t>
  </si>
  <si>
    <t>2a4808f2</t>
  </si>
  <si>
    <t>f2496ad6</t>
  </si>
  <si>
    <t>84f62b33</t>
  </si>
  <si>
    <t>703109ac</t>
  </si>
  <si>
    <t>724081f7</t>
  </si>
  <si>
    <t>2f60e0a6</t>
  </si>
  <si>
    <t>0e788a38</t>
  </si>
  <si>
    <t>c4181309</t>
  </si>
  <si>
    <t>f2349bd3</t>
  </si>
  <si>
    <t>28277918</t>
  </si>
  <si>
    <t>cf25c1b2</t>
  </si>
  <si>
    <t>9261aa4b</t>
  </si>
  <si>
    <t>34cbfba4</t>
  </si>
  <si>
    <t>51fd6e11</t>
  </si>
  <si>
    <t>45f8e453</t>
  </si>
  <si>
    <t>3933bee6</t>
  </si>
  <si>
    <t>857083d1</t>
  </si>
  <si>
    <t>e0066ef6</t>
  </si>
  <si>
    <t>6b5dc275</t>
  </si>
  <si>
    <t>2bba8c7b</t>
  </si>
  <si>
    <t>dc14fb92</t>
  </si>
  <si>
    <t>fc2e6a5f</t>
  </si>
  <si>
    <t>19cec7fd</t>
  </si>
  <si>
    <t>e6b36272</t>
  </si>
  <si>
    <t>52760345</t>
  </si>
  <si>
    <t>159a3217</t>
  </si>
  <si>
    <t>d90c7202</t>
  </si>
  <si>
    <t>ae8a5be1</t>
  </si>
  <si>
    <t>1caa6924</t>
  </si>
  <si>
    <t>5d98ca5a</t>
  </si>
  <si>
    <t>98782f10</t>
  </si>
  <si>
    <t>780629fa</t>
  </si>
  <si>
    <t>9d611791</t>
  </si>
  <si>
    <t>e3d724da</t>
  </si>
  <si>
    <t>b86d189e</t>
  </si>
  <si>
    <t>7adac964</t>
  </si>
  <si>
    <t>26014eab</t>
  </si>
  <si>
    <t>19946626</t>
  </si>
  <si>
    <t>ba85e246</t>
  </si>
  <si>
    <t>8819c1ef</t>
  </si>
  <si>
    <t>5b235288</t>
  </si>
  <si>
    <t>8305728d</t>
  </si>
  <si>
    <t>32ffbbb1</t>
  </si>
  <si>
    <t>b96cb72f</t>
  </si>
  <si>
    <t>a9047c22</t>
  </si>
  <si>
    <t>ccf01025</t>
  </si>
  <si>
    <t>43192eac</t>
  </si>
  <si>
    <t>c22ccdcd</t>
  </si>
  <si>
    <t>7850d14b</t>
  </si>
  <si>
    <t>78570f92</t>
  </si>
  <si>
    <t>6b10d152</t>
  </si>
  <si>
    <t>423ade8c</t>
  </si>
  <si>
    <t>64ba51e4</t>
  </si>
  <si>
    <t>531bc052</t>
  </si>
  <si>
    <t>981ed3a4</t>
  </si>
  <si>
    <t>defb1a9c</t>
  </si>
  <si>
    <t>96a5b6a8</t>
  </si>
  <si>
    <t>9d5d1d27</t>
  </si>
  <si>
    <t>cc69df7c</t>
  </si>
  <si>
    <t>6ca174e7</t>
  </si>
  <si>
    <t>623d7ef2</t>
  </si>
  <si>
    <t>f5a1d386</t>
  </si>
  <si>
    <t>07f6eaff</t>
  </si>
  <si>
    <t>69e72ba5</t>
  </si>
  <si>
    <t>d613d91a</t>
  </si>
  <si>
    <t>56caf5a6</t>
  </si>
  <si>
    <t>eeb045d8</t>
  </si>
  <si>
    <t>04306c12</t>
  </si>
  <si>
    <t>ae493417</t>
  </si>
  <si>
    <t>f2bc2c24</t>
  </si>
  <si>
    <t>999903d1</t>
  </si>
  <si>
    <t>1bba98a7</t>
  </si>
  <si>
    <t>da6b1ff1</t>
  </si>
  <si>
    <t>e0041416</t>
  </si>
  <si>
    <t>2dcd43f1</t>
  </si>
  <si>
    <t>2bfd4872</t>
  </si>
  <si>
    <t>bf6d10cc</t>
  </si>
  <si>
    <t>e2415800</t>
  </si>
  <si>
    <t>ba138f49</t>
  </si>
  <si>
    <t>edef4038</t>
  </si>
  <si>
    <t>4993509f</t>
  </si>
  <si>
    <t>0a58801b</t>
  </si>
  <si>
    <t>50258eb5</t>
  </si>
  <si>
    <t>4ef612d0</t>
  </si>
  <si>
    <t>ae330877</t>
  </si>
  <si>
    <t>f85a73fd</t>
  </si>
  <si>
    <t>fdbe010e</t>
  </si>
  <si>
    <t>6cc217b8</t>
  </si>
  <si>
    <t>4d5d390c</t>
  </si>
  <si>
    <t>251f0075</t>
  </si>
  <si>
    <t>31f381a8</t>
  </si>
  <si>
    <t>17b70c57</t>
  </si>
  <si>
    <t>fab056b8</t>
  </si>
  <si>
    <t>0932b0f8</t>
  </si>
  <si>
    <t>748ceeca</t>
  </si>
  <si>
    <t>50b0d7c8</t>
  </si>
  <si>
    <t>84e6f7bc</t>
  </si>
  <si>
    <t>0b3808c3</t>
  </si>
  <si>
    <t>f8e09813</t>
  </si>
  <si>
    <t>18a4007f</t>
  </si>
  <si>
    <t>c8c50b6c</t>
  </si>
  <si>
    <t>e470e99e</t>
  </si>
  <si>
    <t>f875e23d</t>
  </si>
  <si>
    <t>1d858548</t>
  </si>
  <si>
    <t>7e722b5d</t>
  </si>
  <si>
    <t>7f78c4bb</t>
  </si>
  <si>
    <t>bef677d2</t>
  </si>
  <si>
    <t>81adf301</t>
  </si>
  <si>
    <t>a6e6a3f6</t>
  </si>
  <si>
    <t>ccbd4849</t>
  </si>
  <si>
    <t>21e3334c</t>
  </si>
  <si>
    <t>88225c2b</t>
  </si>
  <si>
    <t>d3d12c3d</t>
  </si>
  <si>
    <t>67e7e8cd</t>
  </si>
  <si>
    <t>331594ee</t>
  </si>
  <si>
    <t>1fea86c2</t>
  </si>
  <si>
    <t>36d10d21</t>
  </si>
  <si>
    <t>9df87673</t>
  </si>
  <si>
    <t>310bcada</t>
  </si>
  <si>
    <t>61364847</t>
  </si>
  <si>
    <t>8536aea7</t>
  </si>
  <si>
    <t>800a316c</t>
  </si>
  <si>
    <t>a4342881</t>
  </si>
  <si>
    <t>24042eac</t>
  </si>
  <si>
    <t>7f241e43</t>
  </si>
  <si>
    <t>092a730e</t>
  </si>
  <si>
    <t>deec3f20</t>
  </si>
  <si>
    <t>8c6d105a</t>
  </si>
  <si>
    <t>ea75bb5a</t>
  </si>
  <si>
    <t>167ad4aa</t>
  </si>
  <si>
    <t>87abe3c1</t>
  </si>
  <si>
    <t>75c97a5e</t>
  </si>
  <si>
    <t>cf1ee51f</t>
  </si>
  <si>
    <t>163f4bc6</t>
  </si>
  <si>
    <t>d8322ba3</t>
  </si>
  <si>
    <t>b444b6b3</t>
  </si>
  <si>
    <t>de53db39</t>
  </si>
  <si>
    <t>b675fdc0</t>
  </si>
  <si>
    <t>a2c3f068</t>
  </si>
  <si>
    <t>69a9a1b0</t>
  </si>
  <si>
    <t>72492a7a</t>
  </si>
  <si>
    <t>5ab90c5f</t>
  </si>
  <si>
    <t>c9618568</t>
  </si>
  <si>
    <t>c25fe6e5</t>
  </si>
  <si>
    <t>88c91ef0</t>
  </si>
  <si>
    <t>4cff18b8</t>
  </si>
  <si>
    <t>15c49a74</t>
  </si>
  <si>
    <t>83a887ea</t>
  </si>
  <si>
    <t>891233cf</t>
  </si>
  <si>
    <t>a653caef</t>
  </si>
  <si>
    <t>ae77f995</t>
  </si>
  <si>
    <t>67a82961</t>
  </si>
  <si>
    <t>cef97e2d</t>
  </si>
  <si>
    <t>1a3ac82e</t>
  </si>
  <si>
    <t>0d21a4e8</t>
  </si>
  <si>
    <t>cda19b53</t>
  </si>
  <si>
    <t>e44916ec</t>
  </si>
  <si>
    <t>439b942a</t>
  </si>
  <si>
    <t>e56c0ff3</t>
  </si>
  <si>
    <t>0242522f</t>
  </si>
  <si>
    <t>fd53b889</t>
  </si>
  <si>
    <t>b6538586</t>
  </si>
  <si>
    <t>65a66b4b</t>
  </si>
  <si>
    <t>95f61f99</t>
  </si>
  <si>
    <t>73a51e3e</t>
  </si>
  <si>
    <t>3c5e63f2</t>
  </si>
  <si>
    <t>826ba3db</t>
  </si>
  <si>
    <t>96203506</t>
  </si>
  <si>
    <t>4a7c86fa</t>
  </si>
  <si>
    <t>9dbd3c8c</t>
  </si>
  <si>
    <t>993e5a08</t>
  </si>
  <si>
    <t>dd1cc12b</t>
  </si>
  <si>
    <t>5c0ae74b</t>
  </si>
  <si>
    <t>ebc10f6f</t>
  </si>
  <si>
    <t>8948f3f1</t>
  </si>
  <si>
    <t>69d32bda</t>
  </si>
  <si>
    <t>76f35ba9</t>
  </si>
  <si>
    <t>49554336</t>
  </si>
  <si>
    <t>15f338b6</t>
  </si>
  <si>
    <t>369ca167</t>
  </si>
  <si>
    <t>a6fa5eac</t>
  </si>
  <si>
    <t>24790531</t>
  </si>
  <si>
    <t>62e7f8a4</t>
  </si>
  <si>
    <t>8b3d9ff9</t>
  </si>
  <si>
    <t>937493f7</t>
  </si>
  <si>
    <t>0218b797</t>
  </si>
  <si>
    <t>0292a311</t>
  </si>
  <si>
    <t>1b2a8f25</t>
  </si>
  <si>
    <t>ee3c2c16</t>
  </si>
  <si>
    <t>5701b051</t>
  </si>
  <si>
    <t>c260a9ce</t>
  </si>
  <si>
    <t>98908089</t>
  </si>
  <si>
    <t>8eb80cf0</t>
  </si>
  <si>
    <t>3afd4eed</t>
  </si>
  <si>
    <t>689c0048</t>
  </si>
  <si>
    <t>7062f1af</t>
  </si>
  <si>
    <t>87eae616</t>
  </si>
  <si>
    <t>1520b948</t>
  </si>
  <si>
    <t>6552c0ec</t>
  </si>
  <si>
    <t>dbcb39fd</t>
  </si>
  <si>
    <t>5b4e53d9</t>
  </si>
  <si>
    <t>ec2f4323</t>
  </si>
  <si>
    <t>5ea6efb7</t>
  </si>
  <si>
    <t>b4f00b65</t>
  </si>
  <si>
    <t>a9985d84</t>
  </si>
  <si>
    <t>2c04c9c7</t>
  </si>
  <si>
    <t>bb430ebc</t>
  </si>
  <si>
    <t>5c21aa34</t>
  </si>
  <si>
    <t>773f156f</t>
  </si>
  <si>
    <t>97f59f2e</t>
  </si>
  <si>
    <t>a1e6df5d</t>
  </si>
  <si>
    <t>1ffb86ac</t>
  </si>
  <si>
    <t>cd4eac42</t>
  </si>
  <si>
    <t>8a46ee8a</t>
  </si>
  <si>
    <t>7520f3e1</t>
  </si>
  <si>
    <t>576d21bc</t>
  </si>
  <si>
    <t>4f1fbda8</t>
  </si>
  <si>
    <t>a41fec28</t>
  </si>
  <si>
    <t>d8c4b1a7</t>
  </si>
  <si>
    <t>549b099b</t>
  </si>
  <si>
    <t>1a870d0c</t>
  </si>
  <si>
    <t>6ca285bd</t>
  </si>
  <si>
    <t>93703332</t>
  </si>
  <si>
    <t>28c688a0</t>
  </si>
  <si>
    <t>9565d322</t>
  </si>
  <si>
    <t>1871ea20</t>
  </si>
  <si>
    <t>269e8c22</t>
  </si>
  <si>
    <t>7a3a6597</t>
  </si>
  <si>
    <t>9f4aa006</t>
  </si>
  <si>
    <t>549bb7b9</t>
  </si>
  <si>
    <t>de1e1d2d</t>
  </si>
  <si>
    <t>a2443bad</t>
  </si>
  <si>
    <t>a1742542</t>
  </si>
  <si>
    <t>d2aab90a</t>
  </si>
  <si>
    <t>960d09ae</t>
  </si>
  <si>
    <t>895c7e57</t>
  </si>
  <si>
    <t>3c113894</t>
  </si>
  <si>
    <t>2369fb75</t>
  </si>
  <si>
    <t>86307fa7</t>
  </si>
  <si>
    <t>51e858bc</t>
  </si>
  <si>
    <t>d6c9b7b8</t>
  </si>
  <si>
    <t>dbf5f3da</t>
  </si>
  <si>
    <t>2d8661bf</t>
  </si>
  <si>
    <t>de33ba0b</t>
  </si>
  <si>
    <t>e5e2044f</t>
  </si>
  <si>
    <t>226c51bf</t>
  </si>
  <si>
    <t>9697a2b2</t>
  </si>
  <si>
    <t>b2ee660b</t>
  </si>
  <si>
    <t>b7ce262e</t>
  </si>
  <si>
    <t>c59cbc35</t>
  </si>
  <si>
    <t>771c775f</t>
  </si>
  <si>
    <t>4ab0c547</t>
  </si>
  <si>
    <t>a6f29b26</t>
  </si>
  <si>
    <t>0fba61c5</t>
  </si>
  <si>
    <t>a951eb1c</t>
  </si>
  <si>
    <t>a464d009</t>
  </si>
  <si>
    <t>fe0f765a</t>
  </si>
  <si>
    <t>77e76e5f</t>
  </si>
  <si>
    <t>fb98c596</t>
  </si>
  <si>
    <t>d2c3ee77</t>
  </si>
  <si>
    <t>7e764a6c</t>
  </si>
  <si>
    <t>e46ac286</t>
  </si>
  <si>
    <t>04ce297c</t>
  </si>
  <si>
    <t>55a92d6b</t>
  </si>
  <si>
    <t>d107fb1e</t>
  </si>
  <si>
    <t>07996dcf</t>
  </si>
  <si>
    <t>69990249</t>
  </si>
  <si>
    <t>a0958804</t>
  </si>
  <si>
    <t>c5929b56</t>
  </si>
  <si>
    <t>22b788a0</t>
  </si>
  <si>
    <t>9e60a7c8</t>
  </si>
  <si>
    <t>117114d7</t>
  </si>
  <si>
    <t>cc52881b</t>
  </si>
  <si>
    <t>2587a525</t>
  </si>
  <si>
    <t>f676a73a</t>
  </si>
  <si>
    <t>3653c374</t>
  </si>
  <si>
    <t>2a78287f</t>
  </si>
  <si>
    <t>d959656e</t>
  </si>
  <si>
    <t>5a18e8b4</t>
  </si>
  <si>
    <t>1d629016</t>
  </si>
  <si>
    <t>138a0904</t>
  </si>
  <si>
    <t>7a8e0eca</t>
  </si>
  <si>
    <t>c7ceec6e</t>
  </si>
  <si>
    <t>470703af</t>
  </si>
  <si>
    <t>48920d44</t>
  </si>
  <si>
    <t>38b13bca</t>
  </si>
  <si>
    <t>22ead9cf</t>
  </si>
  <si>
    <t>92770dee</t>
  </si>
  <si>
    <t>72614eae</t>
  </si>
  <si>
    <t>029ec547</t>
  </si>
  <si>
    <t>d97301fd</t>
  </si>
  <si>
    <t>50d33cc6</t>
  </si>
  <si>
    <t>173ae883</t>
  </si>
  <si>
    <t>e895d089</t>
  </si>
  <si>
    <t>38f24804</t>
  </si>
  <si>
    <t>821c1bf1</t>
  </si>
  <si>
    <t>a9f2be39</t>
  </si>
  <si>
    <t>afd190d5</t>
  </si>
  <si>
    <t>67fc8426</t>
  </si>
  <si>
    <t>1bd1e77f</t>
  </si>
  <si>
    <t>d3837a45</t>
  </si>
  <si>
    <t>7c548621</t>
  </si>
  <si>
    <t>3cbc3a7c</t>
  </si>
  <si>
    <t>7a4f2f1d</t>
  </si>
  <si>
    <t>26f418a9</t>
  </si>
  <si>
    <t>e9cbb957</t>
  </si>
  <si>
    <t>71f016d1</t>
  </si>
  <si>
    <t>113cb816</t>
  </si>
  <si>
    <t>8b5c7bc0</t>
  </si>
  <si>
    <t>9a543549</t>
  </si>
  <si>
    <t>ab0612d6</t>
  </si>
  <si>
    <t>c964e73b</t>
  </si>
  <si>
    <t>7e225e96</t>
  </si>
  <si>
    <t>d8f5ea43</t>
  </si>
  <si>
    <t>d6c1247f</t>
  </si>
  <si>
    <t>47c42cdd</t>
  </si>
  <si>
    <t>a5477bfb</t>
  </si>
  <si>
    <t>bdc3f88b</t>
  </si>
  <si>
    <t>f595b844</t>
  </si>
  <si>
    <t>e4f38520</t>
  </si>
  <si>
    <t>Población General</t>
  </si>
  <si>
    <t>4be655e8</t>
  </si>
  <si>
    <t>c8e4067c</t>
  </si>
  <si>
    <t>22a6308e</t>
  </si>
  <si>
    <t>6f36a643</t>
  </si>
  <si>
    <t>dbc9c58e</t>
  </si>
  <si>
    <t>1407000a</t>
  </si>
  <si>
    <t>5e245df7</t>
  </si>
  <si>
    <t>1e4f9f43</t>
  </si>
  <si>
    <t>5d4d87b5</t>
  </si>
  <si>
    <t>ab7c6684</t>
  </si>
  <si>
    <t>c16676bf</t>
  </si>
  <si>
    <t>e02667d8</t>
  </si>
  <si>
    <t>0d332166</t>
  </si>
  <si>
    <t>e69a63f8</t>
  </si>
  <si>
    <t>4737036b</t>
  </si>
  <si>
    <t>e4569f3b</t>
  </si>
  <si>
    <t>9d434285</t>
  </si>
  <si>
    <t>17f8d4ac</t>
  </si>
  <si>
    <t>35754913</t>
  </si>
  <si>
    <t>e756c526</t>
  </si>
  <si>
    <t>48e6648f</t>
  </si>
  <si>
    <t>91b3e925</t>
  </si>
  <si>
    <t>d96eee9d</t>
  </si>
  <si>
    <t>6158aa5a</t>
  </si>
  <si>
    <t>f891d5d0</t>
  </si>
  <si>
    <t>ff997b1d</t>
  </si>
  <si>
    <t>2bf03357</t>
  </si>
  <si>
    <t>6429cb3c</t>
  </si>
  <si>
    <t>590c4fc5</t>
  </si>
  <si>
    <t>1036c8dc</t>
  </si>
  <si>
    <t>c7d28f9a</t>
  </si>
  <si>
    <t>b212693a</t>
  </si>
  <si>
    <t>8d868db3</t>
  </si>
  <si>
    <t>b9a5fe6f</t>
  </si>
  <si>
    <t>8c6cc4ce</t>
  </si>
  <si>
    <t>773ae4f4</t>
  </si>
  <si>
    <t>51d82e16</t>
  </si>
  <si>
    <t>4fa9a513</t>
  </si>
  <si>
    <t>0e9e6315</t>
  </si>
  <si>
    <t>6de7c13b</t>
  </si>
  <si>
    <t>56e75a1b</t>
  </si>
  <si>
    <t>6956aa07</t>
  </si>
  <si>
    <t>1f369941</t>
  </si>
  <si>
    <t>82d00eb1</t>
  </si>
  <si>
    <t>06125dfa</t>
  </si>
  <si>
    <t>3fa272a9</t>
  </si>
  <si>
    <t>55fd9101</t>
  </si>
  <si>
    <t>891acf36</t>
  </si>
  <si>
    <t>6b3dd875</t>
  </si>
  <si>
    <t>512e91a0</t>
  </si>
  <si>
    <t>7bd90a7b</t>
  </si>
  <si>
    <t>9deaa5ff</t>
  </si>
  <si>
    <t>950a1249</t>
  </si>
  <si>
    <t>5e04bba1</t>
  </si>
  <si>
    <t>fb1646ba</t>
  </si>
  <si>
    <t>ba79c127</t>
  </si>
  <si>
    <t>5f10892b</t>
  </si>
  <si>
    <t>5b09242c</t>
  </si>
  <si>
    <t>a1938b87</t>
  </si>
  <si>
    <t>bbc8af97</t>
  </si>
  <si>
    <t>d9262363</t>
  </si>
  <si>
    <t>59f241cc</t>
  </si>
  <si>
    <t>c7a15b5c</t>
  </si>
  <si>
    <t>1ab25523</t>
  </si>
  <si>
    <t>f754c481</t>
  </si>
  <si>
    <t>Comunidades Indígenas</t>
  </si>
  <si>
    <t>de59dd29</t>
  </si>
  <si>
    <t>8258e2e2</t>
  </si>
  <si>
    <t>5a06a8a7</t>
  </si>
  <si>
    <t>78b8ec60</t>
  </si>
  <si>
    <t>52d9920b</t>
  </si>
  <si>
    <t>d5fce56b</t>
  </si>
  <si>
    <t>5fa2e44e</t>
  </si>
  <si>
    <t>4b49c8b8</t>
  </si>
  <si>
    <t>fcad919a</t>
  </si>
  <si>
    <t>46c720f3</t>
  </si>
  <si>
    <t>a8853bb3</t>
  </si>
  <si>
    <t>8dd0ab33</t>
  </si>
  <si>
    <t>44f9e84f</t>
  </si>
  <si>
    <t>c665da98</t>
  </si>
  <si>
    <t>ec87561f</t>
  </si>
  <si>
    <t>bc607e15</t>
  </si>
  <si>
    <t>03dec282</t>
  </si>
  <si>
    <t>606e2cd2</t>
  </si>
  <si>
    <t>887a98b3</t>
  </si>
  <si>
    <t>b3d88eee</t>
  </si>
  <si>
    <t>f9681817</t>
  </si>
  <si>
    <t>de7c68ab</t>
  </si>
  <si>
    <t>eb1b0180</t>
  </si>
  <si>
    <t>2c44651e</t>
  </si>
  <si>
    <t>f56e03cc</t>
  </si>
  <si>
    <t>e06d96e1</t>
  </si>
  <si>
    <t>d08c28f2</t>
  </si>
  <si>
    <t>c1b3ca4a</t>
  </si>
  <si>
    <t>9fd69e8b</t>
  </si>
  <si>
    <t>a8193d03</t>
  </si>
  <si>
    <t>018c04c1</t>
  </si>
  <si>
    <t>bf0537c8</t>
  </si>
  <si>
    <t>27df47e8</t>
  </si>
  <si>
    <t>32c8e65f</t>
  </si>
  <si>
    <t>f8dea1df</t>
  </si>
  <si>
    <t>f9d987d2</t>
  </si>
  <si>
    <t>d21799b4</t>
  </si>
  <si>
    <t>5ad03feb</t>
  </si>
  <si>
    <t>70661ff5</t>
  </si>
  <si>
    <t>04935a06</t>
  </si>
  <si>
    <t>1427b4c9</t>
  </si>
  <si>
    <t>fa0459bb</t>
  </si>
  <si>
    <t>5af539c1</t>
  </si>
  <si>
    <t>b4e52950</t>
  </si>
  <si>
    <t>d9cd5c7d</t>
  </si>
  <si>
    <t>e0133360</t>
  </si>
  <si>
    <t>5df5106e</t>
  </si>
  <si>
    <t>db8cc9a9</t>
  </si>
  <si>
    <t>ef51c5ec</t>
  </si>
  <si>
    <t>0dfafdd9</t>
  </si>
  <si>
    <t>1304811b</t>
  </si>
  <si>
    <t>eff73ed2</t>
  </si>
  <si>
    <t>d0e23d3b</t>
  </si>
  <si>
    <t>0bd9a1eb</t>
  </si>
  <si>
    <t>68958746</t>
  </si>
  <si>
    <t>6f704e52</t>
  </si>
  <si>
    <t>7582abd7</t>
  </si>
  <si>
    <t>1e384b07</t>
  </si>
  <si>
    <t>dbf1ae5f</t>
  </si>
  <si>
    <t>6649cb89</t>
  </si>
  <si>
    <t>fdf0d7e9</t>
  </si>
  <si>
    <t>a78fb17d</t>
  </si>
  <si>
    <t>a977213f</t>
  </si>
  <si>
    <t>11c61407</t>
  </si>
  <si>
    <t>085a5139</t>
  </si>
  <si>
    <t>82beb78b</t>
  </si>
  <si>
    <t>9a398c67</t>
  </si>
  <si>
    <t>cd5d3828</t>
  </si>
  <si>
    <t>eb94b65c</t>
  </si>
  <si>
    <t>cb4abe73</t>
  </si>
  <si>
    <t>524d466e</t>
  </si>
  <si>
    <t>6453171f</t>
  </si>
  <si>
    <t>995b09ff</t>
  </si>
  <si>
    <t>15a9b9f2</t>
  </si>
  <si>
    <t>55a12751</t>
  </si>
  <si>
    <t>64128a7c</t>
  </si>
  <si>
    <t>c28a3dd8</t>
  </si>
  <si>
    <t>2865fd59</t>
  </si>
  <si>
    <t>4a2e109c</t>
  </si>
  <si>
    <t>e3bbdbd1</t>
  </si>
  <si>
    <t>6a7710b2</t>
  </si>
  <si>
    <t>aacce233</t>
  </si>
  <si>
    <t>5d24cebf</t>
  </si>
  <si>
    <t>00e844d2</t>
  </si>
  <si>
    <t>b1a00a86</t>
  </si>
  <si>
    <t>17e15e45</t>
  </si>
  <si>
    <t>d2454984</t>
  </si>
  <si>
    <t>b07b95cf</t>
  </si>
  <si>
    <t>9cab791b</t>
  </si>
  <si>
    <t>5274d4e8</t>
  </si>
  <si>
    <t>e1a80d71</t>
  </si>
  <si>
    <t>c0f4e366</t>
  </si>
  <si>
    <t>a38b9631</t>
  </si>
  <si>
    <t>bbd2096c</t>
  </si>
  <si>
    <t>200f80fd</t>
  </si>
  <si>
    <t>7d1ae3ff</t>
  </si>
  <si>
    <t>7417d524</t>
  </si>
  <si>
    <t>80843bb9</t>
  </si>
  <si>
    <t>d8fd2256</t>
  </si>
  <si>
    <t>efaf510e</t>
  </si>
  <si>
    <t>345fb6cd</t>
  </si>
  <si>
    <t>73f39275</t>
  </si>
  <si>
    <t>fa19cc4d</t>
  </si>
  <si>
    <t>77d62abe</t>
  </si>
  <si>
    <t>a968afb4</t>
  </si>
  <si>
    <t>59ad74fd</t>
  </si>
  <si>
    <t>0cc55e3b</t>
  </si>
  <si>
    <t>45b8d58d</t>
  </si>
  <si>
    <t>80009063</t>
  </si>
  <si>
    <t>a677d720</t>
  </si>
  <si>
    <t>92f44586</t>
  </si>
  <si>
    <t>1434865f</t>
  </si>
  <si>
    <t>ad3cf95f</t>
  </si>
  <si>
    <t>a1d1cc32</t>
  </si>
  <si>
    <t>a687ad5f</t>
  </si>
  <si>
    <t>1a1374ed</t>
  </si>
  <si>
    <t>1a493cfb</t>
  </si>
  <si>
    <t>c2f3378f</t>
  </si>
  <si>
    <t>9b195999</t>
  </si>
  <si>
    <t>3ba7af21</t>
  </si>
  <si>
    <t>d8617719</t>
  </si>
  <si>
    <t>3aaa97d9</t>
  </si>
  <si>
    <t>5bb95cc4</t>
  </si>
  <si>
    <t>6cb5ba2a</t>
  </si>
  <si>
    <t>1a2c1d00</t>
  </si>
  <si>
    <t>5a07fea6</t>
  </si>
  <si>
    <t>bfd0704e</t>
  </si>
  <si>
    <t>8f1e1222</t>
  </si>
  <si>
    <t>413c6d6a</t>
  </si>
  <si>
    <t>3ac5085a</t>
  </si>
  <si>
    <t>1218c4ae</t>
  </si>
  <si>
    <t>1363826c</t>
  </si>
  <si>
    <t>45ff2299</t>
  </si>
  <si>
    <t>313090df</t>
  </si>
  <si>
    <t>f9ce7e72</t>
  </si>
  <si>
    <t>7fed208c</t>
  </si>
  <si>
    <t>4d39c011</t>
  </si>
  <si>
    <t>ee5518a1</t>
  </si>
  <si>
    <t>7cf159c4</t>
  </si>
  <si>
    <t>1e1b7abd</t>
  </si>
  <si>
    <t>72a9b085</t>
  </si>
  <si>
    <t>635266d4</t>
  </si>
  <si>
    <t>4407bb88</t>
  </si>
  <si>
    <t>6d24b434</t>
  </si>
  <si>
    <t>609c264e</t>
  </si>
  <si>
    <t>ada7efa6</t>
  </si>
  <si>
    <t>10d0e1ab</t>
  </si>
  <si>
    <t>23c82105</t>
  </si>
  <si>
    <t>05f32055</t>
  </si>
  <si>
    <t>62718a61</t>
  </si>
  <si>
    <t>19d0969e</t>
  </si>
  <si>
    <t>30740161</t>
  </si>
  <si>
    <t>efafa465</t>
  </si>
  <si>
    <t>4b2c0f3a</t>
  </si>
  <si>
    <t>e1d1d3bd</t>
  </si>
  <si>
    <t>d5823e3c</t>
  </si>
  <si>
    <t>a7944f30</t>
  </si>
  <si>
    <t>2d3fc2cc</t>
  </si>
  <si>
    <t>690733a7</t>
  </si>
  <si>
    <t>b9ae0ae3</t>
  </si>
  <si>
    <t>8ed98d01</t>
  </si>
  <si>
    <t>62425bed</t>
  </si>
  <si>
    <t>3aef45ca</t>
  </si>
  <si>
    <t>34615988</t>
  </si>
  <si>
    <t>2f6c6a7b</t>
  </si>
  <si>
    <t>b0edb06e</t>
  </si>
  <si>
    <t>6bc5f7b5</t>
  </si>
  <si>
    <t>c3e130c7</t>
  </si>
  <si>
    <t>9815cd0f</t>
  </si>
  <si>
    <t>ffb52daf</t>
  </si>
  <si>
    <t>743cf062</t>
  </si>
  <si>
    <t>de401b63</t>
  </si>
  <si>
    <t>94731db1</t>
  </si>
  <si>
    <t>26ffec5e</t>
  </si>
  <si>
    <t>0cf3aa2e</t>
  </si>
  <si>
    <t>a14a5b9f</t>
  </si>
  <si>
    <t>7aaedd84</t>
  </si>
  <si>
    <t>ca599b2f</t>
  </si>
  <si>
    <t>81dffea0</t>
  </si>
  <si>
    <t>b8c3302d</t>
  </si>
  <si>
    <t>5e25fec9</t>
  </si>
  <si>
    <t>9075aa56</t>
  </si>
  <si>
    <t>efaad462</t>
  </si>
  <si>
    <t>622c4538</t>
  </si>
  <si>
    <t>f05b9277</t>
  </si>
  <si>
    <t>f32aaa9d</t>
  </si>
  <si>
    <t>fbad1953</t>
  </si>
  <si>
    <t>29d05a10</t>
  </si>
  <si>
    <t>e80b6c55</t>
  </si>
  <si>
    <t>a6c34da6</t>
  </si>
  <si>
    <t>85cf1890</t>
  </si>
  <si>
    <t>e3c69ba5</t>
  </si>
  <si>
    <t>96aac1f3</t>
  </si>
  <si>
    <t>24c2a558</t>
  </si>
  <si>
    <t>4aed06f6</t>
  </si>
  <si>
    <t>fc061ae1</t>
  </si>
  <si>
    <t>6f315677</t>
  </si>
  <si>
    <t>2ab0f271</t>
  </si>
  <si>
    <t>41236de2</t>
  </si>
  <si>
    <t>f3375367</t>
  </si>
  <si>
    <t>8d65746d</t>
  </si>
  <si>
    <t>d1ae755a</t>
  </si>
  <si>
    <t>0ef32c5c</t>
  </si>
  <si>
    <t>df5999ea</t>
  </si>
  <si>
    <t>0136cee7</t>
  </si>
  <si>
    <t>8cc20f02</t>
  </si>
  <si>
    <t>cbf2a437</t>
  </si>
  <si>
    <t>3de7510f</t>
  </si>
  <si>
    <t>75d8582c</t>
  </si>
  <si>
    <t>8af03d24</t>
  </si>
  <si>
    <t>5822e78a</t>
  </si>
  <si>
    <t>981a587e</t>
  </si>
  <si>
    <t>64d96083</t>
  </si>
  <si>
    <t>403f4b55</t>
  </si>
  <si>
    <t>6b74e727</t>
  </si>
  <si>
    <t>961d8ff9</t>
  </si>
  <si>
    <t>96092466</t>
  </si>
  <si>
    <t>04651f61</t>
  </si>
  <si>
    <t>06dc9395</t>
  </si>
  <si>
    <t>338322da</t>
  </si>
  <si>
    <t>d550c990</t>
  </si>
  <si>
    <t>b4cb9091</t>
  </si>
  <si>
    <t>6074278d</t>
  </si>
  <si>
    <t>2bb75fc7</t>
  </si>
  <si>
    <t>955bd6e0</t>
  </si>
  <si>
    <t>53b8a8c8</t>
  </si>
  <si>
    <t>cbd14df5</t>
  </si>
  <si>
    <t>0a7245e8</t>
  </si>
  <si>
    <t>2b433ef5</t>
  </si>
  <si>
    <t>baa9cc35</t>
  </si>
  <si>
    <t>1aaa70de</t>
  </si>
  <si>
    <t>9dbbbde1</t>
  </si>
  <si>
    <t>69beb3d6</t>
  </si>
  <si>
    <t>9a909478</t>
  </si>
  <si>
    <t>1a69f8ce</t>
  </si>
  <si>
    <t>2a90e625</t>
  </si>
  <si>
    <t>cf6d0c32</t>
  </si>
  <si>
    <t>ac875271</t>
  </si>
  <si>
    <t>214c8a13</t>
  </si>
  <si>
    <t>a95b48ed</t>
  </si>
  <si>
    <t>481abd8e</t>
  </si>
  <si>
    <t>b4e36af9</t>
  </si>
  <si>
    <t>edc06936</t>
  </si>
  <si>
    <t>e65763bd</t>
  </si>
  <si>
    <t>40e1c242</t>
  </si>
  <si>
    <t>7b9a1221</t>
  </si>
  <si>
    <t>d767b963</t>
  </si>
  <si>
    <t>8c769ccf</t>
  </si>
  <si>
    <t>0cdda240</t>
  </si>
  <si>
    <t>06f35d43</t>
  </si>
  <si>
    <t>f22fddd7</t>
  </si>
  <si>
    <t>0dc5b33f</t>
  </si>
  <si>
    <t>ddcf389e</t>
  </si>
  <si>
    <t>f13c1249</t>
  </si>
  <si>
    <t>4b920d4d</t>
  </si>
  <si>
    <t>8c952a74</t>
  </si>
  <si>
    <t>02ef3333</t>
  </si>
  <si>
    <t>4bc4a299</t>
  </si>
  <si>
    <t>633372d9</t>
  </si>
  <si>
    <t>387fedb7</t>
  </si>
  <si>
    <t>9ec99f70</t>
  </si>
  <si>
    <t>aaa404a8</t>
  </si>
  <si>
    <t>6fed848b</t>
  </si>
  <si>
    <t>ID_Evidencia</t>
  </si>
  <si>
    <t>Archivo_Evidencia</t>
  </si>
  <si>
    <t>Tipo_Evidencia</t>
  </si>
  <si>
    <t>Descripcion</t>
  </si>
  <si>
    <t>ff739d20</t>
  </si>
  <si>
    <t>Regitro_Evidencia_Files_/ff739d20.Archivo_Evidencia.220323.pdf</t>
  </si>
  <si>
    <t>PDF</t>
  </si>
  <si>
    <t>6f64c98b</t>
  </si>
  <si>
    <t>Regitro_Evidencia_Files_/6f64c98b.Archivo_Evidencia.224043.pdf</t>
  </si>
  <si>
    <t>7026134e</t>
  </si>
  <si>
    <t>Regitro_Evidencia_Files_/7026134e.Archivo_Evidencia.162052.pdf</t>
  </si>
  <si>
    <t>60b0b308</t>
  </si>
  <si>
    <t>Regitro_Evidencia_Files_/60b0b308.Archivo_Evidencia.170317.pdf</t>
  </si>
  <si>
    <t>a4a4c9b7</t>
  </si>
  <si>
    <t>Regitro_Evidencia_Files_/a4a4c9b7.Archivo_Evidencia.171503.zip</t>
  </si>
  <si>
    <t>Foto</t>
  </si>
  <si>
    <t>8a252f15</t>
  </si>
  <si>
    <t>Regitro_Evidencia_Files_/8a252f15.Archivo_Evidencia.174059.pdf</t>
  </si>
  <si>
    <t>26d7b9ca</t>
  </si>
  <si>
    <t>Regitro_Evidencia_Files_/26d7b9ca.Archivo_Evidencia.180738.pdf</t>
  </si>
  <si>
    <t>1282ef34</t>
  </si>
  <si>
    <t>Regitro_Evidencia_Files_/1282ef34.Archivo_Evidencia.171304.pdf</t>
  </si>
  <si>
    <t>58741218</t>
  </si>
  <si>
    <t>Regitro_Evidencia_Files_/58741218.Archivo_Evidencia.180020.pdf</t>
  </si>
  <si>
    <t>6099ac88</t>
  </si>
  <si>
    <t>Regitro_Evidencia_Files_/6099ac88.Archivo_Evidencia.202624. Miriam Villaseñor Comunidades y Museos.pdf</t>
  </si>
  <si>
    <t>3f019299</t>
  </si>
  <si>
    <t>Regitro_Evidencia_Files_/3f019299.Archivo_Evidencia.213906.39.pdf</t>
  </si>
  <si>
    <t>b863b6ef</t>
  </si>
  <si>
    <t>Regitro_Evidencia_Files_/b863b6ef.Archivo_Evidencia.221723.pdf</t>
  </si>
  <si>
    <t>3a8dcd25</t>
  </si>
  <si>
    <t>Regitro_Evidencia_Files_/3a8dcd25.Archivo_Evidencia.164622.pdf</t>
  </si>
  <si>
    <t>75262287</t>
  </si>
  <si>
    <t>Regitro_Evidencia_Files_/75262287.Archivo_Evidencia.172835.pdf</t>
  </si>
  <si>
    <t>db3bb4cf</t>
  </si>
  <si>
    <t>Regitro_Evidencia_Files_/db3bb4cf.Archivo_Evidencia.173830.pdf</t>
  </si>
  <si>
    <t>969fbaee</t>
  </si>
  <si>
    <t>Regitro_Evidencia_Files_/969fbaee.Archivo_Evidencia.184323. .pdf</t>
  </si>
  <si>
    <t>ee2cc6f4</t>
  </si>
  <si>
    <t>Regitro_Evidencia_Images/ee2cc6f4.Archivo_Evidencia.163024.jpg</t>
  </si>
  <si>
    <t>1adad151</t>
  </si>
  <si>
    <t>Regitro_Evidencia_Images/1adad151.Archivo_Evidencia.164008.jpg</t>
  </si>
  <si>
    <t>b378d74c</t>
  </si>
  <si>
    <t>Regitro_Evidencia_Images/b378d74c.Archivo_Evidencia.172311.jpg</t>
  </si>
  <si>
    <t>3c496b89</t>
  </si>
  <si>
    <t>Regitro_Evidencia_Images/3c496b89.Archivo_Evidencia.173122.jpg</t>
  </si>
  <si>
    <t>bff75732</t>
  </si>
  <si>
    <t>Regitro_Evidencia_Images/bff75732.Archivo_Evidencia.174209.jpg</t>
  </si>
  <si>
    <t>74643fe4</t>
  </si>
  <si>
    <t>Regitro_Evidencia_Images/74643fe4.Archivo_Evidencia.175007.jpg</t>
  </si>
  <si>
    <t>de44cb22</t>
  </si>
  <si>
    <t>Regitro_Evidencia_Images/de44cb22.Archivo_Evidencia.180506.jpg</t>
  </si>
  <si>
    <t>e3b4a44f</t>
  </si>
  <si>
    <t>Regitro_Evidencia_Images/e3b4a44f.Archivo_Evidencia.182530.jpg</t>
  </si>
  <si>
    <t>1a31d351</t>
  </si>
  <si>
    <t>Regitro_Evidencia_Images/1a31d351.Archivo_Evidencia.185540.jpg</t>
  </si>
  <si>
    <t>9eef9f25</t>
  </si>
  <si>
    <t>Regitro_Evidencia_Images/9eef9f25.Archivo_Evidencia.190308.png</t>
  </si>
  <si>
    <t>b34b001f</t>
  </si>
  <si>
    <t>Regitro_Evidencia_Images/b34b001f.Archivo_Evidencia.203102.jpg</t>
  </si>
  <si>
    <t>3b232338</t>
  </si>
  <si>
    <t>Regitro_Evidencia_Images/3b232338.Archivo_Evidencia.203856.jpg</t>
  </si>
  <si>
    <t>d00823e1</t>
  </si>
  <si>
    <t>Regitro_Evidencia_Images/d00823e1.Archivo_Evidencia.204415.jpg</t>
  </si>
  <si>
    <t>5d682aa9</t>
  </si>
  <si>
    <t>Regitro_Evidencia_Images/5d682aa9.Archivo_Evidencia.204927.jpg</t>
  </si>
  <si>
    <t>c142ee65</t>
  </si>
  <si>
    <t>Regitro_Evidencia_Images/c142ee65.Archivo_Evidencia.200535.jpg</t>
  </si>
  <si>
    <t>523e13b6</t>
  </si>
  <si>
    <t>Regitro_Evidencia_Images/523e13b6.Archivo_Evidencia.201154.jpg</t>
  </si>
  <si>
    <t>a992416e</t>
  </si>
  <si>
    <t>Regitro_Evidencia_Files_/a992416e.Archivo_Evidencia.202020.zip</t>
  </si>
  <si>
    <t>Carpeta</t>
  </si>
  <si>
    <t>7b103841</t>
  </si>
  <si>
    <t>Regitro_Evidencia_Files_/7b103841.Archivo_Evidencia.203315.zip</t>
  </si>
  <si>
    <t>51bd23dd</t>
  </si>
  <si>
    <t>Regitro_Evidencia_Files_/51bd23dd.Archivo_Evidencia.203850.zip</t>
  </si>
  <si>
    <t>39bd4c19</t>
  </si>
  <si>
    <t>Regitro_Evidencia_Images/39bd4c19.Archivo_Evidencia.204845.jpg</t>
  </si>
  <si>
    <t>d077447e</t>
  </si>
  <si>
    <t>Regitro_Evidencia_Images/d077447e.Archivo_Evidencia.205520.jpg</t>
  </si>
  <si>
    <t>c8eca0b9</t>
  </si>
  <si>
    <t>Regitro_Evidencia_Files_/c8eca0b9.Archivo_Evidencia.174359.zip</t>
  </si>
  <si>
    <t>255c0730</t>
  </si>
  <si>
    <t>Regitro_Evidencia_Files_/255c0730.Archivo_Evidencia.175541.zip</t>
  </si>
  <si>
    <t>e1c8126c</t>
  </si>
  <si>
    <t>Regitro_Evidencia_Files_/e1c8126c.Archivo_Evidencia.182101.zip</t>
  </si>
  <si>
    <t>770670f3</t>
  </si>
  <si>
    <t>Regitro_Evidencia_Files_/770670f3.Archivo_Evidencia.202929.zip</t>
  </si>
  <si>
    <t>489ad676</t>
  </si>
  <si>
    <t>Regitro_Evidencia_Files_/489ad676.Archivo_Evidencia.203603.zip</t>
  </si>
  <si>
    <t>736d6abb</t>
  </si>
  <si>
    <t>Regitro_Evidencia_Files_/736d6abb.Archivo_Evidencia.204435.zip</t>
  </si>
  <si>
    <t>2d976386</t>
  </si>
  <si>
    <t>Regitro_Evidencia_Files_/2d976386.Archivo_Evidencia.211854.zip</t>
  </si>
  <si>
    <t>1b4bc18e</t>
  </si>
  <si>
    <t>Regitro_Evidencia_Files_/1b4bc18e.Archivo_Evidencia.214939.zip</t>
  </si>
  <si>
    <t>42f212c6</t>
  </si>
  <si>
    <t>Regitro_Evidencia_Files_/42f212c6.Archivo_Evidencia.221038.zip</t>
  </si>
  <si>
    <t>261f2175</t>
  </si>
  <si>
    <t>Regitro_Evidencia_Files_/261f2175.Archivo_Evidencia.163101.zip</t>
  </si>
  <si>
    <t>1d168305</t>
  </si>
  <si>
    <t>Regitro_Evidencia_Files_/1d168305.Archivo_Evidencia.163722.zip</t>
  </si>
  <si>
    <t>b0d73afd</t>
  </si>
  <si>
    <t>Regitro_Evidencia_Files_/b0d73afd.Archivo_Evidencia.165024. Los años desicivos.zip</t>
  </si>
  <si>
    <t>d47bdb92</t>
  </si>
  <si>
    <t>Regitro_Evidencia_Files_/d47bdb92.Archivo_Evidencia.205004.zip</t>
  </si>
  <si>
    <t>32d24c9b</t>
  </si>
  <si>
    <t>Regitro_Evidencia_Files_/32d24c9b.Archivo_Evidencia.211107.zip</t>
  </si>
  <si>
    <t>1ccf044f</t>
  </si>
  <si>
    <t>Regitro_Evidencia_Files_/1ccf044f.Archivo_Evidencia.161149.zip</t>
  </si>
  <si>
    <t>e2ea99ad</t>
  </si>
  <si>
    <t>Regitro_Evidencia_Files_/e2ea99ad.Archivo_Evidencia.161642.zip</t>
  </si>
  <si>
    <t>49bbec50</t>
  </si>
  <si>
    <t>Regitro_Evidencia_Files_/49bbec50.Archivo_Evidencia.162555.zip</t>
  </si>
  <si>
    <t>2854a97c</t>
  </si>
  <si>
    <t>5e8630d9</t>
  </si>
  <si>
    <t>Regitro_Evidencia_Files_/5e8630d9.Archivo_Evidencia.170711.zip</t>
  </si>
  <si>
    <t>b56b0e89</t>
  </si>
  <si>
    <t>Regitro_Evidencia_Files_/b56b0e89.Archivo_Evidencia.171141.zip</t>
  </si>
  <si>
    <t>c002d401</t>
  </si>
  <si>
    <t>Regitro_Evidencia_Files_/c002d401.Archivo_Evidencia.172003.zip</t>
  </si>
  <si>
    <t>bd962545</t>
  </si>
  <si>
    <t>Regitro_Evidencia_Files_/bd962545.Archivo_Evidencia.172420.zip</t>
  </si>
  <si>
    <t>72107b42</t>
  </si>
  <si>
    <t>Regitro_Evidencia_Files_/72107b42.Archivo_Evidencia.172842.zip</t>
  </si>
  <si>
    <t>d654b569</t>
  </si>
  <si>
    <t>Regitro_Evidencia_Files_/d654b569.Archivo_Evidencia.174401.zip</t>
  </si>
  <si>
    <t>d54cb14b</t>
  </si>
  <si>
    <t>Regitro_Evidencia_Files_/d54cb14b.Archivo_Evidencia.185306.zip</t>
  </si>
  <si>
    <t>da06369c</t>
  </si>
  <si>
    <t>Regitro_Evidencia_Files_/da06369c.Archivo_Evidencia.185828.zip</t>
  </si>
  <si>
    <t>554e523d</t>
  </si>
  <si>
    <t>Regitro_Evidencia_Files_/554e523d.Archivo_Evidencia.155510. Lectura de poesía.zip</t>
  </si>
  <si>
    <t>c2f996de</t>
  </si>
  <si>
    <t>Regitro_Evidencia_Files_/c2f996de.Archivo_Evidencia.160002. Taller de lectoescritura a partir de la exposición Poética del Paisaje.zip</t>
  </si>
  <si>
    <t>9b6c0425</t>
  </si>
  <si>
    <t>Regitro_Evidencia_Files_/9b6c0425.Archivo_Evidencia.160747.zip</t>
  </si>
  <si>
    <t>2cc81373</t>
  </si>
  <si>
    <t>Regitro_Evidencia_Files_/2cc81373.Archivo_Evidencia.161747.zip</t>
  </si>
  <si>
    <t>4fa1fefe</t>
  </si>
  <si>
    <t>Regitro_Evidencia_Files_/4fa1fefe.Archivo_Evidencia.211749.pdf</t>
  </si>
  <si>
    <t>e74f99a3</t>
  </si>
  <si>
    <t>Regitro_Evidencia_Files_/e74f99a3.Archivo_Evidencia.200927.pdf</t>
  </si>
  <si>
    <t>bb2cdbc7</t>
  </si>
  <si>
    <t>Regitro_Evidencia_Files_/bb2cdbc7.Archivo_Evidencia.203338.pdf</t>
  </si>
  <si>
    <t>8009bd46</t>
  </si>
  <si>
    <t>Regitro_Evidencia_Files_/8009bd46.Archivo_Evidencia.204434.pdf</t>
  </si>
  <si>
    <t>0625c162</t>
  </si>
  <si>
    <t>Regitro_Evidencia_Files_/0625c162.Archivo_Evidencia.205517.pdf</t>
  </si>
  <si>
    <t>acbf3ce0</t>
  </si>
  <si>
    <t>Regitro_Evidencia_Files_/acbf3ce0.Archivo_Evidencia.211647. Altar de Dolores por Ana Karen Gómez.pdf</t>
  </si>
  <si>
    <t>c448ece4</t>
  </si>
  <si>
    <t>Regitro_Evidencia_Files_/c448ece4.Archivo_Evidencia.213523.pdf</t>
  </si>
  <si>
    <t>fef86079</t>
  </si>
  <si>
    <t>Regitro_Evidencia_Files_/fef86079.Archivo_Evidencia.214232.pdf</t>
  </si>
  <si>
    <t>4131ffe6</t>
  </si>
  <si>
    <t>Regitro_Evidencia_Files_/4131ffe6.Archivo_Evidencia.215316.pdf</t>
  </si>
  <si>
    <t>c81896bc</t>
  </si>
  <si>
    <t>Regitro_Evidencia_Files_/c81896bc.Archivo_Evidencia.221420.pdf</t>
  </si>
  <si>
    <t>e1452955</t>
  </si>
  <si>
    <t>Regitro_Evidencia_Files_/e1452955.Archivo_Evidencia.225422.pdf</t>
  </si>
  <si>
    <t>9a0e9a6a</t>
  </si>
  <si>
    <t>Regitro_Evidencia_Files_/9a0e9a6a.Archivo_Evidencia.230113. El ser mujer en la Bella Época.pdf</t>
  </si>
  <si>
    <t>5edf52ba</t>
  </si>
  <si>
    <t>Regitro_Evidencia_Files_/5edf52ba.Archivo_Evidencia.212730. Gráfica de Maestros Japoneses en Oaxaca.pdf</t>
  </si>
  <si>
    <t>f4d47ce2</t>
  </si>
  <si>
    <t>Regitro_Evidencia_Images/f4d47ce2.Archivo_Evidencia.181608.jpg</t>
  </si>
  <si>
    <t>2914a201</t>
  </si>
  <si>
    <t>Regitro_Evidencia_Images/2914a201.Archivo_Evidencia.182349.jpg</t>
  </si>
  <si>
    <t>18c3d26e</t>
  </si>
  <si>
    <t>Regitro_Evidencia_Images/18c3d26e.Archivo_Evidencia.183812.jpg</t>
  </si>
  <si>
    <t>6c60ba70</t>
  </si>
  <si>
    <t>Regitro_Evidencia_Images/6c60ba70.Archivo_Evidencia.184706.jpg</t>
  </si>
  <si>
    <t>69ab7302</t>
  </si>
  <si>
    <t>Regitro_Evidencia_Images/69ab7302.Archivo_Evidencia.201950.jpg</t>
  </si>
  <si>
    <t>9de2958c</t>
  </si>
  <si>
    <t>Regitro_Evidencia_Images/9de2958c.Archivo_Evidencia.211414.jpg</t>
  </si>
  <si>
    <t>9bcb0b57</t>
  </si>
  <si>
    <t>Regitro_Evidencia_Images/9bcb0b57.Archivo_Evidencia.212823.jpg</t>
  </si>
  <si>
    <t>f7660ebf</t>
  </si>
  <si>
    <t>Regitro_Evidencia_Images/f7660ebf.Archivo_Evidencia.213935.jpg</t>
  </si>
  <si>
    <t>f12e2d74</t>
  </si>
  <si>
    <t>Regitro_Evidencia_Files_/f12e2d74.Archivo_Evidencia.214414.pdf</t>
  </si>
  <si>
    <t>f06157fb</t>
  </si>
  <si>
    <t>Regitro_Evidencia_Files_/f06157fb.Archivo_Evidencia.215549.pdf</t>
  </si>
  <si>
    <t>f45fd606</t>
  </si>
  <si>
    <t>Regitro_Evidencia_Files_/f45fd606.Archivo_Evidencia.225405.34 (1).pdf</t>
  </si>
  <si>
    <t>e774f187</t>
  </si>
  <si>
    <t>Regitro_Evidencia_Files_/e774f187.Archivo_Evidencia.225933.06 (4).pdf</t>
  </si>
  <si>
    <t>e1e21e8a</t>
  </si>
  <si>
    <t>Regitro_Evidencia_Files_/e1e21e8a.Archivo_Evidencia.230421.50 (5).pdf</t>
  </si>
  <si>
    <t>09c9ae99</t>
  </si>
  <si>
    <t>Regitro_Evidencia_Files_/09c9ae99.Archivo_Evidencia.175640.49 (1) (1).pdf</t>
  </si>
  <si>
    <t>ac433398</t>
  </si>
  <si>
    <t>Regitro_Evidencia_Files_/ac433398.Archivo_Evidencia.180536.44 (1) (1).pdf</t>
  </si>
  <si>
    <t>7ab1590c</t>
  </si>
  <si>
    <t>Regitro_Evidencia_Files_/7ab1590c.Archivo_Evidencia.180407. Habitar ese bosque.pdf</t>
  </si>
  <si>
    <t>28931c1d</t>
  </si>
  <si>
    <t>Regitro_Evidencia_Files_/28931c1d.Archivo_Evidencia.181121. Universidad La Salle.pdf</t>
  </si>
  <si>
    <t>1dbbe63b</t>
  </si>
  <si>
    <t>Regitro_Evidencia_Files_/1dbbe63b.Archivo_Evidencia.183614.2026 Quiromancia al cuadro.pdf</t>
  </si>
  <si>
    <t>61197202</t>
  </si>
  <si>
    <t>Regitro_Evidencia_Files_/61197202.Archivo_Evidencia.184017.2026 Noche de Museos con Cecilia Fuentes.pdf</t>
  </si>
  <si>
    <t>2c83220e</t>
  </si>
  <si>
    <t>Regitro_Evidencia_Files_/2c83220e.Archivo_Evidencia.190041. Seiji Shinohara.pdf</t>
  </si>
  <si>
    <t>7a5fa0a5</t>
  </si>
  <si>
    <t>Regitro_Evidencia_Files_/7a5fa0a5.Archivo_Evidencia.225036.09.pdf</t>
  </si>
  <si>
    <t>6a35ea24</t>
  </si>
  <si>
    <t>Regitro_Evidencia_Files_/6a35ea24.Archivo_Evidencia.230606.pptx</t>
  </si>
  <si>
    <t xml:space="preserve">Otro tipo de archivo </t>
  </si>
  <si>
    <t>4c580778</t>
  </si>
  <si>
    <t>Regitro_Evidencia_Files_/4c580778.Archivo_Evidencia.171725.pptx</t>
  </si>
  <si>
    <t>ccb13e95</t>
  </si>
  <si>
    <t>Regitro_Evidencia_Files_/ccb13e95.Archivo_Evidencia.172923.pptx</t>
  </si>
  <si>
    <t>bfb1f593</t>
  </si>
  <si>
    <t>Regitro_Evidencia_Files_/bfb1f593.Archivo_Evidencia.172217.pptx</t>
  </si>
  <si>
    <t>42518f35</t>
  </si>
  <si>
    <t>Regitro_Evidencia_Files_/42518f35.Archivo_Evidencia.174226.pptx</t>
  </si>
  <si>
    <t>efe7a53c</t>
  </si>
  <si>
    <t>Regitro_Evidencia_Files_/efe7a53c.Archivo_Evidencia.174823.pptx</t>
  </si>
  <si>
    <t>3deb93fd</t>
  </si>
  <si>
    <t>Regitro_Evidencia_Files_/3deb93fd.Archivo_Evidencia.175421.pptx</t>
  </si>
  <si>
    <t>3c38b768</t>
  </si>
  <si>
    <t>Regitro_Evidencia_Files_/3c38b768.Archivo_Evidencia.183307.pptx</t>
  </si>
  <si>
    <t>c352d57e</t>
  </si>
  <si>
    <t>Regitro_Evidencia_Files_/c352d57e.Archivo_Evidencia.183932.pptx</t>
  </si>
  <si>
    <t>62aca381</t>
  </si>
  <si>
    <t>Regitro_Evidencia_Files_/62aca381.Archivo_Evidencia.185708.pptx</t>
  </si>
  <si>
    <t>05cc9563</t>
  </si>
  <si>
    <t>Regitro_Evidencia_Files_/05cc9563.Archivo_Evidencia.165350.pptx</t>
  </si>
  <si>
    <t>20361d2f</t>
  </si>
  <si>
    <t>Regitro_Evidencia_Files_/20361d2f.Archivo_Evidencia.170135.pptx</t>
  </si>
  <si>
    <t>268b8f5f</t>
  </si>
  <si>
    <t>Regitro_Evidencia_Files_/268b8f5f.Archivo_Evidencia.180051.pptx</t>
  </si>
  <si>
    <t>8aa3b1e9</t>
  </si>
  <si>
    <t>Regitro_Evidencia_Files_/8aa3b1e9.Archivo_Evidencia.183849.pptx</t>
  </si>
  <si>
    <t>ea7850a0</t>
  </si>
  <si>
    <t>Regitro_Evidencia_Files_/ea7850a0.Archivo_Evidencia.184823.pptx</t>
  </si>
  <si>
    <t>b4fadd2e</t>
  </si>
  <si>
    <t>Regitro_Evidencia_Files_/b4fadd2e.Archivo_Evidencia.213426.pptx</t>
  </si>
  <si>
    <t>9831aad2</t>
  </si>
  <si>
    <t>Regitro_Evidencia_Files_/9831aad2.Archivo_Evidencia.214939.pptx</t>
  </si>
  <si>
    <t>52ac9423</t>
  </si>
  <si>
    <t>Regitro_Evidencia_Files_/52ac9423.Archivo_Evidencia.221626.pptx</t>
  </si>
  <si>
    <t>b204161b</t>
  </si>
  <si>
    <t>Regitro_Evidencia_Files_/b204161b.Archivo_Evidencia.165411.pptx</t>
  </si>
  <si>
    <t>ea2aee05</t>
  </si>
  <si>
    <t>Regitro_Evidencia_Files_/ea2aee05.Archivo_Evidencia.171647.pptx</t>
  </si>
  <si>
    <t>0b0f3bd2</t>
  </si>
  <si>
    <t>Regitro_Evidencia_Files_/0b0f3bd2.Archivo_Evidencia.181557.pptx</t>
  </si>
  <si>
    <t>bff79ed5</t>
  </si>
  <si>
    <t>Regitro_Evidencia_Files_/bff79ed5.Archivo_Evidencia.182009.pptx</t>
  </si>
  <si>
    <t>f46388e3</t>
  </si>
  <si>
    <t>Regitro_Evidencia_Files_/f46388e3.Archivo_Evidencia.182330.pptx</t>
  </si>
  <si>
    <t>e5e6b1b0</t>
  </si>
  <si>
    <t>Regitro_Evidencia_Files_/e5e6b1b0.Archivo_Evidencia.183451.pptx</t>
  </si>
  <si>
    <t>951b5814</t>
  </si>
  <si>
    <t>Regitro_Evidencia_Files_/951b5814.Archivo_Evidencia.203152.pptx</t>
  </si>
  <si>
    <t>9d5aefa0</t>
  </si>
  <si>
    <t>Regitro_Evidencia_Files_/9d5aefa0.Archivo_Evidencia.205020.pptx</t>
  </si>
  <si>
    <t>f700967e</t>
  </si>
  <si>
    <t>Regitro_Evidencia_Files_/f700967e.Archivo_Evidencia.205919.pptx</t>
  </si>
  <si>
    <t>f24fce7a</t>
  </si>
  <si>
    <t>Regitro_Evidencia_Files_/f24fce7a.Archivo_Evidencia.211414.pptx</t>
  </si>
  <si>
    <t>3a0a5e4c</t>
  </si>
  <si>
    <t>Regitro_Evidencia_Files_/3a0a5e4c.Archivo_Evidencia.222536.pdf</t>
  </si>
  <si>
    <t>e35f7a43</t>
  </si>
  <si>
    <t>Regitro_Evidencia_Files_/e35f7a43.Archivo_Evidencia.231148.jpg (1).pdf</t>
  </si>
  <si>
    <t>174f6634</t>
  </si>
  <si>
    <t>Regitro_Evidencia_Files_/174f6634.Archivo_Evidencia.165749.06 (3) (1).pdf</t>
  </si>
  <si>
    <t>538b003b</t>
  </si>
  <si>
    <t>Regitro_Evidencia_Files_/538b003b.Archivo_Evidencia.172958.pdf</t>
  </si>
  <si>
    <t>eb63d470</t>
  </si>
  <si>
    <t>Regitro_Evidencia_Files_/eb63d470.Archivo_Evidencia.173632.pdf</t>
  </si>
  <si>
    <t>dcbfc418</t>
  </si>
  <si>
    <t>Regitro_Evidencia_Files_/dcbfc418.Archivo_Evidencia.183811.pptx</t>
  </si>
  <si>
    <t>efaa0aaf</t>
  </si>
  <si>
    <t>Regitro_Evidencia_Files_/efaa0aaf.Archivo_Evidencia.213513.pptx</t>
  </si>
  <si>
    <t>e5d659e6</t>
  </si>
  <si>
    <t>Regitro_Evidencia_Files_/e5d659e6.Archivo_Evidencia.214251.pptx</t>
  </si>
  <si>
    <t>c5dbfd2e</t>
  </si>
  <si>
    <t>Regitro_Evidencia_Files_/c5dbfd2e.Archivo_Evidencia.214626.pptx</t>
  </si>
  <si>
    <t>aa959a9e</t>
  </si>
  <si>
    <t>Regitro_Evidencia_Files_/aa959a9e.Archivo_Evidencia.214957.pptx</t>
  </si>
  <si>
    <t>fe90b4f6</t>
  </si>
  <si>
    <t>Regitro_Evidencia_Files_/fe90b4f6.Archivo_Evidencia.215413.pptx</t>
  </si>
  <si>
    <t>33f2fecc</t>
  </si>
  <si>
    <t>Regitro_Evidencia_Files_/33f2fecc.Archivo_Evidencia.215901.pptx</t>
  </si>
  <si>
    <t>77832eed</t>
  </si>
  <si>
    <t>Regitro_Evidencia_Files_/77832eed.Archivo_Evidencia.220243.pptx</t>
  </si>
  <si>
    <t>bd9952c4</t>
  </si>
  <si>
    <t>Regitro_Evidencia_Files_/bd9952c4.Archivo_Evidencia.220624.pptx</t>
  </si>
  <si>
    <t>9ffcd199</t>
  </si>
  <si>
    <t>Regitro_Evidencia_Files_/9ffcd199.Archivo_Evidencia.221049.pptx</t>
  </si>
  <si>
    <t>3cf9d34f</t>
  </si>
  <si>
    <t>Regitro_Evidencia_Files_/3cf9d34f.Archivo_Evidencia.223150.pptx</t>
  </si>
  <si>
    <t>67f35c31</t>
  </si>
  <si>
    <t>Regitro_Evidencia_Files_/67f35c31.Archivo_Evidencia.223716.pptx</t>
  </si>
  <si>
    <t>41eff107</t>
  </si>
  <si>
    <t>Regitro_Evidencia_Files_/41eff107.Archivo_Evidencia.224207.pptx</t>
  </si>
  <si>
    <t>289da15b</t>
  </si>
  <si>
    <t>Regitro_Evidencia_Files_/289da15b.Archivo_Evidencia.224411.pptx</t>
  </si>
  <si>
    <t>a0cf1e49</t>
  </si>
  <si>
    <t>Regitro_Evidencia_Images/a0cf1e49.Archivo_Evidencia.225451.jpg</t>
  </si>
  <si>
    <t>f96b7793</t>
  </si>
  <si>
    <t>Regitro_Evidencia_Images/f96b7793.Archivo_Evidencia.230120.jpg</t>
  </si>
  <si>
    <t>297a0222</t>
  </si>
  <si>
    <t>Regitro_Evidencia_Images/297a0222.Archivo_Evidencia.230852.jpg</t>
  </si>
  <si>
    <t>1bbebee2</t>
  </si>
  <si>
    <t>Regitro_Evidencia_Images/1bbebee2.Archivo_Evidencia.231206.jpg</t>
  </si>
  <si>
    <t>283e88e2</t>
  </si>
  <si>
    <t>Regitro_Evidencia_Images/283e88e2.Archivo_Evidencia.231647.jpg</t>
  </si>
  <si>
    <t>bbc368b9</t>
  </si>
  <si>
    <t>Regitro_Evidencia_Images/bbc368b9.Archivo_Evidencia.232006.jpg</t>
  </si>
  <si>
    <t>1a7d4cd4</t>
  </si>
  <si>
    <t>Regitro_Evidencia_Images/1a7d4cd4.Archivo_Evidencia.232530.jpg</t>
  </si>
  <si>
    <t>2a49f54c</t>
  </si>
  <si>
    <t>Regitro_Evidencia_Images/2a49f54c.Archivo_Evidencia.233021.jpg</t>
  </si>
  <si>
    <t>b3550bf8</t>
  </si>
  <si>
    <t>Regitro_Evidencia_Files_/b3550bf8.Archivo_Evidencia.233849.pdf</t>
  </si>
  <si>
    <t>4b1d0230</t>
  </si>
  <si>
    <t>Regitro_Evidencia_Images/4b1d0230.Archivo_Evidencia.000134.jpg</t>
  </si>
  <si>
    <t>c7271e7e</t>
  </si>
  <si>
    <t>Regitro_Evidencia_Images/c7271e7e.Archivo_Evidencia.000457.jpg</t>
  </si>
  <si>
    <t>3b537846</t>
  </si>
  <si>
    <t>Regitro_Evidencia_Images/3b537846.Archivo_Evidencia.001851.jpg</t>
  </si>
  <si>
    <t>9831896a</t>
  </si>
  <si>
    <t>Regitro_Evidencia_Images/9831896a.Archivo_Evidencia.002139.jpg</t>
  </si>
  <si>
    <t>97631c38</t>
  </si>
  <si>
    <t>Regitro_Evidencia_Images/97631c38.Archivo_Evidencia.002624.jpg</t>
  </si>
  <si>
    <t>b0e35c52</t>
  </si>
  <si>
    <t>Regitro_Evidencia_Images/b0e35c52.Archivo_Evidencia.003351.jpg</t>
  </si>
  <si>
    <t>49a74a4c</t>
  </si>
  <si>
    <t>Regitro_Evidencia_Images/49a74a4c.Archivo_Evidencia.173248.jpg</t>
  </si>
  <si>
    <t>d1b799ae</t>
  </si>
  <si>
    <t>Regitro_Evidencia_Images/d1b799ae.Archivo_Evidencia.173856.jpg</t>
  </si>
  <si>
    <t>04ac6d35</t>
  </si>
  <si>
    <t>Regitro_Evidencia_Images/04ac6d35.Archivo_Evidencia.162646.jpg</t>
  </si>
  <si>
    <t>f5d875d8</t>
  </si>
  <si>
    <t>Regitro_Evidencia_Images/f5d875d8.Archivo_Evidencia.164918.jpg</t>
  </si>
  <si>
    <t>Mesa de dialogo para público en general, Capilla Barroca y Foyer</t>
  </si>
  <si>
    <t>57baf359</t>
  </si>
  <si>
    <t>Regitro_Evidencia_Images/57baf359.Archivo_Evidencia.211206.jpg</t>
  </si>
  <si>
    <t>Foro virtual del libro abril 2024</t>
  </si>
  <si>
    <t>0240fb7f</t>
  </si>
  <si>
    <t>Regitro_Evidencia_Images/0240fb7f.Archivo_Evidencia.220720.jpg</t>
  </si>
  <si>
    <t>Evento de la Decima Letra</t>
  </si>
  <si>
    <t>207ccb49</t>
  </si>
  <si>
    <t>Regitro_Evidencia_Files_/207ccb49.Archivo_Evidencia.164153.pdf</t>
  </si>
  <si>
    <t>Reporte de los visitantes virtuales den el mes de junio</t>
  </si>
  <si>
    <t>afe9f3a5</t>
  </si>
  <si>
    <t>Regitro_Evidencia_Images/afe9f3a5.Archivo_Evidencia.193430.jpg</t>
  </si>
  <si>
    <t>Dia de premiación</t>
  </si>
  <si>
    <t>e0498287</t>
  </si>
  <si>
    <t>Regitro_Evidencia_Images/e0498287.Archivo_Evidencia.205448.jpg</t>
  </si>
  <si>
    <t>75ed8056</t>
  </si>
  <si>
    <t>Regitro_Evidencia_Images/75ed8056.Archivo_Evidencia.211405.jpg</t>
  </si>
  <si>
    <t>f4c7bbe6</t>
  </si>
  <si>
    <t>Regitro_Evidencia_Files_/f4c7bbe6.Archivo_Evidencia.222554.pdf</t>
  </si>
  <si>
    <t>1cfae502</t>
  </si>
  <si>
    <t>Regitro_Evidencia_Images/1cfae502.Archivo_Evidencia.164046.jpg</t>
  </si>
  <si>
    <t>33a78c6c</t>
  </si>
  <si>
    <t>Regitro_Evidencia_Images/33a78c6c.Archivo_Evidencia.172741.jpg</t>
  </si>
  <si>
    <t>f15b5f0e</t>
  </si>
  <si>
    <t>Regitro_Evidencia_Images/f15b5f0e.Archivo_Evidencia.184920.jpg</t>
  </si>
  <si>
    <t>371ae5bb</t>
  </si>
  <si>
    <t>Regitro_Evidencia_Images/371ae5bb.Archivo_Evidencia.190519.jpg</t>
  </si>
  <si>
    <t>faa2a2df</t>
  </si>
  <si>
    <t>Regitro_Evidencia_Files_/faa2a2df.Archivo_Evidencia.214722.pdf</t>
  </si>
  <si>
    <t>4ade96c5</t>
  </si>
  <si>
    <t>Regitro_Evidencia_Files_/4ade96c5.Archivo_Evidencia.170040.pdf</t>
  </si>
  <si>
    <t>361aa8ee</t>
  </si>
  <si>
    <t>Regitro_Evidencia_Files_/361aa8ee.Archivo_Evidencia.170047.pdf</t>
  </si>
  <si>
    <t>3c5c9a18</t>
  </si>
  <si>
    <t>Regitro_Evidencia_Files_/3c5c9a18.Archivo_Evidencia.172802.pdf</t>
  </si>
  <si>
    <t>f7729ba7</t>
  </si>
  <si>
    <t>Regitro_Evidencia_Files_/f7729ba7.Archivo_Evidencia.175606.pdf</t>
  </si>
  <si>
    <t>7768ea58</t>
  </si>
  <si>
    <t>Regitro_Evidencia_Images/7768ea58.Archivo_Evidencia.200820.jpg</t>
  </si>
  <si>
    <t>5ad3508a</t>
  </si>
  <si>
    <t>Regitro_Evidencia_Images/5ad3508a.Archivo_Evidencia.201432.jpg</t>
  </si>
  <si>
    <t>8e61548e</t>
  </si>
  <si>
    <t>Regitro_Evidencia_Images/8e61548e.Archivo_Evidencia.220534.jpg</t>
  </si>
  <si>
    <t>baf09784</t>
  </si>
  <si>
    <t>Regitro_Evidencia_Images/baf09784.Archivo_Evidencia.222705.jpg</t>
  </si>
  <si>
    <t>b7604882</t>
  </si>
  <si>
    <t>Regitro_Evidencia_Images/b7604882.Archivo_Evidencia.225817.jpg</t>
  </si>
  <si>
    <t>bb24487d</t>
  </si>
  <si>
    <t>Regitro_Evidencia_Images/bb24487d.Archivo_Evidencia.230243.jpg</t>
  </si>
  <si>
    <t>ef6dfb93</t>
  </si>
  <si>
    <t>Regitro_Evidencia_Images/ef6dfb93.Archivo_Evidencia.181506.jpg</t>
  </si>
  <si>
    <t>ed5365c3</t>
  </si>
  <si>
    <t>Regitro_Evidencia_Images/ed5365c3.Archivo_Evidencia.184802.jpg</t>
  </si>
  <si>
    <t>f7e3b40c</t>
  </si>
  <si>
    <t>Regitro_Evidencia_Images/f7e3b40c.Archivo_Evidencia.190034.jpg</t>
  </si>
  <si>
    <t>7d6fbf72</t>
  </si>
  <si>
    <t>Regitro_Evidencia_Images/7d6fbf72.Archivo_Evidencia.215503.jpg</t>
  </si>
  <si>
    <t>51959d5b</t>
  </si>
  <si>
    <t>Regitro_Evidencia_Images/51959d5b.Archivo_Evidencia.202624.jpg</t>
  </si>
  <si>
    <t>13c4f81b</t>
  </si>
  <si>
    <t>Regitro_Evidencia_Images/13c4f81b.Archivo_Evidencia.203048.jpg</t>
  </si>
  <si>
    <t>abd8495a</t>
  </si>
  <si>
    <t>Regitro_Evidencia_Images/abd8495a.Archivo_Evidencia.203637.jpg</t>
  </si>
  <si>
    <t>bfa3bae7</t>
  </si>
  <si>
    <t>Regitro_Evidencia_Images/bfa3bae7.Archivo_Evidencia.204449.jpg</t>
  </si>
  <si>
    <t>f393ea5c</t>
  </si>
  <si>
    <t>Regitro_Evidencia_Images/f393ea5c.Archivo_Evidencia.171845.jpg</t>
  </si>
  <si>
    <t>e39993c5</t>
  </si>
  <si>
    <t>Regitro_Evidencia_Images/e39993c5.Archivo_Evidencia.181132.jpg</t>
  </si>
  <si>
    <t>445e8dc6</t>
  </si>
  <si>
    <t>Regitro_Evidencia_Images/445e8dc6.Archivo_Evidencia.164252.jpg</t>
  </si>
  <si>
    <t>0aa7ba04</t>
  </si>
  <si>
    <t>Regitro_Evidencia_Files_/0aa7ba04.Archivo_Evidencia.164921. Madero__</t>
  </si>
  <si>
    <t>49c7fd45</t>
  </si>
  <si>
    <t>5a26a4cc</t>
  </si>
  <si>
    <t>Regitro_Evidencia_Images/5a26a4cc.Archivo_Evidencia.170759.jpg</t>
  </si>
  <si>
    <t>489b1931</t>
  </si>
  <si>
    <t>Regitro_Evidencia_Images/489b1931.Archivo_Evidencia.172626.jpg</t>
  </si>
  <si>
    <t>ba1cc7f1</t>
  </si>
  <si>
    <t>Regitro_Evidencia_Images/ba1cc7f1.Archivo_Evidencia.173401.jpg</t>
  </si>
  <si>
    <t>ccdb4a29</t>
  </si>
  <si>
    <t>Regitro_Evidencia_Images/ccdb4a29.Archivo_Evidencia.181744.jpg</t>
  </si>
  <si>
    <t>d5b688bf</t>
  </si>
  <si>
    <t>Regitro_Evidencia_Images/d5b688bf.Archivo_Evidencia.182128.jpg</t>
  </si>
  <si>
    <t>3974cc84</t>
  </si>
  <si>
    <t>Regitro_Evidencia_Images/3974cc84.Archivo_Evidencia.183235.jpg</t>
  </si>
  <si>
    <t>48941566</t>
  </si>
  <si>
    <t>Regitro_Evidencia_Images/48941566.Archivo_Evidencia.184014.jpg</t>
  </si>
  <si>
    <t>f775d99f</t>
  </si>
  <si>
    <t>Regitro_Evidencia_Images/f775d99f.Archivo_Evidencia.185042.jpg</t>
  </si>
  <si>
    <t>de698edb</t>
  </si>
  <si>
    <t>Regitro_Evidencia_Files_/de698edb.Archivo_Evidencia.190417. Coros Voces del Alma y Acordes del Corazón</t>
  </si>
  <si>
    <t>cd2e5e10</t>
  </si>
  <si>
    <t>Regitro_Evidencia_Images/cd2e5e10.Archivo_Evidencia.213445.jpg</t>
  </si>
  <si>
    <t>78c33f63</t>
  </si>
  <si>
    <t>Regitro_Evidencia_Images/78c33f63.Archivo_Evidencia.215202.jpg</t>
  </si>
  <si>
    <t>8264bcc8</t>
  </si>
  <si>
    <t>Regitro_Evidencia_Images/8264bcc8.Archivo_Evidencia.225857.jpg</t>
  </si>
  <si>
    <t>Fotografía de semblanza de la exposición</t>
  </si>
  <si>
    <t>9f65ec20</t>
  </si>
  <si>
    <t>Regitro_Evidencia_Images/9f65ec20.Archivo_Evidencia.190354.jpg</t>
  </si>
  <si>
    <t>Esta fotografía documenta una sesión práctica de trabajo dentro del taller, destacando la aplicación directa de los contenidos aprendidos.</t>
  </si>
  <si>
    <t>7928522a</t>
  </si>
  <si>
    <t>Regitro_Evidencia_Images/7928522a.Archivo_Evidencia.190400.jpg</t>
  </si>
  <si>
    <t>Evidencia de las sesiones impartidas</t>
  </si>
  <si>
    <t>65192986</t>
  </si>
  <si>
    <t>Regitro_Evidencia_Images/65192986.Archivo_Evidencia.194019.jpg</t>
  </si>
  <si>
    <t>La fotografía muestra una sesión práctica dentro de un taller de grabado.</t>
  </si>
  <si>
    <t>d8005629</t>
  </si>
  <si>
    <t>Regitro_Evidencia_Images/d8005629.Archivo_Evidencia.194023.jpg</t>
  </si>
  <si>
    <t>La fotografía captura un entorno dinámico de aprendizaje y producción artística implementando lo aprendido.</t>
  </si>
  <si>
    <t>976700ca</t>
  </si>
  <si>
    <t>Regitro_Evidencia_Images/976700ca.Archivo_Evidencia.200844.jpg</t>
  </si>
  <si>
    <t>Laboratorio donde el cuerpo se aborda como un territorio vivo de mitos, mandatos y patrones.</t>
  </si>
  <si>
    <t>f82976ab</t>
  </si>
  <si>
    <t>Regitro_Evidencia_Images/f82976ab.Archivo_Evidencia.215920.jpg</t>
  </si>
  <si>
    <t>Foto que muestra una sesión práctica de estampación y transferencia botánica.</t>
  </si>
  <si>
    <t>7ed77c04</t>
  </si>
  <si>
    <t>Regitro_Evidencia_Images/7ed77c04.Archivo_Evidencia.215924.jpg</t>
  </si>
  <si>
    <t>Esta imagen documenta un momento de aprendizaje colectivo donde varios talleristas se reúnen alrededor de la mesa de trabajo.</t>
  </si>
  <si>
    <t>684ddbfd</t>
  </si>
  <si>
    <t>Regitro_Evidencia_Images/684ddbfd.Archivo_Evidencia.223019.png</t>
  </si>
  <si>
    <t>Evidencia de las sesiones virtuales.</t>
  </si>
  <si>
    <t>c1dc8ce2</t>
  </si>
  <si>
    <t>Regitro_Evidencia_Images/c1dc8ce2.Archivo_Evidencia.223024.png</t>
  </si>
  <si>
    <t>Evidencia de la participación de los asistentes en las sesiones virtuales.</t>
  </si>
  <si>
    <t>100bbeea</t>
  </si>
  <si>
    <t>Regitro_Evidencia_Images/100bbeea.Archivo_Evidencia.225900.jpg</t>
  </si>
  <si>
    <t>d327b48c</t>
  </si>
  <si>
    <t>Regitro_Evidencia_Files_/d327b48c.Archivo_Evidencia.231029.pdf</t>
  </si>
  <si>
    <t>Reporte de evidencias</t>
  </si>
  <si>
    <t>2afd1571</t>
  </si>
  <si>
    <t>Regitro_Evidencia_Images/2afd1571.Archivo_Evidencia.174526.jpg</t>
  </si>
  <si>
    <t>La imagen registra la sesión de trabajo colaborativo e interactivo con el grupo.</t>
  </si>
  <si>
    <t>0ef251fa</t>
  </si>
  <si>
    <t>Regitro_Evidencia_Files_/0ef251fa.Archivo_Evidencia.180521.pdf</t>
  </si>
  <si>
    <t>Reporte entregable echo por el instructor a cargo del taller.</t>
  </si>
  <si>
    <t>4eabdc9d</t>
  </si>
  <si>
    <t>a962679e</t>
  </si>
  <si>
    <t>Regitro_Evidencia_Files_/a962679e.Archivo_Evidencia.190511.pdf</t>
  </si>
  <si>
    <t>Reporte de evidencia</t>
  </si>
  <si>
    <t>3d52d969</t>
  </si>
  <si>
    <t>Regitro_Evidencia_Files_/3d52d969.Archivo_Evidencia.203054.pdf</t>
  </si>
  <si>
    <t>Reporte de evidencias.</t>
  </si>
  <si>
    <t>d2883a2d</t>
  </si>
  <si>
    <t>Regitro_Evidencia_Images/d2883a2d.Archivo_Evidencia.213407.jpg</t>
  </si>
  <si>
    <t>Evidencia de la presentación</t>
  </si>
  <si>
    <t>f5a0fef1</t>
  </si>
  <si>
    <t>Regitro_Evidencia_Images/f5a0fef1.Archivo_Evidencia.213413.jpg</t>
  </si>
  <si>
    <t>d222727f</t>
  </si>
  <si>
    <t>Regitro_Evidencia_Images/d222727f.Archivo_Evidencia.221249.jpg</t>
  </si>
  <si>
    <t>Evidencia de la presentación de la Danza.</t>
  </si>
  <si>
    <t>59079f49</t>
  </si>
  <si>
    <t>Regitro_Evidencia_Images/59079f49.Archivo_Evidencia.223316.jpg</t>
  </si>
  <si>
    <t>ac67d6c6</t>
  </si>
  <si>
    <t>Regitro_Evidencia_Images/ac67d6c6.Archivo_Evidencia.182206.jpg</t>
  </si>
  <si>
    <t>f54ee49b</t>
  </si>
  <si>
    <t>Regitro_Evidencia_Files_/f54ee49b.Archivo_Evidencia.192140.pdf</t>
  </si>
  <si>
    <t>Reporte de evidencias de la actividad al concluir.</t>
  </si>
  <si>
    <t>8d869550</t>
  </si>
  <si>
    <t>Regitro_Evidencia_Images/8d869550.Archivo_Evidencia.205623.jpg</t>
  </si>
  <si>
    <t>a4b1e0a0</t>
  </si>
  <si>
    <t>Regitro_Evidencia_Images/a4b1e0a0.Archivo_Evidencia.224947.jpg</t>
  </si>
  <si>
    <t>7227901c</t>
  </si>
  <si>
    <t>Regitro_Evidencia_Images/7227901c.Archivo_Evidencia.232518.jpg</t>
  </si>
  <si>
    <t>b4a50c56</t>
  </si>
  <si>
    <t>Regitro_Evidencia_Files_/b4a50c56.Archivo_Evidencia.234414.pdf</t>
  </si>
  <si>
    <t>e2fedfaa</t>
  </si>
  <si>
    <t>Regitro_Evidencia_Images/e2fedfaa.Archivo_Evidencia.183642.jpg</t>
  </si>
  <si>
    <t>03d78f89</t>
  </si>
  <si>
    <t>Regitro_Evidencia_Files_/03d78f89.Archivo_Evidencia.182837.pdf</t>
  </si>
  <si>
    <t>6a92a029</t>
  </si>
  <si>
    <t>Regitro_Evidencia_Images/6a92a029.Archivo_Evidencia.212025.jpg</t>
  </si>
  <si>
    <t>cb329c8f</t>
  </si>
  <si>
    <t>Regitro_Evidencia_Images/cb329c8f.Archivo_Evidencia.214751.jpg</t>
  </si>
  <si>
    <t>b6d8ab76</t>
  </si>
  <si>
    <t>Regitro_Evidencia_Images/b6d8ab76.Archivo_Evidencia.224546.jpg</t>
  </si>
  <si>
    <t>13be5590</t>
  </si>
  <si>
    <t>Regitro_Evidencia_Images/13be5590.Archivo_Evidencia.233121.jpg</t>
  </si>
  <si>
    <t>112a0a34</t>
  </si>
  <si>
    <t>Regitro_Evidencia_Images/112a0a34.Archivo_Evidencia.161902.jpg</t>
  </si>
  <si>
    <t>36216e8f</t>
  </si>
  <si>
    <t>Regitro_Evidencia_Images/36216e8f.Archivo_Evidencia.172637.jpg</t>
  </si>
  <si>
    <t>9e3be457</t>
  </si>
  <si>
    <t>Regitro_Evidencia_Images/9e3be457.Archivo_Evidencia.175951.jpg</t>
  </si>
  <si>
    <t>98ae8de7</t>
  </si>
  <si>
    <t>Regitro_Evidencia_Images/98ae8de7.Archivo_Evidencia.192244.jpg</t>
  </si>
  <si>
    <t>a40fea63</t>
  </si>
  <si>
    <t>Regitro_Evidencia_Images/a40fea63.Archivo_Evidencia.202228.jpg</t>
  </si>
  <si>
    <t>e56f18b5</t>
  </si>
  <si>
    <t>Regitro_Evidencia_Images/e56f18b5.Archivo_Evidencia.192834.jpg</t>
  </si>
  <si>
    <t>Evidencia de las sesiones impartidas.</t>
  </si>
  <si>
    <t>e2cf2ae8</t>
  </si>
  <si>
    <t>Regitro_Evidencia_Images/e2cf2ae8.Archivo_Evidencia.192840.jpg</t>
  </si>
  <si>
    <t>0e02ded6</t>
  </si>
  <si>
    <t>Regitro_Evidencia_Images/0e02ded6.Archivo_Evidencia.194748.jpg</t>
  </si>
  <si>
    <t>Evidencia de las sesiones impartidas dentro del diplomado.</t>
  </si>
  <si>
    <t>fca41968</t>
  </si>
  <si>
    <t>Regitro_Evidencia_Images/fca41968.Archivo_Evidencia.194753.jpg</t>
  </si>
  <si>
    <t>16a52ba9</t>
  </si>
  <si>
    <t>Regitro_Evidencia_Images/16a52ba9.Archivo_Evidencia.201035.jpg</t>
  </si>
  <si>
    <t>95896ca0</t>
  </si>
  <si>
    <t>Regitro_Evidencia_Images/95896ca0.Archivo_Evidencia.201040.jpg</t>
  </si>
  <si>
    <t>a7e0a597</t>
  </si>
  <si>
    <t>Regitro_Evidencia_Files_/a7e0a597.Archivo_Evidencia.205658.pdf</t>
  </si>
  <si>
    <t>Evidencia del resultado de la residencia</t>
  </si>
  <si>
    <t>b87f0f67</t>
  </si>
  <si>
    <t>Regitro_Evidencia_Images/b87f0f67.Archivo_Evidencia.224741.jpg</t>
  </si>
  <si>
    <t>Evidencia de la participación en las sesiones impartidas.</t>
  </si>
  <si>
    <t>2d05d638</t>
  </si>
  <si>
    <t>Regitro_Evidencia_Images/2d05d638.Archivo_Evidencia.224746.jpg</t>
  </si>
  <si>
    <t>a1db1ae1</t>
  </si>
  <si>
    <t>Regitro_Evidencia_Files_/a1db1ae1.Archivo_Evidencia.192737.pdf</t>
  </si>
  <si>
    <t>Reporte de evidencias del curso de verano con menores de 6 a 12 años.</t>
  </si>
  <si>
    <t>a908423b</t>
  </si>
  <si>
    <t>Regitro_Evidencia_Images/a908423b.Archivo_Evidencia.163127.jpg</t>
  </si>
  <si>
    <t>f8f52acc</t>
  </si>
  <si>
    <t>Regitro_Evidencia_Images/f8f52acc.Archivo_Evidencia.171539.jpg</t>
  </si>
  <si>
    <t>eb036be7</t>
  </si>
  <si>
    <t>Regitro_Evidencia_Images/eb036be7.Archivo_Evidencia.174045.jpg</t>
  </si>
  <si>
    <t>7d1b1afa</t>
  </si>
  <si>
    <t>Regitro_Evidencia_Images/7d1b1afa.Archivo_Evidencia.182735.jpg</t>
  </si>
  <si>
    <t>9557bc1b</t>
  </si>
  <si>
    <t>Regitro_Evidencia_Images/9557bc1b.Archivo_Evidencia.183137.jpg</t>
  </si>
  <si>
    <t>11dcd6c5</t>
  </si>
  <si>
    <t>Regitro_Evidencia_Images/11dcd6c5.Archivo_Evidencia.183758.jpg</t>
  </si>
  <si>
    <t>1c58ffff</t>
  </si>
  <si>
    <t>Regitro_Evidencia_Images/1c58ffff.Archivo_Evidencia.184018.jpg</t>
  </si>
  <si>
    <t>8928d5b3</t>
  </si>
  <si>
    <t>Regitro_Evidencia_Images/8928d5b3.Archivo_Evidencia.184408.jpg</t>
  </si>
  <si>
    <t>99d75d10</t>
  </si>
  <si>
    <t>Regitro_Evidencia_Images/99d75d10.Archivo_Evidencia.185046.jpg</t>
  </si>
  <si>
    <t>4dd19874</t>
  </si>
  <si>
    <t>Regitro_Evidencia_Images/4dd19874.Archivo_Evidencia.223103.jpg</t>
  </si>
  <si>
    <t>99093868</t>
  </si>
  <si>
    <t>Regitro_Evidencia_Files_/99093868.Archivo_Evidencia.230215.pdf</t>
  </si>
  <si>
    <t>497a92bf</t>
  </si>
  <si>
    <t>Regitro_Evidencia_Images/497a92bf.Archivo_Evidencia.180103.png</t>
  </si>
  <si>
    <t>96f87072</t>
  </si>
  <si>
    <t>Regitro_Evidencia_Images/96f87072.Archivo_Evidencia.180108.png</t>
  </si>
  <si>
    <t>03d2c610</t>
  </si>
  <si>
    <t>Regitro_Evidencia_Images/03d2c610.Archivo_Evidencia.180113.png</t>
  </si>
  <si>
    <t>8c7c1f3d</t>
  </si>
  <si>
    <t>Regitro_Evidencia_Images/8c7c1f3d.Archivo_Evidencia.182832.jpg</t>
  </si>
  <si>
    <t>Evidencia fotográfica de las sesiones impartidas en el taller</t>
  </si>
  <si>
    <t>bcc9ee17</t>
  </si>
  <si>
    <t>Regitro_Evidencia_Images/bcc9ee17.Archivo_Evidencia.182836.jpg</t>
  </si>
  <si>
    <t>077a6f3d</t>
  </si>
  <si>
    <t>Regitro_Evidencia_Images/077a6f3d.Archivo_Evidencia.183128.jpg</t>
  </si>
  <si>
    <t>0c003fa6</t>
  </si>
  <si>
    <t>Regitro_Evidencia_Images/0c003fa6.Archivo_Evidencia.183137.jpg</t>
  </si>
  <si>
    <t>5b6d4a03</t>
  </si>
  <si>
    <t>Regitro_Evidencia_Images/5b6d4a03.Archivo_Evidencia.183143.jpg</t>
  </si>
  <si>
    <t>f2e18626</t>
  </si>
  <si>
    <t>Regitro_Evidencia_Images/f2e18626.Archivo_Evidencia.183150.jpg</t>
  </si>
  <si>
    <t>46599402</t>
  </si>
  <si>
    <t>Regitro_Evidencia_Images/46599402.Archivo_Evidencia.184026.jpg</t>
  </si>
  <si>
    <t>b440a098</t>
  </si>
  <si>
    <t>Regitro_Evidencia_Images/b440a098.Archivo_Evidencia.184030.jpg</t>
  </si>
  <si>
    <t>e2527745</t>
  </si>
  <si>
    <t>Regitro_Evidencia_Images/e2527745.Archivo_Evidencia.184644.jpg</t>
  </si>
  <si>
    <t>cdae6e1c</t>
  </si>
  <si>
    <t>Regitro_Evidencia_Images/cdae6e1c.Archivo_Evidencia.184651.jpg</t>
  </si>
  <si>
    <t>df051bee</t>
  </si>
  <si>
    <t>Regitro_Evidencia_Images/df051bee.Archivo_Evidencia.184656.jpg</t>
  </si>
  <si>
    <t>d4c39321</t>
  </si>
  <si>
    <t>Regitro_Evidencia_Images/d4c39321.Archivo_Evidencia.184700.jpg</t>
  </si>
  <si>
    <t>88649005</t>
  </si>
  <si>
    <t>Regitro_Evidencia_Images/88649005.Archivo_Evidencia.184705.jpg</t>
  </si>
  <si>
    <t>ee9def03</t>
  </si>
  <si>
    <t>Regitro_Evidencia_Files_/ee9def03.Archivo_Evidencia.184844.pptx</t>
  </si>
  <si>
    <t>0ce89ffd</t>
  </si>
  <si>
    <t>Regitro_Evidencia_Files_/0ce89ffd.Archivo_Evidencia.174616.06102026.pdf</t>
  </si>
  <si>
    <t>dc3170cb</t>
  </si>
  <si>
    <t>Regitro_Evidencia_Files_/dc3170cb.Archivo_Evidencia.183332.11102026.pdf</t>
  </si>
  <si>
    <t>d9289798</t>
  </si>
  <si>
    <t>Regitro_Evidencia_Files_/d9289798.Archivo_Evidencia.174415.pdf</t>
  </si>
  <si>
    <t>a1738be3</t>
  </si>
  <si>
    <t>Regitro_Evidencia_Files_/a1738be3.Archivo_Evidencia.180327.pdf</t>
  </si>
  <si>
    <t>f6d3f0b8</t>
  </si>
  <si>
    <t>Regitro_Evidencia_Images/f6d3f0b8.Archivo_Evidencia.183426.jpg</t>
  </si>
  <si>
    <t>56636922</t>
  </si>
  <si>
    <t>Regitro_Evidencia_Images/56636922.Archivo_Evidencia.180645.jpg</t>
  </si>
  <si>
    <t>0c3896cd</t>
  </si>
  <si>
    <t>Regitro_Evidencia_Images/0c3896cd.Archivo_Evidencia.181419.jpg</t>
  </si>
  <si>
    <t>008be1ff</t>
  </si>
  <si>
    <t>Regitro_Evidencia_Images/008be1ff.Archivo_Evidencia.182639.jpg</t>
  </si>
  <si>
    <t>4ab20ac0</t>
  </si>
  <si>
    <t>Regitro_Evidencia_Images/4ab20ac0.Archivo_Evidencia.183914.jpg</t>
  </si>
  <si>
    <t>439364fb</t>
  </si>
  <si>
    <t>Regitro_Evidencia_Images/439364fb.Archivo_Evidencia.184902.jpg</t>
  </si>
  <si>
    <t>3c415b7e</t>
  </si>
  <si>
    <t>Regitro_Evidencia_Images/3c415b7e.Archivo_Evidencia.185532.jpg</t>
  </si>
  <si>
    <t>4848d597</t>
  </si>
  <si>
    <t>Regitro_Evidencia_Images/4848d597.Archivo_Evidencia.201554.jpg</t>
  </si>
  <si>
    <t>6bbcc58c</t>
  </si>
  <si>
    <t>Regitro_Evidencia_Images/6bbcc58c.Archivo_Evidencia.202134.jpg</t>
  </si>
  <si>
    <t>d016045f</t>
  </si>
  <si>
    <t>Regitro_Evidencia_Images/d016045f.Archivo_Evidencia.203655.jpg</t>
  </si>
  <si>
    <t>20ea5890</t>
  </si>
  <si>
    <t>Regitro_Evidencia_Images/20ea5890.Archivo_Evidencia.204256.jpg</t>
  </si>
  <si>
    <t>e0743c72</t>
  </si>
  <si>
    <t>Regitro_Evidencia_Images/e0743c72.Archivo_Evidencia.205726.jpg</t>
  </si>
  <si>
    <t>2fdc6d84</t>
  </si>
  <si>
    <t>Regitro_Evidencia_Images/2fdc6d84.Archivo_Evidencia.213353.jpg</t>
  </si>
  <si>
    <t>70903377</t>
  </si>
  <si>
    <t>Regitro_Evidencia_Images/70903377.Archivo_Evidencia.214318.jpg</t>
  </si>
  <si>
    <t>Municipios_Impactados</t>
  </si>
  <si>
    <t>Total_Acceso</t>
  </si>
  <si>
    <t>Total_Participación</t>
  </si>
  <si>
    <t>Actividad_ZAP_Global</t>
  </si>
  <si>
    <t>Actividad_ZAP_NC</t>
  </si>
  <si>
    <t>Actividad_ZAP_SSyP</t>
  </si>
  <si>
    <t>Grupos_Prioritarios_Impactados</t>
  </si>
  <si>
    <t>ID_Recinto</t>
  </si>
  <si>
    <t>Nombre_Recinto</t>
  </si>
  <si>
    <t>Galería Mariana</t>
  </si>
  <si>
    <t>Forum Cultural Guanajauto, Clazada de las Artes</t>
  </si>
  <si>
    <t>Forum Cultural Guanajuato, Jardín de las Jacarandas</t>
  </si>
  <si>
    <t>Teatro del Bicentenario</t>
  </si>
  <si>
    <t>Teatro Cervantes</t>
  </si>
  <si>
    <t>Biblioteca Wigerto Jiménez</t>
  </si>
  <si>
    <t>Centro cultural municipal</t>
  </si>
  <si>
    <t>Zona Arqueológica el Cóporo</t>
  </si>
  <si>
    <t>Zona Arqueológica Arroyo Seco</t>
  </si>
  <si>
    <t>Zona Arqueológica Plazuelas</t>
  </si>
  <si>
    <t>ID_Agente</t>
  </si>
  <si>
    <t>Categoria_Principal</t>
  </si>
  <si>
    <t>Tipo_Agente</t>
  </si>
  <si>
    <t>Artistas individuales (músicos, visuales, escénicos, escritores)</t>
  </si>
  <si>
    <t>Colectivos artísticos</t>
  </si>
  <si>
    <t>Compañías (teatro, danza, música)</t>
  </si>
  <si>
    <t>Creadores digitales (contenido cultural, multimedia)</t>
  </si>
  <si>
    <t>Docentes de arte (formal e informal)</t>
  </si>
  <si>
    <t>Talleristas comunitarios</t>
  </si>
  <si>
    <t>Escuelas de arte (públicas y privadas)</t>
  </si>
  <si>
    <t>Programas formativos (ej. orquestas comunitarias)</t>
  </si>
  <si>
    <t>Productores culturales independientes</t>
  </si>
  <si>
    <t>Gestores culturales</t>
  </si>
  <si>
    <t>Curadores</t>
  </si>
  <si>
    <t>Directores de festivales</t>
  </si>
  <si>
    <t>Programadores culturales</t>
  </si>
  <si>
    <t>Recintos (teatros, museos, galerías)</t>
  </si>
  <si>
    <t>Festivales y ferias</t>
  </si>
  <si>
    <t>Plataformas digitales</t>
  </si>
  <si>
    <t>Promotores culturales</t>
  </si>
  <si>
    <t>Bibliotecarios</t>
  </si>
  <si>
    <t>Mediadores de lectura</t>
  </si>
  <si>
    <t>Educadores en museos</t>
  </si>
  <si>
    <t>Gobernanza</t>
  </si>
  <si>
    <t>Instituciones públicas (secretarías, institutos, casas de cultura)</t>
  </si>
  <si>
    <t>Consejos ciudadanos</t>
  </si>
  <si>
    <t>Legisladores con agenda cultural</t>
  </si>
  <si>
    <t>Organismos internacionales</t>
  </si>
  <si>
    <t>Financiamiento</t>
  </si>
  <si>
    <t>Fundaciones</t>
  </si>
  <si>
    <t>Empresas (RSE)</t>
  </si>
  <si>
    <t>Mecenas</t>
  </si>
  <si>
    <t>Cooperación internacional</t>
  </si>
  <si>
    <t>ID_Disciplina</t>
  </si>
  <si>
    <t>Convocatoria</t>
  </si>
  <si>
    <t>Dictaminación</t>
  </si>
  <si>
    <t>Seminario</t>
  </si>
  <si>
    <t>Microcredencialización</t>
  </si>
  <si>
    <t>Clínica técnica</t>
  </si>
  <si>
    <t>Mentoría</t>
  </si>
  <si>
    <t>Rehabilitación de infraestructura cultural</t>
  </si>
  <si>
    <t>Mantenimiento de espacios culturales</t>
  </si>
  <si>
    <t>Acompañamiento técnico</t>
  </si>
  <si>
    <t>Ópera</t>
  </si>
  <si>
    <t>Circo</t>
  </si>
  <si>
    <t>Artes del movimiento</t>
  </si>
  <si>
    <t>Mesa de co-creación</t>
  </si>
  <si>
    <t>Mesa interinstitucional</t>
  </si>
  <si>
    <t>Proceso de gobernanza comunitaria</t>
  </si>
  <si>
    <t>Bandas sinfónicas</t>
  </si>
  <si>
    <t>Campaña de sensibilización</t>
  </si>
  <si>
    <t>Campaña patrimonial</t>
  </si>
  <si>
    <t>Recorridos patrimoniales</t>
  </si>
  <si>
    <t>Ensayo</t>
  </si>
  <si>
    <t>Encuentro comunitario</t>
  </si>
  <si>
    <t>Dramaturgia</t>
  </si>
  <si>
    <t>Encuentro de negocios</t>
  </si>
  <si>
    <t>Congreso</t>
  </si>
  <si>
    <t>Feria cultural</t>
  </si>
  <si>
    <t>Feria artesanal</t>
  </si>
  <si>
    <t>Animación</t>
  </si>
  <si>
    <t>Mercado creativo</t>
  </si>
  <si>
    <t>Guionismo</t>
  </si>
  <si>
    <t>Muestra editorial</t>
  </si>
  <si>
    <t>Transmedia</t>
  </si>
  <si>
    <t>Textil</t>
  </si>
  <si>
    <t>Alfarería</t>
  </si>
  <si>
    <t>Fiesta tradicional</t>
  </si>
  <si>
    <t>Orfebrería</t>
  </si>
  <si>
    <t>Juguetería tradicional</t>
  </si>
  <si>
    <t>Renta de espacio cultural</t>
  </si>
  <si>
    <t>Préstamo de espacio cultural</t>
  </si>
  <si>
    <t>Registro de obra artística</t>
  </si>
  <si>
    <t>Jornada itinerante (registro/servicios culturales)</t>
  </si>
  <si>
    <t>Cartografía cultural</t>
  </si>
  <si>
    <t>Censo cultural</t>
  </si>
  <si>
    <t>Levantamiento diagnóstico</t>
  </si>
  <si>
    <t>Diseño industrial</t>
  </si>
  <si>
    <t>Diseño textil</t>
  </si>
  <si>
    <t>Documentación patrimonial</t>
  </si>
  <si>
    <t>Industria editorial</t>
  </si>
  <si>
    <t>Industria musical</t>
  </si>
  <si>
    <t>Industria audiovisual</t>
  </si>
  <si>
    <t>Producción editorial</t>
  </si>
  <si>
    <t>Videojuegos</t>
  </si>
  <si>
    <t>Circulación intermunicipal</t>
  </si>
  <si>
    <t>Artes digitales</t>
  </si>
  <si>
    <t>Circulación nacional</t>
  </si>
  <si>
    <t>Circulación internacional</t>
  </si>
  <si>
    <t>Incubación de proyectos culturales</t>
  </si>
  <si>
    <t>Aceleración de proyectos culturales</t>
  </si>
  <si>
    <t>Gestión de convenio</t>
  </si>
  <si>
    <t>Firma de convenio</t>
  </si>
  <si>
    <t>Implementación de fondo</t>
  </si>
  <si>
    <t>Evaluación de programa</t>
  </si>
  <si>
    <t>Sistematización de buenas prácticas</t>
  </si>
  <si>
    <t>Operación de programa itinerante</t>
  </si>
  <si>
    <t>Autogestión comunitaria</t>
  </si>
  <si>
    <t>Formación o capacitación</t>
  </si>
  <si>
    <t>Formador</t>
  </si>
  <si>
    <t>Nuevo proyecto</t>
  </si>
  <si>
    <t>Material</t>
  </si>
  <si>
    <t>Colectivo</t>
  </si>
  <si>
    <t>Inmaterial</t>
  </si>
  <si>
    <t>Micro credencialización</t>
  </si>
  <si>
    <t>Artistas</t>
  </si>
  <si>
    <t>Artesanos</t>
  </si>
  <si>
    <t>Patrimonio</t>
  </si>
  <si>
    <t>General</t>
  </si>
  <si>
    <t>Apoyos</t>
  </si>
  <si>
    <t>Circulación</t>
  </si>
  <si>
    <t>ID_Indicador</t>
  </si>
  <si>
    <t>Clave_Indicador</t>
  </si>
  <si>
    <t>Activo</t>
  </si>
  <si>
    <t>I00802</t>
  </si>
  <si>
    <t>Asistentes beneficiados con programas de difusión artística</t>
  </si>
  <si>
    <t>Asistentes</t>
  </si>
  <si>
    <t>Programa de Gobierno</t>
  </si>
  <si>
    <t>I10744</t>
  </si>
  <si>
    <t>Personas que acceden a museos del Estado</t>
  </si>
  <si>
    <t>Personas</t>
  </si>
  <si>
    <t>Programa Estatal de Cultura</t>
  </si>
  <si>
    <t>I00803</t>
  </si>
  <si>
    <t>Asistentes a talleres en Casas de Cultura</t>
  </si>
  <si>
    <t>Programa Presupuestario</t>
  </si>
  <si>
    <t>I10465</t>
  </si>
  <si>
    <t>Acciones artísticas para población vulnerable</t>
  </si>
  <si>
    <t>Acciones</t>
  </si>
  <si>
    <t>I10689</t>
  </si>
  <si>
    <t>Jóvenes participantes en actividades de desarrollo</t>
  </si>
  <si>
    <t>Jóvenes</t>
  </si>
  <si>
    <t>I10745</t>
  </si>
  <si>
    <t>Asistentes a eventos de tradiciones y arte popular</t>
  </si>
  <si>
    <t>I00814</t>
  </si>
  <si>
    <t>Libros vendidos / Fomento Lector</t>
  </si>
  <si>
    <t>Libros</t>
  </si>
  <si>
    <t>I00223</t>
  </si>
  <si>
    <t>Interacción en actividades artísticas y culturales</t>
  </si>
  <si>
    <t>Interacciones</t>
  </si>
  <si>
    <t>I10124</t>
  </si>
  <si>
    <t>Asistentes virtuales a talleres y exposiciones</t>
  </si>
  <si>
    <t>Asistentes virtuales</t>
  </si>
  <si>
    <t>ID_Enfoque</t>
  </si>
  <si>
    <t>ID_Alineacion</t>
  </si>
  <si>
    <t>SUBSECRETARÍA DE DESARROLLO Y PROMOCIÓN ARTÍSTICA Y CULTURAL  </t>
  </si>
  <si>
    <t>Difusión de atractivos culturales y turísticos en plataformas digitales, inteligencia artificial y chatbots de fácil acceso.</t>
  </si>
  <si>
    <t xml:space="preserve">Cooperación </t>
  </si>
  <si>
    <t>Realizar mesas de co-creación de programas culturales con enfoque en grupos prioritarios y atención a zonas prioritarias</t>
  </si>
  <si>
    <t>Apoyos económicos para la movilidad y circulación de agentes culturales de Guanajuato en circuitos artísticos y culturales a nivel nacional e internacional.</t>
  </si>
  <si>
    <t>Agentes culturales apoyados</t>
  </si>
  <si>
    <t>QC4139</t>
  </si>
  <si>
    <t>Cultura Inclusión y Dignidad: Participación Cultural desde la Igualdad Sustantiva</t>
  </si>
  <si>
    <t>Eventos culturales con perspectiva de género y enfoque de derechos humanos, dirigidos a mujeres, niñas, niños y adolescentes, así como a sus redes de cuidado (laboratorios, pensatorios y talleres)</t>
  </si>
  <si>
    <t>Personas atendidas</t>
  </si>
  <si>
    <t>Asistentes a Festivales de música, artes visuales, infancias, artes vivas y literatura, incluye actividades escénicas, exposiciones, talleres, conciertos o experiencias participativas, incorporando a artistas y colectivos locales y nacionales.</t>
  </si>
  <si>
    <t>Asistentes y participantes de los festivales</t>
  </si>
  <si>
    <t>2.4.2 Seguridad alimentaria</t>
  </si>
  <si>
    <t>Participación de la Secretaría de Cultura del Estado de Guanajuato en ferias y mercados culturales estratégicos como ferias nacionales de arte, encuentros de galerías o bienales con componente de mercado</t>
  </si>
  <si>
    <t>Pabellones instalados</t>
  </si>
  <si>
    <t>Implementar un sistema estatal de buenas prácticas para replicar experiencias exitosas en todas las subregiones.</t>
  </si>
  <si>
    <t>Programa literario en los 46 municipios con actividades como lecturas, talleres, círculos, presentaciones y narración oral, promoviendo la lectura, la creación comunitaria y la difusión del fondo editorial estatal en coordinación con bibliotecas, casas de cultura y escuelas</t>
  </si>
  <si>
    <t>Promover visitas de autores locales, regionales y nacionales a las escuelas.</t>
  </si>
  <si>
    <t>Desarrollar investigación de la oferta cultural.</t>
  </si>
  <si>
    <t>Programa expositivo estatal, mediante la circulación y montaje de contenidos visuales y patrimoniales, en espacios culturales y municipales, con exposiciones de arte contemporáneo, fotografía, gráfica y cultura regional, acompañadas de mediación, visitas comentadas y actividades educativas</t>
  </si>
  <si>
    <t>2.4.3.4 Actividades culturales en colonias y comunidades rurales</t>
  </si>
  <si>
    <t>QC4143</t>
  </si>
  <si>
    <t>Fortalecimiento Integral de la Banda de Música del Estado de Guanajuato</t>
  </si>
  <si>
    <t>Adquisición de instrumentos musicales (percusiones) para la Banda de Música del Estado de Guanajuato</t>
  </si>
  <si>
    <t>Instrumentos musicales entregados</t>
  </si>
  <si>
    <t>Promover alianzas para implementar programas de certificación regionales.</t>
  </si>
  <si>
    <t>QC4051</t>
  </si>
  <si>
    <t>SUBSECRETARÍA DE DESARROLLO COMUNITARIO Y PROMOCIÓN PATRIMONIAL  </t>
  </si>
  <si>
    <t>DIRECCIÓN GENERAL DE FORMACIÓN E INVESTIGACIÓN  </t>
  </si>
  <si>
    <t>Instituciones Estatales de Cultura</t>
  </si>
  <si>
    <t>Apoyos económicos para el desarrollo de proyectos artísticos y culturales coordinados por la Secretaría de Cultura estatal</t>
  </si>
  <si>
    <t>Proyectos desarrollados</t>
  </si>
  <si>
    <t>Casas de cultura itinerantes: unidades móviles para acercar talleres de expresiones artísticas a zonas marginadas.</t>
  </si>
  <si>
    <t>DIRECCIÓN GENERAL DE PATRIMONIO CULTURAL  </t>
  </si>
  <si>
    <t>Generar laboratorios de experimentación e intercambio de saberes, técnicas y experiencias.</t>
  </si>
  <si>
    <t>Acciones de preservación de la zona Arqueológica Cañada de la Virgen en San Miguel de Allende.</t>
  </si>
  <si>
    <t>Intervenciones realizadas</t>
  </si>
  <si>
    <t>Crear un micrositio ligado a la página web de la Secretaría de Cultura con información de la oferta disponible.</t>
  </si>
  <si>
    <t>QC4043</t>
  </si>
  <si>
    <t>Preservación de Zonas Arqueológicas de Guanajuato, Sitio Arqueológico El Cóporo</t>
  </si>
  <si>
    <t>Atención a personas para conocer el Sitio Arqueológico El Cóporo en Ocampo, tanto de forma presencial  como  medios a a través  de recorridos virtuales y fotografías de 360 grados además de actividades complementarias</t>
  </si>
  <si>
    <t>Intervenciones para rehabilitar y preservar el Sitio Arqueológico de  El Cóporo, Ocampo, Gto.</t>
  </si>
  <si>
    <t>Colaborar a través de la red global de mentores para fortalecer proyectos de industrias creativas.</t>
  </si>
  <si>
    <t>QC4044</t>
  </si>
  <si>
    <t>Preservación de Zonas Arqueológicas de Guanajuato, Cerro de los Remedios</t>
  </si>
  <si>
    <t>Intervenciones para rehabilitar y preservar el Sitio Arqueológico de Cerro de los Remedios, Comonfort, Gto.</t>
  </si>
  <si>
    <t>Implementar el Fondo Estatal para la Cultura y las Artes.</t>
  </si>
  <si>
    <t>Preservación  de Zonas Arqueológicas de Guanajuato, Sitio Arqueológico Plazuelas</t>
  </si>
  <si>
    <t>Atención a personas para conocer el Sitio Arqueológico Plazuelas en Pénjamo, tanto de forma presencial  y virtual por medios electrónicos.</t>
  </si>
  <si>
    <t>Intervenciones para rehabilitar y preservar el Sitio Arqueológico de Plazuelas, Pénjamo, Gto.</t>
  </si>
  <si>
    <t>QC4046</t>
  </si>
  <si>
    <t>Preservación de Zonas Arqueológicas de Guanajuato, Sitio Arqueológico Peralta</t>
  </si>
  <si>
    <t>Atención a personas para conocer el Sitio Arqueológico Peralta en Abasolo, tanto de forma presencial  y virtual por medios electrónicos.</t>
  </si>
  <si>
    <t>Intervenciones para rehabilitar y preservar el Sitio Arqueológico Peralta, Abasolo, Gto.</t>
  </si>
  <si>
    <t>Crear una cartografía cultural que incluya un directorio de agentes culturales.</t>
  </si>
  <si>
    <t>QC4048</t>
  </si>
  <si>
    <t>Preservación de Zonas Arqueológicas de Guanajuato, Arroyo Seco en Victoria</t>
  </si>
  <si>
    <t>Atención a personas para conocer el Sitio Arqueológico Arroyo seco en Victoria, tanto de forma presencial y por medios electrónicos</t>
  </si>
  <si>
    <t>Intervenciones para rehabilitar y preservar la zona Arqueológica Arroyo seco en Victoria</t>
  </si>
  <si>
    <t>Consolidación de los circuitos intermunicipales de circulación cultural.</t>
  </si>
  <si>
    <t>Crear rutas culturales con enfoque en diversidad lingüística, étnica y generacional.</t>
  </si>
  <si>
    <t>Lograr que al menos 30% de los proyectos beneficiados con estímulos públicos estatales tengan circulación intermunicipal.</t>
  </si>
  <si>
    <t>Crear un programa estatal de residencias colaborativas entre artistas.</t>
  </si>
  <si>
    <t>Reconocer a portadoras y portadores de saberes como patrimonio vivo.</t>
  </si>
  <si>
    <t>Rehabilitación y mantenimiento de espacios interiores y exteriores, el Claustro Mayor del ex convento Fray Juan de Sahagún, en Salamanca</t>
  </si>
  <si>
    <t>Acciones realizadas</t>
  </si>
  <si>
    <t>Ampliar las actividades de documentación, divulgación y difusión de patrimonio material e inmaterial.</t>
  </si>
  <si>
    <t>Desarrollar materiales informativos y sensibilizar a las comunidades desde una perspectiva de patrimonio vivo.</t>
  </si>
  <si>
    <t>Ampliar los mecanismos de gobernanza para el uso de espacios y servicios culturales.</t>
  </si>
  <si>
    <t>QC4061</t>
  </si>
  <si>
    <t>Programa de Estímulos a la Creación y Desarrollo Artístico</t>
  </si>
  <si>
    <t>Apoyos económicos para el desarrollo de proyectos artísticos en alguna de las siguientes disciplinas: artes plásticas, danza, literatura, medios audiovisuales y alternativos, música, patrimonio cultural o teatro</t>
  </si>
  <si>
    <t>Apoyos otorgados</t>
  </si>
  <si>
    <t>QC4062</t>
  </si>
  <si>
    <t>Programa de Apoyo a las Culturas Municipales y Comunitarias PACMYC</t>
  </si>
  <si>
    <t>Apoyos económicos para el desarrollo de proyectos culturales o intervenciones culturales comunitarias dirigidos a personas portadoras de la cultura popular</t>
  </si>
  <si>
    <t>QC4055</t>
  </si>
  <si>
    <t>DIRECCIÓN GENERAL DE EDITORIAL Y PUBLICACIONES  </t>
  </si>
  <si>
    <t>Adquisición de equipos</t>
  </si>
  <si>
    <t>Equipos adquiridos</t>
  </si>
  <si>
    <t>Modernización de librería</t>
  </si>
  <si>
    <t>Librería modernizada</t>
  </si>
  <si>
    <t>Impulso al desarrollo de proyectos culturales sostenibles.</t>
  </si>
  <si>
    <t>Realizar vinculaciones para promover una red de mentorías para la consolidación de modelos de negocio cultural.</t>
  </si>
  <si>
    <t>Lograr un incremento anual del 15% de agentes culturales dentro de procesos de comercialización</t>
  </si>
  <si>
    <t>Equipamiento librería forum</t>
  </si>
  <si>
    <t>Librería equipada</t>
  </si>
  <si>
    <t>Realizar convenios y colaboraciones para facilitar el acceso a microcréditos y financiamiento mixto (público–privado) para iniciativas culturales con impacto económico y social.</t>
  </si>
  <si>
    <t>Equipar con mobiliario el espacio de la librería institucional en el Fórum, para fortalecer su gestión como un foro cultural vivo, versátil y moderno</t>
  </si>
  <si>
    <t>Equipamiento de librería realizado</t>
  </si>
  <si>
    <t>Vincular nuevas unidades de negocios culturales con redes estatales y nacionales de economía</t>
  </si>
  <si>
    <t>Crear un Fondo Estatal de Innovación y Escalamiento Cultural, que apoye a emprendimientos con potencial de crecimiento mediante inversión semilla, incubación y aceleración de proyectos culturales.</t>
  </si>
  <si>
    <t>QA4095</t>
  </si>
  <si>
    <t>Rehabilitación, Adecuación y Equipamiento del Teatro Juárez</t>
  </si>
  <si>
    <t>Proyecto Integral para la instalación del sistema de agua nebulizada y obras adicionales del sistema contra incendios en el Teatro Juárez</t>
  </si>
  <si>
    <t>Metros cuadrados</t>
  </si>
  <si>
    <t>Identificar oportunidades de negocios y llevar a cabo conexiones industriales (encuentros de negocios).</t>
  </si>
  <si>
    <t>QB4208</t>
  </si>
  <si>
    <t>Conservación del Patrimonio Histórico Guanajuatense</t>
  </si>
  <si>
    <t>Restauración de pinturas de Caballete de la capilla del Çrosario del Santuario de Jesís de Nazareno, Atotonilco, San Miguel de Allende</t>
  </si>
  <si>
    <t>Promover el registro de obras artísticas y proyectos creativos ante el Instituto Nacional del Derecho de Autor (INDAUTOR) u otras instancias competentes.</t>
  </si>
  <si>
    <t>Realizar talleres regionales de sensibilización y capacitación sobre derechos de autor dirigidos a creadores locales.</t>
  </si>
  <si>
    <t>Restauración de la escultura de San Cayetano de Thiene, Templo de San Cayetano, Mineral de Valenciana en Guanajuato</t>
  </si>
  <si>
    <t>Implementar jornadas itinerantes de registro de obras artísticas en colaboración con INDAUTOR, especialmente en municipios con menor acceso a servicios administrativos</t>
  </si>
  <si>
    <t>Conservación de los retablos del Templo de San Juan de Sahagún en Salamanca</t>
  </si>
  <si>
    <t>Crear un micrositio estatal con recursos, tutoriales y asesoría virtual sobre derechos de autor y propiedad intelectual.</t>
  </si>
  <si>
    <t>Restauración de la fachada principal de la Catedral Basílica de León</t>
  </si>
  <si>
    <t>PB3576</t>
  </si>
  <si>
    <t>COORDINACIÓN DE COMUNICACIÓN SOCIAL</t>
  </si>
  <si>
    <t>Comunicación y difusión cultural</t>
  </si>
  <si>
    <t>Gestión para la realización de campañas de difusión de actividades culturales.</t>
  </si>
  <si>
    <t>Campañas gestionadas.</t>
  </si>
  <si>
    <t>Realizar mesas de trabajo sobre el mejoramiento de las condiciones laborales del sector.</t>
  </si>
  <si>
    <t>Gestión para la realización de campañas de difusión Institucional.</t>
  </si>
  <si>
    <t>Generar un censo y registro actualizado de agentes culturales para orientar políticas públicas de empleo y profesionalización</t>
  </si>
  <si>
    <t>Elaboración del documento del Plan Anual de Comunicación de la Secretaría de Cultura.</t>
  </si>
  <si>
    <t>Plan realizado</t>
  </si>
  <si>
    <t>PB3575</t>
  </si>
  <si>
    <t>Impulso de la Economía Creativa e Inteligencia Cultural</t>
  </si>
  <si>
    <t>Cursos y talleres especializados orientados a fortalecer los factores clave para el crecimiento de las economías creativas para agentes culturales</t>
  </si>
  <si>
    <t>Cursos y Talleres realizados</t>
  </si>
  <si>
    <t>Colaboraciones con instituciones educativas, organismos empresariales y entidades públicas para desarrollar programas de capacitación y mentoría en los ámbitos de las economías creativas.</t>
  </si>
  <si>
    <t>Colaboraciones realizadas</t>
  </si>
  <si>
    <t>Encuentros temáticos de diálogo y reflexión, presenciales o virtuales, en distintos ámbitos de las economías creativas (ejemplo: diseño y moda; gastronomía y artesanías; música y artes escénicas), fomentando la generación de redes y propuestas de política pública.</t>
  </si>
  <si>
    <t>DIRECCIÓN GENERAL DE VINCULACIÓN Y DESARROLLO CULTURAL  </t>
  </si>
  <si>
    <t>PB3563</t>
  </si>
  <si>
    <t>Coordinación y vinculación de redes de mediación cultural municipal</t>
  </si>
  <si>
    <t>Apoyos especiales a organismos culturales municipales</t>
  </si>
  <si>
    <t>Actividades colaborativas de la red de identidad cultura y memoria</t>
  </si>
  <si>
    <t>Visitas escolares a zonas arqueológicas y recintos culturales del estado para impulsar aprendizajes significativos en alumnos de educación básica</t>
  </si>
  <si>
    <t>Visitas realizadas</t>
  </si>
  <si>
    <t>Actividades de promoción y animación lectora para público en general</t>
  </si>
  <si>
    <t>Encuentros y capacitaciones del personal bibliotecario incorporado a la red estatal de bibliotecas públicas del estado de Guanajuato</t>
  </si>
  <si>
    <t>Encuentros y capacitaciones realizadas</t>
  </si>
  <si>
    <t>PB3564</t>
  </si>
  <si>
    <t>Proyectos culturales interinstitucionales y comunitarios dirigidos a públicos vulnerables</t>
  </si>
  <si>
    <t>Proyectos realizados</t>
  </si>
  <si>
    <t>Proyectos socioculturales en barrios, colonias, periferias y/o comunidades</t>
  </si>
  <si>
    <t>Encuentros de lectores y círculos de lectura para usuarios de la red estatal de bibliotecas públicas</t>
  </si>
  <si>
    <t>Encuentros y círculos realizados</t>
  </si>
  <si>
    <t>Programa y listado de asistentes al Curso del Patrimonio cultural tangible del estado de Guanajuato</t>
  </si>
  <si>
    <t>Curso realizado</t>
  </si>
  <si>
    <t>Acta de entrega recepción de las acciones de mantenimiento menor a los inmuebles bajo el resguardo de la Secretaría de Cultura</t>
  </si>
  <si>
    <t>Acciones de mantenimiento menor realizadas</t>
  </si>
  <si>
    <t>PB3566</t>
  </si>
  <si>
    <t>Fortalecimiento y divulgación del Patrimonio Arqueológico a través de los Centros de Atención a Visitantes</t>
  </si>
  <si>
    <t>Charlas y conferencias del patrimonio arqueológico del Estado de Guanajuato.</t>
  </si>
  <si>
    <t>Charlas y conferencias realizadas.</t>
  </si>
  <si>
    <t>Ferias de la cocina tradicional y/o de la artesanía del Estado de Guanajuato en los sitios arqueológicos en coordinación con otras instituciones privadas y de gobierno.</t>
  </si>
  <si>
    <t>Ferias de la cocina tradicional y de la artesanía realizadas.</t>
  </si>
  <si>
    <t>Evento de Equinoccio y/o Solsticio en los sitios arqueológicos del Estado de Guanajuato.</t>
  </si>
  <si>
    <t>Equinoccio y/o Solsticios astronómicas realizados.</t>
  </si>
  <si>
    <t>Talleres lúdicos interactivos para difundir el patrimonio arqueológico del Estado de Guanajuato.</t>
  </si>
  <si>
    <t>Talleres lúdicos interactivos realizados</t>
  </si>
  <si>
    <t>Exposiciones del patrimonio arqueológico del Estado de Guanajuato.</t>
  </si>
  <si>
    <t>Exposiciones realizadas.</t>
  </si>
  <si>
    <t>Residencias, Laboratorios, tutorías de cruces disciplinares de la experimentación e investigación artística. Artes vivas.</t>
  </si>
  <si>
    <t>Laboratorios y residencias artísticas realizadas</t>
  </si>
  <si>
    <t>DIRECCIÓN GENERAL DE PRODUCCIÓN ARTÍSTICA  </t>
  </si>
  <si>
    <t>Circulación de creadores y artistas guanajuatenses en el país y el extranjero.</t>
  </si>
  <si>
    <t>Circulación de creadores y artistas guanajuatenses</t>
  </si>
  <si>
    <t>PB3570</t>
  </si>
  <si>
    <t>Vinculación y Gestión para la realización del Festival Internacional Cervantino</t>
  </si>
  <si>
    <t>Equipos de apoyo de gobierno del estado coordinados para las actividades operativas y de logistica encaminadas a la realización del festival</t>
  </si>
  <si>
    <t>Equipos de apoyo coordinados</t>
  </si>
  <si>
    <t>Foro virtual de libro con invitados nacionales e internacionales</t>
  </si>
  <si>
    <t>Foro realizado</t>
  </si>
  <si>
    <t>DIRECCIÓN GENERAL DE MUSEOS, ARTES VISUALES Y EXPOSICIONES  </t>
  </si>
  <si>
    <t>Mantenimiento de los museos adscritos a la Secretaria de Cultura</t>
  </si>
  <si>
    <t>Reportes de mantenimiento realizado</t>
  </si>
  <si>
    <t>PB3571</t>
  </si>
  <si>
    <t>DIRECCIÓN GENERAL DE FORUM  </t>
  </si>
  <si>
    <t>Gestión de programa de Actividades Artísticas y Culturales del FORUM</t>
  </si>
  <si>
    <t>Programa anual de actividades artísticas y culturales de la Dirección General del Forum</t>
  </si>
  <si>
    <t>Programa realizado</t>
  </si>
  <si>
    <t>Actividades artísticas y culturales: escénicas, comunitarias, incluyentes, formativas, extramuros de la Dirección General del Forum durante el año</t>
  </si>
  <si>
    <t>Actividades públicas y privadas realizadas en el Forum, solicitadas por terceros</t>
  </si>
  <si>
    <t>Mantenimiento preventivo y correctivo a la infraestructura y equipos de la Dirección General del Forum para su correcto funcionamiento</t>
  </si>
  <si>
    <t>Mantenimiento Preventivo y Correctivo Realizado</t>
  </si>
  <si>
    <t>No binario</t>
  </si>
  <si>
    <t>Personas con Discapacidad</t>
  </si>
  <si>
    <t>Apaseo el Alto</t>
  </si>
  <si>
    <t>Atarjea</t>
  </si>
  <si>
    <t>Celaya</t>
  </si>
  <si>
    <t>Coroneo</t>
  </si>
  <si>
    <t>Cortazar</t>
  </si>
  <si>
    <t>Irapuato</t>
  </si>
  <si>
    <t>Moroleón</t>
  </si>
  <si>
    <t>Ocampo</t>
  </si>
  <si>
    <t>Pénjamo</t>
  </si>
  <si>
    <t>Pueblonuevo</t>
  </si>
  <si>
    <t>Romita</t>
  </si>
  <si>
    <t>San Diego de la Unión</t>
  </si>
  <si>
    <t>San José Iturbide</t>
  </si>
  <si>
    <t>Santa Cruz de Juventino Rosas</t>
  </si>
  <si>
    <t>Santiago Maravatío</t>
  </si>
  <si>
    <t>Tarandacuao</t>
  </si>
  <si>
    <t>Tarimoro</t>
  </si>
  <si>
    <t>Victoria</t>
  </si>
  <si>
    <t>Xichú</t>
  </si>
  <si>
    <t>Yuriria</t>
  </si>
  <si>
    <t>ID_Comunidad</t>
  </si>
  <si>
    <t>Zap_Nuevo_Comienzo</t>
  </si>
  <si>
    <t>San Telmo de Roa</t>
  </si>
  <si>
    <t>ZP1</t>
  </si>
  <si>
    <t>ABASOLO 1 CENTRO</t>
  </si>
  <si>
    <t>Rancho Nuevo de la Cruz</t>
  </si>
  <si>
    <t>ZP2</t>
  </si>
  <si>
    <t>ABASOLO 2 EL SAUCILLO</t>
  </si>
  <si>
    <t>ZP3</t>
  </si>
  <si>
    <t>ACÁMBARO 3 ZONA CENTRO</t>
  </si>
  <si>
    <t>Alto de Chamacua</t>
  </si>
  <si>
    <t>ZP4</t>
  </si>
  <si>
    <t>ACÁMBARO 4 SAN ISIDRO</t>
  </si>
  <si>
    <t>Iramuco</t>
  </si>
  <si>
    <t>APASEO EL ALTO 5 ZONA CENTRO SUR</t>
  </si>
  <si>
    <t>Acambaro</t>
  </si>
  <si>
    <t>APASEO EL GRANDE 6 ZONA CENTRO</t>
  </si>
  <si>
    <t>APASEO EL GRANDE 7 FRACC FUENTES DE BALVANERA</t>
  </si>
  <si>
    <t>Los Rodriguez</t>
  </si>
  <si>
    <t>CELAYA 8 ZONA CENTRO</t>
  </si>
  <si>
    <t>CELAYA 9 EMILIANO ZAPATA</t>
  </si>
  <si>
    <t>Caleras de Amexhe</t>
  </si>
  <si>
    <t>CELAYA 10 EJIDAL</t>
  </si>
  <si>
    <t>CELAYA 11 SAN JUAN DE LA VEGA</t>
  </si>
  <si>
    <t>San Jose Agua Azul</t>
  </si>
  <si>
    <t>CELAYA 12 DEL BOSQUE</t>
  </si>
  <si>
    <t>El Durazno</t>
  </si>
  <si>
    <t>CELAYA 13 SAN JUANICO</t>
  </si>
  <si>
    <t>CELAYA 14 LOS OLIVOS SEGUNDA SECCION</t>
  </si>
  <si>
    <t>CELAYA 15 VALLE HERMOSO</t>
  </si>
  <si>
    <t>El Becerro</t>
  </si>
  <si>
    <t>CELAYA 16 INDUSTRIAL</t>
  </si>
  <si>
    <t>CELAYA 17 ARBOLEDAS DE SAN RAFAEL</t>
  </si>
  <si>
    <t>San Josede Bellavista</t>
  </si>
  <si>
    <t>COMONFORT 18 ZONA CENTRO</t>
  </si>
  <si>
    <t>CORTAZAR 19 CENTRO</t>
  </si>
  <si>
    <t>Empalme Escobedo</t>
  </si>
  <si>
    <t>CORTAZAR 20 FELIPE CARRILLO PUERTO</t>
  </si>
  <si>
    <t>Neutla</t>
  </si>
  <si>
    <t>DOLORES HIDALGO, C.I.N. 21 CENTRO</t>
  </si>
  <si>
    <t>Orduña de Arriba</t>
  </si>
  <si>
    <t>DOLORES HIDALGO, C.I.N. 22 LINDAVISTA</t>
  </si>
  <si>
    <t>DOLORES HIDALGO, C.I.N. 23 MARIANO BALLEZA</t>
  </si>
  <si>
    <t>La Cañada</t>
  </si>
  <si>
    <t>GUANAJUATO 24 CENTRO</t>
  </si>
  <si>
    <t>GUANAJUATO 25 DEL PANTEON</t>
  </si>
  <si>
    <t>Merino</t>
  </si>
  <si>
    <t>GUANAJUATO 26 SANTA TERESA</t>
  </si>
  <si>
    <t>La Gavia</t>
  </si>
  <si>
    <t>IRAPUATO 27 LAS AMERICAS</t>
  </si>
  <si>
    <t>Cañada de Caracheo</t>
  </si>
  <si>
    <t>IRAPUATO 28 VILLAS DE SAN CAYETANO</t>
  </si>
  <si>
    <t>IRAPUATO 29 DE SAN JOSE</t>
  </si>
  <si>
    <t>San Gregorio</t>
  </si>
  <si>
    <t>IRAPUATO 30 SAN MIGUELITO</t>
  </si>
  <si>
    <t>IRAPUATO 31 LAS HERAS</t>
  </si>
  <si>
    <t>La Noria</t>
  </si>
  <si>
    <t>IRAPUATO 32 DE SAN VICENTE</t>
  </si>
  <si>
    <t>Dolores Hidalgo CIN</t>
  </si>
  <si>
    <t>Refugio de Trancas</t>
  </si>
  <si>
    <t>IRAPUATO 33 NUEVO MÉXICO</t>
  </si>
  <si>
    <t>Dolores Hidalgo</t>
  </si>
  <si>
    <t>IRAPUATO 34 GANADERA</t>
  </si>
  <si>
    <t>Rio Laja</t>
  </si>
  <si>
    <t>IRAPUATO 35 CENTRO HISTORICO (ZONA CENTRO)</t>
  </si>
  <si>
    <t>IRAPUATO 36 VALLE RESIDENCIAL EXPO-FRESAS</t>
  </si>
  <si>
    <t>Santa Teresa</t>
  </si>
  <si>
    <t>JARAL DEL PROGRESO 37 CENTRO</t>
  </si>
  <si>
    <t>Puentecillas</t>
  </si>
  <si>
    <t>LEÓN 38 LEON 1</t>
  </si>
  <si>
    <t>Yerbabuena</t>
  </si>
  <si>
    <t>LEÓN 39 VILLAS DE SAN JUAN</t>
  </si>
  <si>
    <t>Marfil</t>
  </si>
  <si>
    <t>ZP5</t>
  </si>
  <si>
    <t>LEÓN 40 SAN FELIPE DE JESUS</t>
  </si>
  <si>
    <t>LEÓN 41 BRISAS DEL CAMPESTRE</t>
  </si>
  <si>
    <t>San Cristobal</t>
  </si>
  <si>
    <t>LEÓN 42 DE SAN MIGUEL</t>
  </si>
  <si>
    <t>Irapuato Zona 1</t>
  </si>
  <si>
    <t>LEÓN 43 ZONA CENTRO</t>
  </si>
  <si>
    <t>Irapuato Zona 2</t>
  </si>
  <si>
    <t>LEÓN 44 OBREGON</t>
  </si>
  <si>
    <t>Irapuato Zona 3</t>
  </si>
  <si>
    <t>LEÓN 45 DEL COECILLO</t>
  </si>
  <si>
    <t>Irapuato Zona 4</t>
  </si>
  <si>
    <t>LEÓN 46 10 DE MAYO</t>
  </si>
  <si>
    <t>Irapuato Zona 5</t>
  </si>
  <si>
    <t>LEÓN 47 JARDINES DE JEREZ</t>
  </si>
  <si>
    <t>Irapuato Zona 6</t>
  </si>
  <si>
    <t>ZP6</t>
  </si>
  <si>
    <t>LEÓN 48 SAN JUAN BOSCO</t>
  </si>
  <si>
    <t>Irapuato Zona 7</t>
  </si>
  <si>
    <t>ZP7</t>
  </si>
  <si>
    <t>LEÓN 49 CHAPALITA</t>
  </si>
  <si>
    <t>Irapuato Zona 8</t>
  </si>
  <si>
    <t>ZP8</t>
  </si>
  <si>
    <t>LEÓN 50 PARQUE LA NORIA</t>
  </si>
  <si>
    <t>Irapuato Zona 9</t>
  </si>
  <si>
    <t>ZP9</t>
  </si>
  <si>
    <t>LEÓN 51 PASEOS DEL MOLINO</t>
  </si>
  <si>
    <t>Irapuato Zona 10</t>
  </si>
  <si>
    <t>ZP10</t>
  </si>
  <si>
    <t>LEÓN 52 SANTA MARIA DEL GRANJENO</t>
  </si>
  <si>
    <t>Irapuato Zona 11</t>
  </si>
  <si>
    <t>ZP11</t>
  </si>
  <si>
    <t>LEÓN 53 SAN FRANCISCO 2A SECC</t>
  </si>
  <si>
    <t>Irapuato Zona 12</t>
  </si>
  <si>
    <t>ZP12</t>
  </si>
  <si>
    <t>LEÓN 54 OBRERA</t>
  </si>
  <si>
    <t>Irapuato Zona 13</t>
  </si>
  <si>
    <t>ZP13</t>
  </si>
  <si>
    <t>LEÓN 55 PASEO DE LAS TORRES</t>
  </si>
  <si>
    <t>Irapuato Zona 14</t>
  </si>
  <si>
    <t>ZP14</t>
  </si>
  <si>
    <t>LEÓN 56 LAS MARGARITAS</t>
  </si>
  <si>
    <t>Irapuato Zona 15</t>
  </si>
  <si>
    <t>ZP15</t>
  </si>
  <si>
    <t>LEÓN 57 LEON II</t>
  </si>
  <si>
    <t>Irapuato Zona 16</t>
  </si>
  <si>
    <t>ZP16</t>
  </si>
  <si>
    <t>LEÓN 58 PILETAS I Y II</t>
  </si>
  <si>
    <t>Irapuato Zona 17</t>
  </si>
  <si>
    <t>ZP17</t>
  </si>
  <si>
    <t>LEÓN 59 LOS ANGELES</t>
  </si>
  <si>
    <t>LEÓN 60 LOS LOPEZ</t>
  </si>
  <si>
    <t>LEÓN 61 VISTA HERMOSA SUR (LOMAS DE VISTA HERMOSA)</t>
  </si>
  <si>
    <t>LEÓN 62 CERRITO DE JEREZ</t>
  </si>
  <si>
    <t>LEÓN 63 VALLE DE SEÑORA</t>
  </si>
  <si>
    <t>LA LOMITA</t>
  </si>
  <si>
    <t>LEÓN 64 LA SOLEDAD</t>
  </si>
  <si>
    <t>EL TECUAN</t>
  </si>
  <si>
    <t>MANUEL DOBLADO 65 ZONA CENTRO</t>
  </si>
  <si>
    <t>LOZA DE LOS PADRES</t>
  </si>
  <si>
    <t>MOROLEÓN 66 ZONA CENTRO</t>
  </si>
  <si>
    <t>MEDINA DE ALFARO</t>
  </si>
  <si>
    <t>PÉNJAMO 67 ZONA CENTRO</t>
  </si>
  <si>
    <t>RIVERA DE MEDINA</t>
  </si>
  <si>
    <t>PÉNJAMO 68 LAZARO CARDENAS</t>
  </si>
  <si>
    <t>LEON 1</t>
  </si>
  <si>
    <t>PÉNJAMO 69 JUAREZ</t>
  </si>
  <si>
    <t>EL CHEPINQUE</t>
  </si>
  <si>
    <t>PURÍSIMA DEL RINCÓN 70 MONTE GRANDE (JARDINES DE PURISIMA)</t>
  </si>
  <si>
    <t>PRESA DEL RIEGO</t>
  </si>
  <si>
    <t>ROMITA 71 ZONA CENTRO</t>
  </si>
  <si>
    <t>CANTARRANAS</t>
  </si>
  <si>
    <t>SALAMANCA 72 CENTRO</t>
  </si>
  <si>
    <t xml:space="preserve">BRISAS DEL CAMPESTRE </t>
  </si>
  <si>
    <t>SALAMANCA 73 VALTIERRILLA</t>
  </si>
  <si>
    <t>PASEO DE LOS LAURELES</t>
  </si>
  <si>
    <t>SALAMANCA 74 BELLAVISTA</t>
  </si>
  <si>
    <t>SIN COLONIAS</t>
  </si>
  <si>
    <t>SALAMANCA 75 SAN JAVIER</t>
  </si>
  <si>
    <t>LAS JOYAS</t>
  </si>
  <si>
    <t>SALAMANCA 76 GUANAJUATO</t>
  </si>
  <si>
    <t>PASEOS DE LA JARDIN</t>
  </si>
  <si>
    <t>SALVATIERRA 77 ZONA CENTRO</t>
  </si>
  <si>
    <t>VILLAS DE LOURDES</t>
  </si>
  <si>
    <t>SALVATIERRA 78 AQUILES SERDAN (SAN PEDRO DE LOS NARANJOS)</t>
  </si>
  <si>
    <t>SANTA CECILIA</t>
  </si>
  <si>
    <t>SAN DIEGO DE LA UNIÓN 79 CENTRO</t>
  </si>
  <si>
    <t>SAN JUAN BOSCO</t>
  </si>
  <si>
    <t>SAN FELIPE 80 SAN MIGUEL</t>
  </si>
  <si>
    <t>LAS MARGARITAS</t>
  </si>
  <si>
    <t>SAN FELIPE 81 CENTRO</t>
  </si>
  <si>
    <t>SAN ISIDRO</t>
  </si>
  <si>
    <t>SAN FRANCISCO DEL RINCÓN 82 ZONA CENTRO</t>
  </si>
  <si>
    <t>SANTA MARIA DEL GRANJENO</t>
  </si>
  <si>
    <t>SAN FRANCISCO DEL RINCÓN 83 SAN MIGUEL</t>
  </si>
  <si>
    <t>SAN JOSE DEL CONSUELO</t>
  </si>
  <si>
    <t>SAN JOSÉ ITURBIDE 84 ZONA CENTRO</t>
  </si>
  <si>
    <t>LAS MANDARINAS</t>
  </si>
  <si>
    <t>SAN LUIS DE LA PAZ 85 MISION DE CHICHIMECAS</t>
  </si>
  <si>
    <t>LOMAS DE LA CRUZ</t>
  </si>
  <si>
    <t>SAN LUIS DE LA PAZ 86 ZONA CENTRO</t>
  </si>
  <si>
    <t>VILLAS DEL COUNTRY</t>
  </si>
  <si>
    <t>SAN MIGUEL DE ALLENDE 87 ZONA CENTRO</t>
  </si>
  <si>
    <t>PASEO DE LAS TORRES</t>
  </si>
  <si>
    <t>SAN MIGUEL DE ALLENDE 88 ADOLFO LOPEZ MATEOS</t>
  </si>
  <si>
    <t>CERRITO DE JEREZ</t>
  </si>
  <si>
    <t>SAN MIGUEL DE ALLENDE 89 SAN ANTONIO</t>
  </si>
  <si>
    <t>LA FLORIDA</t>
  </si>
  <si>
    <t>SANTA CRUZ DE JUVENTINO ROSAS 90 ZONA CENTRO</t>
  </si>
  <si>
    <t>EL CARMEN</t>
  </si>
  <si>
    <t>SILAO 91 ZONA CENTRO</t>
  </si>
  <si>
    <t>SAN MIGUEL</t>
  </si>
  <si>
    <t>SILAO 92 SOPEÑA</t>
  </si>
  <si>
    <t>SANTA CROIX</t>
  </si>
  <si>
    <t>SILAO 93 BRISAS DEL RIO</t>
  </si>
  <si>
    <t>LA ESPERANZA</t>
  </si>
  <si>
    <t>TARIMORO 94 ZONA CENTRO</t>
  </si>
  <si>
    <t>LOS CASTILLOS</t>
  </si>
  <si>
    <t>URIANGATO 95 ZONA CENTRO</t>
  </si>
  <si>
    <t>VILLAS DEL SOL</t>
  </si>
  <si>
    <t>VALLE DE SANTIAGO 96 LA LOMA</t>
  </si>
  <si>
    <t>EL COECILLO</t>
  </si>
  <si>
    <t>VALLE DE SANTIAGO 97 CENTRO</t>
  </si>
  <si>
    <t>LAS PALMAS</t>
  </si>
  <si>
    <t>VILLAGRÁN 98 ZONA CENTRO</t>
  </si>
  <si>
    <t>LA INDIA</t>
  </si>
  <si>
    <t>VILLAGRÁN 99 SANTA ROSA DE LIMA</t>
  </si>
  <si>
    <t>LOS OLIVOS</t>
  </si>
  <si>
    <t>YURIRIA 100 ZONA CENTRO</t>
  </si>
  <si>
    <t>LAS ARBOLEDAS</t>
  </si>
  <si>
    <t>VILLAS DEL SOL 2</t>
  </si>
  <si>
    <t>LA ESPAÑOLA</t>
  </si>
  <si>
    <t>CUMBRES DE LA CIMA</t>
  </si>
  <si>
    <t>SAN MIGUEL ARCANGEL</t>
  </si>
  <si>
    <t>VILLAS DEL SAUCILLO</t>
  </si>
  <si>
    <t>BRISASDE LA GLORIA</t>
  </si>
  <si>
    <t>SAN MARCOS</t>
  </si>
  <si>
    <t>LOMAS DE ECHEVESTE</t>
  </si>
  <si>
    <t>LAS BUGAMBILIAS</t>
  </si>
  <si>
    <t>ZP18</t>
  </si>
  <si>
    <t>SAN PEDRO PLUS</t>
  </si>
  <si>
    <t>VALLE DE LEON</t>
  </si>
  <si>
    <t>LAS AMERICAS</t>
  </si>
  <si>
    <t>ZP19</t>
  </si>
  <si>
    <t>PASEOS DE LA CASTELLANA</t>
  </si>
  <si>
    <t>JARDINES DE ORIENTE</t>
  </si>
  <si>
    <t>PASEO DEL CAMPANARIO</t>
  </si>
  <si>
    <t>ZP20</t>
  </si>
  <si>
    <t>EL PALMAR</t>
  </si>
  <si>
    <t>VALLE DEL REAL</t>
  </si>
  <si>
    <t>Moroleon</t>
  </si>
  <si>
    <t>Pinicuaro</t>
  </si>
  <si>
    <t>Santa Barbara</t>
  </si>
  <si>
    <t>Penjamo</t>
  </si>
  <si>
    <t>La Estación</t>
  </si>
  <si>
    <t>La Madeja</t>
  </si>
  <si>
    <t>Pueblo Nuevo</t>
  </si>
  <si>
    <t>El Ranchito</t>
  </si>
  <si>
    <t>Jalpa de Canovas</t>
  </si>
  <si>
    <t>Santa Rosa de Rivas</t>
  </si>
  <si>
    <t>Valtierrilla</t>
  </si>
  <si>
    <t>Cardenas</t>
  </si>
  <si>
    <t>Urireo</t>
  </si>
  <si>
    <t>Jaral de Berrios</t>
  </si>
  <si>
    <t>La Cantera</t>
  </si>
  <si>
    <t>Mineral de Pozos</t>
  </si>
  <si>
    <t>Santa Cruz</t>
  </si>
  <si>
    <t>Santiago Maravatio</t>
  </si>
  <si>
    <t>Comanjilla</t>
  </si>
  <si>
    <t>Tarimoro_ZonaRural_ZP2</t>
  </si>
  <si>
    <t>Jaral del Refugio</t>
  </si>
  <si>
    <t>Suchitlan</t>
  </si>
  <si>
    <t>Santa Rosa</t>
  </si>
  <si>
    <t>Zona Centro</t>
  </si>
  <si>
    <t>Santa Monica</t>
  </si>
  <si>
    <t>ZAP_NC_SI/NO</t>
  </si>
  <si>
    <t>El Saucillo</t>
  </si>
  <si>
    <t>San Isidro</t>
  </si>
  <si>
    <t>Zona Centro Sur</t>
  </si>
  <si>
    <t>Fracc Fuentes de Balvanera</t>
  </si>
  <si>
    <t>Emiliano Zapata</t>
  </si>
  <si>
    <t>Ejidal</t>
  </si>
  <si>
    <t>San Juan de la Vega</t>
  </si>
  <si>
    <t>Del Bosque</t>
  </si>
  <si>
    <t>San Juanico</t>
  </si>
  <si>
    <t>Los Olivos Segunda Seccion</t>
  </si>
  <si>
    <t>Valle Hermoso</t>
  </si>
  <si>
    <t>Industrial</t>
  </si>
  <si>
    <t>Arboledas de San Rafael</t>
  </si>
  <si>
    <t>Felipe Carrillo Puerto</t>
  </si>
  <si>
    <t>Centro</t>
  </si>
  <si>
    <t>Lindavista</t>
  </si>
  <si>
    <t>Mariano Balleza</t>
  </si>
  <si>
    <t>Del Panteon</t>
  </si>
  <si>
    <t>Las Americas</t>
  </si>
  <si>
    <t>Villas de San Cayetano</t>
  </si>
  <si>
    <t>De San Jose</t>
  </si>
  <si>
    <t>San Miguelito</t>
  </si>
  <si>
    <t>ZP21</t>
  </si>
  <si>
    <t>Las Heras</t>
  </si>
  <si>
    <t>ZP22</t>
  </si>
  <si>
    <t>De San Vicente</t>
  </si>
  <si>
    <t>ZP23</t>
  </si>
  <si>
    <t>Nuevo México</t>
  </si>
  <si>
    <t>ZP24</t>
  </si>
  <si>
    <t>Ganadera</t>
  </si>
  <si>
    <t>ZP25</t>
  </si>
  <si>
    <t>Centro Historico (zona Centro)</t>
  </si>
  <si>
    <t>ZP26</t>
  </si>
  <si>
    <t>Valle Residencial Expo-fresas</t>
  </si>
  <si>
    <t>ZP27</t>
  </si>
  <si>
    <t>La Lomita</t>
  </si>
  <si>
    <t>El Tecuan</t>
  </si>
  <si>
    <t>Loza de los Padres</t>
  </si>
  <si>
    <t>Medina de Alfaro</t>
  </si>
  <si>
    <t>Rivera de Medina</t>
  </si>
  <si>
    <t>El Chepinque</t>
  </si>
  <si>
    <t>Presa del Riego</t>
  </si>
  <si>
    <t>Cantarranas</t>
  </si>
  <si>
    <t>Brisas del Campestre</t>
  </si>
  <si>
    <t>Paseo de los Laureles</t>
  </si>
  <si>
    <t>Sin Colonias</t>
  </si>
  <si>
    <t>Paseos de la Jardin</t>
  </si>
  <si>
    <t>Villas de Lourdes</t>
  </si>
  <si>
    <t>Santa Cecilia</t>
  </si>
  <si>
    <t>San Juan Bosco</t>
  </si>
  <si>
    <t>Las Margaritas</t>
  </si>
  <si>
    <t>Santa Maria del Granjeno</t>
  </si>
  <si>
    <t>San Jose del Consuelo</t>
  </si>
  <si>
    <t>Las Mandarinas</t>
  </si>
  <si>
    <t>Lomas de la Cruz</t>
  </si>
  <si>
    <t>Villas del Country</t>
  </si>
  <si>
    <t>Paseo de las Torres</t>
  </si>
  <si>
    <t>Cerrito de Jerez</t>
  </si>
  <si>
    <t>La Florida</t>
  </si>
  <si>
    <t>San Miguel</t>
  </si>
  <si>
    <t>Santa Croix</t>
  </si>
  <si>
    <t>La Esperanza</t>
  </si>
  <si>
    <t>Los Castillos</t>
  </si>
  <si>
    <t>Villas del Sol</t>
  </si>
  <si>
    <t>El Coecillo</t>
  </si>
  <si>
    <t>Las Palmas</t>
  </si>
  <si>
    <t>La India</t>
  </si>
  <si>
    <t>Los Olivos</t>
  </si>
  <si>
    <t>Las Arboledas</t>
  </si>
  <si>
    <t>Villas del Sol 2</t>
  </si>
  <si>
    <t>La Española</t>
  </si>
  <si>
    <t>Cumbres de la Cima</t>
  </si>
  <si>
    <t>San Miguel Arcangel</t>
  </si>
  <si>
    <t>Villas del Saucillo</t>
  </si>
  <si>
    <t>Brisasde la Gloria</t>
  </si>
  <si>
    <t>San Marcos</t>
  </si>
  <si>
    <t>Lomas de Echeveste</t>
  </si>
  <si>
    <t>Las Bugambilias</t>
  </si>
  <si>
    <t>San Pedro Plus</t>
  </si>
  <si>
    <t>Valle de Leon</t>
  </si>
  <si>
    <t>Paseos de la Castellana</t>
  </si>
  <si>
    <t>Jardines de Oriente</t>
  </si>
  <si>
    <t>Paseo del Campanario</t>
  </si>
  <si>
    <t>El Palmar</t>
  </si>
  <si>
    <t>Valle del Real</t>
  </si>
  <si>
    <t>Villas de San Juan</t>
  </si>
  <si>
    <t>ZP56</t>
  </si>
  <si>
    <t>San Felipe de Jesus</t>
  </si>
  <si>
    <t>ZP57</t>
  </si>
  <si>
    <t>De San Miguel</t>
  </si>
  <si>
    <t>ZP58</t>
  </si>
  <si>
    <t>ZP59</t>
  </si>
  <si>
    <t>Obregon</t>
  </si>
  <si>
    <t>ZP60</t>
  </si>
  <si>
    <t>Del Coecillo</t>
  </si>
  <si>
    <t>ZP61</t>
  </si>
  <si>
    <t>ZP62</t>
  </si>
  <si>
    <t>Jardines de Jerez</t>
  </si>
  <si>
    <t>ZP63</t>
  </si>
  <si>
    <t>Chapalita</t>
  </si>
  <si>
    <t>ZP64</t>
  </si>
  <si>
    <t>Parque la Noria</t>
  </si>
  <si>
    <t>ZP65</t>
  </si>
  <si>
    <t>Paseos del Molino</t>
  </si>
  <si>
    <t>ZP66</t>
  </si>
  <si>
    <t>San Francisco 2a Secc</t>
  </si>
  <si>
    <t>ZP67</t>
  </si>
  <si>
    <t>Obrera</t>
  </si>
  <si>
    <t>ZP68</t>
  </si>
  <si>
    <t>Leon Ii</t>
  </si>
  <si>
    <t>ZP69</t>
  </si>
  <si>
    <t>Piletas I y Ii</t>
  </si>
  <si>
    <t>ZP70</t>
  </si>
  <si>
    <t>Los Angeles</t>
  </si>
  <si>
    <t>ZP71</t>
  </si>
  <si>
    <t>Los Lopez</t>
  </si>
  <si>
    <t>ZP72</t>
  </si>
  <si>
    <t>Vista Hermosa Sur (lomas de Vista Hermosa)</t>
  </si>
  <si>
    <t>ZP73</t>
  </si>
  <si>
    <t>Valle de Señora</t>
  </si>
  <si>
    <t>ZP74</t>
  </si>
  <si>
    <t>La Soledad</t>
  </si>
  <si>
    <t>ZP75</t>
  </si>
  <si>
    <t>Monte Grande (jardines de Purisima)</t>
  </si>
  <si>
    <t>Lazaro Cardenas</t>
  </si>
  <si>
    <t>Juarez</t>
  </si>
  <si>
    <t>Bellavista</t>
  </si>
  <si>
    <t>San Javier</t>
  </si>
  <si>
    <t>Aquiles Serdan (san Pedro de los Naranjos)</t>
  </si>
  <si>
    <t>Mision de Chichimecas</t>
  </si>
  <si>
    <t>Adolfo Lopez Mateos</t>
  </si>
  <si>
    <t>San Antonio</t>
  </si>
  <si>
    <t>Sopeña</t>
  </si>
  <si>
    <t>Brisas del Rio</t>
  </si>
  <si>
    <t>Tarimoro_zonarural_zp2</t>
  </si>
  <si>
    <t>La Loma</t>
  </si>
  <si>
    <t>Santa Rosa de Lima</t>
  </si>
  <si>
    <t>Plazuelas</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</si>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</sst>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h:mm:ss"/>
    <numFmt numFmtId="165" formatCode="dd/mm/yyyy"/>
    <numFmt numFmtId="166" formatCode="d/m/yyyy\ h:mm:ss"/>
    <numFmt numFmtId="167" formatCode="d&quot; de &quot;mmmm"/>
  </numFmts>
  <fonts count="35">
    <font>
      <sz val="10"/>
      <color rgb="FF000000"/>
      <name val="Arial"/>
      <scheme val="minor"/>
    </font>
    <font>
      <b/>
      <sz val="10"/>
      <color rgb="FF1F1F1F"/>
      <name val="&quot;Google Sans&quot;"/>
    </font>
    <font>
      <b/>
      <sz val="10"/>
      <color theme="1"/>
      <name val="Google Sans"/>
    </font>
    <font>
      <b/>
      <sz val="10"/>
      <color rgb="FF1F1F1F"/>
      <name val="&quot;Google Sans&quot;"/>
    </font>
    <font>
      <b/>
      <sz val="10"/>
      <color theme="1"/>
      <name val="Arial"/>
      <family val="2"/>
      <scheme val="minor"/>
    </font>
    <font>
      <b/>
      <sz val="10"/>
      <color rgb="FFFFFFFF"/>
      <name val="&quot;Google Sans&quot;"/>
    </font>
    <font>
      <b/>
      <sz val="10"/>
      <color rgb="FF000000"/>
      <name val="Google Sans"/>
    </font>
    <font>
      <i/>
      <sz val="10"/>
      <color rgb="FF1F1F1F"/>
      <name val="&quot;Google Sans&quot;"/>
    </font>
    <font>
      <sz val="10"/>
      <color theme="1"/>
      <name val="Arial"/>
      <family val="2"/>
      <scheme val="minor"/>
    </font>
    <font>
      <b/>
      <i/>
      <sz val="10"/>
      <color theme="1"/>
      <name val="Google Sans"/>
    </font>
    <font>
      <b/>
      <i/>
      <sz val="10"/>
      <color rgb="FF1F1F1F"/>
      <name val="&quot;Google Sans&quot;"/>
    </font>
    <font>
      <b/>
      <i/>
      <sz val="10"/>
      <color rgb="FF1F1F1F"/>
      <name val="&quot;Google Sans&quot;"/>
    </font>
    <font>
      <b/>
      <i/>
      <sz val="10"/>
      <color theme="1"/>
      <name val="Arial"/>
      <family val="2"/>
      <scheme val="minor"/>
    </font>
    <font>
      <i/>
      <sz val="10"/>
      <color theme="1"/>
      <name val="Arial"/>
      <family val="2"/>
      <scheme val="minor"/>
    </font>
    <font>
      <sz val="10"/>
      <color theme="1"/>
      <name val="Google Sans"/>
    </font>
    <font>
      <sz val="12"/>
      <color rgb="FF000000"/>
      <name val="&quot;Aptos Narrow&quot;"/>
    </font>
    <font>
      <sz val="11"/>
      <color theme="1"/>
      <name val="Calibri"/>
      <family val="2"/>
    </font>
    <font>
      <sz val="11"/>
      <color theme="1"/>
      <name val="&quot;Calibri&quot;"/>
    </font>
    <font>
      <sz val="10"/>
      <color theme="1"/>
      <name val="Arial"/>
      <family val="2"/>
    </font>
    <font>
      <sz val="10"/>
      <color rgb="FF1F1F1F"/>
      <name val="&quot;Google Sans&quot;"/>
    </font>
    <font>
      <b/>
      <sz val="10"/>
      <color rgb="FF000000"/>
      <name val="Google Sans"/>
    </font>
    <font>
      <sz val="11"/>
      <color rgb="FF1F1F1F"/>
      <name val="Google Sans Text"/>
    </font>
    <font>
      <b/>
      <sz val="8"/>
      <color rgb="FF000000"/>
      <name val="Arial"/>
      <family val="2"/>
    </font>
    <font>
      <b/>
      <sz val="8"/>
      <color rgb="FFFFFFFF"/>
      <name val="Arial"/>
      <family val="2"/>
    </font>
    <font>
      <sz val="10"/>
      <color rgb="FF000000"/>
      <name val="Google Sans"/>
    </font>
    <font>
      <sz val="10"/>
      <color rgb="FF333333"/>
      <name val="Arial"/>
      <family val="2"/>
    </font>
    <font>
      <sz val="10"/>
      <color rgb="FF000000"/>
      <name val="Arial"/>
      <family val="2"/>
      <scheme val="minor"/>
    </font>
    <font>
      <sz val="10"/>
      <color rgb="FF1F1F1F"/>
      <name val="'Google Sans'"/>
    </font>
    <font>
      <sz val="11"/>
      <color rgb="FF1F1F1F"/>
      <name val="'Google Sans'"/>
    </font>
    <font>
      <sz val="11"/>
      <color rgb="FF1F1F1F"/>
      <name val="&quot;Google Sans&quot;"/>
    </font>
    <font>
      <b/>
      <sz val="11"/>
      <color rgb="FF222222"/>
      <name val="Google Sans"/>
    </font>
    <font>
      <sz val="11"/>
      <color theme="1"/>
      <name val="Google Sans"/>
    </font>
    <font>
      <sz val="10"/>
      <color rgb="FF1F1F1F"/>
      <name val="Google Sans Text"/>
    </font>
    <font>
      <b/>
      <sz val="10"/>
      <color theme="1"/>
      <name val="Arial"/>
      <family val="2"/>
    </font>
    <font>
      <sz val="11"/>
      <color rgb="FF000000"/>
      <name val="Google Sans"/>
    </font>
  </fonts>
  <fills count="43">
    <fill>
      <patternFill patternType="none"/>
    </fill>
    <fill>
      <patternFill patternType="gray125"/>
    </fill>
    <fill>
      <patternFill patternType="solid">
        <fgColor rgb="FFEAD1DC"/>
        <bgColor rgb="FFEAD1DC"/>
      </patternFill>
    </fill>
    <fill>
      <patternFill patternType="solid">
        <fgColor rgb="FFB4A7D6"/>
        <bgColor rgb="FFB4A7D6"/>
      </patternFill>
    </fill>
    <fill>
      <patternFill patternType="solid">
        <fgColor rgb="FFC9DAF8"/>
        <bgColor rgb="FFC9DAF8"/>
      </patternFill>
    </fill>
    <fill>
      <patternFill patternType="solid">
        <fgColor rgb="FFF9CB9C"/>
        <bgColor rgb="FFF9CB9C"/>
      </patternFill>
    </fill>
    <fill>
      <patternFill patternType="solid">
        <fgColor rgb="FFFFE599"/>
        <bgColor rgb="FFFFE599"/>
      </patternFill>
    </fill>
    <fill>
      <patternFill patternType="solid">
        <fgColor rgb="FF0000FF"/>
        <bgColor rgb="FF0000FF"/>
      </patternFill>
    </fill>
    <fill>
      <patternFill patternType="solid">
        <fgColor rgb="FFB6D7A8"/>
        <bgColor rgb="FFB6D7A8"/>
      </patternFill>
    </fill>
    <fill>
      <patternFill patternType="solid">
        <fgColor rgb="FFD9D2E9"/>
        <bgColor rgb="FFD9D2E9"/>
      </patternFill>
    </fill>
    <fill>
      <patternFill patternType="solid">
        <fgColor rgb="FFFF0000"/>
        <bgColor rgb="FFFF0000"/>
      </patternFill>
    </fill>
    <fill>
      <patternFill patternType="solid">
        <fgColor rgb="FFFFFFFF"/>
        <bgColor rgb="FFFFFFFF"/>
      </patternFill>
    </fill>
    <fill>
      <patternFill patternType="solid">
        <fgColor rgb="FFE06666"/>
        <bgColor rgb="FFE06666"/>
      </patternFill>
    </fill>
    <fill>
      <patternFill patternType="solid">
        <fgColor theme="0"/>
        <bgColor theme="0"/>
      </patternFill>
    </fill>
    <fill>
      <patternFill patternType="solid">
        <fgColor rgb="FF9900FF"/>
        <bgColor rgb="FF9900FF"/>
      </patternFill>
    </fill>
    <fill>
      <patternFill patternType="solid">
        <fgColor rgb="FFFF00FF"/>
        <bgColor rgb="FFFF00FF"/>
      </patternFill>
    </fill>
    <fill>
      <patternFill patternType="solid">
        <fgColor rgb="FF00FFFF"/>
        <bgColor rgb="FF00FFFF"/>
      </patternFill>
    </fill>
    <fill>
      <patternFill patternType="solid">
        <fgColor rgb="FFFCE5CD"/>
        <bgColor rgb="FFFCE5CD"/>
      </patternFill>
    </fill>
    <fill>
      <patternFill patternType="solid">
        <fgColor rgb="FF00FF00"/>
        <bgColor rgb="FF00FF00"/>
      </patternFill>
    </fill>
    <fill>
      <patternFill patternType="solid">
        <fgColor rgb="FFFFF2CC"/>
        <bgColor rgb="FFFFF2CC"/>
      </patternFill>
    </fill>
    <fill>
      <patternFill patternType="solid">
        <fgColor theme="6"/>
        <bgColor theme="6"/>
      </patternFill>
    </fill>
    <fill>
      <patternFill patternType="solid">
        <fgColor rgb="FFE6B8AF"/>
        <bgColor rgb="FFE6B8AF"/>
      </patternFill>
    </fill>
    <fill>
      <patternFill patternType="solid">
        <fgColor rgb="FFCFE2F3"/>
        <bgColor rgb="FFCFE2F3"/>
      </patternFill>
    </fill>
    <fill>
      <patternFill patternType="solid">
        <fgColor rgb="FF434343"/>
        <bgColor rgb="FF434343"/>
      </patternFill>
    </fill>
    <fill>
      <patternFill patternType="solid">
        <fgColor rgb="FFFFFF00"/>
        <bgColor rgb="FFFFFF00"/>
      </patternFill>
    </fill>
    <fill>
      <patternFill patternType="solid">
        <fgColor rgb="FFD9EAD3"/>
        <bgColor rgb="FFD9EAD3"/>
      </patternFill>
    </fill>
    <fill>
      <patternFill patternType="solid">
        <fgColor rgb="FFC27BA0"/>
        <bgColor rgb="FFC27BA0"/>
      </patternFill>
    </fill>
    <fill>
      <patternFill patternType="solid">
        <fgColor rgb="FFFF9900"/>
        <bgColor rgb="FFFF9900"/>
      </patternFill>
    </fill>
    <fill>
      <patternFill patternType="solid">
        <fgColor rgb="FFA64D79"/>
        <bgColor rgb="FFA64D79"/>
      </patternFill>
    </fill>
    <fill>
      <patternFill patternType="solid">
        <fgColor rgb="FF4A86E8"/>
        <bgColor rgb="FF4A86E8"/>
      </patternFill>
    </fill>
    <fill>
      <patternFill patternType="solid">
        <fgColor rgb="FFD0E0E3"/>
        <bgColor rgb="FFD0E0E3"/>
      </patternFill>
    </fill>
    <fill>
      <patternFill patternType="solid">
        <fgColor rgb="FFD5A6BD"/>
        <bgColor rgb="FFD5A6BD"/>
      </patternFill>
    </fill>
    <fill>
      <patternFill patternType="solid">
        <fgColor rgb="FF9FC5E8"/>
        <bgColor rgb="FF9FC5E8"/>
      </patternFill>
    </fill>
    <fill>
      <patternFill patternType="solid">
        <fgColor rgb="FF980000"/>
        <bgColor rgb="FF980000"/>
      </patternFill>
    </fill>
    <fill>
      <patternFill patternType="solid">
        <fgColor rgb="FFA4C2F4"/>
        <bgColor rgb="FFA4C2F4"/>
      </patternFill>
    </fill>
    <fill>
      <patternFill patternType="solid">
        <fgColor rgb="FF93C47D"/>
        <bgColor rgb="FF93C47D"/>
      </patternFill>
    </fill>
    <fill>
      <patternFill patternType="solid">
        <fgColor theme="9"/>
        <bgColor theme="9"/>
      </patternFill>
    </fill>
    <fill>
      <patternFill patternType="solid">
        <fgColor theme="8"/>
        <bgColor theme="8"/>
      </patternFill>
    </fill>
    <fill>
      <patternFill patternType="solid">
        <fgColor rgb="FFD9D9D9"/>
        <bgColor rgb="FFD9D9D9"/>
      </patternFill>
    </fill>
    <fill>
      <patternFill patternType="solid">
        <fgColor rgb="FF1C4587"/>
        <bgColor rgb="FF1C4587"/>
      </patternFill>
    </fill>
    <fill>
      <patternFill patternType="solid">
        <fgColor theme="4"/>
        <bgColor theme="4"/>
      </patternFill>
    </fill>
    <fill>
      <patternFill patternType="solid">
        <fgColor rgb="FFF1C232"/>
        <bgColor rgb="FFF1C232"/>
      </patternFill>
    </fill>
    <fill>
      <patternFill patternType="solid">
        <fgColor rgb="FFBF9000"/>
        <bgColor rgb="FFBF9000"/>
      </patternFill>
    </fill>
  </fills>
  <borders count="10">
    <border>
      <left/>
      <right/>
      <top/>
      <bottom/>
      <diagonal/>
    </border>
    <border>
      <left/>
      <right/>
      <top style="medium">
        <color rgb="FF000000"/>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4">
    <xf numFmtId="0" fontId="0" fillId="0" borderId="0" xfId="0"/>
    <xf numFmtId="0" fontId="1" fillId="2" borderId="0" xfId="0" applyFont="1" applyFill="1"/>
    <xf numFmtId="0" fontId="2" fillId="2" borderId="0" xfId="0" applyFont="1" applyFill="1"/>
    <xf numFmtId="0" fontId="1" fillId="3" borderId="0" xfId="0" applyFont="1" applyFill="1"/>
    <xf numFmtId="0" fontId="3" fillId="3" borderId="0" xfId="0" applyFont="1" applyFill="1"/>
    <xf numFmtId="0" fontId="3" fillId="3" borderId="0" xfId="0" applyFont="1" applyFill="1" applyAlignment="1">
      <alignment horizontal="center"/>
    </xf>
    <xf numFmtId="0" fontId="3" fillId="4" borderId="0" xfId="0" applyFont="1" applyFill="1" applyAlignment="1">
      <alignment horizontal="center"/>
    </xf>
    <xf numFmtId="0" fontId="3" fillId="4" borderId="0" xfId="0" applyFont="1" applyFill="1"/>
    <xf numFmtId="0" fontId="4" fillId="4" borderId="0" xfId="0" applyFont="1" applyFill="1"/>
    <xf numFmtId="0" fontId="4" fillId="4" borderId="0" xfId="0" applyFont="1" applyFill="1" applyAlignment="1">
      <alignment horizontal="center"/>
    </xf>
    <xf numFmtId="0" fontId="2" fillId="4" borderId="0" xfId="0" applyFont="1" applyFill="1"/>
    <xf numFmtId="0" fontId="3" fillId="5" borderId="0" xfId="0" applyFont="1" applyFill="1"/>
    <xf numFmtId="0" fontId="2" fillId="6" borderId="0" xfId="0" applyFont="1" applyFill="1"/>
    <xf numFmtId="0" fontId="3" fillId="6" borderId="0" xfId="0" applyFont="1" applyFill="1"/>
    <xf numFmtId="0" fontId="3" fillId="6" borderId="0" xfId="0" applyFont="1" applyFill="1" applyAlignment="1">
      <alignment horizontal="center"/>
    </xf>
    <xf numFmtId="0" fontId="4" fillId="6" borderId="0" xfId="0" applyFont="1" applyFill="1"/>
    <xf numFmtId="0" fontId="4" fillId="6" borderId="0" xfId="0" applyFont="1" applyFill="1" applyAlignment="1">
      <alignment horizontal="center"/>
    </xf>
    <xf numFmtId="0" fontId="5" fillId="7" borderId="0" xfId="0" applyFont="1" applyFill="1"/>
    <xf numFmtId="0" fontId="4" fillId="8" borderId="0" xfId="0" applyFont="1" applyFill="1"/>
    <xf numFmtId="0" fontId="2" fillId="8" borderId="1" xfId="0" applyFont="1" applyFill="1" applyBorder="1" applyAlignment="1">
      <alignment horizontal="center" wrapText="1"/>
    </xf>
    <xf numFmtId="0" fontId="6" fillId="8" borderId="0" xfId="0" applyFont="1" applyFill="1"/>
    <xf numFmtId="0" fontId="6" fillId="8" borderId="1" xfId="0" applyFont="1" applyFill="1" applyBorder="1" applyAlignment="1">
      <alignment horizontal="center" wrapText="1"/>
    </xf>
    <xf numFmtId="0" fontId="2" fillId="9" borderId="0" xfId="0" applyFont="1" applyFill="1"/>
    <xf numFmtId="0" fontId="2" fillId="3" borderId="0" xfId="0" applyFont="1" applyFill="1"/>
    <xf numFmtId="0" fontId="4" fillId="10" borderId="0" xfId="0" applyFont="1" applyFill="1"/>
    <xf numFmtId="0" fontId="3" fillId="10" borderId="0" xfId="0" applyFont="1" applyFill="1"/>
    <xf numFmtId="0" fontId="2" fillId="10" borderId="0" xfId="0" applyFont="1" applyFill="1"/>
    <xf numFmtId="0" fontId="7" fillId="10" borderId="0" xfId="0" applyFont="1" applyFill="1" applyAlignment="1">
      <alignment horizontal="center"/>
    </xf>
    <xf numFmtId="0" fontId="7" fillId="10" borderId="0" xfId="0" applyFont="1" applyFill="1"/>
    <xf numFmtId="0" fontId="4" fillId="0" borderId="0" xfId="0" applyFont="1"/>
    <xf numFmtId="0" fontId="8" fillId="0" borderId="0" xfId="0" applyFont="1"/>
    <xf numFmtId="164" fontId="8" fillId="0" borderId="0" xfId="0" applyNumberFormat="1" applyFont="1"/>
    <xf numFmtId="0" fontId="8" fillId="0" borderId="0" xfId="0" applyFont="1" applyAlignment="1">
      <alignment horizontal="center"/>
    </xf>
    <xf numFmtId="165" fontId="8" fillId="0" borderId="0" xfId="0" applyNumberFormat="1" applyFont="1"/>
    <xf numFmtId="0" fontId="8" fillId="11" borderId="0" xfId="0" applyFont="1" applyFill="1"/>
    <xf numFmtId="0" fontId="8" fillId="10" borderId="0" xfId="0" applyFont="1" applyFill="1"/>
    <xf numFmtId="0" fontId="8" fillId="10" borderId="0" xfId="0" applyFont="1" applyFill="1" applyAlignment="1">
      <alignment horizontal="center"/>
    </xf>
    <xf numFmtId="14" fontId="8" fillId="0" borderId="0" xfId="0" applyNumberFormat="1" applyFont="1"/>
    <xf numFmtId="166" fontId="8" fillId="0" borderId="0" xfId="0" applyNumberFormat="1" applyFont="1"/>
    <xf numFmtId="0" fontId="9" fillId="4" borderId="0" xfId="0" applyFont="1" applyFill="1"/>
    <xf numFmtId="0" fontId="2" fillId="4" borderId="0" xfId="0" applyFont="1" applyFill="1" applyAlignment="1">
      <alignment horizontal="center"/>
    </xf>
    <xf numFmtId="0" fontId="4" fillId="12" borderId="0" xfId="0" applyFont="1" applyFill="1"/>
    <xf numFmtId="0" fontId="4" fillId="12" borderId="0" xfId="0" applyFont="1" applyFill="1" applyAlignment="1">
      <alignment horizontal="center"/>
    </xf>
    <xf numFmtId="0" fontId="8" fillId="4" borderId="0" xfId="0" applyFont="1" applyFill="1"/>
    <xf numFmtId="0" fontId="8" fillId="12" borderId="0" xfId="0" applyFont="1" applyFill="1"/>
    <xf numFmtId="0" fontId="8" fillId="12" borderId="0" xfId="0" applyFont="1" applyFill="1" applyAlignment="1">
      <alignment horizontal="center"/>
    </xf>
    <xf numFmtId="0" fontId="8" fillId="0" borderId="0" xfId="0" quotePrefix="1" applyFont="1"/>
    <xf numFmtId="0" fontId="1" fillId="4" borderId="0" xfId="0" applyFont="1" applyFill="1"/>
    <xf numFmtId="0" fontId="10" fillId="4" borderId="0" xfId="0" applyFont="1" applyFill="1"/>
    <xf numFmtId="0" fontId="8" fillId="13" borderId="0" xfId="0" applyFont="1" applyFill="1"/>
    <xf numFmtId="0" fontId="11" fillId="4" borderId="0" xfId="0" applyFont="1" applyFill="1"/>
    <xf numFmtId="0" fontId="12" fillId="4" borderId="0" xfId="0" applyFont="1" applyFill="1"/>
    <xf numFmtId="0" fontId="11" fillId="4" borderId="0" xfId="0" applyFont="1" applyFill="1" applyAlignment="1">
      <alignment horizontal="center"/>
    </xf>
    <xf numFmtId="0" fontId="13" fillId="0" borderId="0" xfId="0" applyFont="1"/>
    <xf numFmtId="0" fontId="2" fillId="14" borderId="0" xfId="0" applyFont="1" applyFill="1"/>
    <xf numFmtId="0" fontId="2" fillId="14" borderId="0" xfId="0" applyFont="1" applyFill="1" applyAlignment="1">
      <alignment horizontal="center"/>
    </xf>
    <xf numFmtId="0" fontId="2" fillId="15" borderId="0" xfId="0" applyFont="1" applyFill="1"/>
    <xf numFmtId="0" fontId="2" fillId="16" borderId="0" xfId="0" applyFont="1" applyFill="1"/>
    <xf numFmtId="0" fontId="2" fillId="17" borderId="0" xfId="0" applyFont="1" applyFill="1"/>
    <xf numFmtId="0" fontId="2" fillId="18" borderId="0" xfId="0" applyFont="1" applyFill="1"/>
    <xf numFmtId="0" fontId="2" fillId="18" borderId="0" xfId="0" applyFont="1" applyFill="1" applyAlignment="1">
      <alignment horizontal="center"/>
    </xf>
    <xf numFmtId="0" fontId="4" fillId="18" borderId="0" xfId="0" applyFont="1" applyFill="1"/>
    <xf numFmtId="164" fontId="8" fillId="0" borderId="0" xfId="0" applyNumberFormat="1" applyFont="1" applyAlignment="1">
      <alignment horizontal="center"/>
    </xf>
    <xf numFmtId="0" fontId="14" fillId="11" borderId="0" xfId="0" applyFont="1" applyFill="1"/>
    <xf numFmtId="165" fontId="15" fillId="19" borderId="0" xfId="0" applyNumberFormat="1" applyFont="1" applyFill="1" applyAlignment="1">
      <alignment horizontal="center"/>
    </xf>
    <xf numFmtId="165" fontId="16" fillId="19" borderId="2" xfId="0" applyNumberFormat="1" applyFont="1" applyFill="1" applyBorder="1" applyAlignment="1">
      <alignment horizontal="center"/>
    </xf>
    <xf numFmtId="0" fontId="17" fillId="0" borderId="0" xfId="0" applyFont="1"/>
    <xf numFmtId="0" fontId="18" fillId="0" borderId="0" xfId="0" applyFont="1"/>
    <xf numFmtId="0" fontId="2" fillId="0" borderId="0" xfId="0" applyFont="1"/>
    <xf numFmtId="0" fontId="19" fillId="0" borderId="0" xfId="0" applyFont="1"/>
    <xf numFmtId="0" fontId="17" fillId="0" borderId="0" xfId="0" applyFont="1" applyAlignment="1">
      <alignment horizontal="center"/>
    </xf>
    <xf numFmtId="0" fontId="16" fillId="0" borderId="0" xfId="0" applyFont="1" applyAlignment="1">
      <alignment horizontal="center"/>
    </xf>
    <xf numFmtId="0" fontId="16" fillId="0" borderId="0" xfId="0" applyFont="1"/>
    <xf numFmtId="0" fontId="16" fillId="11" borderId="0" xfId="0" applyFont="1" applyFill="1"/>
    <xf numFmtId="0" fontId="16" fillId="20" borderId="0" xfId="0" applyFont="1" applyFill="1"/>
    <xf numFmtId="0" fontId="2" fillId="0" borderId="0" xfId="0" applyFont="1" applyAlignment="1">
      <alignment horizontal="center" vertical="center"/>
    </xf>
    <xf numFmtId="0" fontId="4" fillId="0" borderId="0" xfId="0" applyFont="1" applyAlignment="1">
      <alignment horizontal="left" vertical="center"/>
    </xf>
    <xf numFmtId="0" fontId="20" fillId="9" borderId="0" xfId="0" applyFont="1" applyFill="1" applyAlignment="1">
      <alignment horizontal="left" vertical="center"/>
    </xf>
    <xf numFmtId="0" fontId="16" fillId="2" borderId="0" xfId="0" applyFont="1" applyFill="1" applyAlignment="1">
      <alignment horizontal="center"/>
    </xf>
    <xf numFmtId="0" fontId="16" fillId="2" borderId="3" xfId="0" applyFont="1" applyFill="1" applyBorder="1"/>
    <xf numFmtId="0" fontId="16" fillId="2" borderId="4" xfId="0" applyFont="1" applyFill="1" applyBorder="1"/>
    <xf numFmtId="0" fontId="16" fillId="0" borderId="5" xfId="0" applyFont="1" applyBorder="1"/>
    <xf numFmtId="0" fontId="16" fillId="21" borderId="0" xfId="0" applyFont="1" applyFill="1"/>
    <xf numFmtId="0" fontId="8" fillId="0" borderId="5" xfId="0" applyFont="1" applyBorder="1" applyAlignment="1">
      <alignment vertical="center"/>
    </xf>
    <xf numFmtId="0" fontId="16" fillId="19" borderId="0" xfId="0" applyFont="1" applyFill="1"/>
    <xf numFmtId="0" fontId="16" fillId="22" borderId="0" xfId="0" applyFont="1" applyFill="1"/>
    <xf numFmtId="0" fontId="16" fillId="22" borderId="4" xfId="0" applyFont="1" applyFill="1" applyBorder="1"/>
    <xf numFmtId="0" fontId="16" fillId="2" borderId="6" xfId="0" applyFont="1" applyFill="1" applyBorder="1"/>
    <xf numFmtId="0" fontId="16" fillId="2" borderId="7" xfId="0" applyFont="1" applyFill="1" applyBorder="1"/>
    <xf numFmtId="0" fontId="16" fillId="0" borderId="8" xfId="0" applyFont="1" applyBorder="1"/>
    <xf numFmtId="0" fontId="16" fillId="22" borderId="7" xfId="0" applyFont="1" applyFill="1" applyBorder="1"/>
    <xf numFmtId="0" fontId="16" fillId="2" borderId="8" xfId="0" applyFont="1" applyFill="1" applyBorder="1"/>
    <xf numFmtId="0" fontId="16" fillId="22" borderId="8" xfId="0" applyFont="1" applyFill="1" applyBorder="1"/>
    <xf numFmtId="0" fontId="16" fillId="2" borderId="9" xfId="0" applyFont="1" applyFill="1" applyBorder="1"/>
    <xf numFmtId="0" fontId="16" fillId="2" borderId="0" xfId="0" applyFont="1" applyFill="1"/>
    <xf numFmtId="0" fontId="8" fillId="0" borderId="0" xfId="0" applyFont="1" applyAlignment="1">
      <alignment vertical="center"/>
    </xf>
    <xf numFmtId="0" fontId="8" fillId="11" borderId="0" xfId="0" applyFont="1" applyFill="1" applyAlignment="1">
      <alignment horizontal="center"/>
    </xf>
    <xf numFmtId="0" fontId="4" fillId="0" borderId="0" xfId="0" applyFont="1" applyAlignment="1">
      <alignment horizontal="center"/>
    </xf>
    <xf numFmtId="0" fontId="21" fillId="0" borderId="0" xfId="0" applyFont="1" applyAlignment="1">
      <alignment horizontal="center" wrapText="1"/>
    </xf>
    <xf numFmtId="0" fontId="21" fillId="0" borderId="0" xfId="0" applyFont="1" applyAlignment="1">
      <alignment wrapText="1"/>
    </xf>
    <xf numFmtId="0" fontId="6" fillId="4" borderId="1" xfId="0" applyFont="1" applyFill="1" applyBorder="1" applyAlignment="1">
      <alignment horizontal="left" wrapText="1"/>
    </xf>
    <xf numFmtId="0" fontId="22" fillId="6" borderId="1" xfId="0" applyFont="1" applyFill="1" applyBorder="1" applyAlignment="1">
      <alignment horizontal="left" wrapText="1"/>
    </xf>
    <xf numFmtId="0" fontId="2" fillId="0" borderId="0" xfId="0" applyFont="1" applyAlignment="1">
      <alignment horizontal="center"/>
    </xf>
    <xf numFmtId="0" fontId="2" fillId="0" borderId="0" xfId="0" applyFont="1" applyAlignment="1">
      <alignment horizontal="left"/>
    </xf>
    <xf numFmtId="0" fontId="6" fillId="11" borderId="1" xfId="0" applyFont="1" applyFill="1" applyBorder="1" applyAlignment="1">
      <alignment horizontal="center" wrapText="1"/>
    </xf>
    <xf numFmtId="0" fontId="23" fillId="23" borderId="1" xfId="0" applyFont="1" applyFill="1" applyBorder="1" applyAlignment="1">
      <alignment horizontal="center" vertical="center" wrapText="1"/>
    </xf>
    <xf numFmtId="0" fontId="24" fillId="0" borderId="0" xfId="0" applyFont="1" applyAlignment="1">
      <alignment horizontal="center"/>
    </xf>
    <xf numFmtId="0" fontId="25" fillId="0" borderId="0" xfId="0" applyFont="1"/>
    <xf numFmtId="0" fontId="16" fillId="0" borderId="0" xfId="0" applyFont="1" applyAlignment="1">
      <alignment horizontal="left"/>
    </xf>
    <xf numFmtId="0" fontId="8" fillId="9" borderId="0" xfId="0" applyFont="1" applyFill="1"/>
    <xf numFmtId="0" fontId="16" fillId="16" borderId="0" xfId="0" applyFont="1" applyFill="1"/>
    <xf numFmtId="0" fontId="8" fillId="24" borderId="0" xfId="0" applyFont="1" applyFill="1"/>
    <xf numFmtId="0" fontId="16" fillId="25" borderId="0" xfId="0" applyFont="1" applyFill="1"/>
    <xf numFmtId="0" fontId="8" fillId="26" borderId="0" xfId="0" applyFont="1" applyFill="1"/>
    <xf numFmtId="0" fontId="16" fillId="18" borderId="0" xfId="0" applyFont="1" applyFill="1"/>
    <xf numFmtId="0" fontId="8" fillId="27" borderId="0" xfId="0" applyFont="1" applyFill="1"/>
    <xf numFmtId="0" fontId="26" fillId="28" borderId="0" xfId="0" applyFont="1" applyFill="1"/>
    <xf numFmtId="0" fontId="16" fillId="24" borderId="0" xfId="0" applyFont="1" applyFill="1"/>
    <xf numFmtId="0" fontId="8" fillId="29" borderId="0" xfId="0" applyFont="1" applyFill="1"/>
    <xf numFmtId="0" fontId="8" fillId="15" borderId="0" xfId="0" applyFont="1" applyFill="1"/>
    <xf numFmtId="0" fontId="16" fillId="7" borderId="0" xfId="0" applyFont="1" applyFill="1"/>
    <xf numFmtId="0" fontId="8" fillId="14" borderId="0" xfId="0" applyFont="1" applyFill="1"/>
    <xf numFmtId="0" fontId="25" fillId="11" borderId="0" xfId="0" applyFont="1" applyFill="1"/>
    <xf numFmtId="0" fontId="8" fillId="30" borderId="0" xfId="0" applyFont="1" applyFill="1"/>
    <xf numFmtId="0" fontId="16" fillId="31" borderId="0" xfId="0" applyFont="1" applyFill="1" applyAlignment="1">
      <alignment horizontal="left" vertical="center"/>
    </xf>
    <xf numFmtId="0" fontId="8" fillId="32" borderId="0" xfId="0" applyFont="1" applyFill="1"/>
    <xf numFmtId="0" fontId="16" fillId="33" borderId="0" xfId="0" applyFont="1" applyFill="1"/>
    <xf numFmtId="0" fontId="8" fillId="34" borderId="0" xfId="0" applyFont="1" applyFill="1"/>
    <xf numFmtId="0" fontId="8" fillId="25" borderId="0" xfId="0" applyFont="1" applyFill="1"/>
    <xf numFmtId="0" fontId="16" fillId="28" borderId="0" xfId="0" applyFont="1" applyFill="1"/>
    <xf numFmtId="0" fontId="8" fillId="3" borderId="0" xfId="0" applyFont="1" applyFill="1"/>
    <xf numFmtId="0" fontId="8" fillId="6" borderId="0" xfId="0" applyFont="1" applyFill="1"/>
    <xf numFmtId="0" fontId="16" fillId="35" borderId="0" xfId="0" applyFont="1" applyFill="1"/>
    <xf numFmtId="0" fontId="8" fillId="31" borderId="0" xfId="0" applyFont="1" applyFill="1"/>
    <xf numFmtId="0" fontId="16" fillId="29" borderId="0" xfId="0" applyFont="1" applyFill="1"/>
    <xf numFmtId="0" fontId="8" fillId="19" borderId="0" xfId="0" applyFont="1" applyFill="1"/>
    <xf numFmtId="0" fontId="8" fillId="36" borderId="0" xfId="0" applyFont="1" applyFill="1"/>
    <xf numFmtId="0" fontId="16" fillId="37" borderId="0" xfId="0" applyFont="1" applyFill="1"/>
    <xf numFmtId="0" fontId="8" fillId="35" borderId="0" xfId="0" applyFont="1" applyFill="1"/>
    <xf numFmtId="0" fontId="8" fillId="38" borderId="0" xfId="0" applyFont="1" applyFill="1"/>
    <xf numFmtId="0" fontId="26" fillId="39" borderId="0" xfId="0" applyFont="1" applyFill="1"/>
    <xf numFmtId="0" fontId="8" fillId="18" borderId="0" xfId="0" applyFont="1" applyFill="1"/>
    <xf numFmtId="0" fontId="16" fillId="26" borderId="0" xfId="0" applyFont="1" applyFill="1"/>
    <xf numFmtId="0" fontId="8" fillId="40" borderId="0" xfId="0" applyFont="1" applyFill="1"/>
    <xf numFmtId="0" fontId="16" fillId="41" borderId="0" xfId="0" applyFont="1" applyFill="1"/>
    <xf numFmtId="0" fontId="8" fillId="42" borderId="0" xfId="0" applyFont="1" applyFill="1"/>
    <xf numFmtId="0" fontId="16" fillId="30" borderId="0" xfId="0" applyFont="1" applyFill="1"/>
    <xf numFmtId="0" fontId="25" fillId="19" borderId="0" xfId="0" applyFont="1" applyFill="1"/>
    <xf numFmtId="0" fontId="16" fillId="0" borderId="0" xfId="0" applyFont="1" applyAlignment="1">
      <alignment horizontal="center" wrapText="1"/>
    </xf>
    <xf numFmtId="0" fontId="8" fillId="0" borderId="0" xfId="0" applyFont="1" applyAlignment="1">
      <alignment horizontal="left"/>
    </xf>
    <xf numFmtId="0" fontId="27" fillId="0" borderId="0" xfId="0" applyFont="1"/>
    <xf numFmtId="0" fontId="28" fillId="0" borderId="0" xfId="0" applyFont="1"/>
    <xf numFmtId="0" fontId="29" fillId="0" borderId="0" xfId="0" applyFont="1"/>
    <xf numFmtId="0" fontId="30" fillId="4" borderId="0" xfId="0" applyFont="1" applyFill="1"/>
    <xf numFmtId="0" fontId="31" fillId="0" borderId="0" xfId="0" applyFont="1"/>
    <xf numFmtId="0" fontId="32" fillId="0" borderId="0" xfId="0" applyFont="1" applyAlignment="1">
      <alignment wrapText="1"/>
    </xf>
    <xf numFmtId="0" fontId="33" fillId="4" borderId="0" xfId="0" applyFont="1" applyFill="1" applyAlignment="1">
      <alignment horizontal="center"/>
    </xf>
    <xf numFmtId="0" fontId="2" fillId="4" borderId="0" xfId="0" applyFont="1" applyFill="1" applyAlignment="1">
      <alignment horizontal="left"/>
    </xf>
    <xf numFmtId="0" fontId="34" fillId="0" borderId="0" xfId="0" applyFont="1" applyAlignment="1">
      <alignment horizontal="center"/>
    </xf>
    <xf numFmtId="0" fontId="34" fillId="0" borderId="0" xfId="0" applyFont="1"/>
    <xf numFmtId="167" fontId="34" fillId="0" borderId="0" xfId="0" applyNumberFormat="1" applyFont="1"/>
    <xf numFmtId="0" fontId="14" fillId="0" borderId="0" xfId="0" applyFont="1"/>
    <xf numFmtId="0" fontId="14" fillId="0" borderId="0" xfId="0" applyFont="1" applyAlignment="1">
      <alignment horizontal="left"/>
    </xf>
    <xf numFmtId="0" fontId="14" fillId="0" borderId="0" xfId="0" applyFont="1" applyAlignment="1">
      <alignment horizont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Cat_Actividades-style" pivot="0" count="4" xr9:uid="{00000000-0011-0000-FFFF-FFFF00000000}">
      <tableStyleElement type="wholeTable" size="0" dxfId="0"/>
      <tableStyleElement type="headerRow" dxfId="3"/>
      <tableStyleElement type="firstRowStripe" dxfId="2"/>
      <tableStyleElement type="secondRowStripe" dxfId="1"/>
    </tableStyle>
    <tableStyle name="Invisible" pivot="0" table="0" count="0" xr9:uid="{3D937935-E2A2-4B94-B645-7D78DBA4146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N82">
  <tableColumns count="14">
    <tableColumn id="1" xr3:uid="{00000000-0010-0000-0000-000001000000}" name="ID_Actividad"/>
    <tableColumn id="2" xr3:uid="{00000000-0010-0000-0000-000002000000}" name="Actividad"/>
    <tableColumn id="3" xr3:uid="{00000000-0010-0000-0000-000003000000}" name="Tipo_Actividad"/>
    <tableColumn id="4" xr3:uid="{00000000-0010-0000-0000-000004000000}" name="Tipo_Proceso_Formacion"/>
    <tableColumn id="5" xr3:uid="{00000000-0010-0000-0000-000005000000}" name="Tipo_Oferta_Formacion"/>
    <tableColumn id="6" xr3:uid="{00000000-0010-0000-0000-000006000000}" name="Tipo_Agente_Apoyado"/>
    <tableColumn id="7" xr3:uid="{00000000-0010-0000-0000-000007000000}" name="Condicion_Agente"/>
    <tableColumn id="8" xr3:uid="{00000000-0010-0000-0000-000008000000}" name="Tipo_Apoyo"/>
    <tableColumn id="9" xr3:uid="{00000000-0010-0000-0000-000009000000}" name="Tipo_Proyecto_Artistico"/>
    <tableColumn id="10" xr3:uid="{00000000-0010-0000-0000-00000A000000}" name="Tipo_Circulacion"/>
    <tableColumn id="11" xr3:uid="{00000000-0010-0000-0000-00000B000000}" name="Tipo_Patrimonio"/>
    <tableColumn id="12" xr3:uid="{00000000-0010-0000-0000-00000C000000}" name="Tipo_Convenio"/>
    <tableColumn id="13" xr3:uid="{00000000-0010-0000-0000-00000D000000}" name="Vinculacion_Actores"/>
    <tableColumn id="14" xr3:uid="{00000000-0010-0000-0000-00000E000000}" name="Tipo_Vinculacion"/>
  </tableColumns>
  <tableStyleInfo name="Cat_Actividad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AA84F"/>
    <outlinePr summaryBelow="0" summaryRight="0"/>
  </sheetPr>
  <dimension ref="A1:BT965"/>
  <sheetViews>
    <sheetView tabSelected="1" workbookViewId="0">
      <pane ySplit="1" topLeftCell="A2" activePane="bottomLeft" state="frozen"/>
      <selection pane="bottomLeft" activeCell="C3" sqref="C3"/>
    </sheetView>
  </sheetViews>
  <sheetFormatPr baseColWidth="10" defaultColWidth="12.6328125" defaultRowHeight="15.75" customHeight="1"/>
  <sheetData>
    <row r="1" spans="1:72">
      <c r="A1" s="1" t="s">
        <v>0</v>
      </c>
      <c r="B1" s="1" t="s">
        <v>1</v>
      </c>
      <c r="C1" s="2" t="s">
        <v>2</v>
      </c>
      <c r="D1" s="3" t="s">
        <v>3</v>
      </c>
      <c r="E1" s="3" t="s">
        <v>4</v>
      </c>
      <c r="F1" s="3" t="s">
        <v>5</v>
      </c>
      <c r="G1" s="3" t="s">
        <v>6</v>
      </c>
      <c r="H1" s="3" t="s">
        <v>7</v>
      </c>
      <c r="I1" s="4" t="s">
        <v>8</v>
      </c>
      <c r="J1" s="4" t="s">
        <v>9</v>
      </c>
      <c r="K1" s="5" t="s">
        <v>10</v>
      </c>
      <c r="L1" s="6" t="s">
        <v>11</v>
      </c>
      <c r="M1" s="7" t="s">
        <v>12</v>
      </c>
      <c r="N1" s="7" t="s">
        <v>13</v>
      </c>
      <c r="O1" s="7" t="s">
        <v>14</v>
      </c>
      <c r="P1" s="7" t="s">
        <v>15</v>
      </c>
      <c r="Q1" s="8" t="s">
        <v>16</v>
      </c>
      <c r="R1" s="9" t="s">
        <v>17</v>
      </c>
      <c r="S1" s="10" t="s">
        <v>18</v>
      </c>
      <c r="T1" s="7" t="s">
        <v>19</v>
      </c>
      <c r="U1" s="7" t="s">
        <v>20</v>
      </c>
      <c r="V1" s="7" t="s">
        <v>21</v>
      </c>
      <c r="W1" s="11" t="s">
        <v>22</v>
      </c>
      <c r="X1" s="11" t="s">
        <v>23</v>
      </c>
      <c r="Y1" s="11" t="s">
        <v>24</v>
      </c>
      <c r="Z1" s="11" t="s">
        <v>25</v>
      </c>
      <c r="AA1" s="11" t="s">
        <v>26</v>
      </c>
      <c r="AB1" s="12" t="s">
        <v>27</v>
      </c>
      <c r="AC1" s="12" t="s">
        <v>28</v>
      </c>
      <c r="AD1" s="12" t="s">
        <v>29</v>
      </c>
      <c r="AE1" s="12" t="s">
        <v>30</v>
      </c>
      <c r="AF1" s="12" t="s">
        <v>31</v>
      </c>
      <c r="AG1" s="13" t="s">
        <v>32</v>
      </c>
      <c r="AH1" s="14" t="s">
        <v>33</v>
      </c>
      <c r="AI1" s="15" t="s">
        <v>34</v>
      </c>
      <c r="AJ1" s="16" t="s">
        <v>35</v>
      </c>
      <c r="AK1" s="16" t="s">
        <v>36</v>
      </c>
      <c r="AL1" s="17" t="s">
        <v>37</v>
      </c>
      <c r="AM1" s="18" t="s">
        <v>38</v>
      </c>
      <c r="AN1" s="18" t="s">
        <v>39</v>
      </c>
      <c r="AO1" s="18" t="s">
        <v>40</v>
      </c>
      <c r="AP1" s="19" t="s">
        <v>41</v>
      </c>
      <c r="AQ1" s="19" t="s">
        <v>42</v>
      </c>
      <c r="AR1" s="19" t="s">
        <v>43</v>
      </c>
      <c r="AS1" s="18" t="s">
        <v>44</v>
      </c>
      <c r="AT1" s="18" t="s">
        <v>45</v>
      </c>
      <c r="AU1" s="18" t="s">
        <v>46</v>
      </c>
      <c r="AV1" s="20" t="s">
        <v>47</v>
      </c>
      <c r="AW1" s="21" t="s">
        <v>48</v>
      </c>
      <c r="AX1" s="22" t="s">
        <v>49</v>
      </c>
      <c r="AY1" s="22" t="s">
        <v>50</v>
      </c>
      <c r="AZ1" s="22" t="s">
        <v>51</v>
      </c>
      <c r="BA1" s="22" t="s">
        <v>52</v>
      </c>
      <c r="BB1" s="22" t="s">
        <v>53</v>
      </c>
      <c r="BC1" s="22" t="s">
        <v>54</v>
      </c>
      <c r="BD1" s="22" t="s">
        <v>55</v>
      </c>
      <c r="BE1" s="22" t="s">
        <v>56</v>
      </c>
      <c r="BF1" s="22" t="s">
        <v>57</v>
      </c>
      <c r="BG1" s="22" t="s">
        <v>58</v>
      </c>
      <c r="BH1" s="22" t="s">
        <v>59</v>
      </c>
      <c r="BI1" s="22" t="s">
        <v>60</v>
      </c>
      <c r="BJ1" s="22" t="s">
        <v>61</v>
      </c>
      <c r="BK1" s="22" t="s">
        <v>62</v>
      </c>
      <c r="BL1" s="22" t="s">
        <v>63</v>
      </c>
      <c r="BM1" s="22" t="s">
        <v>64</v>
      </c>
      <c r="BN1" s="23" t="s">
        <v>65</v>
      </c>
      <c r="BO1" s="24" t="s">
        <v>66</v>
      </c>
      <c r="BP1" s="25" t="s">
        <v>67</v>
      </c>
      <c r="BQ1" s="26" t="s">
        <v>68</v>
      </c>
      <c r="BR1" s="27" t="s">
        <v>69</v>
      </c>
      <c r="BS1" s="28" t="s">
        <v>70</v>
      </c>
      <c r="BT1" s="28" t="s">
        <v>71</v>
      </c>
    </row>
    <row r="2" spans="1:72">
      <c r="A2" s="29" t="s">
        <v>72</v>
      </c>
      <c r="B2" s="30" t="s">
        <v>73</v>
      </c>
      <c r="C2" s="31">
        <v>46177.46769675926</v>
      </c>
      <c r="D2" s="30">
        <v>94</v>
      </c>
      <c r="E2" s="30" t="s">
        <v>74</v>
      </c>
      <c r="F2" s="30" t="s">
        <v>75</v>
      </c>
      <c r="G2" s="30" t="s">
        <v>76</v>
      </c>
      <c r="H2" s="30" t="s">
        <v>77</v>
      </c>
      <c r="I2" s="30" t="s">
        <v>78</v>
      </c>
      <c r="J2" s="30" t="s">
        <v>79</v>
      </c>
      <c r="K2" s="32">
        <v>12</v>
      </c>
      <c r="L2" s="32" t="s">
        <v>80</v>
      </c>
      <c r="M2" s="30" t="s">
        <v>81</v>
      </c>
      <c r="N2" s="30" t="s">
        <v>82</v>
      </c>
      <c r="O2" s="30" t="s">
        <v>83</v>
      </c>
      <c r="P2" s="33">
        <v>46120</v>
      </c>
      <c r="Q2" s="33">
        <v>46120</v>
      </c>
      <c r="R2" s="32">
        <v>1</v>
      </c>
      <c r="S2" s="30" t="s">
        <v>84</v>
      </c>
      <c r="T2" s="30" t="s">
        <v>85</v>
      </c>
      <c r="U2" s="30" t="s">
        <v>86</v>
      </c>
      <c r="V2" s="30" t="s">
        <v>87</v>
      </c>
      <c r="W2" s="30" t="s">
        <v>88</v>
      </c>
      <c r="X2" s="30" t="s">
        <v>89</v>
      </c>
      <c r="Z2" s="30" t="s">
        <v>90</v>
      </c>
      <c r="AB2" s="30" t="b">
        <v>0</v>
      </c>
      <c r="AC2" s="30"/>
      <c r="AD2" s="30" t="b">
        <v>0</v>
      </c>
      <c r="AF2" s="30" t="b">
        <v>0</v>
      </c>
      <c r="AH2" s="32" t="s">
        <v>91</v>
      </c>
      <c r="AI2" s="32"/>
      <c r="AJ2" s="32"/>
      <c r="AL2" s="30" t="s">
        <v>92</v>
      </c>
      <c r="AM2" s="30" t="s">
        <v>93</v>
      </c>
      <c r="AN2" s="30" t="s">
        <v>94</v>
      </c>
      <c r="AO2" s="30" t="s">
        <v>95</v>
      </c>
      <c r="AP2" s="30" t="s">
        <v>95</v>
      </c>
      <c r="AQ2" s="30" t="s">
        <v>96</v>
      </c>
      <c r="AR2" s="30" t="s">
        <v>97</v>
      </c>
      <c r="AS2" s="30" t="s">
        <v>98</v>
      </c>
      <c r="AT2" s="30" t="s">
        <v>99</v>
      </c>
      <c r="AU2" s="30" t="s">
        <v>100</v>
      </c>
      <c r="AV2" s="30" t="s">
        <v>101</v>
      </c>
      <c r="AW2" s="34" t="s">
        <v>102</v>
      </c>
      <c r="AX2" s="34" t="s">
        <v>86</v>
      </c>
      <c r="AY2" s="34" t="s">
        <v>103</v>
      </c>
      <c r="AZ2" s="34"/>
      <c r="BA2" s="34"/>
      <c r="BB2" s="34"/>
      <c r="BC2" s="34">
        <v>0</v>
      </c>
      <c r="BD2" s="34"/>
      <c r="BE2" s="34"/>
      <c r="BF2" s="34" t="b">
        <v>1</v>
      </c>
      <c r="BG2" s="34" t="s">
        <v>104</v>
      </c>
      <c r="BH2" s="34"/>
      <c r="BI2" s="34"/>
      <c r="BJ2" s="34"/>
      <c r="BK2" s="34"/>
      <c r="BL2" s="34" t="s">
        <v>105</v>
      </c>
      <c r="BM2" s="34" t="s">
        <v>106</v>
      </c>
      <c r="BN2" s="34" t="s">
        <v>107</v>
      </c>
      <c r="BO2" s="35"/>
      <c r="BP2" s="35" t="s">
        <v>108</v>
      </c>
      <c r="BQ2" s="36"/>
      <c r="BR2" s="35" t="e">
        <f>VLOOKUP(BQ2, Cat_Indicadores!B:C, 2, FALSE)</f>
        <v>#N/A</v>
      </c>
      <c r="BS2" s="35"/>
      <c r="BT2" s="35"/>
    </row>
    <row r="3" spans="1:72">
      <c r="A3" s="29" t="s">
        <v>109</v>
      </c>
      <c r="B3" s="30" t="s">
        <v>110</v>
      </c>
      <c r="C3" s="31">
        <v>46177.671990740739</v>
      </c>
      <c r="D3" s="30">
        <v>94</v>
      </c>
      <c r="E3" s="30" t="s">
        <v>74</v>
      </c>
      <c r="F3" s="30" t="s">
        <v>75</v>
      </c>
      <c r="G3" s="30" t="s">
        <v>76</v>
      </c>
      <c r="H3" s="30" t="s">
        <v>77</v>
      </c>
      <c r="I3" s="30" t="s">
        <v>78</v>
      </c>
      <c r="J3" s="30" t="s">
        <v>79</v>
      </c>
      <c r="K3" s="32">
        <v>12</v>
      </c>
      <c r="L3" s="32" t="s">
        <v>80</v>
      </c>
      <c r="M3" s="30" t="s">
        <v>81</v>
      </c>
      <c r="N3" s="30" t="s">
        <v>82</v>
      </c>
      <c r="O3" s="30" t="s">
        <v>83</v>
      </c>
      <c r="P3" s="33">
        <v>46129</v>
      </c>
      <c r="Q3" s="33">
        <v>46129</v>
      </c>
      <c r="R3" s="32">
        <v>1</v>
      </c>
      <c r="S3" s="30" t="s">
        <v>84</v>
      </c>
      <c r="T3" s="30" t="s">
        <v>85</v>
      </c>
      <c r="U3" s="30" t="s">
        <v>86</v>
      </c>
      <c r="V3" s="30" t="s">
        <v>87</v>
      </c>
      <c r="W3" s="30" t="s">
        <v>88</v>
      </c>
      <c r="X3" s="30" t="s">
        <v>89</v>
      </c>
      <c r="Z3" s="30" t="s">
        <v>111</v>
      </c>
      <c r="AB3" s="30" t="b">
        <v>0</v>
      </c>
      <c r="AC3" s="30"/>
      <c r="AD3" s="30" t="b">
        <v>0</v>
      </c>
      <c r="AF3" s="30" t="b">
        <v>0</v>
      </c>
      <c r="AH3" s="32" t="s">
        <v>91</v>
      </c>
      <c r="AI3" s="32"/>
      <c r="AJ3" s="32"/>
      <c r="AL3" s="30" t="s">
        <v>92</v>
      </c>
      <c r="AM3" s="30" t="s">
        <v>93</v>
      </c>
      <c r="AN3" s="30" t="s">
        <v>94</v>
      </c>
      <c r="AO3" s="30" t="s">
        <v>95</v>
      </c>
      <c r="AP3" s="30" t="s">
        <v>95</v>
      </c>
      <c r="AQ3" s="30" t="s">
        <v>96</v>
      </c>
      <c r="AR3" s="30" t="s">
        <v>97</v>
      </c>
      <c r="AS3" s="30" t="s">
        <v>112</v>
      </c>
      <c r="AT3" s="30" t="s">
        <v>99</v>
      </c>
      <c r="AU3" s="30" t="s">
        <v>100</v>
      </c>
      <c r="AV3" s="30" t="s">
        <v>101</v>
      </c>
      <c r="AW3" s="34" t="s">
        <v>102</v>
      </c>
      <c r="AX3" s="34" t="s">
        <v>86</v>
      </c>
      <c r="AY3" s="34" t="s">
        <v>103</v>
      </c>
      <c r="AZ3" s="34"/>
      <c r="BA3" s="34"/>
      <c r="BB3" s="34"/>
      <c r="BC3" s="34">
        <v>0</v>
      </c>
      <c r="BD3" s="34"/>
      <c r="BE3" s="34"/>
      <c r="BF3" s="34" t="b">
        <v>1</v>
      </c>
      <c r="BG3" s="34" t="s">
        <v>104</v>
      </c>
      <c r="BH3" s="34"/>
      <c r="BI3" s="34"/>
      <c r="BJ3" s="34"/>
      <c r="BK3" s="34"/>
      <c r="BL3" s="34" t="s">
        <v>113</v>
      </c>
      <c r="BM3" s="34" t="s">
        <v>106</v>
      </c>
      <c r="BN3" s="34" t="s">
        <v>107</v>
      </c>
      <c r="BO3" s="35"/>
      <c r="BP3" s="35" t="s">
        <v>108</v>
      </c>
      <c r="BQ3" s="36"/>
      <c r="BR3" s="35" t="e">
        <f>VLOOKUP(BQ3, Cat_Indicadores!B:C, 2, FALSE)</f>
        <v>#N/A</v>
      </c>
      <c r="BS3" s="35"/>
      <c r="BT3" s="35"/>
    </row>
    <row r="4" spans="1:72">
      <c r="A4" s="29" t="s">
        <v>114</v>
      </c>
      <c r="B4" s="30" t="s">
        <v>115</v>
      </c>
      <c r="C4" s="31">
        <v>46178.419918981483</v>
      </c>
      <c r="D4" s="30">
        <v>94</v>
      </c>
      <c r="E4" s="30" t="s">
        <v>74</v>
      </c>
      <c r="F4" s="30" t="s">
        <v>75</v>
      </c>
      <c r="G4" s="30" t="s">
        <v>76</v>
      </c>
      <c r="H4" s="30" t="s">
        <v>77</v>
      </c>
      <c r="I4" s="30" t="s">
        <v>78</v>
      </c>
      <c r="J4" s="30" t="s">
        <v>79</v>
      </c>
      <c r="K4" s="32">
        <v>12</v>
      </c>
      <c r="L4" s="32" t="s">
        <v>80</v>
      </c>
      <c r="M4" s="30" t="s">
        <v>116</v>
      </c>
      <c r="N4" s="30" t="s">
        <v>82</v>
      </c>
      <c r="O4" s="30" t="s">
        <v>83</v>
      </c>
      <c r="P4" s="33">
        <v>46127</v>
      </c>
      <c r="Q4" s="33">
        <v>46127</v>
      </c>
      <c r="R4" s="32">
        <v>1</v>
      </c>
      <c r="S4" s="30" t="s">
        <v>84</v>
      </c>
      <c r="T4" s="30" t="s">
        <v>117</v>
      </c>
      <c r="U4" s="30" t="s">
        <v>86</v>
      </c>
      <c r="V4" s="30" t="s">
        <v>87</v>
      </c>
      <c r="W4" s="30" t="s">
        <v>88</v>
      </c>
      <c r="X4" s="30" t="s">
        <v>89</v>
      </c>
      <c r="Z4" s="30" t="s">
        <v>118</v>
      </c>
      <c r="AB4" s="30" t="b">
        <v>0</v>
      </c>
      <c r="AC4" s="30"/>
      <c r="AD4" s="30" t="b">
        <v>0</v>
      </c>
      <c r="AF4" s="30" t="b">
        <v>0</v>
      </c>
      <c r="AH4" s="32" t="s">
        <v>91</v>
      </c>
      <c r="AI4" s="32"/>
      <c r="AJ4" s="32"/>
      <c r="AL4" s="30" t="s">
        <v>92</v>
      </c>
      <c r="AM4" s="30" t="s">
        <v>93</v>
      </c>
      <c r="AN4" s="30" t="s">
        <v>94</v>
      </c>
      <c r="AO4" s="30" t="s">
        <v>95</v>
      </c>
      <c r="AP4" s="30" t="s">
        <v>95</v>
      </c>
      <c r="AQ4" s="30" t="s">
        <v>96</v>
      </c>
      <c r="AR4" s="30" t="s">
        <v>97</v>
      </c>
      <c r="AS4" s="30" t="s">
        <v>112</v>
      </c>
      <c r="AT4" s="30" t="s">
        <v>99</v>
      </c>
      <c r="AU4" s="30" t="s">
        <v>100</v>
      </c>
      <c r="AV4" s="30" t="s">
        <v>101</v>
      </c>
      <c r="AW4" s="34" t="s">
        <v>102</v>
      </c>
      <c r="AX4" s="34" t="s">
        <v>86</v>
      </c>
      <c r="AY4" s="34" t="s">
        <v>103</v>
      </c>
      <c r="AZ4" s="34"/>
      <c r="BA4" s="34"/>
      <c r="BB4" s="34"/>
      <c r="BC4" s="34">
        <v>0</v>
      </c>
      <c r="BD4" s="34"/>
      <c r="BE4" s="34"/>
      <c r="BF4" s="34" t="b">
        <v>1</v>
      </c>
      <c r="BG4" s="34" t="s">
        <v>104</v>
      </c>
      <c r="BH4" s="34">
        <v>0</v>
      </c>
      <c r="BI4" s="34"/>
      <c r="BJ4" s="34"/>
      <c r="BK4" s="34"/>
      <c r="BL4" s="34" t="s">
        <v>113</v>
      </c>
      <c r="BM4" s="34" t="s">
        <v>106</v>
      </c>
      <c r="BN4" s="34" t="s">
        <v>107</v>
      </c>
      <c r="BO4" s="35"/>
      <c r="BP4" s="35" t="s">
        <v>108</v>
      </c>
      <c r="BQ4" s="36"/>
      <c r="BR4" s="35" t="e">
        <f>VLOOKUP(BQ4, Cat_Indicadores!B:C, 2, FALSE)</f>
        <v>#N/A</v>
      </c>
      <c r="BS4" s="35"/>
      <c r="BT4" s="35"/>
    </row>
    <row r="5" spans="1:72">
      <c r="A5" s="29" t="s">
        <v>119</v>
      </c>
      <c r="B5" s="30" t="s">
        <v>120</v>
      </c>
      <c r="C5" s="31">
        <v>46178.440497685187</v>
      </c>
      <c r="D5" s="30">
        <v>94</v>
      </c>
      <c r="E5" s="30" t="s">
        <v>74</v>
      </c>
      <c r="F5" s="30" t="s">
        <v>75</v>
      </c>
      <c r="G5" s="30" t="s">
        <v>76</v>
      </c>
      <c r="H5" s="30" t="s">
        <v>77</v>
      </c>
      <c r="I5" s="30" t="s">
        <v>78</v>
      </c>
      <c r="J5" s="30" t="s">
        <v>79</v>
      </c>
      <c r="K5" s="32">
        <v>12</v>
      </c>
      <c r="L5" s="32" t="s">
        <v>80</v>
      </c>
      <c r="M5" s="30" t="s">
        <v>121</v>
      </c>
      <c r="N5" s="30" t="s">
        <v>122</v>
      </c>
      <c r="O5" s="30" t="s">
        <v>83</v>
      </c>
      <c r="P5" s="33">
        <v>46134</v>
      </c>
      <c r="Q5" s="33">
        <v>46134</v>
      </c>
      <c r="R5" s="32">
        <v>1</v>
      </c>
      <c r="S5" s="30" t="s">
        <v>84</v>
      </c>
      <c r="T5" s="30" t="s">
        <v>117</v>
      </c>
      <c r="U5" s="30" t="s">
        <v>86</v>
      </c>
      <c r="V5" s="30" t="s">
        <v>87</v>
      </c>
      <c r="W5" s="30" t="s">
        <v>88</v>
      </c>
      <c r="X5" s="30" t="s">
        <v>89</v>
      </c>
      <c r="Z5" s="30" t="s">
        <v>118</v>
      </c>
      <c r="AB5" s="30" t="b">
        <v>0</v>
      </c>
      <c r="AC5" s="30"/>
      <c r="AD5" s="30" t="b">
        <v>0</v>
      </c>
      <c r="AF5" s="30" t="b">
        <v>0</v>
      </c>
      <c r="AH5" s="32" t="s">
        <v>91</v>
      </c>
      <c r="AI5" s="32"/>
      <c r="AJ5" s="32"/>
      <c r="AL5" s="30" t="s">
        <v>92</v>
      </c>
      <c r="AM5" s="30" t="s">
        <v>93</v>
      </c>
      <c r="AN5" s="30" t="s">
        <v>94</v>
      </c>
      <c r="AO5" s="30" t="s">
        <v>95</v>
      </c>
      <c r="AP5" s="30" t="s">
        <v>95</v>
      </c>
      <c r="AQ5" s="30" t="s">
        <v>96</v>
      </c>
      <c r="AR5" s="30" t="s">
        <v>97</v>
      </c>
      <c r="AS5" s="30" t="s">
        <v>112</v>
      </c>
      <c r="AT5" s="30" t="s">
        <v>99</v>
      </c>
      <c r="AU5" s="30" t="s">
        <v>100</v>
      </c>
      <c r="AV5" s="30" t="s">
        <v>101</v>
      </c>
      <c r="AW5" s="34" t="s">
        <v>102</v>
      </c>
      <c r="AX5" s="34" t="s">
        <v>86</v>
      </c>
      <c r="AY5" s="34" t="s">
        <v>103</v>
      </c>
      <c r="AZ5" s="34"/>
      <c r="BA5" s="34"/>
      <c r="BB5" s="34"/>
      <c r="BC5" s="34">
        <v>0</v>
      </c>
      <c r="BD5" s="34"/>
      <c r="BE5" s="34"/>
      <c r="BF5" s="34" t="b">
        <v>1</v>
      </c>
      <c r="BG5" s="34" t="s">
        <v>104</v>
      </c>
      <c r="BH5" s="34"/>
      <c r="BI5" s="34"/>
      <c r="BJ5" s="34"/>
      <c r="BK5" s="34"/>
      <c r="BL5" s="34" t="s">
        <v>113</v>
      </c>
      <c r="BM5" s="34" t="s">
        <v>106</v>
      </c>
      <c r="BN5" s="34" t="s">
        <v>107</v>
      </c>
      <c r="BO5" s="35"/>
      <c r="BP5" s="35" t="s">
        <v>108</v>
      </c>
      <c r="BQ5" s="36"/>
      <c r="BR5" s="35" t="e">
        <f>VLOOKUP(BQ5, Cat_Indicadores!B:C, 2, FALSE)</f>
        <v>#N/A</v>
      </c>
      <c r="BS5" s="35"/>
      <c r="BT5" s="35"/>
    </row>
    <row r="6" spans="1:72">
      <c r="A6" s="29" t="s">
        <v>123</v>
      </c>
      <c r="B6" s="30" t="s">
        <v>124</v>
      </c>
      <c r="C6" s="31">
        <v>46178.462835648148</v>
      </c>
      <c r="D6" s="30">
        <v>94</v>
      </c>
      <c r="E6" s="30" t="s">
        <v>74</v>
      </c>
      <c r="F6" s="30" t="s">
        <v>75</v>
      </c>
      <c r="G6" s="30" t="s">
        <v>76</v>
      </c>
      <c r="H6" s="30" t="s">
        <v>77</v>
      </c>
      <c r="I6" s="30" t="s">
        <v>78</v>
      </c>
      <c r="J6" s="30" t="s">
        <v>79</v>
      </c>
      <c r="K6" s="32">
        <v>12</v>
      </c>
      <c r="L6" s="32" t="s">
        <v>80</v>
      </c>
      <c r="M6" s="30" t="s">
        <v>125</v>
      </c>
      <c r="N6" s="30" t="s">
        <v>122</v>
      </c>
      <c r="O6" s="30" t="s">
        <v>83</v>
      </c>
      <c r="P6" s="33">
        <v>46141</v>
      </c>
      <c r="Q6" s="33">
        <v>46141</v>
      </c>
      <c r="R6" s="32">
        <v>1</v>
      </c>
      <c r="S6" s="30" t="s">
        <v>84</v>
      </c>
      <c r="T6" s="30" t="s">
        <v>117</v>
      </c>
      <c r="U6" s="30" t="s">
        <v>86</v>
      </c>
      <c r="V6" s="30" t="s">
        <v>87</v>
      </c>
      <c r="W6" s="30" t="s">
        <v>88</v>
      </c>
      <c r="X6" s="30" t="s">
        <v>89</v>
      </c>
      <c r="Z6" s="30" t="s">
        <v>118</v>
      </c>
      <c r="AB6" s="30" t="b">
        <v>0</v>
      </c>
      <c r="AC6" s="30"/>
      <c r="AD6" s="30" t="b">
        <v>0</v>
      </c>
      <c r="AF6" s="30" t="b">
        <v>0</v>
      </c>
      <c r="AH6" s="32" t="s">
        <v>91</v>
      </c>
      <c r="AI6" s="32"/>
      <c r="AJ6" s="32"/>
      <c r="AL6" s="30" t="s">
        <v>92</v>
      </c>
      <c r="AM6" s="30" t="s">
        <v>93</v>
      </c>
      <c r="AN6" s="30" t="s">
        <v>94</v>
      </c>
      <c r="AO6" s="30" t="s">
        <v>95</v>
      </c>
      <c r="AP6" s="30" t="s">
        <v>95</v>
      </c>
      <c r="AQ6" s="30" t="s">
        <v>96</v>
      </c>
      <c r="AR6" s="30" t="s">
        <v>97</v>
      </c>
      <c r="AS6" s="30" t="s">
        <v>112</v>
      </c>
      <c r="AT6" s="30" t="s">
        <v>99</v>
      </c>
      <c r="AU6" s="30" t="s">
        <v>100</v>
      </c>
      <c r="AV6" s="30" t="s">
        <v>101</v>
      </c>
      <c r="AW6" s="34" t="s">
        <v>102</v>
      </c>
      <c r="AX6" s="34" t="s">
        <v>86</v>
      </c>
      <c r="AY6" s="34" t="s">
        <v>103</v>
      </c>
      <c r="AZ6" s="34"/>
      <c r="BA6" s="34"/>
      <c r="BB6" s="34"/>
      <c r="BC6" s="34">
        <v>0</v>
      </c>
      <c r="BD6" s="34"/>
      <c r="BE6" s="34"/>
      <c r="BF6" s="34" t="b">
        <v>1</v>
      </c>
      <c r="BG6" s="34" t="s">
        <v>104</v>
      </c>
      <c r="BH6" s="34">
        <v>0</v>
      </c>
      <c r="BI6" s="34"/>
      <c r="BJ6" s="34"/>
      <c r="BK6" s="34"/>
      <c r="BL6" s="34" t="s">
        <v>113</v>
      </c>
      <c r="BM6" s="34" t="s">
        <v>106</v>
      </c>
      <c r="BN6" s="34" t="s">
        <v>107</v>
      </c>
      <c r="BO6" s="35"/>
      <c r="BP6" s="35" t="s">
        <v>108</v>
      </c>
      <c r="BQ6" s="36"/>
      <c r="BR6" s="35" t="e">
        <f>VLOOKUP(BQ6, Cat_Indicadores!B:C, 2, FALSE)</f>
        <v>#N/A</v>
      </c>
      <c r="BS6" s="35"/>
      <c r="BT6" s="35"/>
    </row>
    <row r="7" spans="1:72">
      <c r="A7" s="29" t="s">
        <v>126</v>
      </c>
      <c r="B7" s="30" t="s">
        <v>127</v>
      </c>
      <c r="C7" s="31">
        <v>46183.455439814818</v>
      </c>
      <c r="D7" s="30">
        <v>94</v>
      </c>
      <c r="E7" s="30" t="s">
        <v>74</v>
      </c>
      <c r="F7" s="30" t="s">
        <v>75</v>
      </c>
      <c r="G7" s="30" t="s">
        <v>76</v>
      </c>
      <c r="H7" s="30" t="s">
        <v>77</v>
      </c>
      <c r="I7" s="30" t="s">
        <v>78</v>
      </c>
      <c r="J7" s="30" t="s">
        <v>79</v>
      </c>
      <c r="K7" s="32">
        <v>12</v>
      </c>
      <c r="L7" s="32" t="s">
        <v>80</v>
      </c>
      <c r="M7" s="30" t="s">
        <v>128</v>
      </c>
      <c r="N7" s="30" t="s">
        <v>122</v>
      </c>
      <c r="O7" s="30" t="s">
        <v>83</v>
      </c>
      <c r="P7" s="33">
        <v>46150</v>
      </c>
      <c r="Q7" s="33">
        <v>46150</v>
      </c>
      <c r="R7" s="32">
        <v>1</v>
      </c>
      <c r="S7" s="30" t="s">
        <v>84</v>
      </c>
      <c r="T7" s="30" t="s">
        <v>117</v>
      </c>
      <c r="U7" s="30" t="s">
        <v>86</v>
      </c>
      <c r="V7" s="30" t="s">
        <v>87</v>
      </c>
      <c r="W7" s="30" t="s">
        <v>88</v>
      </c>
      <c r="X7" s="30" t="s">
        <v>89</v>
      </c>
      <c r="Z7" s="30" t="s">
        <v>111</v>
      </c>
      <c r="AB7" s="30" t="b">
        <v>0</v>
      </c>
      <c r="AC7" s="30"/>
      <c r="AD7" s="30" t="b">
        <v>0</v>
      </c>
      <c r="AF7" s="30" t="b">
        <v>0</v>
      </c>
      <c r="AH7" s="32" t="s">
        <v>91</v>
      </c>
      <c r="AI7" s="32"/>
      <c r="AJ7" s="32"/>
      <c r="AL7" s="30" t="s">
        <v>92</v>
      </c>
      <c r="AM7" s="30" t="s">
        <v>93</v>
      </c>
      <c r="AN7" s="30" t="s">
        <v>94</v>
      </c>
      <c r="AO7" s="30" t="s">
        <v>95</v>
      </c>
      <c r="AP7" s="30" t="s">
        <v>95</v>
      </c>
      <c r="AQ7" s="30" t="s">
        <v>96</v>
      </c>
      <c r="AR7" s="30" t="s">
        <v>97</v>
      </c>
      <c r="AS7" s="30" t="s">
        <v>112</v>
      </c>
      <c r="AT7" s="30" t="s">
        <v>99</v>
      </c>
      <c r="AU7" s="30" t="s">
        <v>100</v>
      </c>
      <c r="AV7" s="30" t="s">
        <v>101</v>
      </c>
      <c r="AW7" s="34" t="s">
        <v>102</v>
      </c>
      <c r="AX7" s="34" t="s">
        <v>86</v>
      </c>
      <c r="AY7" s="34" t="s">
        <v>103</v>
      </c>
      <c r="AZ7" s="34"/>
      <c r="BA7" s="34"/>
      <c r="BB7" s="34"/>
      <c r="BC7" s="34">
        <v>0</v>
      </c>
      <c r="BD7" s="34"/>
      <c r="BE7" s="34"/>
      <c r="BF7" s="34" t="b">
        <v>1</v>
      </c>
      <c r="BG7" s="34" t="s">
        <v>104</v>
      </c>
      <c r="BH7" s="34"/>
      <c r="BI7" s="34"/>
      <c r="BJ7" s="34"/>
      <c r="BK7" s="34"/>
      <c r="BL7" s="34" t="s">
        <v>113</v>
      </c>
      <c r="BM7" s="34" t="s">
        <v>106</v>
      </c>
      <c r="BN7" s="34" t="s">
        <v>107</v>
      </c>
      <c r="BO7" s="35"/>
      <c r="BP7" s="35" t="s">
        <v>108</v>
      </c>
      <c r="BQ7" s="36"/>
      <c r="BR7" s="35" t="e">
        <f>VLOOKUP(BQ7, Cat_Indicadores!B:C, 2, FALSE)</f>
        <v>#N/A</v>
      </c>
      <c r="BS7" s="35"/>
      <c r="BT7" s="35"/>
    </row>
    <row r="8" spans="1:72">
      <c r="A8" s="29" t="s">
        <v>129</v>
      </c>
      <c r="B8" s="30" t="s">
        <v>130</v>
      </c>
      <c r="C8" s="31">
        <v>46183.486875000002</v>
      </c>
      <c r="D8" s="30">
        <v>94</v>
      </c>
      <c r="E8" s="30" t="s">
        <v>74</v>
      </c>
      <c r="F8" s="30" t="s">
        <v>75</v>
      </c>
      <c r="G8" s="30" t="s">
        <v>76</v>
      </c>
      <c r="H8" s="30" t="s">
        <v>77</v>
      </c>
      <c r="I8" s="30" t="s">
        <v>78</v>
      </c>
      <c r="J8" s="30" t="s">
        <v>79</v>
      </c>
      <c r="K8" s="32">
        <v>12</v>
      </c>
      <c r="L8" s="32" t="s">
        <v>80</v>
      </c>
      <c r="M8" s="30" t="s">
        <v>128</v>
      </c>
      <c r="N8" s="30" t="s">
        <v>122</v>
      </c>
      <c r="O8" s="30" t="s">
        <v>83</v>
      </c>
      <c r="P8" s="33">
        <v>46186</v>
      </c>
      <c r="Q8" s="33">
        <v>46186</v>
      </c>
      <c r="R8" s="32">
        <v>1</v>
      </c>
      <c r="S8" s="30" t="s">
        <v>84</v>
      </c>
      <c r="T8" s="30" t="s">
        <v>117</v>
      </c>
      <c r="U8" s="30" t="s">
        <v>86</v>
      </c>
      <c r="V8" s="30" t="s">
        <v>87</v>
      </c>
      <c r="W8" s="30" t="s">
        <v>88</v>
      </c>
      <c r="X8" s="30" t="s">
        <v>89</v>
      </c>
      <c r="Z8" s="30" t="s">
        <v>90</v>
      </c>
      <c r="AB8" s="30" t="b">
        <v>0</v>
      </c>
      <c r="AC8" s="30"/>
      <c r="AD8" s="30" t="b">
        <v>0</v>
      </c>
      <c r="AF8" s="30" t="b">
        <v>0</v>
      </c>
      <c r="AH8" s="32" t="s">
        <v>91</v>
      </c>
      <c r="AI8" s="32"/>
      <c r="AJ8" s="32"/>
      <c r="AL8" s="30" t="s">
        <v>92</v>
      </c>
      <c r="AM8" s="30" t="s">
        <v>93</v>
      </c>
      <c r="AN8" s="30" t="s">
        <v>94</v>
      </c>
      <c r="AO8" s="30" t="s">
        <v>95</v>
      </c>
      <c r="AP8" s="30" t="s">
        <v>95</v>
      </c>
      <c r="AQ8" s="30" t="s">
        <v>96</v>
      </c>
      <c r="AR8" s="30" t="s">
        <v>97</v>
      </c>
      <c r="AS8" s="30" t="s">
        <v>98</v>
      </c>
      <c r="AT8" s="30" t="s">
        <v>99</v>
      </c>
      <c r="AU8" s="30" t="s">
        <v>100</v>
      </c>
      <c r="AV8" s="30" t="s">
        <v>101</v>
      </c>
      <c r="AW8" s="34" t="s">
        <v>102</v>
      </c>
      <c r="AX8" s="34" t="s">
        <v>86</v>
      </c>
      <c r="AY8" s="34" t="s">
        <v>103</v>
      </c>
      <c r="AZ8" s="34"/>
      <c r="BA8" s="34"/>
      <c r="BB8" s="34"/>
      <c r="BC8" s="34">
        <v>0</v>
      </c>
      <c r="BD8" s="34"/>
      <c r="BE8" s="34"/>
      <c r="BF8" s="34" t="b">
        <v>1</v>
      </c>
      <c r="BG8" s="34" t="s">
        <v>104</v>
      </c>
      <c r="BH8" s="34"/>
      <c r="BI8" s="34"/>
      <c r="BJ8" s="34"/>
      <c r="BK8" s="34"/>
      <c r="BL8" s="34" t="s">
        <v>113</v>
      </c>
      <c r="BM8" s="34" t="s">
        <v>106</v>
      </c>
      <c r="BN8" s="34" t="s">
        <v>107</v>
      </c>
      <c r="BO8" s="35"/>
      <c r="BP8" s="35" t="s">
        <v>108</v>
      </c>
      <c r="BQ8" s="36"/>
      <c r="BR8" s="35" t="e">
        <f>VLOOKUP(BQ8, Cat_Indicadores!B:C, 2, FALSE)</f>
        <v>#N/A</v>
      </c>
      <c r="BS8" s="35"/>
      <c r="BT8" s="35"/>
    </row>
    <row r="9" spans="1:72">
      <c r="A9" s="29" t="s">
        <v>131</v>
      </c>
      <c r="B9" s="30" t="s">
        <v>132</v>
      </c>
      <c r="C9" s="31">
        <v>46184.436863425923</v>
      </c>
      <c r="D9" s="30">
        <v>92</v>
      </c>
      <c r="E9" s="30" t="s">
        <v>74</v>
      </c>
      <c r="F9" s="30" t="s">
        <v>75</v>
      </c>
      <c r="G9" s="30" t="s">
        <v>133</v>
      </c>
      <c r="H9" s="30" t="s">
        <v>77</v>
      </c>
      <c r="I9" s="30" t="s">
        <v>78</v>
      </c>
      <c r="J9" s="30" t="s">
        <v>79</v>
      </c>
      <c r="K9" s="32">
        <v>800</v>
      </c>
      <c r="L9" s="32" t="s">
        <v>80</v>
      </c>
      <c r="M9" s="30" t="s">
        <v>134</v>
      </c>
      <c r="N9" s="30" t="s">
        <v>135</v>
      </c>
      <c r="O9" s="30" t="s">
        <v>83</v>
      </c>
      <c r="P9" s="33">
        <v>46169</v>
      </c>
      <c r="Q9" s="33">
        <v>46169</v>
      </c>
      <c r="R9" s="32">
        <v>1</v>
      </c>
      <c r="S9" s="30" t="s">
        <v>84</v>
      </c>
      <c r="T9" s="30" t="s">
        <v>136</v>
      </c>
      <c r="U9" s="30" t="s">
        <v>137</v>
      </c>
      <c r="V9" s="30" t="s">
        <v>138</v>
      </c>
      <c r="W9" s="30" t="s">
        <v>88</v>
      </c>
      <c r="X9" s="30" t="s">
        <v>139</v>
      </c>
      <c r="Z9" s="30" t="s">
        <v>140</v>
      </c>
      <c r="AB9" s="30" t="b">
        <v>0</v>
      </c>
      <c r="AC9" s="30"/>
      <c r="AD9" s="30" t="b">
        <v>1</v>
      </c>
      <c r="AE9" s="30">
        <v>1</v>
      </c>
      <c r="AF9" s="30" t="b">
        <v>0</v>
      </c>
      <c r="AH9" s="32" t="s">
        <v>91</v>
      </c>
      <c r="AI9" s="32"/>
      <c r="AJ9" s="32"/>
      <c r="AL9" s="30" t="s">
        <v>92</v>
      </c>
      <c r="AM9" s="30" t="s">
        <v>141</v>
      </c>
      <c r="AN9" s="30" t="s">
        <v>94</v>
      </c>
      <c r="AO9" s="30" t="s">
        <v>142</v>
      </c>
      <c r="AP9" s="30" t="s">
        <v>143</v>
      </c>
      <c r="AQ9" s="30" t="s">
        <v>144</v>
      </c>
      <c r="AR9" s="30" t="s">
        <v>145</v>
      </c>
      <c r="AT9" s="30" t="s">
        <v>99</v>
      </c>
      <c r="AU9" s="30" t="s">
        <v>146</v>
      </c>
      <c r="AV9" s="30" t="s">
        <v>147</v>
      </c>
      <c r="AW9" s="34" t="s">
        <v>102</v>
      </c>
      <c r="AX9" s="34" t="s">
        <v>148</v>
      </c>
      <c r="AY9" s="34" t="s">
        <v>149</v>
      </c>
      <c r="AZ9" s="34" t="s">
        <v>149</v>
      </c>
      <c r="BA9" s="34"/>
      <c r="BB9" s="34"/>
      <c r="BC9" s="34">
        <v>0</v>
      </c>
      <c r="BD9" s="34"/>
      <c r="BE9" s="34"/>
      <c r="BF9" s="34" t="b">
        <v>1</v>
      </c>
      <c r="BG9" s="34" t="s">
        <v>150</v>
      </c>
      <c r="BH9" s="34"/>
      <c r="BI9" s="34"/>
      <c r="BJ9" s="34"/>
      <c r="BK9" s="34"/>
      <c r="BL9" s="34" t="s">
        <v>151</v>
      </c>
      <c r="BM9" s="34" t="s">
        <v>106</v>
      </c>
      <c r="BN9" s="34" t="s">
        <v>107</v>
      </c>
      <c r="BO9" s="35"/>
      <c r="BP9" s="35" t="s">
        <v>108</v>
      </c>
      <c r="BQ9" s="36"/>
      <c r="BR9" s="35" t="e">
        <f>VLOOKUP(BQ9, Cat_Indicadores!B:C, 2, FALSE)</f>
        <v>#N/A</v>
      </c>
      <c r="BS9" s="35"/>
      <c r="BT9" s="35"/>
    </row>
    <row r="10" spans="1:72">
      <c r="A10" s="29" t="s">
        <v>152</v>
      </c>
      <c r="B10" s="30" t="s">
        <v>153</v>
      </c>
      <c r="C10" s="31">
        <v>46184.471365740741</v>
      </c>
      <c r="D10" s="30">
        <v>92</v>
      </c>
      <c r="E10" s="30" t="s">
        <v>74</v>
      </c>
      <c r="F10" s="30" t="s">
        <v>75</v>
      </c>
      <c r="G10" s="30" t="s">
        <v>133</v>
      </c>
      <c r="H10" s="30" t="s">
        <v>77</v>
      </c>
      <c r="I10" s="30" t="s">
        <v>78</v>
      </c>
      <c r="J10" s="30" t="s">
        <v>79</v>
      </c>
      <c r="K10" s="32">
        <v>800</v>
      </c>
      <c r="L10" s="32" t="s">
        <v>80</v>
      </c>
      <c r="M10" s="30" t="s">
        <v>154</v>
      </c>
      <c r="N10" s="30" t="s">
        <v>155</v>
      </c>
      <c r="O10" s="30" t="s">
        <v>83</v>
      </c>
      <c r="P10" s="33">
        <v>46169</v>
      </c>
      <c r="Q10" s="33">
        <v>46169</v>
      </c>
      <c r="R10" s="32">
        <v>1</v>
      </c>
      <c r="S10" s="30" t="s">
        <v>84</v>
      </c>
      <c r="T10" s="30" t="s">
        <v>117</v>
      </c>
      <c r="U10" s="30" t="s">
        <v>86</v>
      </c>
      <c r="V10" s="30" t="s">
        <v>138</v>
      </c>
      <c r="W10" s="30" t="s">
        <v>88</v>
      </c>
      <c r="X10" s="30" t="s">
        <v>139</v>
      </c>
      <c r="Z10" s="30" t="s">
        <v>140</v>
      </c>
      <c r="AB10" s="30" t="b">
        <v>0</v>
      </c>
      <c r="AC10" s="30"/>
      <c r="AD10" s="30" t="b">
        <v>1</v>
      </c>
      <c r="AE10" s="30">
        <v>1</v>
      </c>
      <c r="AF10" s="30" t="b">
        <v>0</v>
      </c>
      <c r="AH10" s="32" t="s">
        <v>91</v>
      </c>
      <c r="AI10" s="32"/>
      <c r="AJ10" s="32"/>
      <c r="AL10" s="30" t="s">
        <v>92</v>
      </c>
      <c r="AM10" s="30" t="s">
        <v>141</v>
      </c>
      <c r="AN10" s="30" t="s">
        <v>94</v>
      </c>
      <c r="AO10" s="30" t="s">
        <v>142</v>
      </c>
      <c r="AP10" s="30" t="s">
        <v>143</v>
      </c>
      <c r="AQ10" s="30" t="s">
        <v>144</v>
      </c>
      <c r="AR10" s="30" t="s">
        <v>145</v>
      </c>
      <c r="AT10" s="30" t="s">
        <v>99</v>
      </c>
      <c r="AU10" s="30" t="s">
        <v>146</v>
      </c>
      <c r="AV10" s="30" t="s">
        <v>147</v>
      </c>
      <c r="AW10" s="34" t="s">
        <v>102</v>
      </c>
      <c r="AX10" s="34" t="s">
        <v>86</v>
      </c>
      <c r="AY10" s="34" t="s">
        <v>103</v>
      </c>
      <c r="AZ10" s="34"/>
      <c r="BA10" s="34"/>
      <c r="BB10" s="34"/>
      <c r="BC10" s="34">
        <v>0</v>
      </c>
      <c r="BD10" s="34"/>
      <c r="BE10" s="34"/>
      <c r="BF10" s="34" t="b">
        <v>1</v>
      </c>
      <c r="BG10" s="34" t="s">
        <v>150</v>
      </c>
      <c r="BH10" s="34"/>
      <c r="BI10" s="34"/>
      <c r="BJ10" s="34"/>
      <c r="BK10" s="34"/>
      <c r="BL10" s="34" t="s">
        <v>151</v>
      </c>
      <c r="BM10" s="34" t="s">
        <v>106</v>
      </c>
      <c r="BN10" s="34" t="s">
        <v>107</v>
      </c>
      <c r="BO10" s="35"/>
      <c r="BP10" s="35" t="s">
        <v>108</v>
      </c>
      <c r="BQ10" s="36"/>
      <c r="BR10" s="35" t="e">
        <f>VLOOKUP(BQ10, Cat_Indicadores!B:C, 2, FALSE)</f>
        <v>#N/A</v>
      </c>
      <c r="BS10" s="35"/>
      <c r="BT10" s="35"/>
    </row>
    <row r="11" spans="1:72">
      <c r="A11" s="29" t="s">
        <v>156</v>
      </c>
      <c r="B11" s="30" t="s">
        <v>157</v>
      </c>
      <c r="C11" s="31">
        <v>46184.586608796293</v>
      </c>
      <c r="D11" s="30">
        <v>92</v>
      </c>
      <c r="E11" s="30" t="s">
        <v>74</v>
      </c>
      <c r="F11" s="30" t="s">
        <v>75</v>
      </c>
      <c r="G11" s="30" t="s">
        <v>133</v>
      </c>
      <c r="H11" s="30" t="s">
        <v>77</v>
      </c>
      <c r="I11" s="30" t="s">
        <v>78</v>
      </c>
      <c r="J11" s="30" t="s">
        <v>79</v>
      </c>
      <c r="K11" s="32">
        <v>800</v>
      </c>
      <c r="L11" s="32" t="s">
        <v>80</v>
      </c>
      <c r="M11" s="30" t="s">
        <v>158</v>
      </c>
      <c r="N11" s="30" t="s">
        <v>159</v>
      </c>
      <c r="O11" s="30" t="s">
        <v>83</v>
      </c>
      <c r="P11" s="33">
        <v>46170</v>
      </c>
      <c r="Q11" s="33">
        <v>46170</v>
      </c>
      <c r="R11" s="32">
        <v>1</v>
      </c>
      <c r="S11" s="30" t="s">
        <v>84</v>
      </c>
      <c r="T11" s="30" t="s">
        <v>136</v>
      </c>
      <c r="U11" s="30" t="s">
        <v>160</v>
      </c>
      <c r="V11" s="30" t="s">
        <v>87</v>
      </c>
      <c r="W11" s="30" t="s">
        <v>88</v>
      </c>
      <c r="X11" s="30" t="s">
        <v>139</v>
      </c>
      <c r="Z11" s="30" t="s">
        <v>140</v>
      </c>
      <c r="AB11" s="30" t="b">
        <v>0</v>
      </c>
      <c r="AC11" s="30"/>
      <c r="AD11" s="30" t="b">
        <v>1</v>
      </c>
      <c r="AE11" s="30">
        <v>1</v>
      </c>
      <c r="AF11" s="30" t="b">
        <v>0</v>
      </c>
      <c r="AH11" s="32" t="s">
        <v>91</v>
      </c>
      <c r="AI11" s="32"/>
      <c r="AJ11" s="32"/>
      <c r="AL11" s="30" t="s">
        <v>92</v>
      </c>
      <c r="AM11" s="30" t="s">
        <v>141</v>
      </c>
      <c r="AN11" s="30" t="s">
        <v>94</v>
      </c>
      <c r="AO11" s="30" t="s">
        <v>142</v>
      </c>
      <c r="AP11" s="30" t="s">
        <v>143</v>
      </c>
      <c r="AQ11" s="30" t="s">
        <v>144</v>
      </c>
      <c r="AR11" s="30" t="s">
        <v>145</v>
      </c>
      <c r="AT11" s="30" t="s">
        <v>99</v>
      </c>
      <c r="AU11" s="30" t="s">
        <v>146</v>
      </c>
      <c r="AV11" s="30" t="s">
        <v>147</v>
      </c>
      <c r="AW11" s="34" t="s">
        <v>102</v>
      </c>
      <c r="AX11" s="34" t="s">
        <v>148</v>
      </c>
      <c r="AY11" s="34" t="s">
        <v>149</v>
      </c>
      <c r="AZ11" s="34"/>
      <c r="BA11" s="34"/>
      <c r="BB11" s="34"/>
      <c r="BC11" s="34">
        <v>0</v>
      </c>
      <c r="BD11" s="34"/>
      <c r="BE11" s="34"/>
      <c r="BF11" s="34" t="b">
        <v>1</v>
      </c>
      <c r="BG11" s="34" t="s">
        <v>150</v>
      </c>
      <c r="BH11" s="34"/>
      <c r="BI11" s="34"/>
      <c r="BJ11" s="34"/>
      <c r="BK11" s="34"/>
      <c r="BL11" s="34" t="s">
        <v>161</v>
      </c>
      <c r="BM11" s="34" t="s">
        <v>106</v>
      </c>
      <c r="BN11" s="34" t="s">
        <v>107</v>
      </c>
      <c r="BO11" s="35"/>
      <c r="BP11" s="35" t="s">
        <v>108</v>
      </c>
      <c r="BQ11" s="36"/>
      <c r="BR11" s="35" t="e">
        <f>VLOOKUP(BQ11, Cat_Indicadores!B:C, 2, FALSE)</f>
        <v>#N/A</v>
      </c>
      <c r="BS11" s="35"/>
      <c r="BT11" s="35"/>
    </row>
    <row r="12" spans="1:72">
      <c r="A12" s="29" t="s">
        <v>162</v>
      </c>
      <c r="B12" s="30" t="s">
        <v>163</v>
      </c>
      <c r="C12" s="31">
        <v>46184.606458333335</v>
      </c>
      <c r="D12" s="30">
        <v>92</v>
      </c>
      <c r="E12" s="30" t="s">
        <v>74</v>
      </c>
      <c r="F12" s="30" t="s">
        <v>75</v>
      </c>
      <c r="G12" s="30" t="s">
        <v>133</v>
      </c>
      <c r="H12" s="30" t="s">
        <v>77</v>
      </c>
      <c r="I12" s="30" t="s">
        <v>78</v>
      </c>
      <c r="J12" s="30" t="s">
        <v>79</v>
      </c>
      <c r="K12" s="32">
        <v>800</v>
      </c>
      <c r="L12" s="32" t="s">
        <v>80</v>
      </c>
      <c r="M12" s="30" t="s">
        <v>164</v>
      </c>
      <c r="N12" s="30" t="s">
        <v>165</v>
      </c>
      <c r="O12" s="30" t="s">
        <v>83</v>
      </c>
      <c r="P12" s="33">
        <v>46170</v>
      </c>
      <c r="Q12" s="33">
        <v>46170</v>
      </c>
      <c r="R12" s="32">
        <v>1</v>
      </c>
      <c r="S12" s="30" t="s">
        <v>84</v>
      </c>
      <c r="T12" s="30" t="s">
        <v>136</v>
      </c>
      <c r="U12" s="30" t="s">
        <v>166</v>
      </c>
      <c r="V12" s="30" t="s">
        <v>87</v>
      </c>
      <c r="W12" s="30" t="s">
        <v>88</v>
      </c>
      <c r="X12" s="30" t="s">
        <v>139</v>
      </c>
      <c r="Z12" s="30" t="s">
        <v>140</v>
      </c>
      <c r="AB12" s="30" t="b">
        <v>0</v>
      </c>
      <c r="AC12" s="30"/>
      <c r="AD12" s="30" t="b">
        <v>0</v>
      </c>
      <c r="AF12" s="30" t="b">
        <v>0</v>
      </c>
      <c r="AH12" s="32" t="s">
        <v>91</v>
      </c>
      <c r="AI12" s="32"/>
      <c r="AJ12" s="32"/>
      <c r="AL12" s="30" t="s">
        <v>92</v>
      </c>
      <c r="AM12" s="30" t="s">
        <v>141</v>
      </c>
      <c r="AN12" s="30" t="s">
        <v>94</v>
      </c>
      <c r="AO12" s="30" t="s">
        <v>142</v>
      </c>
      <c r="AP12" s="30" t="s">
        <v>143</v>
      </c>
      <c r="AQ12" s="30" t="s">
        <v>144</v>
      </c>
      <c r="AR12" s="30" t="s">
        <v>97</v>
      </c>
      <c r="AT12" s="30" t="s">
        <v>99</v>
      </c>
      <c r="AU12" s="30" t="s">
        <v>146</v>
      </c>
      <c r="AV12" s="30" t="s">
        <v>147</v>
      </c>
      <c r="AW12" s="34" t="s">
        <v>102</v>
      </c>
      <c r="AX12" s="34" t="s">
        <v>137</v>
      </c>
      <c r="AY12" s="34" t="s">
        <v>167</v>
      </c>
      <c r="AZ12" s="34"/>
      <c r="BA12" s="34"/>
      <c r="BB12" s="34"/>
      <c r="BC12" s="34">
        <v>0</v>
      </c>
      <c r="BD12" s="34"/>
      <c r="BE12" s="34"/>
      <c r="BF12" s="34" t="b">
        <v>1</v>
      </c>
      <c r="BG12" s="34" t="s">
        <v>150</v>
      </c>
      <c r="BH12" s="34"/>
      <c r="BI12" s="34"/>
      <c r="BJ12" s="34"/>
      <c r="BK12" s="34"/>
      <c r="BL12" s="34"/>
      <c r="BM12" s="34" t="s">
        <v>168</v>
      </c>
      <c r="BN12" s="34" t="s">
        <v>107</v>
      </c>
      <c r="BO12" s="35"/>
      <c r="BP12" s="35" t="s">
        <v>108</v>
      </c>
      <c r="BQ12" s="36"/>
      <c r="BR12" s="35" t="e">
        <f>VLOOKUP(BQ12, Cat_Indicadores!B:C, 2, FALSE)</f>
        <v>#N/A</v>
      </c>
      <c r="BS12" s="35"/>
      <c r="BT12" s="35"/>
    </row>
    <row r="13" spans="1:72">
      <c r="A13" s="29" t="s">
        <v>169</v>
      </c>
      <c r="B13" s="30" t="s">
        <v>170</v>
      </c>
      <c r="C13" s="31">
        <v>46184.65892361111</v>
      </c>
      <c r="D13" s="30">
        <v>92</v>
      </c>
      <c r="E13" s="30" t="s">
        <v>74</v>
      </c>
      <c r="F13" s="30" t="s">
        <v>75</v>
      </c>
      <c r="G13" s="30" t="s">
        <v>133</v>
      </c>
      <c r="H13" s="30" t="s">
        <v>77</v>
      </c>
      <c r="I13" s="30" t="s">
        <v>78</v>
      </c>
      <c r="J13" s="30" t="s">
        <v>79</v>
      </c>
      <c r="K13" s="32">
        <v>800</v>
      </c>
      <c r="L13" s="32" t="s">
        <v>80</v>
      </c>
      <c r="M13" s="30" t="s">
        <v>171</v>
      </c>
      <c r="N13" s="30" t="s">
        <v>172</v>
      </c>
      <c r="O13" s="30" t="s">
        <v>83</v>
      </c>
      <c r="P13" s="33">
        <v>46170</v>
      </c>
      <c r="Q13" s="33">
        <v>46170</v>
      </c>
      <c r="R13" s="32">
        <v>1</v>
      </c>
      <c r="S13" s="30" t="s">
        <v>84</v>
      </c>
      <c r="T13" s="30" t="s">
        <v>136</v>
      </c>
      <c r="U13" s="30" t="s">
        <v>160</v>
      </c>
      <c r="V13" s="30" t="s">
        <v>87</v>
      </c>
      <c r="W13" s="30" t="s">
        <v>88</v>
      </c>
      <c r="X13" s="30" t="s">
        <v>139</v>
      </c>
      <c r="Z13" s="30" t="s">
        <v>140</v>
      </c>
      <c r="AB13" s="30" t="b">
        <v>0</v>
      </c>
      <c r="AC13" s="30"/>
      <c r="AD13" s="30" t="b">
        <v>1</v>
      </c>
      <c r="AE13" s="30">
        <v>1</v>
      </c>
      <c r="AF13" s="30" t="b">
        <v>0</v>
      </c>
      <c r="AH13" s="32" t="s">
        <v>91</v>
      </c>
      <c r="AI13" s="32"/>
      <c r="AJ13" s="32"/>
      <c r="AL13" s="30" t="s">
        <v>92</v>
      </c>
      <c r="AM13" s="30" t="s">
        <v>141</v>
      </c>
      <c r="AN13" s="30" t="s">
        <v>94</v>
      </c>
      <c r="AO13" s="30" t="s">
        <v>142</v>
      </c>
      <c r="AP13" s="30" t="s">
        <v>143</v>
      </c>
      <c r="AQ13" s="30" t="s">
        <v>144</v>
      </c>
      <c r="AR13" s="30" t="s">
        <v>145</v>
      </c>
      <c r="AT13" s="30" t="s">
        <v>99</v>
      </c>
      <c r="AU13" s="30" t="s">
        <v>146</v>
      </c>
      <c r="AV13" s="30" t="s">
        <v>147</v>
      </c>
      <c r="AW13" s="34" t="s">
        <v>102</v>
      </c>
      <c r="AX13" s="34" t="s">
        <v>148</v>
      </c>
      <c r="AY13" s="34" t="s">
        <v>103</v>
      </c>
      <c r="AZ13" s="34"/>
      <c r="BA13" s="34"/>
      <c r="BB13" s="34"/>
      <c r="BC13" s="34">
        <v>0</v>
      </c>
      <c r="BD13" s="34"/>
      <c r="BE13" s="34"/>
      <c r="BF13" s="34" t="b">
        <v>1</v>
      </c>
      <c r="BG13" s="34" t="s">
        <v>150</v>
      </c>
      <c r="BH13" s="34"/>
      <c r="BI13" s="34"/>
      <c r="BJ13" s="34"/>
      <c r="BK13" s="34"/>
      <c r="BL13" s="34" t="s">
        <v>161</v>
      </c>
      <c r="BM13" s="34" t="s">
        <v>106</v>
      </c>
      <c r="BN13" s="34"/>
      <c r="BO13" s="35"/>
      <c r="BP13" s="35" t="s">
        <v>108</v>
      </c>
      <c r="BQ13" s="36"/>
      <c r="BR13" s="35" t="e">
        <f>VLOOKUP(BQ13, Cat_Indicadores!B:C, 2, FALSE)</f>
        <v>#N/A</v>
      </c>
      <c r="BS13" s="35"/>
      <c r="BT13" s="35"/>
    </row>
    <row r="14" spans="1:72">
      <c r="A14" s="29" t="s">
        <v>173</v>
      </c>
      <c r="B14" s="30" t="s">
        <v>174</v>
      </c>
      <c r="C14" s="31">
        <v>46185.441250000003</v>
      </c>
      <c r="D14" s="30">
        <v>92</v>
      </c>
      <c r="E14" s="30" t="s">
        <v>74</v>
      </c>
      <c r="F14" s="30" t="s">
        <v>75</v>
      </c>
      <c r="G14" s="30" t="s">
        <v>133</v>
      </c>
      <c r="H14" s="30" t="s">
        <v>77</v>
      </c>
      <c r="I14" s="30" t="s">
        <v>78</v>
      </c>
      <c r="J14" s="30" t="s">
        <v>79</v>
      </c>
      <c r="K14" s="32">
        <v>800</v>
      </c>
      <c r="L14" s="32" t="s">
        <v>80</v>
      </c>
      <c r="M14" s="30" t="s">
        <v>175</v>
      </c>
      <c r="N14" s="30" t="s">
        <v>155</v>
      </c>
      <c r="O14" s="30" t="s">
        <v>83</v>
      </c>
      <c r="P14" s="33">
        <v>46170</v>
      </c>
      <c r="Q14" s="33">
        <v>46170</v>
      </c>
      <c r="R14" s="32">
        <v>1</v>
      </c>
      <c r="S14" s="30" t="s">
        <v>84</v>
      </c>
      <c r="T14" s="30" t="s">
        <v>117</v>
      </c>
      <c r="U14" s="30" t="s">
        <v>86</v>
      </c>
      <c r="V14" s="30" t="s">
        <v>138</v>
      </c>
      <c r="W14" s="30" t="s">
        <v>88</v>
      </c>
      <c r="X14" s="30" t="s">
        <v>139</v>
      </c>
      <c r="Z14" s="30" t="s">
        <v>140</v>
      </c>
      <c r="AB14" s="30" t="b">
        <v>0</v>
      </c>
      <c r="AC14" s="30"/>
      <c r="AD14" s="30" t="b">
        <v>1</v>
      </c>
      <c r="AE14" s="30">
        <v>1</v>
      </c>
      <c r="AF14" s="30" t="b">
        <v>0</v>
      </c>
      <c r="AH14" s="32" t="s">
        <v>91</v>
      </c>
      <c r="AI14" s="32"/>
      <c r="AJ14" s="32"/>
      <c r="AL14" s="30" t="s">
        <v>92</v>
      </c>
      <c r="AM14" s="30" t="s">
        <v>141</v>
      </c>
      <c r="AN14" s="30" t="s">
        <v>94</v>
      </c>
      <c r="AO14" s="30" t="s">
        <v>142</v>
      </c>
      <c r="AP14" s="30" t="s">
        <v>143</v>
      </c>
      <c r="AQ14" s="30" t="s">
        <v>144</v>
      </c>
      <c r="AR14" s="30" t="s">
        <v>145</v>
      </c>
      <c r="AT14" s="30" t="s">
        <v>99</v>
      </c>
      <c r="AU14" s="30" t="s">
        <v>146</v>
      </c>
      <c r="AV14" s="30" t="s">
        <v>147</v>
      </c>
      <c r="AW14" s="34" t="s">
        <v>102</v>
      </c>
      <c r="AX14" s="34" t="s">
        <v>86</v>
      </c>
      <c r="AY14" s="34" t="s">
        <v>103</v>
      </c>
      <c r="AZ14" s="34"/>
      <c r="BA14" s="34"/>
      <c r="BB14" s="34"/>
      <c r="BC14" s="34">
        <v>0</v>
      </c>
      <c r="BD14" s="34"/>
      <c r="BE14" s="34"/>
      <c r="BF14" s="34" t="b">
        <v>1</v>
      </c>
      <c r="BG14" s="34" t="s">
        <v>150</v>
      </c>
      <c r="BH14" s="34">
        <v>23200</v>
      </c>
      <c r="BI14" s="34"/>
      <c r="BJ14" s="34"/>
      <c r="BK14" s="34"/>
      <c r="BL14" s="34" t="s">
        <v>151</v>
      </c>
      <c r="BM14" s="34" t="s">
        <v>106</v>
      </c>
      <c r="BN14" s="34" t="s">
        <v>107</v>
      </c>
      <c r="BO14" s="35"/>
      <c r="BP14" s="35" t="s">
        <v>108</v>
      </c>
      <c r="BQ14" s="36"/>
      <c r="BR14" s="35" t="e">
        <f>VLOOKUP(BQ14, Cat_Indicadores!B:C, 2, FALSE)</f>
        <v>#N/A</v>
      </c>
      <c r="BS14" s="35"/>
      <c r="BT14" s="35"/>
    </row>
    <row r="15" spans="1:72">
      <c r="A15" s="29" t="s">
        <v>176</v>
      </c>
      <c r="B15" s="30" t="s">
        <v>177</v>
      </c>
      <c r="C15" s="31">
        <v>46185.464502314811</v>
      </c>
      <c r="D15" s="30">
        <v>92</v>
      </c>
      <c r="E15" s="30" t="s">
        <v>74</v>
      </c>
      <c r="F15" s="30" t="s">
        <v>75</v>
      </c>
      <c r="G15" s="30" t="s">
        <v>133</v>
      </c>
      <c r="H15" s="30" t="s">
        <v>77</v>
      </c>
      <c r="I15" s="30" t="s">
        <v>78</v>
      </c>
      <c r="J15" s="30" t="s">
        <v>79</v>
      </c>
      <c r="K15" s="32">
        <v>800</v>
      </c>
      <c r="L15" s="32" t="s">
        <v>80</v>
      </c>
      <c r="M15" s="30" t="s">
        <v>178</v>
      </c>
      <c r="N15" s="30" t="s">
        <v>179</v>
      </c>
      <c r="O15" s="30" t="s">
        <v>83</v>
      </c>
      <c r="P15" s="33">
        <v>46171</v>
      </c>
      <c r="Q15" s="33">
        <v>46171</v>
      </c>
      <c r="R15" s="32">
        <v>1</v>
      </c>
      <c r="S15" s="30" t="s">
        <v>84</v>
      </c>
      <c r="T15" s="30" t="s">
        <v>136</v>
      </c>
      <c r="U15" s="30" t="s">
        <v>160</v>
      </c>
      <c r="V15" s="30" t="s">
        <v>87</v>
      </c>
      <c r="W15" s="30" t="s">
        <v>88</v>
      </c>
      <c r="X15" s="30" t="s">
        <v>139</v>
      </c>
      <c r="Z15" s="30" t="s">
        <v>140</v>
      </c>
      <c r="AB15" s="30" t="b">
        <v>0</v>
      </c>
      <c r="AC15" s="30"/>
      <c r="AD15" s="30" t="b">
        <v>0</v>
      </c>
      <c r="AF15" s="30" t="b">
        <v>0</v>
      </c>
      <c r="AH15" s="32" t="s">
        <v>91</v>
      </c>
      <c r="AI15" s="32"/>
      <c r="AJ15" s="32"/>
      <c r="AL15" s="30" t="s">
        <v>92</v>
      </c>
      <c r="AM15" s="30" t="s">
        <v>141</v>
      </c>
      <c r="AN15" s="30" t="s">
        <v>94</v>
      </c>
      <c r="AO15" s="30" t="s">
        <v>142</v>
      </c>
      <c r="AP15" s="30" t="s">
        <v>143</v>
      </c>
      <c r="AQ15" s="30" t="s">
        <v>144</v>
      </c>
      <c r="AR15" s="30" t="s">
        <v>145</v>
      </c>
      <c r="AT15" s="30" t="s">
        <v>99</v>
      </c>
      <c r="AU15" s="30" t="s">
        <v>146</v>
      </c>
      <c r="AV15" s="30" t="s">
        <v>147</v>
      </c>
      <c r="AW15" s="34" t="s">
        <v>102</v>
      </c>
      <c r="AX15" s="34" t="s">
        <v>148</v>
      </c>
      <c r="AY15" s="34" t="s">
        <v>149</v>
      </c>
      <c r="AZ15" s="34" t="s">
        <v>149</v>
      </c>
      <c r="BA15" s="34"/>
      <c r="BB15" s="34"/>
      <c r="BC15" s="34">
        <v>0</v>
      </c>
      <c r="BD15" s="34"/>
      <c r="BE15" s="34"/>
      <c r="BF15" s="34" t="b">
        <v>1</v>
      </c>
      <c r="BG15" s="34" t="s">
        <v>150</v>
      </c>
      <c r="BH15" s="34"/>
      <c r="BI15" s="34"/>
      <c r="BJ15" s="34"/>
      <c r="BK15" s="34"/>
      <c r="BL15" s="34"/>
      <c r="BM15" s="34" t="s">
        <v>168</v>
      </c>
      <c r="BN15" s="34"/>
      <c r="BO15" s="35"/>
      <c r="BP15" s="35" t="s">
        <v>108</v>
      </c>
      <c r="BQ15" s="36"/>
      <c r="BR15" s="35" t="e">
        <f>VLOOKUP(BQ15, Cat_Indicadores!B:C, 2, FALSE)</f>
        <v>#N/A</v>
      </c>
      <c r="BS15" s="35"/>
      <c r="BT15" s="35"/>
    </row>
    <row r="16" spans="1:72">
      <c r="A16" s="29" t="s">
        <v>180</v>
      </c>
      <c r="B16" s="30" t="s">
        <v>181</v>
      </c>
      <c r="C16" s="31">
        <v>46185.479467592595</v>
      </c>
      <c r="D16" s="30">
        <v>92</v>
      </c>
      <c r="E16" s="30" t="s">
        <v>74</v>
      </c>
      <c r="F16" s="30" t="s">
        <v>75</v>
      </c>
      <c r="G16" s="30" t="s">
        <v>133</v>
      </c>
      <c r="H16" s="30" t="s">
        <v>77</v>
      </c>
      <c r="I16" s="30" t="s">
        <v>78</v>
      </c>
      <c r="J16" s="30" t="s">
        <v>79</v>
      </c>
      <c r="K16" s="32">
        <v>800</v>
      </c>
      <c r="L16" s="32" t="s">
        <v>80</v>
      </c>
      <c r="M16" s="30" t="s">
        <v>182</v>
      </c>
      <c r="N16" s="30" t="s">
        <v>183</v>
      </c>
      <c r="O16" s="30" t="s">
        <v>83</v>
      </c>
      <c r="P16" s="33">
        <v>46171</v>
      </c>
      <c r="Q16" s="33">
        <v>46171</v>
      </c>
      <c r="R16" s="32">
        <v>1</v>
      </c>
      <c r="S16" s="30" t="s">
        <v>84</v>
      </c>
      <c r="T16" s="30" t="s">
        <v>117</v>
      </c>
      <c r="U16" s="30" t="s">
        <v>184</v>
      </c>
      <c r="V16" s="30" t="s">
        <v>87</v>
      </c>
      <c r="W16" s="30" t="s">
        <v>88</v>
      </c>
      <c r="X16" s="30" t="s">
        <v>139</v>
      </c>
      <c r="Z16" s="30" t="s">
        <v>140</v>
      </c>
      <c r="AB16" s="30" t="b">
        <v>0</v>
      </c>
      <c r="AC16" s="30"/>
      <c r="AD16" s="30" t="b">
        <v>0</v>
      </c>
      <c r="AF16" s="30" t="b">
        <v>0</v>
      </c>
      <c r="AH16" s="32" t="s">
        <v>91</v>
      </c>
      <c r="AI16" s="32"/>
      <c r="AJ16" s="32"/>
      <c r="AL16" s="30" t="s">
        <v>92</v>
      </c>
      <c r="AM16" s="30" t="s">
        <v>141</v>
      </c>
      <c r="AN16" s="30" t="s">
        <v>94</v>
      </c>
      <c r="AO16" s="30" t="s">
        <v>142</v>
      </c>
      <c r="AP16" s="30" t="s">
        <v>143</v>
      </c>
      <c r="AQ16" s="30" t="s">
        <v>144</v>
      </c>
      <c r="AR16" s="30" t="s">
        <v>97</v>
      </c>
      <c r="AS16" s="30" t="s">
        <v>98</v>
      </c>
      <c r="AT16" s="30" t="s">
        <v>99</v>
      </c>
      <c r="AU16" s="30" t="s">
        <v>146</v>
      </c>
      <c r="AV16" s="30" t="s">
        <v>147</v>
      </c>
      <c r="AW16" s="34" t="s">
        <v>102</v>
      </c>
      <c r="AX16" s="34" t="s">
        <v>148</v>
      </c>
      <c r="AY16" s="34" t="s">
        <v>103</v>
      </c>
      <c r="AZ16" s="34"/>
      <c r="BA16" s="34"/>
      <c r="BB16" s="34"/>
      <c r="BC16" s="34">
        <v>5</v>
      </c>
      <c r="BD16" s="34" t="s">
        <v>185</v>
      </c>
      <c r="BE16" s="34"/>
      <c r="BF16" s="34" t="b">
        <v>1</v>
      </c>
      <c r="BG16" s="34" t="s">
        <v>150</v>
      </c>
      <c r="BH16" s="34"/>
      <c r="BI16" s="34"/>
      <c r="BJ16" s="34"/>
      <c r="BK16" s="34"/>
      <c r="BL16" s="34"/>
      <c r="BM16" s="34" t="s">
        <v>168</v>
      </c>
      <c r="BN16" s="34"/>
      <c r="BO16" s="35"/>
      <c r="BP16" s="35" t="s">
        <v>108</v>
      </c>
      <c r="BQ16" s="36"/>
      <c r="BR16" s="35" t="e">
        <f>VLOOKUP(BQ16, Cat_Indicadores!B:C, 2, FALSE)</f>
        <v>#N/A</v>
      </c>
      <c r="BS16" s="35"/>
      <c r="BT16" s="35"/>
    </row>
    <row r="17" spans="1:72">
      <c r="A17" s="29" t="s">
        <v>186</v>
      </c>
      <c r="B17" s="30" t="s">
        <v>187</v>
      </c>
      <c r="C17" s="31">
        <v>46185.518310185187</v>
      </c>
      <c r="D17" s="30">
        <v>92</v>
      </c>
      <c r="E17" s="30" t="s">
        <v>74</v>
      </c>
      <c r="F17" s="30" t="s">
        <v>75</v>
      </c>
      <c r="G17" s="30" t="s">
        <v>133</v>
      </c>
      <c r="H17" s="30" t="s">
        <v>77</v>
      </c>
      <c r="I17" s="30" t="s">
        <v>78</v>
      </c>
      <c r="J17" s="30" t="s">
        <v>79</v>
      </c>
      <c r="K17" s="32">
        <v>800</v>
      </c>
      <c r="L17" s="32" t="s">
        <v>80</v>
      </c>
      <c r="M17" s="30" t="s">
        <v>188</v>
      </c>
      <c r="N17" s="30" t="s">
        <v>189</v>
      </c>
      <c r="O17" s="30" t="s">
        <v>83</v>
      </c>
      <c r="P17" s="33">
        <v>46171</v>
      </c>
      <c r="Q17" s="33">
        <v>46171</v>
      </c>
      <c r="R17" s="32">
        <v>1</v>
      </c>
      <c r="S17" s="30" t="s">
        <v>84</v>
      </c>
      <c r="T17" s="30" t="s">
        <v>136</v>
      </c>
      <c r="U17" s="30" t="s">
        <v>160</v>
      </c>
      <c r="V17" s="30" t="s">
        <v>87</v>
      </c>
      <c r="W17" s="30" t="s">
        <v>88</v>
      </c>
      <c r="X17" s="30" t="s">
        <v>139</v>
      </c>
      <c r="Z17" s="30" t="s">
        <v>140</v>
      </c>
      <c r="AB17" s="30" t="b">
        <v>0</v>
      </c>
      <c r="AC17" s="30"/>
      <c r="AD17" s="30" t="b">
        <v>1</v>
      </c>
      <c r="AE17" s="30">
        <v>1</v>
      </c>
      <c r="AF17" s="30" t="b">
        <v>0</v>
      </c>
      <c r="AH17" s="32" t="s">
        <v>91</v>
      </c>
      <c r="AI17" s="32"/>
      <c r="AJ17" s="32"/>
      <c r="AL17" s="30" t="s">
        <v>92</v>
      </c>
      <c r="AM17" s="30" t="s">
        <v>141</v>
      </c>
      <c r="AN17" s="30" t="s">
        <v>94</v>
      </c>
      <c r="AO17" s="30" t="s">
        <v>142</v>
      </c>
      <c r="AP17" s="30" t="s">
        <v>143</v>
      </c>
      <c r="AQ17" s="30" t="s">
        <v>144</v>
      </c>
      <c r="AR17" s="30" t="s">
        <v>145</v>
      </c>
      <c r="AT17" s="30" t="s">
        <v>99</v>
      </c>
      <c r="AU17" s="30" t="s">
        <v>146</v>
      </c>
      <c r="AV17" s="30" t="s">
        <v>147</v>
      </c>
      <c r="AW17" s="34" t="s">
        <v>102</v>
      </c>
      <c r="AX17" s="34" t="s">
        <v>148</v>
      </c>
      <c r="AY17" s="34" t="s">
        <v>149</v>
      </c>
      <c r="AZ17" s="34" t="s">
        <v>149</v>
      </c>
      <c r="BA17" s="34"/>
      <c r="BB17" s="34"/>
      <c r="BC17" s="34">
        <v>0</v>
      </c>
      <c r="BD17" s="34"/>
      <c r="BE17" s="34"/>
      <c r="BF17" s="34" t="b">
        <v>1</v>
      </c>
      <c r="BG17" s="34" t="s">
        <v>150</v>
      </c>
      <c r="BH17" s="34">
        <v>7656.25</v>
      </c>
      <c r="BI17" s="34"/>
      <c r="BJ17" s="34"/>
      <c r="BK17" s="34"/>
      <c r="BL17" s="34" t="s">
        <v>161</v>
      </c>
      <c r="BM17" s="34" t="s">
        <v>106</v>
      </c>
      <c r="BN17" s="34" t="s">
        <v>107</v>
      </c>
      <c r="BO17" s="35"/>
      <c r="BP17" s="35" t="s">
        <v>108</v>
      </c>
      <c r="BQ17" s="36"/>
      <c r="BR17" s="35" t="e">
        <f>VLOOKUP(BQ17, Cat_Indicadores!B:C, 2, FALSE)</f>
        <v>#N/A</v>
      </c>
      <c r="BS17" s="35"/>
      <c r="BT17" s="35"/>
    </row>
    <row r="18" spans="1:72">
      <c r="A18" s="29" t="s">
        <v>190</v>
      </c>
      <c r="B18" s="30" t="s">
        <v>191</v>
      </c>
      <c r="C18" s="31">
        <v>46188.419965277775</v>
      </c>
      <c r="D18" s="30">
        <v>92</v>
      </c>
      <c r="E18" s="30" t="s">
        <v>74</v>
      </c>
      <c r="F18" s="30" t="s">
        <v>75</v>
      </c>
      <c r="G18" s="30" t="s">
        <v>133</v>
      </c>
      <c r="H18" s="30" t="s">
        <v>77</v>
      </c>
      <c r="I18" s="30" t="s">
        <v>78</v>
      </c>
      <c r="J18" s="30" t="s">
        <v>79</v>
      </c>
      <c r="K18" s="32">
        <v>800</v>
      </c>
      <c r="L18" s="32" t="s">
        <v>80</v>
      </c>
      <c r="M18" s="30" t="s">
        <v>192</v>
      </c>
      <c r="N18" s="30" t="s">
        <v>193</v>
      </c>
      <c r="O18" s="30" t="s">
        <v>83</v>
      </c>
      <c r="P18" s="33">
        <v>46124</v>
      </c>
      <c r="Q18" s="33">
        <v>46124</v>
      </c>
      <c r="R18" s="32">
        <v>1</v>
      </c>
      <c r="S18" s="30" t="s">
        <v>194</v>
      </c>
      <c r="T18" s="30" t="s">
        <v>195</v>
      </c>
      <c r="U18" s="30" t="s">
        <v>196</v>
      </c>
      <c r="V18" s="30" t="s">
        <v>87</v>
      </c>
      <c r="W18" s="30" t="s">
        <v>88</v>
      </c>
      <c r="X18" s="30" t="s">
        <v>197</v>
      </c>
      <c r="Y18" s="30">
        <v>8</v>
      </c>
      <c r="AB18" s="30" t="b">
        <v>0</v>
      </c>
      <c r="AC18" s="30"/>
      <c r="AD18" s="30" t="b">
        <v>0</v>
      </c>
      <c r="AF18" s="30" t="b">
        <v>0</v>
      </c>
      <c r="AH18" s="32" t="s">
        <v>91</v>
      </c>
      <c r="AI18" s="32"/>
      <c r="AJ18" s="32"/>
      <c r="AL18" s="30" t="s">
        <v>92</v>
      </c>
      <c r="AM18" s="30" t="s">
        <v>198</v>
      </c>
      <c r="AN18" s="30" t="s">
        <v>199</v>
      </c>
      <c r="AO18" s="30" t="s">
        <v>200</v>
      </c>
      <c r="AP18" s="30" t="s">
        <v>201</v>
      </c>
      <c r="AQ18" s="30" t="s">
        <v>202</v>
      </c>
      <c r="AR18" s="30" t="s">
        <v>145</v>
      </c>
      <c r="AT18" s="30" t="s">
        <v>203</v>
      </c>
      <c r="AU18" s="30" t="s">
        <v>204</v>
      </c>
      <c r="AV18" s="30" t="s">
        <v>205</v>
      </c>
      <c r="AW18" s="34" t="s">
        <v>206</v>
      </c>
      <c r="AX18" s="34" t="s">
        <v>207</v>
      </c>
      <c r="AY18" s="34" t="s">
        <v>149</v>
      </c>
      <c r="AZ18" s="34"/>
      <c r="BA18" s="34"/>
      <c r="BB18" s="34"/>
      <c r="BC18" s="34">
        <v>0</v>
      </c>
      <c r="BD18" s="34"/>
      <c r="BE18" s="34"/>
      <c r="BF18" s="34" t="b">
        <v>0</v>
      </c>
      <c r="BG18" s="34"/>
      <c r="BH18" s="34"/>
      <c r="BI18" s="34"/>
      <c r="BJ18" s="34"/>
      <c r="BK18" s="34"/>
      <c r="BL18" s="34" t="s">
        <v>208</v>
      </c>
      <c r="BM18" s="34" t="s">
        <v>106</v>
      </c>
      <c r="BN18" s="34"/>
      <c r="BO18" s="35"/>
      <c r="BP18" s="35" t="s">
        <v>108</v>
      </c>
      <c r="BQ18" s="36"/>
      <c r="BR18" s="35" t="e">
        <f>VLOOKUP(BQ18, Cat_Indicadores!B:C, 2, FALSE)</f>
        <v>#N/A</v>
      </c>
      <c r="BS18" s="35"/>
      <c r="BT18" s="35"/>
    </row>
    <row r="19" spans="1:72">
      <c r="A19" s="29" t="s">
        <v>209</v>
      </c>
      <c r="B19" s="30" t="s">
        <v>210</v>
      </c>
      <c r="C19" s="31">
        <v>46188.440486111111</v>
      </c>
      <c r="D19" s="30">
        <v>92</v>
      </c>
      <c r="E19" s="30" t="s">
        <v>74</v>
      </c>
      <c r="F19" s="30" t="s">
        <v>75</v>
      </c>
      <c r="G19" s="30" t="s">
        <v>133</v>
      </c>
      <c r="H19" s="30" t="s">
        <v>77</v>
      </c>
      <c r="I19" s="30" t="s">
        <v>78</v>
      </c>
      <c r="J19" s="30" t="s">
        <v>79</v>
      </c>
      <c r="K19" s="32">
        <v>800</v>
      </c>
      <c r="L19" s="32" t="s">
        <v>211</v>
      </c>
      <c r="M19" s="30" t="s">
        <v>212</v>
      </c>
      <c r="N19" s="30" t="s">
        <v>213</v>
      </c>
      <c r="O19" s="30" t="s">
        <v>83</v>
      </c>
      <c r="P19" s="33">
        <v>46130</v>
      </c>
      <c r="Q19" s="33">
        <v>46130</v>
      </c>
      <c r="R19" s="32">
        <v>1</v>
      </c>
      <c r="S19" s="30" t="s">
        <v>214</v>
      </c>
      <c r="T19" s="30" t="s">
        <v>215</v>
      </c>
      <c r="U19" s="30" t="s">
        <v>216</v>
      </c>
      <c r="V19" s="30" t="s">
        <v>87</v>
      </c>
      <c r="W19" s="30" t="s">
        <v>88</v>
      </c>
      <c r="X19" s="30" t="s">
        <v>197</v>
      </c>
      <c r="Y19" s="30">
        <v>8</v>
      </c>
      <c r="AB19" s="30" t="b">
        <v>0</v>
      </c>
      <c r="AC19" s="30"/>
      <c r="AD19" s="30" t="b">
        <v>0</v>
      </c>
      <c r="AF19" s="30" t="b">
        <v>0</v>
      </c>
      <c r="AH19" s="32" t="s">
        <v>91</v>
      </c>
      <c r="AI19" s="32"/>
      <c r="AJ19" s="32"/>
      <c r="AL19" s="30" t="s">
        <v>92</v>
      </c>
      <c r="AM19" s="30" t="s">
        <v>198</v>
      </c>
      <c r="AN19" s="30" t="s">
        <v>199</v>
      </c>
      <c r="AO19" s="30" t="s">
        <v>200</v>
      </c>
      <c r="AP19" s="30" t="s">
        <v>201</v>
      </c>
      <c r="AQ19" s="30" t="s">
        <v>202</v>
      </c>
      <c r="AR19" s="30" t="s">
        <v>145</v>
      </c>
      <c r="AT19" s="30" t="s">
        <v>217</v>
      </c>
      <c r="AU19" s="30" t="s">
        <v>218</v>
      </c>
      <c r="AV19" s="30" t="s">
        <v>219</v>
      </c>
      <c r="AW19" s="34" t="s">
        <v>220</v>
      </c>
      <c r="AX19" s="34" t="s">
        <v>221</v>
      </c>
      <c r="AY19" s="34" t="s">
        <v>149</v>
      </c>
      <c r="AZ19" s="34"/>
      <c r="BA19" s="34"/>
      <c r="BB19" s="34"/>
      <c r="BC19" s="34">
        <v>0</v>
      </c>
      <c r="BD19" s="34"/>
      <c r="BE19" s="34"/>
      <c r="BF19" s="34" t="b">
        <v>0</v>
      </c>
      <c r="BG19" s="34"/>
      <c r="BH19" s="34"/>
      <c r="BI19" s="34"/>
      <c r="BJ19" s="34"/>
      <c r="BK19" s="34"/>
      <c r="BL19" s="34" t="s">
        <v>208</v>
      </c>
      <c r="BM19" s="34" t="s">
        <v>106</v>
      </c>
      <c r="BN19" s="34"/>
      <c r="BO19" s="35"/>
      <c r="BP19" s="35" t="s">
        <v>108</v>
      </c>
      <c r="BQ19" s="36"/>
      <c r="BR19" s="35" t="e">
        <f>VLOOKUP(BQ19, Cat_Indicadores!B:C, 2, FALSE)</f>
        <v>#N/A</v>
      </c>
      <c r="BS19" s="35"/>
      <c r="BT19" s="35"/>
    </row>
    <row r="20" spans="1:72">
      <c r="A20" s="29" t="s">
        <v>222</v>
      </c>
      <c r="B20" s="30" t="s">
        <v>223</v>
      </c>
      <c r="C20" s="31">
        <v>46188.446886574071</v>
      </c>
      <c r="D20" s="30">
        <v>92</v>
      </c>
      <c r="E20" s="30" t="s">
        <v>74</v>
      </c>
      <c r="F20" s="30" t="s">
        <v>75</v>
      </c>
      <c r="G20" s="30" t="s">
        <v>133</v>
      </c>
      <c r="H20" s="30" t="s">
        <v>77</v>
      </c>
      <c r="I20" s="30" t="s">
        <v>78</v>
      </c>
      <c r="J20" s="30" t="s">
        <v>79</v>
      </c>
      <c r="K20" s="32">
        <v>800</v>
      </c>
      <c r="L20" s="32" t="s">
        <v>80</v>
      </c>
      <c r="M20" s="30" t="s">
        <v>224</v>
      </c>
      <c r="N20" s="30" t="s">
        <v>225</v>
      </c>
      <c r="O20" s="30" t="s">
        <v>83</v>
      </c>
      <c r="P20" s="33">
        <v>46131</v>
      </c>
      <c r="Q20" s="33">
        <v>46131</v>
      </c>
      <c r="R20" s="32">
        <v>1</v>
      </c>
      <c r="S20" s="30" t="s">
        <v>194</v>
      </c>
      <c r="T20" s="30" t="s">
        <v>195</v>
      </c>
      <c r="U20" s="30" t="s">
        <v>86</v>
      </c>
      <c r="V20" s="30" t="s">
        <v>87</v>
      </c>
      <c r="W20" s="30" t="s">
        <v>88</v>
      </c>
      <c r="X20" s="30" t="s">
        <v>197</v>
      </c>
      <c r="Y20" s="30">
        <v>8</v>
      </c>
      <c r="AB20" s="30" t="b">
        <v>0</v>
      </c>
      <c r="AC20" s="30"/>
      <c r="AD20" s="30" t="b">
        <v>0</v>
      </c>
      <c r="AF20" s="30" t="b">
        <v>0</v>
      </c>
      <c r="AH20" s="32" t="s">
        <v>91</v>
      </c>
      <c r="AI20" s="32"/>
      <c r="AJ20" s="32"/>
      <c r="AL20" s="30" t="s">
        <v>92</v>
      </c>
      <c r="AM20" s="30" t="s">
        <v>198</v>
      </c>
      <c r="AN20" s="30" t="s">
        <v>199</v>
      </c>
      <c r="AO20" s="30" t="s">
        <v>200</v>
      </c>
      <c r="AP20" s="30" t="s">
        <v>201</v>
      </c>
      <c r="AQ20" s="30" t="s">
        <v>202</v>
      </c>
      <c r="AR20" s="30" t="s">
        <v>145</v>
      </c>
      <c r="AT20" s="30" t="s">
        <v>226</v>
      </c>
      <c r="AU20" s="30" t="s">
        <v>204</v>
      </c>
      <c r="AV20" s="30" t="s">
        <v>227</v>
      </c>
      <c r="AW20" s="34" t="s">
        <v>206</v>
      </c>
      <c r="AX20" s="34" t="s">
        <v>86</v>
      </c>
      <c r="AY20" s="34" t="s">
        <v>149</v>
      </c>
      <c r="AZ20" s="34"/>
      <c r="BA20" s="34"/>
      <c r="BB20" s="34"/>
      <c r="BC20" s="34">
        <v>0</v>
      </c>
      <c r="BD20" s="34"/>
      <c r="BE20" s="34"/>
      <c r="BF20" s="34" t="b">
        <v>0</v>
      </c>
      <c r="BG20" s="34"/>
      <c r="BH20" s="34"/>
      <c r="BI20" s="34"/>
      <c r="BJ20" s="34"/>
      <c r="BK20" s="34"/>
      <c r="BL20" s="34" t="s">
        <v>208</v>
      </c>
      <c r="BM20" s="34" t="s">
        <v>106</v>
      </c>
      <c r="BN20" s="34"/>
      <c r="BO20" s="35"/>
      <c r="BP20" s="35" t="s">
        <v>108</v>
      </c>
      <c r="BQ20" s="36"/>
      <c r="BR20" s="35" t="e">
        <f>VLOOKUP(BQ20, Cat_Indicadores!B:C, 2, FALSE)</f>
        <v>#N/A</v>
      </c>
      <c r="BS20" s="35"/>
      <c r="BT20" s="35"/>
    </row>
    <row r="21" spans="1:72">
      <c r="A21" s="29" t="s">
        <v>228</v>
      </c>
      <c r="B21" s="30" t="s">
        <v>229</v>
      </c>
      <c r="C21" s="31">
        <v>46188.47457175926</v>
      </c>
      <c r="D21" s="30">
        <v>92</v>
      </c>
      <c r="E21" s="30" t="s">
        <v>74</v>
      </c>
      <c r="F21" s="30" t="s">
        <v>75</v>
      </c>
      <c r="G21" s="30" t="s">
        <v>133</v>
      </c>
      <c r="H21" s="30" t="s">
        <v>77</v>
      </c>
      <c r="I21" s="30" t="s">
        <v>78</v>
      </c>
      <c r="J21" s="30" t="s">
        <v>79</v>
      </c>
      <c r="K21" s="32">
        <v>800</v>
      </c>
      <c r="L21" s="32" t="s">
        <v>80</v>
      </c>
      <c r="M21" s="30" t="s">
        <v>230</v>
      </c>
      <c r="N21" s="30" t="s">
        <v>231</v>
      </c>
      <c r="O21" s="30" t="s">
        <v>83</v>
      </c>
      <c r="P21" s="33">
        <v>46131</v>
      </c>
      <c r="Q21" s="33">
        <v>46131</v>
      </c>
      <c r="R21" s="32">
        <v>1</v>
      </c>
      <c r="S21" s="30" t="s">
        <v>84</v>
      </c>
      <c r="T21" s="30" t="s">
        <v>117</v>
      </c>
      <c r="U21" s="30" t="s">
        <v>86</v>
      </c>
      <c r="V21" s="30" t="s">
        <v>87</v>
      </c>
      <c r="W21" s="30" t="s">
        <v>88</v>
      </c>
      <c r="X21" s="30" t="s">
        <v>197</v>
      </c>
      <c r="Y21" s="30">
        <v>8</v>
      </c>
      <c r="AB21" s="30" t="b">
        <v>0</v>
      </c>
      <c r="AC21" s="30"/>
      <c r="AD21" s="30" t="b">
        <v>0</v>
      </c>
      <c r="AF21" s="30" t="b">
        <v>0</v>
      </c>
      <c r="AH21" s="32" t="s">
        <v>91</v>
      </c>
      <c r="AI21" s="32"/>
      <c r="AJ21" s="32"/>
      <c r="AL21" s="30" t="s">
        <v>92</v>
      </c>
      <c r="AM21" s="30" t="s">
        <v>198</v>
      </c>
      <c r="AN21" s="30" t="s">
        <v>94</v>
      </c>
      <c r="AO21" s="30" t="s">
        <v>142</v>
      </c>
      <c r="AP21" s="30" t="s">
        <v>143</v>
      </c>
      <c r="AQ21" s="30" t="s">
        <v>232</v>
      </c>
      <c r="AR21" s="30" t="s">
        <v>145</v>
      </c>
      <c r="AT21" s="30" t="s">
        <v>99</v>
      </c>
      <c r="AU21" s="30" t="s">
        <v>146</v>
      </c>
      <c r="AV21" s="30" t="s">
        <v>233</v>
      </c>
      <c r="AW21" s="34" t="s">
        <v>102</v>
      </c>
      <c r="AX21" s="34" t="s">
        <v>86</v>
      </c>
      <c r="AY21" s="34" t="s">
        <v>149</v>
      </c>
      <c r="AZ21" s="34"/>
      <c r="BA21" s="34"/>
      <c r="BB21" s="34"/>
      <c r="BC21" s="34">
        <v>0</v>
      </c>
      <c r="BD21" s="34"/>
      <c r="BE21" s="34"/>
      <c r="BF21" s="34" t="b">
        <v>0</v>
      </c>
      <c r="BG21" s="34"/>
      <c r="BH21" s="34"/>
      <c r="BI21" s="34"/>
      <c r="BJ21" s="34"/>
      <c r="BK21" s="34"/>
      <c r="BL21" s="34" t="s">
        <v>208</v>
      </c>
      <c r="BM21" s="34" t="s">
        <v>106</v>
      </c>
      <c r="BN21" s="34"/>
      <c r="BO21" s="35"/>
      <c r="BP21" s="35" t="s">
        <v>108</v>
      </c>
      <c r="BQ21" s="36"/>
      <c r="BR21" s="35" t="e">
        <f>VLOOKUP(BQ21, Cat_Indicadores!B:C, 2, FALSE)</f>
        <v>#N/A</v>
      </c>
      <c r="BS21" s="35"/>
      <c r="BT21" s="35"/>
    </row>
    <row r="22" spans="1:72">
      <c r="A22" s="29" t="s">
        <v>234</v>
      </c>
      <c r="B22" s="30" t="s">
        <v>235</v>
      </c>
      <c r="C22" s="31">
        <v>46188.48033564815</v>
      </c>
      <c r="D22" s="30">
        <v>92</v>
      </c>
      <c r="E22" s="30" t="s">
        <v>74</v>
      </c>
      <c r="F22" s="30" t="s">
        <v>75</v>
      </c>
      <c r="G22" s="30" t="s">
        <v>133</v>
      </c>
      <c r="H22" s="30" t="s">
        <v>77</v>
      </c>
      <c r="I22" s="30" t="s">
        <v>78</v>
      </c>
      <c r="J22" s="30" t="s">
        <v>79</v>
      </c>
      <c r="K22" s="32">
        <v>800</v>
      </c>
      <c r="L22" s="32" t="s">
        <v>211</v>
      </c>
      <c r="M22" s="30" t="s">
        <v>236</v>
      </c>
      <c r="N22" s="30" t="s">
        <v>237</v>
      </c>
      <c r="O22" s="30" t="s">
        <v>83</v>
      </c>
      <c r="P22" s="33">
        <v>46188</v>
      </c>
      <c r="Q22" s="33">
        <v>46188</v>
      </c>
      <c r="R22" s="32">
        <v>1</v>
      </c>
      <c r="S22" s="30" t="s">
        <v>214</v>
      </c>
      <c r="T22" s="30" t="s">
        <v>238</v>
      </c>
      <c r="U22" s="30" t="s">
        <v>216</v>
      </c>
      <c r="V22" s="30" t="s">
        <v>87</v>
      </c>
      <c r="W22" s="30" t="s">
        <v>88</v>
      </c>
      <c r="X22" s="30" t="s">
        <v>197</v>
      </c>
      <c r="Y22" s="30">
        <v>8</v>
      </c>
      <c r="AB22" s="30" t="b">
        <v>0</v>
      </c>
      <c r="AC22" s="30"/>
      <c r="AD22" s="30" t="b">
        <v>0</v>
      </c>
      <c r="AF22" s="30" t="b">
        <v>0</v>
      </c>
      <c r="AH22" s="32" t="s">
        <v>91</v>
      </c>
      <c r="AI22" s="32"/>
      <c r="AJ22" s="32"/>
      <c r="AL22" s="30" t="s">
        <v>92</v>
      </c>
      <c r="AM22" s="30" t="s">
        <v>198</v>
      </c>
      <c r="AN22" s="30" t="s">
        <v>199</v>
      </c>
      <c r="AO22" s="30" t="s">
        <v>200</v>
      </c>
      <c r="AP22" s="30" t="s">
        <v>201</v>
      </c>
      <c r="AQ22" s="30" t="s">
        <v>202</v>
      </c>
      <c r="AR22" s="30" t="s">
        <v>145</v>
      </c>
      <c r="AT22" s="30" t="s">
        <v>99</v>
      </c>
      <c r="AU22" s="30" t="s">
        <v>146</v>
      </c>
      <c r="AV22" s="30" t="s">
        <v>233</v>
      </c>
      <c r="AW22" s="34" t="s">
        <v>102</v>
      </c>
      <c r="AX22" s="34" t="s">
        <v>221</v>
      </c>
      <c r="AY22" s="34" t="s">
        <v>149</v>
      </c>
      <c r="AZ22" s="34"/>
      <c r="BA22" s="34"/>
      <c r="BB22" s="34"/>
      <c r="BC22" s="34">
        <v>0</v>
      </c>
      <c r="BD22" s="34"/>
      <c r="BE22" s="34"/>
      <c r="BF22" s="34" t="b">
        <v>0</v>
      </c>
      <c r="BG22" s="34"/>
      <c r="BH22" s="34"/>
      <c r="BI22" s="34"/>
      <c r="BJ22" s="34"/>
      <c r="BK22" s="34"/>
      <c r="BL22" s="34" t="s">
        <v>208</v>
      </c>
      <c r="BM22" s="34" t="s">
        <v>106</v>
      </c>
      <c r="BN22" s="34"/>
      <c r="BO22" s="35"/>
      <c r="BP22" s="35" t="s">
        <v>108</v>
      </c>
      <c r="BQ22" s="36"/>
      <c r="BR22" s="35" t="e">
        <f>VLOOKUP(BQ22, Cat_Indicadores!B:C, 2, FALSE)</f>
        <v>#N/A</v>
      </c>
      <c r="BS22" s="35"/>
      <c r="BT22" s="35"/>
    </row>
    <row r="23" spans="1:72">
      <c r="A23" s="29" t="s">
        <v>239</v>
      </c>
      <c r="B23" s="30" t="s">
        <v>240</v>
      </c>
      <c r="C23" s="31">
        <v>46188.48778935185</v>
      </c>
      <c r="D23" s="30">
        <v>92</v>
      </c>
      <c r="E23" s="30" t="s">
        <v>74</v>
      </c>
      <c r="F23" s="30" t="s">
        <v>75</v>
      </c>
      <c r="G23" s="30" t="s">
        <v>133</v>
      </c>
      <c r="H23" s="30" t="s">
        <v>77</v>
      </c>
      <c r="I23" s="30" t="s">
        <v>78</v>
      </c>
      <c r="J23" s="30" t="s">
        <v>79</v>
      </c>
      <c r="K23" s="32">
        <v>800</v>
      </c>
      <c r="L23" s="32" t="s">
        <v>80</v>
      </c>
      <c r="M23" s="30" t="s">
        <v>241</v>
      </c>
      <c r="N23" s="30" t="s">
        <v>242</v>
      </c>
      <c r="O23" s="30" t="s">
        <v>83</v>
      </c>
      <c r="P23" s="33">
        <v>46137</v>
      </c>
      <c r="Q23" s="33">
        <v>46137</v>
      </c>
      <c r="R23" s="32">
        <v>1</v>
      </c>
      <c r="S23" s="30" t="s">
        <v>243</v>
      </c>
      <c r="T23" s="30" t="s">
        <v>244</v>
      </c>
      <c r="U23" s="30" t="s">
        <v>86</v>
      </c>
      <c r="V23" s="30" t="s">
        <v>87</v>
      </c>
      <c r="W23" s="30" t="s">
        <v>88</v>
      </c>
      <c r="X23" s="30" t="s">
        <v>197</v>
      </c>
      <c r="Y23" s="30">
        <v>8</v>
      </c>
      <c r="AB23" s="30" t="b">
        <v>0</v>
      </c>
      <c r="AC23" s="30"/>
      <c r="AD23" s="30" t="b">
        <v>0</v>
      </c>
      <c r="AF23" s="30" t="b">
        <v>0</v>
      </c>
      <c r="AH23" s="32" t="s">
        <v>91</v>
      </c>
      <c r="AI23" s="32"/>
      <c r="AJ23" s="32"/>
      <c r="AL23" s="30" t="s">
        <v>92</v>
      </c>
      <c r="AM23" s="30" t="s">
        <v>198</v>
      </c>
      <c r="AN23" s="30" t="s">
        <v>94</v>
      </c>
      <c r="AO23" s="30" t="s">
        <v>142</v>
      </c>
      <c r="AP23" s="30" t="s">
        <v>143</v>
      </c>
      <c r="AQ23" s="30" t="s">
        <v>232</v>
      </c>
      <c r="AR23" s="30" t="s">
        <v>145</v>
      </c>
      <c r="AT23" s="30" t="s">
        <v>99</v>
      </c>
      <c r="AU23" s="30" t="s">
        <v>146</v>
      </c>
      <c r="AV23" s="30" t="s">
        <v>233</v>
      </c>
      <c r="AW23" s="34" t="s">
        <v>102</v>
      </c>
      <c r="AX23" s="34" t="s">
        <v>86</v>
      </c>
      <c r="AY23" s="34" t="s">
        <v>149</v>
      </c>
      <c r="AZ23" s="34"/>
      <c r="BA23" s="34"/>
      <c r="BB23" s="34"/>
      <c r="BC23" s="34">
        <v>0</v>
      </c>
      <c r="BD23" s="34"/>
      <c r="BE23" s="34"/>
      <c r="BF23" s="34" t="b">
        <v>0</v>
      </c>
      <c r="BG23" s="34"/>
      <c r="BH23" s="34"/>
      <c r="BI23" s="34"/>
      <c r="BJ23" s="34"/>
      <c r="BK23" s="34"/>
      <c r="BL23" s="34" t="s">
        <v>208</v>
      </c>
      <c r="BM23" s="34" t="s">
        <v>106</v>
      </c>
      <c r="BN23" s="34"/>
      <c r="BO23" s="35"/>
      <c r="BP23" s="35" t="s">
        <v>108</v>
      </c>
      <c r="BQ23" s="36"/>
      <c r="BR23" s="35" t="e">
        <f>VLOOKUP(BQ23, Cat_Indicadores!B:C, 2, FALSE)</f>
        <v>#N/A</v>
      </c>
      <c r="BS23" s="35"/>
      <c r="BT23" s="35"/>
    </row>
    <row r="24" spans="1:72">
      <c r="A24" s="29" t="s">
        <v>245</v>
      </c>
      <c r="B24" s="30" t="s">
        <v>246</v>
      </c>
      <c r="C24" s="31">
        <v>46188.493368055555</v>
      </c>
      <c r="D24" s="30">
        <v>92</v>
      </c>
      <c r="E24" s="30" t="s">
        <v>74</v>
      </c>
      <c r="F24" s="30" t="s">
        <v>75</v>
      </c>
      <c r="G24" s="30" t="s">
        <v>133</v>
      </c>
      <c r="H24" s="30" t="s">
        <v>77</v>
      </c>
      <c r="I24" s="30" t="s">
        <v>78</v>
      </c>
      <c r="J24" s="30" t="s">
        <v>79</v>
      </c>
      <c r="K24" s="32">
        <v>800</v>
      </c>
      <c r="L24" s="32" t="s">
        <v>211</v>
      </c>
      <c r="M24" s="30" t="s">
        <v>247</v>
      </c>
      <c r="N24" s="30" t="s">
        <v>248</v>
      </c>
      <c r="O24" s="30" t="s">
        <v>83</v>
      </c>
      <c r="P24" s="33">
        <v>46138</v>
      </c>
      <c r="Q24" s="33">
        <v>46138</v>
      </c>
      <c r="R24" s="32">
        <v>1</v>
      </c>
      <c r="S24" s="30" t="s">
        <v>249</v>
      </c>
      <c r="T24" s="30" t="s">
        <v>250</v>
      </c>
      <c r="U24" s="30" t="s">
        <v>221</v>
      </c>
      <c r="V24" s="30" t="s">
        <v>87</v>
      </c>
      <c r="W24" s="30" t="s">
        <v>88</v>
      </c>
      <c r="X24" s="30" t="s">
        <v>197</v>
      </c>
      <c r="Y24" s="30">
        <v>8</v>
      </c>
      <c r="AB24" s="30" t="b">
        <v>0</v>
      </c>
      <c r="AC24" s="30"/>
      <c r="AD24" s="30" t="b">
        <v>0</v>
      </c>
      <c r="AF24" s="30" t="b">
        <v>0</v>
      </c>
      <c r="AH24" s="32" t="s">
        <v>91</v>
      </c>
      <c r="AI24" s="32"/>
      <c r="AJ24" s="32"/>
      <c r="AL24" s="30" t="s">
        <v>92</v>
      </c>
      <c r="AM24" s="30" t="s">
        <v>251</v>
      </c>
      <c r="AN24" s="30" t="s">
        <v>94</v>
      </c>
      <c r="AO24" s="30" t="s">
        <v>142</v>
      </c>
      <c r="AP24" s="30" t="s">
        <v>143</v>
      </c>
      <c r="AQ24" s="30" t="s">
        <v>232</v>
      </c>
      <c r="AR24" s="30" t="s">
        <v>145</v>
      </c>
      <c r="AT24" s="30" t="s">
        <v>217</v>
      </c>
      <c r="AU24" s="30" t="s">
        <v>252</v>
      </c>
      <c r="AV24" s="30" t="s">
        <v>253</v>
      </c>
      <c r="AW24" s="34" t="s">
        <v>254</v>
      </c>
      <c r="AX24" s="34" t="s">
        <v>86</v>
      </c>
      <c r="AY24" s="34" t="s">
        <v>149</v>
      </c>
      <c r="AZ24" s="34"/>
      <c r="BA24" s="34"/>
      <c r="BB24" s="34"/>
      <c r="BC24" s="34">
        <v>0</v>
      </c>
      <c r="BD24" s="34"/>
      <c r="BE24" s="34"/>
      <c r="BF24" s="34" t="b">
        <v>0</v>
      </c>
      <c r="BG24" s="34"/>
      <c r="BH24" s="34"/>
      <c r="BI24" s="34"/>
      <c r="BJ24" s="34"/>
      <c r="BK24" s="34"/>
      <c r="BL24" s="34" t="s">
        <v>208</v>
      </c>
      <c r="BM24" s="34" t="s">
        <v>106</v>
      </c>
      <c r="BN24" s="34"/>
      <c r="BO24" s="35"/>
      <c r="BP24" s="35" t="s">
        <v>108</v>
      </c>
      <c r="BQ24" s="36"/>
      <c r="BR24" s="35" t="e">
        <f>VLOOKUP(BQ24, Cat_Indicadores!B:C, 2, FALSE)</f>
        <v>#N/A</v>
      </c>
      <c r="BS24" s="35"/>
      <c r="BT24" s="35"/>
    </row>
    <row r="25" spans="1:72">
      <c r="A25" s="29" t="s">
        <v>255</v>
      </c>
      <c r="B25" s="30" t="s">
        <v>256</v>
      </c>
      <c r="C25" s="31">
        <v>46188.503668981481</v>
      </c>
      <c r="D25" s="30">
        <v>92</v>
      </c>
      <c r="E25" s="30" t="s">
        <v>74</v>
      </c>
      <c r="F25" s="30" t="s">
        <v>75</v>
      </c>
      <c r="G25" s="30" t="s">
        <v>133</v>
      </c>
      <c r="H25" s="30" t="s">
        <v>77</v>
      </c>
      <c r="I25" s="30" t="s">
        <v>78</v>
      </c>
      <c r="J25" s="30" t="s">
        <v>79</v>
      </c>
      <c r="K25" s="32">
        <v>800</v>
      </c>
      <c r="L25" s="32" t="s">
        <v>211</v>
      </c>
      <c r="M25" s="30" t="s">
        <v>257</v>
      </c>
      <c r="N25" s="30" t="s">
        <v>258</v>
      </c>
      <c r="O25" s="30" t="s">
        <v>83</v>
      </c>
      <c r="P25" s="33">
        <v>46138</v>
      </c>
      <c r="Q25" s="33">
        <v>46138</v>
      </c>
      <c r="R25" s="32">
        <v>1</v>
      </c>
      <c r="S25" s="30" t="s">
        <v>249</v>
      </c>
      <c r="T25" s="30" t="s">
        <v>259</v>
      </c>
      <c r="U25" s="30" t="s">
        <v>221</v>
      </c>
      <c r="V25" s="30" t="s">
        <v>87</v>
      </c>
      <c r="W25" s="30" t="s">
        <v>88</v>
      </c>
      <c r="X25" s="30" t="s">
        <v>197</v>
      </c>
      <c r="Y25" s="30">
        <v>8</v>
      </c>
      <c r="AB25" s="30" t="b">
        <v>0</v>
      </c>
      <c r="AC25" s="30"/>
      <c r="AD25" s="30" t="b">
        <v>0</v>
      </c>
      <c r="AF25" s="30" t="b">
        <v>0</v>
      </c>
      <c r="AH25" s="32" t="s">
        <v>91</v>
      </c>
      <c r="AI25" s="32"/>
      <c r="AJ25" s="32"/>
      <c r="AL25" s="30" t="s">
        <v>92</v>
      </c>
      <c r="AM25" s="30" t="s">
        <v>198</v>
      </c>
      <c r="AN25" s="30" t="s">
        <v>94</v>
      </c>
      <c r="AO25" s="30" t="s">
        <v>142</v>
      </c>
      <c r="AP25" s="30" t="s">
        <v>143</v>
      </c>
      <c r="AQ25" s="30" t="s">
        <v>232</v>
      </c>
      <c r="AR25" s="30" t="s">
        <v>145</v>
      </c>
      <c r="AT25" s="30" t="s">
        <v>217</v>
      </c>
      <c r="AU25" s="30" t="s">
        <v>252</v>
      </c>
      <c r="AV25" s="30" t="s">
        <v>253</v>
      </c>
      <c r="AW25" s="34" t="s">
        <v>254</v>
      </c>
      <c r="AX25" s="34" t="s">
        <v>221</v>
      </c>
      <c r="AY25" s="34" t="s">
        <v>149</v>
      </c>
      <c r="AZ25" s="34"/>
      <c r="BA25" s="34"/>
      <c r="BB25" s="34"/>
      <c r="BC25" s="34">
        <v>0</v>
      </c>
      <c r="BD25" s="34"/>
      <c r="BE25" s="34"/>
      <c r="BF25" s="34" t="b">
        <v>0</v>
      </c>
      <c r="BG25" s="34"/>
      <c r="BH25" s="34"/>
      <c r="BI25" s="34"/>
      <c r="BJ25" s="34"/>
      <c r="BK25" s="34"/>
      <c r="BL25" s="34" t="s">
        <v>208</v>
      </c>
      <c r="BM25" s="34" t="s">
        <v>106</v>
      </c>
      <c r="BN25" s="34"/>
      <c r="BO25" s="35"/>
      <c r="BP25" s="35" t="s">
        <v>108</v>
      </c>
      <c r="BQ25" s="36"/>
      <c r="BR25" s="35" t="e">
        <f>VLOOKUP(BQ25, Cat_Indicadores!B:C, 2, FALSE)</f>
        <v>#N/A</v>
      </c>
      <c r="BS25" s="35"/>
      <c r="BT25" s="35"/>
    </row>
    <row r="26" spans="1:72">
      <c r="A26" s="29" t="s">
        <v>260</v>
      </c>
      <c r="B26" s="30" t="s">
        <v>261</v>
      </c>
      <c r="C26" s="31">
        <v>46188.517835648148</v>
      </c>
      <c r="D26" s="30">
        <v>92</v>
      </c>
      <c r="E26" s="30" t="s">
        <v>74</v>
      </c>
      <c r="F26" s="30" t="s">
        <v>75</v>
      </c>
      <c r="G26" s="30" t="s">
        <v>133</v>
      </c>
      <c r="H26" s="30" t="s">
        <v>77</v>
      </c>
      <c r="I26" s="30" t="s">
        <v>78</v>
      </c>
      <c r="J26" s="30" t="s">
        <v>79</v>
      </c>
      <c r="K26" s="32">
        <v>800</v>
      </c>
      <c r="L26" s="32" t="s">
        <v>80</v>
      </c>
      <c r="M26" s="30" t="s">
        <v>262</v>
      </c>
      <c r="N26" s="30" t="s">
        <v>263</v>
      </c>
      <c r="O26" s="30" t="s">
        <v>83</v>
      </c>
      <c r="P26" s="33">
        <v>46150</v>
      </c>
      <c r="Q26" s="33">
        <v>46150</v>
      </c>
      <c r="R26" s="32">
        <v>1</v>
      </c>
      <c r="S26" s="30" t="s">
        <v>264</v>
      </c>
      <c r="T26" s="30" t="s">
        <v>265</v>
      </c>
      <c r="U26" s="30" t="s">
        <v>216</v>
      </c>
      <c r="V26" s="30" t="s">
        <v>87</v>
      </c>
      <c r="W26" s="30" t="s">
        <v>88</v>
      </c>
      <c r="X26" s="30" t="s">
        <v>197</v>
      </c>
      <c r="Y26" s="30">
        <v>8</v>
      </c>
      <c r="AB26" s="30" t="b">
        <v>0</v>
      </c>
      <c r="AC26" s="30"/>
      <c r="AD26" s="30" t="b">
        <v>0</v>
      </c>
      <c r="AF26" s="30" t="b">
        <v>0</v>
      </c>
      <c r="AH26" s="32" t="s">
        <v>91</v>
      </c>
      <c r="AI26" s="32"/>
      <c r="AJ26" s="32"/>
      <c r="AL26" s="30" t="s">
        <v>92</v>
      </c>
      <c r="AM26" s="30" t="s">
        <v>251</v>
      </c>
      <c r="AN26" s="30" t="s">
        <v>266</v>
      </c>
      <c r="AO26" s="30" t="s">
        <v>267</v>
      </c>
      <c r="AP26" s="30" t="s">
        <v>268</v>
      </c>
      <c r="AQ26" s="30" t="s">
        <v>269</v>
      </c>
      <c r="AR26" s="30" t="s">
        <v>145</v>
      </c>
      <c r="AT26" s="30" t="s">
        <v>217</v>
      </c>
      <c r="AU26" s="30" t="s">
        <v>252</v>
      </c>
      <c r="AV26" s="30" t="s">
        <v>253</v>
      </c>
      <c r="AW26" s="34" t="s">
        <v>254</v>
      </c>
      <c r="AX26" s="34" t="s">
        <v>221</v>
      </c>
      <c r="AY26" s="34" t="s">
        <v>149</v>
      </c>
      <c r="AZ26" s="34"/>
      <c r="BA26" s="34"/>
      <c r="BB26" s="34"/>
      <c r="BC26" s="34">
        <v>0</v>
      </c>
      <c r="BD26" s="34"/>
      <c r="BE26" s="34"/>
      <c r="BF26" s="34" t="b">
        <v>0</v>
      </c>
      <c r="BG26" s="34"/>
      <c r="BH26" s="34"/>
      <c r="BI26" s="34"/>
      <c r="BJ26" s="34"/>
      <c r="BK26" s="34"/>
      <c r="BL26" s="34" t="s">
        <v>208</v>
      </c>
      <c r="BM26" s="34" t="s">
        <v>106</v>
      </c>
      <c r="BN26" s="34"/>
      <c r="BO26" s="35"/>
      <c r="BP26" s="35" t="s">
        <v>108</v>
      </c>
      <c r="BQ26" s="36"/>
      <c r="BR26" s="35" t="e">
        <f>VLOOKUP(BQ26, Cat_Indicadores!B:C, 2, FALSE)</f>
        <v>#N/A</v>
      </c>
      <c r="BS26" s="35"/>
      <c r="BT26" s="35"/>
    </row>
    <row r="27" spans="1:72">
      <c r="A27" s="29" t="s">
        <v>270</v>
      </c>
      <c r="B27" s="30" t="s">
        <v>271</v>
      </c>
      <c r="C27" s="31">
        <v>46188.538831018515</v>
      </c>
      <c r="D27" s="30">
        <v>92</v>
      </c>
      <c r="E27" s="30" t="s">
        <v>74</v>
      </c>
      <c r="F27" s="30" t="s">
        <v>75</v>
      </c>
      <c r="G27" s="30" t="s">
        <v>133</v>
      </c>
      <c r="H27" s="30" t="s">
        <v>77</v>
      </c>
      <c r="I27" s="30" t="s">
        <v>78</v>
      </c>
      <c r="J27" s="30" t="s">
        <v>79</v>
      </c>
      <c r="K27" s="32">
        <v>800</v>
      </c>
      <c r="L27" s="32" t="s">
        <v>80</v>
      </c>
      <c r="M27" s="30" t="s">
        <v>272</v>
      </c>
      <c r="N27" s="30" t="s">
        <v>273</v>
      </c>
      <c r="O27" s="30" t="s">
        <v>83</v>
      </c>
      <c r="P27" s="33">
        <v>46157</v>
      </c>
      <c r="Q27" s="33">
        <v>46157</v>
      </c>
      <c r="R27" s="32">
        <v>1</v>
      </c>
      <c r="S27" s="30" t="s">
        <v>243</v>
      </c>
      <c r="T27" s="30" t="s">
        <v>274</v>
      </c>
      <c r="U27" s="30" t="s">
        <v>86</v>
      </c>
      <c r="V27" s="30" t="s">
        <v>87</v>
      </c>
      <c r="W27" s="30" t="s">
        <v>88</v>
      </c>
      <c r="X27" s="30" t="s">
        <v>197</v>
      </c>
      <c r="Y27" s="30">
        <v>8</v>
      </c>
      <c r="AB27" s="30" t="b">
        <v>0</v>
      </c>
      <c r="AC27" s="30"/>
      <c r="AD27" s="30" t="b">
        <v>0</v>
      </c>
      <c r="AF27" s="30" t="b">
        <v>0</v>
      </c>
      <c r="AH27" s="32" t="s">
        <v>91</v>
      </c>
      <c r="AI27" s="32"/>
      <c r="AJ27" s="32"/>
      <c r="AL27" s="30" t="s">
        <v>92</v>
      </c>
      <c r="AM27" s="30" t="s">
        <v>141</v>
      </c>
      <c r="AN27" s="30" t="s">
        <v>199</v>
      </c>
      <c r="AO27" s="30" t="s">
        <v>200</v>
      </c>
      <c r="AP27" s="30" t="s">
        <v>201</v>
      </c>
      <c r="AQ27" s="30" t="s">
        <v>202</v>
      </c>
      <c r="AR27" s="30" t="s">
        <v>145</v>
      </c>
      <c r="AT27" s="30" t="s">
        <v>275</v>
      </c>
      <c r="AU27" s="30" t="s">
        <v>276</v>
      </c>
      <c r="AV27" s="30" t="s">
        <v>277</v>
      </c>
      <c r="AW27" s="34" t="s">
        <v>278</v>
      </c>
      <c r="AX27" s="34" t="s">
        <v>86</v>
      </c>
      <c r="AY27" s="34" t="s">
        <v>279</v>
      </c>
      <c r="AZ27" s="34"/>
      <c r="BA27" s="34"/>
      <c r="BB27" s="34"/>
      <c r="BC27" s="34">
        <v>0</v>
      </c>
      <c r="BD27" s="34"/>
      <c r="BE27" s="34"/>
      <c r="BF27" s="34" t="b">
        <v>0</v>
      </c>
      <c r="BG27" s="34"/>
      <c r="BH27" s="34"/>
      <c r="BI27" s="34"/>
      <c r="BJ27" s="34"/>
      <c r="BK27" s="34"/>
      <c r="BL27" s="34" t="s">
        <v>208</v>
      </c>
      <c r="BM27" s="34" t="s">
        <v>106</v>
      </c>
      <c r="BN27" s="34"/>
      <c r="BO27" s="35"/>
      <c r="BP27" s="35" t="s">
        <v>108</v>
      </c>
      <c r="BQ27" s="36"/>
      <c r="BR27" s="35" t="e">
        <f>VLOOKUP(BQ27, Cat_Indicadores!B:C, 2, FALSE)</f>
        <v>#N/A</v>
      </c>
      <c r="BS27" s="35"/>
      <c r="BT27" s="35"/>
    </row>
    <row r="28" spans="1:72">
      <c r="A28" s="29" t="s">
        <v>280</v>
      </c>
      <c r="B28" s="30" t="s">
        <v>281</v>
      </c>
      <c r="C28" s="31">
        <v>46188.600138888891</v>
      </c>
      <c r="D28" s="30">
        <v>92</v>
      </c>
      <c r="E28" s="30" t="s">
        <v>74</v>
      </c>
      <c r="F28" s="30" t="s">
        <v>75</v>
      </c>
      <c r="G28" s="30" t="s">
        <v>133</v>
      </c>
      <c r="H28" s="30" t="s">
        <v>77</v>
      </c>
      <c r="I28" s="30" t="s">
        <v>78</v>
      </c>
      <c r="J28" s="30" t="s">
        <v>79</v>
      </c>
      <c r="K28" s="32">
        <v>800</v>
      </c>
      <c r="L28" s="32" t="s">
        <v>211</v>
      </c>
      <c r="M28" s="30" t="s">
        <v>282</v>
      </c>
      <c r="N28" s="30" t="s">
        <v>283</v>
      </c>
      <c r="O28" s="30" t="s">
        <v>83</v>
      </c>
      <c r="P28" s="33">
        <v>46159</v>
      </c>
      <c r="Q28" s="33">
        <v>46159</v>
      </c>
      <c r="R28" s="32">
        <v>1</v>
      </c>
      <c r="S28" s="30" t="s">
        <v>249</v>
      </c>
      <c r="T28" s="30" t="s">
        <v>259</v>
      </c>
      <c r="U28" s="30" t="s">
        <v>216</v>
      </c>
      <c r="V28" s="30" t="s">
        <v>87</v>
      </c>
      <c r="W28" s="30" t="s">
        <v>88</v>
      </c>
      <c r="X28" s="30" t="s">
        <v>197</v>
      </c>
      <c r="Y28" s="30">
        <v>8</v>
      </c>
      <c r="AB28" s="30" t="b">
        <v>0</v>
      </c>
      <c r="AC28" s="30"/>
      <c r="AD28" s="30" t="b">
        <v>0</v>
      </c>
      <c r="AF28" s="30" t="b">
        <v>0</v>
      </c>
      <c r="AH28" s="32" t="s">
        <v>91</v>
      </c>
      <c r="AI28" s="32"/>
      <c r="AJ28" s="32"/>
      <c r="AL28" s="30" t="s">
        <v>92</v>
      </c>
      <c r="AM28" s="30" t="s">
        <v>198</v>
      </c>
      <c r="AN28" s="30" t="s">
        <v>199</v>
      </c>
      <c r="AO28" s="30" t="s">
        <v>200</v>
      </c>
      <c r="AP28" s="30" t="s">
        <v>201</v>
      </c>
      <c r="AQ28" s="30" t="s">
        <v>202</v>
      </c>
      <c r="AR28" s="30" t="s">
        <v>145</v>
      </c>
      <c r="AT28" s="30" t="s">
        <v>275</v>
      </c>
      <c r="AU28" s="30" t="s">
        <v>276</v>
      </c>
      <c r="AV28" s="30" t="s">
        <v>277</v>
      </c>
      <c r="AW28" s="34" t="s">
        <v>278</v>
      </c>
      <c r="AX28" s="34" t="s">
        <v>221</v>
      </c>
      <c r="AY28" s="34" t="s">
        <v>149</v>
      </c>
      <c r="AZ28" s="34"/>
      <c r="BA28" s="34"/>
      <c r="BB28" s="34"/>
      <c r="BC28" s="34">
        <v>0</v>
      </c>
      <c r="BD28" s="34"/>
      <c r="BE28" s="34"/>
      <c r="BF28" s="34" t="b">
        <v>0</v>
      </c>
      <c r="BG28" s="34"/>
      <c r="BH28" s="34"/>
      <c r="BI28" s="34"/>
      <c r="BJ28" s="34"/>
      <c r="BK28" s="34"/>
      <c r="BL28" s="34" t="s">
        <v>208</v>
      </c>
      <c r="BM28" s="34" t="s">
        <v>106</v>
      </c>
      <c r="BN28" s="34"/>
      <c r="BO28" s="35"/>
      <c r="BP28" s="35" t="s">
        <v>108</v>
      </c>
      <c r="BQ28" s="36"/>
      <c r="BR28" s="35" t="e">
        <f>VLOOKUP(BQ28, Cat_Indicadores!B:C, 2, FALSE)</f>
        <v>#N/A</v>
      </c>
      <c r="BS28" s="35"/>
      <c r="BT28" s="35"/>
    </row>
    <row r="29" spans="1:72">
      <c r="A29" s="29" t="s">
        <v>284</v>
      </c>
      <c r="B29" s="30" t="s">
        <v>285</v>
      </c>
      <c r="C29" s="31">
        <v>46188.60596064815</v>
      </c>
      <c r="D29" s="30">
        <v>92</v>
      </c>
      <c r="E29" s="30" t="s">
        <v>74</v>
      </c>
      <c r="F29" s="30" t="s">
        <v>75</v>
      </c>
      <c r="G29" s="30" t="s">
        <v>133</v>
      </c>
      <c r="H29" s="30" t="s">
        <v>77</v>
      </c>
      <c r="I29" s="30" t="s">
        <v>78</v>
      </c>
      <c r="J29" s="30" t="s">
        <v>79</v>
      </c>
      <c r="K29" s="32">
        <v>800</v>
      </c>
      <c r="L29" s="32" t="s">
        <v>80</v>
      </c>
      <c r="M29" s="30" t="s">
        <v>286</v>
      </c>
      <c r="N29" s="30" t="s">
        <v>287</v>
      </c>
      <c r="O29" s="30" t="s">
        <v>83</v>
      </c>
      <c r="P29" s="33">
        <v>46163</v>
      </c>
      <c r="Q29" s="33">
        <v>46163</v>
      </c>
      <c r="R29" s="32">
        <v>1</v>
      </c>
      <c r="S29" s="30" t="s">
        <v>264</v>
      </c>
      <c r="T29" s="30" t="s">
        <v>265</v>
      </c>
      <c r="U29" s="30" t="s">
        <v>288</v>
      </c>
      <c r="V29" s="30" t="s">
        <v>87</v>
      </c>
      <c r="W29" s="30" t="s">
        <v>88</v>
      </c>
      <c r="X29" s="30" t="s">
        <v>197</v>
      </c>
      <c r="Y29" s="30">
        <v>8</v>
      </c>
      <c r="AB29" s="30" t="b">
        <v>0</v>
      </c>
      <c r="AC29" s="30"/>
      <c r="AD29" s="30" t="b">
        <v>0</v>
      </c>
      <c r="AF29" s="30" t="b">
        <v>0</v>
      </c>
      <c r="AH29" s="32" t="s">
        <v>91</v>
      </c>
      <c r="AI29" s="32"/>
      <c r="AJ29" s="32"/>
      <c r="AL29" s="30" t="s">
        <v>92</v>
      </c>
      <c r="AM29" s="30" t="s">
        <v>251</v>
      </c>
      <c r="AN29" s="30" t="s">
        <v>266</v>
      </c>
      <c r="AO29" s="30" t="s">
        <v>267</v>
      </c>
      <c r="AP29" s="30" t="s">
        <v>268</v>
      </c>
      <c r="AQ29" s="30" t="s">
        <v>269</v>
      </c>
      <c r="AR29" s="30" t="s">
        <v>145</v>
      </c>
      <c r="AT29" s="30" t="s">
        <v>99</v>
      </c>
      <c r="AU29" s="30" t="s">
        <v>146</v>
      </c>
      <c r="AV29" s="30" t="s">
        <v>233</v>
      </c>
      <c r="AW29" s="34" t="s">
        <v>102</v>
      </c>
      <c r="AX29" s="34" t="s">
        <v>288</v>
      </c>
      <c r="AY29" s="34" t="s">
        <v>149</v>
      </c>
      <c r="AZ29" s="34"/>
      <c r="BA29" s="34"/>
      <c r="BB29" s="34"/>
      <c r="BC29" s="34">
        <v>0</v>
      </c>
      <c r="BD29" s="34"/>
      <c r="BE29" s="34"/>
      <c r="BF29" s="34" t="b">
        <v>0</v>
      </c>
      <c r="BG29" s="34"/>
      <c r="BH29" s="34"/>
      <c r="BI29" s="34"/>
      <c r="BJ29" s="34"/>
      <c r="BK29" s="34"/>
      <c r="BL29" s="34" t="s">
        <v>208</v>
      </c>
      <c r="BM29" s="34" t="s">
        <v>106</v>
      </c>
      <c r="BN29" s="34"/>
      <c r="BO29" s="35"/>
      <c r="BP29" s="35" t="s">
        <v>108</v>
      </c>
      <c r="BQ29" s="36"/>
      <c r="BR29" s="35" t="e">
        <f>VLOOKUP(BQ29, Cat_Indicadores!B:C, 2, FALSE)</f>
        <v>#N/A</v>
      </c>
      <c r="BS29" s="35"/>
      <c r="BT29" s="35"/>
    </row>
    <row r="30" spans="1:72">
      <c r="A30" s="29" t="s">
        <v>289</v>
      </c>
      <c r="B30" s="30" t="s">
        <v>290</v>
      </c>
      <c r="C30" s="31">
        <v>46188.610567129632</v>
      </c>
      <c r="D30" s="30">
        <v>92</v>
      </c>
      <c r="E30" s="30" t="s">
        <v>74</v>
      </c>
      <c r="F30" s="30" t="s">
        <v>75</v>
      </c>
      <c r="G30" s="30" t="s">
        <v>133</v>
      </c>
      <c r="H30" s="30" t="s">
        <v>77</v>
      </c>
      <c r="I30" s="30" t="s">
        <v>78</v>
      </c>
      <c r="J30" s="30" t="s">
        <v>79</v>
      </c>
      <c r="K30" s="32">
        <v>800</v>
      </c>
      <c r="L30" s="32" t="s">
        <v>80</v>
      </c>
      <c r="M30" s="30" t="s">
        <v>291</v>
      </c>
      <c r="N30" s="30" t="s">
        <v>292</v>
      </c>
      <c r="O30" s="30" t="s">
        <v>83</v>
      </c>
      <c r="P30" s="33">
        <v>46164</v>
      </c>
      <c r="Q30" s="33">
        <v>46164</v>
      </c>
      <c r="R30" s="32">
        <v>1</v>
      </c>
      <c r="S30" s="30" t="s">
        <v>243</v>
      </c>
      <c r="T30" s="30" t="s">
        <v>293</v>
      </c>
      <c r="U30" s="30" t="s">
        <v>160</v>
      </c>
      <c r="V30" s="30" t="s">
        <v>87</v>
      </c>
      <c r="W30" s="30" t="s">
        <v>88</v>
      </c>
      <c r="X30" s="30" t="s">
        <v>197</v>
      </c>
      <c r="Y30" s="30">
        <v>8</v>
      </c>
      <c r="AB30" s="30" t="b">
        <v>0</v>
      </c>
      <c r="AC30" s="30"/>
      <c r="AD30" s="30" t="b">
        <v>0</v>
      </c>
      <c r="AF30" s="30" t="b">
        <v>0</v>
      </c>
      <c r="AH30" s="32" t="s">
        <v>91</v>
      </c>
      <c r="AI30" s="32"/>
      <c r="AJ30" s="32"/>
      <c r="AL30" s="30" t="s">
        <v>92</v>
      </c>
      <c r="AM30" s="30" t="s">
        <v>294</v>
      </c>
      <c r="AN30" s="30" t="s">
        <v>266</v>
      </c>
      <c r="AO30" s="30" t="s">
        <v>267</v>
      </c>
      <c r="AP30" s="30" t="s">
        <v>295</v>
      </c>
      <c r="AQ30" s="30" t="s">
        <v>295</v>
      </c>
      <c r="AR30" s="30" t="s">
        <v>145</v>
      </c>
      <c r="AT30" s="30" t="s">
        <v>217</v>
      </c>
      <c r="AU30" s="30" t="s">
        <v>252</v>
      </c>
      <c r="AV30" s="30" t="s">
        <v>253</v>
      </c>
      <c r="AW30" s="34" t="s">
        <v>254</v>
      </c>
      <c r="AX30" s="34" t="s">
        <v>160</v>
      </c>
      <c r="AY30" s="34" t="s">
        <v>149</v>
      </c>
      <c r="AZ30" s="34"/>
      <c r="BA30" s="34"/>
      <c r="BB30" s="34"/>
      <c r="BC30" s="34">
        <v>0</v>
      </c>
      <c r="BD30" s="34"/>
      <c r="BE30" s="34"/>
      <c r="BF30" s="34" t="b">
        <v>0</v>
      </c>
      <c r="BG30" s="34"/>
      <c r="BH30" s="34"/>
      <c r="BI30" s="34"/>
      <c r="BJ30" s="34"/>
      <c r="BK30" s="34"/>
      <c r="BL30" s="34" t="s">
        <v>208</v>
      </c>
      <c r="BM30" s="34" t="s">
        <v>106</v>
      </c>
      <c r="BN30" s="34"/>
      <c r="BO30" s="35"/>
      <c r="BP30" s="35" t="s">
        <v>108</v>
      </c>
      <c r="BQ30" s="36"/>
      <c r="BR30" s="35" t="e">
        <f>VLOOKUP(BQ30, Cat_Indicadores!B:C, 2, FALSE)</f>
        <v>#N/A</v>
      </c>
      <c r="BS30" s="35"/>
      <c r="BT30" s="35"/>
    </row>
    <row r="31" spans="1:72">
      <c r="A31" s="29" t="s">
        <v>296</v>
      </c>
      <c r="B31" s="30" t="s">
        <v>297</v>
      </c>
      <c r="C31" s="31">
        <v>46188.614201388889</v>
      </c>
      <c r="D31" s="30">
        <v>92</v>
      </c>
      <c r="E31" s="30" t="s">
        <v>74</v>
      </c>
      <c r="F31" s="30" t="s">
        <v>75</v>
      </c>
      <c r="G31" s="30" t="s">
        <v>133</v>
      </c>
      <c r="H31" s="30" t="s">
        <v>77</v>
      </c>
      <c r="I31" s="30" t="s">
        <v>78</v>
      </c>
      <c r="J31" s="30" t="s">
        <v>79</v>
      </c>
      <c r="K31" s="32">
        <v>800</v>
      </c>
      <c r="L31" s="32" t="s">
        <v>80</v>
      </c>
      <c r="M31" s="30" t="s">
        <v>298</v>
      </c>
      <c r="N31" s="30" t="s">
        <v>299</v>
      </c>
      <c r="O31" s="30" t="s">
        <v>83</v>
      </c>
      <c r="P31" s="33">
        <v>46165</v>
      </c>
      <c r="Q31" s="33">
        <v>46165</v>
      </c>
      <c r="R31" s="32">
        <v>1</v>
      </c>
      <c r="S31" s="30" t="s">
        <v>264</v>
      </c>
      <c r="T31" s="30" t="s">
        <v>300</v>
      </c>
      <c r="U31" s="30" t="s">
        <v>160</v>
      </c>
      <c r="V31" s="30" t="s">
        <v>87</v>
      </c>
      <c r="W31" s="30" t="s">
        <v>88</v>
      </c>
      <c r="X31" s="30" t="s">
        <v>197</v>
      </c>
      <c r="Y31" s="30">
        <v>8</v>
      </c>
      <c r="AB31" s="30" t="b">
        <v>0</v>
      </c>
      <c r="AC31" s="30"/>
      <c r="AD31" s="30" t="b">
        <v>0</v>
      </c>
      <c r="AF31" s="30" t="b">
        <v>0</v>
      </c>
      <c r="AH31" s="32" t="s">
        <v>91</v>
      </c>
      <c r="AI31" s="32"/>
      <c r="AJ31" s="32"/>
      <c r="AL31" s="30" t="s">
        <v>92</v>
      </c>
      <c r="AM31" s="30" t="s">
        <v>198</v>
      </c>
      <c r="AN31" s="30" t="s">
        <v>301</v>
      </c>
      <c r="AO31" s="30" t="s">
        <v>302</v>
      </c>
      <c r="AP31" s="30" t="s">
        <v>302</v>
      </c>
      <c r="AQ31" s="30" t="s">
        <v>302</v>
      </c>
      <c r="AR31" s="30" t="s">
        <v>145</v>
      </c>
      <c r="AT31" s="30" t="s">
        <v>226</v>
      </c>
      <c r="AU31" s="30" t="s">
        <v>204</v>
      </c>
      <c r="AV31" s="30" t="s">
        <v>227</v>
      </c>
      <c r="AW31" s="34" t="s">
        <v>206</v>
      </c>
      <c r="AX31" s="34" t="s">
        <v>160</v>
      </c>
      <c r="AY31" s="34" t="s">
        <v>149</v>
      </c>
      <c r="AZ31" s="34" t="s">
        <v>149</v>
      </c>
      <c r="BA31" s="34"/>
      <c r="BB31" s="34"/>
      <c r="BC31" s="34">
        <v>0</v>
      </c>
      <c r="BD31" s="34"/>
      <c r="BE31" s="34"/>
      <c r="BF31" s="34" t="b">
        <v>0</v>
      </c>
      <c r="BG31" s="34"/>
      <c r="BH31" s="34"/>
      <c r="BI31" s="34"/>
      <c r="BJ31" s="34"/>
      <c r="BK31" s="34"/>
      <c r="BL31" s="34" t="s">
        <v>208</v>
      </c>
      <c r="BM31" s="34" t="s">
        <v>106</v>
      </c>
      <c r="BN31" s="34"/>
      <c r="BO31" s="35"/>
      <c r="BP31" s="35" t="s">
        <v>108</v>
      </c>
      <c r="BQ31" s="36"/>
      <c r="BR31" s="35" t="e">
        <f>VLOOKUP(BQ31, Cat_Indicadores!B:C, 2, FALSE)</f>
        <v>#N/A</v>
      </c>
      <c r="BS31" s="35"/>
      <c r="BT31" s="35"/>
    </row>
    <row r="32" spans="1:72">
      <c r="A32" s="29" t="s">
        <v>303</v>
      </c>
      <c r="B32" s="30" t="s">
        <v>304</v>
      </c>
      <c r="C32" s="31">
        <v>46190.582372685189</v>
      </c>
      <c r="D32" s="30">
        <v>92</v>
      </c>
      <c r="E32" s="30" t="s">
        <v>74</v>
      </c>
      <c r="F32" s="30" t="s">
        <v>75</v>
      </c>
      <c r="G32" s="30" t="s">
        <v>133</v>
      </c>
      <c r="H32" s="30" t="s">
        <v>77</v>
      </c>
      <c r="I32" s="30" t="s">
        <v>78</v>
      </c>
      <c r="J32" s="30" t="s">
        <v>79</v>
      </c>
      <c r="K32" s="32">
        <v>800</v>
      </c>
      <c r="L32" s="32" t="s">
        <v>80</v>
      </c>
      <c r="M32" s="30" t="s">
        <v>305</v>
      </c>
      <c r="N32" s="30" t="s">
        <v>306</v>
      </c>
      <c r="O32" s="30" t="s">
        <v>83</v>
      </c>
      <c r="P32" s="33">
        <v>46120</v>
      </c>
      <c r="Q32" s="33">
        <v>46120</v>
      </c>
      <c r="R32" s="32">
        <v>1</v>
      </c>
      <c r="S32" s="30" t="s">
        <v>194</v>
      </c>
      <c r="T32" s="30" t="s">
        <v>307</v>
      </c>
      <c r="U32" s="30" t="s">
        <v>160</v>
      </c>
      <c r="V32" s="30" t="s">
        <v>87</v>
      </c>
      <c r="W32" s="30" t="s">
        <v>88</v>
      </c>
      <c r="X32" s="30" t="s">
        <v>197</v>
      </c>
      <c r="Y32" s="30">
        <v>3</v>
      </c>
      <c r="AB32" s="30" t="b">
        <v>0</v>
      </c>
      <c r="AC32" s="30"/>
      <c r="AD32" s="30" t="b">
        <v>0</v>
      </c>
      <c r="AF32" s="30" t="b">
        <v>0</v>
      </c>
      <c r="AH32" s="32" t="s">
        <v>91</v>
      </c>
      <c r="AI32" s="32"/>
      <c r="AJ32" s="32"/>
      <c r="AK32" s="32"/>
      <c r="AL32" s="30" t="s">
        <v>92</v>
      </c>
      <c r="AM32" s="30" t="s">
        <v>93</v>
      </c>
      <c r="AN32" s="30" t="s">
        <v>199</v>
      </c>
      <c r="AO32" s="30" t="s">
        <v>200</v>
      </c>
      <c r="AP32" s="30" t="s">
        <v>201</v>
      </c>
      <c r="AQ32" s="30" t="s">
        <v>202</v>
      </c>
      <c r="AR32" s="30" t="s">
        <v>145</v>
      </c>
      <c r="AT32" s="30" t="s">
        <v>99</v>
      </c>
      <c r="AU32" s="30" t="s">
        <v>100</v>
      </c>
      <c r="AV32" s="30" t="s">
        <v>101</v>
      </c>
      <c r="AW32" s="30" t="s">
        <v>102</v>
      </c>
      <c r="AX32" s="34" t="s">
        <v>308</v>
      </c>
      <c r="AY32" s="34" t="s">
        <v>149</v>
      </c>
      <c r="AZ32" s="34" t="s">
        <v>149</v>
      </c>
      <c r="BA32" s="34"/>
      <c r="BB32" s="34"/>
      <c r="BC32" s="34">
        <v>0</v>
      </c>
      <c r="BD32" s="34"/>
      <c r="BE32" s="34"/>
      <c r="BF32" s="34" t="b">
        <v>0</v>
      </c>
      <c r="BG32" s="34"/>
      <c r="BH32" s="34"/>
      <c r="BI32" s="34"/>
      <c r="BJ32" s="34"/>
      <c r="BK32" s="34"/>
      <c r="BL32" s="34"/>
      <c r="BM32" s="34" t="s">
        <v>168</v>
      </c>
      <c r="BN32" s="34"/>
      <c r="BO32" s="35"/>
      <c r="BP32" s="35"/>
      <c r="BQ32" s="35" t="s">
        <v>108</v>
      </c>
      <c r="BR32" s="36" t="e">
        <f>VLOOKUP(BQ32, Cat_Indicadores!B:C, 2, FALSE)</f>
        <v>#N/A</v>
      </c>
      <c r="BS32" s="35" t="s">
        <v>5592</v>
      </c>
      <c r="BT32" s="35"/>
    </row>
    <row r="33" spans="1:72">
      <c r="A33" s="29" t="s">
        <v>309</v>
      </c>
      <c r="B33" s="30" t="s">
        <v>310</v>
      </c>
      <c r="C33" s="31">
        <v>46190.587337962963</v>
      </c>
      <c r="D33" s="30">
        <v>92</v>
      </c>
      <c r="E33" s="30" t="s">
        <v>74</v>
      </c>
      <c r="F33" s="30" t="s">
        <v>75</v>
      </c>
      <c r="G33" s="30" t="s">
        <v>133</v>
      </c>
      <c r="H33" s="30" t="s">
        <v>77</v>
      </c>
      <c r="I33" s="30" t="s">
        <v>78</v>
      </c>
      <c r="J33" s="30" t="s">
        <v>79</v>
      </c>
      <c r="K33" s="32">
        <v>800</v>
      </c>
      <c r="L33" s="32" t="s">
        <v>211</v>
      </c>
      <c r="M33" s="30" t="s">
        <v>311</v>
      </c>
      <c r="N33" s="30" t="s">
        <v>312</v>
      </c>
      <c r="O33" s="30" t="s">
        <v>83</v>
      </c>
      <c r="P33" s="33">
        <v>46123</v>
      </c>
      <c r="Q33" s="33">
        <v>46123</v>
      </c>
      <c r="R33" s="32">
        <v>1</v>
      </c>
      <c r="S33" s="30" t="s">
        <v>249</v>
      </c>
      <c r="T33" s="30" t="s">
        <v>313</v>
      </c>
      <c r="U33" s="30" t="s">
        <v>216</v>
      </c>
      <c r="V33" s="30" t="s">
        <v>87</v>
      </c>
      <c r="W33" s="30" t="s">
        <v>88</v>
      </c>
      <c r="X33" s="30" t="s">
        <v>197</v>
      </c>
      <c r="Y33" s="30">
        <v>5</v>
      </c>
      <c r="AB33" s="30" t="b">
        <v>0</v>
      </c>
      <c r="AC33" s="30"/>
      <c r="AD33" s="30" t="b">
        <v>1</v>
      </c>
      <c r="AE33" s="30">
        <v>1</v>
      </c>
      <c r="AF33" s="30" t="b">
        <v>0</v>
      </c>
      <c r="AH33" s="32" t="s">
        <v>91</v>
      </c>
      <c r="AI33" s="32"/>
      <c r="AJ33" s="32"/>
      <c r="AK33" s="32"/>
      <c r="AL33" s="30" t="s">
        <v>92</v>
      </c>
      <c r="AM33" s="30" t="s">
        <v>93</v>
      </c>
      <c r="AN33" s="30" t="s">
        <v>199</v>
      </c>
      <c r="AO33" s="30" t="s">
        <v>200</v>
      </c>
      <c r="AP33" s="30" t="s">
        <v>201</v>
      </c>
      <c r="AQ33" s="30" t="s">
        <v>202</v>
      </c>
      <c r="AR33" s="30" t="s">
        <v>145</v>
      </c>
      <c r="AT33" s="30" t="s">
        <v>99</v>
      </c>
      <c r="AU33" s="30" t="s">
        <v>100</v>
      </c>
      <c r="AV33" s="30" t="s">
        <v>101</v>
      </c>
      <c r="AW33" s="30" t="s">
        <v>102</v>
      </c>
      <c r="AX33" s="34" t="s">
        <v>221</v>
      </c>
      <c r="AY33" s="34" t="s">
        <v>149</v>
      </c>
      <c r="AZ33" s="34" t="s">
        <v>149</v>
      </c>
      <c r="BA33" s="34"/>
      <c r="BB33" s="34"/>
      <c r="BC33" s="34">
        <v>0</v>
      </c>
      <c r="BD33" s="34"/>
      <c r="BE33" s="34"/>
      <c r="BF33" s="34" t="b">
        <v>0</v>
      </c>
      <c r="BG33" s="34"/>
      <c r="BH33" s="34"/>
      <c r="BI33" s="34"/>
      <c r="BJ33" s="34"/>
      <c r="BK33" s="34"/>
      <c r="BL33" s="34"/>
      <c r="BM33" s="34" t="s">
        <v>168</v>
      </c>
      <c r="BN33" s="34"/>
      <c r="BO33" s="35"/>
      <c r="BP33" s="35"/>
      <c r="BQ33" s="35" t="s">
        <v>108</v>
      </c>
      <c r="BR33" s="36" t="e">
        <f>VLOOKUP(BQ33, Cat_Indicadores!B:C, 2, FALSE)</f>
        <v>#N/A</v>
      </c>
      <c r="BS33" s="35" t="s">
        <v>5592</v>
      </c>
      <c r="BT33" s="35"/>
    </row>
    <row r="34" spans="1:72">
      <c r="A34" s="29" t="s">
        <v>314</v>
      </c>
      <c r="B34" s="30" t="s">
        <v>315</v>
      </c>
      <c r="C34" s="31">
        <v>46190.591724537036</v>
      </c>
      <c r="D34" s="30">
        <v>92</v>
      </c>
      <c r="E34" s="30" t="s">
        <v>74</v>
      </c>
      <c r="F34" s="30" t="s">
        <v>75</v>
      </c>
      <c r="G34" s="30" t="s">
        <v>133</v>
      </c>
      <c r="H34" s="30" t="s">
        <v>77</v>
      </c>
      <c r="I34" s="30" t="s">
        <v>78</v>
      </c>
      <c r="J34" s="30" t="s">
        <v>79</v>
      </c>
      <c r="K34" s="32">
        <v>800</v>
      </c>
      <c r="L34" s="32" t="s">
        <v>211</v>
      </c>
      <c r="M34" s="30" t="s">
        <v>316</v>
      </c>
      <c r="N34" s="30" t="s">
        <v>317</v>
      </c>
      <c r="O34" s="30" t="s">
        <v>83</v>
      </c>
      <c r="P34" s="33">
        <v>46124</v>
      </c>
      <c r="Q34" s="33">
        <v>46124</v>
      </c>
      <c r="R34" s="32">
        <v>1</v>
      </c>
      <c r="S34" s="30" t="s">
        <v>243</v>
      </c>
      <c r="T34" s="30" t="s">
        <v>274</v>
      </c>
      <c r="U34" s="30" t="s">
        <v>86</v>
      </c>
      <c r="V34" s="30" t="s">
        <v>87</v>
      </c>
      <c r="W34" s="30" t="s">
        <v>88</v>
      </c>
      <c r="X34" s="30" t="s">
        <v>197</v>
      </c>
      <c r="Y34" s="30">
        <v>2</v>
      </c>
      <c r="AB34" s="30" t="b">
        <v>0</v>
      </c>
      <c r="AC34" s="30"/>
      <c r="AD34" s="30" t="b">
        <v>0</v>
      </c>
      <c r="AF34" s="30" t="b">
        <v>0</v>
      </c>
      <c r="AH34" s="32" t="s">
        <v>91</v>
      </c>
      <c r="AI34" s="32"/>
      <c r="AJ34" s="32"/>
      <c r="AK34" s="32"/>
      <c r="AL34" s="30" t="s">
        <v>92</v>
      </c>
      <c r="AM34" s="30" t="s">
        <v>93</v>
      </c>
      <c r="AN34" s="30" t="s">
        <v>199</v>
      </c>
      <c r="AO34" s="30" t="s">
        <v>200</v>
      </c>
      <c r="AP34" s="30" t="s">
        <v>201</v>
      </c>
      <c r="AQ34" s="30" t="s">
        <v>202</v>
      </c>
      <c r="AR34" s="30" t="s">
        <v>145</v>
      </c>
      <c r="AT34" s="30" t="s">
        <v>99</v>
      </c>
      <c r="AU34" s="30" t="s">
        <v>100</v>
      </c>
      <c r="AV34" s="30" t="s">
        <v>101</v>
      </c>
      <c r="AW34" s="30" t="s">
        <v>102</v>
      </c>
      <c r="AX34" s="34" t="s">
        <v>86</v>
      </c>
      <c r="AY34" s="34" t="s">
        <v>149</v>
      </c>
      <c r="AZ34" s="34" t="s">
        <v>149</v>
      </c>
      <c r="BA34" s="34"/>
      <c r="BB34" s="34"/>
      <c r="BC34" s="34">
        <v>0</v>
      </c>
      <c r="BD34" s="34"/>
      <c r="BE34" s="34"/>
      <c r="BF34" s="34" t="b">
        <v>0</v>
      </c>
      <c r="BG34" s="34"/>
      <c r="BH34" s="34"/>
      <c r="BI34" s="34"/>
      <c r="BJ34" s="34"/>
      <c r="BK34" s="34"/>
      <c r="BL34" s="34"/>
      <c r="BM34" s="34" t="s">
        <v>168</v>
      </c>
      <c r="BN34" s="34"/>
      <c r="BO34" s="35"/>
      <c r="BP34" s="35"/>
      <c r="BQ34" s="35" t="s">
        <v>108</v>
      </c>
      <c r="BR34" s="36" t="e">
        <f>VLOOKUP(BQ34, Cat_Indicadores!B:C, 2, FALSE)</f>
        <v>#N/A</v>
      </c>
      <c r="BS34" s="35" t="s">
        <v>5592</v>
      </c>
      <c r="BT34" s="35"/>
    </row>
    <row r="35" spans="1:72">
      <c r="A35" s="29" t="s">
        <v>318</v>
      </c>
      <c r="B35" s="30" t="s">
        <v>319</v>
      </c>
      <c r="C35" s="31">
        <v>46190.597569444442</v>
      </c>
      <c r="D35" s="30">
        <v>92</v>
      </c>
      <c r="E35" s="30" t="s">
        <v>74</v>
      </c>
      <c r="F35" s="30" t="s">
        <v>75</v>
      </c>
      <c r="G35" s="30" t="s">
        <v>133</v>
      </c>
      <c r="H35" s="30" t="s">
        <v>77</v>
      </c>
      <c r="I35" s="30" t="s">
        <v>78</v>
      </c>
      <c r="J35" s="30" t="s">
        <v>79</v>
      </c>
      <c r="K35" s="32">
        <v>800</v>
      </c>
      <c r="L35" s="32" t="s">
        <v>211</v>
      </c>
      <c r="M35" s="30" t="s">
        <v>320</v>
      </c>
      <c r="N35" s="30" t="s">
        <v>321</v>
      </c>
      <c r="O35" s="30" t="s">
        <v>83</v>
      </c>
      <c r="P35" s="33">
        <v>46124</v>
      </c>
      <c r="Q35" s="33">
        <v>46124</v>
      </c>
      <c r="R35" s="32">
        <v>1</v>
      </c>
      <c r="S35" s="30" t="s">
        <v>322</v>
      </c>
      <c r="T35" s="30" t="s">
        <v>323</v>
      </c>
      <c r="U35" s="30" t="s">
        <v>160</v>
      </c>
      <c r="V35" s="30" t="s">
        <v>87</v>
      </c>
      <c r="W35" s="30" t="s">
        <v>88</v>
      </c>
      <c r="X35" s="30" t="s">
        <v>197</v>
      </c>
      <c r="Y35" s="30">
        <v>2</v>
      </c>
      <c r="AB35" s="30" t="b">
        <v>0</v>
      </c>
      <c r="AC35" s="30"/>
      <c r="AD35" s="30" t="b">
        <v>0</v>
      </c>
      <c r="AF35" s="30" t="b">
        <v>0</v>
      </c>
      <c r="AH35" s="32" t="s">
        <v>91</v>
      </c>
      <c r="AI35" s="32"/>
      <c r="AJ35" s="32"/>
      <c r="AK35" s="32"/>
      <c r="AL35" s="30" t="s">
        <v>92</v>
      </c>
      <c r="AM35" s="30" t="s">
        <v>93</v>
      </c>
      <c r="AN35" s="30" t="s">
        <v>199</v>
      </c>
      <c r="AO35" s="30" t="s">
        <v>200</v>
      </c>
      <c r="AP35" s="30" t="s">
        <v>201</v>
      </c>
      <c r="AQ35" s="30" t="s">
        <v>202</v>
      </c>
      <c r="AR35" s="30" t="s">
        <v>145</v>
      </c>
      <c r="AT35" s="30" t="s">
        <v>99</v>
      </c>
      <c r="AU35" s="30" t="s">
        <v>100</v>
      </c>
      <c r="AV35" s="30" t="s">
        <v>101</v>
      </c>
      <c r="AW35" s="30" t="s">
        <v>102</v>
      </c>
      <c r="AX35" s="34" t="s">
        <v>86</v>
      </c>
      <c r="AY35" s="34" t="s">
        <v>149</v>
      </c>
      <c r="AZ35" s="34" t="s">
        <v>149</v>
      </c>
      <c r="BA35" s="34"/>
      <c r="BB35" s="34"/>
      <c r="BC35" s="34">
        <v>0</v>
      </c>
      <c r="BD35" s="34"/>
      <c r="BE35" s="34"/>
      <c r="BF35" s="34" t="b">
        <v>0</v>
      </c>
      <c r="BG35" s="34"/>
      <c r="BH35" s="34"/>
      <c r="BI35" s="34"/>
      <c r="BJ35" s="34"/>
      <c r="BK35" s="34"/>
      <c r="BL35" s="34"/>
      <c r="BM35" s="34" t="s">
        <v>168</v>
      </c>
      <c r="BN35" s="34"/>
      <c r="BO35" s="35"/>
      <c r="BP35" s="35"/>
      <c r="BQ35" s="35" t="s">
        <v>108</v>
      </c>
      <c r="BR35" s="36" t="e">
        <f>VLOOKUP(BQ35, Cat_Indicadores!B:C, 2, FALSE)</f>
        <v>#N/A</v>
      </c>
      <c r="BS35" s="35" t="s">
        <v>5592</v>
      </c>
      <c r="BT35" s="35"/>
    </row>
    <row r="36" spans="1:72">
      <c r="A36" s="29" t="s">
        <v>324</v>
      </c>
      <c r="B36" s="30" t="s">
        <v>325</v>
      </c>
      <c r="C36" s="31">
        <v>46190.606550925928</v>
      </c>
      <c r="D36" s="30">
        <v>92</v>
      </c>
      <c r="E36" s="30" t="s">
        <v>74</v>
      </c>
      <c r="F36" s="30" t="s">
        <v>75</v>
      </c>
      <c r="G36" s="30" t="s">
        <v>133</v>
      </c>
      <c r="H36" s="30" t="s">
        <v>77</v>
      </c>
      <c r="I36" s="30" t="s">
        <v>78</v>
      </c>
      <c r="J36" s="30" t="s">
        <v>79</v>
      </c>
      <c r="K36" s="32">
        <v>800</v>
      </c>
      <c r="L36" s="32" t="s">
        <v>211</v>
      </c>
      <c r="M36" s="30" t="s">
        <v>326</v>
      </c>
      <c r="N36" s="30" t="s">
        <v>327</v>
      </c>
      <c r="O36" s="30" t="s">
        <v>83</v>
      </c>
      <c r="P36" s="33">
        <v>46127</v>
      </c>
      <c r="Q36" s="33">
        <v>46127</v>
      </c>
      <c r="R36" s="32">
        <v>1</v>
      </c>
      <c r="S36" s="30" t="s">
        <v>243</v>
      </c>
      <c r="T36" s="30" t="s">
        <v>328</v>
      </c>
      <c r="U36" s="30" t="s">
        <v>86</v>
      </c>
      <c r="V36" s="30" t="s">
        <v>87</v>
      </c>
      <c r="W36" s="30" t="s">
        <v>88</v>
      </c>
      <c r="X36" s="30" t="s">
        <v>197</v>
      </c>
      <c r="Y36" s="30">
        <v>4</v>
      </c>
      <c r="AB36" s="30" t="b">
        <v>0</v>
      </c>
      <c r="AC36" s="30"/>
      <c r="AD36" s="30" t="b">
        <v>0</v>
      </c>
      <c r="AF36" s="30" t="b">
        <v>0</v>
      </c>
      <c r="AH36" s="32" t="s">
        <v>91</v>
      </c>
      <c r="AI36" s="32"/>
      <c r="AJ36" s="32"/>
      <c r="AK36" s="32"/>
      <c r="AL36" s="30" t="s">
        <v>92</v>
      </c>
      <c r="AM36" s="30" t="s">
        <v>93</v>
      </c>
      <c r="AN36" s="30" t="s">
        <v>94</v>
      </c>
      <c r="AO36" s="30" t="s">
        <v>142</v>
      </c>
      <c r="AP36" s="30" t="s">
        <v>143</v>
      </c>
      <c r="AQ36" s="30" t="s">
        <v>232</v>
      </c>
      <c r="AR36" s="30" t="s">
        <v>145</v>
      </c>
      <c r="AT36" s="30" t="s">
        <v>99</v>
      </c>
      <c r="AU36" s="30" t="s">
        <v>100</v>
      </c>
      <c r="AV36" s="30" t="s">
        <v>101</v>
      </c>
      <c r="AW36" s="30" t="s">
        <v>102</v>
      </c>
      <c r="AX36" s="34" t="s">
        <v>86</v>
      </c>
      <c r="AY36" s="34" t="s">
        <v>149</v>
      </c>
      <c r="AZ36" s="34" t="s">
        <v>149</v>
      </c>
      <c r="BA36" s="34"/>
      <c r="BB36" s="34"/>
      <c r="BC36" s="34">
        <v>0</v>
      </c>
      <c r="BD36" s="34"/>
      <c r="BE36" s="34"/>
      <c r="BF36" s="34" t="b">
        <v>0</v>
      </c>
      <c r="BG36" s="34"/>
      <c r="BH36" s="34"/>
      <c r="BI36" s="34"/>
      <c r="BJ36" s="34"/>
      <c r="BK36" s="34"/>
      <c r="BL36" s="34"/>
      <c r="BM36" s="34" t="s">
        <v>168</v>
      </c>
      <c r="BN36" s="34"/>
      <c r="BO36" s="35"/>
      <c r="BP36" s="35"/>
      <c r="BQ36" s="35" t="s">
        <v>108</v>
      </c>
      <c r="BR36" s="36" t="e">
        <f>VLOOKUP(BQ36, Cat_Indicadores!B:C, 2, FALSE)</f>
        <v>#N/A</v>
      </c>
      <c r="BS36" s="35" t="s">
        <v>5592</v>
      </c>
      <c r="BT36" s="35"/>
    </row>
    <row r="37" spans="1:72">
      <c r="A37" s="29" t="s">
        <v>329</v>
      </c>
      <c r="B37" s="30" t="s">
        <v>330</v>
      </c>
      <c r="C37" s="31">
        <v>46190.610509259262</v>
      </c>
      <c r="D37" s="30">
        <v>92</v>
      </c>
      <c r="E37" s="30" t="s">
        <v>74</v>
      </c>
      <c r="F37" s="30" t="s">
        <v>75</v>
      </c>
      <c r="G37" s="30" t="s">
        <v>133</v>
      </c>
      <c r="H37" s="30" t="s">
        <v>77</v>
      </c>
      <c r="I37" s="30" t="s">
        <v>78</v>
      </c>
      <c r="J37" s="30" t="s">
        <v>79</v>
      </c>
      <c r="K37" s="32">
        <v>800</v>
      </c>
      <c r="L37" s="32" t="s">
        <v>211</v>
      </c>
      <c r="M37" s="30" t="s">
        <v>331</v>
      </c>
      <c r="N37" s="30" t="s">
        <v>332</v>
      </c>
      <c r="O37" s="30" t="s">
        <v>83</v>
      </c>
      <c r="P37" s="33">
        <v>46127</v>
      </c>
      <c r="Q37" s="33">
        <v>46127</v>
      </c>
      <c r="R37" s="32">
        <v>1</v>
      </c>
      <c r="S37" s="30" t="s">
        <v>214</v>
      </c>
      <c r="T37" s="30" t="s">
        <v>333</v>
      </c>
      <c r="U37" s="30" t="s">
        <v>221</v>
      </c>
      <c r="V37" s="30" t="s">
        <v>87</v>
      </c>
      <c r="W37" s="30" t="s">
        <v>88</v>
      </c>
      <c r="X37" s="30" t="s">
        <v>197</v>
      </c>
      <c r="Y37" s="30">
        <v>4</v>
      </c>
      <c r="AB37" s="30" t="b">
        <v>0</v>
      </c>
      <c r="AC37" s="30"/>
      <c r="AD37" s="30" t="b">
        <v>0</v>
      </c>
      <c r="AF37" s="30" t="b">
        <v>0</v>
      </c>
      <c r="AH37" s="32" t="s">
        <v>91</v>
      </c>
      <c r="AI37" s="32"/>
      <c r="AJ37" s="32"/>
      <c r="AK37" s="32"/>
      <c r="AL37" s="30" t="s">
        <v>92</v>
      </c>
      <c r="AM37" s="30" t="s">
        <v>93</v>
      </c>
      <c r="AN37" s="30" t="s">
        <v>199</v>
      </c>
      <c r="AO37" s="30" t="s">
        <v>200</v>
      </c>
      <c r="AP37" s="30" t="s">
        <v>201</v>
      </c>
      <c r="AQ37" s="30" t="s">
        <v>202</v>
      </c>
      <c r="AR37" s="30" t="s">
        <v>145</v>
      </c>
      <c r="AT37" s="30" t="s">
        <v>99</v>
      </c>
      <c r="AU37" s="30" t="s">
        <v>100</v>
      </c>
      <c r="AV37" s="30" t="s">
        <v>101</v>
      </c>
      <c r="AW37" s="30" t="s">
        <v>102</v>
      </c>
      <c r="AX37" s="34" t="s">
        <v>86</v>
      </c>
      <c r="AY37" s="34" t="s">
        <v>149</v>
      </c>
      <c r="AZ37" s="34" t="s">
        <v>149</v>
      </c>
      <c r="BA37" s="34"/>
      <c r="BB37" s="34"/>
      <c r="BC37" s="34">
        <v>0</v>
      </c>
      <c r="BD37" s="34"/>
      <c r="BE37" s="34"/>
      <c r="BF37" s="34" t="b">
        <v>0</v>
      </c>
      <c r="BG37" s="34"/>
      <c r="BH37" s="34"/>
      <c r="BI37" s="34"/>
      <c r="BJ37" s="34"/>
      <c r="BK37" s="34"/>
      <c r="BL37" s="34" t="s">
        <v>166</v>
      </c>
      <c r="BM37" s="34" t="s">
        <v>106</v>
      </c>
      <c r="BN37" s="34"/>
      <c r="BO37" s="35"/>
      <c r="BP37" s="35"/>
      <c r="BQ37" s="35" t="s">
        <v>108</v>
      </c>
      <c r="BR37" s="36" t="e">
        <f>VLOOKUP(BQ37, Cat_Indicadores!B:C, 2, FALSE)</f>
        <v>#N/A</v>
      </c>
      <c r="BS37" s="35" t="s">
        <v>5592</v>
      </c>
      <c r="BT37" s="35"/>
    </row>
    <row r="38" spans="1:72">
      <c r="A38" s="29" t="s">
        <v>334</v>
      </c>
      <c r="B38" s="30" t="s">
        <v>335</v>
      </c>
      <c r="C38" s="31">
        <v>46190.617546296293</v>
      </c>
      <c r="D38" s="30">
        <v>92</v>
      </c>
      <c r="E38" s="30" t="s">
        <v>74</v>
      </c>
      <c r="F38" s="30" t="s">
        <v>75</v>
      </c>
      <c r="G38" s="30" t="s">
        <v>133</v>
      </c>
      <c r="H38" s="30" t="s">
        <v>77</v>
      </c>
      <c r="I38" s="30" t="s">
        <v>78</v>
      </c>
      <c r="J38" s="30" t="s">
        <v>79</v>
      </c>
      <c r="K38" s="32">
        <v>800</v>
      </c>
      <c r="L38" s="32" t="s">
        <v>211</v>
      </c>
      <c r="M38" s="30" t="s">
        <v>336</v>
      </c>
      <c r="N38" s="30" t="s">
        <v>327</v>
      </c>
      <c r="O38" s="30" t="s">
        <v>83</v>
      </c>
      <c r="P38" s="33">
        <v>46127</v>
      </c>
      <c r="Q38" s="33">
        <v>46127</v>
      </c>
      <c r="R38" s="32">
        <v>1</v>
      </c>
      <c r="S38" s="30" t="s">
        <v>84</v>
      </c>
      <c r="T38" s="30" t="s">
        <v>337</v>
      </c>
      <c r="U38" s="30" t="s">
        <v>338</v>
      </c>
      <c r="V38" s="30" t="s">
        <v>87</v>
      </c>
      <c r="W38" s="30" t="s">
        <v>88</v>
      </c>
      <c r="X38" s="30" t="s">
        <v>197</v>
      </c>
      <c r="Y38" s="30">
        <v>4</v>
      </c>
      <c r="AB38" s="30" t="b">
        <v>0</v>
      </c>
      <c r="AC38" s="30"/>
      <c r="AD38" s="30" t="b">
        <v>0</v>
      </c>
      <c r="AF38" s="30" t="b">
        <v>0</v>
      </c>
      <c r="AH38" s="32" t="s">
        <v>91</v>
      </c>
      <c r="AI38" s="32"/>
      <c r="AJ38" s="32"/>
      <c r="AK38" s="32"/>
      <c r="AL38" s="30" t="s">
        <v>92</v>
      </c>
      <c r="AM38" s="30" t="s">
        <v>93</v>
      </c>
      <c r="AN38" s="30" t="s">
        <v>94</v>
      </c>
      <c r="AO38" s="30" t="s">
        <v>142</v>
      </c>
      <c r="AP38" s="30" t="s">
        <v>143</v>
      </c>
      <c r="AQ38" s="30" t="s">
        <v>232</v>
      </c>
      <c r="AR38" s="30" t="s">
        <v>145</v>
      </c>
      <c r="AT38" s="30" t="s">
        <v>99</v>
      </c>
      <c r="AU38" s="30" t="s">
        <v>100</v>
      </c>
      <c r="AV38" s="30" t="s">
        <v>101</v>
      </c>
      <c r="AW38" s="30" t="s">
        <v>102</v>
      </c>
      <c r="AX38" s="34" t="s">
        <v>339</v>
      </c>
      <c r="AY38" s="34" t="s">
        <v>149</v>
      </c>
      <c r="AZ38" s="34" t="s">
        <v>149</v>
      </c>
      <c r="BA38" s="34"/>
      <c r="BB38" s="34"/>
      <c r="BC38" s="34">
        <v>0</v>
      </c>
      <c r="BD38" s="34"/>
      <c r="BE38" s="34"/>
      <c r="BF38" s="34" t="b">
        <v>0</v>
      </c>
      <c r="BG38" s="34"/>
      <c r="BH38" s="34"/>
      <c r="BI38" s="34"/>
      <c r="BJ38" s="34"/>
      <c r="BK38" s="34"/>
      <c r="BL38" s="34"/>
      <c r="BM38" s="34" t="s">
        <v>168</v>
      </c>
      <c r="BN38" s="34"/>
      <c r="BO38" s="35"/>
      <c r="BP38" s="35"/>
      <c r="BQ38" s="35" t="s">
        <v>108</v>
      </c>
      <c r="BR38" s="36" t="e">
        <f>VLOOKUP(BQ38, Cat_Indicadores!B:C, 2, FALSE)</f>
        <v>#N/A</v>
      </c>
      <c r="BS38" s="35" t="s">
        <v>5592</v>
      </c>
      <c r="BT38" s="35"/>
    </row>
    <row r="39" spans="1:72">
      <c r="A39" s="29" t="s">
        <v>340</v>
      </c>
      <c r="B39" s="30" t="s">
        <v>341</v>
      </c>
      <c r="C39" s="31">
        <v>46191.481354166666</v>
      </c>
      <c r="D39" s="30">
        <v>92</v>
      </c>
      <c r="E39" s="30" t="s">
        <v>74</v>
      </c>
      <c r="F39" s="30" t="s">
        <v>75</v>
      </c>
      <c r="G39" s="30" t="s">
        <v>133</v>
      </c>
      <c r="H39" s="30" t="s">
        <v>77</v>
      </c>
      <c r="I39" s="30" t="s">
        <v>78</v>
      </c>
      <c r="J39" s="30" t="s">
        <v>79</v>
      </c>
      <c r="K39" s="32">
        <v>800</v>
      </c>
      <c r="L39" s="32" t="s">
        <v>211</v>
      </c>
      <c r="M39" s="30" t="s">
        <v>342</v>
      </c>
      <c r="N39" s="30" t="s">
        <v>343</v>
      </c>
      <c r="O39" s="30" t="s">
        <v>83</v>
      </c>
      <c r="P39" s="33">
        <v>46130</v>
      </c>
      <c r="Q39" s="33">
        <v>46130</v>
      </c>
      <c r="R39" s="32">
        <v>1</v>
      </c>
      <c r="S39" s="30" t="s">
        <v>243</v>
      </c>
      <c r="T39" s="30" t="s">
        <v>344</v>
      </c>
      <c r="U39" s="30" t="s">
        <v>86</v>
      </c>
      <c r="V39" s="30" t="s">
        <v>87</v>
      </c>
      <c r="W39" s="30" t="s">
        <v>88</v>
      </c>
      <c r="X39" s="30" t="s">
        <v>197</v>
      </c>
      <c r="Y39" s="30">
        <v>2</v>
      </c>
      <c r="AB39" s="30" t="b">
        <v>0</v>
      </c>
      <c r="AC39" s="30"/>
      <c r="AD39" s="30" t="b">
        <v>0</v>
      </c>
      <c r="AF39" s="30" t="b">
        <v>0</v>
      </c>
      <c r="AH39" s="32" t="s">
        <v>91</v>
      </c>
      <c r="AI39" s="32"/>
      <c r="AJ39" s="32"/>
      <c r="AK39" s="32"/>
      <c r="AL39" s="30" t="s">
        <v>92</v>
      </c>
      <c r="AM39" s="30" t="s">
        <v>93</v>
      </c>
      <c r="AN39" s="30" t="s">
        <v>94</v>
      </c>
      <c r="AO39" s="30" t="s">
        <v>142</v>
      </c>
      <c r="AP39" s="30" t="s">
        <v>143</v>
      </c>
      <c r="AQ39" s="30" t="s">
        <v>232</v>
      </c>
      <c r="AR39" s="30" t="s">
        <v>145</v>
      </c>
      <c r="AT39" s="30" t="s">
        <v>99</v>
      </c>
      <c r="AU39" s="30" t="s">
        <v>100</v>
      </c>
      <c r="AV39" s="30" t="s">
        <v>101</v>
      </c>
      <c r="AW39" s="30" t="s">
        <v>102</v>
      </c>
      <c r="AX39" s="34" t="s">
        <v>86</v>
      </c>
      <c r="AY39" s="34" t="s">
        <v>149</v>
      </c>
      <c r="AZ39" s="34" t="s">
        <v>149</v>
      </c>
      <c r="BA39" s="34"/>
      <c r="BB39" s="34"/>
      <c r="BC39" s="34">
        <v>0</v>
      </c>
      <c r="BD39" s="34"/>
      <c r="BE39" s="34"/>
      <c r="BF39" s="34" t="b">
        <v>0</v>
      </c>
      <c r="BG39" s="34"/>
      <c r="BH39" s="34"/>
      <c r="BI39" s="34"/>
      <c r="BJ39" s="34"/>
      <c r="BK39" s="34"/>
      <c r="BL39" s="34"/>
      <c r="BM39" s="34" t="s">
        <v>168</v>
      </c>
      <c r="BN39" s="34"/>
      <c r="BO39" s="35"/>
      <c r="BP39" s="35"/>
      <c r="BQ39" s="35" t="s">
        <v>108</v>
      </c>
      <c r="BR39" s="36" t="e">
        <f>VLOOKUP(BQ39, Cat_Indicadores!B:C, 2, FALSE)</f>
        <v>#N/A</v>
      </c>
      <c r="BS39" s="35" t="s">
        <v>5592</v>
      </c>
      <c r="BT39" s="35"/>
    </row>
    <row r="40" spans="1:72">
      <c r="A40" s="29" t="s">
        <v>345</v>
      </c>
      <c r="B40" s="30" t="s">
        <v>346</v>
      </c>
      <c r="C40" s="31">
        <v>46191.493645833332</v>
      </c>
      <c r="D40" s="30">
        <v>92</v>
      </c>
      <c r="E40" s="30" t="s">
        <v>74</v>
      </c>
      <c r="F40" s="30" t="s">
        <v>75</v>
      </c>
      <c r="G40" s="30" t="s">
        <v>133</v>
      </c>
      <c r="H40" s="30" t="s">
        <v>77</v>
      </c>
      <c r="I40" s="30" t="s">
        <v>78</v>
      </c>
      <c r="J40" s="30" t="s">
        <v>79</v>
      </c>
      <c r="K40" s="32">
        <v>800</v>
      </c>
      <c r="L40" s="32" t="s">
        <v>211</v>
      </c>
      <c r="M40" s="30" t="s">
        <v>347</v>
      </c>
      <c r="N40" s="30" t="s">
        <v>348</v>
      </c>
      <c r="O40" s="30" t="s">
        <v>83</v>
      </c>
      <c r="P40" s="33">
        <v>46133</v>
      </c>
      <c r="Q40" s="33">
        <v>46133</v>
      </c>
      <c r="R40" s="32">
        <v>1</v>
      </c>
      <c r="S40" s="30" t="s">
        <v>84</v>
      </c>
      <c r="T40" s="30" t="s">
        <v>337</v>
      </c>
      <c r="U40" s="30" t="s">
        <v>86</v>
      </c>
      <c r="V40" s="30" t="s">
        <v>87</v>
      </c>
      <c r="W40" s="30" t="s">
        <v>88</v>
      </c>
      <c r="X40" s="30" t="s">
        <v>197</v>
      </c>
      <c r="Y40" s="30">
        <v>9</v>
      </c>
      <c r="AB40" s="30" t="b">
        <v>0</v>
      </c>
      <c r="AC40" s="30"/>
      <c r="AD40" s="30" t="b">
        <v>0</v>
      </c>
      <c r="AF40" s="30" t="b">
        <v>0</v>
      </c>
      <c r="AH40" s="32" t="s">
        <v>91</v>
      </c>
      <c r="AI40" s="32"/>
      <c r="AJ40" s="32"/>
      <c r="AK40" s="32"/>
      <c r="AL40" s="30" t="s">
        <v>92</v>
      </c>
      <c r="AM40" s="30" t="s">
        <v>93</v>
      </c>
      <c r="AN40" s="30" t="s">
        <v>94</v>
      </c>
      <c r="AO40" s="30" t="s">
        <v>142</v>
      </c>
      <c r="AP40" s="30" t="s">
        <v>143</v>
      </c>
      <c r="AQ40" s="30" t="s">
        <v>232</v>
      </c>
      <c r="AR40" s="30" t="s">
        <v>145</v>
      </c>
      <c r="AT40" s="30" t="s">
        <v>99</v>
      </c>
      <c r="AU40" s="30" t="s">
        <v>100</v>
      </c>
      <c r="AV40" s="30" t="s">
        <v>101</v>
      </c>
      <c r="AW40" s="30" t="s">
        <v>102</v>
      </c>
      <c r="AX40" s="34" t="s">
        <v>349</v>
      </c>
      <c r="AY40" s="34" t="s">
        <v>149</v>
      </c>
      <c r="AZ40" s="34" t="s">
        <v>149</v>
      </c>
      <c r="BA40" s="34"/>
      <c r="BB40" s="34"/>
      <c r="BC40" s="34">
        <v>0</v>
      </c>
      <c r="BD40" s="34"/>
      <c r="BE40" s="34"/>
      <c r="BF40" s="34" t="b">
        <v>0</v>
      </c>
      <c r="BG40" s="34"/>
      <c r="BH40" s="34"/>
      <c r="BI40" s="34"/>
      <c r="BJ40" s="34"/>
      <c r="BK40" s="34"/>
      <c r="BL40" s="34"/>
      <c r="BM40" s="34" t="s">
        <v>168</v>
      </c>
      <c r="BN40" s="34"/>
      <c r="BO40" s="35"/>
      <c r="BP40" s="35"/>
      <c r="BQ40" s="35" t="s">
        <v>108</v>
      </c>
      <c r="BR40" s="36" t="e">
        <f>VLOOKUP(BQ40, Cat_Indicadores!B:C, 2, FALSE)</f>
        <v>#N/A</v>
      </c>
      <c r="BS40" s="35" t="s">
        <v>5592</v>
      </c>
      <c r="BT40" s="35"/>
    </row>
    <row r="41" spans="1:72">
      <c r="A41" s="29" t="s">
        <v>350</v>
      </c>
      <c r="B41" s="30" t="s">
        <v>351</v>
      </c>
      <c r="C41" s="31">
        <v>46191.497175925928</v>
      </c>
      <c r="D41" s="30">
        <v>92</v>
      </c>
      <c r="E41" s="30" t="s">
        <v>74</v>
      </c>
      <c r="F41" s="30" t="s">
        <v>75</v>
      </c>
      <c r="G41" s="30" t="s">
        <v>133</v>
      </c>
      <c r="H41" s="30" t="s">
        <v>77</v>
      </c>
      <c r="I41" s="30" t="s">
        <v>78</v>
      </c>
      <c r="J41" s="30" t="s">
        <v>79</v>
      </c>
      <c r="K41" s="32">
        <v>800</v>
      </c>
      <c r="L41" s="32" t="s">
        <v>211</v>
      </c>
      <c r="M41" s="30" t="s">
        <v>352</v>
      </c>
      <c r="N41" s="30" t="s">
        <v>353</v>
      </c>
      <c r="O41" s="30" t="s">
        <v>83</v>
      </c>
      <c r="P41" s="33">
        <v>46133</v>
      </c>
      <c r="Q41" s="33">
        <v>46133</v>
      </c>
      <c r="R41" s="32">
        <v>1</v>
      </c>
      <c r="S41" s="30" t="s">
        <v>214</v>
      </c>
      <c r="T41" s="30" t="s">
        <v>333</v>
      </c>
      <c r="U41" s="30" t="s">
        <v>221</v>
      </c>
      <c r="V41" s="30" t="s">
        <v>87</v>
      </c>
      <c r="W41" s="30" t="s">
        <v>88</v>
      </c>
      <c r="X41" s="30" t="s">
        <v>197</v>
      </c>
      <c r="Y41" s="30">
        <v>5</v>
      </c>
      <c r="AB41" s="30" t="b">
        <v>0</v>
      </c>
      <c r="AC41" s="30"/>
      <c r="AD41" s="30" t="b">
        <v>0</v>
      </c>
      <c r="AF41" s="30" t="b">
        <v>0</v>
      </c>
      <c r="AH41" s="32" t="s">
        <v>91</v>
      </c>
      <c r="AI41" s="32"/>
      <c r="AJ41" s="32"/>
      <c r="AK41" s="32"/>
      <c r="AL41" s="30" t="s">
        <v>92</v>
      </c>
      <c r="AM41" s="30" t="s">
        <v>93</v>
      </c>
      <c r="AN41" s="30" t="s">
        <v>199</v>
      </c>
      <c r="AO41" s="30" t="s">
        <v>200</v>
      </c>
      <c r="AP41" s="30" t="s">
        <v>201</v>
      </c>
      <c r="AQ41" s="30" t="s">
        <v>202</v>
      </c>
      <c r="AR41" s="30" t="s">
        <v>145</v>
      </c>
      <c r="AT41" s="30" t="s">
        <v>99</v>
      </c>
      <c r="AU41" s="30" t="s">
        <v>100</v>
      </c>
      <c r="AV41" s="30" t="s">
        <v>101</v>
      </c>
      <c r="AW41" s="30" t="s">
        <v>102</v>
      </c>
      <c r="AX41" s="34" t="s">
        <v>308</v>
      </c>
      <c r="AY41" s="34" t="s">
        <v>149</v>
      </c>
      <c r="AZ41" s="34" t="s">
        <v>149</v>
      </c>
      <c r="BA41" s="34"/>
      <c r="BB41" s="34"/>
      <c r="BC41" s="34">
        <v>0</v>
      </c>
      <c r="BD41" s="34"/>
      <c r="BE41" s="34"/>
      <c r="BF41" s="34" t="b">
        <v>0</v>
      </c>
      <c r="BG41" s="34"/>
      <c r="BH41" s="34"/>
      <c r="BI41" s="34"/>
      <c r="BJ41" s="34"/>
      <c r="BK41" s="34"/>
      <c r="BL41" s="34" t="s">
        <v>354</v>
      </c>
      <c r="BM41" s="34" t="s">
        <v>106</v>
      </c>
      <c r="BN41" s="34"/>
      <c r="BO41" s="35"/>
      <c r="BP41" s="35"/>
      <c r="BQ41" s="35" t="s">
        <v>108</v>
      </c>
      <c r="BR41" s="36" t="e">
        <f>VLOOKUP(BQ41, Cat_Indicadores!B:C, 2, FALSE)</f>
        <v>#N/A</v>
      </c>
      <c r="BS41" s="35" t="s">
        <v>5592</v>
      </c>
      <c r="BT41" s="35"/>
    </row>
    <row r="42" spans="1:72">
      <c r="A42" s="29" t="s">
        <v>355</v>
      </c>
      <c r="B42" s="30" t="s">
        <v>356</v>
      </c>
      <c r="C42" s="31">
        <v>46191.591122685182</v>
      </c>
      <c r="D42" s="30">
        <v>92</v>
      </c>
      <c r="E42" s="30" t="s">
        <v>74</v>
      </c>
      <c r="F42" s="30" t="s">
        <v>75</v>
      </c>
      <c r="G42" s="30" t="s">
        <v>133</v>
      </c>
      <c r="H42" s="30" t="s">
        <v>77</v>
      </c>
      <c r="I42" s="30" t="s">
        <v>78</v>
      </c>
      <c r="J42" s="30" t="s">
        <v>79</v>
      </c>
      <c r="K42" s="32">
        <v>800</v>
      </c>
      <c r="L42" s="32" t="s">
        <v>211</v>
      </c>
      <c r="M42" s="30" t="s">
        <v>357</v>
      </c>
      <c r="N42" s="30" t="s">
        <v>358</v>
      </c>
      <c r="O42" s="30" t="s">
        <v>83</v>
      </c>
      <c r="P42" s="33">
        <v>46134</v>
      </c>
      <c r="Q42" s="33">
        <v>46134</v>
      </c>
      <c r="R42" s="32">
        <v>1</v>
      </c>
      <c r="S42" s="30" t="s">
        <v>264</v>
      </c>
      <c r="T42" s="30" t="s">
        <v>265</v>
      </c>
      <c r="U42" s="30" t="s">
        <v>86</v>
      </c>
      <c r="V42" s="30" t="s">
        <v>87</v>
      </c>
      <c r="W42" s="30" t="s">
        <v>88</v>
      </c>
      <c r="X42" s="30" t="s">
        <v>197</v>
      </c>
      <c r="Y42" s="30">
        <v>1</v>
      </c>
      <c r="AB42" s="30" t="b">
        <v>0</v>
      </c>
      <c r="AC42" s="30"/>
      <c r="AD42" s="30" t="b">
        <v>1</v>
      </c>
      <c r="AE42" s="30">
        <v>1</v>
      </c>
      <c r="AF42" s="30" t="b">
        <v>0</v>
      </c>
      <c r="AH42" s="32" t="s">
        <v>91</v>
      </c>
      <c r="AI42" s="32"/>
      <c r="AJ42" s="32"/>
      <c r="AK42" s="32"/>
      <c r="AL42" s="30" t="s">
        <v>92</v>
      </c>
      <c r="AM42" s="30" t="s">
        <v>251</v>
      </c>
      <c r="AN42" s="30" t="s">
        <v>199</v>
      </c>
      <c r="AO42" s="30" t="s">
        <v>200</v>
      </c>
      <c r="AP42" s="30" t="s">
        <v>201</v>
      </c>
      <c r="AQ42" s="30" t="s">
        <v>202</v>
      </c>
      <c r="AR42" s="30" t="s">
        <v>145</v>
      </c>
      <c r="AT42" s="30" t="s">
        <v>99</v>
      </c>
      <c r="AU42" s="30" t="s">
        <v>100</v>
      </c>
      <c r="AV42" s="30" t="s">
        <v>101</v>
      </c>
      <c r="AW42" s="30" t="s">
        <v>102</v>
      </c>
      <c r="AX42" s="34" t="s">
        <v>86</v>
      </c>
      <c r="AY42" s="34" t="s">
        <v>149</v>
      </c>
      <c r="AZ42" s="34" t="s">
        <v>149</v>
      </c>
      <c r="BA42" s="34"/>
      <c r="BB42" s="34"/>
      <c r="BC42" s="34">
        <v>0</v>
      </c>
      <c r="BD42" s="34"/>
      <c r="BE42" s="34"/>
      <c r="BF42" s="34" t="b">
        <v>0</v>
      </c>
      <c r="BG42" s="34"/>
      <c r="BH42" s="34"/>
      <c r="BI42" s="34"/>
      <c r="BJ42" s="34"/>
      <c r="BK42" s="34"/>
      <c r="BL42" s="34"/>
      <c r="BM42" s="34" t="s">
        <v>168</v>
      </c>
      <c r="BN42" s="34"/>
      <c r="BO42" s="35"/>
      <c r="BP42" s="35"/>
      <c r="BQ42" s="35" t="s">
        <v>108</v>
      </c>
      <c r="BR42" s="36" t="e">
        <f>VLOOKUP(BQ42, Cat_Indicadores!B:C, 2, FALSE)</f>
        <v>#N/A</v>
      </c>
      <c r="BS42" s="35" t="s">
        <v>5592</v>
      </c>
      <c r="BT42" s="35"/>
    </row>
    <row r="43" spans="1:72">
      <c r="A43" s="29" t="s">
        <v>359</v>
      </c>
      <c r="B43" s="30" t="s">
        <v>360</v>
      </c>
      <c r="C43" s="31">
        <v>46191.605185185188</v>
      </c>
      <c r="D43" s="30">
        <v>92</v>
      </c>
      <c r="E43" s="30" t="s">
        <v>74</v>
      </c>
      <c r="F43" s="30" t="s">
        <v>75</v>
      </c>
      <c r="G43" s="30" t="s">
        <v>133</v>
      </c>
      <c r="H43" s="30" t="s">
        <v>77</v>
      </c>
      <c r="I43" s="30" t="s">
        <v>78</v>
      </c>
      <c r="J43" s="30" t="s">
        <v>79</v>
      </c>
      <c r="K43" s="32">
        <v>800</v>
      </c>
      <c r="L43" s="32" t="s">
        <v>211</v>
      </c>
      <c r="M43" s="30" t="s">
        <v>361</v>
      </c>
      <c r="N43" s="30" t="s">
        <v>362</v>
      </c>
      <c r="O43" s="30" t="s">
        <v>83</v>
      </c>
      <c r="P43" s="33">
        <v>46134</v>
      </c>
      <c r="Q43" s="33">
        <v>46134</v>
      </c>
      <c r="R43" s="32">
        <v>1</v>
      </c>
      <c r="S43" s="30" t="s">
        <v>84</v>
      </c>
      <c r="T43" s="30" t="s">
        <v>337</v>
      </c>
      <c r="U43" s="30" t="s">
        <v>86</v>
      </c>
      <c r="V43" s="30" t="s">
        <v>87</v>
      </c>
      <c r="W43" s="30" t="s">
        <v>88</v>
      </c>
      <c r="X43" s="30" t="s">
        <v>197</v>
      </c>
      <c r="Y43" s="30">
        <v>1</v>
      </c>
      <c r="AB43" s="30" t="b">
        <v>0</v>
      </c>
      <c r="AC43" s="30"/>
      <c r="AD43" s="30" t="b">
        <v>0</v>
      </c>
      <c r="AF43" s="30" t="b">
        <v>0</v>
      </c>
      <c r="AH43" s="32" t="s">
        <v>91</v>
      </c>
      <c r="AI43" s="32"/>
      <c r="AJ43" s="32"/>
      <c r="AK43" s="32"/>
      <c r="AL43" s="30" t="s">
        <v>92</v>
      </c>
      <c r="AM43" s="30" t="s">
        <v>93</v>
      </c>
      <c r="AN43" s="30" t="s">
        <v>94</v>
      </c>
      <c r="AO43" s="30" t="s">
        <v>142</v>
      </c>
      <c r="AP43" s="30" t="s">
        <v>143</v>
      </c>
      <c r="AQ43" s="30" t="s">
        <v>232</v>
      </c>
      <c r="AR43" s="30" t="s">
        <v>145</v>
      </c>
      <c r="AT43" s="30" t="s">
        <v>99</v>
      </c>
      <c r="AU43" s="30" t="s">
        <v>100</v>
      </c>
      <c r="AV43" s="30" t="s">
        <v>101</v>
      </c>
      <c r="AW43" s="30" t="s">
        <v>102</v>
      </c>
      <c r="AX43" s="34" t="s">
        <v>86</v>
      </c>
      <c r="AY43" s="34" t="s">
        <v>149</v>
      </c>
      <c r="AZ43" s="34" t="s">
        <v>149</v>
      </c>
      <c r="BA43" s="34"/>
      <c r="BB43" s="34"/>
      <c r="BC43" s="34">
        <v>0</v>
      </c>
      <c r="BD43" s="34"/>
      <c r="BE43" s="34"/>
      <c r="BF43" s="34" t="b">
        <v>0</v>
      </c>
      <c r="BG43" s="34"/>
      <c r="BH43" s="34"/>
      <c r="BI43" s="34"/>
      <c r="BJ43" s="34"/>
      <c r="BK43" s="34"/>
      <c r="BL43" s="34"/>
      <c r="BM43" s="34" t="s">
        <v>168</v>
      </c>
      <c r="BN43" s="34"/>
      <c r="BO43" s="35"/>
      <c r="BP43" s="35"/>
      <c r="BQ43" s="35" t="s">
        <v>108</v>
      </c>
      <c r="BR43" s="36" t="e">
        <f>VLOOKUP(BQ43, Cat_Indicadores!B:C, 2, FALSE)</f>
        <v>#N/A</v>
      </c>
      <c r="BS43" s="35" t="s">
        <v>5592</v>
      </c>
      <c r="BT43" s="35"/>
    </row>
    <row r="44" spans="1:72">
      <c r="A44" s="29" t="s">
        <v>363</v>
      </c>
      <c r="B44" s="30" t="s">
        <v>364</v>
      </c>
      <c r="C44" s="31">
        <v>46191.609814814816</v>
      </c>
      <c r="D44" s="30">
        <v>92</v>
      </c>
      <c r="E44" s="30" t="s">
        <v>74</v>
      </c>
      <c r="F44" s="30" t="s">
        <v>75</v>
      </c>
      <c r="G44" s="30" t="s">
        <v>133</v>
      </c>
      <c r="H44" s="30" t="s">
        <v>77</v>
      </c>
      <c r="I44" s="30" t="s">
        <v>78</v>
      </c>
      <c r="J44" s="30" t="s">
        <v>79</v>
      </c>
      <c r="K44" s="32">
        <v>800</v>
      </c>
      <c r="L44" s="32" t="s">
        <v>211</v>
      </c>
      <c r="M44" s="30" t="s">
        <v>365</v>
      </c>
      <c r="N44" s="30" t="s">
        <v>366</v>
      </c>
      <c r="O44" s="30" t="s">
        <v>83</v>
      </c>
      <c r="P44" s="33">
        <v>46135</v>
      </c>
      <c r="Q44" s="33">
        <v>46135</v>
      </c>
      <c r="R44" s="32">
        <v>1</v>
      </c>
      <c r="S44" s="30" t="s">
        <v>243</v>
      </c>
      <c r="T44" s="30" t="s">
        <v>328</v>
      </c>
      <c r="U44" s="30" t="s">
        <v>367</v>
      </c>
      <c r="V44" s="30" t="s">
        <v>87</v>
      </c>
      <c r="W44" s="30" t="s">
        <v>88</v>
      </c>
      <c r="X44" s="30" t="s">
        <v>197</v>
      </c>
      <c r="Y44" s="30">
        <v>6</v>
      </c>
      <c r="AB44" s="30" t="b">
        <v>0</v>
      </c>
      <c r="AC44" s="30"/>
      <c r="AD44" s="30" t="b">
        <v>1</v>
      </c>
      <c r="AE44" s="30">
        <v>1</v>
      </c>
      <c r="AF44" s="30" t="b">
        <v>0</v>
      </c>
      <c r="AH44" s="32" t="s">
        <v>91</v>
      </c>
      <c r="AI44" s="32"/>
      <c r="AJ44" s="32"/>
      <c r="AK44" s="32"/>
      <c r="AL44" s="30" t="s">
        <v>92</v>
      </c>
      <c r="AM44" s="30" t="s">
        <v>294</v>
      </c>
      <c r="AN44" s="30" t="s">
        <v>199</v>
      </c>
      <c r="AO44" s="30" t="s">
        <v>200</v>
      </c>
      <c r="AP44" s="30" t="s">
        <v>201</v>
      </c>
      <c r="AQ44" s="30" t="s">
        <v>202</v>
      </c>
      <c r="AR44" s="30" t="s">
        <v>145</v>
      </c>
      <c r="AT44" s="30" t="s">
        <v>99</v>
      </c>
      <c r="AU44" s="30" t="s">
        <v>100</v>
      </c>
      <c r="AV44" s="30" t="s">
        <v>101</v>
      </c>
      <c r="AW44" s="30" t="s">
        <v>102</v>
      </c>
      <c r="AX44" s="34" t="s">
        <v>367</v>
      </c>
      <c r="AY44" s="34" t="s">
        <v>149</v>
      </c>
      <c r="AZ44" s="34"/>
      <c r="BA44" s="34"/>
      <c r="BB44" s="34"/>
      <c r="BC44" s="34">
        <v>0</v>
      </c>
      <c r="BD44" s="34"/>
      <c r="BE44" s="34"/>
      <c r="BF44" s="34" t="b">
        <v>0</v>
      </c>
      <c r="BG44" s="34"/>
      <c r="BH44" s="34"/>
      <c r="BI44" s="34"/>
      <c r="BJ44" s="34"/>
      <c r="BK44" s="34"/>
      <c r="BL44" s="34"/>
      <c r="BM44" s="34" t="s">
        <v>168</v>
      </c>
      <c r="BN44" s="34"/>
      <c r="BO44" s="35"/>
      <c r="BP44" s="35"/>
      <c r="BQ44" s="35" t="s">
        <v>108</v>
      </c>
      <c r="BR44" s="36" t="e">
        <f>VLOOKUP(BQ44, Cat_Indicadores!B:C, 2, FALSE)</f>
        <v>#N/A</v>
      </c>
      <c r="BS44" s="35" t="s">
        <v>5592</v>
      </c>
      <c r="BT44" s="35"/>
    </row>
    <row r="45" spans="1:72">
      <c r="A45" s="29" t="s">
        <v>368</v>
      </c>
      <c r="B45" s="30" t="s">
        <v>369</v>
      </c>
      <c r="C45" s="31">
        <v>46191.620405092595</v>
      </c>
      <c r="D45" s="30">
        <v>92</v>
      </c>
      <c r="E45" s="30" t="s">
        <v>74</v>
      </c>
      <c r="F45" s="30" t="s">
        <v>75</v>
      </c>
      <c r="G45" s="30" t="s">
        <v>133</v>
      </c>
      <c r="H45" s="30" t="s">
        <v>77</v>
      </c>
      <c r="I45" s="30" t="s">
        <v>78</v>
      </c>
      <c r="J45" s="30" t="s">
        <v>79</v>
      </c>
      <c r="K45" s="32">
        <v>800</v>
      </c>
      <c r="L45" s="32" t="s">
        <v>211</v>
      </c>
      <c r="M45" s="30" t="s">
        <v>370</v>
      </c>
      <c r="N45" s="30" t="s">
        <v>371</v>
      </c>
      <c r="O45" s="30" t="s">
        <v>83</v>
      </c>
      <c r="P45" s="33">
        <v>46136</v>
      </c>
      <c r="Q45" s="33">
        <v>46136</v>
      </c>
      <c r="R45" s="32">
        <v>1</v>
      </c>
      <c r="S45" s="30" t="s">
        <v>243</v>
      </c>
      <c r="T45" s="30" t="s">
        <v>328</v>
      </c>
      <c r="U45" s="30" t="s">
        <v>86</v>
      </c>
      <c r="V45" s="30" t="s">
        <v>87</v>
      </c>
      <c r="W45" s="30" t="s">
        <v>88</v>
      </c>
      <c r="X45" s="30" t="s">
        <v>197</v>
      </c>
      <c r="Y45" s="30">
        <v>6</v>
      </c>
      <c r="AB45" s="30" t="b">
        <v>0</v>
      </c>
      <c r="AC45" s="30"/>
      <c r="AD45" s="30" t="b">
        <v>0</v>
      </c>
      <c r="AF45" s="30" t="b">
        <v>0</v>
      </c>
      <c r="AH45" s="32" t="s">
        <v>91</v>
      </c>
      <c r="AI45" s="32"/>
      <c r="AJ45" s="32"/>
      <c r="AK45" s="32"/>
      <c r="AL45" s="30" t="s">
        <v>92</v>
      </c>
      <c r="AM45" s="30" t="s">
        <v>93</v>
      </c>
      <c r="AN45" s="30" t="s">
        <v>94</v>
      </c>
      <c r="AO45" s="30" t="s">
        <v>142</v>
      </c>
      <c r="AP45" s="30" t="s">
        <v>143</v>
      </c>
      <c r="AQ45" s="30" t="s">
        <v>232</v>
      </c>
      <c r="AR45" s="30" t="s">
        <v>145</v>
      </c>
      <c r="AT45" s="30" t="s">
        <v>99</v>
      </c>
      <c r="AU45" s="30" t="s">
        <v>100</v>
      </c>
      <c r="AV45" s="30" t="s">
        <v>101</v>
      </c>
      <c r="AW45" s="30" t="s">
        <v>102</v>
      </c>
      <c r="AX45" s="34" t="s">
        <v>86</v>
      </c>
      <c r="AY45" s="34" t="s">
        <v>149</v>
      </c>
      <c r="AZ45" s="34" t="s">
        <v>149</v>
      </c>
      <c r="BA45" s="34"/>
      <c r="BB45" s="34"/>
      <c r="BC45" s="34">
        <v>0</v>
      </c>
      <c r="BD45" s="34"/>
      <c r="BE45" s="34"/>
      <c r="BF45" s="34" t="b">
        <v>0</v>
      </c>
      <c r="BG45" s="34"/>
      <c r="BH45" s="34"/>
      <c r="BI45" s="34"/>
      <c r="BJ45" s="34"/>
      <c r="BK45" s="34"/>
      <c r="BL45" s="34"/>
      <c r="BM45" s="34" t="s">
        <v>168</v>
      </c>
      <c r="BN45" s="34"/>
      <c r="BO45" s="35"/>
      <c r="BP45" s="35"/>
      <c r="BQ45" s="35" t="s">
        <v>108</v>
      </c>
      <c r="BR45" s="36" t="e">
        <f>VLOOKUP(BQ45, Cat_Indicadores!B:C, 2, FALSE)</f>
        <v>#N/A</v>
      </c>
      <c r="BS45" s="35" t="s">
        <v>5592</v>
      </c>
      <c r="BT45" s="35"/>
    </row>
    <row r="46" spans="1:72">
      <c r="A46" s="29" t="s">
        <v>372</v>
      </c>
      <c r="B46" s="30" t="s">
        <v>373</v>
      </c>
      <c r="C46" s="31">
        <v>46191.638252314813</v>
      </c>
      <c r="D46" s="30">
        <v>92</v>
      </c>
      <c r="E46" s="30" t="s">
        <v>74</v>
      </c>
      <c r="F46" s="30" t="s">
        <v>75</v>
      </c>
      <c r="G46" s="30" t="s">
        <v>133</v>
      </c>
      <c r="H46" s="30" t="s">
        <v>77</v>
      </c>
      <c r="I46" s="30" t="s">
        <v>78</v>
      </c>
      <c r="J46" s="30" t="s">
        <v>79</v>
      </c>
      <c r="K46" s="32">
        <v>800</v>
      </c>
      <c r="L46" s="32" t="s">
        <v>211</v>
      </c>
      <c r="M46" s="30" t="s">
        <v>342</v>
      </c>
      <c r="N46" s="30" t="s">
        <v>343</v>
      </c>
      <c r="O46" s="30" t="s">
        <v>83</v>
      </c>
      <c r="P46" s="33">
        <v>46137</v>
      </c>
      <c r="Q46" s="33">
        <v>46137</v>
      </c>
      <c r="R46" s="32">
        <v>1</v>
      </c>
      <c r="S46" s="30" t="s">
        <v>243</v>
      </c>
      <c r="T46" s="30" t="s">
        <v>344</v>
      </c>
      <c r="U46" s="30" t="s">
        <v>86</v>
      </c>
      <c r="V46" s="30" t="s">
        <v>87</v>
      </c>
      <c r="W46" s="30" t="s">
        <v>88</v>
      </c>
      <c r="X46" s="30" t="s">
        <v>197</v>
      </c>
      <c r="Y46" s="30">
        <v>2</v>
      </c>
      <c r="AB46" s="30" t="b">
        <v>0</v>
      </c>
      <c r="AC46" s="30"/>
      <c r="AD46" s="30" t="b">
        <v>0</v>
      </c>
      <c r="AF46" s="30" t="b">
        <v>0</v>
      </c>
      <c r="AH46" s="32" t="s">
        <v>91</v>
      </c>
      <c r="AI46" s="32"/>
      <c r="AJ46" s="32"/>
      <c r="AK46" s="32"/>
      <c r="AL46" s="30" t="s">
        <v>92</v>
      </c>
      <c r="AM46" s="30" t="s">
        <v>93</v>
      </c>
      <c r="AN46" s="30" t="s">
        <v>94</v>
      </c>
      <c r="AO46" s="30" t="s">
        <v>142</v>
      </c>
      <c r="AP46" s="30" t="s">
        <v>143</v>
      </c>
      <c r="AQ46" s="30" t="s">
        <v>232</v>
      </c>
      <c r="AR46" s="30" t="s">
        <v>145</v>
      </c>
      <c r="AT46" s="30" t="s">
        <v>99</v>
      </c>
      <c r="AU46" s="30" t="s">
        <v>100</v>
      </c>
      <c r="AV46" s="30" t="s">
        <v>101</v>
      </c>
      <c r="AW46" s="30" t="s">
        <v>102</v>
      </c>
      <c r="AX46" s="34" t="s">
        <v>86</v>
      </c>
      <c r="AY46" s="34" t="s">
        <v>149</v>
      </c>
      <c r="AZ46" s="34" t="s">
        <v>149</v>
      </c>
      <c r="BA46" s="34"/>
      <c r="BB46" s="34"/>
      <c r="BC46" s="34">
        <v>0</v>
      </c>
      <c r="BD46" s="34"/>
      <c r="BE46" s="34"/>
      <c r="BF46" s="34" t="b">
        <v>0</v>
      </c>
      <c r="BG46" s="34"/>
      <c r="BH46" s="34"/>
      <c r="BI46" s="34"/>
      <c r="BJ46" s="34"/>
      <c r="BK46" s="34"/>
      <c r="BL46" s="34"/>
      <c r="BM46" s="34" t="s">
        <v>168</v>
      </c>
      <c r="BN46" s="34"/>
      <c r="BO46" s="35"/>
      <c r="BP46" s="35"/>
      <c r="BQ46" s="35" t="s">
        <v>108</v>
      </c>
      <c r="BR46" s="36" t="e">
        <f>VLOOKUP(BQ46, Cat_Indicadores!B:C, 2, FALSE)</f>
        <v>#N/A</v>
      </c>
      <c r="BS46" s="35" t="s">
        <v>5592</v>
      </c>
      <c r="BT46" s="35"/>
    </row>
    <row r="47" spans="1:72">
      <c r="A47" s="29" t="s">
        <v>374</v>
      </c>
      <c r="B47" s="30" t="s">
        <v>375</v>
      </c>
      <c r="C47" s="31">
        <v>46191.652465277781</v>
      </c>
      <c r="D47" s="30">
        <v>92</v>
      </c>
      <c r="E47" s="30" t="s">
        <v>74</v>
      </c>
      <c r="F47" s="30" t="s">
        <v>75</v>
      </c>
      <c r="G47" s="30" t="s">
        <v>133</v>
      </c>
      <c r="H47" s="30" t="s">
        <v>77</v>
      </c>
      <c r="I47" s="30" t="s">
        <v>78</v>
      </c>
      <c r="J47" s="30" t="s">
        <v>79</v>
      </c>
      <c r="K47" s="32">
        <v>800</v>
      </c>
      <c r="L47" s="32" t="s">
        <v>211</v>
      </c>
      <c r="M47" s="30" t="s">
        <v>376</v>
      </c>
      <c r="N47" s="30" t="s">
        <v>377</v>
      </c>
      <c r="O47" s="30" t="s">
        <v>83</v>
      </c>
      <c r="P47" s="33">
        <v>46138</v>
      </c>
      <c r="Q47" s="33">
        <v>46138</v>
      </c>
      <c r="R47" s="32">
        <v>1</v>
      </c>
      <c r="S47" s="30" t="s">
        <v>378</v>
      </c>
      <c r="T47" s="30" t="s">
        <v>379</v>
      </c>
      <c r="U47" s="30" t="s">
        <v>216</v>
      </c>
      <c r="V47" s="30" t="s">
        <v>87</v>
      </c>
      <c r="W47" s="30" t="s">
        <v>88</v>
      </c>
      <c r="X47" s="30" t="s">
        <v>197</v>
      </c>
      <c r="Y47" s="30">
        <v>6</v>
      </c>
      <c r="AB47" s="30" t="b">
        <v>0</v>
      </c>
      <c r="AC47" s="30"/>
      <c r="AD47" s="30" t="b">
        <v>0</v>
      </c>
      <c r="AF47" s="30" t="b">
        <v>0</v>
      </c>
      <c r="AH47" s="32" t="s">
        <v>91</v>
      </c>
      <c r="AI47" s="32"/>
      <c r="AJ47" s="32"/>
      <c r="AK47" s="32"/>
      <c r="AL47" s="30" t="s">
        <v>92</v>
      </c>
      <c r="AM47" s="30" t="s">
        <v>93</v>
      </c>
      <c r="AN47" s="30" t="s">
        <v>94</v>
      </c>
      <c r="AO47" s="30" t="s">
        <v>142</v>
      </c>
      <c r="AP47" s="30" t="s">
        <v>143</v>
      </c>
      <c r="AQ47" s="30" t="s">
        <v>232</v>
      </c>
      <c r="AR47" s="30" t="s">
        <v>145</v>
      </c>
      <c r="AT47" s="30" t="s">
        <v>99</v>
      </c>
      <c r="AU47" s="30" t="s">
        <v>100</v>
      </c>
      <c r="AV47" s="30" t="s">
        <v>101</v>
      </c>
      <c r="AW47" s="30" t="s">
        <v>102</v>
      </c>
      <c r="AX47" s="34" t="s">
        <v>216</v>
      </c>
      <c r="AY47" s="34" t="s">
        <v>149</v>
      </c>
      <c r="AZ47" s="34" t="s">
        <v>149</v>
      </c>
      <c r="BA47" s="34"/>
      <c r="BB47" s="34"/>
      <c r="BC47" s="34">
        <v>0</v>
      </c>
      <c r="BD47" s="34"/>
      <c r="BE47" s="34"/>
      <c r="BF47" s="34" t="b">
        <v>0</v>
      </c>
      <c r="BG47" s="34"/>
      <c r="BH47" s="34"/>
      <c r="BI47" s="34"/>
      <c r="BJ47" s="34"/>
      <c r="BK47" s="34"/>
      <c r="BL47" s="34"/>
      <c r="BM47" s="34" t="s">
        <v>168</v>
      </c>
      <c r="BN47" s="34"/>
      <c r="BO47" s="35"/>
      <c r="BP47" s="35"/>
      <c r="BQ47" s="35" t="s">
        <v>108</v>
      </c>
      <c r="BR47" s="36" t="e">
        <f>VLOOKUP(BQ47, Cat_Indicadores!B:C, 2, FALSE)</f>
        <v>#N/A</v>
      </c>
      <c r="BS47" s="35" t="s">
        <v>5592</v>
      </c>
      <c r="BT47" s="35"/>
    </row>
    <row r="48" spans="1:72">
      <c r="A48" s="29" t="s">
        <v>380</v>
      </c>
      <c r="B48" s="30" t="s">
        <v>381</v>
      </c>
      <c r="C48" s="31">
        <v>46191.659780092596</v>
      </c>
      <c r="D48" s="30">
        <v>92</v>
      </c>
      <c r="E48" s="30" t="s">
        <v>74</v>
      </c>
      <c r="F48" s="30" t="s">
        <v>75</v>
      </c>
      <c r="G48" s="30" t="s">
        <v>133</v>
      </c>
      <c r="H48" s="30" t="s">
        <v>77</v>
      </c>
      <c r="I48" s="30" t="s">
        <v>78</v>
      </c>
      <c r="J48" s="30" t="s">
        <v>79</v>
      </c>
      <c r="K48" s="32">
        <v>800</v>
      </c>
      <c r="L48" s="32" t="s">
        <v>211</v>
      </c>
      <c r="M48" s="30" t="s">
        <v>382</v>
      </c>
      <c r="N48" s="30" t="s">
        <v>383</v>
      </c>
      <c r="O48" s="30" t="s">
        <v>83</v>
      </c>
      <c r="P48" s="33">
        <v>46140</v>
      </c>
      <c r="Q48" s="33">
        <v>46140</v>
      </c>
      <c r="R48" s="32">
        <v>1</v>
      </c>
      <c r="S48" s="30" t="s">
        <v>214</v>
      </c>
      <c r="T48" s="30" t="s">
        <v>333</v>
      </c>
      <c r="U48" s="30" t="s">
        <v>221</v>
      </c>
      <c r="V48" s="30" t="s">
        <v>87</v>
      </c>
      <c r="W48" s="30" t="s">
        <v>88</v>
      </c>
      <c r="X48" s="30" t="s">
        <v>197</v>
      </c>
      <c r="Y48" s="30">
        <v>5</v>
      </c>
      <c r="AB48" s="30" t="b">
        <v>0</v>
      </c>
      <c r="AC48" s="30"/>
      <c r="AD48" s="30" t="b">
        <v>0</v>
      </c>
      <c r="AF48" s="30" t="b">
        <v>0</v>
      </c>
      <c r="AH48" s="32" t="s">
        <v>91</v>
      </c>
      <c r="AI48" s="32"/>
      <c r="AJ48" s="32"/>
      <c r="AK48" s="32"/>
      <c r="AL48" s="30" t="s">
        <v>92</v>
      </c>
      <c r="AM48" s="30" t="s">
        <v>93</v>
      </c>
      <c r="AN48" s="30" t="s">
        <v>94</v>
      </c>
      <c r="AO48" s="30" t="s">
        <v>142</v>
      </c>
      <c r="AP48" s="30" t="s">
        <v>143</v>
      </c>
      <c r="AQ48" s="30" t="s">
        <v>232</v>
      </c>
      <c r="AR48" s="30" t="s">
        <v>145</v>
      </c>
      <c r="AT48" s="30" t="s">
        <v>99</v>
      </c>
      <c r="AU48" s="30" t="s">
        <v>100</v>
      </c>
      <c r="AV48" s="30" t="s">
        <v>101</v>
      </c>
      <c r="AW48" s="30" t="s">
        <v>102</v>
      </c>
      <c r="AX48" s="34" t="s">
        <v>221</v>
      </c>
      <c r="AY48" s="34" t="s">
        <v>149</v>
      </c>
      <c r="AZ48" s="34" t="s">
        <v>149</v>
      </c>
      <c r="BA48" s="34"/>
      <c r="BB48" s="34"/>
      <c r="BC48" s="34">
        <v>0</v>
      </c>
      <c r="BD48" s="34"/>
      <c r="BE48" s="34"/>
      <c r="BF48" s="34" t="b">
        <v>0</v>
      </c>
      <c r="BG48" s="34"/>
      <c r="BH48" s="34"/>
      <c r="BI48" s="34"/>
      <c r="BJ48" s="34"/>
      <c r="BK48" s="34"/>
      <c r="BL48" s="34"/>
      <c r="BM48" s="34" t="s">
        <v>168</v>
      </c>
      <c r="BN48" s="34"/>
      <c r="BO48" s="35"/>
      <c r="BP48" s="35"/>
      <c r="BQ48" s="35" t="s">
        <v>108</v>
      </c>
      <c r="BR48" s="36" t="e">
        <f>VLOOKUP(BQ48, Cat_Indicadores!B:C, 2, FALSE)</f>
        <v>#N/A</v>
      </c>
      <c r="BS48" s="35" t="s">
        <v>5592</v>
      </c>
      <c r="BT48" s="35"/>
    </row>
    <row r="49" spans="1:72">
      <c r="A49" s="29" t="s">
        <v>384</v>
      </c>
      <c r="B49" s="30" t="s">
        <v>385</v>
      </c>
      <c r="C49" s="31">
        <v>46191.674560185187</v>
      </c>
      <c r="D49" s="30">
        <v>92</v>
      </c>
      <c r="E49" s="30" t="s">
        <v>74</v>
      </c>
      <c r="F49" s="30" t="s">
        <v>75</v>
      </c>
      <c r="G49" s="30" t="s">
        <v>133</v>
      </c>
      <c r="H49" s="30" t="s">
        <v>77</v>
      </c>
      <c r="I49" s="30" t="s">
        <v>78</v>
      </c>
      <c r="J49" s="30" t="s">
        <v>79</v>
      </c>
      <c r="K49" s="32">
        <v>800</v>
      </c>
      <c r="L49" s="32" t="s">
        <v>211</v>
      </c>
      <c r="M49" s="30" t="s">
        <v>386</v>
      </c>
      <c r="N49" s="30" t="s">
        <v>387</v>
      </c>
      <c r="O49" s="30" t="s">
        <v>83</v>
      </c>
      <c r="P49" s="33">
        <v>46141</v>
      </c>
      <c r="Q49" s="33">
        <v>46141</v>
      </c>
      <c r="R49" s="32">
        <v>1</v>
      </c>
      <c r="S49" s="30" t="s">
        <v>249</v>
      </c>
      <c r="T49" s="30" t="s">
        <v>250</v>
      </c>
      <c r="U49" s="30" t="s">
        <v>221</v>
      </c>
      <c r="V49" s="30" t="s">
        <v>87</v>
      </c>
      <c r="W49" s="30" t="s">
        <v>88</v>
      </c>
      <c r="X49" s="30" t="s">
        <v>197</v>
      </c>
      <c r="Y49" s="30">
        <v>5</v>
      </c>
      <c r="AB49" s="30" t="b">
        <v>0</v>
      </c>
      <c r="AC49" s="30"/>
      <c r="AD49" s="30" t="b">
        <v>0</v>
      </c>
      <c r="AF49" s="30" t="b">
        <v>0</v>
      </c>
      <c r="AH49" s="32" t="s">
        <v>91</v>
      </c>
      <c r="AI49" s="32"/>
      <c r="AJ49" s="32"/>
      <c r="AK49" s="32"/>
      <c r="AL49" s="30" t="s">
        <v>92</v>
      </c>
      <c r="AM49" s="30" t="s">
        <v>93</v>
      </c>
      <c r="AN49" s="30" t="s">
        <v>199</v>
      </c>
      <c r="AO49" s="30" t="s">
        <v>200</v>
      </c>
      <c r="AP49" s="30" t="s">
        <v>201</v>
      </c>
      <c r="AQ49" s="30" t="s">
        <v>202</v>
      </c>
      <c r="AR49" s="30" t="s">
        <v>145</v>
      </c>
      <c r="AT49" s="30" t="s">
        <v>99</v>
      </c>
      <c r="AU49" s="30" t="s">
        <v>100</v>
      </c>
      <c r="AV49" s="30" t="s">
        <v>101</v>
      </c>
      <c r="AW49" s="30" t="s">
        <v>102</v>
      </c>
      <c r="AX49" s="34" t="s">
        <v>221</v>
      </c>
      <c r="AY49" s="34" t="s">
        <v>149</v>
      </c>
      <c r="AZ49" s="34" t="s">
        <v>149</v>
      </c>
      <c r="BA49" s="34"/>
      <c r="BB49" s="34"/>
      <c r="BC49" s="34">
        <v>0</v>
      </c>
      <c r="BD49" s="34"/>
      <c r="BE49" s="34"/>
      <c r="BF49" s="34" t="b">
        <v>0</v>
      </c>
      <c r="BG49" s="34"/>
      <c r="BH49" s="34"/>
      <c r="BI49" s="34"/>
      <c r="BJ49" s="34"/>
      <c r="BK49" s="34"/>
      <c r="BL49" s="34" t="s">
        <v>354</v>
      </c>
      <c r="BM49" s="34" t="s">
        <v>106</v>
      </c>
      <c r="BN49" s="34"/>
      <c r="BO49" s="35"/>
      <c r="BP49" s="35"/>
      <c r="BQ49" s="35" t="s">
        <v>108</v>
      </c>
      <c r="BR49" s="36" t="e">
        <f>VLOOKUP(BQ49, Cat_Indicadores!B:C, 2, FALSE)</f>
        <v>#N/A</v>
      </c>
      <c r="BS49" s="35" t="s">
        <v>5592</v>
      </c>
      <c r="BT49" s="35"/>
    </row>
    <row r="50" spans="1:72">
      <c r="A50" s="29" t="s">
        <v>388</v>
      </c>
      <c r="B50" s="30" t="s">
        <v>389</v>
      </c>
      <c r="C50" s="31">
        <v>46192.425104166665</v>
      </c>
      <c r="D50" s="30">
        <v>92</v>
      </c>
      <c r="E50" s="30" t="s">
        <v>74</v>
      </c>
      <c r="F50" s="30" t="s">
        <v>75</v>
      </c>
      <c r="G50" s="30" t="s">
        <v>133</v>
      </c>
      <c r="H50" s="30" t="s">
        <v>77</v>
      </c>
      <c r="I50" s="30" t="s">
        <v>78</v>
      </c>
      <c r="J50" s="30" t="s">
        <v>79</v>
      </c>
      <c r="K50" s="32">
        <v>800</v>
      </c>
      <c r="L50" s="32" t="s">
        <v>211</v>
      </c>
      <c r="M50" s="30" t="s">
        <v>386</v>
      </c>
      <c r="N50" s="30" t="s">
        <v>390</v>
      </c>
      <c r="O50" s="30" t="s">
        <v>83</v>
      </c>
      <c r="P50" s="33">
        <v>46141</v>
      </c>
      <c r="Q50" s="33">
        <v>46141</v>
      </c>
      <c r="R50" s="32">
        <v>1</v>
      </c>
      <c r="S50" s="30" t="s">
        <v>249</v>
      </c>
      <c r="T50" s="30" t="s">
        <v>250</v>
      </c>
      <c r="U50" s="30" t="s">
        <v>221</v>
      </c>
      <c r="V50" s="30" t="s">
        <v>87</v>
      </c>
      <c r="W50" s="30" t="s">
        <v>88</v>
      </c>
      <c r="X50" s="30" t="s">
        <v>197</v>
      </c>
      <c r="Y50" s="30">
        <v>4</v>
      </c>
      <c r="AB50" s="30" t="b">
        <v>0</v>
      </c>
      <c r="AC50" s="30"/>
      <c r="AD50" s="30" t="b">
        <v>0</v>
      </c>
      <c r="AF50" s="30" t="b">
        <v>0</v>
      </c>
      <c r="AH50" s="32" t="s">
        <v>91</v>
      </c>
      <c r="AI50" s="32"/>
      <c r="AJ50" s="32"/>
      <c r="AK50" s="32"/>
      <c r="AL50" s="30" t="s">
        <v>92</v>
      </c>
      <c r="AM50" s="30" t="s">
        <v>93</v>
      </c>
      <c r="AN50" s="30" t="s">
        <v>199</v>
      </c>
      <c r="AO50" s="30" t="s">
        <v>200</v>
      </c>
      <c r="AP50" s="30" t="s">
        <v>201</v>
      </c>
      <c r="AQ50" s="30" t="s">
        <v>202</v>
      </c>
      <c r="AR50" s="30" t="s">
        <v>145</v>
      </c>
      <c r="AT50" s="30" t="s">
        <v>99</v>
      </c>
      <c r="AU50" s="30" t="s">
        <v>100</v>
      </c>
      <c r="AV50" s="30" t="s">
        <v>101</v>
      </c>
      <c r="AW50" s="30" t="s">
        <v>102</v>
      </c>
      <c r="AX50" s="34" t="s">
        <v>221</v>
      </c>
      <c r="AY50" s="34" t="s">
        <v>149</v>
      </c>
      <c r="AZ50" s="34" t="s">
        <v>149</v>
      </c>
      <c r="BA50" s="34"/>
      <c r="BB50" s="34"/>
      <c r="BC50" s="34">
        <v>0</v>
      </c>
      <c r="BD50" s="34"/>
      <c r="BE50" s="34"/>
      <c r="BF50" s="34" t="b">
        <v>0</v>
      </c>
      <c r="BG50" s="34"/>
      <c r="BH50" s="34"/>
      <c r="BI50" s="34"/>
      <c r="BJ50" s="34"/>
      <c r="BK50" s="34"/>
      <c r="BL50" s="34"/>
      <c r="BM50" s="34" t="s">
        <v>168</v>
      </c>
      <c r="BN50" s="34"/>
      <c r="BO50" s="35"/>
      <c r="BP50" s="35"/>
      <c r="BQ50" s="35" t="s">
        <v>108</v>
      </c>
      <c r="BR50" s="36" t="e">
        <f>VLOOKUP(BQ50, Cat_Indicadores!B:C, 2, FALSE)</f>
        <v>#N/A</v>
      </c>
      <c r="BS50" s="35" t="s">
        <v>5592</v>
      </c>
      <c r="BT50" s="35"/>
    </row>
    <row r="51" spans="1:72">
      <c r="A51" s="29" t="s">
        <v>391</v>
      </c>
      <c r="B51" s="30" t="s">
        <v>392</v>
      </c>
      <c r="C51" s="31">
        <v>46192.438506944447</v>
      </c>
      <c r="D51" s="30">
        <v>92</v>
      </c>
      <c r="E51" s="30" t="s">
        <v>74</v>
      </c>
      <c r="F51" s="30" t="s">
        <v>75</v>
      </c>
      <c r="G51" s="30" t="s">
        <v>133</v>
      </c>
      <c r="H51" s="30" t="s">
        <v>77</v>
      </c>
      <c r="I51" s="30" t="s">
        <v>78</v>
      </c>
      <c r="J51" s="30" t="s">
        <v>79</v>
      </c>
      <c r="K51" s="32">
        <v>800</v>
      </c>
      <c r="L51" s="32" t="s">
        <v>211</v>
      </c>
      <c r="M51" s="30" t="s">
        <v>393</v>
      </c>
      <c r="N51" s="30" t="s">
        <v>387</v>
      </c>
      <c r="O51" s="30" t="s">
        <v>83</v>
      </c>
      <c r="P51" s="33">
        <v>46141</v>
      </c>
      <c r="Q51" s="33">
        <v>46141</v>
      </c>
      <c r="R51" s="32">
        <v>1</v>
      </c>
      <c r="S51" s="30" t="s">
        <v>249</v>
      </c>
      <c r="T51" s="30" t="s">
        <v>250</v>
      </c>
      <c r="U51" s="30" t="s">
        <v>221</v>
      </c>
      <c r="V51" s="30" t="s">
        <v>87</v>
      </c>
      <c r="W51" s="30" t="s">
        <v>88</v>
      </c>
      <c r="X51" s="30" t="s">
        <v>197</v>
      </c>
      <c r="Y51" s="30">
        <v>2</v>
      </c>
      <c r="AB51" s="30" t="b">
        <v>0</v>
      </c>
      <c r="AC51" s="30"/>
      <c r="AD51" s="30" t="b">
        <v>0</v>
      </c>
      <c r="AF51" s="30" t="b">
        <v>0</v>
      </c>
      <c r="AH51" s="32" t="s">
        <v>91</v>
      </c>
      <c r="AI51" s="32"/>
      <c r="AJ51" s="32"/>
      <c r="AK51" s="32"/>
      <c r="AL51" s="30" t="s">
        <v>92</v>
      </c>
      <c r="AM51" s="30" t="s">
        <v>93</v>
      </c>
      <c r="AN51" s="30" t="s">
        <v>199</v>
      </c>
      <c r="AO51" s="30" t="s">
        <v>200</v>
      </c>
      <c r="AP51" s="30" t="s">
        <v>201</v>
      </c>
      <c r="AQ51" s="30" t="s">
        <v>202</v>
      </c>
      <c r="AR51" s="30" t="s">
        <v>145</v>
      </c>
      <c r="AT51" s="30" t="s">
        <v>99</v>
      </c>
      <c r="AU51" s="30" t="s">
        <v>100</v>
      </c>
      <c r="AV51" s="30" t="s">
        <v>101</v>
      </c>
      <c r="AW51" s="30" t="s">
        <v>102</v>
      </c>
      <c r="AX51" s="34" t="s">
        <v>221</v>
      </c>
      <c r="AY51" s="34" t="s">
        <v>149</v>
      </c>
      <c r="AZ51" s="34" t="s">
        <v>149</v>
      </c>
      <c r="BA51" s="34"/>
      <c r="BB51" s="34"/>
      <c r="BC51" s="34">
        <v>0</v>
      </c>
      <c r="BD51" s="34"/>
      <c r="BE51" s="34"/>
      <c r="BF51" s="34" t="b">
        <v>0</v>
      </c>
      <c r="BG51" s="34"/>
      <c r="BH51" s="34"/>
      <c r="BI51" s="34"/>
      <c r="BJ51" s="34"/>
      <c r="BK51" s="34"/>
      <c r="BL51" s="34" t="s">
        <v>354</v>
      </c>
      <c r="BM51" s="34" t="s">
        <v>106</v>
      </c>
      <c r="BN51" s="34"/>
      <c r="BO51" s="35"/>
      <c r="BP51" s="35"/>
      <c r="BQ51" s="35" t="s">
        <v>108</v>
      </c>
      <c r="BR51" s="36" t="e">
        <f>VLOOKUP(BQ51, Cat_Indicadores!B:C, 2, FALSE)</f>
        <v>#N/A</v>
      </c>
      <c r="BS51" s="35" t="s">
        <v>5592</v>
      </c>
      <c r="BT51" s="35"/>
    </row>
    <row r="52" spans="1:72">
      <c r="A52" s="29" t="s">
        <v>394</v>
      </c>
      <c r="B52" s="30" t="s">
        <v>395</v>
      </c>
      <c r="C52" s="31">
        <v>46192.442777777775</v>
      </c>
      <c r="D52" s="30">
        <v>92</v>
      </c>
      <c r="E52" s="30" t="s">
        <v>74</v>
      </c>
      <c r="F52" s="30" t="s">
        <v>75</v>
      </c>
      <c r="G52" s="30" t="s">
        <v>133</v>
      </c>
      <c r="H52" s="30" t="s">
        <v>77</v>
      </c>
      <c r="I52" s="30" t="s">
        <v>78</v>
      </c>
      <c r="J52" s="30" t="s">
        <v>79</v>
      </c>
      <c r="K52" s="32">
        <v>800</v>
      </c>
      <c r="L52" s="32" t="s">
        <v>211</v>
      </c>
      <c r="M52" s="30" t="s">
        <v>396</v>
      </c>
      <c r="N52" s="30" t="s">
        <v>397</v>
      </c>
      <c r="O52" s="30" t="s">
        <v>83</v>
      </c>
      <c r="P52" s="33">
        <v>46142</v>
      </c>
      <c r="Q52" s="33">
        <v>46142</v>
      </c>
      <c r="R52" s="32">
        <v>1</v>
      </c>
      <c r="S52" s="30" t="s">
        <v>243</v>
      </c>
      <c r="T52" s="30" t="s">
        <v>398</v>
      </c>
      <c r="U52" s="30" t="s">
        <v>367</v>
      </c>
      <c r="V52" s="30" t="s">
        <v>87</v>
      </c>
      <c r="W52" s="30" t="s">
        <v>88</v>
      </c>
      <c r="X52" s="30" t="s">
        <v>197</v>
      </c>
      <c r="Y52" s="30">
        <v>6</v>
      </c>
      <c r="AB52" s="30" t="b">
        <v>0</v>
      </c>
      <c r="AC52" s="30"/>
      <c r="AD52" s="30" t="b">
        <v>1</v>
      </c>
      <c r="AE52" s="30">
        <v>1</v>
      </c>
      <c r="AF52" s="30" t="b">
        <v>0</v>
      </c>
      <c r="AH52" s="32" t="s">
        <v>91</v>
      </c>
      <c r="AI52" s="32"/>
      <c r="AJ52" s="32"/>
      <c r="AK52" s="32"/>
      <c r="AL52" s="30" t="s">
        <v>92</v>
      </c>
      <c r="AM52" s="30" t="s">
        <v>294</v>
      </c>
      <c r="AN52" s="30" t="s">
        <v>199</v>
      </c>
      <c r="AO52" s="30" t="s">
        <v>200</v>
      </c>
      <c r="AP52" s="30" t="s">
        <v>201</v>
      </c>
      <c r="AQ52" s="30" t="s">
        <v>202</v>
      </c>
      <c r="AR52" s="30" t="s">
        <v>145</v>
      </c>
      <c r="AT52" s="30" t="s">
        <v>99</v>
      </c>
      <c r="AU52" s="30" t="s">
        <v>100</v>
      </c>
      <c r="AV52" s="30" t="s">
        <v>101</v>
      </c>
      <c r="AW52" s="30" t="s">
        <v>102</v>
      </c>
      <c r="AX52" s="34" t="s">
        <v>367</v>
      </c>
      <c r="AY52" s="34" t="s">
        <v>149</v>
      </c>
      <c r="AZ52" s="34" t="s">
        <v>149</v>
      </c>
      <c r="BA52" s="34"/>
      <c r="BB52" s="34"/>
      <c r="BC52" s="34">
        <v>0</v>
      </c>
      <c r="BD52" s="34"/>
      <c r="BE52" s="34"/>
      <c r="BF52" s="34" t="b">
        <v>0</v>
      </c>
      <c r="BG52" s="34"/>
      <c r="BH52" s="34"/>
      <c r="BI52" s="34"/>
      <c r="BJ52" s="34"/>
      <c r="BK52" s="34"/>
      <c r="BL52" s="34"/>
      <c r="BM52" s="34" t="s">
        <v>168</v>
      </c>
      <c r="BN52" s="34"/>
      <c r="BO52" s="35"/>
      <c r="BP52" s="35"/>
      <c r="BQ52" s="35" t="s">
        <v>108</v>
      </c>
      <c r="BR52" s="36" t="e">
        <f>VLOOKUP(BQ52, Cat_Indicadores!B:C, 2, FALSE)</f>
        <v>#N/A</v>
      </c>
      <c r="BS52" s="35" t="s">
        <v>5592</v>
      </c>
      <c r="BT52" s="35"/>
    </row>
    <row r="53" spans="1:72">
      <c r="A53" s="29" t="s">
        <v>399</v>
      </c>
      <c r="B53" s="30" t="s">
        <v>400</v>
      </c>
      <c r="C53" s="31">
        <v>46192.461944444447</v>
      </c>
      <c r="D53" s="30">
        <v>92</v>
      </c>
      <c r="E53" s="30" t="s">
        <v>74</v>
      </c>
      <c r="F53" s="30" t="s">
        <v>75</v>
      </c>
      <c r="G53" s="30" t="s">
        <v>133</v>
      </c>
      <c r="H53" s="30" t="s">
        <v>77</v>
      </c>
      <c r="I53" s="30" t="s">
        <v>78</v>
      </c>
      <c r="J53" s="30" t="s">
        <v>79</v>
      </c>
      <c r="K53" s="32">
        <v>800</v>
      </c>
      <c r="L53" s="32" t="s">
        <v>211</v>
      </c>
      <c r="M53" s="30" t="s">
        <v>401</v>
      </c>
      <c r="N53" s="30" t="s">
        <v>402</v>
      </c>
      <c r="O53" s="30" t="s">
        <v>83</v>
      </c>
      <c r="P53" s="33">
        <v>46119</v>
      </c>
      <c r="Q53" s="33">
        <v>46119</v>
      </c>
      <c r="R53" s="32">
        <v>1</v>
      </c>
      <c r="S53" s="30" t="s">
        <v>84</v>
      </c>
      <c r="T53" s="30" t="s">
        <v>337</v>
      </c>
      <c r="U53" s="30" t="s">
        <v>338</v>
      </c>
      <c r="V53" s="30" t="s">
        <v>87</v>
      </c>
      <c r="W53" s="30" t="s">
        <v>88</v>
      </c>
      <c r="X53" s="30" t="s">
        <v>197</v>
      </c>
      <c r="Y53" s="30">
        <v>1</v>
      </c>
      <c r="AB53" s="30" t="b">
        <v>0</v>
      </c>
      <c r="AC53" s="30"/>
      <c r="AD53" s="30" t="b">
        <v>0</v>
      </c>
      <c r="AF53" s="30" t="b">
        <v>0</v>
      </c>
      <c r="AH53" s="32" t="s">
        <v>91</v>
      </c>
      <c r="AI53" s="32"/>
      <c r="AJ53" s="32"/>
      <c r="AK53" s="32"/>
      <c r="AL53" s="30" t="s">
        <v>92</v>
      </c>
      <c r="AM53" s="30" t="s">
        <v>93</v>
      </c>
      <c r="AN53" s="30" t="s">
        <v>199</v>
      </c>
      <c r="AO53" s="30" t="s">
        <v>200</v>
      </c>
      <c r="AP53" s="30" t="s">
        <v>201</v>
      </c>
      <c r="AQ53" s="30" t="s">
        <v>202</v>
      </c>
      <c r="AR53" s="30" t="s">
        <v>145</v>
      </c>
      <c r="AT53" s="30" t="s">
        <v>99</v>
      </c>
      <c r="AU53" s="30" t="s">
        <v>100</v>
      </c>
      <c r="AV53" s="30" t="s">
        <v>101</v>
      </c>
      <c r="AW53" s="30" t="s">
        <v>102</v>
      </c>
      <c r="AX53" s="34" t="s">
        <v>338</v>
      </c>
      <c r="AY53" s="34" t="s">
        <v>149</v>
      </c>
      <c r="AZ53" s="34" t="s">
        <v>149</v>
      </c>
      <c r="BA53" s="34"/>
      <c r="BB53" s="34"/>
      <c r="BC53" s="34">
        <v>0</v>
      </c>
      <c r="BD53" s="34"/>
      <c r="BE53" s="34"/>
      <c r="BF53" s="34" t="b">
        <v>0</v>
      </c>
      <c r="BG53" s="34"/>
      <c r="BH53" s="34"/>
      <c r="BI53" s="34"/>
      <c r="BJ53" s="34"/>
      <c r="BK53" s="34"/>
      <c r="BL53" s="34"/>
      <c r="BM53" s="34" t="s">
        <v>168</v>
      </c>
      <c r="BN53" s="34"/>
      <c r="BO53" s="35"/>
      <c r="BP53" s="35"/>
      <c r="BQ53" s="35" t="s">
        <v>108</v>
      </c>
      <c r="BR53" s="36" t="e">
        <f>VLOOKUP(BQ53, Cat_Indicadores!B:C, 2, FALSE)</f>
        <v>#N/A</v>
      </c>
      <c r="BS53" s="35" t="s">
        <v>5592</v>
      </c>
      <c r="BT53" s="35"/>
    </row>
    <row r="54" spans="1:72">
      <c r="A54" s="29" t="s">
        <v>403</v>
      </c>
      <c r="B54" s="30" t="s">
        <v>404</v>
      </c>
      <c r="C54" s="31">
        <v>46192.466377314813</v>
      </c>
      <c r="D54" s="30">
        <v>92</v>
      </c>
      <c r="E54" s="30" t="s">
        <v>74</v>
      </c>
      <c r="F54" s="30" t="s">
        <v>75</v>
      </c>
      <c r="G54" s="30" t="s">
        <v>133</v>
      </c>
      <c r="H54" s="30" t="s">
        <v>77</v>
      </c>
      <c r="I54" s="30" t="s">
        <v>78</v>
      </c>
      <c r="J54" s="30" t="s">
        <v>79</v>
      </c>
      <c r="K54" s="32">
        <v>800</v>
      </c>
      <c r="L54" s="32" t="s">
        <v>211</v>
      </c>
      <c r="M54" s="30" t="s">
        <v>401</v>
      </c>
      <c r="N54" s="30" t="s">
        <v>402</v>
      </c>
      <c r="O54" s="30" t="s">
        <v>83</v>
      </c>
      <c r="P54" s="33">
        <v>46121</v>
      </c>
      <c r="Q54" s="33">
        <v>46121</v>
      </c>
      <c r="R54" s="32">
        <v>1</v>
      </c>
      <c r="S54" s="30" t="s">
        <v>84</v>
      </c>
      <c r="T54" s="30" t="s">
        <v>337</v>
      </c>
      <c r="U54" s="30" t="s">
        <v>338</v>
      </c>
      <c r="V54" s="30" t="s">
        <v>87</v>
      </c>
      <c r="W54" s="30" t="s">
        <v>88</v>
      </c>
      <c r="X54" s="30" t="s">
        <v>197</v>
      </c>
      <c r="Y54" s="30">
        <v>1</v>
      </c>
      <c r="AB54" s="30" t="b">
        <v>0</v>
      </c>
      <c r="AC54" s="30"/>
      <c r="AD54" s="30" t="b">
        <v>0</v>
      </c>
      <c r="AF54" s="30" t="b">
        <v>0</v>
      </c>
      <c r="AH54" s="32" t="s">
        <v>91</v>
      </c>
      <c r="AI54" s="32"/>
      <c r="AJ54" s="32"/>
      <c r="AK54" s="32"/>
      <c r="AL54" s="30" t="s">
        <v>92</v>
      </c>
      <c r="AM54" s="30" t="s">
        <v>93</v>
      </c>
      <c r="AN54" s="30" t="s">
        <v>199</v>
      </c>
      <c r="AO54" s="30" t="s">
        <v>200</v>
      </c>
      <c r="AP54" s="30" t="s">
        <v>201</v>
      </c>
      <c r="AQ54" s="30" t="s">
        <v>202</v>
      </c>
      <c r="AR54" s="30" t="s">
        <v>145</v>
      </c>
      <c r="AT54" s="30" t="s">
        <v>99</v>
      </c>
      <c r="AU54" s="30" t="s">
        <v>100</v>
      </c>
      <c r="AV54" s="30" t="s">
        <v>101</v>
      </c>
      <c r="AW54" s="30" t="s">
        <v>102</v>
      </c>
      <c r="AX54" s="34" t="s">
        <v>338</v>
      </c>
      <c r="AY54" s="34" t="s">
        <v>149</v>
      </c>
      <c r="AZ54" s="34" t="s">
        <v>149</v>
      </c>
      <c r="BA54" s="34"/>
      <c r="BB54" s="34"/>
      <c r="BC54" s="34">
        <v>0</v>
      </c>
      <c r="BD54" s="34"/>
      <c r="BE54" s="34"/>
      <c r="BF54" s="34" t="b">
        <v>0</v>
      </c>
      <c r="BG54" s="34"/>
      <c r="BH54" s="34"/>
      <c r="BI54" s="34"/>
      <c r="BJ54" s="34"/>
      <c r="BK54" s="34"/>
      <c r="BL54" s="34"/>
      <c r="BM54" s="34" t="s">
        <v>168</v>
      </c>
      <c r="BN54" s="34"/>
      <c r="BO54" s="35"/>
      <c r="BP54" s="35"/>
      <c r="BQ54" s="35" t="s">
        <v>108</v>
      </c>
      <c r="BR54" s="36" t="e">
        <f>VLOOKUP(BQ54, Cat_Indicadores!B:C, 2, FALSE)</f>
        <v>#N/A</v>
      </c>
      <c r="BS54" s="35" t="s">
        <v>5592</v>
      </c>
      <c r="BT54" s="35"/>
    </row>
    <row r="55" spans="1:72">
      <c r="A55" s="29" t="s">
        <v>405</v>
      </c>
      <c r="B55" s="30" t="s">
        <v>406</v>
      </c>
      <c r="C55" s="31">
        <v>46192.487037037034</v>
      </c>
      <c r="D55" s="30">
        <v>92</v>
      </c>
      <c r="E55" s="30" t="s">
        <v>74</v>
      </c>
      <c r="F55" s="30" t="s">
        <v>75</v>
      </c>
      <c r="G55" s="30" t="s">
        <v>133</v>
      </c>
      <c r="H55" s="30" t="s">
        <v>77</v>
      </c>
      <c r="I55" s="30" t="s">
        <v>78</v>
      </c>
      <c r="J55" s="30" t="s">
        <v>79</v>
      </c>
      <c r="K55" s="32">
        <v>800</v>
      </c>
      <c r="L55" s="32" t="s">
        <v>211</v>
      </c>
      <c r="M55" s="30" t="s">
        <v>401</v>
      </c>
      <c r="N55" s="30" t="s">
        <v>402</v>
      </c>
      <c r="O55" s="30" t="s">
        <v>83</v>
      </c>
      <c r="P55" s="33">
        <v>46122</v>
      </c>
      <c r="Q55" s="33">
        <v>46122</v>
      </c>
      <c r="R55" s="32">
        <v>1</v>
      </c>
      <c r="S55" s="30" t="s">
        <v>84</v>
      </c>
      <c r="T55" s="30" t="s">
        <v>337</v>
      </c>
      <c r="U55" s="30" t="s">
        <v>338</v>
      </c>
      <c r="V55" s="30" t="s">
        <v>87</v>
      </c>
      <c r="W55" s="30" t="s">
        <v>88</v>
      </c>
      <c r="X55" s="30" t="s">
        <v>197</v>
      </c>
      <c r="Y55" s="30">
        <v>1</v>
      </c>
      <c r="AB55" s="30" t="b">
        <v>0</v>
      </c>
      <c r="AC55" s="30"/>
      <c r="AD55" s="30" t="b">
        <v>0</v>
      </c>
      <c r="AF55" s="30" t="b">
        <v>0</v>
      </c>
      <c r="AH55" s="32" t="s">
        <v>91</v>
      </c>
      <c r="AI55" s="32"/>
      <c r="AJ55" s="32"/>
      <c r="AK55" s="32"/>
      <c r="AL55" s="30" t="s">
        <v>92</v>
      </c>
      <c r="AM55" s="30" t="s">
        <v>93</v>
      </c>
      <c r="AN55" s="30" t="s">
        <v>94</v>
      </c>
      <c r="AO55" s="30" t="s">
        <v>407</v>
      </c>
      <c r="AP55" s="30" t="s">
        <v>408</v>
      </c>
      <c r="AQ55" s="30" t="s">
        <v>409</v>
      </c>
      <c r="AR55" s="30" t="s">
        <v>145</v>
      </c>
      <c r="AT55" s="30" t="s">
        <v>99</v>
      </c>
      <c r="AU55" s="30" t="s">
        <v>100</v>
      </c>
      <c r="AV55" s="30" t="s">
        <v>101</v>
      </c>
      <c r="AW55" s="30" t="s">
        <v>102</v>
      </c>
      <c r="AX55" s="34" t="s">
        <v>338</v>
      </c>
      <c r="AY55" s="34" t="s">
        <v>149</v>
      </c>
      <c r="AZ55" s="34" t="s">
        <v>149</v>
      </c>
      <c r="BA55" s="34"/>
      <c r="BB55" s="34"/>
      <c r="BC55" s="34">
        <v>0</v>
      </c>
      <c r="BD55" s="34"/>
      <c r="BE55" s="34"/>
      <c r="BF55" s="34" t="b">
        <v>0</v>
      </c>
      <c r="BG55" s="34"/>
      <c r="BH55" s="34"/>
      <c r="BI55" s="34"/>
      <c r="BJ55" s="34"/>
      <c r="BK55" s="34"/>
      <c r="BL55" s="34"/>
      <c r="BM55" s="34" t="s">
        <v>168</v>
      </c>
      <c r="BN55" s="34"/>
      <c r="BO55" s="35"/>
      <c r="BP55" s="35"/>
      <c r="BQ55" s="35" t="s">
        <v>108</v>
      </c>
      <c r="BR55" s="36" t="e">
        <f>VLOOKUP(BQ55, Cat_Indicadores!B:C, 2, FALSE)</f>
        <v>#N/A</v>
      </c>
      <c r="BS55" s="35" t="s">
        <v>5592</v>
      </c>
      <c r="BT55" s="35"/>
    </row>
    <row r="56" spans="1:72">
      <c r="A56" s="29" t="s">
        <v>410</v>
      </c>
      <c r="B56" s="30" t="s">
        <v>411</v>
      </c>
      <c r="C56" s="31">
        <v>46192.490833333337</v>
      </c>
      <c r="D56" s="30">
        <v>92</v>
      </c>
      <c r="E56" s="30" t="s">
        <v>74</v>
      </c>
      <c r="F56" s="30" t="s">
        <v>75</v>
      </c>
      <c r="G56" s="30" t="s">
        <v>133</v>
      </c>
      <c r="H56" s="30" t="s">
        <v>77</v>
      </c>
      <c r="I56" s="30" t="s">
        <v>78</v>
      </c>
      <c r="J56" s="30" t="s">
        <v>79</v>
      </c>
      <c r="K56" s="32">
        <v>800</v>
      </c>
      <c r="L56" s="32" t="s">
        <v>211</v>
      </c>
      <c r="M56" s="30" t="s">
        <v>401</v>
      </c>
      <c r="N56" s="30" t="s">
        <v>402</v>
      </c>
      <c r="O56" s="30" t="s">
        <v>83</v>
      </c>
      <c r="P56" s="33">
        <v>46134</v>
      </c>
      <c r="Q56" s="33">
        <v>46134</v>
      </c>
      <c r="R56" s="32">
        <v>1</v>
      </c>
      <c r="S56" s="30" t="s">
        <v>84</v>
      </c>
      <c r="T56" s="30" t="s">
        <v>337</v>
      </c>
      <c r="U56" s="30" t="s">
        <v>338</v>
      </c>
      <c r="V56" s="30" t="s">
        <v>87</v>
      </c>
      <c r="W56" s="30" t="s">
        <v>88</v>
      </c>
      <c r="X56" s="30" t="s">
        <v>197</v>
      </c>
      <c r="Y56" s="30">
        <v>1</v>
      </c>
      <c r="AB56" s="30" t="b">
        <v>0</v>
      </c>
      <c r="AC56" s="30"/>
      <c r="AD56" s="30" t="b">
        <v>0</v>
      </c>
      <c r="AF56" s="30" t="b">
        <v>0</v>
      </c>
      <c r="AH56" s="32" t="s">
        <v>91</v>
      </c>
      <c r="AI56" s="32"/>
      <c r="AJ56" s="32"/>
      <c r="AK56" s="32"/>
      <c r="AL56" s="30" t="s">
        <v>92</v>
      </c>
      <c r="AM56" s="30" t="s">
        <v>93</v>
      </c>
      <c r="AN56" s="30" t="s">
        <v>94</v>
      </c>
      <c r="AO56" s="30" t="s">
        <v>407</v>
      </c>
      <c r="AP56" s="30" t="s">
        <v>408</v>
      </c>
      <c r="AQ56" s="30" t="s">
        <v>409</v>
      </c>
      <c r="AR56" s="30" t="s">
        <v>145</v>
      </c>
      <c r="AT56" s="30" t="s">
        <v>99</v>
      </c>
      <c r="AU56" s="30" t="s">
        <v>100</v>
      </c>
      <c r="AV56" s="30" t="s">
        <v>101</v>
      </c>
      <c r="AW56" s="30" t="s">
        <v>102</v>
      </c>
      <c r="AX56" s="34" t="s">
        <v>338</v>
      </c>
      <c r="AY56" s="34" t="s">
        <v>149</v>
      </c>
      <c r="AZ56" s="34" t="s">
        <v>149</v>
      </c>
      <c r="BA56" s="34"/>
      <c r="BB56" s="34"/>
      <c r="BC56" s="34">
        <v>0</v>
      </c>
      <c r="BD56" s="34"/>
      <c r="BE56" s="34"/>
      <c r="BF56" s="34" t="b">
        <v>0</v>
      </c>
      <c r="BG56" s="34"/>
      <c r="BH56" s="34"/>
      <c r="BI56" s="34"/>
      <c r="BJ56" s="34"/>
      <c r="BK56" s="34"/>
      <c r="BL56" s="34"/>
      <c r="BM56" s="34" t="s">
        <v>168</v>
      </c>
      <c r="BN56" s="34"/>
      <c r="BO56" s="35"/>
      <c r="BP56" s="35"/>
      <c r="BQ56" s="35" t="s">
        <v>108</v>
      </c>
      <c r="BR56" s="36" t="e">
        <f>VLOOKUP(BQ56, Cat_Indicadores!B:C, 2, FALSE)</f>
        <v>#N/A</v>
      </c>
      <c r="BS56" s="35" t="s">
        <v>5592</v>
      </c>
      <c r="BT56" s="35"/>
    </row>
    <row r="57" spans="1:72">
      <c r="A57" s="29" t="s">
        <v>412</v>
      </c>
      <c r="B57" s="30" t="s">
        <v>413</v>
      </c>
      <c r="C57" s="31">
        <v>46192.49359953704</v>
      </c>
      <c r="D57" s="30">
        <v>92</v>
      </c>
      <c r="E57" s="30" t="s">
        <v>74</v>
      </c>
      <c r="F57" s="30" t="s">
        <v>75</v>
      </c>
      <c r="G57" s="30" t="s">
        <v>133</v>
      </c>
      <c r="H57" s="30" t="s">
        <v>77</v>
      </c>
      <c r="I57" s="30" t="s">
        <v>78</v>
      </c>
      <c r="J57" s="30" t="s">
        <v>79</v>
      </c>
      <c r="K57" s="32">
        <v>800</v>
      </c>
      <c r="L57" s="32" t="s">
        <v>211</v>
      </c>
      <c r="M57" s="30" t="s">
        <v>401</v>
      </c>
      <c r="N57" s="30" t="s">
        <v>402</v>
      </c>
      <c r="O57" s="30" t="s">
        <v>83</v>
      </c>
      <c r="P57" s="33">
        <v>46134</v>
      </c>
      <c r="Q57" s="33">
        <v>46134</v>
      </c>
      <c r="R57" s="32">
        <v>1</v>
      </c>
      <c r="S57" s="30" t="s">
        <v>84</v>
      </c>
      <c r="T57" s="30" t="s">
        <v>337</v>
      </c>
      <c r="U57" s="30" t="s">
        <v>338</v>
      </c>
      <c r="V57" s="30" t="s">
        <v>87</v>
      </c>
      <c r="W57" s="30" t="s">
        <v>88</v>
      </c>
      <c r="X57" s="30" t="s">
        <v>197</v>
      </c>
      <c r="Y57" s="30">
        <v>1</v>
      </c>
      <c r="AB57" s="30" t="b">
        <v>0</v>
      </c>
      <c r="AC57" s="30"/>
      <c r="AD57" s="30" t="b">
        <v>0</v>
      </c>
      <c r="AF57" s="30" t="b">
        <v>0</v>
      </c>
      <c r="AH57" s="32" t="s">
        <v>91</v>
      </c>
      <c r="AI57" s="32"/>
      <c r="AJ57" s="32"/>
      <c r="AK57" s="32"/>
      <c r="AL57" s="30" t="s">
        <v>92</v>
      </c>
      <c r="AM57" s="30" t="s">
        <v>93</v>
      </c>
      <c r="AN57" s="30" t="s">
        <v>94</v>
      </c>
      <c r="AO57" s="30" t="s">
        <v>407</v>
      </c>
      <c r="AP57" s="30" t="s">
        <v>408</v>
      </c>
      <c r="AQ57" s="30" t="s">
        <v>409</v>
      </c>
      <c r="AR57" s="30" t="s">
        <v>145</v>
      </c>
      <c r="AT57" s="30" t="s">
        <v>99</v>
      </c>
      <c r="AU57" s="30" t="s">
        <v>100</v>
      </c>
      <c r="AV57" s="30" t="s">
        <v>101</v>
      </c>
      <c r="AW57" s="30" t="s">
        <v>102</v>
      </c>
      <c r="AX57" s="34" t="s">
        <v>338</v>
      </c>
      <c r="AY57" s="34" t="s">
        <v>149</v>
      </c>
      <c r="AZ57" s="34" t="s">
        <v>149</v>
      </c>
      <c r="BA57" s="34"/>
      <c r="BB57" s="34"/>
      <c r="BC57" s="34">
        <v>0</v>
      </c>
      <c r="BD57" s="34"/>
      <c r="BE57" s="34"/>
      <c r="BF57" s="34" t="b">
        <v>0</v>
      </c>
      <c r="BG57" s="34"/>
      <c r="BH57" s="34"/>
      <c r="BI57" s="34"/>
      <c r="BJ57" s="34"/>
      <c r="BK57" s="34"/>
      <c r="BL57" s="34"/>
      <c r="BM57" s="34" t="s">
        <v>168</v>
      </c>
      <c r="BN57" s="34"/>
      <c r="BO57" s="35"/>
      <c r="BP57" s="35"/>
      <c r="BQ57" s="35" t="s">
        <v>108</v>
      </c>
      <c r="BR57" s="36" t="e">
        <f>VLOOKUP(BQ57, Cat_Indicadores!B:C, 2, FALSE)</f>
        <v>#N/A</v>
      </c>
      <c r="BS57" s="35" t="s">
        <v>5592</v>
      </c>
      <c r="BT57" s="35"/>
    </row>
    <row r="58" spans="1:72">
      <c r="A58" s="29" t="s">
        <v>414</v>
      </c>
      <c r="B58" s="30" t="s">
        <v>415</v>
      </c>
      <c r="C58" s="31">
        <v>46192.49628472222</v>
      </c>
      <c r="D58" s="30">
        <v>92</v>
      </c>
      <c r="E58" s="30" t="s">
        <v>74</v>
      </c>
      <c r="F58" s="30" t="s">
        <v>75</v>
      </c>
      <c r="G58" s="30" t="s">
        <v>133</v>
      </c>
      <c r="H58" s="30" t="s">
        <v>77</v>
      </c>
      <c r="I58" s="30" t="s">
        <v>78</v>
      </c>
      <c r="J58" s="30" t="s">
        <v>79</v>
      </c>
      <c r="K58" s="32">
        <v>800</v>
      </c>
      <c r="L58" s="32" t="s">
        <v>211</v>
      </c>
      <c r="M58" s="30" t="s">
        <v>401</v>
      </c>
      <c r="N58" s="30" t="s">
        <v>402</v>
      </c>
      <c r="O58" s="30" t="s">
        <v>83</v>
      </c>
      <c r="P58" s="33">
        <v>46138</v>
      </c>
      <c r="Q58" s="33">
        <v>46138</v>
      </c>
      <c r="R58" s="32">
        <v>1</v>
      </c>
      <c r="S58" s="30" t="s">
        <v>84</v>
      </c>
      <c r="T58" s="30" t="s">
        <v>337</v>
      </c>
      <c r="U58" s="30" t="s">
        <v>338</v>
      </c>
      <c r="V58" s="30" t="s">
        <v>87</v>
      </c>
      <c r="W58" s="30" t="s">
        <v>88</v>
      </c>
      <c r="X58" s="30" t="s">
        <v>197</v>
      </c>
      <c r="Y58" s="30">
        <v>1</v>
      </c>
      <c r="AB58" s="30" t="b">
        <v>0</v>
      </c>
      <c r="AC58" s="30"/>
      <c r="AD58" s="30" t="b">
        <v>0</v>
      </c>
      <c r="AF58" s="30" t="b">
        <v>0</v>
      </c>
      <c r="AH58" s="32" t="s">
        <v>91</v>
      </c>
      <c r="AI58" s="32"/>
      <c r="AJ58" s="32"/>
      <c r="AK58" s="32"/>
      <c r="AL58" s="30" t="s">
        <v>92</v>
      </c>
      <c r="AM58" s="30" t="s">
        <v>93</v>
      </c>
      <c r="AN58" s="30" t="s">
        <v>94</v>
      </c>
      <c r="AO58" s="30" t="s">
        <v>407</v>
      </c>
      <c r="AP58" s="30" t="s">
        <v>408</v>
      </c>
      <c r="AQ58" s="30" t="s">
        <v>409</v>
      </c>
      <c r="AR58" s="30" t="s">
        <v>145</v>
      </c>
      <c r="AT58" s="30" t="s">
        <v>99</v>
      </c>
      <c r="AU58" s="30" t="s">
        <v>100</v>
      </c>
      <c r="AV58" s="30" t="s">
        <v>101</v>
      </c>
      <c r="AW58" s="30" t="s">
        <v>102</v>
      </c>
      <c r="AX58" s="34" t="s">
        <v>338</v>
      </c>
      <c r="AY58" s="34" t="s">
        <v>149</v>
      </c>
      <c r="AZ58" s="34" t="s">
        <v>149</v>
      </c>
      <c r="BA58" s="34"/>
      <c r="BB58" s="34"/>
      <c r="BC58" s="34">
        <v>0</v>
      </c>
      <c r="BD58" s="34"/>
      <c r="BE58" s="34"/>
      <c r="BF58" s="34" t="b">
        <v>0</v>
      </c>
      <c r="BG58" s="34"/>
      <c r="BH58" s="34"/>
      <c r="BI58" s="34"/>
      <c r="BJ58" s="34"/>
      <c r="BK58" s="34"/>
      <c r="BL58" s="34"/>
      <c r="BM58" s="34" t="s">
        <v>168</v>
      </c>
      <c r="BN58" s="34"/>
      <c r="BO58" s="35"/>
      <c r="BP58" s="35"/>
      <c r="BQ58" s="35" t="s">
        <v>108</v>
      </c>
      <c r="BR58" s="36" t="e">
        <f>VLOOKUP(BQ58, Cat_Indicadores!B:C, 2, FALSE)</f>
        <v>#N/A</v>
      </c>
      <c r="BS58" s="35" t="s">
        <v>5592</v>
      </c>
      <c r="BT58" s="35"/>
    </row>
    <row r="59" spans="1:72">
      <c r="A59" s="29" t="s">
        <v>416</v>
      </c>
      <c r="B59" s="30" t="s">
        <v>417</v>
      </c>
      <c r="C59" s="31">
        <v>46192.498784722222</v>
      </c>
      <c r="D59" s="30">
        <v>92</v>
      </c>
      <c r="E59" s="30" t="s">
        <v>74</v>
      </c>
      <c r="F59" s="30" t="s">
        <v>75</v>
      </c>
      <c r="G59" s="30" t="s">
        <v>133</v>
      </c>
      <c r="H59" s="30" t="s">
        <v>77</v>
      </c>
      <c r="I59" s="30" t="s">
        <v>78</v>
      </c>
      <c r="J59" s="30" t="s">
        <v>79</v>
      </c>
      <c r="K59" s="32">
        <v>800</v>
      </c>
      <c r="L59" s="32" t="s">
        <v>211</v>
      </c>
      <c r="M59" s="30" t="s">
        <v>401</v>
      </c>
      <c r="N59" s="30" t="s">
        <v>402</v>
      </c>
      <c r="O59" s="30" t="s">
        <v>83</v>
      </c>
      <c r="P59" s="33">
        <v>46140</v>
      </c>
      <c r="Q59" s="33">
        <v>46140</v>
      </c>
      <c r="R59" s="32">
        <v>1</v>
      </c>
      <c r="S59" s="30" t="s">
        <v>84</v>
      </c>
      <c r="T59" s="30" t="s">
        <v>337</v>
      </c>
      <c r="U59" s="30" t="s">
        <v>338</v>
      </c>
      <c r="V59" s="30" t="s">
        <v>87</v>
      </c>
      <c r="W59" s="30" t="s">
        <v>88</v>
      </c>
      <c r="X59" s="30" t="s">
        <v>197</v>
      </c>
      <c r="Y59" s="30">
        <v>1</v>
      </c>
      <c r="AB59" s="30" t="b">
        <v>0</v>
      </c>
      <c r="AC59" s="30"/>
      <c r="AD59" s="30" t="b">
        <v>0</v>
      </c>
      <c r="AF59" s="30" t="b">
        <v>0</v>
      </c>
      <c r="AH59" s="32" t="s">
        <v>91</v>
      </c>
      <c r="AI59" s="32"/>
      <c r="AJ59" s="32"/>
      <c r="AK59" s="32"/>
      <c r="AL59" s="30" t="s">
        <v>92</v>
      </c>
      <c r="AM59" s="30" t="s">
        <v>93</v>
      </c>
      <c r="AN59" s="30" t="s">
        <v>94</v>
      </c>
      <c r="AO59" s="30" t="s">
        <v>407</v>
      </c>
      <c r="AP59" s="30" t="s">
        <v>408</v>
      </c>
      <c r="AQ59" s="30" t="s">
        <v>409</v>
      </c>
      <c r="AR59" s="30" t="s">
        <v>145</v>
      </c>
      <c r="AT59" s="30" t="s">
        <v>99</v>
      </c>
      <c r="AU59" s="30" t="s">
        <v>100</v>
      </c>
      <c r="AV59" s="30" t="s">
        <v>101</v>
      </c>
      <c r="AW59" s="30" t="s">
        <v>102</v>
      </c>
      <c r="AX59" s="34" t="s">
        <v>338</v>
      </c>
      <c r="AY59" s="34" t="s">
        <v>149</v>
      </c>
      <c r="AZ59" s="34" t="s">
        <v>149</v>
      </c>
      <c r="BA59" s="34"/>
      <c r="BB59" s="34"/>
      <c r="BC59" s="34">
        <v>0</v>
      </c>
      <c r="BD59" s="34"/>
      <c r="BE59" s="34"/>
      <c r="BF59" s="34" t="b">
        <v>0</v>
      </c>
      <c r="BG59" s="34"/>
      <c r="BH59" s="34"/>
      <c r="BI59" s="34"/>
      <c r="BJ59" s="34"/>
      <c r="BK59" s="34"/>
      <c r="BL59" s="34"/>
      <c r="BM59" s="34" t="s">
        <v>168</v>
      </c>
      <c r="BN59" s="34"/>
      <c r="BO59" s="35"/>
      <c r="BP59" s="35"/>
      <c r="BQ59" s="35" t="s">
        <v>108</v>
      </c>
      <c r="BR59" s="36" t="e">
        <f>VLOOKUP(BQ59, Cat_Indicadores!B:C, 2, FALSE)</f>
        <v>#N/A</v>
      </c>
      <c r="BS59" s="35" t="s">
        <v>5592</v>
      </c>
      <c r="BT59" s="35"/>
    </row>
    <row r="60" spans="1:72">
      <c r="A60" s="29" t="s">
        <v>418</v>
      </c>
      <c r="B60" s="30" t="s">
        <v>419</v>
      </c>
      <c r="C60" s="31">
        <v>46192.501261574071</v>
      </c>
      <c r="D60" s="30">
        <v>92</v>
      </c>
      <c r="E60" s="30" t="s">
        <v>74</v>
      </c>
      <c r="F60" s="30" t="s">
        <v>75</v>
      </c>
      <c r="G60" s="30" t="s">
        <v>133</v>
      </c>
      <c r="H60" s="30" t="s">
        <v>77</v>
      </c>
      <c r="I60" s="30" t="s">
        <v>78</v>
      </c>
      <c r="J60" s="30" t="s">
        <v>79</v>
      </c>
      <c r="K60" s="32">
        <v>800</v>
      </c>
      <c r="L60" s="32" t="s">
        <v>211</v>
      </c>
      <c r="M60" s="30" t="s">
        <v>401</v>
      </c>
      <c r="N60" s="30" t="s">
        <v>402</v>
      </c>
      <c r="O60" s="30" t="s">
        <v>83</v>
      </c>
      <c r="P60" s="33">
        <v>46140</v>
      </c>
      <c r="Q60" s="33">
        <v>46140</v>
      </c>
      <c r="R60" s="32">
        <v>1</v>
      </c>
      <c r="S60" s="30" t="s">
        <v>84</v>
      </c>
      <c r="T60" s="30" t="s">
        <v>337</v>
      </c>
      <c r="U60" s="30" t="s">
        <v>338</v>
      </c>
      <c r="V60" s="30" t="s">
        <v>87</v>
      </c>
      <c r="W60" s="30" t="s">
        <v>88</v>
      </c>
      <c r="X60" s="30" t="s">
        <v>197</v>
      </c>
      <c r="Y60" s="30">
        <v>1</v>
      </c>
      <c r="AB60" s="30" t="b">
        <v>0</v>
      </c>
      <c r="AC60" s="30"/>
      <c r="AD60" s="30" t="b">
        <v>0</v>
      </c>
      <c r="AF60" s="30" t="b">
        <v>0</v>
      </c>
      <c r="AH60" s="32" t="s">
        <v>91</v>
      </c>
      <c r="AI60" s="32"/>
      <c r="AJ60" s="32"/>
      <c r="AK60" s="32"/>
      <c r="AL60" s="30" t="s">
        <v>92</v>
      </c>
      <c r="AM60" s="30" t="s">
        <v>93</v>
      </c>
      <c r="AN60" s="30" t="s">
        <v>94</v>
      </c>
      <c r="AO60" s="30" t="s">
        <v>407</v>
      </c>
      <c r="AP60" s="30" t="s">
        <v>408</v>
      </c>
      <c r="AQ60" s="30" t="s">
        <v>409</v>
      </c>
      <c r="AR60" s="30" t="s">
        <v>145</v>
      </c>
      <c r="AT60" s="30" t="s">
        <v>99</v>
      </c>
      <c r="AU60" s="30" t="s">
        <v>100</v>
      </c>
      <c r="AV60" s="30" t="s">
        <v>101</v>
      </c>
      <c r="AW60" s="30" t="s">
        <v>102</v>
      </c>
      <c r="AX60" s="34" t="s">
        <v>338</v>
      </c>
      <c r="AY60" s="34" t="s">
        <v>149</v>
      </c>
      <c r="AZ60" s="34" t="s">
        <v>149</v>
      </c>
      <c r="BA60" s="34"/>
      <c r="BB60" s="34"/>
      <c r="BC60" s="34">
        <v>0</v>
      </c>
      <c r="BD60" s="34"/>
      <c r="BE60" s="34"/>
      <c r="BF60" s="34" t="b">
        <v>0</v>
      </c>
      <c r="BG60" s="34"/>
      <c r="BH60" s="34"/>
      <c r="BI60" s="34"/>
      <c r="BJ60" s="34"/>
      <c r="BK60" s="34"/>
      <c r="BL60" s="34"/>
      <c r="BM60" s="34" t="s">
        <v>168</v>
      </c>
      <c r="BN60" s="34"/>
      <c r="BO60" s="35"/>
      <c r="BP60" s="35"/>
      <c r="BQ60" s="35" t="s">
        <v>108</v>
      </c>
      <c r="BR60" s="36" t="e">
        <f>VLOOKUP(BQ60, Cat_Indicadores!B:C, 2, FALSE)</f>
        <v>#N/A</v>
      </c>
      <c r="BS60" s="35" t="s">
        <v>5592</v>
      </c>
      <c r="BT60" s="35"/>
    </row>
    <row r="61" spans="1:72">
      <c r="A61" s="29" t="s">
        <v>420</v>
      </c>
      <c r="B61" s="30" t="s">
        <v>421</v>
      </c>
      <c r="C61" s="31">
        <v>46192.503576388888</v>
      </c>
      <c r="D61" s="30">
        <v>92</v>
      </c>
      <c r="E61" s="30" t="s">
        <v>74</v>
      </c>
      <c r="F61" s="30" t="s">
        <v>75</v>
      </c>
      <c r="G61" s="30" t="s">
        <v>133</v>
      </c>
      <c r="H61" s="30" t="s">
        <v>77</v>
      </c>
      <c r="I61" s="30" t="s">
        <v>78</v>
      </c>
      <c r="J61" s="30" t="s">
        <v>79</v>
      </c>
      <c r="K61" s="32">
        <v>800</v>
      </c>
      <c r="L61" s="32" t="s">
        <v>211</v>
      </c>
      <c r="M61" s="30" t="s">
        <v>422</v>
      </c>
      <c r="N61" s="30" t="s">
        <v>402</v>
      </c>
      <c r="O61" s="30" t="s">
        <v>83</v>
      </c>
      <c r="P61" s="33">
        <v>46142</v>
      </c>
      <c r="Q61" s="33">
        <v>46142</v>
      </c>
      <c r="R61" s="32">
        <v>1</v>
      </c>
      <c r="S61" s="30" t="s">
        <v>84</v>
      </c>
      <c r="T61" s="30" t="s">
        <v>337</v>
      </c>
      <c r="U61" s="30" t="s">
        <v>338</v>
      </c>
      <c r="V61" s="30" t="s">
        <v>87</v>
      </c>
      <c r="W61" s="30" t="s">
        <v>88</v>
      </c>
      <c r="X61" s="30" t="s">
        <v>197</v>
      </c>
      <c r="Y61" s="30">
        <v>5</v>
      </c>
      <c r="AB61" s="30" t="b">
        <v>0</v>
      </c>
      <c r="AC61" s="30"/>
      <c r="AD61" s="30" t="b">
        <v>0</v>
      </c>
      <c r="AF61" s="30" t="b">
        <v>0</v>
      </c>
      <c r="AH61" s="32" t="s">
        <v>91</v>
      </c>
      <c r="AI61" s="32"/>
      <c r="AJ61" s="32"/>
      <c r="AK61" s="32"/>
      <c r="AL61" s="30" t="s">
        <v>92</v>
      </c>
      <c r="AM61" s="30" t="s">
        <v>93</v>
      </c>
      <c r="AN61" s="30" t="s">
        <v>94</v>
      </c>
      <c r="AO61" s="30" t="s">
        <v>407</v>
      </c>
      <c r="AP61" s="30" t="s">
        <v>408</v>
      </c>
      <c r="AQ61" s="30" t="s">
        <v>409</v>
      </c>
      <c r="AR61" s="30" t="s">
        <v>145</v>
      </c>
      <c r="AT61" s="30" t="s">
        <v>99</v>
      </c>
      <c r="AU61" s="30" t="s">
        <v>100</v>
      </c>
      <c r="AV61" s="30" t="s">
        <v>101</v>
      </c>
      <c r="AW61" s="30" t="s">
        <v>102</v>
      </c>
      <c r="AX61" s="34" t="s">
        <v>349</v>
      </c>
      <c r="AY61" s="34" t="s">
        <v>149</v>
      </c>
      <c r="AZ61" s="34" t="s">
        <v>149</v>
      </c>
      <c r="BA61" s="34"/>
      <c r="BB61" s="34"/>
      <c r="BC61" s="34">
        <v>0</v>
      </c>
      <c r="BD61" s="34"/>
      <c r="BE61" s="34"/>
      <c r="BF61" s="34" t="b">
        <v>0</v>
      </c>
      <c r="BG61" s="34"/>
      <c r="BH61" s="34"/>
      <c r="BI61" s="34"/>
      <c r="BJ61" s="34"/>
      <c r="BK61" s="34"/>
      <c r="BL61" s="34"/>
      <c r="BM61" s="34" t="s">
        <v>168</v>
      </c>
      <c r="BN61" s="34"/>
      <c r="BO61" s="35"/>
      <c r="BP61" s="35"/>
      <c r="BQ61" s="35" t="s">
        <v>108</v>
      </c>
      <c r="BR61" s="36" t="e">
        <f>VLOOKUP(BQ61, Cat_Indicadores!B:C, 2, FALSE)</f>
        <v>#N/A</v>
      </c>
      <c r="BS61" s="35" t="s">
        <v>5592</v>
      </c>
      <c r="BT61" s="35"/>
    </row>
    <row r="62" spans="1:72">
      <c r="A62" s="29" t="s">
        <v>423</v>
      </c>
      <c r="B62" s="30" t="s">
        <v>424</v>
      </c>
      <c r="C62" s="31">
        <v>46192.518090277779</v>
      </c>
      <c r="D62" s="30">
        <v>92</v>
      </c>
      <c r="E62" s="30" t="s">
        <v>74</v>
      </c>
      <c r="F62" s="30" t="s">
        <v>75</v>
      </c>
      <c r="G62" s="30" t="s">
        <v>133</v>
      </c>
      <c r="H62" s="30" t="s">
        <v>77</v>
      </c>
      <c r="I62" s="30" t="s">
        <v>78</v>
      </c>
      <c r="J62" s="30" t="s">
        <v>79</v>
      </c>
      <c r="K62" s="32">
        <v>800</v>
      </c>
      <c r="L62" s="32" t="s">
        <v>211</v>
      </c>
      <c r="M62" s="30" t="s">
        <v>425</v>
      </c>
      <c r="N62" s="30" t="s">
        <v>402</v>
      </c>
      <c r="O62" s="30" t="s">
        <v>83</v>
      </c>
      <c r="P62" s="33">
        <v>46130</v>
      </c>
      <c r="Q62" s="33">
        <v>46130</v>
      </c>
      <c r="R62" s="32">
        <v>1</v>
      </c>
      <c r="S62" s="30" t="s">
        <v>84</v>
      </c>
      <c r="T62" s="30" t="s">
        <v>337</v>
      </c>
      <c r="U62" s="30" t="s">
        <v>349</v>
      </c>
      <c r="V62" s="30" t="s">
        <v>87</v>
      </c>
      <c r="W62" s="30" t="s">
        <v>88</v>
      </c>
      <c r="X62" s="30" t="s">
        <v>197</v>
      </c>
      <c r="Y62" s="30">
        <v>5</v>
      </c>
      <c r="AB62" s="30" t="b">
        <v>0</v>
      </c>
      <c r="AC62" s="30"/>
      <c r="AD62" s="30" t="b">
        <v>0</v>
      </c>
      <c r="AF62" s="30" t="b">
        <v>0</v>
      </c>
      <c r="AH62" s="32" t="s">
        <v>91</v>
      </c>
      <c r="AI62" s="32"/>
      <c r="AJ62" s="32"/>
      <c r="AK62" s="32"/>
      <c r="AL62" s="30" t="s">
        <v>92</v>
      </c>
      <c r="AM62" s="30" t="s">
        <v>93</v>
      </c>
      <c r="AN62" s="30" t="s">
        <v>94</v>
      </c>
      <c r="AO62" s="30" t="s">
        <v>407</v>
      </c>
      <c r="AP62" s="30" t="s">
        <v>408</v>
      </c>
      <c r="AQ62" s="30" t="s">
        <v>409</v>
      </c>
      <c r="AR62" s="30" t="s">
        <v>145</v>
      </c>
      <c r="AT62" s="30" t="s">
        <v>99</v>
      </c>
      <c r="AU62" s="30" t="s">
        <v>100</v>
      </c>
      <c r="AV62" s="30" t="s">
        <v>101</v>
      </c>
      <c r="AW62" s="30" t="s">
        <v>102</v>
      </c>
      <c r="AX62" s="34" t="s">
        <v>349</v>
      </c>
      <c r="AY62" s="34" t="s">
        <v>149</v>
      </c>
      <c r="AZ62" s="34" t="s">
        <v>149</v>
      </c>
      <c r="BA62" s="34"/>
      <c r="BB62" s="34"/>
      <c r="BC62" s="34">
        <v>0</v>
      </c>
      <c r="BD62" s="34"/>
      <c r="BE62" s="34"/>
      <c r="BF62" s="34" t="b">
        <v>0</v>
      </c>
      <c r="BG62" s="34"/>
      <c r="BH62" s="34"/>
      <c r="BI62" s="34"/>
      <c r="BJ62" s="34"/>
      <c r="BK62" s="34"/>
      <c r="BL62" s="34"/>
      <c r="BM62" s="34" t="s">
        <v>168</v>
      </c>
      <c r="BN62" s="34"/>
      <c r="BO62" s="35"/>
      <c r="BP62" s="35"/>
      <c r="BQ62" s="35" t="s">
        <v>108</v>
      </c>
      <c r="BR62" s="36" t="e">
        <f>VLOOKUP(BQ62, Cat_Indicadores!B:C, 2, FALSE)</f>
        <v>#N/A</v>
      </c>
      <c r="BS62" s="35" t="s">
        <v>5592</v>
      </c>
      <c r="BT62" s="35"/>
    </row>
    <row r="63" spans="1:72">
      <c r="A63" s="29" t="s">
        <v>426</v>
      </c>
      <c r="B63" s="30" t="s">
        <v>427</v>
      </c>
      <c r="C63" s="31">
        <v>46192.528090277781</v>
      </c>
      <c r="D63" s="30">
        <v>92</v>
      </c>
      <c r="E63" s="30" t="s">
        <v>74</v>
      </c>
      <c r="F63" s="30" t="s">
        <v>75</v>
      </c>
      <c r="G63" s="30" t="s">
        <v>133</v>
      </c>
      <c r="H63" s="30" t="s">
        <v>77</v>
      </c>
      <c r="I63" s="30" t="s">
        <v>78</v>
      </c>
      <c r="J63" s="30" t="s">
        <v>79</v>
      </c>
      <c r="K63" s="32">
        <v>800</v>
      </c>
      <c r="L63" s="32" t="s">
        <v>211</v>
      </c>
      <c r="M63" s="30" t="s">
        <v>428</v>
      </c>
      <c r="N63" s="30" t="s">
        <v>402</v>
      </c>
      <c r="O63" s="30" t="s">
        <v>83</v>
      </c>
      <c r="P63" s="33">
        <v>46140</v>
      </c>
      <c r="Q63" s="33">
        <v>46140</v>
      </c>
      <c r="R63" s="32">
        <v>1</v>
      </c>
      <c r="S63" s="30" t="s">
        <v>84</v>
      </c>
      <c r="T63" s="30" t="s">
        <v>337</v>
      </c>
      <c r="U63" s="30" t="s">
        <v>338</v>
      </c>
      <c r="V63" s="30" t="s">
        <v>87</v>
      </c>
      <c r="W63" s="30" t="s">
        <v>88</v>
      </c>
      <c r="X63" s="30" t="s">
        <v>197</v>
      </c>
      <c r="Y63" s="30">
        <v>5</v>
      </c>
      <c r="AB63" s="30" t="b">
        <v>0</v>
      </c>
      <c r="AC63" s="30"/>
      <c r="AD63" s="30" t="b">
        <v>0</v>
      </c>
      <c r="AF63" s="30" t="b">
        <v>0</v>
      </c>
      <c r="AH63" s="32" t="s">
        <v>91</v>
      </c>
      <c r="AI63" s="32"/>
      <c r="AJ63" s="32"/>
      <c r="AK63" s="32"/>
      <c r="AL63" s="30" t="s">
        <v>92</v>
      </c>
      <c r="AM63" s="30" t="s">
        <v>93</v>
      </c>
      <c r="AN63" s="30" t="s">
        <v>94</v>
      </c>
      <c r="AO63" s="30" t="s">
        <v>407</v>
      </c>
      <c r="AP63" s="30" t="s">
        <v>408</v>
      </c>
      <c r="AQ63" s="30" t="s">
        <v>409</v>
      </c>
      <c r="AR63" s="30" t="s">
        <v>145</v>
      </c>
      <c r="AT63" s="30" t="s">
        <v>99</v>
      </c>
      <c r="AU63" s="30" t="s">
        <v>100</v>
      </c>
      <c r="AV63" s="30" t="s">
        <v>101</v>
      </c>
      <c r="AW63" s="30" t="s">
        <v>102</v>
      </c>
      <c r="AX63" s="34" t="s">
        <v>349</v>
      </c>
      <c r="AY63" s="34" t="s">
        <v>149</v>
      </c>
      <c r="AZ63" s="34" t="s">
        <v>149</v>
      </c>
      <c r="BA63" s="34"/>
      <c r="BB63" s="34"/>
      <c r="BC63" s="34">
        <v>0</v>
      </c>
      <c r="BD63" s="34"/>
      <c r="BE63" s="34"/>
      <c r="BF63" s="34" t="b">
        <v>0</v>
      </c>
      <c r="BG63" s="34"/>
      <c r="BH63" s="34"/>
      <c r="BI63" s="34"/>
      <c r="BJ63" s="34"/>
      <c r="BK63" s="34"/>
      <c r="BL63" s="34"/>
      <c r="BM63" s="34" t="s">
        <v>168</v>
      </c>
      <c r="BN63" s="34"/>
      <c r="BO63" s="35"/>
      <c r="BP63" s="35"/>
      <c r="BQ63" s="35" t="s">
        <v>108</v>
      </c>
      <c r="BR63" s="36" t="e">
        <f>VLOOKUP(BQ63, Cat_Indicadores!B:C, 2, FALSE)</f>
        <v>#N/A</v>
      </c>
      <c r="BS63" s="35" t="s">
        <v>5592</v>
      </c>
      <c r="BT63" s="35"/>
    </row>
    <row r="64" spans="1:72">
      <c r="A64" s="29" t="s">
        <v>429</v>
      </c>
      <c r="B64" s="30" t="s">
        <v>430</v>
      </c>
      <c r="C64" s="31">
        <v>46192.531157407408</v>
      </c>
      <c r="D64" s="30">
        <v>92</v>
      </c>
      <c r="E64" s="30" t="s">
        <v>74</v>
      </c>
      <c r="F64" s="30" t="s">
        <v>75</v>
      </c>
      <c r="G64" s="30" t="s">
        <v>133</v>
      </c>
      <c r="H64" s="30" t="s">
        <v>77</v>
      </c>
      <c r="I64" s="30" t="s">
        <v>78</v>
      </c>
      <c r="J64" s="30" t="s">
        <v>79</v>
      </c>
      <c r="K64" s="32">
        <v>800</v>
      </c>
      <c r="L64" s="32" t="s">
        <v>211</v>
      </c>
      <c r="M64" s="30" t="s">
        <v>402</v>
      </c>
      <c r="N64" s="30" t="s">
        <v>402</v>
      </c>
      <c r="O64" s="30" t="s">
        <v>83</v>
      </c>
      <c r="P64" s="33">
        <v>46192</v>
      </c>
      <c r="Q64" s="33">
        <v>46192</v>
      </c>
      <c r="R64" s="32">
        <v>1</v>
      </c>
      <c r="S64" s="30" t="s">
        <v>84</v>
      </c>
      <c r="T64" s="30" t="s">
        <v>337</v>
      </c>
      <c r="U64" s="30" t="s">
        <v>349</v>
      </c>
      <c r="V64" s="30" t="s">
        <v>87</v>
      </c>
      <c r="W64" s="30" t="s">
        <v>88</v>
      </c>
      <c r="X64" s="30" t="s">
        <v>197</v>
      </c>
      <c r="Y64" s="30">
        <v>2</v>
      </c>
      <c r="AB64" s="30" t="b">
        <v>0</v>
      </c>
      <c r="AC64" s="30"/>
      <c r="AD64" s="30" t="b">
        <v>0</v>
      </c>
      <c r="AF64" s="30" t="b">
        <v>0</v>
      </c>
      <c r="AH64" s="32" t="s">
        <v>91</v>
      </c>
      <c r="AI64" s="32"/>
      <c r="AJ64" s="32"/>
      <c r="AK64" s="32"/>
      <c r="AL64" s="30" t="s">
        <v>92</v>
      </c>
      <c r="AM64" s="30" t="s">
        <v>93</v>
      </c>
      <c r="AN64" s="30" t="s">
        <v>94</v>
      </c>
      <c r="AO64" s="30" t="s">
        <v>407</v>
      </c>
      <c r="AP64" s="30" t="s">
        <v>408</v>
      </c>
      <c r="AQ64" s="30" t="s">
        <v>409</v>
      </c>
      <c r="AR64" s="30" t="s">
        <v>145</v>
      </c>
      <c r="AT64" s="30" t="s">
        <v>99</v>
      </c>
      <c r="AU64" s="30" t="s">
        <v>100</v>
      </c>
      <c r="AV64" s="30" t="s">
        <v>101</v>
      </c>
      <c r="AW64" s="30" t="s">
        <v>102</v>
      </c>
      <c r="AX64" s="34" t="s">
        <v>349</v>
      </c>
      <c r="AY64" s="34" t="s">
        <v>149</v>
      </c>
      <c r="AZ64" s="34" t="s">
        <v>149</v>
      </c>
      <c r="BA64" s="34"/>
      <c r="BB64" s="34"/>
      <c r="BC64" s="34">
        <v>0</v>
      </c>
      <c r="BD64" s="34"/>
      <c r="BE64" s="34"/>
      <c r="BF64" s="34" t="b">
        <v>0</v>
      </c>
      <c r="BG64" s="34"/>
      <c r="BH64" s="34"/>
      <c r="BI64" s="34"/>
      <c r="BJ64" s="34"/>
      <c r="BK64" s="34"/>
      <c r="BL64" s="34"/>
      <c r="BM64" s="34" t="s">
        <v>168</v>
      </c>
      <c r="BN64" s="34"/>
      <c r="BO64" s="35"/>
      <c r="BP64" s="35"/>
      <c r="BQ64" s="35" t="s">
        <v>108</v>
      </c>
      <c r="BR64" s="36" t="e">
        <f>VLOOKUP(BQ64, Cat_Indicadores!B:C, 2, FALSE)</f>
        <v>#N/A</v>
      </c>
      <c r="BS64" s="35" t="s">
        <v>5592</v>
      </c>
      <c r="BT64" s="35"/>
    </row>
    <row r="65" spans="1:72">
      <c r="A65" s="29" t="s">
        <v>431</v>
      </c>
      <c r="B65" s="30" t="s">
        <v>432</v>
      </c>
      <c r="C65" s="31">
        <v>46192.537835648145</v>
      </c>
      <c r="D65" s="30">
        <v>92</v>
      </c>
      <c r="E65" s="30" t="s">
        <v>74</v>
      </c>
      <c r="F65" s="30" t="s">
        <v>75</v>
      </c>
      <c r="G65" s="30" t="s">
        <v>133</v>
      </c>
      <c r="H65" s="30" t="s">
        <v>77</v>
      </c>
      <c r="I65" s="30" t="s">
        <v>78</v>
      </c>
      <c r="J65" s="30" t="s">
        <v>79</v>
      </c>
      <c r="K65" s="32">
        <v>800</v>
      </c>
      <c r="L65" s="32" t="s">
        <v>211</v>
      </c>
      <c r="M65" s="30" t="s">
        <v>433</v>
      </c>
      <c r="N65" s="30" t="s">
        <v>402</v>
      </c>
      <c r="O65" s="30" t="s">
        <v>83</v>
      </c>
      <c r="P65" s="33">
        <v>46142</v>
      </c>
      <c r="Q65" s="33">
        <v>46142</v>
      </c>
      <c r="R65" s="32">
        <v>1</v>
      </c>
      <c r="S65" s="30" t="s">
        <v>84</v>
      </c>
      <c r="T65" s="30" t="s">
        <v>337</v>
      </c>
      <c r="U65" s="30" t="s">
        <v>349</v>
      </c>
      <c r="V65" s="30" t="s">
        <v>87</v>
      </c>
      <c r="W65" s="30" t="s">
        <v>88</v>
      </c>
      <c r="X65" s="30" t="s">
        <v>197</v>
      </c>
      <c r="Y65" s="30">
        <v>5</v>
      </c>
      <c r="AB65" s="30" t="b">
        <v>0</v>
      </c>
      <c r="AC65" s="30"/>
      <c r="AD65" s="30" t="b">
        <v>0</v>
      </c>
      <c r="AF65" s="30" t="b">
        <v>0</v>
      </c>
      <c r="AH65" s="32" t="s">
        <v>91</v>
      </c>
      <c r="AI65" s="32"/>
      <c r="AJ65" s="32"/>
      <c r="AK65" s="32"/>
      <c r="AL65" s="30" t="s">
        <v>92</v>
      </c>
      <c r="AM65" s="30" t="s">
        <v>93</v>
      </c>
      <c r="AN65" s="30" t="s">
        <v>94</v>
      </c>
      <c r="AO65" s="30" t="s">
        <v>407</v>
      </c>
      <c r="AP65" s="30" t="s">
        <v>408</v>
      </c>
      <c r="AQ65" s="30" t="s">
        <v>409</v>
      </c>
      <c r="AR65" s="30" t="s">
        <v>145</v>
      </c>
      <c r="AT65" s="30" t="s">
        <v>99</v>
      </c>
      <c r="AU65" s="30" t="s">
        <v>100</v>
      </c>
      <c r="AV65" s="30" t="s">
        <v>101</v>
      </c>
      <c r="AW65" s="30" t="s">
        <v>102</v>
      </c>
      <c r="AX65" s="34" t="s">
        <v>349</v>
      </c>
      <c r="AY65" s="34" t="s">
        <v>149</v>
      </c>
      <c r="AZ65" s="34" t="s">
        <v>149</v>
      </c>
      <c r="BA65" s="34"/>
      <c r="BB65" s="34"/>
      <c r="BC65" s="34">
        <v>0</v>
      </c>
      <c r="BD65" s="34"/>
      <c r="BE65" s="34"/>
      <c r="BF65" s="34" t="b">
        <v>0</v>
      </c>
      <c r="BG65" s="34"/>
      <c r="BH65" s="34"/>
      <c r="BI65" s="34"/>
      <c r="BJ65" s="34"/>
      <c r="BK65" s="34"/>
      <c r="BL65" s="34"/>
      <c r="BM65" s="34" t="s">
        <v>168</v>
      </c>
      <c r="BN65" s="34"/>
      <c r="BO65" s="35"/>
      <c r="BP65" s="35"/>
      <c r="BQ65" s="35" t="s">
        <v>108</v>
      </c>
      <c r="BR65" s="36" t="e">
        <f>VLOOKUP(BQ65, Cat_Indicadores!B:C, 2, FALSE)</f>
        <v>#N/A</v>
      </c>
      <c r="BS65" s="35" t="s">
        <v>5592</v>
      </c>
      <c r="BT65" s="35"/>
    </row>
    <row r="66" spans="1:72">
      <c r="A66" s="29" t="s">
        <v>434</v>
      </c>
      <c r="B66" s="30" t="s">
        <v>435</v>
      </c>
      <c r="C66" s="31">
        <v>46192.540347222224</v>
      </c>
      <c r="D66" s="30">
        <v>92</v>
      </c>
      <c r="E66" s="30" t="s">
        <v>74</v>
      </c>
      <c r="F66" s="30" t="s">
        <v>75</v>
      </c>
      <c r="G66" s="30" t="s">
        <v>133</v>
      </c>
      <c r="H66" s="30" t="s">
        <v>77</v>
      </c>
      <c r="I66" s="30" t="s">
        <v>78</v>
      </c>
      <c r="J66" s="30" t="s">
        <v>79</v>
      </c>
      <c r="K66" s="32">
        <v>800</v>
      </c>
      <c r="L66" s="32" t="s">
        <v>211</v>
      </c>
      <c r="M66" s="30" t="s">
        <v>436</v>
      </c>
      <c r="N66" s="30" t="s">
        <v>402</v>
      </c>
      <c r="O66" s="30" t="s">
        <v>83</v>
      </c>
      <c r="P66" s="33">
        <v>46135</v>
      </c>
      <c r="Q66" s="33">
        <v>46135</v>
      </c>
      <c r="R66" s="32">
        <v>1</v>
      </c>
      <c r="S66" s="30" t="s">
        <v>84</v>
      </c>
      <c r="T66" s="30" t="s">
        <v>337</v>
      </c>
      <c r="U66" s="30" t="s">
        <v>349</v>
      </c>
      <c r="V66" s="30" t="s">
        <v>87</v>
      </c>
      <c r="W66" s="30" t="s">
        <v>88</v>
      </c>
      <c r="X66" s="30" t="s">
        <v>197</v>
      </c>
      <c r="Y66" s="30">
        <v>6</v>
      </c>
      <c r="AB66" s="30" t="b">
        <v>0</v>
      </c>
      <c r="AC66" s="30"/>
      <c r="AD66" s="30" t="b">
        <v>0</v>
      </c>
      <c r="AF66" s="30" t="b">
        <v>0</v>
      </c>
      <c r="AH66" s="32" t="s">
        <v>91</v>
      </c>
      <c r="AI66" s="32"/>
      <c r="AJ66" s="32"/>
      <c r="AK66" s="32"/>
      <c r="AL66" s="30" t="s">
        <v>92</v>
      </c>
      <c r="AM66" s="30" t="s">
        <v>93</v>
      </c>
      <c r="AN66" s="30" t="s">
        <v>94</v>
      </c>
      <c r="AO66" s="30" t="s">
        <v>407</v>
      </c>
      <c r="AP66" s="30" t="s">
        <v>408</v>
      </c>
      <c r="AQ66" s="30" t="s">
        <v>409</v>
      </c>
      <c r="AR66" s="30" t="s">
        <v>145</v>
      </c>
      <c r="AT66" s="30" t="s">
        <v>99</v>
      </c>
      <c r="AU66" s="30" t="s">
        <v>100</v>
      </c>
      <c r="AV66" s="30" t="s">
        <v>101</v>
      </c>
      <c r="AW66" s="30" t="s">
        <v>102</v>
      </c>
      <c r="AX66" s="34" t="s">
        <v>349</v>
      </c>
      <c r="AY66" s="34" t="s">
        <v>149</v>
      </c>
      <c r="AZ66" s="34" t="s">
        <v>149</v>
      </c>
      <c r="BA66" s="34"/>
      <c r="BB66" s="34"/>
      <c r="BC66" s="34">
        <v>0</v>
      </c>
      <c r="BD66" s="34"/>
      <c r="BE66" s="34"/>
      <c r="BF66" s="34" t="b">
        <v>0</v>
      </c>
      <c r="BG66" s="34"/>
      <c r="BH66" s="34"/>
      <c r="BI66" s="34"/>
      <c r="BJ66" s="34"/>
      <c r="BK66" s="34"/>
      <c r="BL66" s="34"/>
      <c r="BM66" s="34" t="s">
        <v>168</v>
      </c>
      <c r="BN66" s="34"/>
      <c r="BO66" s="35"/>
      <c r="BP66" s="35"/>
      <c r="BQ66" s="35" t="s">
        <v>108</v>
      </c>
      <c r="BR66" s="36" t="e">
        <f>VLOOKUP(BQ66, Cat_Indicadores!B:C, 2, FALSE)</f>
        <v>#N/A</v>
      </c>
      <c r="BS66" s="35" t="s">
        <v>5592</v>
      </c>
      <c r="BT66" s="35"/>
    </row>
    <row r="67" spans="1:72">
      <c r="A67" s="29" t="s">
        <v>437</v>
      </c>
      <c r="B67" s="30" t="s">
        <v>438</v>
      </c>
      <c r="C67" s="31">
        <v>46192.549791666665</v>
      </c>
      <c r="D67" s="30">
        <v>92</v>
      </c>
      <c r="E67" s="30" t="s">
        <v>74</v>
      </c>
      <c r="F67" s="30" t="s">
        <v>75</v>
      </c>
      <c r="G67" s="30" t="s">
        <v>133</v>
      </c>
      <c r="H67" s="30" t="s">
        <v>77</v>
      </c>
      <c r="I67" s="30" t="s">
        <v>78</v>
      </c>
      <c r="J67" s="30" t="s">
        <v>79</v>
      </c>
      <c r="K67" s="32">
        <v>800</v>
      </c>
      <c r="L67" s="32" t="s">
        <v>211</v>
      </c>
      <c r="M67" s="30" t="s">
        <v>439</v>
      </c>
      <c r="N67" s="30" t="s">
        <v>402</v>
      </c>
      <c r="O67" s="30" t="s">
        <v>83</v>
      </c>
      <c r="P67" s="33">
        <v>46128</v>
      </c>
      <c r="Q67" s="33">
        <v>46128</v>
      </c>
      <c r="R67" s="32">
        <v>1</v>
      </c>
      <c r="S67" s="30" t="s">
        <v>84</v>
      </c>
      <c r="T67" s="30" t="s">
        <v>337</v>
      </c>
      <c r="U67" s="30" t="s">
        <v>349</v>
      </c>
      <c r="V67" s="30" t="s">
        <v>87</v>
      </c>
      <c r="W67" s="30" t="s">
        <v>88</v>
      </c>
      <c r="X67" s="30" t="s">
        <v>197</v>
      </c>
      <c r="Y67" s="30">
        <v>6</v>
      </c>
      <c r="AB67" s="30" t="b">
        <v>0</v>
      </c>
      <c r="AC67" s="30"/>
      <c r="AD67" s="30" t="b">
        <v>0</v>
      </c>
      <c r="AF67" s="30" t="b">
        <v>0</v>
      </c>
      <c r="AH67" s="32" t="s">
        <v>91</v>
      </c>
      <c r="AI67" s="32"/>
      <c r="AJ67" s="32"/>
      <c r="AK67" s="32"/>
      <c r="AL67" s="30" t="s">
        <v>92</v>
      </c>
      <c r="AM67" s="30" t="s">
        <v>93</v>
      </c>
      <c r="AN67" s="30" t="s">
        <v>94</v>
      </c>
      <c r="AO67" s="30" t="s">
        <v>407</v>
      </c>
      <c r="AP67" s="30" t="s">
        <v>408</v>
      </c>
      <c r="AQ67" s="30" t="s">
        <v>409</v>
      </c>
      <c r="AR67" s="30" t="s">
        <v>145</v>
      </c>
      <c r="AT67" s="30" t="s">
        <v>99</v>
      </c>
      <c r="AU67" s="30" t="s">
        <v>100</v>
      </c>
      <c r="AV67" s="30" t="s">
        <v>101</v>
      </c>
      <c r="AW67" s="30" t="s">
        <v>102</v>
      </c>
      <c r="AX67" s="34" t="s">
        <v>349</v>
      </c>
      <c r="AY67" s="34" t="s">
        <v>149</v>
      </c>
      <c r="AZ67" s="34" t="s">
        <v>149</v>
      </c>
      <c r="BA67" s="34"/>
      <c r="BB67" s="34"/>
      <c r="BC67" s="34">
        <v>0</v>
      </c>
      <c r="BD67" s="34"/>
      <c r="BE67" s="34"/>
      <c r="BF67" s="34" t="b">
        <v>0</v>
      </c>
      <c r="BG67" s="34"/>
      <c r="BH67" s="34"/>
      <c r="BI67" s="34"/>
      <c r="BJ67" s="34"/>
      <c r="BK67" s="34"/>
      <c r="BL67" s="34"/>
      <c r="BM67" s="34" t="s">
        <v>168</v>
      </c>
      <c r="BN67" s="34"/>
      <c r="BO67" s="35"/>
      <c r="BP67" s="35"/>
      <c r="BQ67" s="35" t="s">
        <v>108</v>
      </c>
      <c r="BR67" s="36" t="e">
        <f>VLOOKUP(BQ67, Cat_Indicadores!B:C, 2, FALSE)</f>
        <v>#N/A</v>
      </c>
      <c r="BS67" s="35" t="s">
        <v>5592</v>
      </c>
      <c r="BT67" s="35"/>
    </row>
    <row r="68" spans="1:72">
      <c r="A68" s="29" t="s">
        <v>440</v>
      </c>
      <c r="B68" s="30" t="s">
        <v>441</v>
      </c>
      <c r="C68" s="31">
        <v>46192.596122685187</v>
      </c>
      <c r="D68" s="30">
        <v>92</v>
      </c>
      <c r="E68" s="30" t="s">
        <v>74</v>
      </c>
      <c r="F68" s="30" t="s">
        <v>75</v>
      </c>
      <c r="G68" s="30" t="s">
        <v>133</v>
      </c>
      <c r="H68" s="30" t="s">
        <v>77</v>
      </c>
      <c r="I68" s="30" t="s">
        <v>78</v>
      </c>
      <c r="J68" s="30" t="s">
        <v>79</v>
      </c>
      <c r="K68" s="32">
        <v>800</v>
      </c>
      <c r="L68" s="32" t="s">
        <v>211</v>
      </c>
      <c r="M68" s="30" t="s">
        <v>439</v>
      </c>
      <c r="N68" s="30" t="s">
        <v>402</v>
      </c>
      <c r="O68" s="30" t="s">
        <v>83</v>
      </c>
      <c r="P68" s="33">
        <v>46135</v>
      </c>
      <c r="Q68" s="33">
        <v>46135</v>
      </c>
      <c r="R68" s="32">
        <v>1</v>
      </c>
      <c r="S68" s="30" t="s">
        <v>84</v>
      </c>
      <c r="T68" s="30" t="s">
        <v>337</v>
      </c>
      <c r="U68" s="30" t="s">
        <v>349</v>
      </c>
      <c r="V68" s="30" t="s">
        <v>87</v>
      </c>
      <c r="W68" s="30" t="s">
        <v>88</v>
      </c>
      <c r="X68" s="30" t="s">
        <v>197</v>
      </c>
      <c r="Y68" s="30">
        <v>2</v>
      </c>
      <c r="AB68" s="30" t="b">
        <v>0</v>
      </c>
      <c r="AC68" s="30"/>
      <c r="AD68" s="30" t="b">
        <v>0</v>
      </c>
      <c r="AF68" s="30" t="b">
        <v>0</v>
      </c>
      <c r="AH68" s="32" t="s">
        <v>91</v>
      </c>
      <c r="AI68" s="32"/>
      <c r="AJ68" s="32"/>
      <c r="AK68" s="32"/>
      <c r="AL68" s="30" t="s">
        <v>92</v>
      </c>
      <c r="AM68" s="30" t="s">
        <v>93</v>
      </c>
      <c r="AN68" s="30" t="s">
        <v>94</v>
      </c>
      <c r="AO68" s="30" t="s">
        <v>407</v>
      </c>
      <c r="AP68" s="30" t="s">
        <v>408</v>
      </c>
      <c r="AQ68" s="30" t="s">
        <v>409</v>
      </c>
      <c r="AR68" s="30" t="s">
        <v>145</v>
      </c>
      <c r="AT68" s="30" t="s">
        <v>99</v>
      </c>
      <c r="AU68" s="30" t="s">
        <v>100</v>
      </c>
      <c r="AV68" s="30" t="s">
        <v>101</v>
      </c>
      <c r="AW68" s="30" t="s">
        <v>102</v>
      </c>
      <c r="AX68" s="34" t="s">
        <v>349</v>
      </c>
      <c r="AY68" s="34" t="s">
        <v>149</v>
      </c>
      <c r="AZ68" s="34"/>
      <c r="BA68" s="34"/>
      <c r="BB68" s="34"/>
      <c r="BC68" s="34">
        <v>0</v>
      </c>
      <c r="BD68" s="34"/>
      <c r="BE68" s="34"/>
      <c r="BF68" s="34" t="b">
        <v>0</v>
      </c>
      <c r="BG68" s="34"/>
      <c r="BH68" s="34"/>
      <c r="BI68" s="34"/>
      <c r="BJ68" s="34"/>
      <c r="BK68" s="34"/>
      <c r="BL68" s="34"/>
      <c r="BM68" s="34" t="s">
        <v>168</v>
      </c>
      <c r="BN68" s="34"/>
      <c r="BO68" s="35"/>
      <c r="BP68" s="35"/>
      <c r="BQ68" s="35" t="s">
        <v>108</v>
      </c>
      <c r="BR68" s="36" t="e">
        <f>VLOOKUP(BQ68, Cat_Indicadores!B:C, 2, FALSE)</f>
        <v>#N/A</v>
      </c>
      <c r="BS68" s="35" t="s">
        <v>5592</v>
      </c>
      <c r="BT68" s="35"/>
    </row>
    <row r="69" spans="1:72">
      <c r="A69" s="29" t="s">
        <v>442</v>
      </c>
      <c r="B69" s="30" t="s">
        <v>443</v>
      </c>
      <c r="C69" s="31">
        <v>46192.600023148145</v>
      </c>
      <c r="D69" s="30">
        <v>92</v>
      </c>
      <c r="E69" s="30" t="s">
        <v>74</v>
      </c>
      <c r="F69" s="30" t="s">
        <v>75</v>
      </c>
      <c r="G69" s="30" t="s">
        <v>133</v>
      </c>
      <c r="H69" s="30" t="s">
        <v>77</v>
      </c>
      <c r="I69" s="30" t="s">
        <v>78</v>
      </c>
      <c r="J69" s="30" t="s">
        <v>79</v>
      </c>
      <c r="K69" s="32">
        <v>800</v>
      </c>
      <c r="L69" s="32" t="s">
        <v>211</v>
      </c>
      <c r="M69" s="30" t="s">
        <v>444</v>
      </c>
      <c r="N69" s="30" t="s">
        <v>445</v>
      </c>
      <c r="O69" s="30" t="s">
        <v>83</v>
      </c>
      <c r="P69" s="33">
        <v>46149</v>
      </c>
      <c r="Q69" s="33">
        <v>46149</v>
      </c>
      <c r="R69" s="32">
        <v>1</v>
      </c>
      <c r="S69" s="30" t="s">
        <v>84</v>
      </c>
      <c r="T69" s="30" t="s">
        <v>337</v>
      </c>
      <c r="U69" s="30" t="s">
        <v>221</v>
      </c>
      <c r="V69" s="30" t="s">
        <v>87</v>
      </c>
      <c r="W69" s="30" t="s">
        <v>88</v>
      </c>
      <c r="X69" s="30" t="s">
        <v>197</v>
      </c>
      <c r="Y69" s="30">
        <v>4</v>
      </c>
      <c r="AB69" s="30" t="b">
        <v>0</v>
      </c>
      <c r="AC69" s="30"/>
      <c r="AD69" s="30" t="b">
        <v>0</v>
      </c>
      <c r="AF69" s="30" t="b">
        <v>0</v>
      </c>
      <c r="AH69" s="32" t="s">
        <v>91</v>
      </c>
      <c r="AI69" s="32"/>
      <c r="AJ69" s="32"/>
      <c r="AK69" s="32"/>
      <c r="AL69" s="30" t="s">
        <v>92</v>
      </c>
      <c r="AM69" s="30" t="s">
        <v>93</v>
      </c>
      <c r="AN69" s="30" t="s">
        <v>199</v>
      </c>
      <c r="AO69" s="30" t="s">
        <v>200</v>
      </c>
      <c r="AP69" s="30" t="s">
        <v>201</v>
      </c>
      <c r="AQ69" s="30" t="s">
        <v>202</v>
      </c>
      <c r="AR69" s="30" t="s">
        <v>145</v>
      </c>
      <c r="AT69" s="30" t="s">
        <v>99</v>
      </c>
      <c r="AU69" s="30" t="s">
        <v>100</v>
      </c>
      <c r="AV69" s="30" t="s">
        <v>101</v>
      </c>
      <c r="AW69" s="30" t="s">
        <v>102</v>
      </c>
      <c r="AX69" s="34" t="s">
        <v>221</v>
      </c>
      <c r="AY69" s="34" t="s">
        <v>149</v>
      </c>
      <c r="AZ69" s="34"/>
      <c r="BA69" s="34"/>
      <c r="BB69" s="34"/>
      <c r="BC69" s="34">
        <v>0</v>
      </c>
      <c r="BD69" s="34"/>
      <c r="BE69" s="34"/>
      <c r="BF69" s="34" t="b">
        <v>0</v>
      </c>
      <c r="BG69" s="34"/>
      <c r="BH69" s="34"/>
      <c r="BI69" s="34"/>
      <c r="BJ69" s="34"/>
      <c r="BK69" s="34"/>
      <c r="BL69" s="34" t="s">
        <v>446</v>
      </c>
      <c r="BM69" s="34" t="s">
        <v>106</v>
      </c>
      <c r="BN69" s="34"/>
      <c r="BO69" s="35"/>
      <c r="BP69" s="35"/>
      <c r="BQ69" s="35" t="s">
        <v>108</v>
      </c>
      <c r="BR69" s="36" t="e">
        <f>VLOOKUP(BQ69, Cat_Indicadores!B:C, 2, FALSE)</f>
        <v>#N/A</v>
      </c>
      <c r="BS69" s="35" t="s">
        <v>5592</v>
      </c>
      <c r="BT69" s="35"/>
    </row>
    <row r="70" spans="1:72">
      <c r="A70" s="29" t="s">
        <v>447</v>
      </c>
      <c r="B70" s="30" t="s">
        <v>448</v>
      </c>
      <c r="C70" s="31">
        <v>46192.618298611109</v>
      </c>
      <c r="D70" s="30">
        <v>92</v>
      </c>
      <c r="E70" s="30" t="s">
        <v>74</v>
      </c>
      <c r="F70" s="30" t="s">
        <v>75</v>
      </c>
      <c r="G70" s="30" t="s">
        <v>133</v>
      </c>
      <c r="H70" s="30" t="s">
        <v>77</v>
      </c>
      <c r="I70" s="30" t="s">
        <v>78</v>
      </c>
      <c r="J70" s="30" t="s">
        <v>79</v>
      </c>
      <c r="K70" s="32">
        <v>800</v>
      </c>
      <c r="L70" s="32" t="s">
        <v>211</v>
      </c>
      <c r="M70" s="30" t="s">
        <v>449</v>
      </c>
      <c r="N70" s="30" t="s">
        <v>402</v>
      </c>
      <c r="O70" s="30" t="s">
        <v>83</v>
      </c>
      <c r="P70" s="33">
        <v>46150</v>
      </c>
      <c r="Q70" s="33">
        <v>46150</v>
      </c>
      <c r="R70" s="32">
        <v>1</v>
      </c>
      <c r="S70" s="30" t="s">
        <v>84</v>
      </c>
      <c r="T70" s="30" t="s">
        <v>337</v>
      </c>
      <c r="U70" s="30" t="s">
        <v>349</v>
      </c>
      <c r="V70" s="30" t="s">
        <v>87</v>
      </c>
      <c r="W70" s="30" t="s">
        <v>88</v>
      </c>
      <c r="X70" s="30" t="s">
        <v>197</v>
      </c>
      <c r="Y70" s="30">
        <v>4</v>
      </c>
      <c r="AB70" s="30" t="b">
        <v>0</v>
      </c>
      <c r="AC70" s="30"/>
      <c r="AD70" s="30" t="b">
        <v>0</v>
      </c>
      <c r="AF70" s="30" t="b">
        <v>0</v>
      </c>
      <c r="AH70" s="32" t="s">
        <v>91</v>
      </c>
      <c r="AI70" s="32"/>
      <c r="AJ70" s="32"/>
      <c r="AK70" s="32"/>
      <c r="AL70" s="30" t="s">
        <v>92</v>
      </c>
      <c r="AM70" s="30" t="s">
        <v>93</v>
      </c>
      <c r="AN70" s="30" t="s">
        <v>94</v>
      </c>
      <c r="AO70" s="30" t="s">
        <v>407</v>
      </c>
      <c r="AP70" s="30" t="s">
        <v>408</v>
      </c>
      <c r="AQ70" s="30" t="s">
        <v>409</v>
      </c>
      <c r="AR70" s="30" t="s">
        <v>145</v>
      </c>
      <c r="AT70" s="30" t="s">
        <v>99</v>
      </c>
      <c r="AU70" s="30" t="s">
        <v>100</v>
      </c>
      <c r="AV70" s="30" t="s">
        <v>101</v>
      </c>
      <c r="AW70" s="30" t="s">
        <v>102</v>
      </c>
      <c r="AX70" s="34" t="s">
        <v>349</v>
      </c>
      <c r="AY70" s="34" t="s">
        <v>149</v>
      </c>
      <c r="AZ70" s="34" t="s">
        <v>149</v>
      </c>
      <c r="BA70" s="34"/>
      <c r="BB70" s="34"/>
      <c r="BC70" s="34">
        <v>0</v>
      </c>
      <c r="BD70" s="34"/>
      <c r="BE70" s="34"/>
      <c r="BF70" s="34" t="b">
        <v>0</v>
      </c>
      <c r="BG70" s="34"/>
      <c r="BH70" s="34"/>
      <c r="BI70" s="34"/>
      <c r="BJ70" s="34"/>
      <c r="BK70" s="34"/>
      <c r="BL70" s="34"/>
      <c r="BM70" s="34" t="s">
        <v>168</v>
      </c>
      <c r="BN70" s="34"/>
      <c r="BO70" s="35"/>
      <c r="BP70" s="35"/>
      <c r="BQ70" s="35" t="s">
        <v>108</v>
      </c>
      <c r="BR70" s="36" t="e">
        <f>VLOOKUP(BQ70, Cat_Indicadores!B:C, 2, FALSE)</f>
        <v>#N/A</v>
      </c>
      <c r="BS70" s="35" t="s">
        <v>5592</v>
      </c>
      <c r="BT70" s="35"/>
    </row>
    <row r="71" spans="1:72">
      <c r="A71" s="29" t="s">
        <v>450</v>
      </c>
      <c r="B71" s="30" t="s">
        <v>451</v>
      </c>
      <c r="C71" s="31">
        <v>46192.6250462963</v>
      </c>
      <c r="D71" s="30">
        <v>92</v>
      </c>
      <c r="E71" s="30" t="s">
        <v>74</v>
      </c>
      <c r="F71" s="30" t="s">
        <v>75</v>
      </c>
      <c r="G71" s="30" t="s">
        <v>133</v>
      </c>
      <c r="H71" s="30" t="s">
        <v>77</v>
      </c>
      <c r="I71" s="30" t="s">
        <v>78</v>
      </c>
      <c r="J71" s="30" t="s">
        <v>79</v>
      </c>
      <c r="K71" s="32">
        <v>800</v>
      </c>
      <c r="L71" s="32" t="s">
        <v>211</v>
      </c>
      <c r="M71" s="30" t="s">
        <v>452</v>
      </c>
      <c r="N71" s="30" t="s">
        <v>453</v>
      </c>
      <c r="O71" s="30" t="s">
        <v>83</v>
      </c>
      <c r="P71" s="33">
        <v>46150</v>
      </c>
      <c r="Q71" s="33">
        <v>46150</v>
      </c>
      <c r="R71" s="32">
        <v>1</v>
      </c>
      <c r="S71" s="30" t="s">
        <v>264</v>
      </c>
      <c r="T71" s="30" t="s">
        <v>265</v>
      </c>
      <c r="U71" s="30" t="s">
        <v>86</v>
      </c>
      <c r="V71" s="30" t="s">
        <v>87</v>
      </c>
      <c r="W71" s="30" t="s">
        <v>88</v>
      </c>
      <c r="X71" s="30" t="s">
        <v>197</v>
      </c>
      <c r="Y71" s="30">
        <v>5</v>
      </c>
      <c r="AB71" s="30" t="b">
        <v>0</v>
      </c>
      <c r="AC71" s="30"/>
      <c r="AD71" s="30" t="b">
        <v>1</v>
      </c>
      <c r="AE71" s="30">
        <v>1</v>
      </c>
      <c r="AF71" s="30" t="b">
        <v>0</v>
      </c>
      <c r="AH71" s="32" t="s">
        <v>91</v>
      </c>
      <c r="AI71" s="32"/>
      <c r="AJ71" s="32"/>
      <c r="AK71" s="32"/>
      <c r="AL71" s="30" t="s">
        <v>92</v>
      </c>
      <c r="AM71" s="30" t="s">
        <v>251</v>
      </c>
      <c r="AN71" s="30" t="s">
        <v>266</v>
      </c>
      <c r="AO71" s="30" t="s">
        <v>267</v>
      </c>
      <c r="AP71" s="30" t="s">
        <v>268</v>
      </c>
      <c r="AQ71" s="30" t="s">
        <v>269</v>
      </c>
      <c r="AR71" s="30" t="s">
        <v>145</v>
      </c>
      <c r="AT71" s="30" t="s">
        <v>99</v>
      </c>
      <c r="AU71" s="30" t="s">
        <v>100</v>
      </c>
      <c r="AV71" s="30" t="s">
        <v>101</v>
      </c>
      <c r="AW71" s="30" t="s">
        <v>102</v>
      </c>
      <c r="AX71" s="34" t="s">
        <v>86</v>
      </c>
      <c r="AY71" s="34" t="s">
        <v>149</v>
      </c>
      <c r="AZ71" s="34" t="s">
        <v>149</v>
      </c>
      <c r="BA71" s="34"/>
      <c r="BB71" s="34"/>
      <c r="BC71" s="34">
        <v>0</v>
      </c>
      <c r="BD71" s="34"/>
      <c r="BE71" s="34"/>
      <c r="BF71" s="34" t="b">
        <v>0</v>
      </c>
      <c r="BG71" s="34"/>
      <c r="BH71" s="34"/>
      <c r="BI71" s="34"/>
      <c r="BJ71" s="34"/>
      <c r="BK71" s="34"/>
      <c r="BL71" s="34"/>
      <c r="BM71" s="34" t="s">
        <v>168</v>
      </c>
      <c r="BN71" s="34"/>
      <c r="BO71" s="35"/>
      <c r="BP71" s="35"/>
      <c r="BQ71" s="35" t="s">
        <v>108</v>
      </c>
      <c r="BR71" s="36" t="e">
        <f>VLOOKUP(BQ71, Cat_Indicadores!B:C, 2, FALSE)</f>
        <v>#N/A</v>
      </c>
      <c r="BS71" s="35" t="s">
        <v>5592</v>
      </c>
      <c r="BT71" s="35"/>
    </row>
    <row r="72" spans="1:72">
      <c r="A72" s="29" t="s">
        <v>454</v>
      </c>
      <c r="B72" s="30" t="s">
        <v>455</v>
      </c>
      <c r="C72" s="31">
        <v>46192.657129629632</v>
      </c>
      <c r="D72" s="30">
        <v>92</v>
      </c>
      <c r="E72" s="30" t="s">
        <v>74</v>
      </c>
      <c r="F72" s="30" t="s">
        <v>75</v>
      </c>
      <c r="G72" s="30" t="s">
        <v>133</v>
      </c>
      <c r="H72" s="30" t="s">
        <v>77</v>
      </c>
      <c r="I72" s="30" t="s">
        <v>78</v>
      </c>
      <c r="J72" s="30" t="s">
        <v>79</v>
      </c>
      <c r="K72" s="32">
        <v>800</v>
      </c>
      <c r="L72" s="32" t="s">
        <v>211</v>
      </c>
      <c r="M72" s="30" t="s">
        <v>456</v>
      </c>
      <c r="N72" s="30" t="s">
        <v>402</v>
      </c>
      <c r="O72" s="30" t="s">
        <v>83</v>
      </c>
      <c r="P72" s="33">
        <v>46156</v>
      </c>
      <c r="Q72" s="33">
        <v>46156</v>
      </c>
      <c r="R72" s="32">
        <v>1</v>
      </c>
      <c r="S72" s="30" t="s">
        <v>84</v>
      </c>
      <c r="T72" s="30" t="s">
        <v>337</v>
      </c>
      <c r="U72" s="30" t="s">
        <v>349</v>
      </c>
      <c r="V72" s="30" t="s">
        <v>87</v>
      </c>
      <c r="W72" s="30" t="s">
        <v>88</v>
      </c>
      <c r="X72" s="30" t="s">
        <v>197</v>
      </c>
      <c r="Y72" s="30">
        <v>6</v>
      </c>
      <c r="AB72" s="30" t="b">
        <v>0</v>
      </c>
      <c r="AC72" s="30"/>
      <c r="AD72" s="30" t="b">
        <v>0</v>
      </c>
      <c r="AF72" s="30" t="b">
        <v>0</v>
      </c>
      <c r="AH72" s="32" t="s">
        <v>91</v>
      </c>
      <c r="AI72" s="32"/>
      <c r="AJ72" s="32"/>
      <c r="AK72" s="32"/>
      <c r="AL72" s="30" t="s">
        <v>92</v>
      </c>
      <c r="AM72" s="30" t="s">
        <v>93</v>
      </c>
      <c r="AN72" s="30" t="s">
        <v>94</v>
      </c>
      <c r="AO72" s="30" t="s">
        <v>407</v>
      </c>
      <c r="AP72" s="30" t="s">
        <v>408</v>
      </c>
      <c r="AQ72" s="30" t="s">
        <v>409</v>
      </c>
      <c r="AR72" s="30" t="s">
        <v>145</v>
      </c>
      <c r="AT72" s="30" t="s">
        <v>99</v>
      </c>
      <c r="AU72" s="30" t="s">
        <v>100</v>
      </c>
      <c r="AV72" s="30" t="s">
        <v>101</v>
      </c>
      <c r="AW72" s="30" t="s">
        <v>102</v>
      </c>
      <c r="AX72" s="34" t="s">
        <v>349</v>
      </c>
      <c r="AY72" s="34" t="s">
        <v>149</v>
      </c>
      <c r="AZ72" s="34" t="s">
        <v>149</v>
      </c>
      <c r="BA72" s="34"/>
      <c r="BB72" s="34"/>
      <c r="BC72" s="34">
        <v>0</v>
      </c>
      <c r="BD72" s="34"/>
      <c r="BE72" s="34"/>
      <c r="BF72" s="34" t="b">
        <v>0</v>
      </c>
      <c r="BG72" s="34"/>
      <c r="BH72" s="34"/>
      <c r="BI72" s="34"/>
      <c r="BJ72" s="34"/>
      <c r="BK72" s="34"/>
      <c r="BL72" s="34"/>
      <c r="BM72" s="34" t="s">
        <v>168</v>
      </c>
      <c r="BN72" s="34"/>
      <c r="BO72" s="35"/>
      <c r="BP72" s="35"/>
      <c r="BQ72" s="35" t="s">
        <v>108</v>
      </c>
      <c r="BR72" s="36" t="e">
        <f>VLOOKUP(BQ72, Cat_Indicadores!B:C, 2, FALSE)</f>
        <v>#N/A</v>
      </c>
      <c r="BS72" s="35" t="s">
        <v>5592</v>
      </c>
      <c r="BT72" s="35"/>
    </row>
    <row r="73" spans="1:72">
      <c r="A73" s="29" t="s">
        <v>457</v>
      </c>
      <c r="B73" s="30" t="s">
        <v>458</v>
      </c>
      <c r="C73" s="31">
        <v>46192.659733796296</v>
      </c>
      <c r="D73" s="30">
        <v>92</v>
      </c>
      <c r="E73" s="30" t="s">
        <v>74</v>
      </c>
      <c r="F73" s="30" t="s">
        <v>75</v>
      </c>
      <c r="G73" s="30" t="s">
        <v>133</v>
      </c>
      <c r="H73" s="30" t="s">
        <v>77</v>
      </c>
      <c r="I73" s="30" t="s">
        <v>78</v>
      </c>
      <c r="J73" s="30" t="s">
        <v>79</v>
      </c>
      <c r="K73" s="32">
        <v>800</v>
      </c>
      <c r="L73" s="32" t="s">
        <v>211</v>
      </c>
      <c r="M73" s="30" t="s">
        <v>449</v>
      </c>
      <c r="N73" s="30" t="s">
        <v>402</v>
      </c>
      <c r="O73" s="30" t="s">
        <v>83</v>
      </c>
      <c r="P73" s="33">
        <v>46155</v>
      </c>
      <c r="Q73" s="33">
        <v>46155</v>
      </c>
      <c r="R73" s="32">
        <v>1</v>
      </c>
      <c r="S73" s="30" t="s">
        <v>84</v>
      </c>
      <c r="T73" s="30" t="s">
        <v>337</v>
      </c>
      <c r="U73" s="30" t="s">
        <v>349</v>
      </c>
      <c r="V73" s="30" t="s">
        <v>87</v>
      </c>
      <c r="W73" s="30" t="s">
        <v>88</v>
      </c>
      <c r="X73" s="30" t="s">
        <v>197</v>
      </c>
      <c r="Y73" s="30">
        <v>6</v>
      </c>
      <c r="AB73" s="30" t="b">
        <v>0</v>
      </c>
      <c r="AC73" s="30"/>
      <c r="AD73" s="30" t="b">
        <v>0</v>
      </c>
      <c r="AF73" s="30" t="b">
        <v>0</v>
      </c>
      <c r="AH73" s="32" t="s">
        <v>91</v>
      </c>
      <c r="AI73" s="32"/>
      <c r="AJ73" s="32"/>
      <c r="AK73" s="32"/>
      <c r="AL73" s="30" t="s">
        <v>92</v>
      </c>
      <c r="AM73" s="30" t="s">
        <v>93</v>
      </c>
      <c r="AN73" s="30" t="s">
        <v>94</v>
      </c>
      <c r="AO73" s="30" t="s">
        <v>407</v>
      </c>
      <c r="AP73" s="30" t="s">
        <v>408</v>
      </c>
      <c r="AQ73" s="30" t="s">
        <v>409</v>
      </c>
      <c r="AR73" s="30" t="s">
        <v>145</v>
      </c>
      <c r="AT73" s="30" t="s">
        <v>99</v>
      </c>
      <c r="AU73" s="30" t="s">
        <v>100</v>
      </c>
      <c r="AV73" s="30" t="s">
        <v>101</v>
      </c>
      <c r="AW73" s="30" t="s">
        <v>102</v>
      </c>
      <c r="AX73" s="34" t="s">
        <v>349</v>
      </c>
      <c r="AY73" s="34" t="s">
        <v>149</v>
      </c>
      <c r="AZ73" s="34" t="s">
        <v>149</v>
      </c>
      <c r="BA73" s="34"/>
      <c r="BB73" s="34"/>
      <c r="BC73" s="34">
        <v>0</v>
      </c>
      <c r="BD73" s="34"/>
      <c r="BE73" s="34"/>
      <c r="BF73" s="34" t="b">
        <v>0</v>
      </c>
      <c r="BG73" s="34"/>
      <c r="BH73" s="34"/>
      <c r="BI73" s="34"/>
      <c r="BJ73" s="34"/>
      <c r="BK73" s="34"/>
      <c r="BL73" s="34"/>
      <c r="BM73" s="34" t="s">
        <v>168</v>
      </c>
      <c r="BN73" s="34"/>
      <c r="BO73" s="35"/>
      <c r="BP73" s="35"/>
      <c r="BQ73" s="35" t="s">
        <v>108</v>
      </c>
      <c r="BR73" s="36" t="e">
        <f>VLOOKUP(BQ73, Cat_Indicadores!B:C, 2, FALSE)</f>
        <v>#N/A</v>
      </c>
      <c r="BS73" s="35" t="s">
        <v>5592</v>
      </c>
      <c r="BT73" s="35"/>
    </row>
    <row r="74" spans="1:72">
      <c r="A74" s="29" t="s">
        <v>459</v>
      </c>
      <c r="B74" s="30" t="s">
        <v>460</v>
      </c>
      <c r="C74" s="31">
        <v>46195.417314814818</v>
      </c>
      <c r="D74" s="30">
        <v>92</v>
      </c>
      <c r="E74" s="30" t="s">
        <v>74</v>
      </c>
      <c r="F74" s="30" t="s">
        <v>75</v>
      </c>
      <c r="G74" s="30" t="s">
        <v>133</v>
      </c>
      <c r="H74" s="30" t="s">
        <v>77</v>
      </c>
      <c r="I74" s="30" t="s">
        <v>78</v>
      </c>
      <c r="J74" s="30" t="s">
        <v>79</v>
      </c>
      <c r="K74" s="32">
        <v>800</v>
      </c>
      <c r="L74" s="32" t="s">
        <v>80</v>
      </c>
      <c r="M74" s="30" t="s">
        <v>461</v>
      </c>
      <c r="N74" s="30" t="s">
        <v>462</v>
      </c>
      <c r="O74" s="30" t="s">
        <v>83</v>
      </c>
      <c r="P74" s="33">
        <v>46155</v>
      </c>
      <c r="Q74" s="33">
        <v>46155</v>
      </c>
      <c r="R74" s="32">
        <v>1</v>
      </c>
      <c r="S74" s="30" t="s">
        <v>463</v>
      </c>
      <c r="T74" s="30" t="s">
        <v>464</v>
      </c>
      <c r="U74" s="30" t="s">
        <v>160</v>
      </c>
      <c r="V74" s="30" t="s">
        <v>87</v>
      </c>
      <c r="W74" s="30" t="s">
        <v>88</v>
      </c>
      <c r="X74" s="30" t="s">
        <v>197</v>
      </c>
      <c r="Y74" s="30">
        <v>3</v>
      </c>
      <c r="AB74" s="30" t="b">
        <v>0</v>
      </c>
      <c r="AC74" s="30"/>
      <c r="AD74" s="30" t="b">
        <v>0</v>
      </c>
      <c r="AF74" s="30" t="b">
        <v>0</v>
      </c>
      <c r="AH74" s="32" t="s">
        <v>91</v>
      </c>
      <c r="AI74" s="32"/>
      <c r="AJ74" s="32"/>
      <c r="AK74" s="32"/>
      <c r="AL74" s="30" t="s">
        <v>92</v>
      </c>
      <c r="AM74" s="30" t="s">
        <v>93</v>
      </c>
      <c r="AN74" s="30" t="s">
        <v>199</v>
      </c>
      <c r="AO74" s="30" t="s">
        <v>200</v>
      </c>
      <c r="AP74" s="30" t="s">
        <v>201</v>
      </c>
      <c r="AQ74" s="30" t="s">
        <v>202</v>
      </c>
      <c r="AR74" s="30" t="s">
        <v>145</v>
      </c>
      <c r="AT74" s="30" t="s">
        <v>99</v>
      </c>
      <c r="AU74" s="30" t="s">
        <v>100</v>
      </c>
      <c r="AV74" s="30" t="s">
        <v>101</v>
      </c>
      <c r="AW74" s="30" t="s">
        <v>102</v>
      </c>
      <c r="AX74" s="34" t="s">
        <v>160</v>
      </c>
      <c r="AY74" s="34" t="s">
        <v>149</v>
      </c>
      <c r="AZ74" s="34" t="s">
        <v>149</v>
      </c>
      <c r="BA74" s="34"/>
      <c r="BB74" s="34"/>
      <c r="BC74" s="34">
        <v>0</v>
      </c>
      <c r="BD74" s="34"/>
      <c r="BE74" s="34"/>
      <c r="BF74" s="34" t="b">
        <v>0</v>
      </c>
      <c r="BG74" s="34"/>
      <c r="BH74" s="34"/>
      <c r="BI74" s="34"/>
      <c r="BJ74" s="34"/>
      <c r="BK74" s="34"/>
      <c r="BL74" s="34"/>
      <c r="BM74" s="34" t="s">
        <v>168</v>
      </c>
      <c r="BN74" s="34"/>
      <c r="BO74" s="35"/>
      <c r="BP74" s="35"/>
      <c r="BQ74" s="35" t="s">
        <v>108</v>
      </c>
      <c r="BR74" s="36" t="e">
        <f>VLOOKUP(BQ74, Cat_Indicadores!B:C, 2, FALSE)</f>
        <v>#N/A</v>
      </c>
      <c r="BS74" s="35" t="s">
        <v>5592</v>
      </c>
      <c r="BT74" s="35"/>
    </row>
    <row r="75" spans="1:72">
      <c r="A75" s="29" t="s">
        <v>465</v>
      </c>
      <c r="B75" s="30" t="s">
        <v>466</v>
      </c>
      <c r="C75" s="31">
        <v>46195.425081018519</v>
      </c>
      <c r="D75" s="30">
        <v>92</v>
      </c>
      <c r="E75" s="30" t="s">
        <v>74</v>
      </c>
      <c r="F75" s="30" t="s">
        <v>75</v>
      </c>
      <c r="G75" s="30" t="s">
        <v>133</v>
      </c>
      <c r="H75" s="30" t="s">
        <v>77</v>
      </c>
      <c r="I75" s="30" t="s">
        <v>78</v>
      </c>
      <c r="J75" s="30" t="s">
        <v>79</v>
      </c>
      <c r="K75" s="32">
        <v>800</v>
      </c>
      <c r="L75" s="32" t="s">
        <v>211</v>
      </c>
      <c r="M75" s="30" t="s">
        <v>467</v>
      </c>
      <c r="N75" s="30" t="s">
        <v>468</v>
      </c>
      <c r="O75" s="30" t="s">
        <v>83</v>
      </c>
      <c r="P75" s="33">
        <v>46159</v>
      </c>
      <c r="Q75" s="33">
        <v>46159</v>
      </c>
      <c r="R75" s="32">
        <v>1</v>
      </c>
      <c r="S75" s="30" t="s">
        <v>249</v>
      </c>
      <c r="T75" s="30" t="s">
        <v>313</v>
      </c>
      <c r="U75" s="30" t="s">
        <v>221</v>
      </c>
      <c r="V75" s="30" t="s">
        <v>87</v>
      </c>
      <c r="W75" s="30" t="s">
        <v>88</v>
      </c>
      <c r="X75" s="30" t="s">
        <v>197</v>
      </c>
      <c r="Y75" s="30">
        <v>4</v>
      </c>
      <c r="AB75" s="30" t="b">
        <v>0</v>
      </c>
      <c r="AC75" s="30"/>
      <c r="AD75" s="30" t="b">
        <v>1</v>
      </c>
      <c r="AE75" s="30">
        <v>1</v>
      </c>
      <c r="AF75" s="30" t="b">
        <v>0</v>
      </c>
      <c r="AH75" s="32" t="s">
        <v>91</v>
      </c>
      <c r="AI75" s="32"/>
      <c r="AJ75" s="32"/>
      <c r="AK75" s="32"/>
      <c r="AL75" s="30" t="s">
        <v>92</v>
      </c>
      <c r="AM75" s="30" t="s">
        <v>93</v>
      </c>
      <c r="AN75" s="30" t="s">
        <v>94</v>
      </c>
      <c r="AO75" s="30" t="s">
        <v>407</v>
      </c>
      <c r="AP75" s="30" t="s">
        <v>408</v>
      </c>
      <c r="AQ75" s="30" t="s">
        <v>409</v>
      </c>
      <c r="AR75" s="30" t="s">
        <v>145</v>
      </c>
      <c r="AT75" s="30" t="s">
        <v>99</v>
      </c>
      <c r="AU75" s="30" t="s">
        <v>100</v>
      </c>
      <c r="AV75" s="30" t="s">
        <v>101</v>
      </c>
      <c r="AW75" s="30" t="s">
        <v>102</v>
      </c>
      <c r="AX75" s="34" t="s">
        <v>221</v>
      </c>
      <c r="AY75" s="34" t="s">
        <v>149</v>
      </c>
      <c r="AZ75" s="34" t="s">
        <v>149</v>
      </c>
      <c r="BA75" s="34"/>
      <c r="BB75" s="34"/>
      <c r="BC75" s="34">
        <v>0</v>
      </c>
      <c r="BD75" s="34"/>
      <c r="BE75" s="34"/>
      <c r="BF75" s="34" t="b">
        <v>0</v>
      </c>
      <c r="BG75" s="34"/>
      <c r="BH75" s="34"/>
      <c r="BI75" s="34"/>
      <c r="BJ75" s="34"/>
      <c r="BK75" s="34"/>
      <c r="BL75" s="34"/>
      <c r="BM75" s="34" t="s">
        <v>168</v>
      </c>
      <c r="BN75" s="34"/>
      <c r="BO75" s="35"/>
      <c r="BP75" s="35"/>
      <c r="BQ75" s="35" t="s">
        <v>108</v>
      </c>
      <c r="BR75" s="36" t="e">
        <f>VLOOKUP(BQ75, Cat_Indicadores!B:C, 2, FALSE)</f>
        <v>#N/A</v>
      </c>
      <c r="BS75" s="35" t="s">
        <v>5592</v>
      </c>
      <c r="BT75" s="35"/>
    </row>
    <row r="76" spans="1:72">
      <c r="A76" s="29" t="s">
        <v>469</v>
      </c>
      <c r="B76" s="30" t="s">
        <v>470</v>
      </c>
      <c r="C76" s="31">
        <v>46195.428402777776</v>
      </c>
      <c r="D76" s="30">
        <v>92</v>
      </c>
      <c r="E76" s="30" t="s">
        <v>74</v>
      </c>
      <c r="F76" s="30" t="s">
        <v>75</v>
      </c>
      <c r="G76" s="30" t="s">
        <v>133</v>
      </c>
      <c r="H76" s="30" t="s">
        <v>77</v>
      </c>
      <c r="I76" s="30" t="s">
        <v>78</v>
      </c>
      <c r="J76" s="30" t="s">
        <v>79</v>
      </c>
      <c r="K76" s="32">
        <v>800</v>
      </c>
      <c r="L76" s="32" t="s">
        <v>211</v>
      </c>
      <c r="M76" s="30" t="s">
        <v>471</v>
      </c>
      <c r="N76" s="30" t="s">
        <v>402</v>
      </c>
      <c r="O76" s="30" t="s">
        <v>83</v>
      </c>
      <c r="P76" s="33">
        <v>46162</v>
      </c>
      <c r="Q76" s="33">
        <v>46162</v>
      </c>
      <c r="R76" s="32">
        <v>1</v>
      </c>
      <c r="S76" s="30" t="s">
        <v>84</v>
      </c>
      <c r="T76" s="30" t="s">
        <v>337</v>
      </c>
      <c r="U76" s="30" t="s">
        <v>349</v>
      </c>
      <c r="V76" s="30" t="s">
        <v>87</v>
      </c>
      <c r="W76" s="30" t="s">
        <v>88</v>
      </c>
      <c r="X76" s="30" t="s">
        <v>197</v>
      </c>
      <c r="Y76" s="30">
        <v>5</v>
      </c>
      <c r="AB76" s="30" t="b">
        <v>0</v>
      </c>
      <c r="AC76" s="30"/>
      <c r="AD76" s="30" t="b">
        <v>0</v>
      </c>
      <c r="AF76" s="30" t="b">
        <v>0</v>
      </c>
      <c r="AH76" s="32" t="s">
        <v>91</v>
      </c>
      <c r="AI76" s="32"/>
      <c r="AJ76" s="32"/>
      <c r="AK76" s="32"/>
      <c r="AL76" s="30" t="s">
        <v>92</v>
      </c>
      <c r="AM76" s="30" t="s">
        <v>93</v>
      </c>
      <c r="AN76" s="30" t="s">
        <v>94</v>
      </c>
      <c r="AO76" s="30" t="s">
        <v>407</v>
      </c>
      <c r="AP76" s="30" t="s">
        <v>408</v>
      </c>
      <c r="AQ76" s="30" t="s">
        <v>409</v>
      </c>
      <c r="AR76" s="30" t="s">
        <v>145</v>
      </c>
      <c r="AT76" s="30" t="s">
        <v>99</v>
      </c>
      <c r="AU76" s="30" t="s">
        <v>100</v>
      </c>
      <c r="AV76" s="30" t="s">
        <v>101</v>
      </c>
      <c r="AW76" s="30" t="s">
        <v>102</v>
      </c>
      <c r="AX76" s="34" t="s">
        <v>349</v>
      </c>
      <c r="AY76" s="34" t="s">
        <v>149</v>
      </c>
      <c r="AZ76" s="34" t="s">
        <v>149</v>
      </c>
      <c r="BA76" s="34"/>
      <c r="BB76" s="34"/>
      <c r="BC76" s="34">
        <v>0</v>
      </c>
      <c r="BD76" s="34"/>
      <c r="BE76" s="34"/>
      <c r="BF76" s="34" t="b">
        <v>0</v>
      </c>
      <c r="BG76" s="34"/>
      <c r="BH76" s="34"/>
      <c r="BI76" s="34"/>
      <c r="BJ76" s="34"/>
      <c r="BK76" s="34"/>
      <c r="BL76" s="34"/>
      <c r="BM76" s="34" t="s">
        <v>168</v>
      </c>
      <c r="BN76" s="34"/>
      <c r="BO76" s="35"/>
      <c r="BP76" s="35"/>
      <c r="BQ76" s="35" t="s">
        <v>108</v>
      </c>
      <c r="BR76" s="36" t="e">
        <f>VLOOKUP(BQ76, Cat_Indicadores!B:C, 2, FALSE)</f>
        <v>#N/A</v>
      </c>
      <c r="BS76" s="35" t="s">
        <v>5592</v>
      </c>
      <c r="BT76" s="35"/>
    </row>
    <row r="77" spans="1:72">
      <c r="A77" s="29" t="s">
        <v>472</v>
      </c>
      <c r="B77" s="30" t="s">
        <v>473</v>
      </c>
      <c r="C77" s="31">
        <v>46195.431273148148</v>
      </c>
      <c r="D77" s="30">
        <v>92</v>
      </c>
      <c r="E77" s="30" t="s">
        <v>74</v>
      </c>
      <c r="F77" s="30" t="s">
        <v>75</v>
      </c>
      <c r="G77" s="30" t="s">
        <v>133</v>
      </c>
      <c r="H77" s="30" t="s">
        <v>77</v>
      </c>
      <c r="I77" s="30" t="s">
        <v>78</v>
      </c>
      <c r="J77" s="30" t="s">
        <v>79</v>
      </c>
      <c r="K77" s="32">
        <v>800</v>
      </c>
      <c r="L77" s="32" t="s">
        <v>211</v>
      </c>
      <c r="M77" s="30" t="s">
        <v>474</v>
      </c>
      <c r="N77" s="30" t="s">
        <v>475</v>
      </c>
      <c r="O77" s="30" t="s">
        <v>83</v>
      </c>
      <c r="P77" s="33">
        <v>46162</v>
      </c>
      <c r="Q77" s="33">
        <v>46162</v>
      </c>
      <c r="R77" s="32">
        <v>1</v>
      </c>
      <c r="S77" s="30" t="s">
        <v>214</v>
      </c>
      <c r="T77" s="30" t="s">
        <v>333</v>
      </c>
      <c r="U77" s="30" t="s">
        <v>221</v>
      </c>
      <c r="V77" s="30" t="s">
        <v>87</v>
      </c>
      <c r="W77" s="30" t="s">
        <v>88</v>
      </c>
      <c r="X77" s="30" t="s">
        <v>197</v>
      </c>
      <c r="Y77" s="30">
        <v>5</v>
      </c>
      <c r="AB77" s="30" t="b">
        <v>0</v>
      </c>
      <c r="AC77" s="30"/>
      <c r="AD77" s="30" t="b">
        <v>0</v>
      </c>
      <c r="AF77" s="30" t="b">
        <v>0</v>
      </c>
      <c r="AH77" s="32" t="s">
        <v>91</v>
      </c>
      <c r="AI77" s="32"/>
      <c r="AJ77" s="32"/>
      <c r="AK77" s="32"/>
      <c r="AL77" s="30" t="s">
        <v>92</v>
      </c>
      <c r="AM77" s="30" t="s">
        <v>93</v>
      </c>
      <c r="AN77" s="30" t="s">
        <v>199</v>
      </c>
      <c r="AO77" s="30" t="s">
        <v>200</v>
      </c>
      <c r="AP77" s="30" t="s">
        <v>201</v>
      </c>
      <c r="AQ77" s="30" t="s">
        <v>202</v>
      </c>
      <c r="AR77" s="30" t="s">
        <v>145</v>
      </c>
      <c r="AT77" s="30" t="s">
        <v>99</v>
      </c>
      <c r="AU77" s="30" t="s">
        <v>100</v>
      </c>
      <c r="AV77" s="30" t="s">
        <v>101</v>
      </c>
      <c r="AW77" s="30" t="s">
        <v>102</v>
      </c>
      <c r="AX77" s="34" t="s">
        <v>221</v>
      </c>
      <c r="AY77" s="34" t="s">
        <v>149</v>
      </c>
      <c r="AZ77" s="34" t="s">
        <v>149</v>
      </c>
      <c r="BA77" s="34"/>
      <c r="BB77" s="34"/>
      <c r="BC77" s="34">
        <v>0</v>
      </c>
      <c r="BD77" s="34"/>
      <c r="BE77" s="34"/>
      <c r="BF77" s="34" t="b">
        <v>0</v>
      </c>
      <c r="BG77" s="34"/>
      <c r="BH77" s="34"/>
      <c r="BI77" s="34"/>
      <c r="BJ77" s="34"/>
      <c r="BK77" s="34"/>
      <c r="BL77" s="34"/>
      <c r="BM77" s="34" t="s">
        <v>168</v>
      </c>
      <c r="BN77" s="34"/>
      <c r="BO77" s="35"/>
      <c r="BP77" s="35"/>
      <c r="BQ77" s="35" t="s">
        <v>108</v>
      </c>
      <c r="BR77" s="36" t="e">
        <f>VLOOKUP(BQ77, Cat_Indicadores!B:C, 2, FALSE)</f>
        <v>#N/A</v>
      </c>
      <c r="BS77" s="35" t="s">
        <v>5592</v>
      </c>
      <c r="BT77" s="35"/>
    </row>
    <row r="78" spans="1:72">
      <c r="A78" s="29" t="s">
        <v>476</v>
      </c>
      <c r="B78" s="30" t="s">
        <v>477</v>
      </c>
      <c r="C78" s="31">
        <v>46195.439108796294</v>
      </c>
      <c r="D78" s="30">
        <v>92</v>
      </c>
      <c r="E78" s="30" t="s">
        <v>74</v>
      </c>
      <c r="F78" s="30" t="s">
        <v>75</v>
      </c>
      <c r="G78" s="30" t="s">
        <v>133</v>
      </c>
      <c r="H78" s="30" t="s">
        <v>77</v>
      </c>
      <c r="I78" s="30" t="s">
        <v>78</v>
      </c>
      <c r="J78" s="30" t="s">
        <v>79</v>
      </c>
      <c r="K78" s="32">
        <v>800</v>
      </c>
      <c r="L78" s="32" t="s">
        <v>80</v>
      </c>
      <c r="M78" s="30" t="s">
        <v>478</v>
      </c>
      <c r="N78" s="30" t="s">
        <v>479</v>
      </c>
      <c r="O78" s="30" t="s">
        <v>83</v>
      </c>
      <c r="P78" s="33">
        <v>46162</v>
      </c>
      <c r="Q78" s="33">
        <v>46162</v>
      </c>
      <c r="R78" s="32">
        <v>1</v>
      </c>
      <c r="S78" s="30" t="s">
        <v>84</v>
      </c>
      <c r="T78" s="30" t="s">
        <v>117</v>
      </c>
      <c r="U78" s="30" t="s">
        <v>480</v>
      </c>
      <c r="V78" s="30" t="s">
        <v>87</v>
      </c>
      <c r="W78" s="30" t="s">
        <v>88</v>
      </c>
      <c r="X78" s="30" t="s">
        <v>197</v>
      </c>
      <c r="Y78" s="30">
        <v>6</v>
      </c>
      <c r="AB78" s="30" t="b">
        <v>0</v>
      </c>
      <c r="AC78" s="30"/>
      <c r="AD78" s="30" t="b">
        <v>0</v>
      </c>
      <c r="AF78" s="30" t="b">
        <v>0</v>
      </c>
      <c r="AH78" s="32" t="s">
        <v>91</v>
      </c>
      <c r="AI78" s="32"/>
      <c r="AJ78" s="32"/>
      <c r="AK78" s="32"/>
      <c r="AL78" s="30" t="s">
        <v>92</v>
      </c>
      <c r="AM78" s="30" t="s">
        <v>93</v>
      </c>
      <c r="AN78" s="30" t="s">
        <v>94</v>
      </c>
      <c r="AO78" s="30" t="s">
        <v>407</v>
      </c>
      <c r="AP78" s="30" t="s">
        <v>408</v>
      </c>
      <c r="AQ78" s="30" t="s">
        <v>409</v>
      </c>
      <c r="AR78" s="30" t="s">
        <v>145</v>
      </c>
      <c r="AT78" s="30" t="s">
        <v>99</v>
      </c>
      <c r="AU78" s="30" t="s">
        <v>100</v>
      </c>
      <c r="AV78" s="30" t="s">
        <v>101</v>
      </c>
      <c r="AW78" s="30" t="s">
        <v>102</v>
      </c>
      <c r="AX78" s="34" t="s">
        <v>480</v>
      </c>
      <c r="AY78" s="34" t="s">
        <v>149</v>
      </c>
      <c r="AZ78" s="34" t="s">
        <v>149</v>
      </c>
      <c r="BA78" s="34"/>
      <c r="BB78" s="34"/>
      <c r="BC78" s="34">
        <v>0</v>
      </c>
      <c r="BD78" s="34"/>
      <c r="BE78" s="34"/>
      <c r="BF78" s="34" t="b">
        <v>0</v>
      </c>
      <c r="BG78" s="34"/>
      <c r="BH78" s="34"/>
      <c r="BI78" s="34"/>
      <c r="BJ78" s="34"/>
      <c r="BK78" s="34"/>
      <c r="BL78" s="34"/>
      <c r="BM78" s="34" t="s">
        <v>168</v>
      </c>
      <c r="BN78" s="34"/>
      <c r="BO78" s="35"/>
      <c r="BP78" s="35"/>
      <c r="BQ78" s="35" t="s">
        <v>108</v>
      </c>
      <c r="BR78" s="36" t="e">
        <f>VLOOKUP(BQ78, Cat_Indicadores!B:C, 2, FALSE)</f>
        <v>#N/A</v>
      </c>
      <c r="BS78" s="35" t="s">
        <v>5592</v>
      </c>
      <c r="BT78" s="35"/>
    </row>
    <row r="79" spans="1:72">
      <c r="A79" s="29" t="s">
        <v>481</v>
      </c>
      <c r="B79" s="30" t="s">
        <v>482</v>
      </c>
      <c r="C79" s="31">
        <v>46195.463703703703</v>
      </c>
      <c r="D79" s="30">
        <v>92</v>
      </c>
      <c r="E79" s="30" t="s">
        <v>74</v>
      </c>
      <c r="F79" s="30" t="s">
        <v>75</v>
      </c>
      <c r="G79" s="30" t="s">
        <v>133</v>
      </c>
      <c r="H79" s="30" t="s">
        <v>77</v>
      </c>
      <c r="I79" s="30" t="s">
        <v>78</v>
      </c>
      <c r="J79" s="30" t="s">
        <v>79</v>
      </c>
      <c r="K79" s="32">
        <v>800</v>
      </c>
      <c r="L79" s="32" t="s">
        <v>211</v>
      </c>
      <c r="M79" s="30" t="s">
        <v>483</v>
      </c>
      <c r="N79" s="30" t="s">
        <v>484</v>
      </c>
      <c r="O79" s="30" t="s">
        <v>83</v>
      </c>
      <c r="P79" s="33">
        <v>46163</v>
      </c>
      <c r="Q79" s="33">
        <v>46163</v>
      </c>
      <c r="R79" s="32">
        <v>1</v>
      </c>
      <c r="S79" s="30" t="s">
        <v>249</v>
      </c>
      <c r="T79" s="30" t="s">
        <v>250</v>
      </c>
      <c r="U79" s="30" t="s">
        <v>221</v>
      </c>
      <c r="V79" s="30" t="s">
        <v>87</v>
      </c>
      <c r="W79" s="30" t="s">
        <v>88</v>
      </c>
      <c r="X79" s="30" t="s">
        <v>197</v>
      </c>
      <c r="Y79" s="30">
        <v>6</v>
      </c>
      <c r="AB79" s="30" t="b">
        <v>0</v>
      </c>
      <c r="AC79" s="30"/>
      <c r="AD79" s="30" t="b">
        <v>0</v>
      </c>
      <c r="AF79" s="30" t="b">
        <v>0</v>
      </c>
      <c r="AH79" s="32" t="s">
        <v>91</v>
      </c>
      <c r="AI79" s="32"/>
      <c r="AJ79" s="32"/>
      <c r="AK79" s="32"/>
      <c r="AL79" s="30" t="s">
        <v>92</v>
      </c>
      <c r="AM79" s="30" t="s">
        <v>93</v>
      </c>
      <c r="AN79" s="30" t="s">
        <v>199</v>
      </c>
      <c r="AO79" s="30" t="s">
        <v>200</v>
      </c>
      <c r="AP79" s="30" t="s">
        <v>201</v>
      </c>
      <c r="AQ79" s="30" t="s">
        <v>202</v>
      </c>
      <c r="AR79" s="30" t="s">
        <v>145</v>
      </c>
      <c r="AT79" s="30" t="s">
        <v>99</v>
      </c>
      <c r="AU79" s="30" t="s">
        <v>100</v>
      </c>
      <c r="AV79" s="30" t="s">
        <v>101</v>
      </c>
      <c r="AW79" s="30" t="s">
        <v>102</v>
      </c>
      <c r="AX79" s="34" t="s">
        <v>221</v>
      </c>
      <c r="AY79" s="34" t="s">
        <v>149</v>
      </c>
      <c r="AZ79" s="34" t="s">
        <v>149</v>
      </c>
      <c r="BA79" s="34"/>
      <c r="BB79" s="34"/>
      <c r="BC79" s="34">
        <v>0</v>
      </c>
      <c r="BD79" s="34"/>
      <c r="BE79" s="34"/>
      <c r="BF79" s="34" t="b">
        <v>0</v>
      </c>
      <c r="BG79" s="34"/>
      <c r="BH79" s="34"/>
      <c r="BI79" s="34"/>
      <c r="BJ79" s="34"/>
      <c r="BK79" s="34"/>
      <c r="BL79" s="34"/>
      <c r="BM79" s="34" t="s">
        <v>168</v>
      </c>
      <c r="BN79" s="34"/>
      <c r="BO79" s="35"/>
      <c r="BP79" s="35"/>
      <c r="BQ79" s="35" t="s">
        <v>108</v>
      </c>
      <c r="BR79" s="36" t="e">
        <f>VLOOKUP(BQ79, Cat_Indicadores!B:C, 2, FALSE)</f>
        <v>#N/A</v>
      </c>
      <c r="BS79" s="35" t="s">
        <v>5592</v>
      </c>
      <c r="BT79" s="35"/>
    </row>
    <row r="80" spans="1:72">
      <c r="A80" s="29" t="s">
        <v>485</v>
      </c>
      <c r="B80" s="30" t="s">
        <v>486</v>
      </c>
      <c r="C80" s="31">
        <v>46195.466828703706</v>
      </c>
      <c r="D80" s="30">
        <v>92</v>
      </c>
      <c r="E80" s="30" t="s">
        <v>74</v>
      </c>
      <c r="F80" s="30" t="s">
        <v>75</v>
      </c>
      <c r="G80" s="30" t="s">
        <v>133</v>
      </c>
      <c r="H80" s="30" t="s">
        <v>77</v>
      </c>
      <c r="I80" s="30" t="s">
        <v>78</v>
      </c>
      <c r="J80" s="30" t="s">
        <v>79</v>
      </c>
      <c r="K80" s="32">
        <v>800</v>
      </c>
      <c r="L80" s="32" t="s">
        <v>211</v>
      </c>
      <c r="M80" s="30" t="s">
        <v>487</v>
      </c>
      <c r="N80" s="30" t="s">
        <v>488</v>
      </c>
      <c r="O80" s="30" t="s">
        <v>83</v>
      </c>
      <c r="P80" s="33">
        <v>46163</v>
      </c>
      <c r="Q80" s="33">
        <v>46163</v>
      </c>
      <c r="R80" s="32">
        <v>1</v>
      </c>
      <c r="S80" s="30" t="s">
        <v>463</v>
      </c>
      <c r="T80" s="30" t="s">
        <v>489</v>
      </c>
      <c r="U80" s="30" t="s">
        <v>480</v>
      </c>
      <c r="V80" s="30" t="s">
        <v>87</v>
      </c>
      <c r="W80" s="30" t="s">
        <v>88</v>
      </c>
      <c r="X80" s="30" t="s">
        <v>197</v>
      </c>
      <c r="Y80" s="30">
        <v>2</v>
      </c>
      <c r="AB80" s="30" t="b">
        <v>0</v>
      </c>
      <c r="AC80" s="30"/>
      <c r="AD80" s="30" t="b">
        <v>1</v>
      </c>
      <c r="AE80" s="30">
        <v>1</v>
      </c>
      <c r="AF80" s="30" t="b">
        <v>0</v>
      </c>
      <c r="AH80" s="32" t="s">
        <v>91</v>
      </c>
      <c r="AI80" s="32"/>
      <c r="AJ80" s="32"/>
      <c r="AK80" s="32"/>
      <c r="AL80" s="30" t="s">
        <v>92</v>
      </c>
      <c r="AM80" s="30" t="s">
        <v>294</v>
      </c>
      <c r="AN80" s="30" t="s">
        <v>199</v>
      </c>
      <c r="AO80" s="30" t="s">
        <v>200</v>
      </c>
      <c r="AP80" s="30" t="s">
        <v>201</v>
      </c>
      <c r="AQ80" s="30" t="s">
        <v>202</v>
      </c>
      <c r="AR80" s="30" t="s">
        <v>145</v>
      </c>
      <c r="AT80" s="30" t="s">
        <v>99</v>
      </c>
      <c r="AU80" s="30" t="s">
        <v>100</v>
      </c>
      <c r="AV80" s="30" t="s">
        <v>101</v>
      </c>
      <c r="AW80" s="30" t="s">
        <v>102</v>
      </c>
      <c r="AX80" s="34" t="s">
        <v>480</v>
      </c>
      <c r="AY80" s="34" t="s">
        <v>149</v>
      </c>
      <c r="AZ80" s="34" t="s">
        <v>149</v>
      </c>
      <c r="BA80" s="34"/>
      <c r="BB80" s="34"/>
      <c r="BC80" s="34">
        <v>0</v>
      </c>
      <c r="BD80" s="34"/>
      <c r="BE80" s="34"/>
      <c r="BF80" s="34" t="b">
        <v>0</v>
      </c>
      <c r="BG80" s="34"/>
      <c r="BH80" s="34"/>
      <c r="BI80" s="34"/>
      <c r="BJ80" s="34"/>
      <c r="BK80" s="34"/>
      <c r="BL80" s="34"/>
      <c r="BM80" s="34" t="s">
        <v>168</v>
      </c>
      <c r="BN80" s="34"/>
      <c r="BO80" s="35"/>
      <c r="BP80" s="35"/>
      <c r="BQ80" s="35" t="s">
        <v>108</v>
      </c>
      <c r="BR80" s="36" t="e">
        <f>VLOOKUP(BQ80, Cat_Indicadores!B:C, 2, FALSE)</f>
        <v>#N/A</v>
      </c>
      <c r="BS80" s="35" t="s">
        <v>5592</v>
      </c>
      <c r="BT80" s="35"/>
    </row>
    <row r="81" spans="1:72">
      <c r="A81" s="29" t="s">
        <v>490</v>
      </c>
      <c r="B81" s="30" t="s">
        <v>491</v>
      </c>
      <c r="C81" s="31">
        <v>46195.472534722219</v>
      </c>
      <c r="D81" s="30">
        <v>92</v>
      </c>
      <c r="E81" s="30" t="s">
        <v>74</v>
      </c>
      <c r="F81" s="30" t="s">
        <v>75</v>
      </c>
      <c r="G81" s="30" t="s">
        <v>133</v>
      </c>
      <c r="H81" s="30" t="s">
        <v>77</v>
      </c>
      <c r="I81" s="30" t="s">
        <v>78</v>
      </c>
      <c r="J81" s="30" t="s">
        <v>79</v>
      </c>
      <c r="K81" s="32">
        <v>800</v>
      </c>
      <c r="L81" s="32" t="s">
        <v>211</v>
      </c>
      <c r="M81" s="30" t="s">
        <v>492</v>
      </c>
      <c r="N81" s="30" t="s">
        <v>493</v>
      </c>
      <c r="O81" s="30" t="s">
        <v>83</v>
      </c>
      <c r="P81" s="33">
        <v>46164</v>
      </c>
      <c r="Q81" s="33">
        <v>46164</v>
      </c>
      <c r="R81" s="32">
        <v>1</v>
      </c>
      <c r="S81" s="30" t="s">
        <v>214</v>
      </c>
      <c r="T81" s="30" t="s">
        <v>333</v>
      </c>
      <c r="U81" s="30" t="s">
        <v>221</v>
      </c>
      <c r="V81" s="30" t="s">
        <v>87</v>
      </c>
      <c r="W81" s="30" t="s">
        <v>88</v>
      </c>
      <c r="X81" s="30" t="s">
        <v>197</v>
      </c>
      <c r="Y81" s="30">
        <v>5</v>
      </c>
      <c r="AB81" s="30" t="b">
        <v>0</v>
      </c>
      <c r="AC81" s="30"/>
      <c r="AD81" s="30" t="b">
        <v>0</v>
      </c>
      <c r="AF81" s="30" t="b">
        <v>0</v>
      </c>
      <c r="AH81" s="32" t="s">
        <v>91</v>
      </c>
      <c r="AI81" s="32"/>
      <c r="AJ81" s="32"/>
      <c r="AK81" s="32"/>
      <c r="AL81" s="30" t="s">
        <v>92</v>
      </c>
      <c r="AM81" s="30" t="s">
        <v>93</v>
      </c>
      <c r="AN81" s="30" t="s">
        <v>199</v>
      </c>
      <c r="AO81" s="30" t="s">
        <v>200</v>
      </c>
      <c r="AP81" s="30" t="s">
        <v>201</v>
      </c>
      <c r="AQ81" s="30" t="s">
        <v>202</v>
      </c>
      <c r="AR81" s="30" t="s">
        <v>145</v>
      </c>
      <c r="AT81" s="30" t="s">
        <v>99</v>
      </c>
      <c r="AU81" s="30" t="s">
        <v>100</v>
      </c>
      <c r="AV81" s="30" t="s">
        <v>101</v>
      </c>
      <c r="AW81" s="30" t="s">
        <v>102</v>
      </c>
      <c r="AX81" s="34" t="s">
        <v>221</v>
      </c>
      <c r="AY81" s="34" t="s">
        <v>149</v>
      </c>
      <c r="AZ81" s="34" t="s">
        <v>149</v>
      </c>
      <c r="BA81" s="34"/>
      <c r="BB81" s="34"/>
      <c r="BC81" s="34">
        <v>0</v>
      </c>
      <c r="BD81" s="34"/>
      <c r="BE81" s="34"/>
      <c r="BF81" s="34" t="b">
        <v>0</v>
      </c>
      <c r="BG81" s="34"/>
      <c r="BH81" s="34"/>
      <c r="BI81" s="34"/>
      <c r="BJ81" s="34"/>
      <c r="BK81" s="34"/>
      <c r="BL81" s="34"/>
      <c r="BM81" s="34" t="s">
        <v>168</v>
      </c>
      <c r="BN81" s="34"/>
      <c r="BO81" s="35"/>
      <c r="BP81" s="35"/>
      <c r="BQ81" s="35" t="s">
        <v>108</v>
      </c>
      <c r="BR81" s="36" t="e">
        <f>VLOOKUP(BQ81, Cat_Indicadores!B:C, 2, FALSE)</f>
        <v>#N/A</v>
      </c>
      <c r="BS81" s="35" t="s">
        <v>5592</v>
      </c>
      <c r="BT81" s="35"/>
    </row>
    <row r="82" spans="1:72">
      <c r="A82" s="29" t="s">
        <v>494</v>
      </c>
      <c r="B82" s="30" t="s">
        <v>495</v>
      </c>
      <c r="C82" s="31">
        <v>46195.475370370368</v>
      </c>
      <c r="D82" s="30">
        <v>92</v>
      </c>
      <c r="E82" s="30" t="s">
        <v>74</v>
      </c>
      <c r="F82" s="30" t="s">
        <v>75</v>
      </c>
      <c r="G82" s="30" t="s">
        <v>133</v>
      </c>
      <c r="H82" s="30" t="s">
        <v>77</v>
      </c>
      <c r="I82" s="30" t="s">
        <v>78</v>
      </c>
      <c r="J82" s="30" t="s">
        <v>79</v>
      </c>
      <c r="K82" s="32">
        <v>800</v>
      </c>
      <c r="L82" s="32" t="s">
        <v>211</v>
      </c>
      <c r="M82" s="30" t="s">
        <v>487</v>
      </c>
      <c r="N82" s="30" t="s">
        <v>496</v>
      </c>
      <c r="O82" s="30" t="s">
        <v>83</v>
      </c>
      <c r="P82" s="33">
        <v>46164</v>
      </c>
      <c r="Q82" s="33">
        <v>46164</v>
      </c>
      <c r="R82" s="32">
        <v>1</v>
      </c>
      <c r="S82" s="30" t="s">
        <v>84</v>
      </c>
      <c r="T82" s="30" t="s">
        <v>117</v>
      </c>
      <c r="U82" s="30" t="s">
        <v>497</v>
      </c>
      <c r="V82" s="30" t="s">
        <v>87</v>
      </c>
      <c r="W82" s="30" t="s">
        <v>88</v>
      </c>
      <c r="X82" s="30" t="s">
        <v>197</v>
      </c>
      <c r="Y82" s="30">
        <v>2</v>
      </c>
      <c r="AB82" s="30" t="b">
        <v>0</v>
      </c>
      <c r="AC82" s="30"/>
      <c r="AD82" s="30" t="b">
        <v>0</v>
      </c>
      <c r="AF82" s="30" t="b">
        <v>0</v>
      </c>
      <c r="AH82" s="32" t="s">
        <v>91</v>
      </c>
      <c r="AI82" s="32"/>
      <c r="AJ82" s="32"/>
      <c r="AK82" s="32"/>
      <c r="AL82" s="30" t="s">
        <v>92</v>
      </c>
      <c r="AM82" s="30" t="s">
        <v>294</v>
      </c>
      <c r="AN82" s="30" t="s">
        <v>199</v>
      </c>
      <c r="AO82" s="30" t="s">
        <v>200</v>
      </c>
      <c r="AP82" s="30" t="s">
        <v>201</v>
      </c>
      <c r="AQ82" s="30" t="s">
        <v>202</v>
      </c>
      <c r="AR82" s="30" t="s">
        <v>145</v>
      </c>
      <c r="AT82" s="30" t="s">
        <v>99</v>
      </c>
      <c r="AU82" s="30" t="s">
        <v>100</v>
      </c>
      <c r="AV82" s="30" t="s">
        <v>101</v>
      </c>
      <c r="AW82" s="30" t="s">
        <v>102</v>
      </c>
      <c r="AX82" s="34" t="s">
        <v>497</v>
      </c>
      <c r="AY82" s="34" t="s">
        <v>149</v>
      </c>
      <c r="AZ82" s="34" t="s">
        <v>149</v>
      </c>
      <c r="BA82" s="34"/>
      <c r="BB82" s="34"/>
      <c r="BC82" s="34">
        <v>0</v>
      </c>
      <c r="BD82" s="34"/>
      <c r="BE82" s="34"/>
      <c r="BF82" s="34" t="b">
        <v>0</v>
      </c>
      <c r="BG82" s="34"/>
      <c r="BH82" s="34"/>
      <c r="BI82" s="34"/>
      <c r="BJ82" s="34"/>
      <c r="BK82" s="34"/>
      <c r="BL82" s="34"/>
      <c r="BM82" s="34" t="s">
        <v>168</v>
      </c>
      <c r="BN82" s="34"/>
      <c r="BO82" s="35"/>
      <c r="BP82" s="35"/>
      <c r="BQ82" s="35" t="s">
        <v>108</v>
      </c>
      <c r="BR82" s="36" t="e">
        <f>VLOOKUP(BQ82, Cat_Indicadores!B:C, 2, FALSE)</f>
        <v>#N/A</v>
      </c>
      <c r="BS82" s="35" t="s">
        <v>5592</v>
      </c>
      <c r="BT82" s="35"/>
    </row>
    <row r="83" spans="1:72">
      <c r="A83" s="29" t="s">
        <v>498</v>
      </c>
      <c r="B83" s="30" t="s">
        <v>499</v>
      </c>
      <c r="C83" s="31">
        <v>46195.479421296295</v>
      </c>
      <c r="D83" s="30">
        <v>92</v>
      </c>
      <c r="E83" s="30" t="s">
        <v>74</v>
      </c>
      <c r="F83" s="30" t="s">
        <v>75</v>
      </c>
      <c r="G83" s="30" t="s">
        <v>133</v>
      </c>
      <c r="H83" s="30" t="s">
        <v>77</v>
      </c>
      <c r="I83" s="30" t="s">
        <v>78</v>
      </c>
      <c r="J83" s="30" t="s">
        <v>79</v>
      </c>
      <c r="K83" s="32">
        <v>800</v>
      </c>
      <c r="L83" s="32" t="s">
        <v>211</v>
      </c>
      <c r="M83" s="30" t="s">
        <v>500</v>
      </c>
      <c r="N83" s="30" t="s">
        <v>501</v>
      </c>
      <c r="O83" s="30" t="s">
        <v>83</v>
      </c>
      <c r="P83" s="33">
        <v>46168</v>
      </c>
      <c r="Q83" s="33">
        <v>46168</v>
      </c>
      <c r="R83" s="32">
        <v>1</v>
      </c>
      <c r="S83" s="30" t="s">
        <v>84</v>
      </c>
      <c r="T83" s="30" t="s">
        <v>337</v>
      </c>
      <c r="U83" s="30" t="s">
        <v>338</v>
      </c>
      <c r="V83" s="30" t="s">
        <v>87</v>
      </c>
      <c r="W83" s="30" t="s">
        <v>88</v>
      </c>
      <c r="X83" s="30" t="s">
        <v>197</v>
      </c>
      <c r="Y83" s="30">
        <v>6</v>
      </c>
      <c r="AB83" s="30" t="b">
        <v>0</v>
      </c>
      <c r="AC83" s="30"/>
      <c r="AD83" s="30" t="b">
        <v>0</v>
      </c>
      <c r="AF83" s="30" t="b">
        <v>0</v>
      </c>
      <c r="AH83" s="32" t="s">
        <v>91</v>
      </c>
      <c r="AI83" s="32"/>
      <c r="AJ83" s="32"/>
      <c r="AK83" s="32"/>
      <c r="AL83" s="30" t="s">
        <v>92</v>
      </c>
      <c r="AM83" s="30" t="s">
        <v>93</v>
      </c>
      <c r="AN83" s="30" t="s">
        <v>199</v>
      </c>
      <c r="AO83" s="30" t="s">
        <v>200</v>
      </c>
      <c r="AP83" s="30" t="s">
        <v>201</v>
      </c>
      <c r="AQ83" s="30" t="s">
        <v>202</v>
      </c>
      <c r="AR83" s="30" t="s">
        <v>145</v>
      </c>
      <c r="AT83" s="30" t="s">
        <v>99</v>
      </c>
      <c r="AU83" s="30" t="s">
        <v>100</v>
      </c>
      <c r="AV83" s="30" t="s">
        <v>101</v>
      </c>
      <c r="AW83" s="30" t="s">
        <v>102</v>
      </c>
      <c r="AX83" s="34" t="s">
        <v>338</v>
      </c>
      <c r="AY83" s="34" t="s">
        <v>149</v>
      </c>
      <c r="AZ83" s="34" t="s">
        <v>149</v>
      </c>
      <c r="BA83" s="34"/>
      <c r="BB83" s="34"/>
      <c r="BC83" s="34">
        <v>0</v>
      </c>
      <c r="BD83" s="34"/>
      <c r="BE83" s="34"/>
      <c r="BF83" s="34" t="b">
        <v>0</v>
      </c>
      <c r="BG83" s="34"/>
      <c r="BH83" s="34"/>
      <c r="BI83" s="34"/>
      <c r="BJ83" s="34"/>
      <c r="BK83" s="34"/>
      <c r="BL83" s="34"/>
      <c r="BM83" s="34" t="s">
        <v>168</v>
      </c>
      <c r="BN83" s="34"/>
      <c r="BO83" s="35"/>
      <c r="BP83" s="35"/>
      <c r="BQ83" s="35" t="s">
        <v>108</v>
      </c>
      <c r="BR83" s="36" t="e">
        <f>VLOOKUP(BQ83, Cat_Indicadores!B:C, 2, FALSE)</f>
        <v>#N/A</v>
      </c>
      <c r="BS83" s="35" t="s">
        <v>5592</v>
      </c>
      <c r="BT83" s="35"/>
    </row>
    <row r="84" spans="1:72">
      <c r="A84" s="29" t="s">
        <v>502</v>
      </c>
      <c r="B84" s="30" t="s">
        <v>503</v>
      </c>
      <c r="C84" s="31">
        <v>46195.482824074075</v>
      </c>
      <c r="D84" s="30">
        <v>92</v>
      </c>
      <c r="E84" s="30" t="s">
        <v>74</v>
      </c>
      <c r="F84" s="30" t="s">
        <v>75</v>
      </c>
      <c r="G84" s="30" t="s">
        <v>133</v>
      </c>
      <c r="H84" s="30" t="s">
        <v>77</v>
      </c>
      <c r="I84" s="30" t="s">
        <v>78</v>
      </c>
      <c r="J84" s="30" t="s">
        <v>79</v>
      </c>
      <c r="K84" s="32">
        <v>800</v>
      </c>
      <c r="L84" s="32" t="s">
        <v>80</v>
      </c>
      <c r="M84" s="30" t="s">
        <v>504</v>
      </c>
      <c r="N84" s="30" t="s">
        <v>505</v>
      </c>
      <c r="O84" s="30" t="s">
        <v>83</v>
      </c>
      <c r="P84" s="33">
        <v>46168</v>
      </c>
      <c r="Q84" s="33">
        <v>46168</v>
      </c>
      <c r="R84" s="32">
        <v>1</v>
      </c>
      <c r="S84" s="30" t="s">
        <v>84</v>
      </c>
      <c r="T84" s="30" t="s">
        <v>506</v>
      </c>
      <c r="U84" s="30" t="s">
        <v>166</v>
      </c>
      <c r="V84" s="30" t="s">
        <v>87</v>
      </c>
      <c r="W84" s="30" t="s">
        <v>88</v>
      </c>
      <c r="X84" s="30" t="s">
        <v>197</v>
      </c>
      <c r="Y84" s="30">
        <v>6</v>
      </c>
      <c r="AB84" s="30" t="b">
        <v>0</v>
      </c>
      <c r="AC84" s="30"/>
      <c r="AD84" s="30" t="b">
        <v>0</v>
      </c>
      <c r="AF84" s="30" t="b">
        <v>0</v>
      </c>
      <c r="AH84" s="32" t="s">
        <v>91</v>
      </c>
      <c r="AI84" s="32"/>
      <c r="AJ84" s="32"/>
      <c r="AK84" s="32"/>
      <c r="AL84" s="30" t="s">
        <v>92</v>
      </c>
      <c r="AM84" s="30" t="s">
        <v>93</v>
      </c>
      <c r="AN84" s="30" t="s">
        <v>199</v>
      </c>
      <c r="AO84" s="30" t="s">
        <v>200</v>
      </c>
      <c r="AP84" s="30" t="s">
        <v>201</v>
      </c>
      <c r="AQ84" s="30" t="s">
        <v>202</v>
      </c>
      <c r="AR84" s="30" t="s">
        <v>145</v>
      </c>
      <c r="AT84" s="30" t="s">
        <v>99</v>
      </c>
      <c r="AU84" s="30" t="s">
        <v>100</v>
      </c>
      <c r="AV84" s="30" t="s">
        <v>101</v>
      </c>
      <c r="AW84" s="30" t="s">
        <v>102</v>
      </c>
      <c r="AX84" s="34" t="s">
        <v>507</v>
      </c>
      <c r="AY84" s="34" t="s">
        <v>149</v>
      </c>
      <c r="AZ84" s="34"/>
      <c r="BA84" s="34"/>
      <c r="BB84" s="34"/>
      <c r="BC84" s="34">
        <v>0</v>
      </c>
      <c r="BD84" s="34"/>
      <c r="BE84" s="34"/>
      <c r="BF84" s="34" t="b">
        <v>0</v>
      </c>
      <c r="BG84" s="34"/>
      <c r="BH84" s="34"/>
      <c r="BI84" s="34"/>
      <c r="BJ84" s="34"/>
      <c r="BK84" s="34"/>
      <c r="BL84" s="34" t="s">
        <v>508</v>
      </c>
      <c r="BM84" s="34" t="s">
        <v>106</v>
      </c>
      <c r="BN84" s="34"/>
      <c r="BO84" s="35"/>
      <c r="BP84" s="35"/>
      <c r="BQ84" s="35" t="s">
        <v>108</v>
      </c>
      <c r="BR84" s="36" t="e">
        <f>VLOOKUP(BQ84, Cat_Indicadores!B:C, 2, FALSE)</f>
        <v>#N/A</v>
      </c>
      <c r="BS84" s="35" t="s">
        <v>5592</v>
      </c>
      <c r="BT84" s="35"/>
    </row>
    <row r="85" spans="1:72">
      <c r="A85" s="29" t="s">
        <v>509</v>
      </c>
      <c r="B85" s="30" t="s">
        <v>510</v>
      </c>
      <c r="C85" s="31">
        <v>46195.489444444444</v>
      </c>
      <c r="D85" s="30">
        <v>92</v>
      </c>
      <c r="E85" s="30" t="s">
        <v>74</v>
      </c>
      <c r="F85" s="30" t="s">
        <v>75</v>
      </c>
      <c r="G85" s="30" t="s">
        <v>133</v>
      </c>
      <c r="H85" s="30" t="s">
        <v>77</v>
      </c>
      <c r="I85" s="30" t="s">
        <v>78</v>
      </c>
      <c r="J85" s="30" t="s">
        <v>79</v>
      </c>
      <c r="K85" s="32">
        <v>800</v>
      </c>
      <c r="L85" s="32" t="s">
        <v>211</v>
      </c>
      <c r="M85" s="30" t="s">
        <v>401</v>
      </c>
      <c r="N85" s="30" t="s">
        <v>402</v>
      </c>
      <c r="O85" s="30" t="s">
        <v>83</v>
      </c>
      <c r="P85" s="33">
        <v>46144</v>
      </c>
      <c r="Q85" s="33">
        <v>46144</v>
      </c>
      <c r="R85" s="32">
        <v>1</v>
      </c>
      <c r="S85" s="30" t="s">
        <v>84</v>
      </c>
      <c r="T85" s="30" t="s">
        <v>337</v>
      </c>
      <c r="U85" s="30" t="s">
        <v>349</v>
      </c>
      <c r="V85" s="30" t="s">
        <v>87</v>
      </c>
      <c r="W85" s="30" t="s">
        <v>88</v>
      </c>
      <c r="X85" s="30" t="s">
        <v>197</v>
      </c>
      <c r="Y85" s="30">
        <v>1</v>
      </c>
      <c r="AB85" s="30" t="b">
        <v>0</v>
      </c>
      <c r="AC85" s="30"/>
      <c r="AD85" s="30" t="b">
        <v>0</v>
      </c>
      <c r="AF85" s="30" t="b">
        <v>0</v>
      </c>
      <c r="AH85" s="32" t="s">
        <v>91</v>
      </c>
      <c r="AI85" s="32"/>
      <c r="AJ85" s="32"/>
      <c r="AK85" s="32"/>
      <c r="AL85" s="30" t="s">
        <v>92</v>
      </c>
      <c r="AM85" s="30" t="s">
        <v>93</v>
      </c>
      <c r="AN85" s="30" t="s">
        <v>94</v>
      </c>
      <c r="AO85" s="30" t="s">
        <v>407</v>
      </c>
      <c r="AP85" s="30" t="s">
        <v>408</v>
      </c>
      <c r="AQ85" s="30" t="s">
        <v>409</v>
      </c>
      <c r="AR85" s="30" t="s">
        <v>145</v>
      </c>
      <c r="AT85" s="30" t="s">
        <v>99</v>
      </c>
      <c r="AU85" s="30" t="s">
        <v>100</v>
      </c>
      <c r="AV85" s="30" t="s">
        <v>101</v>
      </c>
      <c r="AW85" s="30" t="s">
        <v>102</v>
      </c>
      <c r="AX85" s="34" t="s">
        <v>349</v>
      </c>
      <c r="AY85" s="34" t="s">
        <v>149</v>
      </c>
      <c r="AZ85" s="34" t="s">
        <v>149</v>
      </c>
      <c r="BA85" s="34"/>
      <c r="BB85" s="34"/>
      <c r="BC85" s="34">
        <v>0</v>
      </c>
      <c r="BD85" s="34"/>
      <c r="BE85" s="34"/>
      <c r="BF85" s="34" t="b">
        <v>0</v>
      </c>
      <c r="BG85" s="34"/>
      <c r="BH85" s="34"/>
      <c r="BI85" s="34"/>
      <c r="BJ85" s="34"/>
      <c r="BK85" s="34"/>
      <c r="BL85" s="34"/>
      <c r="BM85" s="34" t="s">
        <v>168</v>
      </c>
      <c r="BN85" s="34"/>
      <c r="BO85" s="35"/>
      <c r="BP85" s="35"/>
      <c r="BQ85" s="35" t="s">
        <v>108</v>
      </c>
      <c r="BR85" s="36" t="e">
        <f>VLOOKUP(BQ85, Cat_Indicadores!B:C, 2, FALSE)</f>
        <v>#N/A</v>
      </c>
      <c r="BS85" s="35" t="s">
        <v>5592</v>
      </c>
      <c r="BT85" s="35"/>
    </row>
    <row r="86" spans="1:72">
      <c r="A86" s="29" t="s">
        <v>511</v>
      </c>
      <c r="B86" s="30" t="s">
        <v>512</v>
      </c>
      <c r="C86" s="31">
        <v>46195.492465277777</v>
      </c>
      <c r="D86" s="30">
        <v>92</v>
      </c>
      <c r="E86" s="30" t="s">
        <v>74</v>
      </c>
      <c r="F86" s="30" t="s">
        <v>75</v>
      </c>
      <c r="G86" s="30" t="s">
        <v>133</v>
      </c>
      <c r="H86" s="30" t="s">
        <v>77</v>
      </c>
      <c r="I86" s="30" t="s">
        <v>78</v>
      </c>
      <c r="J86" s="30" t="s">
        <v>79</v>
      </c>
      <c r="K86" s="32">
        <v>800</v>
      </c>
      <c r="L86" s="32" t="s">
        <v>211</v>
      </c>
      <c r="M86" s="30" t="s">
        <v>401</v>
      </c>
      <c r="N86" s="30" t="s">
        <v>402</v>
      </c>
      <c r="O86" s="30" t="s">
        <v>83</v>
      </c>
      <c r="P86" s="33">
        <v>46145</v>
      </c>
      <c r="Q86" s="33">
        <v>46145</v>
      </c>
      <c r="R86" s="32">
        <v>1</v>
      </c>
      <c r="S86" s="30" t="s">
        <v>84</v>
      </c>
      <c r="T86" s="30" t="s">
        <v>337</v>
      </c>
      <c r="U86" s="30" t="s">
        <v>349</v>
      </c>
      <c r="V86" s="30" t="s">
        <v>87</v>
      </c>
      <c r="W86" s="30" t="s">
        <v>88</v>
      </c>
      <c r="X86" s="30" t="s">
        <v>197</v>
      </c>
      <c r="Y86" s="30">
        <v>1</v>
      </c>
      <c r="AB86" s="30" t="b">
        <v>0</v>
      </c>
      <c r="AC86" s="30"/>
      <c r="AD86" s="30" t="b">
        <v>0</v>
      </c>
      <c r="AF86" s="30" t="b">
        <v>0</v>
      </c>
      <c r="AH86" s="32" t="s">
        <v>91</v>
      </c>
      <c r="AI86" s="32"/>
      <c r="AJ86" s="32"/>
      <c r="AK86" s="32"/>
      <c r="AL86" s="30" t="s">
        <v>92</v>
      </c>
      <c r="AM86" s="30" t="s">
        <v>93</v>
      </c>
      <c r="AN86" s="30" t="s">
        <v>94</v>
      </c>
      <c r="AO86" s="30" t="s">
        <v>407</v>
      </c>
      <c r="AP86" s="30" t="s">
        <v>408</v>
      </c>
      <c r="AQ86" s="30" t="s">
        <v>409</v>
      </c>
      <c r="AR86" s="30" t="s">
        <v>145</v>
      </c>
      <c r="AT86" s="30" t="s">
        <v>99</v>
      </c>
      <c r="AU86" s="30" t="s">
        <v>100</v>
      </c>
      <c r="AV86" s="30" t="s">
        <v>101</v>
      </c>
      <c r="AW86" s="30" t="s">
        <v>102</v>
      </c>
      <c r="AX86" s="34" t="s">
        <v>349</v>
      </c>
      <c r="AY86" s="34" t="s">
        <v>149</v>
      </c>
      <c r="AZ86" s="34" t="s">
        <v>149</v>
      </c>
      <c r="BA86" s="34"/>
      <c r="BB86" s="34"/>
      <c r="BC86" s="34">
        <v>0</v>
      </c>
      <c r="BD86" s="34"/>
      <c r="BE86" s="34"/>
      <c r="BF86" s="34" t="b">
        <v>0</v>
      </c>
      <c r="BG86" s="34"/>
      <c r="BH86" s="34"/>
      <c r="BI86" s="34"/>
      <c r="BJ86" s="34"/>
      <c r="BK86" s="34"/>
      <c r="BL86" s="34"/>
      <c r="BM86" s="34" t="s">
        <v>168</v>
      </c>
      <c r="BN86" s="34"/>
      <c r="BO86" s="35"/>
      <c r="BP86" s="35"/>
      <c r="BQ86" s="35" t="s">
        <v>108</v>
      </c>
      <c r="BR86" s="36" t="e">
        <f>VLOOKUP(BQ86, Cat_Indicadores!B:C, 2, FALSE)</f>
        <v>#N/A</v>
      </c>
      <c r="BS86" s="35" t="s">
        <v>5592</v>
      </c>
      <c r="BT86" s="35"/>
    </row>
    <row r="87" spans="1:72">
      <c r="A87" s="29" t="s">
        <v>513</v>
      </c>
      <c r="B87" s="30" t="s">
        <v>514</v>
      </c>
      <c r="C87" s="31">
        <v>46195.494814814818</v>
      </c>
      <c r="D87" s="30">
        <v>92</v>
      </c>
      <c r="E87" s="30" t="s">
        <v>74</v>
      </c>
      <c r="F87" s="30" t="s">
        <v>75</v>
      </c>
      <c r="G87" s="30" t="s">
        <v>133</v>
      </c>
      <c r="H87" s="30" t="s">
        <v>77</v>
      </c>
      <c r="I87" s="30" t="s">
        <v>78</v>
      </c>
      <c r="J87" s="30" t="s">
        <v>79</v>
      </c>
      <c r="K87" s="32">
        <v>800</v>
      </c>
      <c r="L87" s="32" t="s">
        <v>211</v>
      </c>
      <c r="M87" s="30" t="s">
        <v>401</v>
      </c>
      <c r="N87" s="30" t="s">
        <v>402</v>
      </c>
      <c r="O87" s="30" t="s">
        <v>83</v>
      </c>
      <c r="P87" s="33">
        <v>46195</v>
      </c>
      <c r="Q87" s="33">
        <v>46195</v>
      </c>
      <c r="R87" s="32">
        <v>1</v>
      </c>
      <c r="S87" s="30" t="s">
        <v>84</v>
      </c>
      <c r="T87" s="30" t="s">
        <v>337</v>
      </c>
      <c r="U87" s="30" t="s">
        <v>349</v>
      </c>
      <c r="V87" s="30" t="s">
        <v>87</v>
      </c>
      <c r="W87" s="30" t="s">
        <v>88</v>
      </c>
      <c r="X87" s="30" t="s">
        <v>197</v>
      </c>
      <c r="Y87" s="30">
        <v>1</v>
      </c>
      <c r="AB87" s="30" t="b">
        <v>0</v>
      </c>
      <c r="AC87" s="30"/>
      <c r="AD87" s="30" t="b">
        <v>0</v>
      </c>
      <c r="AF87" s="30" t="b">
        <v>0</v>
      </c>
      <c r="AH87" s="32" t="s">
        <v>91</v>
      </c>
      <c r="AI87" s="32"/>
      <c r="AJ87" s="32"/>
      <c r="AK87" s="32"/>
      <c r="AL87" s="30" t="s">
        <v>92</v>
      </c>
      <c r="AM87" s="30" t="s">
        <v>93</v>
      </c>
      <c r="AN87" s="30" t="s">
        <v>94</v>
      </c>
      <c r="AO87" s="30" t="s">
        <v>407</v>
      </c>
      <c r="AP87" s="30" t="s">
        <v>408</v>
      </c>
      <c r="AQ87" s="30" t="s">
        <v>409</v>
      </c>
      <c r="AR87" s="30" t="s">
        <v>145</v>
      </c>
      <c r="AT87" s="30" t="s">
        <v>99</v>
      </c>
      <c r="AU87" s="30" t="s">
        <v>100</v>
      </c>
      <c r="AV87" s="30" t="s">
        <v>101</v>
      </c>
      <c r="AW87" s="30" t="s">
        <v>102</v>
      </c>
      <c r="AX87" s="34" t="s">
        <v>349</v>
      </c>
      <c r="AY87" s="34" t="s">
        <v>149</v>
      </c>
      <c r="AZ87" s="34" t="s">
        <v>149</v>
      </c>
      <c r="BA87" s="34"/>
      <c r="BB87" s="34"/>
      <c r="BC87" s="34">
        <v>0</v>
      </c>
      <c r="BD87" s="34"/>
      <c r="BE87" s="34"/>
      <c r="BF87" s="34" t="b">
        <v>0</v>
      </c>
      <c r="BG87" s="34"/>
      <c r="BH87" s="34"/>
      <c r="BI87" s="34"/>
      <c r="BJ87" s="34"/>
      <c r="BK87" s="34"/>
      <c r="BL87" s="34"/>
      <c r="BM87" s="34" t="s">
        <v>168</v>
      </c>
      <c r="BN87" s="34"/>
      <c r="BO87" s="35"/>
      <c r="BP87" s="35"/>
      <c r="BQ87" s="35" t="s">
        <v>108</v>
      </c>
      <c r="BR87" s="36" t="e">
        <f>VLOOKUP(BQ87, Cat_Indicadores!B:C, 2, FALSE)</f>
        <v>#N/A</v>
      </c>
      <c r="BS87" s="35" t="s">
        <v>5592</v>
      </c>
      <c r="BT87" s="35"/>
    </row>
    <row r="88" spans="1:72">
      <c r="A88" s="29" t="s">
        <v>515</v>
      </c>
      <c r="B88" s="30" t="s">
        <v>516</v>
      </c>
      <c r="C88" s="31">
        <v>46195.497233796297</v>
      </c>
      <c r="D88" s="30">
        <v>92</v>
      </c>
      <c r="E88" s="30" t="s">
        <v>74</v>
      </c>
      <c r="F88" s="30" t="s">
        <v>75</v>
      </c>
      <c r="G88" s="30" t="s">
        <v>133</v>
      </c>
      <c r="H88" s="30" t="s">
        <v>77</v>
      </c>
      <c r="I88" s="30" t="s">
        <v>78</v>
      </c>
      <c r="J88" s="30" t="s">
        <v>79</v>
      </c>
      <c r="K88" s="32">
        <v>800</v>
      </c>
      <c r="L88" s="32" t="s">
        <v>211</v>
      </c>
      <c r="M88" s="30" t="s">
        <v>401</v>
      </c>
      <c r="N88" s="30" t="s">
        <v>402</v>
      </c>
      <c r="O88" s="30" t="s">
        <v>83</v>
      </c>
      <c r="P88" s="33">
        <v>46169</v>
      </c>
      <c r="Q88" s="33">
        <v>46169</v>
      </c>
      <c r="R88" s="32">
        <v>1</v>
      </c>
      <c r="S88" s="30" t="s">
        <v>84</v>
      </c>
      <c r="T88" s="30" t="s">
        <v>337</v>
      </c>
      <c r="U88" s="30" t="s">
        <v>349</v>
      </c>
      <c r="V88" s="30" t="s">
        <v>87</v>
      </c>
      <c r="W88" s="30" t="s">
        <v>88</v>
      </c>
      <c r="X88" s="30" t="s">
        <v>197</v>
      </c>
      <c r="Y88" s="30">
        <v>1</v>
      </c>
      <c r="AB88" s="30" t="b">
        <v>0</v>
      </c>
      <c r="AC88" s="30"/>
      <c r="AD88" s="30" t="b">
        <v>0</v>
      </c>
      <c r="AF88" s="30" t="b">
        <v>0</v>
      </c>
      <c r="AH88" s="32" t="s">
        <v>91</v>
      </c>
      <c r="AI88" s="32"/>
      <c r="AJ88" s="32"/>
      <c r="AK88" s="32"/>
      <c r="AL88" s="30" t="s">
        <v>92</v>
      </c>
      <c r="AM88" s="30" t="s">
        <v>93</v>
      </c>
      <c r="AN88" s="30" t="s">
        <v>94</v>
      </c>
      <c r="AO88" s="30" t="s">
        <v>407</v>
      </c>
      <c r="AP88" s="30" t="s">
        <v>408</v>
      </c>
      <c r="AQ88" s="30" t="s">
        <v>409</v>
      </c>
      <c r="AR88" s="30" t="s">
        <v>145</v>
      </c>
      <c r="AT88" s="30" t="s">
        <v>99</v>
      </c>
      <c r="AU88" s="30" t="s">
        <v>100</v>
      </c>
      <c r="AV88" s="30" t="s">
        <v>101</v>
      </c>
      <c r="AW88" s="30" t="s">
        <v>102</v>
      </c>
      <c r="AX88" s="34" t="s">
        <v>349</v>
      </c>
      <c r="AY88" s="34" t="s">
        <v>149</v>
      </c>
      <c r="AZ88" s="34"/>
      <c r="BA88" s="34"/>
      <c r="BB88" s="34"/>
      <c r="BC88" s="34">
        <v>0</v>
      </c>
      <c r="BD88" s="34"/>
      <c r="BE88" s="34"/>
      <c r="BF88" s="34" t="b">
        <v>0</v>
      </c>
      <c r="BG88" s="34"/>
      <c r="BH88" s="34"/>
      <c r="BI88" s="34"/>
      <c r="BJ88" s="34"/>
      <c r="BK88" s="34"/>
      <c r="BL88" s="34"/>
      <c r="BM88" s="34" t="s">
        <v>168</v>
      </c>
      <c r="BN88" s="34"/>
      <c r="BO88" s="35"/>
      <c r="BP88" s="35"/>
      <c r="BQ88" s="35" t="s">
        <v>108</v>
      </c>
      <c r="BR88" s="36" t="e">
        <f>VLOOKUP(BQ88, Cat_Indicadores!B:C, 2, FALSE)</f>
        <v>#N/A</v>
      </c>
      <c r="BS88" s="35" t="s">
        <v>5592</v>
      </c>
      <c r="BT88" s="35"/>
    </row>
    <row r="89" spans="1:72">
      <c r="A89" s="29" t="s">
        <v>517</v>
      </c>
      <c r="B89" s="30" t="s">
        <v>518</v>
      </c>
      <c r="C89" s="31">
        <v>46195.499548611115</v>
      </c>
      <c r="D89" s="30">
        <v>92</v>
      </c>
      <c r="E89" s="30" t="s">
        <v>74</v>
      </c>
      <c r="F89" s="30" t="s">
        <v>75</v>
      </c>
      <c r="G89" s="30" t="s">
        <v>133</v>
      </c>
      <c r="H89" s="30" t="s">
        <v>77</v>
      </c>
      <c r="I89" s="30" t="s">
        <v>78</v>
      </c>
      <c r="J89" s="30" t="s">
        <v>79</v>
      </c>
      <c r="K89" s="32">
        <v>800</v>
      </c>
      <c r="L89" s="32" t="s">
        <v>211</v>
      </c>
      <c r="M89" s="30" t="s">
        <v>401</v>
      </c>
      <c r="N89" s="30" t="s">
        <v>402</v>
      </c>
      <c r="O89" s="30" t="s">
        <v>83</v>
      </c>
      <c r="P89" s="33">
        <v>46172</v>
      </c>
      <c r="Q89" s="33">
        <v>46172</v>
      </c>
      <c r="R89" s="32">
        <v>1</v>
      </c>
      <c r="S89" s="30" t="s">
        <v>84</v>
      </c>
      <c r="T89" s="30" t="s">
        <v>337</v>
      </c>
      <c r="U89" s="30" t="s">
        <v>349</v>
      </c>
      <c r="V89" s="30" t="s">
        <v>87</v>
      </c>
      <c r="W89" s="30" t="s">
        <v>88</v>
      </c>
      <c r="X89" s="30" t="s">
        <v>197</v>
      </c>
      <c r="Y89" s="30">
        <v>1</v>
      </c>
      <c r="AB89" s="30" t="b">
        <v>0</v>
      </c>
      <c r="AC89" s="30"/>
      <c r="AD89" s="30" t="b">
        <v>0</v>
      </c>
      <c r="AF89" s="30" t="b">
        <v>0</v>
      </c>
      <c r="AH89" s="32" t="s">
        <v>91</v>
      </c>
      <c r="AI89" s="32"/>
      <c r="AJ89" s="32"/>
      <c r="AK89" s="32"/>
      <c r="AL89" s="30" t="s">
        <v>92</v>
      </c>
      <c r="AM89" s="30" t="s">
        <v>93</v>
      </c>
      <c r="AN89" s="30" t="s">
        <v>94</v>
      </c>
      <c r="AO89" s="30" t="s">
        <v>407</v>
      </c>
      <c r="AP89" s="30" t="s">
        <v>408</v>
      </c>
      <c r="AQ89" s="30" t="s">
        <v>409</v>
      </c>
      <c r="AR89" s="30" t="s">
        <v>145</v>
      </c>
      <c r="AT89" s="30" t="s">
        <v>99</v>
      </c>
      <c r="AU89" s="30" t="s">
        <v>100</v>
      </c>
      <c r="AV89" s="30" t="s">
        <v>101</v>
      </c>
      <c r="AW89" s="30" t="s">
        <v>102</v>
      </c>
      <c r="AX89" s="34" t="s">
        <v>349</v>
      </c>
      <c r="AY89" s="34" t="s">
        <v>149</v>
      </c>
      <c r="AZ89" s="34" t="s">
        <v>149</v>
      </c>
      <c r="BA89" s="34"/>
      <c r="BB89" s="34"/>
      <c r="BC89" s="34">
        <v>0</v>
      </c>
      <c r="BD89" s="34"/>
      <c r="BE89" s="34"/>
      <c r="BF89" s="34" t="b">
        <v>0</v>
      </c>
      <c r="BG89" s="34"/>
      <c r="BH89" s="34"/>
      <c r="BI89" s="34"/>
      <c r="BJ89" s="34"/>
      <c r="BK89" s="34"/>
      <c r="BL89" s="34"/>
      <c r="BM89" s="34" t="s">
        <v>168</v>
      </c>
      <c r="BN89" s="34"/>
      <c r="BO89" s="35"/>
      <c r="BP89" s="35"/>
      <c r="BQ89" s="35" t="s">
        <v>108</v>
      </c>
      <c r="BR89" s="36" t="e">
        <f>VLOOKUP(BQ89, Cat_Indicadores!B:C, 2, FALSE)</f>
        <v>#N/A</v>
      </c>
      <c r="BS89" s="35" t="s">
        <v>5592</v>
      </c>
      <c r="BT89" s="35"/>
    </row>
    <row r="90" spans="1:72">
      <c r="A90" s="29" t="s">
        <v>519</v>
      </c>
      <c r="B90" s="30" t="s">
        <v>520</v>
      </c>
      <c r="C90" s="31">
        <v>46195.502141203702</v>
      </c>
      <c r="D90" s="30">
        <v>92</v>
      </c>
      <c r="E90" s="30" t="s">
        <v>74</v>
      </c>
      <c r="F90" s="30" t="s">
        <v>75</v>
      </c>
      <c r="G90" s="30" t="s">
        <v>133</v>
      </c>
      <c r="H90" s="30" t="s">
        <v>77</v>
      </c>
      <c r="I90" s="30" t="s">
        <v>78</v>
      </c>
      <c r="J90" s="30" t="s">
        <v>79</v>
      </c>
      <c r="K90" s="32">
        <v>800</v>
      </c>
      <c r="L90" s="32" t="s">
        <v>211</v>
      </c>
      <c r="M90" s="30" t="s">
        <v>401</v>
      </c>
      <c r="N90" s="30" t="s">
        <v>402</v>
      </c>
      <c r="O90" s="30" t="s">
        <v>83</v>
      </c>
      <c r="P90" s="33">
        <v>46173</v>
      </c>
      <c r="Q90" s="33">
        <v>46173</v>
      </c>
      <c r="R90" s="32">
        <v>1</v>
      </c>
      <c r="S90" s="30" t="s">
        <v>84</v>
      </c>
      <c r="T90" s="30" t="s">
        <v>337</v>
      </c>
      <c r="U90" s="30" t="s">
        <v>349</v>
      </c>
      <c r="V90" s="30" t="s">
        <v>87</v>
      </c>
      <c r="W90" s="30" t="s">
        <v>88</v>
      </c>
      <c r="X90" s="30" t="s">
        <v>197</v>
      </c>
      <c r="Y90" s="30">
        <v>1</v>
      </c>
      <c r="AB90" s="30" t="b">
        <v>0</v>
      </c>
      <c r="AC90" s="30"/>
      <c r="AD90" s="30" t="b">
        <v>0</v>
      </c>
      <c r="AF90" s="30" t="b">
        <v>0</v>
      </c>
      <c r="AH90" s="32" t="s">
        <v>91</v>
      </c>
      <c r="AI90" s="32"/>
      <c r="AJ90" s="32"/>
      <c r="AK90" s="32"/>
      <c r="AL90" s="30" t="s">
        <v>92</v>
      </c>
      <c r="AM90" s="30" t="s">
        <v>93</v>
      </c>
      <c r="AN90" s="30" t="s">
        <v>94</v>
      </c>
      <c r="AO90" s="30" t="s">
        <v>407</v>
      </c>
      <c r="AP90" s="30" t="s">
        <v>408</v>
      </c>
      <c r="AQ90" s="30" t="s">
        <v>409</v>
      </c>
      <c r="AR90" s="30" t="s">
        <v>145</v>
      </c>
      <c r="AT90" s="30" t="s">
        <v>99</v>
      </c>
      <c r="AU90" s="30" t="s">
        <v>100</v>
      </c>
      <c r="AV90" s="30" t="s">
        <v>101</v>
      </c>
      <c r="AW90" s="30" t="s">
        <v>102</v>
      </c>
      <c r="AX90" s="34" t="s">
        <v>349</v>
      </c>
      <c r="AY90" s="34" t="s">
        <v>149</v>
      </c>
      <c r="AZ90" s="34" t="s">
        <v>149</v>
      </c>
      <c r="BA90" s="34"/>
      <c r="BB90" s="34"/>
      <c r="BC90" s="34">
        <v>0</v>
      </c>
      <c r="BD90" s="34"/>
      <c r="BE90" s="34"/>
      <c r="BF90" s="34" t="b">
        <v>0</v>
      </c>
      <c r="BG90" s="34"/>
      <c r="BH90" s="34"/>
      <c r="BI90" s="34"/>
      <c r="BJ90" s="34"/>
      <c r="BK90" s="34"/>
      <c r="BL90" s="34"/>
      <c r="BM90" s="34" t="s">
        <v>168</v>
      </c>
      <c r="BN90" s="34"/>
      <c r="BO90" s="35"/>
      <c r="BP90" s="35"/>
      <c r="BQ90" s="35" t="s">
        <v>108</v>
      </c>
      <c r="BR90" s="36" t="e">
        <f>VLOOKUP(BQ90, Cat_Indicadores!B:C, 2, FALSE)</f>
        <v>#N/A</v>
      </c>
      <c r="BS90" s="35" t="s">
        <v>5592</v>
      </c>
      <c r="BT90" s="35"/>
    </row>
    <row r="91" spans="1:72">
      <c r="A91" s="29" t="s">
        <v>521</v>
      </c>
      <c r="B91" s="30" t="s">
        <v>522</v>
      </c>
      <c r="C91" s="31">
        <v>46195.505671296298</v>
      </c>
      <c r="D91" s="30">
        <v>92</v>
      </c>
      <c r="E91" s="30" t="s">
        <v>74</v>
      </c>
      <c r="F91" s="30" t="s">
        <v>75</v>
      </c>
      <c r="G91" s="30" t="s">
        <v>133</v>
      </c>
      <c r="H91" s="30" t="s">
        <v>77</v>
      </c>
      <c r="I91" s="30" t="s">
        <v>78</v>
      </c>
      <c r="J91" s="30" t="s">
        <v>79</v>
      </c>
      <c r="K91" s="32">
        <v>800</v>
      </c>
      <c r="L91" s="32" t="s">
        <v>211</v>
      </c>
      <c r="M91" s="30" t="s">
        <v>401</v>
      </c>
      <c r="N91" s="30" t="s">
        <v>402</v>
      </c>
      <c r="O91" s="30" t="s">
        <v>83</v>
      </c>
      <c r="P91" s="33">
        <v>46173</v>
      </c>
      <c r="Q91" s="33">
        <v>46173</v>
      </c>
      <c r="R91" s="32">
        <v>1</v>
      </c>
      <c r="S91" s="30" t="s">
        <v>84</v>
      </c>
      <c r="T91" s="30" t="s">
        <v>337</v>
      </c>
      <c r="U91" s="30" t="s">
        <v>349</v>
      </c>
      <c r="V91" s="30" t="s">
        <v>87</v>
      </c>
      <c r="W91" s="30" t="s">
        <v>88</v>
      </c>
      <c r="X91" s="30" t="s">
        <v>197</v>
      </c>
      <c r="Y91" s="30">
        <v>1</v>
      </c>
      <c r="AB91" s="30" t="b">
        <v>0</v>
      </c>
      <c r="AC91" s="30"/>
      <c r="AD91" s="30" t="b">
        <v>0</v>
      </c>
      <c r="AF91" s="30" t="b">
        <v>0</v>
      </c>
      <c r="AH91" s="32" t="s">
        <v>91</v>
      </c>
      <c r="AI91" s="32"/>
      <c r="AJ91" s="32"/>
      <c r="AK91" s="32"/>
      <c r="AL91" s="30" t="s">
        <v>92</v>
      </c>
      <c r="AM91" s="30" t="s">
        <v>93</v>
      </c>
      <c r="AN91" s="30" t="s">
        <v>94</v>
      </c>
      <c r="AO91" s="30" t="s">
        <v>407</v>
      </c>
      <c r="AP91" s="30" t="s">
        <v>408</v>
      </c>
      <c r="AQ91" s="30" t="s">
        <v>409</v>
      </c>
      <c r="AR91" s="30" t="s">
        <v>145</v>
      </c>
      <c r="AT91" s="30" t="s">
        <v>99</v>
      </c>
      <c r="AU91" s="30" t="s">
        <v>100</v>
      </c>
      <c r="AV91" s="30" t="s">
        <v>101</v>
      </c>
      <c r="AW91" s="30" t="s">
        <v>102</v>
      </c>
      <c r="AX91" s="34" t="s">
        <v>349</v>
      </c>
      <c r="AY91" s="34" t="s">
        <v>149</v>
      </c>
      <c r="AZ91" s="34" t="s">
        <v>149</v>
      </c>
      <c r="BA91" s="34"/>
      <c r="BB91" s="34"/>
      <c r="BC91" s="34">
        <v>0</v>
      </c>
      <c r="BD91" s="34"/>
      <c r="BE91" s="34"/>
      <c r="BF91" s="34" t="b">
        <v>0</v>
      </c>
      <c r="BG91" s="34"/>
      <c r="BH91" s="34"/>
      <c r="BI91" s="34"/>
      <c r="BJ91" s="34"/>
      <c r="BK91" s="34"/>
      <c r="BL91" s="34"/>
      <c r="BM91" s="34" t="s">
        <v>168</v>
      </c>
      <c r="BN91" s="34"/>
      <c r="BO91" s="35"/>
      <c r="BP91" s="35"/>
      <c r="BQ91" s="35" t="s">
        <v>108</v>
      </c>
      <c r="BR91" s="36" t="e">
        <f>VLOOKUP(BQ91, Cat_Indicadores!B:C, 2, FALSE)</f>
        <v>#N/A</v>
      </c>
      <c r="BS91" s="35" t="s">
        <v>5592</v>
      </c>
      <c r="BT91" s="35"/>
    </row>
    <row r="92" spans="1:72">
      <c r="A92" s="29" t="s">
        <v>523</v>
      </c>
      <c r="B92" s="30" t="s">
        <v>524</v>
      </c>
      <c r="C92" s="31">
        <v>46195.51116898148</v>
      </c>
      <c r="D92" s="30">
        <v>92</v>
      </c>
      <c r="E92" s="30" t="s">
        <v>74</v>
      </c>
      <c r="F92" s="30" t="s">
        <v>75</v>
      </c>
      <c r="G92" s="30" t="s">
        <v>133</v>
      </c>
      <c r="H92" s="30" t="s">
        <v>77</v>
      </c>
      <c r="I92" s="30" t="s">
        <v>78</v>
      </c>
      <c r="J92" s="30" t="s">
        <v>79</v>
      </c>
      <c r="K92" s="32">
        <v>800</v>
      </c>
      <c r="L92" s="32" t="s">
        <v>211</v>
      </c>
      <c r="M92" s="30" t="s">
        <v>401</v>
      </c>
      <c r="N92" s="30" t="s">
        <v>402</v>
      </c>
      <c r="O92" s="30" t="s">
        <v>83</v>
      </c>
      <c r="P92" s="33">
        <v>46173</v>
      </c>
      <c r="Q92" s="33">
        <v>46173</v>
      </c>
      <c r="R92" s="32">
        <v>1</v>
      </c>
      <c r="S92" s="30" t="s">
        <v>84</v>
      </c>
      <c r="T92" s="30" t="s">
        <v>337</v>
      </c>
      <c r="U92" s="30" t="s">
        <v>349</v>
      </c>
      <c r="V92" s="30" t="s">
        <v>87</v>
      </c>
      <c r="W92" s="30" t="s">
        <v>88</v>
      </c>
      <c r="X92" s="30" t="s">
        <v>197</v>
      </c>
      <c r="Y92" s="30">
        <v>2</v>
      </c>
      <c r="AB92" s="30" t="b">
        <v>0</v>
      </c>
      <c r="AC92" s="30"/>
      <c r="AD92" s="30" t="b">
        <v>0</v>
      </c>
      <c r="AF92" s="30" t="b">
        <v>0</v>
      </c>
      <c r="AH92" s="32" t="s">
        <v>91</v>
      </c>
      <c r="AI92" s="32"/>
      <c r="AJ92" s="32"/>
      <c r="AK92" s="32"/>
      <c r="AL92" s="30" t="s">
        <v>92</v>
      </c>
      <c r="AM92" s="30" t="s">
        <v>93</v>
      </c>
      <c r="AN92" s="30" t="s">
        <v>94</v>
      </c>
      <c r="AO92" s="30" t="s">
        <v>407</v>
      </c>
      <c r="AP92" s="30" t="s">
        <v>408</v>
      </c>
      <c r="AQ92" s="30" t="s">
        <v>409</v>
      </c>
      <c r="AR92" s="30" t="s">
        <v>145</v>
      </c>
      <c r="AT92" s="30" t="s">
        <v>99</v>
      </c>
      <c r="AU92" s="30" t="s">
        <v>100</v>
      </c>
      <c r="AV92" s="30" t="s">
        <v>101</v>
      </c>
      <c r="AW92" s="30" t="s">
        <v>102</v>
      </c>
      <c r="AX92" s="34" t="s">
        <v>349</v>
      </c>
      <c r="AY92" s="34" t="s">
        <v>149</v>
      </c>
      <c r="AZ92" s="34" t="s">
        <v>149</v>
      </c>
      <c r="BA92" s="34"/>
      <c r="BB92" s="34"/>
      <c r="BC92" s="34">
        <v>0</v>
      </c>
      <c r="BD92" s="34"/>
      <c r="BE92" s="34"/>
      <c r="BF92" s="34" t="b">
        <v>0</v>
      </c>
      <c r="BG92" s="34"/>
      <c r="BH92" s="34"/>
      <c r="BI92" s="34"/>
      <c r="BJ92" s="34"/>
      <c r="BK92" s="34"/>
      <c r="BL92" s="34"/>
      <c r="BM92" s="34" t="s">
        <v>168</v>
      </c>
      <c r="BN92" s="34"/>
      <c r="BO92" s="35"/>
      <c r="BP92" s="35"/>
      <c r="BQ92" s="35" t="s">
        <v>108</v>
      </c>
      <c r="BR92" s="36" t="e">
        <f>VLOOKUP(BQ92, Cat_Indicadores!B:C, 2, FALSE)</f>
        <v>#N/A</v>
      </c>
      <c r="BS92" s="35" t="s">
        <v>5592</v>
      </c>
      <c r="BT92" s="35"/>
    </row>
    <row r="93" spans="1:72">
      <c r="A93" s="29" t="s">
        <v>525</v>
      </c>
      <c r="B93" s="30" t="s">
        <v>526</v>
      </c>
      <c r="C93" s="31">
        <v>46195.513564814813</v>
      </c>
      <c r="D93" s="30">
        <v>92</v>
      </c>
      <c r="E93" s="30" t="s">
        <v>74</v>
      </c>
      <c r="F93" s="30" t="s">
        <v>75</v>
      </c>
      <c r="G93" s="30" t="s">
        <v>133</v>
      </c>
      <c r="H93" s="30" t="s">
        <v>77</v>
      </c>
      <c r="I93" s="30" t="s">
        <v>78</v>
      </c>
      <c r="J93" s="30" t="s">
        <v>79</v>
      </c>
      <c r="K93" s="32">
        <v>800</v>
      </c>
      <c r="L93" s="32" t="s">
        <v>211</v>
      </c>
      <c r="M93" s="30" t="s">
        <v>527</v>
      </c>
      <c r="N93" s="30" t="s">
        <v>402</v>
      </c>
      <c r="O93" s="30" t="s">
        <v>83</v>
      </c>
      <c r="P93" s="33">
        <v>46164</v>
      </c>
      <c r="Q93" s="33">
        <v>46164</v>
      </c>
      <c r="R93" s="32">
        <v>1</v>
      </c>
      <c r="S93" s="30" t="s">
        <v>84</v>
      </c>
      <c r="T93" s="30" t="s">
        <v>337</v>
      </c>
      <c r="U93" s="30" t="s">
        <v>349</v>
      </c>
      <c r="V93" s="30" t="s">
        <v>87</v>
      </c>
      <c r="W93" s="30" t="s">
        <v>88</v>
      </c>
      <c r="X93" s="30" t="s">
        <v>197</v>
      </c>
      <c r="Y93" s="30">
        <v>2</v>
      </c>
      <c r="AB93" s="30" t="b">
        <v>0</v>
      </c>
      <c r="AC93" s="30"/>
      <c r="AD93" s="30" t="b">
        <v>0</v>
      </c>
      <c r="AF93" s="30" t="b">
        <v>0</v>
      </c>
      <c r="AH93" s="32" t="s">
        <v>91</v>
      </c>
      <c r="AI93" s="32"/>
      <c r="AJ93" s="32"/>
      <c r="AK93" s="32"/>
      <c r="AL93" s="30" t="s">
        <v>92</v>
      </c>
      <c r="AM93" s="30" t="s">
        <v>93</v>
      </c>
      <c r="AN93" s="30" t="s">
        <v>94</v>
      </c>
      <c r="AO93" s="30" t="s">
        <v>407</v>
      </c>
      <c r="AP93" s="30" t="s">
        <v>408</v>
      </c>
      <c r="AQ93" s="30" t="s">
        <v>409</v>
      </c>
      <c r="AR93" s="30" t="s">
        <v>145</v>
      </c>
      <c r="AT93" s="30" t="s">
        <v>99</v>
      </c>
      <c r="AU93" s="30" t="s">
        <v>100</v>
      </c>
      <c r="AV93" s="30" t="s">
        <v>101</v>
      </c>
      <c r="AW93" s="30" t="s">
        <v>102</v>
      </c>
      <c r="AX93" s="34" t="s">
        <v>349</v>
      </c>
      <c r="AY93" s="34" t="s">
        <v>149</v>
      </c>
      <c r="AZ93" s="34"/>
      <c r="BA93" s="34"/>
      <c r="BB93" s="34"/>
      <c r="BC93" s="34">
        <v>0</v>
      </c>
      <c r="BD93" s="34"/>
      <c r="BE93" s="34"/>
      <c r="BF93" s="34" t="b">
        <v>0</v>
      </c>
      <c r="BG93" s="34"/>
      <c r="BH93" s="34"/>
      <c r="BI93" s="34"/>
      <c r="BJ93" s="34"/>
      <c r="BK93" s="34"/>
      <c r="BL93" s="34"/>
      <c r="BM93" s="34" t="s">
        <v>168</v>
      </c>
      <c r="BN93" s="34"/>
      <c r="BO93" s="35"/>
      <c r="BP93" s="35"/>
      <c r="BQ93" s="35" t="s">
        <v>108</v>
      </c>
      <c r="BR93" s="36" t="e">
        <f>VLOOKUP(BQ93, Cat_Indicadores!B:C, 2, FALSE)</f>
        <v>#N/A</v>
      </c>
      <c r="BS93" s="35" t="s">
        <v>5592</v>
      </c>
      <c r="BT93" s="35"/>
    </row>
    <row r="94" spans="1:72">
      <c r="A94" s="29" t="s">
        <v>528</v>
      </c>
      <c r="B94" s="30" t="s">
        <v>529</v>
      </c>
      <c r="C94" s="31">
        <v>46195.517523148148</v>
      </c>
      <c r="D94" s="30">
        <v>92</v>
      </c>
      <c r="E94" s="30" t="s">
        <v>74</v>
      </c>
      <c r="F94" s="30" t="s">
        <v>75</v>
      </c>
      <c r="G94" s="30" t="s">
        <v>133</v>
      </c>
      <c r="H94" s="30" t="s">
        <v>77</v>
      </c>
      <c r="I94" s="30" t="s">
        <v>78</v>
      </c>
      <c r="J94" s="30" t="s">
        <v>79</v>
      </c>
      <c r="K94" s="32">
        <v>800</v>
      </c>
      <c r="L94" s="32" t="s">
        <v>211</v>
      </c>
      <c r="M94" s="30" t="s">
        <v>530</v>
      </c>
      <c r="N94" s="30" t="s">
        <v>402</v>
      </c>
      <c r="O94" s="30" t="s">
        <v>83</v>
      </c>
      <c r="P94" s="33">
        <v>46164</v>
      </c>
      <c r="Q94" s="33">
        <v>46164</v>
      </c>
      <c r="R94" s="32">
        <v>1</v>
      </c>
      <c r="S94" s="30" t="s">
        <v>84</v>
      </c>
      <c r="T94" s="30" t="s">
        <v>337</v>
      </c>
      <c r="U94" s="30" t="s">
        <v>349</v>
      </c>
      <c r="V94" s="30" t="s">
        <v>87</v>
      </c>
      <c r="W94" s="30" t="s">
        <v>88</v>
      </c>
      <c r="X94" s="30" t="s">
        <v>197</v>
      </c>
      <c r="Y94" s="30">
        <v>5</v>
      </c>
      <c r="AB94" s="30" t="b">
        <v>0</v>
      </c>
      <c r="AC94" s="30"/>
      <c r="AD94" s="30" t="b">
        <v>0</v>
      </c>
      <c r="AF94" s="30" t="b">
        <v>0</v>
      </c>
      <c r="AH94" s="32" t="s">
        <v>91</v>
      </c>
      <c r="AI94" s="32"/>
      <c r="AJ94" s="32"/>
      <c r="AK94" s="32"/>
      <c r="AL94" s="30" t="s">
        <v>92</v>
      </c>
      <c r="AM94" s="30" t="s">
        <v>93</v>
      </c>
      <c r="AN94" s="30" t="s">
        <v>94</v>
      </c>
      <c r="AO94" s="30" t="s">
        <v>407</v>
      </c>
      <c r="AP94" s="30" t="s">
        <v>408</v>
      </c>
      <c r="AQ94" s="30" t="s">
        <v>409</v>
      </c>
      <c r="AR94" s="30" t="s">
        <v>145</v>
      </c>
      <c r="AT94" s="30" t="s">
        <v>99</v>
      </c>
      <c r="AU94" s="30" t="s">
        <v>100</v>
      </c>
      <c r="AV94" s="30" t="s">
        <v>101</v>
      </c>
      <c r="AW94" s="30" t="s">
        <v>102</v>
      </c>
      <c r="AX94" s="34" t="s">
        <v>349</v>
      </c>
      <c r="AY94" s="34" t="s">
        <v>149</v>
      </c>
      <c r="AZ94" s="34" t="s">
        <v>149</v>
      </c>
      <c r="BA94" s="34"/>
      <c r="BB94" s="34"/>
      <c r="BC94" s="34">
        <v>0</v>
      </c>
      <c r="BD94" s="34"/>
      <c r="BE94" s="34"/>
      <c r="BF94" s="34" t="b">
        <v>0</v>
      </c>
      <c r="BG94" s="34"/>
      <c r="BH94" s="34"/>
      <c r="BI94" s="34"/>
      <c r="BJ94" s="34"/>
      <c r="BK94" s="34"/>
      <c r="BL94" s="34"/>
      <c r="BM94" s="34" t="s">
        <v>168</v>
      </c>
      <c r="BN94" s="34"/>
      <c r="BO94" s="35"/>
      <c r="BP94" s="35"/>
      <c r="BQ94" s="35" t="s">
        <v>108</v>
      </c>
      <c r="BR94" s="36" t="e">
        <f>VLOOKUP(BQ94, Cat_Indicadores!B:C, 2, FALSE)</f>
        <v>#N/A</v>
      </c>
      <c r="BS94" s="35" t="s">
        <v>5592</v>
      </c>
      <c r="BT94" s="35"/>
    </row>
    <row r="95" spans="1:72">
      <c r="A95" s="29" t="s">
        <v>531</v>
      </c>
      <c r="B95" s="30" t="s">
        <v>532</v>
      </c>
      <c r="C95" s="31">
        <v>46195.520196759258</v>
      </c>
      <c r="D95" s="30">
        <v>92</v>
      </c>
      <c r="E95" s="30" t="s">
        <v>74</v>
      </c>
      <c r="F95" s="30" t="s">
        <v>75</v>
      </c>
      <c r="G95" s="30" t="s">
        <v>133</v>
      </c>
      <c r="H95" s="30" t="s">
        <v>77</v>
      </c>
      <c r="I95" s="30" t="s">
        <v>78</v>
      </c>
      <c r="J95" s="30" t="s">
        <v>79</v>
      </c>
      <c r="K95" s="32">
        <v>800</v>
      </c>
      <c r="L95" s="32" t="s">
        <v>211</v>
      </c>
      <c r="M95" s="30" t="s">
        <v>456</v>
      </c>
      <c r="N95" s="30" t="s">
        <v>402</v>
      </c>
      <c r="O95" s="30" t="s">
        <v>83</v>
      </c>
      <c r="P95" s="33">
        <v>46163</v>
      </c>
      <c r="Q95" s="33">
        <v>46163</v>
      </c>
      <c r="R95" s="32">
        <v>1</v>
      </c>
      <c r="S95" s="30" t="s">
        <v>84</v>
      </c>
      <c r="T95" s="30" t="s">
        <v>337</v>
      </c>
      <c r="U95" s="30" t="s">
        <v>349</v>
      </c>
      <c r="V95" s="30" t="s">
        <v>87</v>
      </c>
      <c r="W95" s="30" t="s">
        <v>88</v>
      </c>
      <c r="X95" s="30" t="s">
        <v>197</v>
      </c>
      <c r="Y95" s="30">
        <v>5</v>
      </c>
      <c r="AB95" s="30" t="b">
        <v>0</v>
      </c>
      <c r="AC95" s="30"/>
      <c r="AD95" s="30" t="b">
        <v>0</v>
      </c>
      <c r="AF95" s="30" t="b">
        <v>0</v>
      </c>
      <c r="AH95" s="32" t="s">
        <v>91</v>
      </c>
      <c r="AI95" s="32"/>
      <c r="AJ95" s="32"/>
      <c r="AK95" s="32"/>
      <c r="AL95" s="30" t="s">
        <v>92</v>
      </c>
      <c r="AM95" s="30" t="s">
        <v>93</v>
      </c>
      <c r="AN95" s="30" t="s">
        <v>94</v>
      </c>
      <c r="AO95" s="30" t="s">
        <v>407</v>
      </c>
      <c r="AP95" s="30" t="s">
        <v>408</v>
      </c>
      <c r="AQ95" s="30" t="s">
        <v>409</v>
      </c>
      <c r="AR95" s="30" t="s">
        <v>145</v>
      </c>
      <c r="AT95" s="30" t="s">
        <v>99</v>
      </c>
      <c r="AU95" s="30" t="s">
        <v>100</v>
      </c>
      <c r="AV95" s="30" t="s">
        <v>101</v>
      </c>
      <c r="AW95" s="30" t="s">
        <v>102</v>
      </c>
      <c r="AX95" s="34" t="s">
        <v>349</v>
      </c>
      <c r="AY95" s="34" t="s">
        <v>149</v>
      </c>
      <c r="AZ95" s="34" t="s">
        <v>149</v>
      </c>
      <c r="BA95" s="34"/>
      <c r="BB95" s="34"/>
      <c r="BC95" s="34">
        <v>0</v>
      </c>
      <c r="BD95" s="34"/>
      <c r="BE95" s="34"/>
      <c r="BF95" s="34" t="b">
        <v>0</v>
      </c>
      <c r="BG95" s="34"/>
      <c r="BH95" s="34"/>
      <c r="BI95" s="34"/>
      <c r="BJ95" s="34"/>
      <c r="BK95" s="34"/>
      <c r="BL95" s="34"/>
      <c r="BM95" s="34" t="s">
        <v>168</v>
      </c>
      <c r="BN95" s="34"/>
      <c r="BO95" s="35"/>
      <c r="BP95" s="35"/>
      <c r="BQ95" s="35" t="s">
        <v>108</v>
      </c>
      <c r="BR95" s="36" t="e">
        <f>VLOOKUP(BQ95, Cat_Indicadores!B:C, 2, FALSE)</f>
        <v>#N/A</v>
      </c>
      <c r="BS95" s="35" t="s">
        <v>5592</v>
      </c>
      <c r="BT95" s="35"/>
    </row>
    <row r="96" spans="1:72">
      <c r="A96" s="29" t="s">
        <v>533</v>
      </c>
      <c r="B96" s="30" t="s">
        <v>534</v>
      </c>
      <c r="C96" s="31">
        <v>46195.526226851849</v>
      </c>
      <c r="D96" s="30">
        <v>92</v>
      </c>
      <c r="E96" s="30" t="s">
        <v>74</v>
      </c>
      <c r="F96" s="30" t="s">
        <v>75</v>
      </c>
      <c r="G96" s="30" t="s">
        <v>133</v>
      </c>
      <c r="H96" s="30" t="s">
        <v>77</v>
      </c>
      <c r="I96" s="30" t="s">
        <v>78</v>
      </c>
      <c r="J96" s="30" t="s">
        <v>79</v>
      </c>
      <c r="K96" s="32">
        <v>800</v>
      </c>
      <c r="L96" s="32" t="s">
        <v>211</v>
      </c>
      <c r="M96" s="30" t="s">
        <v>535</v>
      </c>
      <c r="N96" s="30" t="s">
        <v>536</v>
      </c>
      <c r="O96" s="30" t="s">
        <v>83</v>
      </c>
      <c r="P96" s="33">
        <v>46175</v>
      </c>
      <c r="Q96" s="33">
        <v>46175</v>
      </c>
      <c r="R96" s="32">
        <v>1</v>
      </c>
      <c r="S96" s="30" t="s">
        <v>214</v>
      </c>
      <c r="T96" s="30" t="s">
        <v>333</v>
      </c>
      <c r="U96" s="30" t="s">
        <v>221</v>
      </c>
      <c r="V96" s="30" t="s">
        <v>87</v>
      </c>
      <c r="W96" s="30" t="s">
        <v>88</v>
      </c>
      <c r="X96" s="30" t="s">
        <v>197</v>
      </c>
      <c r="Y96" s="30">
        <v>5</v>
      </c>
      <c r="AB96" s="30" t="b">
        <v>0</v>
      </c>
      <c r="AC96" s="30"/>
      <c r="AD96" s="30" t="b">
        <v>0</v>
      </c>
      <c r="AF96" s="30" t="b">
        <v>0</v>
      </c>
      <c r="AH96" s="32" t="s">
        <v>91</v>
      </c>
      <c r="AI96" s="32"/>
      <c r="AJ96" s="32"/>
      <c r="AK96" s="32"/>
      <c r="AL96" s="30" t="s">
        <v>92</v>
      </c>
      <c r="AM96" s="30" t="s">
        <v>93</v>
      </c>
      <c r="AN96" s="30" t="s">
        <v>199</v>
      </c>
      <c r="AO96" s="30" t="s">
        <v>200</v>
      </c>
      <c r="AP96" s="30" t="s">
        <v>201</v>
      </c>
      <c r="AQ96" s="30" t="s">
        <v>202</v>
      </c>
      <c r="AR96" s="30" t="s">
        <v>145</v>
      </c>
      <c r="AT96" s="30" t="s">
        <v>99</v>
      </c>
      <c r="AU96" s="30" t="s">
        <v>100</v>
      </c>
      <c r="AV96" s="30" t="s">
        <v>101</v>
      </c>
      <c r="AW96" s="30" t="s">
        <v>102</v>
      </c>
      <c r="AX96" s="34" t="s">
        <v>221</v>
      </c>
      <c r="AY96" s="34" t="s">
        <v>149</v>
      </c>
      <c r="AZ96" s="34" t="s">
        <v>149</v>
      </c>
      <c r="BA96" s="34"/>
      <c r="BB96" s="34"/>
      <c r="BC96" s="34">
        <v>0</v>
      </c>
      <c r="BD96" s="34"/>
      <c r="BE96" s="34"/>
      <c r="BF96" s="34" t="b">
        <v>0</v>
      </c>
      <c r="BG96" s="34"/>
      <c r="BH96" s="34"/>
      <c r="BI96" s="34"/>
      <c r="BJ96" s="34"/>
      <c r="BK96" s="34"/>
      <c r="BL96" s="34"/>
      <c r="BM96" s="34" t="s">
        <v>168</v>
      </c>
      <c r="BN96" s="34"/>
      <c r="BO96" s="35"/>
      <c r="BP96" s="35"/>
      <c r="BQ96" s="35" t="s">
        <v>108</v>
      </c>
      <c r="BR96" s="36" t="e">
        <f>VLOOKUP(BQ96, Cat_Indicadores!B:C, 2, FALSE)</f>
        <v>#N/A</v>
      </c>
      <c r="BS96" s="35" t="s">
        <v>5592</v>
      </c>
      <c r="BT96" s="35"/>
    </row>
    <row r="97" spans="1:72">
      <c r="A97" s="29" t="s">
        <v>537</v>
      </c>
      <c r="B97" s="30" t="s">
        <v>538</v>
      </c>
      <c r="C97" s="31">
        <v>46195.536956018521</v>
      </c>
      <c r="D97" s="30">
        <v>92</v>
      </c>
      <c r="E97" s="30" t="s">
        <v>74</v>
      </c>
      <c r="F97" s="30" t="s">
        <v>75</v>
      </c>
      <c r="G97" s="30" t="s">
        <v>133</v>
      </c>
      <c r="H97" s="30" t="s">
        <v>77</v>
      </c>
      <c r="I97" s="30" t="s">
        <v>78</v>
      </c>
      <c r="J97" s="30" t="s">
        <v>79</v>
      </c>
      <c r="K97" s="32">
        <v>800</v>
      </c>
      <c r="L97" s="32" t="s">
        <v>211</v>
      </c>
      <c r="M97" s="30" t="s">
        <v>539</v>
      </c>
      <c r="N97" s="30" t="s">
        <v>540</v>
      </c>
      <c r="O97" s="30" t="s">
        <v>83</v>
      </c>
      <c r="P97" s="33">
        <v>46176</v>
      </c>
      <c r="Q97" s="33">
        <v>46176</v>
      </c>
      <c r="R97" s="32">
        <v>1</v>
      </c>
      <c r="S97" s="30" t="s">
        <v>84</v>
      </c>
      <c r="T97" s="30" t="s">
        <v>337</v>
      </c>
      <c r="U97" s="30" t="s">
        <v>160</v>
      </c>
      <c r="V97" s="30" t="s">
        <v>87</v>
      </c>
      <c r="W97" s="30" t="s">
        <v>88</v>
      </c>
      <c r="X97" s="30" t="s">
        <v>197</v>
      </c>
      <c r="Y97" s="30">
        <v>5</v>
      </c>
      <c r="AB97" s="30" t="b">
        <v>0</v>
      </c>
      <c r="AC97" s="30"/>
      <c r="AD97" s="30" t="b">
        <v>0</v>
      </c>
      <c r="AF97" s="30" t="b">
        <v>0</v>
      </c>
      <c r="AH97" s="32" t="s">
        <v>91</v>
      </c>
      <c r="AI97" s="32"/>
      <c r="AJ97" s="32"/>
      <c r="AK97" s="32"/>
      <c r="AL97" s="30" t="s">
        <v>92</v>
      </c>
      <c r="AM97" s="30" t="s">
        <v>93</v>
      </c>
      <c r="AN97" s="30" t="s">
        <v>199</v>
      </c>
      <c r="AO97" s="30" t="s">
        <v>200</v>
      </c>
      <c r="AP97" s="30" t="s">
        <v>201</v>
      </c>
      <c r="AQ97" s="30" t="s">
        <v>202</v>
      </c>
      <c r="AR97" s="30" t="s">
        <v>145</v>
      </c>
      <c r="AT97" s="30" t="s">
        <v>99</v>
      </c>
      <c r="AU97" s="30" t="s">
        <v>100</v>
      </c>
      <c r="AV97" s="30" t="s">
        <v>101</v>
      </c>
      <c r="AW97" s="30" t="s">
        <v>102</v>
      </c>
      <c r="AX97" s="34" t="s">
        <v>160</v>
      </c>
      <c r="AY97" s="34" t="s">
        <v>149</v>
      </c>
      <c r="AZ97" s="34" t="s">
        <v>149</v>
      </c>
      <c r="BA97" s="34"/>
      <c r="BB97" s="34"/>
      <c r="BC97" s="34">
        <v>0</v>
      </c>
      <c r="BD97" s="34"/>
      <c r="BE97" s="34"/>
      <c r="BF97" s="34" t="b">
        <v>0</v>
      </c>
      <c r="BG97" s="34"/>
      <c r="BH97" s="34"/>
      <c r="BI97" s="34"/>
      <c r="BJ97" s="34"/>
      <c r="BK97" s="34"/>
      <c r="BL97" s="34"/>
      <c r="BM97" s="34" t="s">
        <v>168</v>
      </c>
      <c r="BN97" s="34"/>
      <c r="BO97" s="35"/>
      <c r="BP97" s="35"/>
      <c r="BQ97" s="35" t="s">
        <v>108</v>
      </c>
      <c r="BR97" s="36" t="e">
        <f>VLOOKUP(BQ97, Cat_Indicadores!B:C, 2, FALSE)</f>
        <v>#N/A</v>
      </c>
      <c r="BS97" s="35" t="s">
        <v>5592</v>
      </c>
      <c r="BT97" s="35"/>
    </row>
    <row r="98" spans="1:72">
      <c r="A98" s="29" t="s">
        <v>541</v>
      </c>
      <c r="B98" s="30" t="s">
        <v>542</v>
      </c>
      <c r="C98" s="31">
        <v>46195.68273148148</v>
      </c>
      <c r="D98" s="30">
        <v>92</v>
      </c>
      <c r="E98" s="30" t="s">
        <v>74</v>
      </c>
      <c r="F98" s="30" t="s">
        <v>75</v>
      </c>
      <c r="G98" s="30" t="s">
        <v>133</v>
      </c>
      <c r="H98" s="30" t="s">
        <v>77</v>
      </c>
      <c r="I98" s="30" t="s">
        <v>78</v>
      </c>
      <c r="J98" s="30" t="s">
        <v>79</v>
      </c>
      <c r="K98" s="32">
        <v>800</v>
      </c>
      <c r="L98" s="32" t="s">
        <v>211</v>
      </c>
      <c r="M98" s="30" t="s">
        <v>543</v>
      </c>
      <c r="N98" s="30" t="s">
        <v>544</v>
      </c>
      <c r="O98" s="30" t="s">
        <v>83</v>
      </c>
      <c r="P98" s="33">
        <v>46176</v>
      </c>
      <c r="Q98" s="33">
        <v>46176</v>
      </c>
      <c r="R98" s="32">
        <v>1</v>
      </c>
      <c r="S98" s="30" t="s">
        <v>264</v>
      </c>
      <c r="T98" s="30" t="s">
        <v>265</v>
      </c>
      <c r="U98" s="30" t="s">
        <v>497</v>
      </c>
      <c r="V98" s="30" t="s">
        <v>87</v>
      </c>
      <c r="W98" s="30" t="s">
        <v>88</v>
      </c>
      <c r="X98" s="30" t="s">
        <v>197</v>
      </c>
      <c r="Y98" s="30">
        <v>2</v>
      </c>
      <c r="AB98" s="30" t="b">
        <v>0</v>
      </c>
      <c r="AC98" s="30"/>
      <c r="AD98" s="30" t="b">
        <v>0</v>
      </c>
      <c r="AF98" s="30" t="b">
        <v>0</v>
      </c>
      <c r="AH98" s="32" t="s">
        <v>91</v>
      </c>
      <c r="AI98" s="32"/>
      <c r="AJ98" s="32"/>
      <c r="AK98" s="32"/>
      <c r="AL98" s="30" t="s">
        <v>92</v>
      </c>
      <c r="AM98" s="30" t="s">
        <v>251</v>
      </c>
      <c r="AN98" s="30" t="s">
        <v>266</v>
      </c>
      <c r="AO98" s="30" t="s">
        <v>267</v>
      </c>
      <c r="AP98" s="30" t="s">
        <v>268</v>
      </c>
      <c r="AQ98" s="30" t="s">
        <v>269</v>
      </c>
      <c r="AR98" s="30" t="s">
        <v>145</v>
      </c>
      <c r="AT98" s="30" t="s">
        <v>99</v>
      </c>
      <c r="AU98" s="30" t="s">
        <v>100</v>
      </c>
      <c r="AV98" s="30" t="s">
        <v>101</v>
      </c>
      <c r="AW98" s="30" t="s">
        <v>102</v>
      </c>
      <c r="AX98" s="34" t="s">
        <v>497</v>
      </c>
      <c r="AY98" s="34" t="s">
        <v>149</v>
      </c>
      <c r="AZ98" s="34" t="s">
        <v>149</v>
      </c>
      <c r="BA98" s="34"/>
      <c r="BB98" s="34"/>
      <c r="BC98" s="34">
        <v>0</v>
      </c>
      <c r="BD98" s="34"/>
      <c r="BE98" s="34"/>
      <c r="BF98" s="34" t="b">
        <v>0</v>
      </c>
      <c r="BG98" s="34"/>
      <c r="BH98" s="34"/>
      <c r="BI98" s="34"/>
      <c r="BJ98" s="34"/>
      <c r="BK98" s="34"/>
      <c r="BL98" s="34"/>
      <c r="BM98" s="34" t="s">
        <v>168</v>
      </c>
      <c r="BN98" s="34"/>
      <c r="BO98" s="35"/>
      <c r="BP98" s="35"/>
      <c r="BQ98" s="35" t="s">
        <v>108</v>
      </c>
      <c r="BR98" s="36" t="e">
        <f>VLOOKUP(BQ98, Cat_Indicadores!B:C, 2, FALSE)</f>
        <v>#N/A</v>
      </c>
      <c r="BS98" s="35" t="s">
        <v>5592</v>
      </c>
      <c r="BT98" s="35"/>
    </row>
    <row r="99" spans="1:72">
      <c r="A99" s="29" t="s">
        <v>545</v>
      </c>
      <c r="B99" s="30" t="s">
        <v>546</v>
      </c>
      <c r="C99" s="31">
        <v>46196.413449074076</v>
      </c>
      <c r="D99" s="30">
        <v>92</v>
      </c>
      <c r="E99" s="30" t="s">
        <v>74</v>
      </c>
      <c r="F99" s="30" t="s">
        <v>75</v>
      </c>
      <c r="G99" s="30" t="s">
        <v>133</v>
      </c>
      <c r="H99" s="30" t="s">
        <v>77</v>
      </c>
      <c r="I99" s="30" t="s">
        <v>78</v>
      </c>
      <c r="J99" s="30" t="s">
        <v>79</v>
      </c>
      <c r="K99" s="32">
        <v>800</v>
      </c>
      <c r="L99" s="32" t="s">
        <v>211</v>
      </c>
      <c r="M99" s="30" t="s">
        <v>547</v>
      </c>
      <c r="N99" s="30" t="s">
        <v>548</v>
      </c>
      <c r="O99" s="30" t="s">
        <v>83</v>
      </c>
      <c r="P99" s="33">
        <v>46177</v>
      </c>
      <c r="Q99" s="33">
        <v>46177</v>
      </c>
      <c r="R99" s="32">
        <v>1</v>
      </c>
      <c r="S99" s="30" t="s">
        <v>264</v>
      </c>
      <c r="T99" s="30" t="s">
        <v>265</v>
      </c>
      <c r="U99" s="30" t="s">
        <v>86</v>
      </c>
      <c r="V99" s="30" t="s">
        <v>87</v>
      </c>
      <c r="W99" s="30" t="s">
        <v>88</v>
      </c>
      <c r="X99" s="30" t="s">
        <v>197</v>
      </c>
      <c r="Y99" s="30">
        <v>6</v>
      </c>
      <c r="AB99" s="30" t="b">
        <v>0</v>
      </c>
      <c r="AC99" s="30"/>
      <c r="AD99" s="30" t="b">
        <v>0</v>
      </c>
      <c r="AF99" s="30" t="b">
        <v>0</v>
      </c>
      <c r="AH99" s="32" t="s">
        <v>91</v>
      </c>
      <c r="AI99" s="32"/>
      <c r="AJ99" s="32"/>
      <c r="AK99" s="32"/>
      <c r="AL99" s="30" t="s">
        <v>92</v>
      </c>
      <c r="AM99" s="30" t="s">
        <v>251</v>
      </c>
      <c r="AN99" s="30" t="s">
        <v>266</v>
      </c>
      <c r="AO99" s="30" t="s">
        <v>267</v>
      </c>
      <c r="AP99" s="30" t="s">
        <v>268</v>
      </c>
      <c r="AQ99" s="30" t="s">
        <v>269</v>
      </c>
      <c r="AR99" s="30" t="s">
        <v>145</v>
      </c>
      <c r="AT99" s="30" t="s">
        <v>99</v>
      </c>
      <c r="AU99" s="30" t="s">
        <v>100</v>
      </c>
      <c r="AV99" s="30" t="s">
        <v>101</v>
      </c>
      <c r="AW99" s="30" t="s">
        <v>102</v>
      </c>
      <c r="AX99" s="34" t="s">
        <v>86</v>
      </c>
      <c r="AY99" s="34" t="s">
        <v>149</v>
      </c>
      <c r="AZ99" s="34" t="s">
        <v>149</v>
      </c>
      <c r="BA99" s="34"/>
      <c r="BB99" s="34"/>
      <c r="BC99" s="34">
        <v>0</v>
      </c>
      <c r="BD99" s="34"/>
      <c r="BE99" s="34"/>
      <c r="BF99" s="34" t="b">
        <v>0</v>
      </c>
      <c r="BG99" s="34"/>
      <c r="BH99" s="34"/>
      <c r="BI99" s="34"/>
      <c r="BJ99" s="34"/>
      <c r="BK99" s="34"/>
      <c r="BL99" s="34"/>
      <c r="BM99" s="34" t="s">
        <v>168</v>
      </c>
      <c r="BN99" s="34"/>
      <c r="BO99" s="35"/>
      <c r="BP99" s="35"/>
      <c r="BQ99" s="35" t="s">
        <v>108</v>
      </c>
      <c r="BR99" s="36" t="e">
        <f>VLOOKUP(BQ99, Cat_Indicadores!B:C, 2, FALSE)</f>
        <v>#N/A</v>
      </c>
      <c r="BS99" s="35" t="s">
        <v>5592</v>
      </c>
      <c r="BT99" s="35"/>
    </row>
    <row r="100" spans="1:72">
      <c r="A100" s="29" t="s">
        <v>549</v>
      </c>
      <c r="B100" s="30" t="s">
        <v>550</v>
      </c>
      <c r="C100" s="31">
        <v>46196.416805555556</v>
      </c>
      <c r="D100" s="30">
        <v>92</v>
      </c>
      <c r="E100" s="30" t="s">
        <v>74</v>
      </c>
      <c r="F100" s="30" t="s">
        <v>75</v>
      </c>
      <c r="G100" s="30" t="s">
        <v>133</v>
      </c>
      <c r="H100" s="30" t="s">
        <v>77</v>
      </c>
      <c r="I100" s="30" t="s">
        <v>78</v>
      </c>
      <c r="J100" s="30" t="s">
        <v>79</v>
      </c>
      <c r="K100" s="32">
        <v>800</v>
      </c>
      <c r="L100" s="32" t="s">
        <v>211</v>
      </c>
      <c r="M100" s="30" t="s">
        <v>551</v>
      </c>
      <c r="N100" s="30" t="s">
        <v>552</v>
      </c>
      <c r="O100" s="30" t="s">
        <v>83</v>
      </c>
      <c r="P100" s="33">
        <v>46178</v>
      </c>
      <c r="Q100" s="33">
        <v>46178</v>
      </c>
      <c r="R100" s="32">
        <v>1</v>
      </c>
      <c r="S100" s="30" t="s">
        <v>243</v>
      </c>
      <c r="T100" s="30" t="s">
        <v>274</v>
      </c>
      <c r="U100" s="30" t="s">
        <v>86</v>
      </c>
      <c r="V100" s="30" t="s">
        <v>87</v>
      </c>
      <c r="W100" s="30" t="s">
        <v>88</v>
      </c>
      <c r="X100" s="30" t="s">
        <v>197</v>
      </c>
      <c r="Y100" s="30">
        <v>2</v>
      </c>
      <c r="AB100" s="30" t="b">
        <v>0</v>
      </c>
      <c r="AC100" s="30"/>
      <c r="AD100" s="30" t="b">
        <v>0</v>
      </c>
      <c r="AF100" s="30" t="b">
        <v>0</v>
      </c>
      <c r="AH100" s="32" t="s">
        <v>91</v>
      </c>
      <c r="AI100" s="32"/>
      <c r="AJ100" s="32"/>
      <c r="AK100" s="32"/>
      <c r="AL100" s="30" t="s">
        <v>92</v>
      </c>
      <c r="AM100" s="30" t="s">
        <v>93</v>
      </c>
      <c r="AN100" s="30" t="s">
        <v>94</v>
      </c>
      <c r="AO100" s="30" t="s">
        <v>142</v>
      </c>
      <c r="AP100" s="30" t="s">
        <v>143</v>
      </c>
      <c r="AQ100" s="30" t="s">
        <v>232</v>
      </c>
      <c r="AR100" s="30" t="s">
        <v>145</v>
      </c>
      <c r="AT100" s="30" t="s">
        <v>99</v>
      </c>
      <c r="AU100" s="30" t="s">
        <v>100</v>
      </c>
      <c r="AV100" s="30" t="s">
        <v>101</v>
      </c>
      <c r="AW100" s="30" t="s">
        <v>102</v>
      </c>
      <c r="AX100" s="34" t="s">
        <v>86</v>
      </c>
      <c r="AY100" s="34" t="s">
        <v>149</v>
      </c>
      <c r="AZ100" s="34" t="s">
        <v>149</v>
      </c>
      <c r="BA100" s="34"/>
      <c r="BB100" s="34"/>
      <c r="BC100" s="34">
        <v>0</v>
      </c>
      <c r="BD100" s="34"/>
      <c r="BE100" s="34"/>
      <c r="BF100" s="34" t="b">
        <v>0</v>
      </c>
      <c r="BG100" s="34"/>
      <c r="BH100" s="34"/>
      <c r="BI100" s="34"/>
      <c r="BJ100" s="34"/>
      <c r="BK100" s="34"/>
      <c r="BL100" s="34"/>
      <c r="BM100" s="34" t="s">
        <v>168</v>
      </c>
      <c r="BN100" s="34"/>
      <c r="BO100" s="35"/>
      <c r="BP100" s="35"/>
      <c r="BQ100" s="35" t="s">
        <v>108</v>
      </c>
      <c r="BR100" s="36" t="e">
        <f>VLOOKUP(BQ100, Cat_Indicadores!B:C, 2, FALSE)</f>
        <v>#N/A</v>
      </c>
      <c r="BS100" s="35" t="s">
        <v>5592</v>
      </c>
      <c r="BT100" s="35"/>
    </row>
    <row r="101" spans="1:72">
      <c r="A101" s="29" t="s">
        <v>553</v>
      </c>
      <c r="B101" s="30" t="s">
        <v>554</v>
      </c>
      <c r="C101" s="31">
        <v>46196.419756944444</v>
      </c>
      <c r="D101" s="30">
        <v>92</v>
      </c>
      <c r="E101" s="30" t="s">
        <v>74</v>
      </c>
      <c r="F101" s="30" t="s">
        <v>75</v>
      </c>
      <c r="G101" s="30" t="s">
        <v>133</v>
      </c>
      <c r="H101" s="30" t="s">
        <v>77</v>
      </c>
      <c r="I101" s="30" t="s">
        <v>78</v>
      </c>
      <c r="J101" s="30" t="s">
        <v>79</v>
      </c>
      <c r="K101" s="32">
        <v>800</v>
      </c>
      <c r="L101" s="32" t="s">
        <v>211</v>
      </c>
      <c r="M101" s="30" t="s">
        <v>555</v>
      </c>
      <c r="N101" s="30" t="s">
        <v>556</v>
      </c>
      <c r="O101" s="30" t="s">
        <v>83</v>
      </c>
      <c r="P101" s="33">
        <v>46179</v>
      </c>
      <c r="Q101" s="33">
        <v>46179</v>
      </c>
      <c r="R101" s="32">
        <v>1</v>
      </c>
      <c r="S101" s="30" t="s">
        <v>249</v>
      </c>
      <c r="T101" s="30" t="s">
        <v>259</v>
      </c>
      <c r="U101" s="30" t="s">
        <v>86</v>
      </c>
      <c r="V101" s="30" t="s">
        <v>87</v>
      </c>
      <c r="W101" s="30" t="s">
        <v>88</v>
      </c>
      <c r="X101" s="30" t="s">
        <v>197</v>
      </c>
      <c r="Y101" s="30">
        <v>5</v>
      </c>
      <c r="AB101" s="30" t="b">
        <v>0</v>
      </c>
      <c r="AC101" s="30"/>
      <c r="AD101" s="30" t="b">
        <v>0</v>
      </c>
      <c r="AF101" s="30" t="b">
        <v>0</v>
      </c>
      <c r="AH101" s="32" t="s">
        <v>91</v>
      </c>
      <c r="AI101" s="32"/>
      <c r="AJ101" s="32"/>
      <c r="AK101" s="32"/>
      <c r="AL101" s="30" t="s">
        <v>92</v>
      </c>
      <c r="AM101" s="30" t="s">
        <v>93</v>
      </c>
      <c r="AN101" s="30" t="s">
        <v>199</v>
      </c>
      <c r="AO101" s="30" t="s">
        <v>200</v>
      </c>
      <c r="AP101" s="30" t="s">
        <v>201</v>
      </c>
      <c r="AQ101" s="30" t="s">
        <v>202</v>
      </c>
      <c r="AR101" s="30" t="s">
        <v>145</v>
      </c>
      <c r="AT101" s="30" t="s">
        <v>99</v>
      </c>
      <c r="AU101" s="30" t="s">
        <v>100</v>
      </c>
      <c r="AV101" s="30" t="s">
        <v>101</v>
      </c>
      <c r="AW101" s="30" t="s">
        <v>102</v>
      </c>
      <c r="AX101" s="34" t="s">
        <v>86</v>
      </c>
      <c r="AY101" s="34" t="s">
        <v>149</v>
      </c>
      <c r="AZ101" s="34" t="s">
        <v>149</v>
      </c>
      <c r="BA101" s="34"/>
      <c r="BB101" s="34"/>
      <c r="BC101" s="34">
        <v>0</v>
      </c>
      <c r="BD101" s="34"/>
      <c r="BE101" s="34"/>
      <c r="BF101" s="34" t="b">
        <v>0</v>
      </c>
      <c r="BG101" s="34"/>
      <c r="BH101" s="34"/>
      <c r="BI101" s="34"/>
      <c r="BJ101" s="34"/>
      <c r="BK101" s="34"/>
      <c r="BL101" s="34"/>
      <c r="BM101" s="34" t="s">
        <v>168</v>
      </c>
      <c r="BN101" s="34"/>
      <c r="BO101" s="35"/>
      <c r="BP101" s="35"/>
      <c r="BQ101" s="35" t="s">
        <v>108</v>
      </c>
      <c r="BR101" s="36" t="e">
        <f>VLOOKUP(BQ101, Cat_Indicadores!B:C, 2, FALSE)</f>
        <v>#N/A</v>
      </c>
      <c r="BS101" s="35" t="s">
        <v>5592</v>
      </c>
      <c r="BT101" s="35"/>
    </row>
    <row r="102" spans="1:72">
      <c r="A102" s="29" t="s">
        <v>557</v>
      </c>
      <c r="B102" s="30" t="s">
        <v>558</v>
      </c>
      <c r="C102" s="31">
        <v>46196.422199074077</v>
      </c>
      <c r="D102" s="30">
        <v>92</v>
      </c>
      <c r="E102" s="30" t="s">
        <v>74</v>
      </c>
      <c r="F102" s="30" t="s">
        <v>75</v>
      </c>
      <c r="G102" s="30" t="s">
        <v>133</v>
      </c>
      <c r="H102" s="30" t="s">
        <v>77</v>
      </c>
      <c r="I102" s="30" t="s">
        <v>78</v>
      </c>
      <c r="J102" s="30" t="s">
        <v>79</v>
      </c>
      <c r="K102" s="32">
        <v>800</v>
      </c>
      <c r="L102" s="32" t="s">
        <v>211</v>
      </c>
      <c r="M102" s="30" t="s">
        <v>559</v>
      </c>
      <c r="N102" s="30" t="s">
        <v>560</v>
      </c>
      <c r="O102" s="30" t="s">
        <v>83</v>
      </c>
      <c r="P102" s="33">
        <v>46179</v>
      </c>
      <c r="Q102" s="33">
        <v>46179</v>
      </c>
      <c r="R102" s="32">
        <v>1</v>
      </c>
      <c r="S102" s="30" t="s">
        <v>214</v>
      </c>
      <c r="T102" s="30" t="s">
        <v>561</v>
      </c>
      <c r="U102" s="30" t="s">
        <v>221</v>
      </c>
      <c r="V102" s="30" t="s">
        <v>87</v>
      </c>
      <c r="W102" s="30" t="s">
        <v>88</v>
      </c>
      <c r="X102" s="30" t="s">
        <v>197</v>
      </c>
      <c r="Y102" s="30">
        <v>6</v>
      </c>
      <c r="AB102" s="30" t="b">
        <v>0</v>
      </c>
      <c r="AC102" s="30"/>
      <c r="AD102" s="30" t="b">
        <v>0</v>
      </c>
      <c r="AF102" s="30" t="b">
        <v>0</v>
      </c>
      <c r="AH102" s="32" t="s">
        <v>91</v>
      </c>
      <c r="AI102" s="32"/>
      <c r="AJ102" s="32"/>
      <c r="AK102" s="32"/>
      <c r="AL102" s="30" t="s">
        <v>92</v>
      </c>
      <c r="AM102" s="30" t="s">
        <v>93</v>
      </c>
      <c r="AN102" s="30" t="s">
        <v>199</v>
      </c>
      <c r="AO102" s="30" t="s">
        <v>200</v>
      </c>
      <c r="AP102" s="30" t="s">
        <v>201</v>
      </c>
      <c r="AQ102" s="30" t="s">
        <v>202</v>
      </c>
      <c r="AR102" s="30" t="s">
        <v>145</v>
      </c>
      <c r="AT102" s="30" t="s">
        <v>99</v>
      </c>
      <c r="AU102" s="30" t="s">
        <v>100</v>
      </c>
      <c r="AV102" s="30" t="s">
        <v>101</v>
      </c>
      <c r="AW102" s="30" t="s">
        <v>102</v>
      </c>
      <c r="AX102" s="34" t="s">
        <v>221</v>
      </c>
      <c r="AY102" s="34" t="s">
        <v>149</v>
      </c>
      <c r="AZ102" s="34" t="s">
        <v>562</v>
      </c>
      <c r="BA102" s="34"/>
      <c r="BB102" s="34"/>
      <c r="BC102" s="34">
        <v>0</v>
      </c>
      <c r="BD102" s="34"/>
      <c r="BE102" s="34"/>
      <c r="BF102" s="34" t="b">
        <v>0</v>
      </c>
      <c r="BG102" s="34"/>
      <c r="BH102" s="34"/>
      <c r="BI102" s="34"/>
      <c r="BJ102" s="34"/>
      <c r="BK102" s="34"/>
      <c r="BL102" s="34"/>
      <c r="BM102" s="34" t="s">
        <v>168</v>
      </c>
      <c r="BN102" s="34"/>
      <c r="BO102" s="35"/>
      <c r="BP102" s="35"/>
      <c r="BQ102" s="35" t="s">
        <v>108</v>
      </c>
      <c r="BR102" s="36" t="e">
        <f>VLOOKUP(BQ102, Cat_Indicadores!B:C, 2, FALSE)</f>
        <v>#N/A</v>
      </c>
      <c r="BS102" s="35" t="s">
        <v>5592</v>
      </c>
      <c r="BT102" s="35"/>
    </row>
    <row r="103" spans="1:72">
      <c r="A103" s="29" t="s">
        <v>563</v>
      </c>
      <c r="B103" s="30" t="s">
        <v>564</v>
      </c>
      <c r="C103" s="31">
        <v>46196.426192129627</v>
      </c>
      <c r="D103" s="30">
        <v>92</v>
      </c>
      <c r="E103" s="30" t="s">
        <v>74</v>
      </c>
      <c r="F103" s="30" t="s">
        <v>75</v>
      </c>
      <c r="G103" s="30" t="s">
        <v>133</v>
      </c>
      <c r="H103" s="30" t="s">
        <v>77</v>
      </c>
      <c r="I103" s="30" t="s">
        <v>78</v>
      </c>
      <c r="J103" s="30" t="s">
        <v>79</v>
      </c>
      <c r="K103" s="32">
        <v>800</v>
      </c>
      <c r="L103" s="32" t="s">
        <v>211</v>
      </c>
      <c r="M103" s="30" t="s">
        <v>565</v>
      </c>
      <c r="N103" s="30" t="s">
        <v>566</v>
      </c>
      <c r="O103" s="30" t="s">
        <v>83</v>
      </c>
      <c r="P103" s="33">
        <v>46180</v>
      </c>
      <c r="Q103" s="33">
        <v>46180</v>
      </c>
      <c r="R103" s="32">
        <v>1</v>
      </c>
      <c r="S103" s="30" t="s">
        <v>214</v>
      </c>
      <c r="T103" s="30" t="s">
        <v>215</v>
      </c>
      <c r="U103" s="30" t="s">
        <v>86</v>
      </c>
      <c r="V103" s="30" t="s">
        <v>87</v>
      </c>
      <c r="W103" s="30" t="s">
        <v>88</v>
      </c>
      <c r="X103" s="30" t="s">
        <v>197</v>
      </c>
      <c r="Y103" s="30">
        <v>2</v>
      </c>
      <c r="AB103" s="30" t="b">
        <v>0</v>
      </c>
      <c r="AC103" s="30"/>
      <c r="AD103" s="30" t="b">
        <v>0</v>
      </c>
      <c r="AF103" s="30" t="b">
        <v>0</v>
      </c>
      <c r="AH103" s="32" t="s">
        <v>91</v>
      </c>
      <c r="AI103" s="32"/>
      <c r="AJ103" s="32"/>
      <c r="AK103" s="32"/>
      <c r="AL103" s="30" t="s">
        <v>92</v>
      </c>
      <c r="AM103" s="30" t="s">
        <v>93</v>
      </c>
      <c r="AN103" s="30" t="s">
        <v>199</v>
      </c>
      <c r="AO103" s="30" t="s">
        <v>200</v>
      </c>
      <c r="AP103" s="30" t="s">
        <v>201</v>
      </c>
      <c r="AQ103" s="30" t="s">
        <v>202</v>
      </c>
      <c r="AR103" s="30" t="s">
        <v>145</v>
      </c>
      <c r="AT103" s="30" t="s">
        <v>99</v>
      </c>
      <c r="AU103" s="30" t="s">
        <v>100</v>
      </c>
      <c r="AV103" s="30" t="s">
        <v>101</v>
      </c>
      <c r="AW103" s="30" t="s">
        <v>102</v>
      </c>
      <c r="AX103" s="34" t="s">
        <v>86</v>
      </c>
      <c r="AY103" s="34" t="s">
        <v>149</v>
      </c>
      <c r="AZ103" s="34" t="s">
        <v>149</v>
      </c>
      <c r="BA103" s="34"/>
      <c r="BB103" s="34"/>
      <c r="BC103" s="34">
        <v>0</v>
      </c>
      <c r="BD103" s="34"/>
      <c r="BE103" s="34"/>
      <c r="BF103" s="34" t="b">
        <v>0</v>
      </c>
      <c r="BG103" s="34"/>
      <c r="BH103" s="34"/>
      <c r="BI103" s="34"/>
      <c r="BJ103" s="34"/>
      <c r="BK103" s="34"/>
      <c r="BL103" s="34"/>
      <c r="BM103" s="34" t="s">
        <v>168</v>
      </c>
      <c r="BN103" s="34"/>
      <c r="BO103" s="35"/>
      <c r="BP103" s="35"/>
      <c r="BQ103" s="35" t="s">
        <v>108</v>
      </c>
      <c r="BR103" s="36" t="e">
        <f>VLOOKUP(BQ103, Cat_Indicadores!B:C, 2, FALSE)</f>
        <v>#N/A</v>
      </c>
      <c r="BS103" s="35" t="s">
        <v>5592</v>
      </c>
      <c r="BT103" s="35"/>
    </row>
    <row r="104" spans="1:72">
      <c r="A104" s="29" t="s">
        <v>567</v>
      </c>
      <c r="B104" s="30" t="s">
        <v>568</v>
      </c>
      <c r="C104" s="31">
        <v>46196.429143518515</v>
      </c>
      <c r="D104" s="30">
        <v>92</v>
      </c>
      <c r="E104" s="30" t="s">
        <v>74</v>
      </c>
      <c r="F104" s="30" t="s">
        <v>75</v>
      </c>
      <c r="G104" s="30" t="s">
        <v>133</v>
      </c>
      <c r="H104" s="30" t="s">
        <v>77</v>
      </c>
      <c r="I104" s="30" t="s">
        <v>78</v>
      </c>
      <c r="J104" s="30" t="s">
        <v>79</v>
      </c>
      <c r="K104" s="32">
        <v>800</v>
      </c>
      <c r="L104" s="32" t="s">
        <v>211</v>
      </c>
      <c r="M104" s="30" t="s">
        <v>569</v>
      </c>
      <c r="N104" s="30" t="s">
        <v>570</v>
      </c>
      <c r="O104" s="30" t="s">
        <v>83</v>
      </c>
      <c r="P104" s="33">
        <v>46182</v>
      </c>
      <c r="Q104" s="33">
        <v>46182</v>
      </c>
      <c r="R104" s="32">
        <v>1</v>
      </c>
      <c r="S104" s="30" t="s">
        <v>249</v>
      </c>
      <c r="T104" s="30" t="s">
        <v>250</v>
      </c>
      <c r="U104" s="30" t="s">
        <v>216</v>
      </c>
      <c r="V104" s="30" t="s">
        <v>87</v>
      </c>
      <c r="W104" s="30" t="s">
        <v>88</v>
      </c>
      <c r="X104" s="30" t="s">
        <v>197</v>
      </c>
      <c r="Y104" s="30">
        <v>4</v>
      </c>
      <c r="AB104" s="30" t="b">
        <v>0</v>
      </c>
      <c r="AC104" s="30"/>
      <c r="AD104" s="30" t="b">
        <v>0</v>
      </c>
      <c r="AF104" s="30" t="b">
        <v>0</v>
      </c>
      <c r="AH104" s="32" t="s">
        <v>91</v>
      </c>
      <c r="AI104" s="32"/>
      <c r="AJ104" s="32"/>
      <c r="AK104" s="32"/>
      <c r="AL104" s="30" t="s">
        <v>92</v>
      </c>
      <c r="AM104" s="30" t="s">
        <v>93</v>
      </c>
      <c r="AN104" s="30" t="s">
        <v>199</v>
      </c>
      <c r="AO104" s="30" t="s">
        <v>200</v>
      </c>
      <c r="AP104" s="30" t="s">
        <v>201</v>
      </c>
      <c r="AQ104" s="30" t="s">
        <v>202</v>
      </c>
      <c r="AR104" s="30" t="s">
        <v>145</v>
      </c>
      <c r="AT104" s="30" t="s">
        <v>99</v>
      </c>
      <c r="AU104" s="30" t="s">
        <v>100</v>
      </c>
      <c r="AV104" s="30" t="s">
        <v>101</v>
      </c>
      <c r="AW104" s="30" t="s">
        <v>102</v>
      </c>
      <c r="AX104" s="34" t="s">
        <v>216</v>
      </c>
      <c r="AY104" s="34" t="s">
        <v>149</v>
      </c>
      <c r="AZ104" s="34" t="s">
        <v>149</v>
      </c>
      <c r="BA104" s="34"/>
      <c r="BB104" s="34"/>
      <c r="BC104" s="34">
        <v>0</v>
      </c>
      <c r="BD104" s="34"/>
      <c r="BE104" s="34"/>
      <c r="BF104" s="34" t="b">
        <v>0</v>
      </c>
      <c r="BG104" s="34"/>
      <c r="BH104" s="34"/>
      <c r="BI104" s="34"/>
      <c r="BJ104" s="34"/>
      <c r="BK104" s="34"/>
      <c r="BL104" s="34"/>
      <c r="BM104" s="34" t="s">
        <v>168</v>
      </c>
      <c r="BN104" s="34"/>
      <c r="BO104" s="35"/>
      <c r="BP104" s="35"/>
      <c r="BQ104" s="35" t="s">
        <v>108</v>
      </c>
      <c r="BR104" s="36" t="e">
        <f>VLOOKUP(BQ104, Cat_Indicadores!B:C, 2, FALSE)</f>
        <v>#N/A</v>
      </c>
      <c r="BS104" s="35" t="s">
        <v>5592</v>
      </c>
      <c r="BT104" s="35"/>
    </row>
    <row r="105" spans="1:72">
      <c r="A105" s="29" t="s">
        <v>571</v>
      </c>
      <c r="B105" s="30" t="s">
        <v>572</v>
      </c>
      <c r="C105" s="31">
        <v>46196.443391203706</v>
      </c>
      <c r="D105" s="30">
        <v>91</v>
      </c>
      <c r="E105" s="30" t="s">
        <v>74</v>
      </c>
      <c r="F105" s="30" t="s">
        <v>75</v>
      </c>
      <c r="G105" s="30" t="s">
        <v>573</v>
      </c>
      <c r="H105" s="30" t="s">
        <v>77</v>
      </c>
      <c r="I105" s="30" t="s">
        <v>78</v>
      </c>
      <c r="J105" s="30" t="s">
        <v>574</v>
      </c>
      <c r="K105" s="32">
        <v>28</v>
      </c>
      <c r="L105" s="32" t="s">
        <v>211</v>
      </c>
      <c r="M105" s="30" t="s">
        <v>575</v>
      </c>
      <c r="N105" s="30" t="s">
        <v>576</v>
      </c>
      <c r="O105" s="30" t="s">
        <v>83</v>
      </c>
      <c r="P105" s="33">
        <v>46183</v>
      </c>
      <c r="Q105" s="33">
        <v>46183</v>
      </c>
      <c r="R105" s="32">
        <v>1</v>
      </c>
      <c r="S105" s="30" t="s">
        <v>84</v>
      </c>
      <c r="T105" s="30" t="s">
        <v>337</v>
      </c>
      <c r="U105" s="30" t="s">
        <v>367</v>
      </c>
      <c r="V105" s="30" t="s">
        <v>87</v>
      </c>
      <c r="W105" s="30" t="s">
        <v>88</v>
      </c>
      <c r="X105" s="30" t="s">
        <v>197</v>
      </c>
      <c r="Y105" s="30">
        <v>5</v>
      </c>
      <c r="AB105" s="30" t="b">
        <v>0</v>
      </c>
      <c r="AC105" s="30"/>
      <c r="AD105" s="30" t="b">
        <v>0</v>
      </c>
      <c r="AF105" s="30" t="b">
        <v>0</v>
      </c>
      <c r="AH105" s="32" t="s">
        <v>91</v>
      </c>
      <c r="AI105" s="32"/>
      <c r="AJ105" s="32"/>
      <c r="AK105" s="32"/>
      <c r="AL105" s="30" t="s">
        <v>92</v>
      </c>
      <c r="AM105" s="30" t="s">
        <v>294</v>
      </c>
      <c r="AN105" s="30" t="s">
        <v>199</v>
      </c>
      <c r="AO105" s="30" t="s">
        <v>200</v>
      </c>
      <c r="AP105" s="30" t="s">
        <v>201</v>
      </c>
      <c r="AQ105" s="30" t="s">
        <v>202</v>
      </c>
      <c r="AR105" s="30" t="s">
        <v>145</v>
      </c>
      <c r="AT105" s="30" t="s">
        <v>99</v>
      </c>
      <c r="AU105" s="30" t="s">
        <v>100</v>
      </c>
      <c r="AV105" s="30" t="s">
        <v>101</v>
      </c>
      <c r="AW105" s="30" t="s">
        <v>102</v>
      </c>
      <c r="AX105" s="34" t="s">
        <v>367</v>
      </c>
      <c r="AY105" s="34" t="s">
        <v>149</v>
      </c>
      <c r="AZ105" s="34" t="s">
        <v>149</v>
      </c>
      <c r="BA105" s="34"/>
      <c r="BB105" s="34"/>
      <c r="BC105" s="34">
        <v>0</v>
      </c>
      <c r="BD105" s="34"/>
      <c r="BE105" s="34"/>
      <c r="BF105" s="34" t="b">
        <v>0</v>
      </c>
      <c r="BG105" s="34"/>
      <c r="BH105" s="34"/>
      <c r="BI105" s="34"/>
      <c r="BJ105" s="34"/>
      <c r="BK105" s="34"/>
      <c r="BL105" s="34" t="s">
        <v>354</v>
      </c>
      <c r="BM105" s="34" t="s">
        <v>106</v>
      </c>
      <c r="BN105" s="34"/>
      <c r="BO105" s="35"/>
      <c r="BP105" s="35"/>
      <c r="BQ105" s="35" t="s">
        <v>108</v>
      </c>
      <c r="BR105" s="36" t="e">
        <f>VLOOKUP(BQ105, Cat_Indicadores!B:C, 2, FALSE)</f>
        <v>#N/A</v>
      </c>
      <c r="BS105" s="35" t="s">
        <v>5592</v>
      </c>
      <c r="BT105" s="35"/>
    </row>
    <row r="106" spans="1:72">
      <c r="A106" s="29" t="s">
        <v>577</v>
      </c>
      <c r="B106" s="30" t="s">
        <v>578</v>
      </c>
      <c r="C106" s="31">
        <v>46197.540266203701</v>
      </c>
      <c r="D106" s="30">
        <v>92</v>
      </c>
      <c r="E106" s="30" t="s">
        <v>74</v>
      </c>
      <c r="F106" s="30" t="s">
        <v>75</v>
      </c>
      <c r="G106" s="30" t="s">
        <v>133</v>
      </c>
      <c r="H106" s="30" t="s">
        <v>77</v>
      </c>
      <c r="I106" s="30" t="s">
        <v>78</v>
      </c>
      <c r="J106" s="30" t="s">
        <v>79</v>
      </c>
      <c r="K106" s="32">
        <v>800</v>
      </c>
      <c r="L106" s="32" t="s">
        <v>80</v>
      </c>
      <c r="M106" s="30" t="s">
        <v>579</v>
      </c>
      <c r="N106" s="30" t="s">
        <v>580</v>
      </c>
      <c r="O106" s="30" t="s">
        <v>581</v>
      </c>
      <c r="P106" s="33">
        <v>46126</v>
      </c>
      <c r="Q106" s="33">
        <v>46140</v>
      </c>
      <c r="R106" s="32">
        <v>3</v>
      </c>
      <c r="S106" s="30" t="s">
        <v>84</v>
      </c>
      <c r="T106" s="30" t="s">
        <v>117</v>
      </c>
      <c r="U106" s="30" t="s">
        <v>86</v>
      </c>
      <c r="V106" s="30" t="s">
        <v>87</v>
      </c>
      <c r="W106" s="30" t="s">
        <v>88</v>
      </c>
      <c r="X106" s="30" t="s">
        <v>197</v>
      </c>
      <c r="Y106" s="30">
        <v>9</v>
      </c>
      <c r="AB106" s="30" t="b">
        <v>0</v>
      </c>
      <c r="AC106" s="30"/>
      <c r="AD106" s="30" t="b">
        <v>0</v>
      </c>
      <c r="AF106" s="30" t="b">
        <v>0</v>
      </c>
      <c r="AH106" s="32" t="s">
        <v>91</v>
      </c>
      <c r="AI106" s="32"/>
      <c r="AJ106" s="32"/>
      <c r="AK106" s="32"/>
      <c r="AL106" s="30" t="s">
        <v>92</v>
      </c>
      <c r="AM106" s="30" t="s">
        <v>93</v>
      </c>
      <c r="AN106" s="30" t="s">
        <v>199</v>
      </c>
      <c r="AO106" s="30" t="s">
        <v>200</v>
      </c>
      <c r="AP106" s="30" t="s">
        <v>201</v>
      </c>
      <c r="AQ106" s="30" t="s">
        <v>202</v>
      </c>
      <c r="AR106" s="30" t="s">
        <v>145</v>
      </c>
      <c r="AT106" s="30" t="s">
        <v>275</v>
      </c>
      <c r="AU106" s="30" t="s">
        <v>582</v>
      </c>
      <c r="AV106" s="30" t="s">
        <v>583</v>
      </c>
      <c r="AW106" s="30" t="s">
        <v>584</v>
      </c>
      <c r="AX106" s="34" t="s">
        <v>86</v>
      </c>
      <c r="AY106" s="34" t="s">
        <v>103</v>
      </c>
      <c r="AZ106" s="34"/>
      <c r="BA106" s="34"/>
      <c r="BB106" s="34"/>
      <c r="BC106" s="34">
        <v>0</v>
      </c>
      <c r="BD106" s="34"/>
      <c r="BE106" s="34"/>
      <c r="BF106" s="34" t="b">
        <v>0</v>
      </c>
      <c r="BG106" s="34"/>
      <c r="BH106" s="34"/>
      <c r="BI106" s="34"/>
      <c r="BJ106" s="34"/>
      <c r="BK106" s="34"/>
      <c r="BL106" s="34"/>
      <c r="BM106" s="34" t="s">
        <v>168</v>
      </c>
      <c r="BN106" s="34"/>
      <c r="BO106" s="35"/>
      <c r="BP106" s="35"/>
      <c r="BQ106" s="35" t="s">
        <v>108</v>
      </c>
      <c r="BR106" s="36" t="e">
        <f>VLOOKUP(BQ106, Cat_Indicadores!B:C, 2, FALSE)</f>
        <v>#N/A</v>
      </c>
      <c r="BS106" s="35" t="s">
        <v>5592</v>
      </c>
      <c r="BT106" s="35"/>
    </row>
    <row r="107" spans="1:72">
      <c r="A107" s="29" t="s">
        <v>585</v>
      </c>
      <c r="B107" s="30" t="s">
        <v>586</v>
      </c>
      <c r="C107" s="31">
        <v>46197.543483796297</v>
      </c>
      <c r="D107" s="30">
        <v>92</v>
      </c>
      <c r="E107" s="30" t="s">
        <v>74</v>
      </c>
      <c r="F107" s="30" t="s">
        <v>75</v>
      </c>
      <c r="G107" s="30" t="s">
        <v>133</v>
      </c>
      <c r="H107" s="30" t="s">
        <v>77</v>
      </c>
      <c r="I107" s="30" t="s">
        <v>78</v>
      </c>
      <c r="J107" s="30" t="s">
        <v>79</v>
      </c>
      <c r="K107" s="32">
        <v>800</v>
      </c>
      <c r="L107" s="32" t="s">
        <v>80</v>
      </c>
      <c r="M107" s="30" t="s">
        <v>587</v>
      </c>
      <c r="N107" s="30" t="s">
        <v>588</v>
      </c>
      <c r="O107" s="30" t="s">
        <v>83</v>
      </c>
      <c r="P107" s="33">
        <v>46129</v>
      </c>
      <c r="Q107" s="33">
        <v>46129</v>
      </c>
      <c r="R107" s="32">
        <v>1</v>
      </c>
      <c r="S107" s="30" t="s">
        <v>84</v>
      </c>
      <c r="T107" s="30" t="s">
        <v>85</v>
      </c>
      <c r="U107" s="30" t="s">
        <v>184</v>
      </c>
      <c r="V107" s="30" t="s">
        <v>87</v>
      </c>
      <c r="W107" s="30" t="s">
        <v>88</v>
      </c>
      <c r="X107" s="30" t="s">
        <v>197</v>
      </c>
      <c r="Y107" s="30">
        <v>9</v>
      </c>
      <c r="AB107" s="30" t="b">
        <v>0</v>
      </c>
      <c r="AC107" s="30"/>
      <c r="AD107" s="30" t="b">
        <v>0</v>
      </c>
      <c r="AF107" s="30" t="b">
        <v>0</v>
      </c>
      <c r="AH107" s="32" t="s">
        <v>91</v>
      </c>
      <c r="AI107" s="32"/>
      <c r="AJ107" s="32"/>
      <c r="AK107" s="32"/>
      <c r="AL107" s="30" t="s">
        <v>92</v>
      </c>
      <c r="AM107" s="30" t="s">
        <v>93</v>
      </c>
      <c r="AN107" s="30" t="s">
        <v>94</v>
      </c>
      <c r="AO107" s="30" t="s">
        <v>95</v>
      </c>
      <c r="AP107" s="30" t="s">
        <v>589</v>
      </c>
      <c r="AQ107" s="30" t="s">
        <v>589</v>
      </c>
      <c r="AR107" s="30" t="s">
        <v>145</v>
      </c>
      <c r="AT107" s="30" t="s">
        <v>203</v>
      </c>
      <c r="AU107" s="30" t="s">
        <v>590</v>
      </c>
      <c r="AV107" s="30" t="s">
        <v>591</v>
      </c>
      <c r="AW107" s="30" t="s">
        <v>592</v>
      </c>
      <c r="AX107" s="34" t="s">
        <v>184</v>
      </c>
      <c r="AY107" s="34" t="s">
        <v>103</v>
      </c>
      <c r="AZ107" s="34"/>
      <c r="BA107" s="34"/>
      <c r="BB107" s="34"/>
      <c r="BC107" s="34">
        <v>0</v>
      </c>
      <c r="BD107" s="34"/>
      <c r="BE107" s="34"/>
      <c r="BF107" s="34" t="b">
        <v>0</v>
      </c>
      <c r="BG107" s="34"/>
      <c r="BH107" s="34"/>
      <c r="BI107" s="34"/>
      <c r="BJ107" s="34"/>
      <c r="BK107" s="34"/>
      <c r="BL107" s="34"/>
      <c r="BM107" s="34" t="s">
        <v>168</v>
      </c>
      <c r="BN107" s="34"/>
      <c r="BO107" s="35"/>
      <c r="BP107" s="35"/>
      <c r="BQ107" s="35" t="s">
        <v>108</v>
      </c>
      <c r="BR107" s="36" t="e">
        <f>VLOOKUP(BQ107, Cat_Indicadores!B:C, 2, FALSE)</f>
        <v>#N/A</v>
      </c>
      <c r="BS107" s="35" t="s">
        <v>5592</v>
      </c>
      <c r="BT107" s="35"/>
    </row>
    <row r="108" spans="1:72">
      <c r="A108" s="29" t="s">
        <v>593</v>
      </c>
      <c r="B108" s="30" t="s">
        <v>594</v>
      </c>
      <c r="C108" s="31">
        <v>46197.591932870368</v>
      </c>
      <c r="D108" s="30">
        <v>93</v>
      </c>
      <c r="E108" s="30" t="s">
        <v>74</v>
      </c>
      <c r="F108" s="30" t="s">
        <v>75</v>
      </c>
      <c r="G108" s="30" t="s">
        <v>595</v>
      </c>
      <c r="H108" s="30" t="s">
        <v>77</v>
      </c>
      <c r="I108" s="30" t="s">
        <v>78</v>
      </c>
      <c r="J108" s="30" t="s">
        <v>79</v>
      </c>
      <c r="K108" s="32">
        <v>10</v>
      </c>
      <c r="L108" s="32" t="s">
        <v>211</v>
      </c>
      <c r="M108" s="30" t="s">
        <v>596</v>
      </c>
      <c r="N108" s="30" t="s">
        <v>597</v>
      </c>
      <c r="O108" s="30" t="s">
        <v>83</v>
      </c>
      <c r="P108" s="33">
        <v>46137</v>
      </c>
      <c r="Q108" s="33">
        <v>46137</v>
      </c>
      <c r="R108" s="32">
        <v>1</v>
      </c>
      <c r="S108" s="30" t="s">
        <v>249</v>
      </c>
      <c r="T108" s="30" t="s">
        <v>250</v>
      </c>
      <c r="U108" s="30" t="s">
        <v>598</v>
      </c>
      <c r="V108" s="30" t="s">
        <v>87</v>
      </c>
      <c r="W108" s="30" t="s">
        <v>88</v>
      </c>
      <c r="X108" s="30" t="s">
        <v>197</v>
      </c>
      <c r="Y108" s="30">
        <v>9</v>
      </c>
      <c r="AB108" s="30" t="b">
        <v>0</v>
      </c>
      <c r="AC108" s="30"/>
      <c r="AD108" s="30" t="b">
        <v>0</v>
      </c>
      <c r="AF108" s="30" t="b">
        <v>0</v>
      </c>
      <c r="AH108" s="32" t="s">
        <v>91</v>
      </c>
      <c r="AI108" s="32"/>
      <c r="AJ108" s="32"/>
      <c r="AK108" s="32"/>
      <c r="AL108" s="30" t="s">
        <v>92</v>
      </c>
      <c r="AM108" s="30" t="s">
        <v>599</v>
      </c>
      <c r="AN108" s="30" t="s">
        <v>199</v>
      </c>
      <c r="AO108" s="30" t="s">
        <v>200</v>
      </c>
      <c r="AP108" s="30" t="s">
        <v>201</v>
      </c>
      <c r="AQ108" s="30" t="s">
        <v>202</v>
      </c>
      <c r="AR108" s="30" t="s">
        <v>145</v>
      </c>
      <c r="AT108" s="30" t="s">
        <v>275</v>
      </c>
      <c r="AU108" s="30" t="s">
        <v>582</v>
      </c>
      <c r="AV108" s="30" t="s">
        <v>583</v>
      </c>
      <c r="AW108" s="30" t="s">
        <v>584</v>
      </c>
      <c r="AX108" s="34" t="s">
        <v>221</v>
      </c>
      <c r="AY108" s="34" t="s">
        <v>103</v>
      </c>
      <c r="AZ108" s="34"/>
      <c r="BA108" s="34"/>
      <c r="BB108" s="34"/>
      <c r="BC108" s="34">
        <v>0</v>
      </c>
      <c r="BD108" s="34"/>
      <c r="BE108" s="34"/>
      <c r="BF108" s="34" t="b">
        <v>0</v>
      </c>
      <c r="BG108" s="34"/>
      <c r="BH108" s="34"/>
      <c r="BI108" s="34"/>
      <c r="BJ108" s="34"/>
      <c r="BK108" s="34"/>
      <c r="BL108" s="34" t="s">
        <v>354</v>
      </c>
      <c r="BM108" s="34" t="s">
        <v>106</v>
      </c>
      <c r="BN108" s="34" t="s">
        <v>107</v>
      </c>
      <c r="BO108" s="35"/>
      <c r="BP108" s="35"/>
      <c r="BQ108" s="35" t="s">
        <v>108</v>
      </c>
      <c r="BR108" s="36" t="e">
        <f>VLOOKUP(BQ108, Cat_Indicadores!B:C, 2, FALSE)</f>
        <v>#N/A</v>
      </c>
      <c r="BS108" s="35" t="s">
        <v>5592</v>
      </c>
      <c r="BT108" s="35"/>
    </row>
    <row r="109" spans="1:72">
      <c r="A109" s="29" t="s">
        <v>600</v>
      </c>
      <c r="B109" s="30" t="s">
        <v>601</v>
      </c>
      <c r="C109" s="31">
        <v>46197.597222222219</v>
      </c>
      <c r="D109" s="30">
        <v>92</v>
      </c>
      <c r="E109" s="30" t="s">
        <v>74</v>
      </c>
      <c r="F109" s="30" t="s">
        <v>75</v>
      </c>
      <c r="G109" s="30" t="s">
        <v>133</v>
      </c>
      <c r="H109" s="30" t="s">
        <v>77</v>
      </c>
      <c r="I109" s="30" t="s">
        <v>78</v>
      </c>
      <c r="J109" s="30" t="s">
        <v>79</v>
      </c>
      <c r="K109" s="32">
        <v>800</v>
      </c>
      <c r="L109" s="32" t="s">
        <v>80</v>
      </c>
      <c r="M109" s="30" t="s">
        <v>579</v>
      </c>
      <c r="N109" s="30" t="s">
        <v>580</v>
      </c>
      <c r="O109" s="30" t="s">
        <v>83</v>
      </c>
      <c r="P109" s="33">
        <v>46140</v>
      </c>
      <c r="Q109" s="33">
        <v>46140</v>
      </c>
      <c r="R109" s="32">
        <v>1</v>
      </c>
      <c r="S109" s="30" t="s">
        <v>84</v>
      </c>
      <c r="T109" s="30" t="s">
        <v>117</v>
      </c>
      <c r="U109" s="30" t="s">
        <v>349</v>
      </c>
      <c r="V109" s="30" t="s">
        <v>87</v>
      </c>
      <c r="W109" s="30" t="s">
        <v>88</v>
      </c>
      <c r="X109" s="30" t="s">
        <v>197</v>
      </c>
      <c r="Y109" s="30">
        <v>9</v>
      </c>
      <c r="AB109" s="30" t="b">
        <v>0</v>
      </c>
      <c r="AC109" s="30"/>
      <c r="AD109" s="30" t="b">
        <v>0</v>
      </c>
      <c r="AF109" s="30" t="b">
        <v>0</v>
      </c>
      <c r="AH109" s="32" t="s">
        <v>91</v>
      </c>
      <c r="AI109" s="32"/>
      <c r="AJ109" s="32"/>
      <c r="AK109" s="32"/>
      <c r="AL109" s="30" t="s">
        <v>92</v>
      </c>
      <c r="AM109" s="30" t="s">
        <v>93</v>
      </c>
      <c r="AN109" s="30" t="s">
        <v>94</v>
      </c>
      <c r="AO109" s="30" t="s">
        <v>95</v>
      </c>
      <c r="AP109" s="30" t="s">
        <v>589</v>
      </c>
      <c r="AQ109" s="30" t="s">
        <v>589</v>
      </c>
      <c r="AR109" s="30" t="s">
        <v>145</v>
      </c>
      <c r="AT109" s="30" t="s">
        <v>275</v>
      </c>
      <c r="AU109" s="30" t="s">
        <v>582</v>
      </c>
      <c r="AV109" s="30" t="s">
        <v>583</v>
      </c>
      <c r="AW109" s="30" t="s">
        <v>584</v>
      </c>
      <c r="AX109" s="34" t="s">
        <v>349</v>
      </c>
      <c r="AY109" s="34" t="s">
        <v>103</v>
      </c>
      <c r="AZ109" s="34"/>
      <c r="BA109" s="34"/>
      <c r="BB109" s="34"/>
      <c r="BC109" s="34">
        <v>0</v>
      </c>
      <c r="BD109" s="34"/>
      <c r="BE109" s="34"/>
      <c r="BF109" s="34" t="b">
        <v>0</v>
      </c>
      <c r="BG109" s="34"/>
      <c r="BH109" s="34"/>
      <c r="BI109" s="34"/>
      <c r="BJ109" s="34"/>
      <c r="BK109" s="34"/>
      <c r="BL109" s="34"/>
      <c r="BM109" s="34" t="s">
        <v>168</v>
      </c>
      <c r="BN109" s="34"/>
      <c r="BO109" s="35"/>
      <c r="BP109" s="35"/>
      <c r="BQ109" s="35" t="s">
        <v>108</v>
      </c>
      <c r="BR109" s="36" t="e">
        <f>VLOOKUP(BQ109, Cat_Indicadores!B:C, 2, FALSE)</f>
        <v>#N/A</v>
      </c>
      <c r="BS109" s="35" t="s">
        <v>5592</v>
      </c>
      <c r="BT109" s="35"/>
    </row>
    <row r="110" spans="1:72">
      <c r="A110" s="29" t="s">
        <v>602</v>
      </c>
      <c r="B110" s="30" t="s">
        <v>603</v>
      </c>
      <c r="C110" s="31">
        <v>46197.602835648147</v>
      </c>
      <c r="D110" s="30">
        <v>92</v>
      </c>
      <c r="E110" s="30" t="s">
        <v>74</v>
      </c>
      <c r="F110" s="30" t="s">
        <v>75</v>
      </c>
      <c r="G110" s="30" t="s">
        <v>133</v>
      </c>
      <c r="H110" s="30" t="s">
        <v>77</v>
      </c>
      <c r="I110" s="30" t="s">
        <v>78</v>
      </c>
      <c r="J110" s="30" t="s">
        <v>79</v>
      </c>
      <c r="K110" s="32">
        <v>800</v>
      </c>
      <c r="L110" s="32" t="s">
        <v>80</v>
      </c>
      <c r="M110" s="30" t="s">
        <v>579</v>
      </c>
      <c r="N110" s="30" t="s">
        <v>580</v>
      </c>
      <c r="O110" s="30" t="s">
        <v>83</v>
      </c>
      <c r="P110" s="33">
        <v>46154</v>
      </c>
      <c r="Q110" s="33">
        <v>46154</v>
      </c>
      <c r="R110" s="32">
        <v>1</v>
      </c>
      <c r="S110" s="30" t="s">
        <v>84</v>
      </c>
      <c r="T110" s="30" t="s">
        <v>117</v>
      </c>
      <c r="U110" s="30" t="s">
        <v>349</v>
      </c>
      <c r="V110" s="30" t="s">
        <v>87</v>
      </c>
      <c r="W110" s="30" t="s">
        <v>88</v>
      </c>
      <c r="X110" s="30" t="s">
        <v>197</v>
      </c>
      <c r="Y110" s="30">
        <v>9</v>
      </c>
      <c r="AB110" s="30" t="b">
        <v>0</v>
      </c>
      <c r="AC110" s="30"/>
      <c r="AD110" s="30" t="b">
        <v>0</v>
      </c>
      <c r="AF110" s="30" t="b">
        <v>0</v>
      </c>
      <c r="AH110" s="32" t="s">
        <v>91</v>
      </c>
      <c r="AI110" s="32"/>
      <c r="AJ110" s="32"/>
      <c r="AK110" s="32"/>
      <c r="AL110" s="30" t="s">
        <v>92</v>
      </c>
      <c r="AM110" s="30" t="s">
        <v>93</v>
      </c>
      <c r="AN110" s="30" t="s">
        <v>94</v>
      </c>
      <c r="AO110" s="30" t="s">
        <v>95</v>
      </c>
      <c r="AP110" s="30" t="s">
        <v>589</v>
      </c>
      <c r="AQ110" s="30" t="s">
        <v>589</v>
      </c>
      <c r="AR110" s="30" t="s">
        <v>145</v>
      </c>
      <c r="AT110" s="30" t="s">
        <v>275</v>
      </c>
      <c r="AU110" s="30" t="s">
        <v>582</v>
      </c>
      <c r="AV110" s="30" t="s">
        <v>583</v>
      </c>
      <c r="AW110" s="30" t="s">
        <v>584</v>
      </c>
      <c r="AX110" s="34" t="s">
        <v>86</v>
      </c>
      <c r="AY110" s="34" t="s">
        <v>103</v>
      </c>
      <c r="AZ110" s="34"/>
      <c r="BA110" s="34"/>
      <c r="BB110" s="34"/>
      <c r="BC110" s="34">
        <v>0</v>
      </c>
      <c r="BD110" s="34"/>
      <c r="BE110" s="34"/>
      <c r="BF110" s="34" t="b">
        <v>0</v>
      </c>
      <c r="BG110" s="34"/>
      <c r="BH110" s="34"/>
      <c r="BI110" s="34"/>
      <c r="BJ110" s="34"/>
      <c r="BK110" s="34"/>
      <c r="BL110" s="34"/>
      <c r="BM110" s="34" t="s">
        <v>168</v>
      </c>
      <c r="BN110" s="34"/>
      <c r="BO110" s="35"/>
      <c r="BP110" s="35"/>
      <c r="BQ110" s="35" t="s">
        <v>108</v>
      </c>
      <c r="BR110" s="36" t="e">
        <f>VLOOKUP(BQ110, Cat_Indicadores!B:C, 2, FALSE)</f>
        <v>#N/A</v>
      </c>
      <c r="BS110" s="35" t="s">
        <v>5592</v>
      </c>
      <c r="BT110" s="35"/>
    </row>
    <row r="111" spans="1:72">
      <c r="A111" s="29" t="s">
        <v>604</v>
      </c>
      <c r="B111" s="30" t="s">
        <v>605</v>
      </c>
      <c r="C111" s="31">
        <v>46197.615381944444</v>
      </c>
      <c r="D111" s="30">
        <v>92</v>
      </c>
      <c r="E111" s="30" t="s">
        <v>74</v>
      </c>
      <c r="F111" s="30" t="s">
        <v>75</v>
      </c>
      <c r="G111" s="30" t="s">
        <v>133</v>
      </c>
      <c r="H111" s="30" t="s">
        <v>77</v>
      </c>
      <c r="I111" s="30" t="s">
        <v>78</v>
      </c>
      <c r="J111" s="30" t="s">
        <v>79</v>
      </c>
      <c r="K111" s="32">
        <v>800</v>
      </c>
      <c r="L111" s="32" t="s">
        <v>80</v>
      </c>
      <c r="M111" s="30" t="s">
        <v>606</v>
      </c>
      <c r="N111" s="30" t="s">
        <v>607</v>
      </c>
      <c r="O111" s="30" t="s">
        <v>83</v>
      </c>
      <c r="P111" s="33">
        <v>46163</v>
      </c>
      <c r="Q111" s="33">
        <v>46163</v>
      </c>
      <c r="R111" s="32">
        <v>1</v>
      </c>
      <c r="S111" s="30" t="s">
        <v>84</v>
      </c>
      <c r="T111" s="30" t="s">
        <v>117</v>
      </c>
      <c r="U111" s="30" t="s">
        <v>349</v>
      </c>
      <c r="V111" s="30" t="s">
        <v>87</v>
      </c>
      <c r="W111" s="30" t="s">
        <v>88</v>
      </c>
      <c r="X111" s="30" t="s">
        <v>197</v>
      </c>
      <c r="Y111" s="30">
        <v>9</v>
      </c>
      <c r="AB111" s="30" t="b">
        <v>0</v>
      </c>
      <c r="AC111" s="30"/>
      <c r="AD111" s="30" t="b">
        <v>0</v>
      </c>
      <c r="AF111" s="30" t="b">
        <v>0</v>
      </c>
      <c r="AH111" s="32" t="s">
        <v>91</v>
      </c>
      <c r="AI111" s="32"/>
      <c r="AJ111" s="32"/>
      <c r="AK111" s="32"/>
      <c r="AL111" s="30" t="s">
        <v>92</v>
      </c>
      <c r="AM111" s="30" t="s">
        <v>93</v>
      </c>
      <c r="AN111" s="30" t="s">
        <v>94</v>
      </c>
      <c r="AO111" s="30" t="s">
        <v>95</v>
      </c>
      <c r="AP111" s="30" t="s">
        <v>589</v>
      </c>
      <c r="AQ111" s="30" t="s">
        <v>589</v>
      </c>
      <c r="AR111" s="30" t="s">
        <v>145</v>
      </c>
      <c r="AT111" s="30" t="s">
        <v>275</v>
      </c>
      <c r="AU111" s="30" t="s">
        <v>582</v>
      </c>
      <c r="AV111" s="30" t="s">
        <v>583</v>
      </c>
      <c r="AW111" s="30" t="s">
        <v>584</v>
      </c>
      <c r="AX111" s="34" t="s">
        <v>86</v>
      </c>
      <c r="AY111" s="34" t="s">
        <v>103</v>
      </c>
      <c r="AZ111" s="34"/>
      <c r="BA111" s="34"/>
      <c r="BB111" s="34"/>
      <c r="BC111" s="34">
        <v>0</v>
      </c>
      <c r="BD111" s="34"/>
      <c r="BE111" s="34"/>
      <c r="BF111" s="34" t="b">
        <v>0</v>
      </c>
      <c r="BG111" s="34"/>
      <c r="BH111" s="34"/>
      <c r="BI111" s="34"/>
      <c r="BJ111" s="34"/>
      <c r="BK111" s="34"/>
      <c r="BL111" s="34"/>
      <c r="BM111" s="34" t="s">
        <v>168</v>
      </c>
      <c r="BN111" s="34"/>
      <c r="BO111" s="35"/>
      <c r="BP111" s="35"/>
      <c r="BQ111" s="35" t="s">
        <v>108</v>
      </c>
      <c r="BR111" s="36" t="e">
        <f>VLOOKUP(BQ111, Cat_Indicadores!B:C, 2, FALSE)</f>
        <v>#N/A</v>
      </c>
      <c r="BS111" s="35" t="s">
        <v>5592</v>
      </c>
      <c r="BT111" s="35"/>
    </row>
    <row r="112" spans="1:72">
      <c r="A112" s="29" t="s">
        <v>608</v>
      </c>
      <c r="B112" s="30" t="s">
        <v>609</v>
      </c>
      <c r="C112" s="31">
        <v>46197.619039351855</v>
      </c>
      <c r="D112" s="30">
        <v>92</v>
      </c>
      <c r="E112" s="30" t="s">
        <v>74</v>
      </c>
      <c r="F112" s="30" t="s">
        <v>75</v>
      </c>
      <c r="G112" s="30" t="s">
        <v>133</v>
      </c>
      <c r="H112" s="30" t="s">
        <v>77</v>
      </c>
      <c r="I112" s="30" t="s">
        <v>78</v>
      </c>
      <c r="J112" s="30" t="s">
        <v>79</v>
      </c>
      <c r="K112" s="32">
        <v>800</v>
      </c>
      <c r="L112" s="32" t="s">
        <v>80</v>
      </c>
      <c r="M112" s="30" t="s">
        <v>610</v>
      </c>
      <c r="N112" s="30" t="s">
        <v>611</v>
      </c>
      <c r="O112" s="30" t="s">
        <v>83</v>
      </c>
      <c r="P112" s="33">
        <v>46165</v>
      </c>
      <c r="Q112" s="33">
        <v>46165</v>
      </c>
      <c r="R112" s="32">
        <v>1</v>
      </c>
      <c r="S112" s="30" t="s">
        <v>84</v>
      </c>
      <c r="T112" s="30" t="s">
        <v>117</v>
      </c>
      <c r="U112" s="30" t="s">
        <v>338</v>
      </c>
      <c r="V112" s="30" t="s">
        <v>87</v>
      </c>
      <c r="W112" s="30" t="s">
        <v>88</v>
      </c>
      <c r="X112" s="30" t="s">
        <v>197</v>
      </c>
      <c r="Y112" s="30">
        <v>9</v>
      </c>
      <c r="AB112" s="30" t="b">
        <v>0</v>
      </c>
      <c r="AC112" s="30"/>
      <c r="AD112" s="30" t="b">
        <v>0</v>
      </c>
      <c r="AF112" s="30" t="b">
        <v>0</v>
      </c>
      <c r="AH112" s="32" t="s">
        <v>91</v>
      </c>
      <c r="AI112" s="32"/>
      <c r="AJ112" s="32"/>
      <c r="AK112" s="32"/>
      <c r="AL112" s="30" t="s">
        <v>92</v>
      </c>
      <c r="AM112" s="30" t="s">
        <v>93</v>
      </c>
      <c r="AN112" s="30" t="s">
        <v>94</v>
      </c>
      <c r="AO112" s="30" t="s">
        <v>95</v>
      </c>
      <c r="AP112" s="30" t="s">
        <v>589</v>
      </c>
      <c r="AQ112" s="30" t="s">
        <v>589</v>
      </c>
      <c r="AR112" s="30" t="s">
        <v>145</v>
      </c>
      <c r="AT112" s="30" t="s">
        <v>275</v>
      </c>
      <c r="AU112" s="30" t="s">
        <v>582</v>
      </c>
      <c r="AV112" s="30" t="s">
        <v>583</v>
      </c>
      <c r="AW112" s="30" t="s">
        <v>584</v>
      </c>
      <c r="AX112" s="34" t="s">
        <v>338</v>
      </c>
      <c r="AY112" s="34" t="s">
        <v>103</v>
      </c>
      <c r="AZ112" s="34"/>
      <c r="BA112" s="34"/>
      <c r="BB112" s="34"/>
      <c r="BC112" s="34">
        <v>0</v>
      </c>
      <c r="BD112" s="34"/>
      <c r="BE112" s="34"/>
      <c r="BF112" s="34" t="b">
        <v>0</v>
      </c>
      <c r="BG112" s="34"/>
      <c r="BH112" s="34"/>
      <c r="BI112" s="34"/>
      <c r="BJ112" s="34"/>
      <c r="BK112" s="34"/>
      <c r="BL112" s="34"/>
      <c r="BM112" s="34" t="s">
        <v>168</v>
      </c>
      <c r="BN112" s="34"/>
      <c r="BO112" s="35"/>
      <c r="BP112" s="35"/>
      <c r="BQ112" s="35" t="s">
        <v>108</v>
      </c>
      <c r="BR112" s="36" t="e">
        <f>VLOOKUP(BQ112, Cat_Indicadores!B:C, 2, FALSE)</f>
        <v>#N/A</v>
      </c>
      <c r="BS112" s="35" t="s">
        <v>5592</v>
      </c>
      <c r="BT112" s="35"/>
    </row>
    <row r="113" spans="1:72">
      <c r="A113" s="29" t="s">
        <v>612</v>
      </c>
      <c r="B113" s="30" t="s">
        <v>613</v>
      </c>
      <c r="C113" s="31">
        <v>46197.636331018519</v>
      </c>
      <c r="D113" s="30">
        <v>92</v>
      </c>
      <c r="E113" s="30" t="s">
        <v>74</v>
      </c>
      <c r="F113" s="30" t="s">
        <v>75</v>
      </c>
      <c r="G113" s="30" t="s">
        <v>133</v>
      </c>
      <c r="H113" s="30" t="s">
        <v>77</v>
      </c>
      <c r="I113" s="30" t="s">
        <v>78</v>
      </c>
      <c r="J113" s="30" t="s">
        <v>79</v>
      </c>
      <c r="K113" s="32">
        <v>800</v>
      </c>
      <c r="L113" s="32" t="s">
        <v>80</v>
      </c>
      <c r="M113" s="30" t="s">
        <v>579</v>
      </c>
      <c r="N113" s="30" t="s">
        <v>580</v>
      </c>
      <c r="O113" s="30" t="s">
        <v>83</v>
      </c>
      <c r="P113" s="33">
        <v>46197</v>
      </c>
      <c r="Q113" s="33">
        <v>46197</v>
      </c>
      <c r="R113" s="32">
        <v>1</v>
      </c>
      <c r="S113" s="30" t="s">
        <v>84</v>
      </c>
      <c r="T113" s="30" t="s">
        <v>117</v>
      </c>
      <c r="U113" s="30" t="s">
        <v>349</v>
      </c>
      <c r="V113" s="30" t="s">
        <v>87</v>
      </c>
      <c r="W113" s="30" t="s">
        <v>88</v>
      </c>
      <c r="X113" s="30" t="s">
        <v>197</v>
      </c>
      <c r="Y113" s="30">
        <v>9</v>
      </c>
      <c r="AB113" s="30" t="b">
        <v>0</v>
      </c>
      <c r="AC113" s="30"/>
      <c r="AD113" s="30" t="b">
        <v>0</v>
      </c>
      <c r="AF113" s="30" t="b">
        <v>0</v>
      </c>
      <c r="AH113" s="32" t="s">
        <v>91</v>
      </c>
      <c r="AI113" s="32"/>
      <c r="AJ113" s="32"/>
      <c r="AK113" s="32"/>
      <c r="AL113" s="30" t="s">
        <v>92</v>
      </c>
      <c r="AM113" s="30" t="s">
        <v>93</v>
      </c>
      <c r="AN113" s="30" t="s">
        <v>94</v>
      </c>
      <c r="AO113" s="30" t="s">
        <v>95</v>
      </c>
      <c r="AP113" s="30" t="s">
        <v>589</v>
      </c>
      <c r="AQ113" s="30" t="s">
        <v>589</v>
      </c>
      <c r="AR113" s="30" t="s">
        <v>145</v>
      </c>
      <c r="AT113" s="30" t="s">
        <v>275</v>
      </c>
      <c r="AU113" s="30" t="s">
        <v>582</v>
      </c>
      <c r="AV113" s="30" t="s">
        <v>583</v>
      </c>
      <c r="AW113" s="30" t="s">
        <v>584</v>
      </c>
      <c r="AX113" s="34" t="s">
        <v>86</v>
      </c>
      <c r="AY113" s="34" t="s">
        <v>103</v>
      </c>
      <c r="AZ113" s="34"/>
      <c r="BA113" s="34"/>
      <c r="BB113" s="34"/>
      <c r="BC113" s="34">
        <v>0</v>
      </c>
      <c r="BD113" s="34"/>
      <c r="BE113" s="34"/>
      <c r="BF113" s="34" t="b">
        <v>0</v>
      </c>
      <c r="BG113" s="34"/>
      <c r="BH113" s="34"/>
      <c r="BI113" s="34"/>
      <c r="BJ113" s="34"/>
      <c r="BK113" s="34"/>
      <c r="BL113" s="34"/>
      <c r="BM113" s="34" t="s">
        <v>168</v>
      </c>
      <c r="BN113" s="34"/>
      <c r="BO113" s="35"/>
      <c r="BP113" s="35"/>
      <c r="BQ113" s="35" t="s">
        <v>108</v>
      </c>
      <c r="BR113" s="36" t="e">
        <f>VLOOKUP(BQ113, Cat_Indicadores!B:C, 2, FALSE)</f>
        <v>#N/A</v>
      </c>
      <c r="BS113" s="35" t="s">
        <v>5592</v>
      </c>
      <c r="BT113" s="35"/>
    </row>
    <row r="114" spans="1:72">
      <c r="A114" s="29" t="s">
        <v>614</v>
      </c>
      <c r="B114" s="30" t="s">
        <v>615</v>
      </c>
      <c r="C114" s="31">
        <v>46197.679189814815</v>
      </c>
      <c r="D114" s="30">
        <v>92</v>
      </c>
      <c r="E114" s="30" t="s">
        <v>74</v>
      </c>
      <c r="F114" s="30" t="s">
        <v>75</v>
      </c>
      <c r="G114" s="30" t="s">
        <v>133</v>
      </c>
      <c r="H114" s="30" t="s">
        <v>77</v>
      </c>
      <c r="I114" s="30" t="s">
        <v>78</v>
      </c>
      <c r="J114" s="30" t="s">
        <v>79</v>
      </c>
      <c r="K114" s="32">
        <v>800</v>
      </c>
      <c r="L114" s="32" t="s">
        <v>80</v>
      </c>
      <c r="M114" s="30" t="s">
        <v>616</v>
      </c>
      <c r="N114" s="30" t="s">
        <v>617</v>
      </c>
      <c r="O114" s="30" t="s">
        <v>83</v>
      </c>
      <c r="P114" s="33">
        <v>46171</v>
      </c>
      <c r="Q114" s="33">
        <v>46171</v>
      </c>
      <c r="R114" s="32">
        <v>1</v>
      </c>
      <c r="S114" s="30" t="s">
        <v>84</v>
      </c>
      <c r="T114" s="30" t="s">
        <v>117</v>
      </c>
      <c r="U114" s="30" t="s">
        <v>86</v>
      </c>
      <c r="V114" s="30" t="s">
        <v>87</v>
      </c>
      <c r="W114" s="30" t="s">
        <v>88</v>
      </c>
      <c r="X114" s="30" t="s">
        <v>197</v>
      </c>
      <c r="Y114" s="30">
        <v>9</v>
      </c>
      <c r="AB114" s="30" t="b">
        <v>0</v>
      </c>
      <c r="AC114" s="30"/>
      <c r="AD114" s="30" t="b">
        <v>0</v>
      </c>
      <c r="AF114" s="30" t="b">
        <v>0</v>
      </c>
      <c r="AH114" s="32" t="s">
        <v>91</v>
      </c>
      <c r="AI114" s="32"/>
      <c r="AJ114" s="32"/>
      <c r="AK114" s="32"/>
      <c r="AL114" s="30" t="s">
        <v>92</v>
      </c>
      <c r="AM114" s="30" t="s">
        <v>93</v>
      </c>
      <c r="AN114" s="30" t="s">
        <v>94</v>
      </c>
      <c r="AO114" s="30" t="s">
        <v>95</v>
      </c>
      <c r="AP114" s="30" t="s">
        <v>589</v>
      </c>
      <c r="AQ114" s="30" t="s">
        <v>589</v>
      </c>
      <c r="AR114" s="30" t="s">
        <v>145</v>
      </c>
      <c r="AT114" s="30" t="s">
        <v>275</v>
      </c>
      <c r="AU114" s="30" t="s">
        <v>618</v>
      </c>
      <c r="AV114" s="30" t="s">
        <v>619</v>
      </c>
      <c r="AW114" s="30" t="s">
        <v>620</v>
      </c>
      <c r="AX114" s="34" t="s">
        <v>349</v>
      </c>
      <c r="AY114" s="34" t="s">
        <v>103</v>
      </c>
      <c r="AZ114" s="34"/>
      <c r="BA114" s="34"/>
      <c r="BB114" s="34"/>
      <c r="BC114" s="34">
        <v>0</v>
      </c>
      <c r="BD114" s="34"/>
      <c r="BE114" s="34"/>
      <c r="BF114" s="34" t="b">
        <v>0</v>
      </c>
      <c r="BG114" s="34"/>
      <c r="BH114" s="34"/>
      <c r="BI114" s="34"/>
      <c r="BJ114" s="34"/>
      <c r="BK114" s="34"/>
      <c r="BL114" s="34"/>
      <c r="BM114" s="34" t="s">
        <v>168</v>
      </c>
      <c r="BN114" s="34"/>
      <c r="BO114" s="35"/>
      <c r="BP114" s="35"/>
      <c r="BQ114" s="35" t="s">
        <v>108</v>
      </c>
      <c r="BR114" s="36" t="e">
        <f>VLOOKUP(BQ114, Cat_Indicadores!B:C, 2, FALSE)</f>
        <v>#N/A</v>
      </c>
      <c r="BS114" s="35" t="s">
        <v>5592</v>
      </c>
      <c r="BT114" s="35"/>
    </row>
    <row r="115" spans="1:72">
      <c r="A115" s="29" t="s">
        <v>621</v>
      </c>
      <c r="B115" s="30" t="s">
        <v>622</v>
      </c>
      <c r="C115" s="31">
        <v>46197.68304398148</v>
      </c>
      <c r="D115" s="30">
        <v>92</v>
      </c>
      <c r="E115" s="30" t="s">
        <v>74</v>
      </c>
      <c r="F115" s="30" t="s">
        <v>75</v>
      </c>
      <c r="G115" s="30" t="s">
        <v>133</v>
      </c>
      <c r="H115" s="30" t="s">
        <v>77</v>
      </c>
      <c r="I115" s="30" t="s">
        <v>78</v>
      </c>
      <c r="J115" s="30" t="s">
        <v>79</v>
      </c>
      <c r="K115" s="32">
        <v>800</v>
      </c>
      <c r="L115" s="32" t="s">
        <v>80</v>
      </c>
      <c r="M115" s="30" t="s">
        <v>623</v>
      </c>
      <c r="N115" s="30" t="s">
        <v>623</v>
      </c>
      <c r="O115" s="30" t="s">
        <v>83</v>
      </c>
      <c r="P115" s="33">
        <v>46171</v>
      </c>
      <c r="Q115" s="33">
        <v>46171</v>
      </c>
      <c r="R115" s="32">
        <v>1</v>
      </c>
      <c r="S115" s="30" t="s">
        <v>84</v>
      </c>
      <c r="T115" s="30" t="s">
        <v>117</v>
      </c>
      <c r="U115" s="30" t="s">
        <v>160</v>
      </c>
      <c r="V115" s="30" t="s">
        <v>87</v>
      </c>
      <c r="W115" s="30" t="s">
        <v>88</v>
      </c>
      <c r="X115" s="30" t="s">
        <v>197</v>
      </c>
      <c r="Y115" s="30">
        <v>9</v>
      </c>
      <c r="AB115" s="30" t="b">
        <v>0</v>
      </c>
      <c r="AC115" s="30"/>
      <c r="AD115" s="30" t="b">
        <v>0</v>
      </c>
      <c r="AF115" s="30" t="b">
        <v>0</v>
      </c>
      <c r="AH115" s="32" t="s">
        <v>91</v>
      </c>
      <c r="AI115" s="32"/>
      <c r="AJ115" s="32"/>
      <c r="AK115" s="32"/>
      <c r="AL115" s="30" t="s">
        <v>92</v>
      </c>
      <c r="AM115" s="30" t="s">
        <v>599</v>
      </c>
      <c r="AN115" s="30" t="s">
        <v>94</v>
      </c>
      <c r="AO115" s="30" t="s">
        <v>95</v>
      </c>
      <c r="AP115" s="30" t="s">
        <v>589</v>
      </c>
      <c r="AQ115" s="30" t="s">
        <v>589</v>
      </c>
      <c r="AR115" s="30" t="s">
        <v>145</v>
      </c>
      <c r="AT115" s="30" t="s">
        <v>203</v>
      </c>
      <c r="AU115" s="30" t="s">
        <v>204</v>
      </c>
      <c r="AV115" s="30" t="s">
        <v>624</v>
      </c>
      <c r="AW115" s="30" t="s">
        <v>206</v>
      </c>
      <c r="AX115" s="34" t="s">
        <v>160</v>
      </c>
      <c r="AY115" s="34" t="s">
        <v>103</v>
      </c>
      <c r="AZ115" s="34"/>
      <c r="BA115" s="34"/>
      <c r="BB115" s="34"/>
      <c r="BC115" s="34">
        <v>0</v>
      </c>
      <c r="BD115" s="34"/>
      <c r="BE115" s="34"/>
      <c r="BF115" s="34" t="b">
        <v>0</v>
      </c>
      <c r="BG115" s="34"/>
      <c r="BH115" s="34"/>
      <c r="BI115" s="34"/>
      <c r="BJ115" s="34"/>
      <c r="BK115" s="34"/>
      <c r="BL115" s="34"/>
      <c r="BM115" s="34" t="s">
        <v>168</v>
      </c>
      <c r="BN115" s="34"/>
      <c r="BO115" s="35"/>
      <c r="BP115" s="35"/>
      <c r="BQ115" s="35" t="s">
        <v>108</v>
      </c>
      <c r="BR115" s="36" t="e">
        <f>VLOOKUP(BQ115, Cat_Indicadores!B:C, 2, FALSE)</f>
        <v>#N/A</v>
      </c>
      <c r="BS115" s="35" t="s">
        <v>5592</v>
      </c>
      <c r="BT115" s="35"/>
    </row>
    <row r="116" spans="1:72">
      <c r="A116" s="29" t="s">
        <v>625</v>
      </c>
      <c r="B116" s="30" t="s">
        <v>626</v>
      </c>
      <c r="C116" s="31">
        <v>46197.68917824074</v>
      </c>
      <c r="D116" s="30">
        <v>92</v>
      </c>
      <c r="E116" s="30" t="s">
        <v>74</v>
      </c>
      <c r="F116" s="30" t="s">
        <v>75</v>
      </c>
      <c r="G116" s="30" t="s">
        <v>133</v>
      </c>
      <c r="H116" s="30" t="s">
        <v>77</v>
      </c>
      <c r="I116" s="30" t="s">
        <v>78</v>
      </c>
      <c r="J116" s="30" t="s">
        <v>79</v>
      </c>
      <c r="K116" s="32">
        <v>800</v>
      </c>
      <c r="L116" s="32" t="s">
        <v>80</v>
      </c>
      <c r="M116" s="30" t="s">
        <v>579</v>
      </c>
      <c r="N116" s="30" t="s">
        <v>580</v>
      </c>
      <c r="O116" s="30" t="s">
        <v>83</v>
      </c>
      <c r="P116" s="33">
        <v>46175</v>
      </c>
      <c r="Q116" s="33">
        <v>46175</v>
      </c>
      <c r="R116" s="32">
        <v>1</v>
      </c>
      <c r="S116" s="30" t="s">
        <v>84</v>
      </c>
      <c r="T116" s="30" t="s">
        <v>117</v>
      </c>
      <c r="U116" s="30" t="s">
        <v>86</v>
      </c>
      <c r="V116" s="30" t="s">
        <v>87</v>
      </c>
      <c r="W116" s="30" t="s">
        <v>88</v>
      </c>
      <c r="X116" s="30" t="s">
        <v>197</v>
      </c>
      <c r="Y116" s="30">
        <v>9</v>
      </c>
      <c r="AB116" s="30" t="b">
        <v>0</v>
      </c>
      <c r="AC116" s="30"/>
      <c r="AD116" s="30" t="b">
        <v>0</v>
      </c>
      <c r="AF116" s="30" t="b">
        <v>0</v>
      </c>
      <c r="AH116" s="32" t="s">
        <v>91</v>
      </c>
      <c r="AI116" s="32"/>
      <c r="AJ116" s="32"/>
      <c r="AK116" s="32"/>
      <c r="AL116" s="30" t="s">
        <v>92</v>
      </c>
      <c r="AM116" s="30" t="s">
        <v>93</v>
      </c>
      <c r="AN116" s="30" t="s">
        <v>94</v>
      </c>
      <c r="AO116" s="30" t="s">
        <v>95</v>
      </c>
      <c r="AP116" s="30" t="s">
        <v>589</v>
      </c>
      <c r="AQ116" s="30" t="s">
        <v>589</v>
      </c>
      <c r="AR116" s="30" t="s">
        <v>145</v>
      </c>
      <c r="AT116" s="30" t="s">
        <v>275</v>
      </c>
      <c r="AU116" s="30" t="s">
        <v>582</v>
      </c>
      <c r="AV116" s="30" t="s">
        <v>583</v>
      </c>
      <c r="AW116" s="30" t="s">
        <v>584</v>
      </c>
      <c r="AX116" s="34" t="s">
        <v>349</v>
      </c>
      <c r="AY116" s="34" t="s">
        <v>103</v>
      </c>
      <c r="AZ116" s="34"/>
      <c r="BA116" s="34"/>
      <c r="BB116" s="34"/>
      <c r="BC116" s="34">
        <v>0</v>
      </c>
      <c r="BD116" s="34"/>
      <c r="BE116" s="34"/>
      <c r="BF116" s="34" t="b">
        <v>0</v>
      </c>
      <c r="BG116" s="34"/>
      <c r="BH116" s="34"/>
      <c r="BI116" s="34"/>
      <c r="BJ116" s="34"/>
      <c r="BK116" s="34"/>
      <c r="BL116" s="34"/>
      <c r="BM116" s="34" t="s">
        <v>168</v>
      </c>
      <c r="BN116" s="34"/>
      <c r="BO116" s="35"/>
      <c r="BP116" s="35"/>
      <c r="BQ116" s="35" t="s">
        <v>108</v>
      </c>
      <c r="BR116" s="36" t="e">
        <f>VLOOKUP(BQ116, Cat_Indicadores!B:C, 2, FALSE)</f>
        <v>#N/A</v>
      </c>
      <c r="BS116" s="35" t="s">
        <v>5592</v>
      </c>
      <c r="BT116" s="35"/>
    </row>
    <row r="117" spans="1:72">
      <c r="A117" s="29" t="s">
        <v>627</v>
      </c>
      <c r="B117" s="30" t="s">
        <v>628</v>
      </c>
      <c r="C117" s="31">
        <v>46197.692048611112</v>
      </c>
      <c r="D117" s="30">
        <v>92</v>
      </c>
      <c r="E117" s="30" t="s">
        <v>74</v>
      </c>
      <c r="F117" s="30" t="s">
        <v>75</v>
      </c>
      <c r="G117" s="30" t="s">
        <v>133</v>
      </c>
      <c r="H117" s="30" t="s">
        <v>77</v>
      </c>
      <c r="I117" s="30" t="s">
        <v>78</v>
      </c>
      <c r="J117" s="30" t="s">
        <v>79</v>
      </c>
      <c r="K117" s="32">
        <v>800</v>
      </c>
      <c r="L117" s="32" t="s">
        <v>80</v>
      </c>
      <c r="M117" s="30" t="s">
        <v>579</v>
      </c>
      <c r="N117" s="30" t="s">
        <v>580</v>
      </c>
      <c r="O117" s="30" t="s">
        <v>83</v>
      </c>
      <c r="P117" s="33">
        <v>46175</v>
      </c>
      <c r="Q117" s="33">
        <v>46175</v>
      </c>
      <c r="R117" s="32">
        <v>1</v>
      </c>
      <c r="S117" s="30" t="s">
        <v>84</v>
      </c>
      <c r="T117" s="30" t="s">
        <v>117</v>
      </c>
      <c r="U117" s="30" t="s">
        <v>86</v>
      </c>
      <c r="V117" s="30" t="s">
        <v>87</v>
      </c>
      <c r="W117" s="30" t="s">
        <v>88</v>
      </c>
      <c r="X117" s="30" t="s">
        <v>197</v>
      </c>
      <c r="Y117" s="30">
        <v>9</v>
      </c>
      <c r="AB117" s="30" t="b">
        <v>0</v>
      </c>
      <c r="AC117" s="30"/>
      <c r="AD117" s="30" t="b">
        <v>0</v>
      </c>
      <c r="AF117" s="30" t="b">
        <v>0</v>
      </c>
      <c r="AH117" s="32" t="s">
        <v>91</v>
      </c>
      <c r="AI117" s="32"/>
      <c r="AJ117" s="32"/>
      <c r="AK117" s="32"/>
      <c r="AL117" s="30" t="s">
        <v>92</v>
      </c>
      <c r="AM117" s="30" t="s">
        <v>93</v>
      </c>
      <c r="AN117" s="30" t="s">
        <v>94</v>
      </c>
      <c r="AO117" s="30" t="s">
        <v>95</v>
      </c>
      <c r="AP117" s="30" t="s">
        <v>589</v>
      </c>
      <c r="AQ117" s="30" t="s">
        <v>589</v>
      </c>
      <c r="AR117" s="30" t="s">
        <v>145</v>
      </c>
      <c r="AT117" s="30" t="s">
        <v>275</v>
      </c>
      <c r="AU117" s="30" t="s">
        <v>582</v>
      </c>
      <c r="AV117" s="30" t="s">
        <v>583</v>
      </c>
      <c r="AW117" s="30" t="s">
        <v>584</v>
      </c>
      <c r="AX117" s="34" t="s">
        <v>349</v>
      </c>
      <c r="AY117" s="34" t="s">
        <v>103</v>
      </c>
      <c r="AZ117" s="34"/>
      <c r="BA117" s="34"/>
      <c r="BB117" s="34"/>
      <c r="BC117" s="34">
        <v>0</v>
      </c>
      <c r="BD117" s="34"/>
      <c r="BE117" s="34"/>
      <c r="BF117" s="34" t="b">
        <v>0</v>
      </c>
      <c r="BG117" s="34"/>
      <c r="BH117" s="34"/>
      <c r="BI117" s="34"/>
      <c r="BJ117" s="34"/>
      <c r="BK117" s="34"/>
      <c r="BL117" s="34"/>
      <c r="BM117" s="34" t="s">
        <v>168</v>
      </c>
      <c r="BN117" s="34"/>
      <c r="BO117" s="35"/>
      <c r="BP117" s="35"/>
      <c r="BQ117" s="35" t="s">
        <v>108</v>
      </c>
      <c r="BR117" s="36" t="e">
        <f>VLOOKUP(BQ117, Cat_Indicadores!B:C, 2, FALSE)</f>
        <v>#N/A</v>
      </c>
      <c r="BS117" s="35" t="s">
        <v>5592</v>
      </c>
      <c r="BT117" s="35"/>
    </row>
    <row r="118" spans="1:72">
      <c r="A118" s="29" t="s">
        <v>629</v>
      </c>
      <c r="B118" s="30" t="s">
        <v>630</v>
      </c>
      <c r="C118" s="31">
        <v>46197.697106481479</v>
      </c>
      <c r="D118" s="30">
        <v>92</v>
      </c>
      <c r="E118" s="30" t="s">
        <v>74</v>
      </c>
      <c r="F118" s="30" t="s">
        <v>75</v>
      </c>
      <c r="G118" s="30" t="s">
        <v>133</v>
      </c>
      <c r="H118" s="30" t="s">
        <v>77</v>
      </c>
      <c r="I118" s="30" t="s">
        <v>78</v>
      </c>
      <c r="J118" s="30" t="s">
        <v>79</v>
      </c>
      <c r="K118" s="32">
        <v>800</v>
      </c>
      <c r="L118" s="32" t="s">
        <v>80</v>
      </c>
      <c r="M118" s="30" t="s">
        <v>579</v>
      </c>
      <c r="N118" s="30" t="s">
        <v>580</v>
      </c>
      <c r="O118" s="30" t="s">
        <v>83</v>
      </c>
      <c r="P118" s="33">
        <v>46175</v>
      </c>
      <c r="Q118" s="33">
        <v>46175</v>
      </c>
      <c r="R118" s="32">
        <v>1</v>
      </c>
      <c r="S118" s="30" t="s">
        <v>84</v>
      </c>
      <c r="T118" s="30" t="s">
        <v>117</v>
      </c>
      <c r="U118" s="30" t="s">
        <v>86</v>
      </c>
      <c r="V118" s="30" t="s">
        <v>87</v>
      </c>
      <c r="W118" s="30" t="s">
        <v>88</v>
      </c>
      <c r="X118" s="30" t="s">
        <v>197</v>
      </c>
      <c r="Y118" s="30">
        <v>9</v>
      </c>
      <c r="AB118" s="30" t="b">
        <v>0</v>
      </c>
      <c r="AC118" s="30"/>
      <c r="AD118" s="30" t="b">
        <v>0</v>
      </c>
      <c r="AF118" s="30" t="b">
        <v>0</v>
      </c>
      <c r="AH118" s="32" t="s">
        <v>91</v>
      </c>
      <c r="AI118" s="32"/>
      <c r="AJ118" s="32"/>
      <c r="AK118" s="32"/>
      <c r="AL118" s="30" t="s">
        <v>92</v>
      </c>
      <c r="AM118" s="30" t="s">
        <v>93</v>
      </c>
      <c r="AN118" s="30" t="s">
        <v>94</v>
      </c>
      <c r="AO118" s="30" t="s">
        <v>95</v>
      </c>
      <c r="AP118" s="30" t="s">
        <v>589</v>
      </c>
      <c r="AQ118" s="30" t="s">
        <v>589</v>
      </c>
      <c r="AR118" s="30" t="s">
        <v>145</v>
      </c>
      <c r="AT118" s="30" t="s">
        <v>275</v>
      </c>
      <c r="AU118" s="30" t="s">
        <v>582</v>
      </c>
      <c r="AV118" s="30" t="s">
        <v>583</v>
      </c>
      <c r="AW118" s="30" t="s">
        <v>584</v>
      </c>
      <c r="AX118" s="34" t="s">
        <v>349</v>
      </c>
      <c r="AY118" s="34" t="s">
        <v>103</v>
      </c>
      <c r="AZ118" s="34"/>
      <c r="BA118" s="34"/>
      <c r="BB118" s="34"/>
      <c r="BC118" s="34">
        <v>0</v>
      </c>
      <c r="BD118" s="34"/>
      <c r="BE118" s="34"/>
      <c r="BF118" s="34" t="b">
        <v>0</v>
      </c>
      <c r="BG118" s="34"/>
      <c r="BH118" s="34"/>
      <c r="BI118" s="34"/>
      <c r="BJ118" s="34"/>
      <c r="BK118" s="34"/>
      <c r="BL118" s="34"/>
      <c r="BM118" s="34" t="s">
        <v>168</v>
      </c>
      <c r="BN118" s="34"/>
      <c r="BO118" s="35"/>
      <c r="BP118" s="35"/>
      <c r="BQ118" s="35" t="s">
        <v>108</v>
      </c>
      <c r="BR118" s="36" t="e">
        <f>VLOOKUP(BQ118, Cat_Indicadores!B:C, 2, FALSE)</f>
        <v>#N/A</v>
      </c>
      <c r="BS118" s="35" t="s">
        <v>5592</v>
      </c>
      <c r="BT118" s="35"/>
    </row>
    <row r="119" spans="1:72">
      <c r="A119" s="29" t="s">
        <v>631</v>
      </c>
      <c r="B119" s="30" t="s">
        <v>632</v>
      </c>
      <c r="C119" s="31">
        <v>46197.700335648151</v>
      </c>
      <c r="D119" s="30">
        <v>92</v>
      </c>
      <c r="E119" s="30" t="s">
        <v>74</v>
      </c>
      <c r="F119" s="30" t="s">
        <v>75</v>
      </c>
      <c r="G119" s="30" t="s">
        <v>133</v>
      </c>
      <c r="H119" s="30" t="s">
        <v>77</v>
      </c>
      <c r="I119" s="30" t="s">
        <v>78</v>
      </c>
      <c r="J119" s="30" t="s">
        <v>79</v>
      </c>
      <c r="K119" s="32">
        <v>800</v>
      </c>
      <c r="L119" s="32" t="s">
        <v>80</v>
      </c>
      <c r="M119" s="30" t="s">
        <v>579</v>
      </c>
      <c r="N119" s="30" t="s">
        <v>580</v>
      </c>
      <c r="O119" s="30" t="s">
        <v>83</v>
      </c>
      <c r="P119" s="33">
        <v>46175</v>
      </c>
      <c r="Q119" s="33">
        <v>46175</v>
      </c>
      <c r="R119" s="32">
        <v>1</v>
      </c>
      <c r="S119" s="30" t="s">
        <v>84</v>
      </c>
      <c r="T119" s="30" t="s">
        <v>117</v>
      </c>
      <c r="U119" s="30" t="s">
        <v>86</v>
      </c>
      <c r="V119" s="30" t="s">
        <v>87</v>
      </c>
      <c r="W119" s="30" t="s">
        <v>88</v>
      </c>
      <c r="X119" s="30" t="s">
        <v>197</v>
      </c>
      <c r="Y119" s="30">
        <v>9</v>
      </c>
      <c r="AB119" s="30" t="b">
        <v>0</v>
      </c>
      <c r="AC119" s="30"/>
      <c r="AD119" s="30" t="b">
        <v>0</v>
      </c>
      <c r="AF119" s="30" t="b">
        <v>0</v>
      </c>
      <c r="AH119" s="32" t="s">
        <v>91</v>
      </c>
      <c r="AI119" s="32"/>
      <c r="AJ119" s="32"/>
      <c r="AK119" s="32"/>
      <c r="AL119" s="30" t="s">
        <v>92</v>
      </c>
      <c r="AM119" s="30" t="s">
        <v>93</v>
      </c>
      <c r="AN119" s="30" t="s">
        <v>94</v>
      </c>
      <c r="AO119" s="30" t="s">
        <v>95</v>
      </c>
      <c r="AP119" s="30" t="s">
        <v>589</v>
      </c>
      <c r="AQ119" s="30" t="s">
        <v>589</v>
      </c>
      <c r="AR119" s="30" t="s">
        <v>145</v>
      </c>
      <c r="AT119" s="30" t="s">
        <v>275</v>
      </c>
      <c r="AU119" s="30" t="s">
        <v>582</v>
      </c>
      <c r="AV119" s="30" t="s">
        <v>583</v>
      </c>
      <c r="AW119" s="30" t="s">
        <v>584</v>
      </c>
      <c r="AX119" s="34" t="s">
        <v>349</v>
      </c>
      <c r="AY119" s="34" t="s">
        <v>103</v>
      </c>
      <c r="AZ119" s="34"/>
      <c r="BA119" s="34"/>
      <c r="BB119" s="34"/>
      <c r="BC119" s="34">
        <v>0</v>
      </c>
      <c r="BD119" s="34"/>
      <c r="BE119" s="34"/>
      <c r="BF119" s="34" t="b">
        <v>0</v>
      </c>
      <c r="BG119" s="34"/>
      <c r="BH119" s="34"/>
      <c r="BI119" s="34"/>
      <c r="BJ119" s="34"/>
      <c r="BK119" s="34"/>
      <c r="BL119" s="34"/>
      <c r="BM119" s="34" t="s">
        <v>168</v>
      </c>
      <c r="BN119" s="34"/>
      <c r="BO119" s="35"/>
      <c r="BP119" s="35"/>
      <c r="BQ119" s="35" t="s">
        <v>108</v>
      </c>
      <c r="BR119" s="36" t="e">
        <f>VLOOKUP(BQ119, Cat_Indicadores!B:C, 2, FALSE)</f>
        <v>#N/A</v>
      </c>
      <c r="BS119" s="35" t="s">
        <v>5592</v>
      </c>
      <c r="BT119" s="35"/>
    </row>
    <row r="120" spans="1:72">
      <c r="A120" s="29" t="s">
        <v>633</v>
      </c>
      <c r="B120" s="30" t="s">
        <v>634</v>
      </c>
      <c r="C120" s="31">
        <v>46197.705057870371</v>
      </c>
      <c r="D120" s="30">
        <v>92</v>
      </c>
      <c r="E120" s="30" t="s">
        <v>74</v>
      </c>
      <c r="F120" s="30" t="s">
        <v>75</v>
      </c>
      <c r="G120" s="30" t="s">
        <v>133</v>
      </c>
      <c r="H120" s="30" t="s">
        <v>77</v>
      </c>
      <c r="I120" s="30" t="s">
        <v>78</v>
      </c>
      <c r="J120" s="30" t="s">
        <v>79</v>
      </c>
      <c r="K120" s="32">
        <v>800</v>
      </c>
      <c r="L120" s="32" t="s">
        <v>80</v>
      </c>
      <c r="M120" s="30" t="s">
        <v>579</v>
      </c>
      <c r="N120" s="30" t="s">
        <v>580</v>
      </c>
      <c r="O120" s="30" t="s">
        <v>83</v>
      </c>
      <c r="P120" s="33">
        <v>46176</v>
      </c>
      <c r="Q120" s="33">
        <v>46176</v>
      </c>
      <c r="R120" s="32">
        <v>1</v>
      </c>
      <c r="S120" s="30" t="s">
        <v>84</v>
      </c>
      <c r="T120" s="30" t="s">
        <v>117</v>
      </c>
      <c r="U120" s="30" t="s">
        <v>86</v>
      </c>
      <c r="V120" s="30" t="s">
        <v>87</v>
      </c>
      <c r="W120" s="30" t="s">
        <v>88</v>
      </c>
      <c r="X120" s="30" t="s">
        <v>197</v>
      </c>
      <c r="Y120" s="30">
        <v>9</v>
      </c>
      <c r="AB120" s="30" t="b">
        <v>0</v>
      </c>
      <c r="AC120" s="30"/>
      <c r="AD120" s="30" t="b">
        <v>0</v>
      </c>
      <c r="AF120" s="30" t="b">
        <v>0</v>
      </c>
      <c r="AH120" s="32" t="s">
        <v>91</v>
      </c>
      <c r="AI120" s="32"/>
      <c r="AJ120" s="32"/>
      <c r="AK120" s="32"/>
      <c r="AL120" s="30" t="s">
        <v>92</v>
      </c>
      <c r="AM120" s="30" t="s">
        <v>93</v>
      </c>
      <c r="AN120" s="30" t="s">
        <v>94</v>
      </c>
      <c r="AO120" s="30" t="s">
        <v>95</v>
      </c>
      <c r="AP120" s="30" t="s">
        <v>589</v>
      </c>
      <c r="AQ120" s="30" t="s">
        <v>589</v>
      </c>
      <c r="AR120" s="30" t="s">
        <v>145</v>
      </c>
      <c r="AT120" s="30" t="s">
        <v>275</v>
      </c>
      <c r="AU120" s="30" t="s">
        <v>582</v>
      </c>
      <c r="AV120" s="30" t="s">
        <v>583</v>
      </c>
      <c r="AW120" s="30" t="s">
        <v>584</v>
      </c>
      <c r="AX120" s="34" t="s">
        <v>349</v>
      </c>
      <c r="AY120" s="34" t="s">
        <v>103</v>
      </c>
      <c r="AZ120" s="34"/>
      <c r="BA120" s="34"/>
      <c r="BB120" s="34"/>
      <c r="BC120" s="34">
        <v>0</v>
      </c>
      <c r="BD120" s="34"/>
      <c r="BE120" s="34"/>
      <c r="BF120" s="34" t="b">
        <v>0</v>
      </c>
      <c r="BG120" s="34"/>
      <c r="BH120" s="34"/>
      <c r="BI120" s="34"/>
      <c r="BJ120" s="34"/>
      <c r="BK120" s="34"/>
      <c r="BL120" s="34"/>
      <c r="BM120" s="34" t="s">
        <v>168</v>
      </c>
      <c r="BN120" s="34"/>
      <c r="BO120" s="35"/>
      <c r="BP120" s="35"/>
      <c r="BQ120" s="35" t="s">
        <v>108</v>
      </c>
      <c r="BR120" s="36" t="e">
        <f>VLOOKUP(BQ120, Cat_Indicadores!B:C, 2, FALSE)</f>
        <v>#N/A</v>
      </c>
      <c r="BS120" s="35" t="s">
        <v>5592</v>
      </c>
      <c r="BT120" s="35"/>
    </row>
    <row r="121" spans="1:72">
      <c r="A121" s="29" t="s">
        <v>635</v>
      </c>
      <c r="B121" s="30" t="s">
        <v>636</v>
      </c>
      <c r="C121" s="31">
        <v>46197.710046296299</v>
      </c>
      <c r="D121" s="30">
        <v>92</v>
      </c>
      <c r="E121" s="30" t="s">
        <v>74</v>
      </c>
      <c r="F121" s="30" t="s">
        <v>75</v>
      </c>
      <c r="G121" s="30" t="s">
        <v>133</v>
      </c>
      <c r="H121" s="30" t="s">
        <v>77</v>
      </c>
      <c r="I121" s="30" t="s">
        <v>78</v>
      </c>
      <c r="J121" s="30" t="s">
        <v>79</v>
      </c>
      <c r="K121" s="32">
        <v>800</v>
      </c>
      <c r="L121" s="32" t="s">
        <v>80</v>
      </c>
      <c r="M121" s="30" t="s">
        <v>579</v>
      </c>
      <c r="N121" s="30" t="s">
        <v>580</v>
      </c>
      <c r="O121" s="30" t="s">
        <v>83</v>
      </c>
      <c r="P121" s="33">
        <v>46177</v>
      </c>
      <c r="Q121" s="33">
        <v>46177</v>
      </c>
      <c r="R121" s="32">
        <v>1</v>
      </c>
      <c r="S121" s="30" t="s">
        <v>84</v>
      </c>
      <c r="T121" s="30" t="s">
        <v>117</v>
      </c>
      <c r="U121" s="30" t="s">
        <v>86</v>
      </c>
      <c r="V121" s="30" t="s">
        <v>87</v>
      </c>
      <c r="W121" s="30" t="s">
        <v>88</v>
      </c>
      <c r="X121" s="30" t="s">
        <v>197</v>
      </c>
      <c r="Y121" s="30">
        <v>9</v>
      </c>
      <c r="AB121" s="30" t="b">
        <v>0</v>
      </c>
      <c r="AC121" s="30"/>
      <c r="AD121" s="30" t="b">
        <v>0</v>
      </c>
      <c r="AF121" s="30" t="b">
        <v>0</v>
      </c>
      <c r="AH121" s="32" t="s">
        <v>91</v>
      </c>
      <c r="AI121" s="32"/>
      <c r="AJ121" s="32"/>
      <c r="AK121" s="32"/>
      <c r="AL121" s="30" t="s">
        <v>92</v>
      </c>
      <c r="AM121" s="30" t="s">
        <v>93</v>
      </c>
      <c r="AN121" s="30" t="s">
        <v>94</v>
      </c>
      <c r="AO121" s="30" t="s">
        <v>95</v>
      </c>
      <c r="AP121" s="30" t="s">
        <v>589</v>
      </c>
      <c r="AQ121" s="30" t="s">
        <v>589</v>
      </c>
      <c r="AR121" s="30" t="s">
        <v>145</v>
      </c>
      <c r="AT121" s="30" t="s">
        <v>275</v>
      </c>
      <c r="AU121" s="30" t="s">
        <v>582</v>
      </c>
      <c r="AV121" s="30" t="s">
        <v>583</v>
      </c>
      <c r="AW121" s="30" t="s">
        <v>584</v>
      </c>
      <c r="AX121" s="34" t="s">
        <v>349</v>
      </c>
      <c r="AY121" s="34" t="s">
        <v>103</v>
      </c>
      <c r="AZ121" s="34"/>
      <c r="BA121" s="34"/>
      <c r="BB121" s="34"/>
      <c r="BC121" s="34">
        <v>0</v>
      </c>
      <c r="BD121" s="34"/>
      <c r="BE121" s="34"/>
      <c r="BF121" s="34" t="b">
        <v>0</v>
      </c>
      <c r="BG121" s="34"/>
      <c r="BH121" s="34"/>
      <c r="BI121" s="34"/>
      <c r="BJ121" s="34"/>
      <c r="BK121" s="34"/>
      <c r="BL121" s="34"/>
      <c r="BM121" s="34" t="s">
        <v>168</v>
      </c>
      <c r="BN121" s="34"/>
      <c r="BO121" s="35"/>
      <c r="BP121" s="35"/>
      <c r="BQ121" s="35" t="s">
        <v>108</v>
      </c>
      <c r="BR121" s="36" t="e">
        <f>VLOOKUP(BQ121, Cat_Indicadores!B:C, 2, FALSE)</f>
        <v>#N/A</v>
      </c>
      <c r="BS121" s="35" t="s">
        <v>5592</v>
      </c>
      <c r="BT121" s="35"/>
    </row>
    <row r="122" spans="1:72">
      <c r="A122" s="29" t="s">
        <v>637</v>
      </c>
      <c r="B122" s="30" t="s">
        <v>638</v>
      </c>
      <c r="C122" s="31">
        <v>46198.398344907408</v>
      </c>
      <c r="D122" s="30">
        <v>92</v>
      </c>
      <c r="E122" s="30" t="s">
        <v>74</v>
      </c>
      <c r="F122" s="30" t="s">
        <v>75</v>
      </c>
      <c r="G122" s="30" t="s">
        <v>133</v>
      </c>
      <c r="H122" s="30" t="s">
        <v>77</v>
      </c>
      <c r="I122" s="30" t="s">
        <v>78</v>
      </c>
      <c r="J122" s="30" t="s">
        <v>79</v>
      </c>
      <c r="K122" s="32">
        <v>800</v>
      </c>
      <c r="L122" s="32" t="s">
        <v>80</v>
      </c>
      <c r="M122" s="30" t="s">
        <v>579</v>
      </c>
      <c r="N122" s="30" t="s">
        <v>580</v>
      </c>
      <c r="O122" s="30" t="s">
        <v>83</v>
      </c>
      <c r="P122" s="33">
        <v>46198</v>
      </c>
      <c r="Q122" s="33">
        <v>46198</v>
      </c>
      <c r="R122" s="32">
        <v>1</v>
      </c>
      <c r="S122" s="30" t="s">
        <v>84</v>
      </c>
      <c r="T122" s="30" t="s">
        <v>117</v>
      </c>
      <c r="U122" s="30" t="s">
        <v>86</v>
      </c>
      <c r="V122" s="30" t="s">
        <v>87</v>
      </c>
      <c r="W122" s="30" t="s">
        <v>88</v>
      </c>
      <c r="X122" s="30" t="s">
        <v>197</v>
      </c>
      <c r="Y122" s="30">
        <v>9</v>
      </c>
      <c r="AB122" s="30" t="b">
        <v>0</v>
      </c>
      <c r="AC122" s="30"/>
      <c r="AD122" s="30" t="b">
        <v>0</v>
      </c>
      <c r="AF122" s="30" t="b">
        <v>0</v>
      </c>
      <c r="AH122" s="32" t="s">
        <v>91</v>
      </c>
      <c r="AI122" s="32"/>
      <c r="AJ122" s="32"/>
      <c r="AK122" s="32"/>
      <c r="AL122" s="30" t="s">
        <v>92</v>
      </c>
      <c r="AM122" s="30" t="s">
        <v>93</v>
      </c>
      <c r="AN122" s="30" t="s">
        <v>94</v>
      </c>
      <c r="AO122" s="30" t="s">
        <v>95</v>
      </c>
      <c r="AP122" s="30" t="s">
        <v>589</v>
      </c>
      <c r="AQ122" s="30" t="s">
        <v>589</v>
      </c>
      <c r="AR122" s="30" t="s">
        <v>145</v>
      </c>
      <c r="AT122" s="30" t="s">
        <v>275</v>
      </c>
      <c r="AU122" s="30" t="s">
        <v>582</v>
      </c>
      <c r="AV122" s="30" t="s">
        <v>583</v>
      </c>
      <c r="AW122" s="30" t="s">
        <v>584</v>
      </c>
      <c r="AX122" s="34" t="s">
        <v>349</v>
      </c>
      <c r="AY122" s="34" t="s">
        <v>103</v>
      </c>
      <c r="AZ122" s="34"/>
      <c r="BA122" s="34"/>
      <c r="BB122" s="34"/>
      <c r="BC122" s="34">
        <v>0</v>
      </c>
      <c r="BD122" s="34"/>
      <c r="BE122" s="34"/>
      <c r="BF122" s="34" t="b">
        <v>0</v>
      </c>
      <c r="BG122" s="34"/>
      <c r="BH122" s="34"/>
      <c r="BI122" s="34"/>
      <c r="BJ122" s="34"/>
      <c r="BK122" s="34"/>
      <c r="BL122" s="34"/>
      <c r="BM122" s="34" t="s">
        <v>168</v>
      </c>
      <c r="BN122" s="34"/>
      <c r="BO122" s="35"/>
      <c r="BP122" s="35"/>
      <c r="BQ122" s="35" t="s">
        <v>108</v>
      </c>
      <c r="BR122" s="36" t="e">
        <f>VLOOKUP(BQ122, Cat_Indicadores!B:C, 2, FALSE)</f>
        <v>#N/A</v>
      </c>
      <c r="BS122" s="35" t="s">
        <v>5592</v>
      </c>
      <c r="BT122" s="35"/>
    </row>
    <row r="123" spans="1:72">
      <c r="A123" s="29" t="s">
        <v>639</v>
      </c>
      <c r="B123" s="30" t="s">
        <v>640</v>
      </c>
      <c r="C123" s="31">
        <v>46198.401493055557</v>
      </c>
      <c r="D123" s="30">
        <v>92</v>
      </c>
      <c r="E123" s="30" t="s">
        <v>74</v>
      </c>
      <c r="F123" s="30" t="s">
        <v>75</v>
      </c>
      <c r="G123" s="30" t="s">
        <v>133</v>
      </c>
      <c r="H123" s="30" t="s">
        <v>77</v>
      </c>
      <c r="I123" s="30" t="s">
        <v>78</v>
      </c>
      <c r="J123" s="30" t="s">
        <v>79</v>
      </c>
      <c r="K123" s="32">
        <v>800</v>
      </c>
      <c r="L123" s="32" t="s">
        <v>80</v>
      </c>
      <c r="M123" s="30" t="s">
        <v>579</v>
      </c>
      <c r="N123" s="30" t="s">
        <v>580</v>
      </c>
      <c r="O123" s="30" t="s">
        <v>83</v>
      </c>
      <c r="P123" s="33">
        <v>46178</v>
      </c>
      <c r="Q123" s="33">
        <v>46178</v>
      </c>
      <c r="R123" s="32">
        <v>1</v>
      </c>
      <c r="S123" s="30" t="s">
        <v>84</v>
      </c>
      <c r="T123" s="30" t="s">
        <v>117</v>
      </c>
      <c r="U123" s="30" t="s">
        <v>86</v>
      </c>
      <c r="V123" s="30" t="s">
        <v>87</v>
      </c>
      <c r="W123" s="30" t="s">
        <v>88</v>
      </c>
      <c r="X123" s="30" t="s">
        <v>197</v>
      </c>
      <c r="Y123" s="30">
        <v>9</v>
      </c>
      <c r="AB123" s="30" t="b">
        <v>0</v>
      </c>
      <c r="AC123" s="30"/>
      <c r="AD123" s="30" t="b">
        <v>0</v>
      </c>
      <c r="AF123" s="30" t="b">
        <v>0</v>
      </c>
      <c r="AH123" s="32" t="s">
        <v>91</v>
      </c>
      <c r="AI123" s="32"/>
      <c r="AJ123" s="32"/>
      <c r="AK123" s="32"/>
      <c r="AL123" s="30" t="s">
        <v>92</v>
      </c>
      <c r="AM123" s="30" t="s">
        <v>93</v>
      </c>
      <c r="AN123" s="30" t="s">
        <v>94</v>
      </c>
      <c r="AO123" s="30" t="s">
        <v>95</v>
      </c>
      <c r="AP123" s="30" t="s">
        <v>589</v>
      </c>
      <c r="AQ123" s="30" t="s">
        <v>589</v>
      </c>
      <c r="AR123" s="30" t="s">
        <v>145</v>
      </c>
      <c r="AT123" s="30" t="s">
        <v>275</v>
      </c>
      <c r="AU123" s="30" t="s">
        <v>582</v>
      </c>
      <c r="AV123" s="30" t="s">
        <v>583</v>
      </c>
      <c r="AW123" s="30" t="s">
        <v>584</v>
      </c>
      <c r="AX123" s="34" t="s">
        <v>349</v>
      </c>
      <c r="AY123" s="34" t="s">
        <v>103</v>
      </c>
      <c r="AZ123" s="34"/>
      <c r="BA123" s="34"/>
      <c r="BB123" s="34"/>
      <c r="BC123" s="34">
        <v>0</v>
      </c>
      <c r="BD123" s="34"/>
      <c r="BE123" s="34"/>
      <c r="BF123" s="34" t="b">
        <v>0</v>
      </c>
      <c r="BG123" s="34"/>
      <c r="BH123" s="34"/>
      <c r="BI123" s="34"/>
      <c r="BJ123" s="34"/>
      <c r="BK123" s="34"/>
      <c r="BL123" s="34"/>
      <c r="BM123" s="34" t="s">
        <v>168</v>
      </c>
      <c r="BN123" s="34"/>
      <c r="BO123" s="35"/>
      <c r="BP123" s="35"/>
      <c r="BQ123" s="35" t="s">
        <v>108</v>
      </c>
      <c r="BR123" s="36" t="e">
        <f>VLOOKUP(BQ123, Cat_Indicadores!B:C, 2, FALSE)</f>
        <v>#N/A</v>
      </c>
      <c r="BS123" s="35" t="s">
        <v>5592</v>
      </c>
      <c r="BT123" s="35"/>
    </row>
    <row r="124" spans="1:72">
      <c r="A124" s="29" t="s">
        <v>641</v>
      </c>
      <c r="B124" s="30" t="s">
        <v>642</v>
      </c>
      <c r="C124" s="31">
        <v>46198.405219907407</v>
      </c>
      <c r="D124" s="30">
        <v>92</v>
      </c>
      <c r="E124" s="30" t="s">
        <v>74</v>
      </c>
      <c r="F124" s="30" t="s">
        <v>75</v>
      </c>
      <c r="G124" s="30" t="s">
        <v>133</v>
      </c>
      <c r="H124" s="30" t="s">
        <v>77</v>
      </c>
      <c r="I124" s="30" t="s">
        <v>78</v>
      </c>
      <c r="J124" s="30" t="s">
        <v>79</v>
      </c>
      <c r="K124" s="32">
        <v>800</v>
      </c>
      <c r="L124" s="32" t="s">
        <v>80</v>
      </c>
      <c r="M124" s="30" t="s">
        <v>579</v>
      </c>
      <c r="N124" s="30" t="s">
        <v>580</v>
      </c>
      <c r="O124" s="30" t="s">
        <v>83</v>
      </c>
      <c r="P124" s="33">
        <v>46178</v>
      </c>
      <c r="Q124" s="33">
        <v>46178</v>
      </c>
      <c r="R124" s="32">
        <v>1</v>
      </c>
      <c r="S124" s="30" t="s">
        <v>84</v>
      </c>
      <c r="T124" s="30" t="s">
        <v>117</v>
      </c>
      <c r="U124" s="30" t="s">
        <v>86</v>
      </c>
      <c r="V124" s="30" t="s">
        <v>87</v>
      </c>
      <c r="W124" s="30" t="s">
        <v>88</v>
      </c>
      <c r="X124" s="30" t="s">
        <v>197</v>
      </c>
      <c r="Y124" s="30">
        <v>9</v>
      </c>
      <c r="AB124" s="30" t="b">
        <v>0</v>
      </c>
      <c r="AC124" s="30"/>
      <c r="AD124" s="30" t="b">
        <v>0</v>
      </c>
      <c r="AF124" s="30" t="b">
        <v>0</v>
      </c>
      <c r="AH124" s="32" t="s">
        <v>91</v>
      </c>
      <c r="AI124" s="32"/>
      <c r="AJ124" s="32"/>
      <c r="AK124" s="32"/>
      <c r="AL124" s="30" t="s">
        <v>92</v>
      </c>
      <c r="AM124" s="30" t="s">
        <v>93</v>
      </c>
      <c r="AN124" s="30" t="s">
        <v>94</v>
      </c>
      <c r="AO124" s="30" t="s">
        <v>95</v>
      </c>
      <c r="AP124" s="30" t="s">
        <v>589</v>
      </c>
      <c r="AQ124" s="30" t="s">
        <v>589</v>
      </c>
      <c r="AR124" s="30" t="s">
        <v>145</v>
      </c>
      <c r="AT124" s="30" t="s">
        <v>275</v>
      </c>
      <c r="AU124" s="30" t="s">
        <v>582</v>
      </c>
      <c r="AV124" s="30" t="s">
        <v>583</v>
      </c>
      <c r="AW124" s="30" t="s">
        <v>584</v>
      </c>
      <c r="AX124" s="34" t="s">
        <v>349</v>
      </c>
      <c r="AY124" s="34" t="s">
        <v>103</v>
      </c>
      <c r="AZ124" s="34"/>
      <c r="BA124" s="34"/>
      <c r="BB124" s="34"/>
      <c r="BC124" s="34">
        <v>0</v>
      </c>
      <c r="BD124" s="34"/>
      <c r="BE124" s="34"/>
      <c r="BF124" s="34" t="b">
        <v>0</v>
      </c>
      <c r="BG124" s="34"/>
      <c r="BH124" s="34"/>
      <c r="BI124" s="34"/>
      <c r="BJ124" s="34"/>
      <c r="BK124" s="34"/>
      <c r="BL124" s="34"/>
      <c r="BM124" s="34" t="s">
        <v>168</v>
      </c>
      <c r="BN124" s="34"/>
      <c r="BO124" s="35"/>
      <c r="BP124" s="35"/>
      <c r="BQ124" s="35" t="s">
        <v>108</v>
      </c>
      <c r="BR124" s="36" t="e">
        <f>VLOOKUP(BQ124, Cat_Indicadores!B:C, 2, FALSE)</f>
        <v>#N/A</v>
      </c>
      <c r="BS124" s="35" t="s">
        <v>5592</v>
      </c>
      <c r="BT124" s="35"/>
    </row>
    <row r="125" spans="1:72">
      <c r="A125" s="29" t="s">
        <v>643</v>
      </c>
      <c r="B125" s="30" t="s">
        <v>644</v>
      </c>
      <c r="C125" s="31">
        <v>46198.425451388888</v>
      </c>
      <c r="D125" s="30">
        <v>92</v>
      </c>
      <c r="E125" s="30" t="s">
        <v>74</v>
      </c>
      <c r="F125" s="30" t="s">
        <v>75</v>
      </c>
      <c r="G125" s="30" t="s">
        <v>133</v>
      </c>
      <c r="H125" s="30" t="s">
        <v>77</v>
      </c>
      <c r="I125" s="30" t="s">
        <v>78</v>
      </c>
      <c r="J125" s="30" t="s">
        <v>79</v>
      </c>
      <c r="K125" s="32">
        <v>800</v>
      </c>
      <c r="L125" s="32" t="s">
        <v>80</v>
      </c>
      <c r="M125" s="30" t="s">
        <v>579</v>
      </c>
      <c r="N125" s="30" t="s">
        <v>580</v>
      </c>
      <c r="O125" s="30" t="s">
        <v>83</v>
      </c>
      <c r="P125" s="33">
        <v>46178</v>
      </c>
      <c r="Q125" s="33">
        <v>46178</v>
      </c>
      <c r="R125" s="32">
        <v>1</v>
      </c>
      <c r="S125" s="30" t="s">
        <v>84</v>
      </c>
      <c r="T125" s="30" t="s">
        <v>117</v>
      </c>
      <c r="U125" s="30" t="s">
        <v>86</v>
      </c>
      <c r="V125" s="30" t="s">
        <v>87</v>
      </c>
      <c r="W125" s="30" t="s">
        <v>88</v>
      </c>
      <c r="X125" s="30" t="s">
        <v>197</v>
      </c>
      <c r="Y125" s="30">
        <v>9</v>
      </c>
      <c r="AB125" s="30" t="b">
        <v>0</v>
      </c>
      <c r="AC125" s="30"/>
      <c r="AD125" s="30" t="b">
        <v>0</v>
      </c>
      <c r="AF125" s="30" t="b">
        <v>0</v>
      </c>
      <c r="AH125" s="32" t="s">
        <v>91</v>
      </c>
      <c r="AI125" s="32"/>
      <c r="AJ125" s="32"/>
      <c r="AK125" s="32"/>
      <c r="AL125" s="30" t="s">
        <v>92</v>
      </c>
      <c r="AM125" s="30" t="s">
        <v>93</v>
      </c>
      <c r="AN125" s="30" t="s">
        <v>94</v>
      </c>
      <c r="AO125" s="30" t="s">
        <v>95</v>
      </c>
      <c r="AP125" s="30" t="s">
        <v>589</v>
      </c>
      <c r="AQ125" s="30" t="s">
        <v>589</v>
      </c>
      <c r="AR125" s="30" t="s">
        <v>145</v>
      </c>
      <c r="AT125" s="30" t="s">
        <v>275</v>
      </c>
      <c r="AU125" s="30" t="s">
        <v>582</v>
      </c>
      <c r="AV125" s="30" t="s">
        <v>583</v>
      </c>
      <c r="AW125" s="30" t="s">
        <v>584</v>
      </c>
      <c r="AX125" s="34" t="s">
        <v>338</v>
      </c>
      <c r="AY125" s="34" t="s">
        <v>103</v>
      </c>
      <c r="AZ125" s="34"/>
      <c r="BA125" s="34"/>
      <c r="BB125" s="34"/>
      <c r="BC125" s="34">
        <v>0</v>
      </c>
      <c r="BD125" s="34"/>
      <c r="BE125" s="34"/>
      <c r="BF125" s="34" t="b">
        <v>0</v>
      </c>
      <c r="BG125" s="34"/>
      <c r="BH125" s="34"/>
      <c r="BI125" s="34"/>
      <c r="BJ125" s="34"/>
      <c r="BK125" s="34"/>
      <c r="BL125" s="34"/>
      <c r="BM125" s="34" t="s">
        <v>168</v>
      </c>
      <c r="BN125" s="34"/>
      <c r="BO125" s="35"/>
      <c r="BP125" s="35"/>
      <c r="BQ125" s="35" t="s">
        <v>108</v>
      </c>
      <c r="BR125" s="36" t="e">
        <f>VLOOKUP(BQ125, Cat_Indicadores!B:C, 2, FALSE)</f>
        <v>#N/A</v>
      </c>
      <c r="BS125" s="35" t="s">
        <v>5592</v>
      </c>
      <c r="BT125" s="35"/>
    </row>
    <row r="126" spans="1:72">
      <c r="A126" s="29" t="s">
        <v>645</v>
      </c>
      <c r="B126" s="30" t="s">
        <v>646</v>
      </c>
      <c r="C126" s="31">
        <v>46198.442650462966</v>
      </c>
      <c r="D126" s="30">
        <v>93</v>
      </c>
      <c r="E126" s="30" t="s">
        <v>74</v>
      </c>
      <c r="F126" s="30" t="s">
        <v>75</v>
      </c>
      <c r="G126" s="30" t="s">
        <v>595</v>
      </c>
      <c r="H126" s="30" t="s">
        <v>77</v>
      </c>
      <c r="I126" s="30" t="s">
        <v>78</v>
      </c>
      <c r="J126" s="30" t="s">
        <v>79</v>
      </c>
      <c r="K126" s="32">
        <v>10</v>
      </c>
      <c r="L126" s="32" t="s">
        <v>211</v>
      </c>
      <c r="M126" s="30" t="s">
        <v>647</v>
      </c>
      <c r="N126" s="30" t="s">
        <v>648</v>
      </c>
      <c r="O126" s="30" t="s">
        <v>83</v>
      </c>
      <c r="P126" s="33">
        <v>46179</v>
      </c>
      <c r="Q126" s="33">
        <v>46179</v>
      </c>
      <c r="R126" s="32">
        <v>1</v>
      </c>
      <c r="S126" s="30" t="s">
        <v>264</v>
      </c>
      <c r="T126" s="30" t="s">
        <v>300</v>
      </c>
      <c r="U126" s="30" t="s">
        <v>196</v>
      </c>
      <c r="V126" s="30" t="s">
        <v>87</v>
      </c>
      <c r="W126" s="30" t="s">
        <v>88</v>
      </c>
      <c r="X126" s="30" t="s">
        <v>197</v>
      </c>
      <c r="Y126" s="30">
        <v>9</v>
      </c>
      <c r="AB126" s="30" t="b">
        <v>0</v>
      </c>
      <c r="AC126" s="30"/>
      <c r="AD126" s="30" t="b">
        <v>0</v>
      </c>
      <c r="AF126" s="30" t="b">
        <v>0</v>
      </c>
      <c r="AH126" s="32" t="s">
        <v>91</v>
      </c>
      <c r="AI126" s="32"/>
      <c r="AJ126" s="32"/>
      <c r="AK126" s="32"/>
      <c r="AL126" s="30" t="s">
        <v>92</v>
      </c>
      <c r="AM126" s="30" t="s">
        <v>649</v>
      </c>
      <c r="AN126" s="30" t="s">
        <v>94</v>
      </c>
      <c r="AO126" s="30" t="s">
        <v>142</v>
      </c>
      <c r="AP126" s="30" t="s">
        <v>143</v>
      </c>
      <c r="AQ126" s="30" t="s">
        <v>144</v>
      </c>
      <c r="AR126" s="30" t="s">
        <v>145</v>
      </c>
      <c r="AT126" s="30" t="s">
        <v>203</v>
      </c>
      <c r="AU126" s="30" t="s">
        <v>590</v>
      </c>
      <c r="AV126" s="30" t="s">
        <v>650</v>
      </c>
      <c r="AW126" s="30" t="s">
        <v>592</v>
      </c>
      <c r="AX126" s="34" t="s">
        <v>196</v>
      </c>
      <c r="AY126" s="34" t="s">
        <v>103</v>
      </c>
      <c r="AZ126" s="34"/>
      <c r="BA126" s="34"/>
      <c r="BB126" s="34"/>
      <c r="BC126" s="34">
        <v>0</v>
      </c>
      <c r="BD126" s="34"/>
      <c r="BE126" s="34"/>
      <c r="BF126" s="34" t="b">
        <v>0</v>
      </c>
      <c r="BG126" s="34"/>
      <c r="BH126" s="34"/>
      <c r="BI126" s="34"/>
      <c r="BJ126" s="34"/>
      <c r="BK126" s="34"/>
      <c r="BL126" s="34" t="s">
        <v>354</v>
      </c>
      <c r="BM126" s="34" t="s">
        <v>106</v>
      </c>
      <c r="BN126" s="34" t="s">
        <v>107</v>
      </c>
      <c r="BO126" s="35"/>
      <c r="BP126" s="35"/>
      <c r="BQ126" s="35" t="s">
        <v>108</v>
      </c>
      <c r="BR126" s="36" t="e">
        <f>VLOOKUP(BQ126, Cat_Indicadores!B:C, 2, FALSE)</f>
        <v>#N/A</v>
      </c>
      <c r="BS126" s="35" t="s">
        <v>5592</v>
      </c>
      <c r="BT126" s="35"/>
    </row>
    <row r="127" spans="1:72">
      <c r="A127" s="29" t="s">
        <v>651</v>
      </c>
      <c r="B127" s="30" t="s">
        <v>652</v>
      </c>
      <c r="C127" s="31">
        <v>46198.456111111111</v>
      </c>
      <c r="D127" s="30">
        <v>92</v>
      </c>
      <c r="E127" s="30" t="s">
        <v>74</v>
      </c>
      <c r="F127" s="30" t="s">
        <v>75</v>
      </c>
      <c r="G127" s="30" t="s">
        <v>133</v>
      </c>
      <c r="H127" s="30" t="s">
        <v>77</v>
      </c>
      <c r="I127" s="30" t="s">
        <v>78</v>
      </c>
      <c r="J127" s="30" t="s">
        <v>79</v>
      </c>
      <c r="K127" s="32">
        <v>800</v>
      </c>
      <c r="L127" s="32" t="s">
        <v>80</v>
      </c>
      <c r="M127" s="30" t="s">
        <v>653</v>
      </c>
      <c r="N127" s="30" t="s">
        <v>654</v>
      </c>
      <c r="O127" s="30" t="s">
        <v>83</v>
      </c>
      <c r="P127" s="33">
        <v>46186</v>
      </c>
      <c r="Q127" s="33">
        <v>46186</v>
      </c>
      <c r="R127" s="32">
        <v>1</v>
      </c>
      <c r="S127" s="30" t="s">
        <v>243</v>
      </c>
      <c r="T127" s="30" t="s">
        <v>328</v>
      </c>
      <c r="U127" s="30" t="s">
        <v>367</v>
      </c>
      <c r="V127" s="30" t="s">
        <v>87</v>
      </c>
      <c r="W127" s="30" t="s">
        <v>88</v>
      </c>
      <c r="X127" s="30" t="s">
        <v>197</v>
      </c>
      <c r="Y127" s="30">
        <v>9</v>
      </c>
      <c r="AB127" s="30" t="b">
        <v>0</v>
      </c>
      <c r="AC127" s="30"/>
      <c r="AD127" s="30" t="b">
        <v>0</v>
      </c>
      <c r="AF127" s="30" t="b">
        <v>0</v>
      </c>
      <c r="AH127" s="32" t="s">
        <v>91</v>
      </c>
      <c r="AI127" s="32"/>
      <c r="AJ127" s="32"/>
      <c r="AK127" s="32"/>
      <c r="AL127" s="30" t="s">
        <v>92</v>
      </c>
      <c r="AM127" s="30" t="s">
        <v>294</v>
      </c>
      <c r="AN127" s="30" t="s">
        <v>94</v>
      </c>
      <c r="AO127" s="30" t="s">
        <v>142</v>
      </c>
      <c r="AP127" s="30" t="s">
        <v>143</v>
      </c>
      <c r="AQ127" s="30" t="s">
        <v>144</v>
      </c>
      <c r="AR127" s="30" t="s">
        <v>145</v>
      </c>
      <c r="AT127" s="30" t="s">
        <v>203</v>
      </c>
      <c r="AU127" s="30" t="s">
        <v>204</v>
      </c>
      <c r="AV127" s="30" t="s">
        <v>624</v>
      </c>
      <c r="AW127" s="30" t="s">
        <v>206</v>
      </c>
      <c r="AX127" s="34" t="s">
        <v>367</v>
      </c>
      <c r="AY127" s="34" t="s">
        <v>167</v>
      </c>
      <c r="AZ127" s="34"/>
      <c r="BA127" s="34"/>
      <c r="BB127" s="34"/>
      <c r="BC127" s="34">
        <v>0</v>
      </c>
      <c r="BD127" s="34"/>
      <c r="BE127" s="34"/>
      <c r="BF127" s="34" t="b">
        <v>0</v>
      </c>
      <c r="BG127" s="34"/>
      <c r="BH127" s="34"/>
      <c r="BI127" s="34"/>
      <c r="BJ127" s="34"/>
      <c r="BK127" s="34"/>
      <c r="BL127" s="34"/>
      <c r="BM127" s="34" t="s">
        <v>168</v>
      </c>
      <c r="BN127" s="34"/>
      <c r="BO127" s="35"/>
      <c r="BP127" s="35"/>
      <c r="BQ127" s="35" t="s">
        <v>108</v>
      </c>
      <c r="BR127" s="36" t="e">
        <f>VLOOKUP(BQ127, Cat_Indicadores!B:C, 2, FALSE)</f>
        <v>#N/A</v>
      </c>
      <c r="BS127" s="35" t="s">
        <v>5592</v>
      </c>
      <c r="BT127" s="35"/>
    </row>
    <row r="128" spans="1:72">
      <c r="A128" s="29" t="s">
        <v>655</v>
      </c>
      <c r="B128" s="30" t="s">
        <v>656</v>
      </c>
      <c r="C128" s="31">
        <v>46198.525659722225</v>
      </c>
      <c r="D128" s="30">
        <v>92</v>
      </c>
      <c r="E128" s="30" t="s">
        <v>74</v>
      </c>
      <c r="F128" s="30" t="s">
        <v>75</v>
      </c>
      <c r="G128" s="30" t="s">
        <v>133</v>
      </c>
      <c r="H128" s="30" t="s">
        <v>77</v>
      </c>
      <c r="I128" s="30" t="s">
        <v>78</v>
      </c>
      <c r="J128" s="30" t="s">
        <v>79</v>
      </c>
      <c r="K128" s="32">
        <v>800</v>
      </c>
      <c r="L128" s="32" t="s">
        <v>80</v>
      </c>
      <c r="M128" s="30" t="s">
        <v>579</v>
      </c>
      <c r="N128" s="30" t="s">
        <v>580</v>
      </c>
      <c r="O128" s="30" t="s">
        <v>83</v>
      </c>
      <c r="P128" s="33">
        <v>46192</v>
      </c>
      <c r="Q128" s="33">
        <v>46192</v>
      </c>
      <c r="R128" s="32">
        <v>1</v>
      </c>
      <c r="S128" s="30" t="s">
        <v>84</v>
      </c>
      <c r="T128" s="30" t="s">
        <v>117</v>
      </c>
      <c r="U128" s="30" t="s">
        <v>86</v>
      </c>
      <c r="V128" s="30" t="s">
        <v>87</v>
      </c>
      <c r="W128" s="30" t="s">
        <v>88</v>
      </c>
      <c r="X128" s="30" t="s">
        <v>197</v>
      </c>
      <c r="Y128" s="30">
        <v>9</v>
      </c>
      <c r="AB128" s="30" t="b">
        <v>0</v>
      </c>
      <c r="AC128" s="30"/>
      <c r="AD128" s="30" t="b">
        <v>0</v>
      </c>
      <c r="AF128" s="30" t="b">
        <v>0</v>
      </c>
      <c r="AH128" s="32" t="s">
        <v>91</v>
      </c>
      <c r="AI128" s="32"/>
      <c r="AJ128" s="32"/>
      <c r="AK128" s="32"/>
      <c r="AL128" s="30" t="s">
        <v>92</v>
      </c>
      <c r="AM128" s="30" t="s">
        <v>93</v>
      </c>
      <c r="AN128" s="30" t="s">
        <v>94</v>
      </c>
      <c r="AO128" s="30" t="s">
        <v>95</v>
      </c>
      <c r="AP128" s="30" t="s">
        <v>589</v>
      </c>
      <c r="AQ128" s="30" t="s">
        <v>589</v>
      </c>
      <c r="AR128" s="30" t="s">
        <v>145</v>
      </c>
      <c r="AT128" s="30" t="s">
        <v>275</v>
      </c>
      <c r="AU128" s="30" t="s">
        <v>582</v>
      </c>
      <c r="AV128" s="30" t="s">
        <v>583</v>
      </c>
      <c r="AW128" s="30" t="s">
        <v>584</v>
      </c>
      <c r="AX128" s="34" t="s">
        <v>349</v>
      </c>
      <c r="AY128" s="34" t="s">
        <v>103</v>
      </c>
      <c r="AZ128" s="34"/>
      <c r="BA128" s="34"/>
      <c r="BB128" s="34"/>
      <c r="BC128" s="34">
        <v>0</v>
      </c>
      <c r="BD128" s="34"/>
      <c r="BE128" s="34"/>
      <c r="BF128" s="34" t="b">
        <v>0</v>
      </c>
      <c r="BG128" s="34"/>
      <c r="BH128" s="34"/>
      <c r="BI128" s="34"/>
      <c r="BJ128" s="34"/>
      <c r="BK128" s="34"/>
      <c r="BL128" s="34"/>
      <c r="BM128" s="34" t="s">
        <v>168</v>
      </c>
      <c r="BN128" s="34"/>
      <c r="BO128" s="35"/>
      <c r="BP128" s="35"/>
      <c r="BQ128" s="35" t="s">
        <v>108</v>
      </c>
      <c r="BR128" s="36" t="e">
        <f>VLOOKUP(BQ128, Cat_Indicadores!B:C, 2, FALSE)</f>
        <v>#N/A</v>
      </c>
      <c r="BS128" s="35" t="s">
        <v>5592</v>
      </c>
      <c r="BT128" s="35"/>
    </row>
    <row r="129" spans="1:72">
      <c r="A129" s="29" t="s">
        <v>657</v>
      </c>
      <c r="B129" s="30" t="s">
        <v>658</v>
      </c>
      <c r="C129" s="31">
        <v>46198.606782407405</v>
      </c>
      <c r="D129" s="30">
        <v>91</v>
      </c>
      <c r="E129" s="30" t="s">
        <v>74</v>
      </c>
      <c r="F129" s="30" t="s">
        <v>75</v>
      </c>
      <c r="G129" s="30" t="s">
        <v>573</v>
      </c>
      <c r="H129" s="30" t="s">
        <v>77</v>
      </c>
      <c r="I129" s="30" t="s">
        <v>78</v>
      </c>
      <c r="J129" s="30" t="s">
        <v>574</v>
      </c>
      <c r="K129" s="32">
        <v>28</v>
      </c>
      <c r="L129" s="32" t="s">
        <v>211</v>
      </c>
      <c r="M129" s="30" t="s">
        <v>659</v>
      </c>
      <c r="N129" s="30" t="s">
        <v>660</v>
      </c>
      <c r="O129" s="30" t="s">
        <v>661</v>
      </c>
      <c r="P129" s="33">
        <v>46157</v>
      </c>
      <c r="Q129" s="33">
        <v>46184</v>
      </c>
      <c r="R129" s="32">
        <v>1</v>
      </c>
      <c r="S129" s="30" t="s">
        <v>243</v>
      </c>
      <c r="T129" s="30" t="s">
        <v>662</v>
      </c>
      <c r="U129" s="30" t="s">
        <v>216</v>
      </c>
      <c r="V129" s="30" t="s">
        <v>87</v>
      </c>
      <c r="W129" s="30" t="s">
        <v>88</v>
      </c>
      <c r="X129" s="30" t="s">
        <v>89</v>
      </c>
      <c r="Z129" s="30" t="s">
        <v>663</v>
      </c>
      <c r="AB129" s="30" t="b">
        <v>0</v>
      </c>
      <c r="AC129" s="30"/>
      <c r="AD129" s="30" t="b">
        <v>1</v>
      </c>
      <c r="AE129" s="30">
        <v>1</v>
      </c>
      <c r="AF129" s="30" t="b">
        <v>0</v>
      </c>
      <c r="AH129" s="32" t="s">
        <v>91</v>
      </c>
      <c r="AI129" s="32"/>
      <c r="AJ129" s="32"/>
      <c r="AK129" s="32"/>
      <c r="AL129" s="30" t="s">
        <v>92</v>
      </c>
      <c r="AM129" s="30" t="s">
        <v>664</v>
      </c>
      <c r="AN129" s="30" t="s">
        <v>94</v>
      </c>
      <c r="AO129" s="30" t="s">
        <v>142</v>
      </c>
      <c r="AP129" s="30" t="s">
        <v>143</v>
      </c>
      <c r="AQ129" s="30" t="s">
        <v>144</v>
      </c>
      <c r="AR129" s="30" t="s">
        <v>145</v>
      </c>
      <c r="AT129" s="30" t="s">
        <v>99</v>
      </c>
      <c r="AU129" s="30" t="s">
        <v>100</v>
      </c>
      <c r="AV129" s="30" t="s">
        <v>665</v>
      </c>
      <c r="AW129" s="30" t="s">
        <v>102</v>
      </c>
      <c r="AX129" s="34" t="s">
        <v>216</v>
      </c>
      <c r="AY129" s="34" t="s">
        <v>167</v>
      </c>
      <c r="AZ129" s="34"/>
      <c r="BA129" s="34"/>
      <c r="BB129" s="34"/>
      <c r="BC129" s="34">
        <v>0</v>
      </c>
      <c r="BD129" s="34"/>
      <c r="BE129" s="34"/>
      <c r="BF129" s="34" t="b">
        <v>0</v>
      </c>
      <c r="BG129" s="34"/>
      <c r="BH129" s="34"/>
      <c r="BI129" s="34"/>
      <c r="BJ129" s="34"/>
      <c r="BK129" s="34"/>
      <c r="BL129" s="34"/>
      <c r="BM129" s="34" t="s">
        <v>168</v>
      </c>
      <c r="BN129" s="34"/>
      <c r="BO129" s="35"/>
      <c r="BP129" s="35"/>
      <c r="BQ129" s="35" t="s">
        <v>108</v>
      </c>
      <c r="BR129" s="36" t="e">
        <f>VLOOKUP(BQ129, Cat_Indicadores!B:C, 2, FALSE)</f>
        <v>#N/A</v>
      </c>
      <c r="BS129" s="35" t="s">
        <v>5592</v>
      </c>
      <c r="BT129" s="35"/>
    </row>
    <row r="130" spans="1:72">
      <c r="A130" s="29" t="s">
        <v>666</v>
      </c>
      <c r="B130" s="30" t="s">
        <v>667</v>
      </c>
      <c r="C130" s="31">
        <v>46198.64472222222</v>
      </c>
      <c r="D130" s="30">
        <v>91</v>
      </c>
      <c r="E130" s="30" t="s">
        <v>74</v>
      </c>
      <c r="F130" s="30" t="s">
        <v>75</v>
      </c>
      <c r="G130" s="30" t="s">
        <v>573</v>
      </c>
      <c r="H130" s="30" t="s">
        <v>77</v>
      </c>
      <c r="I130" s="30" t="s">
        <v>78</v>
      </c>
      <c r="J130" s="30" t="s">
        <v>574</v>
      </c>
      <c r="K130" s="32">
        <v>28</v>
      </c>
      <c r="L130" s="32" t="s">
        <v>211</v>
      </c>
      <c r="M130" s="30" t="s">
        <v>668</v>
      </c>
      <c r="N130" s="30" t="s">
        <v>669</v>
      </c>
      <c r="O130" s="30" t="s">
        <v>661</v>
      </c>
      <c r="P130" s="33">
        <v>46157</v>
      </c>
      <c r="Q130" s="33">
        <v>46184</v>
      </c>
      <c r="R130" s="32">
        <v>1</v>
      </c>
      <c r="S130" s="30" t="s">
        <v>243</v>
      </c>
      <c r="T130" s="30" t="s">
        <v>662</v>
      </c>
      <c r="U130" s="30" t="s">
        <v>216</v>
      </c>
      <c r="V130" s="30" t="s">
        <v>87</v>
      </c>
      <c r="W130" s="30" t="s">
        <v>88</v>
      </c>
      <c r="X130" s="30" t="s">
        <v>89</v>
      </c>
      <c r="Z130" s="30" t="s">
        <v>670</v>
      </c>
      <c r="AB130" s="30" t="b">
        <v>0</v>
      </c>
      <c r="AC130" s="30"/>
      <c r="AD130" s="30" t="b">
        <v>1</v>
      </c>
      <c r="AE130" s="30">
        <v>1</v>
      </c>
      <c r="AF130" s="30" t="b">
        <v>0</v>
      </c>
      <c r="AH130" s="32" t="s">
        <v>91</v>
      </c>
      <c r="AI130" s="32"/>
      <c r="AJ130" s="32"/>
      <c r="AK130" s="32"/>
      <c r="AL130" s="30" t="s">
        <v>92</v>
      </c>
      <c r="AM130" s="30" t="s">
        <v>664</v>
      </c>
      <c r="AN130" s="30" t="s">
        <v>94</v>
      </c>
      <c r="AO130" s="30" t="s">
        <v>142</v>
      </c>
      <c r="AP130" s="30" t="s">
        <v>143</v>
      </c>
      <c r="AQ130" s="30" t="s">
        <v>144</v>
      </c>
      <c r="AR130" s="30" t="s">
        <v>145</v>
      </c>
      <c r="AT130" s="30" t="s">
        <v>99</v>
      </c>
      <c r="AU130" s="30" t="s">
        <v>100</v>
      </c>
      <c r="AV130" s="30" t="s">
        <v>665</v>
      </c>
      <c r="AW130" s="30" t="s">
        <v>102</v>
      </c>
      <c r="AX130" s="34" t="s">
        <v>216</v>
      </c>
      <c r="AY130" s="34" t="s">
        <v>167</v>
      </c>
      <c r="AZ130" s="34"/>
      <c r="BA130" s="34"/>
      <c r="BB130" s="34"/>
      <c r="BC130" s="34">
        <v>0</v>
      </c>
      <c r="BD130" s="34"/>
      <c r="BE130" s="34"/>
      <c r="BF130" s="34" t="b">
        <v>0</v>
      </c>
      <c r="BG130" s="34"/>
      <c r="BH130" s="34"/>
      <c r="BI130" s="34"/>
      <c r="BJ130" s="34"/>
      <c r="BK130" s="34"/>
      <c r="BL130" s="34"/>
      <c r="BM130" s="34" t="s">
        <v>168</v>
      </c>
      <c r="BN130" s="34"/>
      <c r="BO130" s="35"/>
      <c r="BP130" s="35"/>
      <c r="BQ130" s="35" t="s">
        <v>108</v>
      </c>
      <c r="BR130" s="36" t="e">
        <f>VLOOKUP(BQ130, Cat_Indicadores!B:C, 2, FALSE)</f>
        <v>#N/A</v>
      </c>
      <c r="BS130" s="35" t="s">
        <v>5592</v>
      </c>
      <c r="BT130" s="35"/>
    </row>
    <row r="131" spans="1:72">
      <c r="A131" s="29" t="s">
        <v>671</v>
      </c>
      <c r="B131" s="30" t="s">
        <v>672</v>
      </c>
      <c r="C131" s="31">
        <v>46202.548518518517</v>
      </c>
      <c r="D131" s="30">
        <v>92</v>
      </c>
      <c r="E131" s="30" t="s">
        <v>74</v>
      </c>
      <c r="F131" s="30" t="s">
        <v>75</v>
      </c>
      <c r="G131" s="30" t="s">
        <v>133</v>
      </c>
      <c r="H131" s="30" t="s">
        <v>77</v>
      </c>
      <c r="I131" s="30" t="s">
        <v>78</v>
      </c>
      <c r="J131" s="30" t="s">
        <v>79</v>
      </c>
      <c r="K131" s="32">
        <v>800</v>
      </c>
      <c r="L131" s="32" t="s">
        <v>80</v>
      </c>
      <c r="M131" s="30" t="s">
        <v>673</v>
      </c>
      <c r="N131" s="30" t="s">
        <v>674</v>
      </c>
      <c r="O131" s="30" t="s">
        <v>83</v>
      </c>
      <c r="P131" s="33">
        <v>46197</v>
      </c>
      <c r="Q131" s="33">
        <v>46197</v>
      </c>
      <c r="R131" s="32">
        <v>1</v>
      </c>
      <c r="S131" s="30" t="s">
        <v>84</v>
      </c>
      <c r="T131" s="30" t="s">
        <v>117</v>
      </c>
      <c r="U131" s="30" t="s">
        <v>338</v>
      </c>
      <c r="V131" s="30" t="s">
        <v>87</v>
      </c>
      <c r="W131" s="30" t="s">
        <v>88</v>
      </c>
      <c r="X131" s="30" t="s">
        <v>197</v>
      </c>
      <c r="Y131" s="30">
        <v>9</v>
      </c>
      <c r="AB131" s="30" t="b">
        <v>0</v>
      </c>
      <c r="AC131" s="30"/>
      <c r="AD131" s="30" t="b">
        <v>0</v>
      </c>
      <c r="AF131" s="30" t="b">
        <v>0</v>
      </c>
      <c r="AH131" s="32" t="s">
        <v>91</v>
      </c>
      <c r="AI131" s="32"/>
      <c r="AJ131" s="32"/>
      <c r="AK131" s="32"/>
      <c r="AL131" s="30" t="s">
        <v>92</v>
      </c>
      <c r="AM131" s="30" t="s">
        <v>93</v>
      </c>
      <c r="AN131" s="30" t="s">
        <v>94</v>
      </c>
      <c r="AO131" s="30" t="s">
        <v>95</v>
      </c>
      <c r="AP131" s="30" t="s">
        <v>589</v>
      </c>
      <c r="AQ131" s="30" t="s">
        <v>589</v>
      </c>
      <c r="AR131" s="30" t="s">
        <v>145</v>
      </c>
      <c r="AT131" s="30" t="s">
        <v>99</v>
      </c>
      <c r="AU131" s="30" t="s">
        <v>100</v>
      </c>
      <c r="AV131" s="30" t="s">
        <v>101</v>
      </c>
      <c r="AW131" s="30" t="s">
        <v>102</v>
      </c>
      <c r="AX131" s="34" t="s">
        <v>338</v>
      </c>
      <c r="AY131" s="34" t="s">
        <v>103</v>
      </c>
      <c r="AZ131" s="34"/>
      <c r="BA131" s="34"/>
      <c r="BB131" s="34"/>
      <c r="BC131" s="34">
        <v>0</v>
      </c>
      <c r="BD131" s="34"/>
      <c r="BE131" s="34"/>
      <c r="BF131" s="34" t="b">
        <v>0</v>
      </c>
      <c r="BG131" s="34"/>
      <c r="BH131" s="34"/>
      <c r="BI131" s="34"/>
      <c r="BJ131" s="34"/>
      <c r="BK131" s="34"/>
      <c r="BL131" s="34"/>
      <c r="BM131" s="34" t="s">
        <v>168</v>
      </c>
      <c r="BN131" s="34"/>
      <c r="BO131" s="35"/>
      <c r="BP131" s="35"/>
      <c r="BQ131" s="35" t="s">
        <v>108</v>
      </c>
      <c r="BR131" s="36" t="e">
        <f>VLOOKUP(BQ131, Cat_Indicadores!B:C, 2, FALSE)</f>
        <v>#N/A</v>
      </c>
      <c r="BS131" s="35" t="s">
        <v>5592</v>
      </c>
      <c r="BT131" s="35"/>
    </row>
    <row r="132" spans="1:72">
      <c r="A132" s="29" t="s">
        <v>675</v>
      </c>
      <c r="B132" s="30" t="s">
        <v>676</v>
      </c>
      <c r="C132" s="31">
        <v>46202.554085648146</v>
      </c>
      <c r="D132" s="30">
        <v>92</v>
      </c>
      <c r="E132" s="30" t="s">
        <v>74</v>
      </c>
      <c r="F132" s="30" t="s">
        <v>75</v>
      </c>
      <c r="G132" s="30" t="s">
        <v>133</v>
      </c>
      <c r="H132" s="30" t="s">
        <v>77</v>
      </c>
      <c r="I132" s="30" t="s">
        <v>78</v>
      </c>
      <c r="J132" s="30" t="s">
        <v>79</v>
      </c>
      <c r="K132" s="32">
        <v>800</v>
      </c>
      <c r="L132" s="32" t="s">
        <v>80</v>
      </c>
      <c r="M132" s="30" t="s">
        <v>677</v>
      </c>
      <c r="N132" s="30" t="s">
        <v>678</v>
      </c>
      <c r="O132" s="30" t="s">
        <v>83</v>
      </c>
      <c r="P132" s="33">
        <v>46198</v>
      </c>
      <c r="Q132" s="33">
        <v>46198</v>
      </c>
      <c r="R132" s="32">
        <v>1</v>
      </c>
      <c r="S132" s="30" t="s">
        <v>84</v>
      </c>
      <c r="T132" s="30" t="s">
        <v>117</v>
      </c>
      <c r="U132" s="30" t="s">
        <v>160</v>
      </c>
      <c r="V132" s="30" t="s">
        <v>87</v>
      </c>
      <c r="W132" s="30" t="s">
        <v>88</v>
      </c>
      <c r="X132" s="30" t="s">
        <v>197</v>
      </c>
      <c r="Y132" s="30">
        <v>9</v>
      </c>
      <c r="AB132" s="30" t="b">
        <v>0</v>
      </c>
      <c r="AC132" s="30"/>
      <c r="AD132" s="30" t="b">
        <v>0</v>
      </c>
      <c r="AF132" s="30" t="b">
        <v>0</v>
      </c>
      <c r="AH132" s="32" t="s">
        <v>91</v>
      </c>
      <c r="AI132" s="32"/>
      <c r="AJ132" s="32"/>
      <c r="AK132" s="32"/>
      <c r="AL132" s="30" t="s">
        <v>92</v>
      </c>
      <c r="AM132" s="30" t="s">
        <v>93</v>
      </c>
      <c r="AN132" s="30" t="s">
        <v>199</v>
      </c>
      <c r="AO132" s="30" t="s">
        <v>200</v>
      </c>
      <c r="AP132" s="30" t="s">
        <v>201</v>
      </c>
      <c r="AQ132" s="30" t="s">
        <v>202</v>
      </c>
      <c r="AR132" s="30" t="s">
        <v>97</v>
      </c>
      <c r="AS132" s="30" t="s">
        <v>679</v>
      </c>
      <c r="AT132" s="30" t="s">
        <v>99</v>
      </c>
      <c r="AU132" s="30" t="s">
        <v>100</v>
      </c>
      <c r="AV132" s="30" t="s">
        <v>101</v>
      </c>
      <c r="AW132" s="30" t="s">
        <v>102</v>
      </c>
      <c r="AX132" s="34" t="s">
        <v>160</v>
      </c>
      <c r="AY132" s="34" t="s">
        <v>103</v>
      </c>
      <c r="AZ132" s="34"/>
      <c r="BA132" s="34"/>
      <c r="BB132" s="34"/>
      <c r="BC132" s="34">
        <v>0</v>
      </c>
      <c r="BD132" s="34"/>
      <c r="BE132" s="34"/>
      <c r="BF132" s="34" t="b">
        <v>0</v>
      </c>
      <c r="BG132" s="34"/>
      <c r="BH132" s="34"/>
      <c r="BI132" s="34"/>
      <c r="BJ132" s="34"/>
      <c r="BK132" s="34"/>
      <c r="BL132" s="34" t="s">
        <v>166</v>
      </c>
      <c r="BM132" s="34" t="s">
        <v>106</v>
      </c>
      <c r="BN132" s="34" t="s">
        <v>107</v>
      </c>
      <c r="BO132" s="35"/>
      <c r="BP132" s="35"/>
      <c r="BQ132" s="35" t="s">
        <v>108</v>
      </c>
      <c r="BR132" s="36" t="e">
        <f>VLOOKUP(BQ132, Cat_Indicadores!B:C, 2, FALSE)</f>
        <v>#N/A</v>
      </c>
      <c r="BS132" s="35" t="s">
        <v>5592</v>
      </c>
      <c r="BT132" s="35"/>
    </row>
    <row r="133" spans="1:72">
      <c r="A133" s="29" t="s">
        <v>680</v>
      </c>
      <c r="B133" s="30" t="s">
        <v>681</v>
      </c>
      <c r="C133" s="31">
        <v>46202.573159722226</v>
      </c>
      <c r="D133" s="30">
        <v>92</v>
      </c>
      <c r="E133" s="30" t="s">
        <v>74</v>
      </c>
      <c r="F133" s="30" t="s">
        <v>75</v>
      </c>
      <c r="G133" s="30" t="s">
        <v>133</v>
      </c>
      <c r="H133" s="30" t="s">
        <v>77</v>
      </c>
      <c r="I133" s="30" t="s">
        <v>78</v>
      </c>
      <c r="J133" s="30" t="s">
        <v>79</v>
      </c>
      <c r="K133" s="32">
        <v>800</v>
      </c>
      <c r="L133" s="32" t="s">
        <v>80</v>
      </c>
      <c r="M133" s="30" t="s">
        <v>616</v>
      </c>
      <c r="N133" s="30" t="s">
        <v>617</v>
      </c>
      <c r="O133" s="30" t="s">
        <v>83</v>
      </c>
      <c r="P133" s="33">
        <v>46199</v>
      </c>
      <c r="Q133" s="33">
        <v>46199</v>
      </c>
      <c r="R133" s="32">
        <v>1</v>
      </c>
      <c r="S133" s="30" t="s">
        <v>84</v>
      </c>
      <c r="T133" s="30" t="s">
        <v>117</v>
      </c>
      <c r="U133" s="30" t="s">
        <v>86</v>
      </c>
      <c r="V133" s="30" t="s">
        <v>87</v>
      </c>
      <c r="W133" s="30" t="s">
        <v>88</v>
      </c>
      <c r="X133" s="30" t="s">
        <v>197</v>
      </c>
      <c r="Y133" s="30">
        <v>9</v>
      </c>
      <c r="AB133" s="30" t="b">
        <v>0</v>
      </c>
      <c r="AC133" s="30"/>
      <c r="AD133" s="30" t="b">
        <v>0</v>
      </c>
      <c r="AF133" s="30" t="b">
        <v>0</v>
      </c>
      <c r="AH133" s="32" t="s">
        <v>91</v>
      </c>
      <c r="AI133" s="32"/>
      <c r="AJ133" s="32"/>
      <c r="AK133" s="32"/>
      <c r="AL133" s="30" t="s">
        <v>92</v>
      </c>
      <c r="AM133" s="30" t="s">
        <v>93</v>
      </c>
      <c r="AN133" s="30" t="s">
        <v>94</v>
      </c>
      <c r="AO133" s="30" t="s">
        <v>95</v>
      </c>
      <c r="AP133" s="30" t="s">
        <v>589</v>
      </c>
      <c r="AQ133" s="30" t="s">
        <v>589</v>
      </c>
      <c r="AR133" s="30" t="s">
        <v>145</v>
      </c>
      <c r="AT133" s="30" t="s">
        <v>275</v>
      </c>
      <c r="AU133" s="30" t="s">
        <v>618</v>
      </c>
      <c r="AV133" s="30" t="s">
        <v>619</v>
      </c>
      <c r="AW133" s="30" t="s">
        <v>620</v>
      </c>
      <c r="AX133" s="34" t="s">
        <v>86</v>
      </c>
      <c r="AY133" s="34" t="s">
        <v>103</v>
      </c>
      <c r="AZ133" s="34"/>
      <c r="BA133" s="34"/>
      <c r="BB133" s="34"/>
      <c r="BC133" s="34">
        <v>0</v>
      </c>
      <c r="BD133" s="34"/>
      <c r="BE133" s="34"/>
      <c r="BF133" s="34" t="b">
        <v>0</v>
      </c>
      <c r="BG133" s="34"/>
      <c r="BH133" s="34"/>
      <c r="BI133" s="34"/>
      <c r="BJ133" s="34"/>
      <c r="BK133" s="34"/>
      <c r="BL133" s="34"/>
      <c r="BM133" s="34" t="s">
        <v>168</v>
      </c>
      <c r="BN133" s="34"/>
      <c r="BO133" s="35"/>
      <c r="BP133" s="35"/>
      <c r="BQ133" s="35" t="s">
        <v>108</v>
      </c>
      <c r="BR133" s="36" t="e">
        <f>VLOOKUP(BQ133, Cat_Indicadores!B:C, 2, FALSE)</f>
        <v>#N/A</v>
      </c>
      <c r="BS133" s="35" t="s">
        <v>5592</v>
      </c>
      <c r="BT133" s="35"/>
    </row>
    <row r="134" spans="1:72">
      <c r="A134" s="29" t="s">
        <v>682</v>
      </c>
      <c r="B134" s="30" t="s">
        <v>683</v>
      </c>
      <c r="C134" s="31">
        <v>46203.580787037034</v>
      </c>
      <c r="D134" s="30">
        <v>91</v>
      </c>
      <c r="E134" s="30" t="s">
        <v>74</v>
      </c>
      <c r="F134" s="30" t="s">
        <v>75</v>
      </c>
      <c r="G134" s="30" t="s">
        <v>573</v>
      </c>
      <c r="H134" s="30" t="s">
        <v>77</v>
      </c>
      <c r="I134" s="30" t="s">
        <v>78</v>
      </c>
      <c r="J134" s="30" t="s">
        <v>574</v>
      </c>
      <c r="K134" s="32">
        <v>28</v>
      </c>
      <c r="L134" s="32" t="s">
        <v>211</v>
      </c>
      <c r="M134" s="30" t="s">
        <v>684</v>
      </c>
      <c r="N134" s="30" t="s">
        <v>685</v>
      </c>
      <c r="O134" s="30" t="s">
        <v>83</v>
      </c>
      <c r="P134" s="33">
        <v>46095</v>
      </c>
      <c r="Q134" s="33">
        <v>46095</v>
      </c>
      <c r="R134" s="32">
        <v>1</v>
      </c>
      <c r="S134" s="30" t="s">
        <v>84</v>
      </c>
      <c r="T134" s="30" t="s">
        <v>136</v>
      </c>
      <c r="U134" s="30" t="s">
        <v>367</v>
      </c>
      <c r="V134" s="30" t="s">
        <v>87</v>
      </c>
      <c r="W134" s="30" t="s">
        <v>88</v>
      </c>
      <c r="X134" s="30" t="s">
        <v>197</v>
      </c>
      <c r="Y134" s="30">
        <v>1</v>
      </c>
      <c r="AB134" s="30" t="b">
        <v>0</v>
      </c>
      <c r="AC134" s="30"/>
      <c r="AD134" s="30" t="b">
        <v>1</v>
      </c>
      <c r="AE134" s="30">
        <v>15</v>
      </c>
      <c r="AF134" s="30" t="b">
        <v>0</v>
      </c>
      <c r="AH134" s="32" t="s">
        <v>91</v>
      </c>
      <c r="AI134" s="32"/>
      <c r="AJ134" s="32"/>
      <c r="AK134" s="32"/>
      <c r="AL134" s="30" t="s">
        <v>92</v>
      </c>
      <c r="AM134" s="30" t="s">
        <v>294</v>
      </c>
      <c r="AN134" s="30" t="s">
        <v>94</v>
      </c>
      <c r="AO134" s="30" t="s">
        <v>142</v>
      </c>
      <c r="AP134" s="30" t="s">
        <v>143</v>
      </c>
      <c r="AQ134" s="30" t="s">
        <v>144</v>
      </c>
      <c r="AR134" s="30" t="s">
        <v>97</v>
      </c>
      <c r="AS134" s="30" t="s">
        <v>98</v>
      </c>
      <c r="AT134" s="30" t="s">
        <v>99</v>
      </c>
      <c r="AU134" s="30" t="s">
        <v>100</v>
      </c>
      <c r="AV134" s="30" t="s">
        <v>101</v>
      </c>
      <c r="AW134" s="30" t="s">
        <v>102</v>
      </c>
      <c r="AX134" s="34" t="s">
        <v>367</v>
      </c>
      <c r="AY134" s="34" t="s">
        <v>167</v>
      </c>
      <c r="AZ134" s="34"/>
      <c r="BA134" s="34"/>
      <c r="BB134" s="34"/>
      <c r="BC134" s="34">
        <v>0</v>
      </c>
      <c r="BD134" s="34"/>
      <c r="BE134" s="34"/>
      <c r="BF134" s="34" t="b">
        <v>0</v>
      </c>
      <c r="BG134" s="34"/>
      <c r="BH134" s="34"/>
      <c r="BI134" s="34"/>
      <c r="BJ134" s="34"/>
      <c r="BK134" s="34"/>
      <c r="BL134" s="34"/>
      <c r="BM134" s="34" t="s">
        <v>168</v>
      </c>
      <c r="BN134" s="34"/>
      <c r="BO134" s="35"/>
      <c r="BP134" s="35"/>
      <c r="BQ134" s="35" t="s">
        <v>108</v>
      </c>
      <c r="BR134" s="36" t="e">
        <f>VLOOKUP(BQ134, Cat_Indicadores!B:C, 2, FALSE)</f>
        <v>#N/A</v>
      </c>
      <c r="BS134" s="35" t="s">
        <v>5592</v>
      </c>
      <c r="BT134" s="35"/>
    </row>
    <row r="135" spans="1:72">
      <c r="A135" s="29" t="s">
        <v>686</v>
      </c>
      <c r="B135" s="30" t="s">
        <v>687</v>
      </c>
      <c r="C135" s="31">
        <v>46203.59</v>
      </c>
      <c r="D135" s="30">
        <v>91</v>
      </c>
      <c r="E135" s="30" t="s">
        <v>74</v>
      </c>
      <c r="F135" s="30" t="s">
        <v>75</v>
      </c>
      <c r="G135" s="30" t="s">
        <v>573</v>
      </c>
      <c r="H135" s="30" t="s">
        <v>77</v>
      </c>
      <c r="I135" s="30" t="s">
        <v>78</v>
      </c>
      <c r="J135" s="30" t="s">
        <v>574</v>
      </c>
      <c r="K135" s="32">
        <v>28</v>
      </c>
      <c r="L135" s="32" t="s">
        <v>80</v>
      </c>
      <c r="M135" s="30" t="s">
        <v>688</v>
      </c>
      <c r="N135" s="30" t="s">
        <v>689</v>
      </c>
      <c r="O135" s="30" t="s">
        <v>83</v>
      </c>
      <c r="P135" s="33">
        <v>46106</v>
      </c>
      <c r="Q135" s="33">
        <v>46106</v>
      </c>
      <c r="R135" s="32">
        <v>1</v>
      </c>
      <c r="S135" s="30" t="s">
        <v>463</v>
      </c>
      <c r="T135" s="30" t="s">
        <v>690</v>
      </c>
      <c r="U135" s="30" t="s">
        <v>367</v>
      </c>
      <c r="V135" s="30" t="s">
        <v>87</v>
      </c>
      <c r="W135" s="30" t="s">
        <v>88</v>
      </c>
      <c r="X135" s="30" t="s">
        <v>197</v>
      </c>
      <c r="Y135" s="30">
        <v>6</v>
      </c>
      <c r="AB135" s="30" t="b">
        <v>0</v>
      </c>
      <c r="AC135" s="30"/>
      <c r="AD135" s="30" t="b">
        <v>0</v>
      </c>
      <c r="AF135" s="30" t="b">
        <v>0</v>
      </c>
      <c r="AH135" s="32" t="s">
        <v>91</v>
      </c>
      <c r="AI135" s="32"/>
      <c r="AJ135" s="32"/>
      <c r="AK135" s="32"/>
      <c r="AL135" s="30" t="s">
        <v>92</v>
      </c>
      <c r="AM135" s="30" t="s">
        <v>294</v>
      </c>
      <c r="AN135" s="30" t="s">
        <v>94</v>
      </c>
      <c r="AO135" s="30" t="s">
        <v>142</v>
      </c>
      <c r="AP135" s="30" t="s">
        <v>143</v>
      </c>
      <c r="AQ135" s="30" t="s">
        <v>144</v>
      </c>
      <c r="AR135" s="30" t="s">
        <v>691</v>
      </c>
      <c r="AT135" s="30" t="s">
        <v>99</v>
      </c>
      <c r="AU135" s="30" t="s">
        <v>100</v>
      </c>
      <c r="AV135" s="30" t="s">
        <v>101</v>
      </c>
      <c r="AW135" s="30" t="s">
        <v>102</v>
      </c>
      <c r="AX135" s="34" t="s">
        <v>367</v>
      </c>
      <c r="AY135" s="34" t="s">
        <v>167</v>
      </c>
      <c r="AZ135" s="34"/>
      <c r="BA135" s="34"/>
      <c r="BB135" s="34"/>
      <c r="BC135" s="34">
        <v>0</v>
      </c>
      <c r="BD135" s="34"/>
      <c r="BE135" s="34"/>
      <c r="BF135" s="34" t="b">
        <v>0</v>
      </c>
      <c r="BG135" s="34"/>
      <c r="BH135" s="34"/>
      <c r="BI135" s="34"/>
      <c r="BJ135" s="34"/>
      <c r="BK135" s="34"/>
      <c r="BL135" s="34"/>
      <c r="BM135" s="34" t="s">
        <v>168</v>
      </c>
      <c r="BN135" s="34"/>
      <c r="BO135" s="35"/>
      <c r="BP135" s="35"/>
      <c r="BQ135" s="35" t="s">
        <v>108</v>
      </c>
      <c r="BR135" s="36" t="e">
        <f>VLOOKUP(BQ135, Cat_Indicadores!B:C, 2, FALSE)</f>
        <v>#N/A</v>
      </c>
      <c r="BS135" s="35" t="s">
        <v>5592</v>
      </c>
      <c r="BT135" s="35"/>
    </row>
    <row r="136" spans="1:72">
      <c r="A136" s="29" t="s">
        <v>692</v>
      </c>
      <c r="B136" s="30" t="s">
        <v>693</v>
      </c>
      <c r="C136" s="31">
        <v>46203.606805555559</v>
      </c>
      <c r="D136" s="30">
        <v>91</v>
      </c>
      <c r="E136" s="30" t="s">
        <v>74</v>
      </c>
      <c r="F136" s="30" t="s">
        <v>75</v>
      </c>
      <c r="G136" s="30" t="s">
        <v>573</v>
      </c>
      <c r="H136" s="30" t="s">
        <v>77</v>
      </c>
      <c r="I136" s="30" t="s">
        <v>78</v>
      </c>
      <c r="J136" s="30" t="s">
        <v>574</v>
      </c>
      <c r="K136" s="32">
        <v>28</v>
      </c>
      <c r="L136" s="32" t="s">
        <v>80</v>
      </c>
      <c r="M136" s="30" t="s">
        <v>688</v>
      </c>
      <c r="N136" s="30" t="s">
        <v>694</v>
      </c>
      <c r="O136" s="30" t="s">
        <v>83</v>
      </c>
      <c r="P136" s="33">
        <v>46203</v>
      </c>
      <c r="Q136" s="33">
        <v>46203</v>
      </c>
      <c r="R136" s="32">
        <v>1</v>
      </c>
      <c r="S136" s="30" t="s">
        <v>463</v>
      </c>
      <c r="T136" s="30" t="s">
        <v>690</v>
      </c>
      <c r="U136" s="30" t="s">
        <v>367</v>
      </c>
      <c r="V136" s="30" t="s">
        <v>87</v>
      </c>
      <c r="W136" s="30" t="s">
        <v>88</v>
      </c>
      <c r="X136" s="30" t="s">
        <v>197</v>
      </c>
      <c r="Y136" s="30">
        <v>2</v>
      </c>
      <c r="AB136" s="30" t="b">
        <v>0</v>
      </c>
      <c r="AC136" s="30"/>
      <c r="AD136" s="30" t="b">
        <v>0</v>
      </c>
      <c r="AF136" s="30" t="b">
        <v>0</v>
      </c>
      <c r="AH136" s="32" t="s">
        <v>91</v>
      </c>
      <c r="AI136" s="32"/>
      <c r="AJ136" s="32"/>
      <c r="AK136" s="32"/>
      <c r="AL136" s="30" t="s">
        <v>92</v>
      </c>
      <c r="AM136" s="30" t="s">
        <v>294</v>
      </c>
      <c r="AN136" s="30" t="s">
        <v>94</v>
      </c>
      <c r="AO136" s="30" t="s">
        <v>142</v>
      </c>
      <c r="AP136" s="30" t="s">
        <v>143</v>
      </c>
      <c r="AQ136" s="30" t="s">
        <v>144</v>
      </c>
      <c r="AR136" s="30" t="s">
        <v>691</v>
      </c>
      <c r="AT136" s="30" t="s">
        <v>99</v>
      </c>
      <c r="AU136" s="30" t="s">
        <v>100</v>
      </c>
      <c r="AV136" s="30" t="s">
        <v>101</v>
      </c>
      <c r="AW136" s="30" t="s">
        <v>102</v>
      </c>
      <c r="AX136" s="34" t="s">
        <v>367</v>
      </c>
      <c r="AY136" s="34" t="s">
        <v>167</v>
      </c>
      <c r="AZ136" s="34"/>
      <c r="BA136" s="34"/>
      <c r="BB136" s="34"/>
      <c r="BC136" s="34">
        <v>0</v>
      </c>
      <c r="BD136" s="34"/>
      <c r="BE136" s="34"/>
      <c r="BF136" s="34" t="b">
        <v>0</v>
      </c>
      <c r="BG136" s="34"/>
      <c r="BH136" s="34"/>
      <c r="BI136" s="34"/>
      <c r="BJ136" s="34"/>
      <c r="BK136" s="34"/>
      <c r="BL136" s="34"/>
      <c r="BM136" s="34" t="s">
        <v>168</v>
      </c>
      <c r="BN136" s="34"/>
      <c r="BO136" s="35"/>
      <c r="BP136" s="35"/>
      <c r="BQ136" s="35" t="s">
        <v>108</v>
      </c>
      <c r="BR136" s="36" t="e">
        <f>VLOOKUP(BQ136, Cat_Indicadores!B:C, 2, FALSE)</f>
        <v>#N/A</v>
      </c>
      <c r="BS136" s="35" t="s">
        <v>5592</v>
      </c>
      <c r="BT136" s="35"/>
    </row>
    <row r="137" spans="1:72">
      <c r="A137" s="29" t="s">
        <v>695</v>
      </c>
      <c r="B137" s="30" t="s">
        <v>696</v>
      </c>
      <c r="C137" s="31">
        <v>46203.617546296293</v>
      </c>
      <c r="D137" s="30">
        <v>91</v>
      </c>
      <c r="E137" s="30" t="s">
        <v>74</v>
      </c>
      <c r="F137" s="30" t="s">
        <v>75</v>
      </c>
      <c r="G137" s="30" t="s">
        <v>573</v>
      </c>
      <c r="H137" s="30" t="s">
        <v>77</v>
      </c>
      <c r="I137" s="30" t="s">
        <v>78</v>
      </c>
      <c r="J137" s="30" t="s">
        <v>574</v>
      </c>
      <c r="K137" s="32">
        <v>28</v>
      </c>
      <c r="L137" s="32" t="s">
        <v>211</v>
      </c>
      <c r="M137" s="30" t="s">
        <v>697</v>
      </c>
      <c r="N137" s="30" t="s">
        <v>685</v>
      </c>
      <c r="O137" s="30" t="s">
        <v>83</v>
      </c>
      <c r="P137" s="33">
        <v>46095</v>
      </c>
      <c r="Q137" s="33">
        <v>46095</v>
      </c>
      <c r="R137" s="32">
        <v>1</v>
      </c>
      <c r="S137" s="30" t="s">
        <v>84</v>
      </c>
      <c r="T137" s="30" t="s">
        <v>136</v>
      </c>
      <c r="U137" s="30" t="s">
        <v>367</v>
      </c>
      <c r="V137" s="30" t="s">
        <v>87</v>
      </c>
      <c r="W137" s="30" t="s">
        <v>88</v>
      </c>
      <c r="X137" s="30" t="s">
        <v>197</v>
      </c>
      <c r="Y137" s="30">
        <v>1</v>
      </c>
      <c r="AB137" s="30" t="b">
        <v>0</v>
      </c>
      <c r="AC137" s="30"/>
      <c r="AD137" s="30" t="b">
        <v>1</v>
      </c>
      <c r="AE137" s="30">
        <v>15</v>
      </c>
      <c r="AF137" s="30" t="b">
        <v>0</v>
      </c>
      <c r="AH137" s="32" t="s">
        <v>91</v>
      </c>
      <c r="AI137" s="32"/>
      <c r="AJ137" s="32"/>
      <c r="AK137" s="32"/>
      <c r="AL137" s="30" t="s">
        <v>92</v>
      </c>
      <c r="AM137" s="30" t="s">
        <v>294</v>
      </c>
      <c r="AN137" s="30" t="s">
        <v>94</v>
      </c>
      <c r="AO137" s="30" t="s">
        <v>142</v>
      </c>
      <c r="AP137" s="30" t="s">
        <v>143</v>
      </c>
      <c r="AQ137" s="30" t="s">
        <v>144</v>
      </c>
      <c r="AR137" s="30" t="s">
        <v>97</v>
      </c>
      <c r="AS137" s="30" t="s">
        <v>698</v>
      </c>
      <c r="AT137" s="30" t="s">
        <v>99</v>
      </c>
      <c r="AU137" s="30" t="s">
        <v>100</v>
      </c>
      <c r="AV137" s="30" t="s">
        <v>101</v>
      </c>
      <c r="AW137" s="30" t="s">
        <v>102</v>
      </c>
      <c r="AX137" s="34" t="s">
        <v>367</v>
      </c>
      <c r="AY137" s="34" t="s">
        <v>167</v>
      </c>
      <c r="AZ137" s="34"/>
      <c r="BA137" s="34"/>
      <c r="BB137" s="34"/>
      <c r="BC137" s="34">
        <v>0</v>
      </c>
      <c r="BD137" s="34"/>
      <c r="BE137" s="34"/>
      <c r="BF137" s="34" t="b">
        <v>0</v>
      </c>
      <c r="BG137" s="34"/>
      <c r="BH137" s="34"/>
      <c r="BI137" s="34"/>
      <c r="BJ137" s="34"/>
      <c r="BK137" s="34"/>
      <c r="BL137" s="34"/>
      <c r="BM137" s="34" t="s">
        <v>168</v>
      </c>
      <c r="BN137" s="34"/>
      <c r="BO137" s="35"/>
      <c r="BP137" s="35"/>
      <c r="BQ137" s="35" t="s">
        <v>108</v>
      </c>
      <c r="BR137" s="36" t="e">
        <f>VLOOKUP(BQ137, Cat_Indicadores!B:C, 2, FALSE)</f>
        <v>#N/A</v>
      </c>
      <c r="BS137" s="35" t="s">
        <v>5592</v>
      </c>
      <c r="BT137" s="35"/>
    </row>
    <row r="138" spans="1:72">
      <c r="A138" s="29" t="s">
        <v>699</v>
      </c>
      <c r="B138" s="30" t="s">
        <v>700</v>
      </c>
      <c r="C138" s="31">
        <v>46203.621967592589</v>
      </c>
      <c r="D138" s="30">
        <v>91</v>
      </c>
      <c r="E138" s="30" t="s">
        <v>74</v>
      </c>
      <c r="F138" s="30" t="s">
        <v>75</v>
      </c>
      <c r="G138" s="30" t="s">
        <v>573</v>
      </c>
      <c r="H138" s="30" t="s">
        <v>77</v>
      </c>
      <c r="I138" s="30" t="s">
        <v>78</v>
      </c>
      <c r="J138" s="30" t="s">
        <v>574</v>
      </c>
      <c r="K138" s="32">
        <v>28</v>
      </c>
      <c r="L138" s="32" t="s">
        <v>211</v>
      </c>
      <c r="M138" s="30" t="s">
        <v>701</v>
      </c>
      <c r="N138" s="30" t="s">
        <v>702</v>
      </c>
      <c r="O138" s="30" t="s">
        <v>83</v>
      </c>
      <c r="P138" s="33">
        <v>46106</v>
      </c>
      <c r="Q138" s="33">
        <v>46106</v>
      </c>
      <c r="R138" s="32">
        <v>1</v>
      </c>
      <c r="S138" s="30" t="s">
        <v>243</v>
      </c>
      <c r="T138" s="30" t="s">
        <v>703</v>
      </c>
      <c r="U138" s="30" t="s">
        <v>367</v>
      </c>
      <c r="V138" s="30" t="s">
        <v>87</v>
      </c>
      <c r="W138" s="30" t="s">
        <v>88</v>
      </c>
      <c r="X138" s="30" t="s">
        <v>197</v>
      </c>
      <c r="Y138" s="30">
        <v>4</v>
      </c>
      <c r="AB138" s="30" t="b">
        <v>0</v>
      </c>
      <c r="AC138" s="30"/>
      <c r="AD138" s="30" t="b">
        <v>0</v>
      </c>
      <c r="AF138" s="30" t="b">
        <v>0</v>
      </c>
      <c r="AH138" s="32" t="s">
        <v>91</v>
      </c>
      <c r="AI138" s="32"/>
      <c r="AJ138" s="32"/>
      <c r="AK138" s="32"/>
      <c r="AL138" s="30" t="s">
        <v>92</v>
      </c>
      <c r="AM138" s="30" t="s">
        <v>294</v>
      </c>
      <c r="AN138" s="30" t="s">
        <v>94</v>
      </c>
      <c r="AO138" s="30" t="s">
        <v>142</v>
      </c>
      <c r="AP138" s="30" t="s">
        <v>143</v>
      </c>
      <c r="AQ138" s="30" t="s">
        <v>144</v>
      </c>
      <c r="AR138" s="30" t="s">
        <v>691</v>
      </c>
      <c r="AT138" s="30" t="s">
        <v>99</v>
      </c>
      <c r="AU138" s="30" t="s">
        <v>100</v>
      </c>
      <c r="AV138" s="30" t="s">
        <v>101</v>
      </c>
      <c r="AW138" s="30" t="s">
        <v>102</v>
      </c>
      <c r="AX138" s="34" t="s">
        <v>367</v>
      </c>
      <c r="AY138" s="34" t="s">
        <v>167</v>
      </c>
      <c r="AZ138" s="34"/>
      <c r="BA138" s="34"/>
      <c r="BB138" s="34"/>
      <c r="BC138" s="34">
        <v>0</v>
      </c>
      <c r="BD138" s="34"/>
      <c r="BE138" s="34"/>
      <c r="BF138" s="34" t="b">
        <v>0</v>
      </c>
      <c r="BG138" s="34"/>
      <c r="BH138" s="34"/>
      <c r="BI138" s="34"/>
      <c r="BJ138" s="34"/>
      <c r="BK138" s="34"/>
      <c r="BL138" s="34"/>
      <c r="BM138" s="34" t="s">
        <v>168</v>
      </c>
      <c r="BN138" s="34"/>
      <c r="BO138" s="35"/>
      <c r="BP138" s="35"/>
      <c r="BQ138" s="35" t="s">
        <v>108</v>
      </c>
      <c r="BR138" s="36" t="e">
        <f>VLOOKUP(BQ138, Cat_Indicadores!B:C, 2, FALSE)</f>
        <v>#N/A</v>
      </c>
      <c r="BS138" s="35" t="s">
        <v>5592</v>
      </c>
      <c r="BT138" s="35"/>
    </row>
    <row r="139" spans="1:72">
      <c r="A139" s="29" t="s">
        <v>704</v>
      </c>
      <c r="B139" s="30" t="s">
        <v>705</v>
      </c>
      <c r="C139" s="31">
        <v>46203.636770833335</v>
      </c>
      <c r="D139" s="30">
        <v>91</v>
      </c>
      <c r="E139" s="30" t="s">
        <v>74</v>
      </c>
      <c r="F139" s="30" t="s">
        <v>75</v>
      </c>
      <c r="G139" s="30" t="s">
        <v>573</v>
      </c>
      <c r="H139" s="30" t="s">
        <v>77</v>
      </c>
      <c r="I139" s="30" t="s">
        <v>78</v>
      </c>
      <c r="J139" s="30" t="s">
        <v>574</v>
      </c>
      <c r="K139" s="32">
        <v>28</v>
      </c>
      <c r="L139" s="32" t="s">
        <v>80</v>
      </c>
      <c r="M139" s="30" t="s">
        <v>688</v>
      </c>
      <c r="N139" s="30" t="s">
        <v>706</v>
      </c>
      <c r="O139" s="30" t="s">
        <v>83</v>
      </c>
      <c r="P139" s="33">
        <v>46106</v>
      </c>
      <c r="Q139" s="33">
        <v>46106</v>
      </c>
      <c r="R139" s="32">
        <v>1</v>
      </c>
      <c r="S139" s="30" t="s">
        <v>463</v>
      </c>
      <c r="T139" s="30" t="s">
        <v>690</v>
      </c>
      <c r="U139" s="30" t="s">
        <v>367</v>
      </c>
      <c r="V139" s="30" t="s">
        <v>87</v>
      </c>
      <c r="W139" s="30" t="s">
        <v>88</v>
      </c>
      <c r="X139" s="30" t="s">
        <v>197</v>
      </c>
      <c r="Y139" s="30">
        <v>5</v>
      </c>
      <c r="AB139" s="30" t="b">
        <v>0</v>
      </c>
      <c r="AC139" s="30"/>
      <c r="AD139" s="30" t="b">
        <v>0</v>
      </c>
      <c r="AF139" s="30" t="b">
        <v>0</v>
      </c>
      <c r="AH139" s="32" t="s">
        <v>91</v>
      </c>
      <c r="AI139" s="32"/>
      <c r="AJ139" s="32"/>
      <c r="AK139" s="32"/>
      <c r="AL139" s="30" t="s">
        <v>92</v>
      </c>
      <c r="AM139" s="30" t="s">
        <v>294</v>
      </c>
      <c r="AN139" s="30" t="s">
        <v>94</v>
      </c>
      <c r="AO139" s="30" t="s">
        <v>142</v>
      </c>
      <c r="AP139" s="30" t="s">
        <v>143</v>
      </c>
      <c r="AQ139" s="30" t="s">
        <v>144</v>
      </c>
      <c r="AR139" s="30" t="s">
        <v>691</v>
      </c>
      <c r="AT139" s="30" t="s">
        <v>99</v>
      </c>
      <c r="AU139" s="30" t="s">
        <v>100</v>
      </c>
      <c r="AV139" s="30" t="s">
        <v>101</v>
      </c>
      <c r="AW139" s="30" t="s">
        <v>102</v>
      </c>
      <c r="AX139" s="34" t="s">
        <v>367</v>
      </c>
      <c r="AY139" s="34" t="s">
        <v>167</v>
      </c>
      <c r="AZ139" s="34"/>
      <c r="BA139" s="34"/>
      <c r="BB139" s="34"/>
      <c r="BC139" s="34">
        <v>0</v>
      </c>
      <c r="BD139" s="34"/>
      <c r="BE139" s="34"/>
      <c r="BF139" s="34" t="b">
        <v>0</v>
      </c>
      <c r="BG139" s="34"/>
      <c r="BH139" s="34"/>
      <c r="BI139" s="34"/>
      <c r="BJ139" s="34"/>
      <c r="BK139" s="34"/>
      <c r="BL139" s="34"/>
      <c r="BM139" s="34" t="s">
        <v>168</v>
      </c>
      <c r="BN139" s="34"/>
      <c r="BO139" s="35"/>
      <c r="BP139" s="35"/>
      <c r="BQ139" s="35" t="s">
        <v>108</v>
      </c>
      <c r="BR139" s="36" t="e">
        <f>VLOOKUP(BQ139, Cat_Indicadores!B:C, 2, FALSE)</f>
        <v>#N/A</v>
      </c>
      <c r="BS139" s="35" t="s">
        <v>5592</v>
      </c>
      <c r="BT139" s="35"/>
    </row>
    <row r="140" spans="1:72">
      <c r="A140" s="29" t="s">
        <v>707</v>
      </c>
      <c r="B140" s="30" t="s">
        <v>708</v>
      </c>
      <c r="C140" s="31">
        <v>46203.650034722225</v>
      </c>
      <c r="D140" s="30">
        <v>91</v>
      </c>
      <c r="E140" s="30" t="s">
        <v>74</v>
      </c>
      <c r="F140" s="30" t="s">
        <v>75</v>
      </c>
      <c r="G140" s="30" t="s">
        <v>573</v>
      </c>
      <c r="H140" s="30" t="s">
        <v>77</v>
      </c>
      <c r="I140" s="30" t="s">
        <v>78</v>
      </c>
      <c r="J140" s="30" t="s">
        <v>574</v>
      </c>
      <c r="K140" s="32">
        <v>28</v>
      </c>
      <c r="L140" s="32" t="s">
        <v>80</v>
      </c>
      <c r="M140" s="30" t="s">
        <v>688</v>
      </c>
      <c r="N140" s="30" t="s">
        <v>694</v>
      </c>
      <c r="O140" s="30" t="s">
        <v>83</v>
      </c>
      <c r="P140" s="33">
        <v>46106</v>
      </c>
      <c r="Q140" s="33">
        <v>46106</v>
      </c>
      <c r="R140" s="32">
        <v>1</v>
      </c>
      <c r="S140" s="30" t="s">
        <v>463</v>
      </c>
      <c r="T140" s="30" t="s">
        <v>690</v>
      </c>
      <c r="U140" s="30" t="s">
        <v>367</v>
      </c>
      <c r="V140" s="30" t="s">
        <v>87</v>
      </c>
      <c r="W140" s="30" t="s">
        <v>88</v>
      </c>
      <c r="X140" s="30" t="s">
        <v>197</v>
      </c>
      <c r="Y140" s="30">
        <v>1</v>
      </c>
      <c r="AB140" s="30" t="b">
        <v>0</v>
      </c>
      <c r="AC140" s="30"/>
      <c r="AD140" s="30" t="b">
        <v>0</v>
      </c>
      <c r="AF140" s="30" t="b">
        <v>0</v>
      </c>
      <c r="AH140" s="32" t="s">
        <v>91</v>
      </c>
      <c r="AI140" s="32"/>
      <c r="AJ140" s="32"/>
      <c r="AK140" s="32"/>
      <c r="AL140" s="30" t="s">
        <v>92</v>
      </c>
      <c r="AM140" s="30" t="s">
        <v>294</v>
      </c>
      <c r="AN140" s="30" t="s">
        <v>94</v>
      </c>
      <c r="AO140" s="30" t="s">
        <v>142</v>
      </c>
      <c r="AP140" s="30" t="s">
        <v>143</v>
      </c>
      <c r="AQ140" s="30" t="s">
        <v>144</v>
      </c>
      <c r="AR140" s="30" t="s">
        <v>691</v>
      </c>
      <c r="AT140" s="30" t="s">
        <v>99</v>
      </c>
      <c r="AU140" s="30" t="s">
        <v>100</v>
      </c>
      <c r="AV140" s="30" t="s">
        <v>101</v>
      </c>
      <c r="AW140" s="30" t="s">
        <v>102</v>
      </c>
      <c r="AX140" s="34" t="s">
        <v>367</v>
      </c>
      <c r="AY140" s="34" t="s">
        <v>167</v>
      </c>
      <c r="AZ140" s="34"/>
      <c r="BA140" s="34"/>
      <c r="BB140" s="34"/>
      <c r="BC140" s="34">
        <v>0</v>
      </c>
      <c r="BD140" s="34"/>
      <c r="BE140" s="34"/>
      <c r="BF140" s="34" t="b">
        <v>0</v>
      </c>
      <c r="BG140" s="34"/>
      <c r="BH140" s="34"/>
      <c r="BI140" s="34"/>
      <c r="BJ140" s="34"/>
      <c r="BK140" s="34"/>
      <c r="BL140" s="34"/>
      <c r="BM140" s="34" t="s">
        <v>168</v>
      </c>
      <c r="BN140" s="34"/>
      <c r="BO140" s="35"/>
      <c r="BP140" s="35"/>
      <c r="BQ140" s="35" t="s">
        <v>108</v>
      </c>
      <c r="BR140" s="36" t="e">
        <f>VLOOKUP(BQ140, Cat_Indicadores!B:C, 2, FALSE)</f>
        <v>#N/A</v>
      </c>
      <c r="BS140" s="35" t="s">
        <v>5592</v>
      </c>
      <c r="BT140" s="35"/>
    </row>
    <row r="141" spans="1:72">
      <c r="A141" s="29" t="s">
        <v>709</v>
      </c>
      <c r="B141" s="30" t="s">
        <v>710</v>
      </c>
      <c r="C141" s="31">
        <v>46203.655185185184</v>
      </c>
      <c r="D141" s="30">
        <v>91</v>
      </c>
      <c r="E141" s="30" t="s">
        <v>74</v>
      </c>
      <c r="F141" s="30" t="s">
        <v>75</v>
      </c>
      <c r="G141" s="30" t="s">
        <v>573</v>
      </c>
      <c r="H141" s="30" t="s">
        <v>77</v>
      </c>
      <c r="I141" s="30" t="s">
        <v>78</v>
      </c>
      <c r="J141" s="30" t="s">
        <v>574</v>
      </c>
      <c r="K141" s="32">
        <v>28</v>
      </c>
      <c r="L141" s="32" t="s">
        <v>211</v>
      </c>
      <c r="M141" s="30" t="s">
        <v>711</v>
      </c>
      <c r="N141" s="30" t="s">
        <v>366</v>
      </c>
      <c r="O141" s="30" t="s">
        <v>83</v>
      </c>
      <c r="P141" s="33">
        <v>46135</v>
      </c>
      <c r="Q141" s="33">
        <v>46135</v>
      </c>
      <c r="R141" s="32">
        <v>1</v>
      </c>
      <c r="S141" s="30" t="s">
        <v>243</v>
      </c>
      <c r="T141" s="30" t="s">
        <v>328</v>
      </c>
      <c r="U141" s="30" t="s">
        <v>367</v>
      </c>
      <c r="V141" s="30" t="s">
        <v>87</v>
      </c>
      <c r="W141" s="30" t="s">
        <v>88</v>
      </c>
      <c r="X141" s="30" t="s">
        <v>197</v>
      </c>
      <c r="Y141" s="30">
        <v>6</v>
      </c>
      <c r="AB141" s="30" t="b">
        <v>0</v>
      </c>
      <c r="AC141" s="30"/>
      <c r="AD141" s="30" t="b">
        <v>1</v>
      </c>
      <c r="AE141" s="30">
        <v>2</v>
      </c>
      <c r="AF141" s="30" t="b">
        <v>0</v>
      </c>
      <c r="AH141" s="32" t="s">
        <v>91</v>
      </c>
      <c r="AI141" s="32"/>
      <c r="AJ141" s="32"/>
      <c r="AK141" s="32"/>
      <c r="AL141" s="30" t="s">
        <v>92</v>
      </c>
      <c r="AM141" s="30" t="s">
        <v>294</v>
      </c>
      <c r="AN141" s="30" t="s">
        <v>94</v>
      </c>
      <c r="AO141" s="30" t="s">
        <v>142</v>
      </c>
      <c r="AP141" s="30" t="s">
        <v>143</v>
      </c>
      <c r="AQ141" s="30" t="s">
        <v>144</v>
      </c>
      <c r="AR141" s="30" t="s">
        <v>691</v>
      </c>
      <c r="AT141" s="30" t="s">
        <v>99</v>
      </c>
      <c r="AU141" s="30" t="s">
        <v>100</v>
      </c>
      <c r="AV141" s="30" t="s">
        <v>101</v>
      </c>
      <c r="AW141" s="30" t="s">
        <v>102</v>
      </c>
      <c r="AX141" s="34" t="s">
        <v>367</v>
      </c>
      <c r="AY141" s="34" t="s">
        <v>167</v>
      </c>
      <c r="AZ141" s="34"/>
      <c r="BA141" s="34"/>
      <c r="BB141" s="34"/>
      <c r="BC141" s="34">
        <v>0</v>
      </c>
      <c r="BD141" s="34"/>
      <c r="BE141" s="34"/>
      <c r="BF141" s="34" t="b">
        <v>0</v>
      </c>
      <c r="BG141" s="34"/>
      <c r="BH141" s="34"/>
      <c r="BI141" s="34"/>
      <c r="BJ141" s="34"/>
      <c r="BK141" s="34"/>
      <c r="BL141" s="34" t="s">
        <v>712</v>
      </c>
      <c r="BM141" s="34" t="s">
        <v>106</v>
      </c>
      <c r="BN141" s="34" t="s">
        <v>107</v>
      </c>
      <c r="BO141" s="35"/>
      <c r="BP141" s="35"/>
      <c r="BQ141" s="35" t="s">
        <v>108</v>
      </c>
      <c r="BR141" s="36" t="e">
        <f>VLOOKUP(BQ141, Cat_Indicadores!B:C, 2, FALSE)</f>
        <v>#N/A</v>
      </c>
      <c r="BS141" s="35" t="s">
        <v>5592</v>
      </c>
      <c r="BT141" s="35"/>
    </row>
    <row r="142" spans="1:72">
      <c r="A142" s="29" t="s">
        <v>713</v>
      </c>
      <c r="B142" s="30" t="s">
        <v>714</v>
      </c>
      <c r="C142" s="31">
        <v>46203.662615740737</v>
      </c>
      <c r="D142" s="30">
        <v>91</v>
      </c>
      <c r="E142" s="30" t="s">
        <v>74</v>
      </c>
      <c r="F142" s="30" t="s">
        <v>75</v>
      </c>
      <c r="G142" s="30" t="s">
        <v>573</v>
      </c>
      <c r="H142" s="30" t="s">
        <v>77</v>
      </c>
      <c r="I142" s="30" t="s">
        <v>78</v>
      </c>
      <c r="J142" s="30" t="s">
        <v>574</v>
      </c>
      <c r="K142" s="32">
        <v>28</v>
      </c>
      <c r="L142" s="32" t="s">
        <v>211</v>
      </c>
      <c r="M142" s="30" t="s">
        <v>715</v>
      </c>
      <c r="N142" s="30" t="s">
        <v>716</v>
      </c>
      <c r="O142" s="30" t="s">
        <v>83</v>
      </c>
      <c r="P142" s="33">
        <v>46142</v>
      </c>
      <c r="Q142" s="33">
        <v>46142</v>
      </c>
      <c r="R142" s="32">
        <v>1</v>
      </c>
      <c r="S142" s="30" t="s">
        <v>463</v>
      </c>
      <c r="T142" s="30" t="s">
        <v>717</v>
      </c>
      <c r="U142" s="30" t="s">
        <v>367</v>
      </c>
      <c r="V142" s="30" t="s">
        <v>87</v>
      </c>
      <c r="W142" s="30" t="s">
        <v>88</v>
      </c>
      <c r="X142" s="30" t="s">
        <v>197</v>
      </c>
      <c r="Y142" s="30">
        <v>6</v>
      </c>
      <c r="AB142" s="30" t="b">
        <v>0</v>
      </c>
      <c r="AC142" s="30"/>
      <c r="AD142" s="30" t="b">
        <v>1</v>
      </c>
      <c r="AE142" s="30">
        <v>2</v>
      </c>
      <c r="AF142" s="30" t="b">
        <v>0</v>
      </c>
      <c r="AH142" s="32" t="s">
        <v>91</v>
      </c>
      <c r="AI142" s="32"/>
      <c r="AJ142" s="32"/>
      <c r="AK142" s="32"/>
      <c r="AL142" s="30" t="s">
        <v>92</v>
      </c>
      <c r="AM142" s="30" t="s">
        <v>294</v>
      </c>
      <c r="AN142" s="30" t="s">
        <v>94</v>
      </c>
      <c r="AO142" s="30" t="s">
        <v>142</v>
      </c>
      <c r="AP142" s="30" t="s">
        <v>143</v>
      </c>
      <c r="AQ142" s="30" t="s">
        <v>144</v>
      </c>
      <c r="AR142" s="30" t="s">
        <v>691</v>
      </c>
      <c r="AT142" s="30" t="s">
        <v>99</v>
      </c>
      <c r="AU142" s="30" t="s">
        <v>100</v>
      </c>
      <c r="AV142" s="30" t="s">
        <v>101</v>
      </c>
      <c r="AW142" s="30" t="s">
        <v>102</v>
      </c>
      <c r="AX142" s="34" t="s">
        <v>367</v>
      </c>
      <c r="AY142" s="34" t="s">
        <v>167</v>
      </c>
      <c r="AZ142" s="34"/>
      <c r="BA142" s="34"/>
      <c r="BB142" s="34"/>
      <c r="BC142" s="34">
        <v>0</v>
      </c>
      <c r="BD142" s="34"/>
      <c r="BE142" s="34"/>
      <c r="BF142" s="34" t="b">
        <v>0</v>
      </c>
      <c r="BG142" s="34"/>
      <c r="BH142" s="34"/>
      <c r="BI142" s="34"/>
      <c r="BJ142" s="34"/>
      <c r="BK142" s="34"/>
      <c r="BL142" s="34" t="s">
        <v>718</v>
      </c>
      <c r="BM142" s="34" t="s">
        <v>106</v>
      </c>
      <c r="BN142" s="34" t="s">
        <v>107</v>
      </c>
      <c r="BO142" s="35"/>
      <c r="BP142" s="35"/>
      <c r="BQ142" s="35" t="s">
        <v>108</v>
      </c>
      <c r="BR142" s="36" t="e">
        <f>VLOOKUP(BQ142, Cat_Indicadores!B:C, 2, FALSE)</f>
        <v>#N/A</v>
      </c>
      <c r="BS142" s="35" t="s">
        <v>5592</v>
      </c>
      <c r="BT142" s="35"/>
    </row>
    <row r="143" spans="1:72">
      <c r="A143" s="29" t="s">
        <v>719</v>
      </c>
      <c r="B143" s="30" t="s">
        <v>720</v>
      </c>
      <c r="C143" s="31">
        <v>46203.677974537037</v>
      </c>
      <c r="D143" s="30">
        <v>91</v>
      </c>
      <c r="E143" s="30" t="s">
        <v>74</v>
      </c>
      <c r="F143" s="30" t="s">
        <v>75</v>
      </c>
      <c r="G143" s="30" t="s">
        <v>573</v>
      </c>
      <c r="H143" s="30" t="s">
        <v>77</v>
      </c>
      <c r="I143" s="30" t="s">
        <v>78</v>
      </c>
      <c r="J143" s="30" t="s">
        <v>574</v>
      </c>
      <c r="K143" s="32">
        <v>28</v>
      </c>
      <c r="L143" s="32" t="s">
        <v>211</v>
      </c>
      <c r="M143" s="30" t="s">
        <v>721</v>
      </c>
      <c r="N143" s="30" t="s">
        <v>722</v>
      </c>
      <c r="O143" s="30" t="s">
        <v>83</v>
      </c>
      <c r="P143" s="33">
        <v>46163</v>
      </c>
      <c r="Q143" s="33">
        <v>46163</v>
      </c>
      <c r="R143" s="32">
        <v>1</v>
      </c>
      <c r="S143" s="30" t="s">
        <v>723</v>
      </c>
      <c r="T143" s="30" t="s">
        <v>724</v>
      </c>
      <c r="U143" s="30" t="s">
        <v>367</v>
      </c>
      <c r="V143" s="30" t="s">
        <v>87</v>
      </c>
      <c r="W143" s="30" t="s">
        <v>88</v>
      </c>
      <c r="X143" s="30" t="s">
        <v>197</v>
      </c>
      <c r="Y143" s="30">
        <v>2</v>
      </c>
      <c r="AB143" s="30" t="b">
        <v>0</v>
      </c>
      <c r="AC143" s="30"/>
      <c r="AD143" s="30" t="b">
        <v>1</v>
      </c>
      <c r="AE143" s="30">
        <v>39</v>
      </c>
      <c r="AF143" s="30" t="b">
        <v>0</v>
      </c>
      <c r="AH143" s="32" t="s">
        <v>91</v>
      </c>
      <c r="AI143" s="32"/>
      <c r="AJ143" s="32"/>
      <c r="AK143" s="32"/>
      <c r="AL143" s="30" t="s">
        <v>92</v>
      </c>
      <c r="AM143" s="30" t="s">
        <v>294</v>
      </c>
      <c r="AN143" s="30" t="s">
        <v>94</v>
      </c>
      <c r="AO143" s="30" t="s">
        <v>142</v>
      </c>
      <c r="AP143" s="30" t="s">
        <v>143</v>
      </c>
      <c r="AQ143" s="30" t="s">
        <v>144</v>
      </c>
      <c r="AR143" s="30" t="s">
        <v>691</v>
      </c>
      <c r="AT143" s="30" t="s">
        <v>99</v>
      </c>
      <c r="AU143" s="30" t="s">
        <v>100</v>
      </c>
      <c r="AV143" s="30" t="s">
        <v>101</v>
      </c>
      <c r="AW143" s="30" t="s">
        <v>102</v>
      </c>
      <c r="AX143" s="34" t="s">
        <v>367</v>
      </c>
      <c r="AY143" s="34" t="s">
        <v>167</v>
      </c>
      <c r="AZ143" s="34"/>
      <c r="BA143" s="34"/>
      <c r="BB143" s="34"/>
      <c r="BC143" s="34">
        <v>0</v>
      </c>
      <c r="BD143" s="34"/>
      <c r="BE143" s="34"/>
      <c r="BF143" s="34" t="b">
        <v>0</v>
      </c>
      <c r="BG143" s="34"/>
      <c r="BH143" s="34"/>
      <c r="BI143" s="34"/>
      <c r="BJ143" s="34"/>
      <c r="BK143" s="34"/>
      <c r="BL143" s="34" t="s">
        <v>725</v>
      </c>
      <c r="BM143" s="34" t="s">
        <v>106</v>
      </c>
      <c r="BN143" s="34" t="s">
        <v>107</v>
      </c>
      <c r="BO143" s="35"/>
      <c r="BP143" s="35"/>
      <c r="BQ143" s="35" t="s">
        <v>108</v>
      </c>
      <c r="BR143" s="36" t="e">
        <f>VLOOKUP(BQ143, Cat_Indicadores!B:C, 2, FALSE)</f>
        <v>#N/A</v>
      </c>
      <c r="BS143" s="35" t="s">
        <v>5592</v>
      </c>
      <c r="BT143" s="35"/>
    </row>
    <row r="144" spans="1:72">
      <c r="A144" s="29" t="s">
        <v>726</v>
      </c>
      <c r="B144" s="30" t="s">
        <v>727</v>
      </c>
      <c r="C144" s="31">
        <v>46203.704548611109</v>
      </c>
      <c r="D144" s="30">
        <v>91</v>
      </c>
      <c r="E144" s="30" t="s">
        <v>74</v>
      </c>
      <c r="F144" s="30" t="s">
        <v>75</v>
      </c>
      <c r="G144" s="30" t="s">
        <v>573</v>
      </c>
      <c r="H144" s="30" t="s">
        <v>77</v>
      </c>
      <c r="I144" s="30" t="s">
        <v>78</v>
      </c>
      <c r="J144" s="30" t="s">
        <v>574</v>
      </c>
      <c r="K144" s="32">
        <v>28</v>
      </c>
      <c r="L144" s="32" t="s">
        <v>80</v>
      </c>
      <c r="M144" s="30" t="s">
        <v>728</v>
      </c>
      <c r="N144" s="30" t="s">
        <v>729</v>
      </c>
      <c r="O144" s="30" t="s">
        <v>83</v>
      </c>
      <c r="P144" s="33">
        <v>46183</v>
      </c>
      <c r="Q144" s="33">
        <v>46183</v>
      </c>
      <c r="R144" s="32">
        <v>1</v>
      </c>
      <c r="S144" s="30" t="s">
        <v>194</v>
      </c>
      <c r="T144" s="30" t="s">
        <v>307</v>
      </c>
      <c r="U144" s="30" t="s">
        <v>367</v>
      </c>
      <c r="V144" s="30" t="s">
        <v>87</v>
      </c>
      <c r="W144" s="30" t="s">
        <v>88</v>
      </c>
      <c r="X144" s="30" t="s">
        <v>197</v>
      </c>
      <c r="Y144" s="30">
        <v>5</v>
      </c>
      <c r="AB144" s="30" t="b">
        <v>0</v>
      </c>
      <c r="AC144" s="30"/>
      <c r="AD144" s="30" t="b">
        <v>0</v>
      </c>
      <c r="AF144" s="30" t="b">
        <v>0</v>
      </c>
      <c r="AH144" s="32" t="s">
        <v>91</v>
      </c>
      <c r="AI144" s="32"/>
      <c r="AJ144" s="32"/>
      <c r="AK144" s="32"/>
      <c r="AL144" s="30" t="s">
        <v>92</v>
      </c>
      <c r="AM144" s="30" t="s">
        <v>294</v>
      </c>
      <c r="AN144" s="30" t="s">
        <v>94</v>
      </c>
      <c r="AO144" s="30" t="s">
        <v>142</v>
      </c>
      <c r="AP144" s="30" t="s">
        <v>143</v>
      </c>
      <c r="AQ144" s="30" t="s">
        <v>144</v>
      </c>
      <c r="AR144" s="30" t="s">
        <v>691</v>
      </c>
      <c r="AT144" s="30" t="s">
        <v>99</v>
      </c>
      <c r="AU144" s="30" t="s">
        <v>100</v>
      </c>
      <c r="AV144" s="30" t="s">
        <v>101</v>
      </c>
      <c r="AW144" s="30" t="s">
        <v>102</v>
      </c>
      <c r="AX144" s="34" t="s">
        <v>367</v>
      </c>
      <c r="AY144" s="34" t="s">
        <v>167</v>
      </c>
      <c r="AZ144" s="34"/>
      <c r="BA144" s="34"/>
      <c r="BB144" s="34"/>
      <c r="BC144" s="34">
        <v>0</v>
      </c>
      <c r="BD144" s="34"/>
      <c r="BE144" s="34"/>
      <c r="BF144" s="34" t="b">
        <v>0</v>
      </c>
      <c r="BG144" s="34"/>
      <c r="BH144" s="34"/>
      <c r="BI144" s="34"/>
      <c r="BJ144" s="34"/>
      <c r="BK144" s="34"/>
      <c r="BL144" s="34" t="s">
        <v>730</v>
      </c>
      <c r="BM144" s="34" t="s">
        <v>106</v>
      </c>
      <c r="BN144" s="34" t="s">
        <v>107</v>
      </c>
      <c r="BO144" s="35"/>
      <c r="BP144" s="35"/>
      <c r="BQ144" s="35" t="s">
        <v>108</v>
      </c>
      <c r="BR144" s="36" t="e">
        <f>VLOOKUP(BQ144, Cat_Indicadores!B:C, 2, FALSE)</f>
        <v>#N/A</v>
      </c>
      <c r="BS144" s="35" t="s">
        <v>5592</v>
      </c>
      <c r="BT144" s="35"/>
    </row>
    <row r="145" spans="1:72">
      <c r="A145" s="29" t="s">
        <v>731</v>
      </c>
      <c r="B145" s="30" t="s">
        <v>732</v>
      </c>
      <c r="C145" s="31">
        <v>46204.628668981481</v>
      </c>
      <c r="D145" s="30">
        <v>92</v>
      </c>
      <c r="E145" s="30" t="s">
        <v>74</v>
      </c>
      <c r="F145" s="30" t="s">
        <v>75</v>
      </c>
      <c r="G145" s="30" t="s">
        <v>133</v>
      </c>
      <c r="H145" s="30" t="s">
        <v>77</v>
      </c>
      <c r="I145" s="30" t="s">
        <v>78</v>
      </c>
      <c r="J145" s="30" t="s">
        <v>79</v>
      </c>
      <c r="K145" s="32">
        <v>800</v>
      </c>
      <c r="L145" s="32" t="s">
        <v>80</v>
      </c>
      <c r="M145" s="30" t="s">
        <v>733</v>
      </c>
      <c r="N145" s="30" t="s">
        <v>734</v>
      </c>
      <c r="O145" s="30" t="s">
        <v>661</v>
      </c>
      <c r="P145" s="33">
        <v>46232</v>
      </c>
      <c r="Q145" s="33">
        <v>46233</v>
      </c>
      <c r="R145" s="32">
        <v>2</v>
      </c>
      <c r="S145" s="30" t="s">
        <v>84</v>
      </c>
      <c r="T145" s="30" t="s">
        <v>337</v>
      </c>
      <c r="U145" s="30" t="s">
        <v>735</v>
      </c>
      <c r="V145" s="30" t="s">
        <v>87</v>
      </c>
      <c r="W145" s="30" t="s">
        <v>88</v>
      </c>
      <c r="X145" s="30" t="s">
        <v>197</v>
      </c>
      <c r="Y145" s="30">
        <v>9</v>
      </c>
      <c r="AB145" s="30" t="b">
        <v>0</v>
      </c>
      <c r="AC145" s="30"/>
      <c r="AD145" s="30" t="b">
        <v>0</v>
      </c>
      <c r="AF145" s="30" t="b">
        <v>0</v>
      </c>
      <c r="AH145" s="32" t="s">
        <v>91</v>
      </c>
      <c r="AI145" s="32"/>
      <c r="AJ145" s="32"/>
      <c r="AK145" s="32"/>
      <c r="AL145" s="30" t="s">
        <v>92</v>
      </c>
      <c r="AM145" s="30" t="s">
        <v>93</v>
      </c>
      <c r="AN145" s="30" t="s">
        <v>94</v>
      </c>
      <c r="AO145" s="30" t="s">
        <v>142</v>
      </c>
      <c r="AP145" s="30" t="s">
        <v>143</v>
      </c>
      <c r="AQ145" s="30" t="s">
        <v>144</v>
      </c>
      <c r="AR145" s="30" t="s">
        <v>145</v>
      </c>
      <c r="AT145" s="30" t="s">
        <v>275</v>
      </c>
      <c r="AU145" s="30" t="s">
        <v>276</v>
      </c>
      <c r="AV145" s="30" t="s">
        <v>277</v>
      </c>
      <c r="AW145" s="30" t="s">
        <v>278</v>
      </c>
      <c r="AX145" s="34" t="s">
        <v>86</v>
      </c>
      <c r="AY145" s="34" t="s">
        <v>149</v>
      </c>
      <c r="AZ145" s="34" t="s">
        <v>562</v>
      </c>
      <c r="BA145" s="34"/>
      <c r="BB145" s="34"/>
      <c r="BC145" s="34">
        <v>0</v>
      </c>
      <c r="BD145" s="34"/>
      <c r="BE145" s="34"/>
      <c r="BF145" s="34" t="b">
        <v>0</v>
      </c>
      <c r="BG145" s="34"/>
      <c r="BH145" s="34"/>
      <c r="BI145" s="34"/>
      <c r="BJ145" s="34"/>
      <c r="BK145" s="34"/>
      <c r="BL145" s="34" t="s">
        <v>508</v>
      </c>
      <c r="BM145" s="34" t="s">
        <v>106</v>
      </c>
      <c r="BN145" s="34" t="s">
        <v>107</v>
      </c>
      <c r="BO145" s="35"/>
      <c r="BP145" s="35"/>
      <c r="BQ145" s="35" t="s">
        <v>108</v>
      </c>
      <c r="BR145" s="36" t="e">
        <f>VLOOKUP(BQ145, Cat_Indicadores!B:C, 2, FALSE)</f>
        <v>#N/A</v>
      </c>
      <c r="BS145" s="35" t="s">
        <v>5592</v>
      </c>
      <c r="BT145" s="35"/>
    </row>
    <row r="146" spans="1:72">
      <c r="A146" s="29" t="s">
        <v>736</v>
      </c>
      <c r="B146" s="30" t="s">
        <v>737</v>
      </c>
      <c r="C146" s="31">
        <v>46204.635775462964</v>
      </c>
      <c r="D146" s="30">
        <v>91</v>
      </c>
      <c r="E146" s="30" t="s">
        <v>74</v>
      </c>
      <c r="F146" s="30" t="s">
        <v>75</v>
      </c>
      <c r="G146" s="30" t="s">
        <v>573</v>
      </c>
      <c r="H146" s="30" t="s">
        <v>77</v>
      </c>
      <c r="I146" s="30" t="s">
        <v>78</v>
      </c>
      <c r="J146" s="30" t="s">
        <v>574</v>
      </c>
      <c r="K146" s="32">
        <v>28</v>
      </c>
      <c r="L146" s="32" t="s">
        <v>211</v>
      </c>
      <c r="M146" s="30" t="s">
        <v>738</v>
      </c>
      <c r="N146" s="30" t="s">
        <v>739</v>
      </c>
      <c r="O146" s="30" t="s">
        <v>83</v>
      </c>
      <c r="P146" s="33">
        <v>46221</v>
      </c>
      <c r="Q146" s="33">
        <v>46221</v>
      </c>
      <c r="R146" s="32">
        <v>1</v>
      </c>
      <c r="S146" s="30" t="s">
        <v>243</v>
      </c>
      <c r="T146" s="30" t="s">
        <v>740</v>
      </c>
      <c r="U146" s="30" t="s">
        <v>367</v>
      </c>
      <c r="V146" s="30" t="s">
        <v>87</v>
      </c>
      <c r="W146" s="30" t="s">
        <v>88</v>
      </c>
      <c r="X146" s="30" t="s">
        <v>197</v>
      </c>
      <c r="Y146" s="30">
        <v>4</v>
      </c>
      <c r="AB146" s="30" t="b">
        <v>0</v>
      </c>
      <c r="AC146" s="30"/>
      <c r="AD146" s="30" t="b">
        <v>1</v>
      </c>
      <c r="AE146" s="30">
        <v>1</v>
      </c>
      <c r="AF146" s="30" t="b">
        <v>0</v>
      </c>
      <c r="AH146" s="32" t="s">
        <v>91</v>
      </c>
      <c r="AI146" s="32"/>
      <c r="AJ146" s="32"/>
      <c r="AK146" s="32"/>
      <c r="AL146" s="30" t="s">
        <v>92</v>
      </c>
      <c r="AM146" s="30" t="s">
        <v>294</v>
      </c>
      <c r="AN146" s="30" t="s">
        <v>94</v>
      </c>
      <c r="AO146" s="30" t="s">
        <v>142</v>
      </c>
      <c r="AP146" s="30" t="s">
        <v>143</v>
      </c>
      <c r="AQ146" s="30" t="s">
        <v>144</v>
      </c>
      <c r="AR146" s="30" t="s">
        <v>691</v>
      </c>
      <c r="AT146" s="30" t="s">
        <v>99</v>
      </c>
      <c r="AU146" s="30" t="s">
        <v>100</v>
      </c>
      <c r="AV146" s="30" t="s">
        <v>101</v>
      </c>
      <c r="AW146" s="30" t="s">
        <v>102</v>
      </c>
      <c r="AX146" s="34" t="s">
        <v>367</v>
      </c>
      <c r="AY146" s="34" t="s">
        <v>167</v>
      </c>
      <c r="AZ146" s="34"/>
      <c r="BA146" s="34"/>
      <c r="BB146" s="34"/>
      <c r="BC146" s="34">
        <v>0</v>
      </c>
      <c r="BD146" s="34"/>
      <c r="BE146" s="34"/>
      <c r="BF146" s="34" t="b">
        <v>0</v>
      </c>
      <c r="BG146" s="34"/>
      <c r="BH146" s="34"/>
      <c r="BI146" s="34"/>
      <c r="BJ146" s="34"/>
      <c r="BK146" s="34"/>
      <c r="BL146" s="34" t="s">
        <v>741</v>
      </c>
      <c r="BM146" s="34" t="s">
        <v>106</v>
      </c>
      <c r="BN146" s="34" t="s">
        <v>107</v>
      </c>
      <c r="BO146" s="35"/>
      <c r="BP146" s="35"/>
      <c r="BQ146" s="35" t="s">
        <v>108</v>
      </c>
      <c r="BR146" s="36" t="e">
        <f>VLOOKUP(BQ146, Cat_Indicadores!B:C, 2, FALSE)</f>
        <v>#N/A</v>
      </c>
      <c r="BS146" s="35" t="s">
        <v>5592</v>
      </c>
      <c r="BT146" s="35"/>
    </row>
    <row r="147" spans="1:72">
      <c r="A147" s="29" t="s">
        <v>742</v>
      </c>
      <c r="B147" s="30" t="s">
        <v>743</v>
      </c>
      <c r="C147" s="31">
        <v>46205.505370370367</v>
      </c>
      <c r="D147" s="30">
        <v>92</v>
      </c>
      <c r="E147" s="30" t="s">
        <v>74</v>
      </c>
      <c r="F147" s="30" t="s">
        <v>75</v>
      </c>
      <c r="G147" s="30" t="s">
        <v>133</v>
      </c>
      <c r="H147" s="30" t="s">
        <v>77</v>
      </c>
      <c r="I147" s="30" t="s">
        <v>78</v>
      </c>
      <c r="J147" s="30" t="s">
        <v>79</v>
      </c>
      <c r="K147" s="32">
        <v>800</v>
      </c>
      <c r="L147" s="32" t="s">
        <v>80</v>
      </c>
      <c r="M147" s="30" t="s">
        <v>744</v>
      </c>
      <c r="N147" s="30" t="s">
        <v>745</v>
      </c>
      <c r="O147" s="30" t="s">
        <v>83</v>
      </c>
      <c r="P147" s="33">
        <v>46185</v>
      </c>
      <c r="Q147" s="33">
        <v>46185</v>
      </c>
      <c r="R147" s="32">
        <v>1</v>
      </c>
      <c r="S147" s="30" t="s">
        <v>243</v>
      </c>
      <c r="T147" s="30" t="s">
        <v>398</v>
      </c>
      <c r="U147" s="30" t="s">
        <v>497</v>
      </c>
      <c r="V147" s="30" t="s">
        <v>87</v>
      </c>
      <c r="W147" s="30" t="s">
        <v>88</v>
      </c>
      <c r="X147" s="30" t="s">
        <v>197</v>
      </c>
      <c r="Y147" s="30">
        <v>8</v>
      </c>
      <c r="AB147" s="30" t="b">
        <v>0</v>
      </c>
      <c r="AC147" s="30"/>
      <c r="AD147" s="30" t="b">
        <v>0</v>
      </c>
      <c r="AF147" s="30" t="b">
        <v>0</v>
      </c>
      <c r="AH147" s="32" t="s">
        <v>91</v>
      </c>
      <c r="AI147" s="32"/>
      <c r="AJ147" s="32"/>
      <c r="AK147" s="32"/>
      <c r="AL147" s="30" t="s">
        <v>92</v>
      </c>
      <c r="AM147" s="30" t="s">
        <v>198</v>
      </c>
      <c r="AN147" s="30" t="s">
        <v>199</v>
      </c>
      <c r="AO147" s="30" t="s">
        <v>200</v>
      </c>
      <c r="AP147" s="30" t="s">
        <v>201</v>
      </c>
      <c r="AQ147" s="30" t="s">
        <v>202</v>
      </c>
      <c r="AR147" s="30" t="s">
        <v>97</v>
      </c>
      <c r="AS147" s="30" t="s">
        <v>679</v>
      </c>
      <c r="AT147" s="30" t="s">
        <v>217</v>
      </c>
      <c r="AU147" s="30" t="s">
        <v>252</v>
      </c>
      <c r="AV147" s="30" t="s">
        <v>253</v>
      </c>
      <c r="AW147" s="30" t="s">
        <v>254</v>
      </c>
      <c r="AX147" s="34" t="s">
        <v>497</v>
      </c>
      <c r="AY147" s="34" t="s">
        <v>149</v>
      </c>
      <c r="AZ147" s="34" t="s">
        <v>149</v>
      </c>
      <c r="BA147" s="34"/>
      <c r="BB147" s="34"/>
      <c r="BC147" s="34">
        <v>0</v>
      </c>
      <c r="BD147" s="34"/>
      <c r="BE147" s="34"/>
      <c r="BF147" s="34" t="b">
        <v>0</v>
      </c>
      <c r="BG147" s="34"/>
      <c r="BH147" s="34"/>
      <c r="BI147" s="34"/>
      <c r="BJ147" s="34"/>
      <c r="BK147" s="34"/>
      <c r="BL147" s="34"/>
      <c r="BM147" s="34" t="s">
        <v>168</v>
      </c>
      <c r="BN147" s="34"/>
      <c r="BO147" s="35"/>
      <c r="BP147" s="35"/>
      <c r="BQ147" s="35" t="s">
        <v>108</v>
      </c>
      <c r="BR147" s="36" t="e">
        <f>VLOOKUP(BQ147, Cat_Indicadores!B:C, 2, FALSE)</f>
        <v>#N/A</v>
      </c>
      <c r="BS147" s="35" t="s">
        <v>5592</v>
      </c>
      <c r="BT147" s="35"/>
    </row>
    <row r="148" spans="1:72">
      <c r="A148" s="29" t="s">
        <v>746</v>
      </c>
      <c r="B148" s="30" t="s">
        <v>747</v>
      </c>
      <c r="C148" s="31">
        <v>46205.511342592596</v>
      </c>
      <c r="D148" s="30">
        <v>92</v>
      </c>
      <c r="E148" s="30" t="s">
        <v>74</v>
      </c>
      <c r="F148" s="30" t="s">
        <v>75</v>
      </c>
      <c r="G148" s="30" t="s">
        <v>133</v>
      </c>
      <c r="H148" s="30" t="s">
        <v>77</v>
      </c>
      <c r="I148" s="30" t="s">
        <v>78</v>
      </c>
      <c r="J148" s="30" t="s">
        <v>79</v>
      </c>
      <c r="K148" s="32">
        <v>800</v>
      </c>
      <c r="L148" s="32" t="s">
        <v>80</v>
      </c>
      <c r="M148" s="30" t="s">
        <v>748</v>
      </c>
      <c r="N148" s="30" t="s">
        <v>749</v>
      </c>
      <c r="O148" s="30" t="s">
        <v>83</v>
      </c>
      <c r="P148" s="33">
        <v>46185</v>
      </c>
      <c r="Q148" s="33">
        <v>46185</v>
      </c>
      <c r="R148" s="32">
        <v>1</v>
      </c>
      <c r="S148" s="30" t="s">
        <v>723</v>
      </c>
      <c r="T148" s="30" t="s">
        <v>750</v>
      </c>
      <c r="U148" s="30" t="s">
        <v>497</v>
      </c>
      <c r="V148" s="30" t="s">
        <v>87</v>
      </c>
      <c r="W148" s="30" t="s">
        <v>88</v>
      </c>
      <c r="X148" s="30" t="s">
        <v>197</v>
      </c>
      <c r="Y148" s="30">
        <v>8</v>
      </c>
      <c r="AB148" s="30" t="b">
        <v>0</v>
      </c>
      <c r="AC148" s="30"/>
      <c r="AD148" s="30" t="b">
        <v>0</v>
      </c>
      <c r="AF148" s="30" t="b">
        <v>0</v>
      </c>
      <c r="AH148" s="32" t="s">
        <v>91</v>
      </c>
      <c r="AI148" s="32"/>
      <c r="AJ148" s="32"/>
      <c r="AK148" s="32"/>
      <c r="AL148" s="30" t="s">
        <v>92</v>
      </c>
      <c r="AM148" s="30" t="s">
        <v>198</v>
      </c>
      <c r="AN148" s="30" t="s">
        <v>199</v>
      </c>
      <c r="AO148" s="30" t="s">
        <v>200</v>
      </c>
      <c r="AP148" s="30" t="s">
        <v>201</v>
      </c>
      <c r="AQ148" s="30" t="s">
        <v>202</v>
      </c>
      <c r="AR148" s="30" t="s">
        <v>97</v>
      </c>
      <c r="AS148" s="30" t="s">
        <v>679</v>
      </c>
      <c r="AT148" s="30" t="s">
        <v>217</v>
      </c>
      <c r="AU148" s="30" t="s">
        <v>252</v>
      </c>
      <c r="AV148" s="30" t="s">
        <v>253</v>
      </c>
      <c r="AW148" s="30" t="s">
        <v>254</v>
      </c>
      <c r="AX148" s="34" t="s">
        <v>497</v>
      </c>
      <c r="AY148" s="34" t="s">
        <v>149</v>
      </c>
      <c r="AZ148" s="34" t="s">
        <v>149</v>
      </c>
      <c r="BA148" s="34"/>
      <c r="BB148" s="34"/>
      <c r="BC148" s="34">
        <v>0</v>
      </c>
      <c r="BD148" s="34"/>
      <c r="BE148" s="34"/>
      <c r="BF148" s="34" t="b">
        <v>0</v>
      </c>
      <c r="BG148" s="34"/>
      <c r="BH148" s="34"/>
      <c r="BI148" s="34"/>
      <c r="BJ148" s="34"/>
      <c r="BK148" s="34"/>
      <c r="BL148" s="34" t="s">
        <v>354</v>
      </c>
      <c r="BM148" s="34" t="s">
        <v>106</v>
      </c>
      <c r="BN148" s="34" t="s">
        <v>107</v>
      </c>
      <c r="BO148" s="35"/>
      <c r="BP148" s="35"/>
      <c r="BQ148" s="35" t="s">
        <v>108</v>
      </c>
      <c r="BR148" s="36" t="e">
        <f>VLOOKUP(BQ148, Cat_Indicadores!B:C, 2, FALSE)</f>
        <v>#N/A</v>
      </c>
      <c r="BS148" s="35" t="s">
        <v>5592</v>
      </c>
      <c r="BT148" s="35"/>
    </row>
    <row r="149" spans="1:72">
      <c r="A149" s="29" t="s">
        <v>751</v>
      </c>
      <c r="B149" s="30" t="s">
        <v>752</v>
      </c>
      <c r="C149" s="31">
        <v>46205.518368055556</v>
      </c>
      <c r="D149" s="30">
        <v>92</v>
      </c>
      <c r="E149" s="30" t="s">
        <v>74</v>
      </c>
      <c r="F149" s="30" t="s">
        <v>75</v>
      </c>
      <c r="G149" s="30" t="s">
        <v>133</v>
      </c>
      <c r="H149" s="30" t="s">
        <v>77</v>
      </c>
      <c r="I149" s="30" t="s">
        <v>78</v>
      </c>
      <c r="J149" s="30" t="s">
        <v>79</v>
      </c>
      <c r="K149" s="32">
        <v>800</v>
      </c>
      <c r="L149" s="32" t="s">
        <v>80</v>
      </c>
      <c r="M149" s="30" t="s">
        <v>753</v>
      </c>
      <c r="N149" s="30" t="s">
        <v>754</v>
      </c>
      <c r="O149" s="30" t="s">
        <v>83</v>
      </c>
      <c r="P149" s="33">
        <v>46186</v>
      </c>
      <c r="Q149" s="33">
        <v>46186</v>
      </c>
      <c r="R149" s="32">
        <v>1</v>
      </c>
      <c r="S149" s="30" t="s">
        <v>463</v>
      </c>
      <c r="T149" s="30" t="s">
        <v>489</v>
      </c>
      <c r="U149" s="30" t="s">
        <v>160</v>
      </c>
      <c r="V149" s="30" t="s">
        <v>87</v>
      </c>
      <c r="W149" s="30" t="s">
        <v>88</v>
      </c>
      <c r="X149" s="30" t="s">
        <v>197</v>
      </c>
      <c r="Y149" s="30">
        <v>8</v>
      </c>
      <c r="AB149" s="30" t="b">
        <v>0</v>
      </c>
      <c r="AC149" s="30"/>
      <c r="AD149" s="30" t="b">
        <v>0</v>
      </c>
      <c r="AF149" s="30" t="b">
        <v>0</v>
      </c>
      <c r="AH149" s="32" t="s">
        <v>91</v>
      </c>
      <c r="AI149" s="32"/>
      <c r="AJ149" s="32"/>
      <c r="AK149" s="32"/>
      <c r="AL149" s="30" t="s">
        <v>92</v>
      </c>
      <c r="AM149" s="30" t="s">
        <v>755</v>
      </c>
      <c r="AN149" s="30" t="s">
        <v>199</v>
      </c>
      <c r="AO149" s="30" t="s">
        <v>200</v>
      </c>
      <c r="AP149" s="30" t="s">
        <v>201</v>
      </c>
      <c r="AQ149" s="30" t="s">
        <v>202</v>
      </c>
      <c r="AR149" s="30" t="s">
        <v>145</v>
      </c>
      <c r="AT149" s="30" t="s">
        <v>226</v>
      </c>
      <c r="AU149" s="30" t="s">
        <v>756</v>
      </c>
      <c r="AV149" s="30" t="s">
        <v>757</v>
      </c>
      <c r="AW149" s="30" t="s">
        <v>758</v>
      </c>
      <c r="AX149" s="34" t="s">
        <v>160</v>
      </c>
      <c r="AY149" s="34" t="s">
        <v>149</v>
      </c>
      <c r="AZ149" s="34" t="s">
        <v>149</v>
      </c>
      <c r="BA149" s="34"/>
      <c r="BB149" s="34"/>
      <c r="BC149" s="34">
        <v>0</v>
      </c>
      <c r="BD149" s="34"/>
      <c r="BE149" s="34"/>
      <c r="BF149" s="34" t="b">
        <v>0</v>
      </c>
      <c r="BG149" s="34"/>
      <c r="BH149" s="34"/>
      <c r="BI149" s="34"/>
      <c r="BJ149" s="34"/>
      <c r="BK149" s="34"/>
      <c r="BL149" s="34" t="s">
        <v>354</v>
      </c>
      <c r="BM149" s="34" t="s">
        <v>106</v>
      </c>
      <c r="BN149" s="34" t="s">
        <v>107</v>
      </c>
      <c r="BO149" s="35"/>
      <c r="BP149" s="35"/>
      <c r="BQ149" s="35" t="s">
        <v>108</v>
      </c>
      <c r="BR149" s="36" t="e">
        <f>VLOOKUP(BQ149, Cat_Indicadores!B:C, 2, FALSE)</f>
        <v>#N/A</v>
      </c>
      <c r="BS149" s="35" t="s">
        <v>5592</v>
      </c>
      <c r="BT149" s="35"/>
    </row>
    <row r="150" spans="1:72">
      <c r="A150" s="29" t="s">
        <v>759</v>
      </c>
      <c r="B150" s="30" t="s">
        <v>760</v>
      </c>
      <c r="C150" s="31">
        <v>46205.526979166665</v>
      </c>
      <c r="D150" s="30">
        <v>92</v>
      </c>
      <c r="E150" s="30" t="s">
        <v>74</v>
      </c>
      <c r="F150" s="30" t="s">
        <v>75</v>
      </c>
      <c r="G150" s="30" t="s">
        <v>133</v>
      </c>
      <c r="H150" s="30" t="s">
        <v>77</v>
      </c>
      <c r="I150" s="30" t="s">
        <v>78</v>
      </c>
      <c r="J150" s="30" t="s">
        <v>79</v>
      </c>
      <c r="K150" s="32">
        <v>800</v>
      </c>
      <c r="L150" s="32" t="s">
        <v>80</v>
      </c>
      <c r="M150" s="30" t="s">
        <v>761</v>
      </c>
      <c r="N150" s="30" t="s">
        <v>762</v>
      </c>
      <c r="O150" s="30" t="s">
        <v>83</v>
      </c>
      <c r="P150" s="33">
        <v>46186</v>
      </c>
      <c r="Q150" s="33">
        <v>46186</v>
      </c>
      <c r="R150" s="32">
        <v>1</v>
      </c>
      <c r="S150" s="30" t="s">
        <v>723</v>
      </c>
      <c r="T150" s="30" t="s">
        <v>750</v>
      </c>
      <c r="U150" s="30" t="s">
        <v>497</v>
      </c>
      <c r="V150" s="30" t="s">
        <v>87</v>
      </c>
      <c r="W150" s="30" t="s">
        <v>88</v>
      </c>
      <c r="X150" s="30" t="s">
        <v>197</v>
      </c>
      <c r="Y150" s="30">
        <v>8</v>
      </c>
      <c r="AB150" s="30" t="b">
        <v>0</v>
      </c>
      <c r="AC150" s="30"/>
      <c r="AD150" s="30" t="b">
        <v>0</v>
      </c>
      <c r="AF150" s="30" t="b">
        <v>0</v>
      </c>
      <c r="AH150" s="32" t="s">
        <v>91</v>
      </c>
      <c r="AI150" s="32"/>
      <c r="AJ150" s="32"/>
      <c r="AK150" s="32"/>
      <c r="AL150" s="30" t="s">
        <v>92</v>
      </c>
      <c r="AM150" s="30" t="s">
        <v>198</v>
      </c>
      <c r="AN150" s="30" t="s">
        <v>199</v>
      </c>
      <c r="AO150" s="30" t="s">
        <v>200</v>
      </c>
      <c r="AP150" s="30" t="s">
        <v>201</v>
      </c>
      <c r="AQ150" s="30" t="s">
        <v>202</v>
      </c>
      <c r="AR150" s="30" t="s">
        <v>97</v>
      </c>
      <c r="AS150" s="30" t="s">
        <v>679</v>
      </c>
      <c r="AT150" s="30" t="s">
        <v>217</v>
      </c>
      <c r="AU150" s="30" t="s">
        <v>252</v>
      </c>
      <c r="AV150" s="30" t="s">
        <v>253</v>
      </c>
      <c r="AW150" s="30" t="s">
        <v>254</v>
      </c>
      <c r="AX150" s="34" t="s">
        <v>497</v>
      </c>
      <c r="AY150" s="34" t="s">
        <v>149</v>
      </c>
      <c r="AZ150" s="34" t="s">
        <v>149</v>
      </c>
      <c r="BA150" s="34"/>
      <c r="BB150" s="34"/>
      <c r="BC150" s="34">
        <v>0</v>
      </c>
      <c r="BD150" s="34"/>
      <c r="BE150" s="34"/>
      <c r="BF150" s="34" t="b">
        <v>0</v>
      </c>
      <c r="BG150" s="34"/>
      <c r="BH150" s="34"/>
      <c r="BI150" s="34"/>
      <c r="BJ150" s="34"/>
      <c r="BK150" s="34"/>
      <c r="BL150" s="34" t="s">
        <v>166</v>
      </c>
      <c r="BM150" s="34" t="s">
        <v>106</v>
      </c>
      <c r="BN150" s="34" t="s">
        <v>107</v>
      </c>
      <c r="BO150" s="35"/>
      <c r="BP150" s="35"/>
      <c r="BQ150" s="35" t="s">
        <v>108</v>
      </c>
      <c r="BR150" s="36" t="e">
        <f>VLOOKUP(BQ150, Cat_Indicadores!B:C, 2, FALSE)</f>
        <v>#N/A</v>
      </c>
      <c r="BS150" s="35" t="s">
        <v>5592</v>
      </c>
      <c r="BT150" s="35"/>
    </row>
    <row r="151" spans="1:72">
      <c r="A151" s="29" t="s">
        <v>763</v>
      </c>
      <c r="B151" s="30" t="s">
        <v>764</v>
      </c>
      <c r="C151" s="31">
        <v>46205.533750000002</v>
      </c>
      <c r="D151" s="30">
        <v>92</v>
      </c>
      <c r="E151" s="30" t="s">
        <v>74</v>
      </c>
      <c r="F151" s="30" t="s">
        <v>75</v>
      </c>
      <c r="G151" s="30" t="s">
        <v>133</v>
      </c>
      <c r="H151" s="30" t="s">
        <v>77</v>
      </c>
      <c r="I151" s="30" t="s">
        <v>78</v>
      </c>
      <c r="J151" s="30" t="s">
        <v>79</v>
      </c>
      <c r="K151" s="32">
        <v>800</v>
      </c>
      <c r="L151" s="32" t="s">
        <v>80</v>
      </c>
      <c r="M151" s="30" t="s">
        <v>765</v>
      </c>
      <c r="N151" s="30" t="s">
        <v>766</v>
      </c>
      <c r="O151" s="30" t="s">
        <v>83</v>
      </c>
      <c r="P151" s="33">
        <v>46187</v>
      </c>
      <c r="Q151" s="33">
        <v>46187</v>
      </c>
      <c r="R151" s="32">
        <v>1</v>
      </c>
      <c r="S151" s="30" t="s">
        <v>214</v>
      </c>
      <c r="T151" s="30" t="s">
        <v>767</v>
      </c>
      <c r="U151" s="30" t="s">
        <v>221</v>
      </c>
      <c r="V151" s="30" t="s">
        <v>87</v>
      </c>
      <c r="W151" s="30" t="s">
        <v>88</v>
      </c>
      <c r="X151" s="30" t="s">
        <v>197</v>
      </c>
      <c r="Y151" s="30">
        <v>8</v>
      </c>
      <c r="AB151" s="30" t="b">
        <v>0</v>
      </c>
      <c r="AC151" s="30"/>
      <c r="AD151" s="30" t="b">
        <v>0</v>
      </c>
      <c r="AF151" s="30" t="b">
        <v>0</v>
      </c>
      <c r="AH151" s="32" t="s">
        <v>91</v>
      </c>
      <c r="AI151" s="32"/>
      <c r="AJ151" s="32"/>
      <c r="AK151" s="32"/>
      <c r="AL151" s="30" t="s">
        <v>92</v>
      </c>
      <c r="AM151" s="30" t="s">
        <v>93</v>
      </c>
      <c r="AN151" s="30" t="s">
        <v>199</v>
      </c>
      <c r="AO151" s="30" t="s">
        <v>200</v>
      </c>
      <c r="AP151" s="30" t="s">
        <v>201</v>
      </c>
      <c r="AQ151" s="30" t="s">
        <v>202</v>
      </c>
      <c r="AR151" s="30" t="s">
        <v>145</v>
      </c>
      <c r="AT151" s="30" t="s">
        <v>203</v>
      </c>
      <c r="AU151" s="30" t="s">
        <v>590</v>
      </c>
      <c r="AV151" s="30" t="s">
        <v>591</v>
      </c>
      <c r="AW151" s="30" t="s">
        <v>592</v>
      </c>
      <c r="AX151" s="34" t="s">
        <v>221</v>
      </c>
      <c r="AY151" s="34" t="s">
        <v>149</v>
      </c>
      <c r="AZ151" s="34" t="s">
        <v>149</v>
      </c>
      <c r="BA151" s="34"/>
      <c r="BB151" s="34"/>
      <c r="BC151" s="34">
        <v>0</v>
      </c>
      <c r="BD151" s="34"/>
      <c r="BE151" s="34"/>
      <c r="BF151" s="34" t="b">
        <v>0</v>
      </c>
      <c r="BG151" s="34"/>
      <c r="BH151" s="34"/>
      <c r="BI151" s="34"/>
      <c r="BJ151" s="34"/>
      <c r="BK151" s="34"/>
      <c r="BL151" s="34" t="s">
        <v>354</v>
      </c>
      <c r="BM151" s="34" t="s">
        <v>106</v>
      </c>
      <c r="BN151" s="34" t="s">
        <v>107</v>
      </c>
      <c r="BO151" s="35"/>
      <c r="BP151" s="35"/>
      <c r="BQ151" s="35" t="s">
        <v>108</v>
      </c>
      <c r="BR151" s="36" t="e">
        <f>VLOOKUP(BQ151, Cat_Indicadores!B:C, 2, FALSE)</f>
        <v>#N/A</v>
      </c>
      <c r="BS151" s="35" t="s">
        <v>5592</v>
      </c>
      <c r="BT151" s="35"/>
    </row>
    <row r="152" spans="1:72">
      <c r="A152" s="29" t="s">
        <v>768</v>
      </c>
      <c r="B152" s="30" t="s">
        <v>769</v>
      </c>
      <c r="C152" s="31">
        <v>46205.597291666665</v>
      </c>
      <c r="D152" s="30">
        <v>92</v>
      </c>
      <c r="E152" s="30" t="s">
        <v>74</v>
      </c>
      <c r="F152" s="30" t="s">
        <v>75</v>
      </c>
      <c r="G152" s="30" t="s">
        <v>133</v>
      </c>
      <c r="H152" s="30" t="s">
        <v>77</v>
      </c>
      <c r="I152" s="30" t="s">
        <v>78</v>
      </c>
      <c r="J152" s="30" t="s">
        <v>79</v>
      </c>
      <c r="K152" s="32">
        <v>800</v>
      </c>
      <c r="L152" s="32" t="s">
        <v>80</v>
      </c>
      <c r="M152" s="30" t="s">
        <v>770</v>
      </c>
      <c r="N152" s="30" t="s">
        <v>771</v>
      </c>
      <c r="O152" s="30" t="s">
        <v>83</v>
      </c>
      <c r="P152" s="33">
        <v>46187</v>
      </c>
      <c r="Q152" s="33">
        <v>46187</v>
      </c>
      <c r="R152" s="32">
        <v>1</v>
      </c>
      <c r="S152" s="30" t="s">
        <v>264</v>
      </c>
      <c r="T152" s="30" t="s">
        <v>772</v>
      </c>
      <c r="U152" s="30" t="s">
        <v>86</v>
      </c>
      <c r="V152" s="30" t="s">
        <v>87</v>
      </c>
      <c r="W152" s="30" t="s">
        <v>88</v>
      </c>
      <c r="X152" s="30" t="s">
        <v>197</v>
      </c>
      <c r="Y152" s="30">
        <v>8</v>
      </c>
      <c r="AB152" s="30" t="b">
        <v>0</v>
      </c>
      <c r="AC152" s="30"/>
      <c r="AD152" s="30" t="b">
        <v>0</v>
      </c>
      <c r="AF152" s="30" t="b">
        <v>0</v>
      </c>
      <c r="AH152" s="32" t="s">
        <v>91</v>
      </c>
      <c r="AI152" s="32"/>
      <c r="AJ152" s="32"/>
      <c r="AK152" s="32"/>
      <c r="AL152" s="30" t="s">
        <v>92</v>
      </c>
      <c r="AM152" s="30" t="s">
        <v>251</v>
      </c>
      <c r="AN152" s="30" t="s">
        <v>199</v>
      </c>
      <c r="AO152" s="30" t="s">
        <v>200</v>
      </c>
      <c r="AP152" s="30" t="s">
        <v>201</v>
      </c>
      <c r="AQ152" s="30" t="s">
        <v>202</v>
      </c>
      <c r="AR152" s="30" t="s">
        <v>145</v>
      </c>
      <c r="AT152" s="30" t="s">
        <v>99</v>
      </c>
      <c r="AU152" s="30" t="s">
        <v>146</v>
      </c>
      <c r="AV152" s="30" t="s">
        <v>233</v>
      </c>
      <c r="AW152" s="30" t="s">
        <v>102</v>
      </c>
      <c r="AX152" s="34" t="s">
        <v>86</v>
      </c>
      <c r="AY152" s="34" t="s">
        <v>149</v>
      </c>
      <c r="AZ152" s="34" t="s">
        <v>149</v>
      </c>
      <c r="BA152" s="34"/>
      <c r="BB152" s="34"/>
      <c r="BC152" s="34">
        <v>0</v>
      </c>
      <c r="BD152" s="34"/>
      <c r="BE152" s="34"/>
      <c r="BF152" s="34" t="b">
        <v>0</v>
      </c>
      <c r="BG152" s="34"/>
      <c r="BH152" s="34"/>
      <c r="BI152" s="34"/>
      <c r="BJ152" s="34"/>
      <c r="BK152" s="34"/>
      <c r="BL152" s="34" t="s">
        <v>354</v>
      </c>
      <c r="BM152" s="34" t="s">
        <v>106</v>
      </c>
      <c r="BN152" s="34" t="s">
        <v>107</v>
      </c>
      <c r="BO152" s="35"/>
      <c r="BP152" s="35"/>
      <c r="BQ152" s="35" t="s">
        <v>108</v>
      </c>
      <c r="BR152" s="36" t="e">
        <f>VLOOKUP(BQ152, Cat_Indicadores!B:C, 2, FALSE)</f>
        <v>#N/A</v>
      </c>
      <c r="BS152" s="35" t="s">
        <v>5592</v>
      </c>
      <c r="BT152" s="35"/>
    </row>
    <row r="153" spans="1:72">
      <c r="A153" s="29" t="s">
        <v>773</v>
      </c>
      <c r="B153" s="30" t="s">
        <v>774</v>
      </c>
      <c r="C153" s="31">
        <v>46205.640127314815</v>
      </c>
      <c r="D153" s="30">
        <v>92</v>
      </c>
      <c r="E153" s="30" t="s">
        <v>74</v>
      </c>
      <c r="F153" s="30" t="s">
        <v>75</v>
      </c>
      <c r="G153" s="30" t="s">
        <v>133</v>
      </c>
      <c r="H153" s="30" t="s">
        <v>77</v>
      </c>
      <c r="I153" s="30" t="s">
        <v>78</v>
      </c>
      <c r="J153" s="30" t="s">
        <v>79</v>
      </c>
      <c r="K153" s="32">
        <v>800</v>
      </c>
      <c r="L153" s="32" t="s">
        <v>80</v>
      </c>
      <c r="M153" s="30" t="s">
        <v>775</v>
      </c>
      <c r="N153" s="30" t="s">
        <v>776</v>
      </c>
      <c r="O153" s="30" t="s">
        <v>83</v>
      </c>
      <c r="P153" s="33">
        <v>46205</v>
      </c>
      <c r="Q153" s="33">
        <v>46205</v>
      </c>
      <c r="R153" s="32">
        <v>1</v>
      </c>
      <c r="S153" s="30" t="s">
        <v>243</v>
      </c>
      <c r="T153" s="30" t="s">
        <v>244</v>
      </c>
      <c r="U153" s="30" t="s">
        <v>137</v>
      </c>
      <c r="V153" s="30" t="s">
        <v>87</v>
      </c>
      <c r="W153" s="30" t="s">
        <v>88</v>
      </c>
      <c r="X153" s="30" t="s">
        <v>197</v>
      </c>
      <c r="Y153" s="30">
        <v>8</v>
      </c>
      <c r="AB153" s="30" t="b">
        <v>0</v>
      </c>
      <c r="AC153" s="30"/>
      <c r="AD153" s="30" t="b">
        <v>0</v>
      </c>
      <c r="AF153" s="30" t="b">
        <v>0</v>
      </c>
      <c r="AH153" s="32" t="s">
        <v>91</v>
      </c>
      <c r="AI153" s="32"/>
      <c r="AJ153" s="32"/>
      <c r="AK153" s="32"/>
      <c r="AL153" s="30" t="s">
        <v>92</v>
      </c>
      <c r="AM153" s="30" t="s">
        <v>141</v>
      </c>
      <c r="AN153" s="30" t="s">
        <v>199</v>
      </c>
      <c r="AO153" s="30" t="s">
        <v>200</v>
      </c>
      <c r="AP153" s="30" t="s">
        <v>201</v>
      </c>
      <c r="AQ153" s="30" t="s">
        <v>202</v>
      </c>
      <c r="AR153" s="30" t="s">
        <v>145</v>
      </c>
      <c r="AT153" s="30" t="s">
        <v>99</v>
      </c>
      <c r="AU153" s="30" t="s">
        <v>100</v>
      </c>
      <c r="AV153" s="30" t="s">
        <v>665</v>
      </c>
      <c r="AW153" s="30" t="s">
        <v>102</v>
      </c>
      <c r="AX153" s="34" t="s">
        <v>777</v>
      </c>
      <c r="AY153" s="34" t="s">
        <v>778</v>
      </c>
      <c r="AZ153" s="34"/>
      <c r="BA153" s="34"/>
      <c r="BB153" s="34">
        <v>9</v>
      </c>
      <c r="BC153" s="34">
        <v>1</v>
      </c>
      <c r="BD153" s="34"/>
      <c r="BE153" s="34"/>
      <c r="BF153" s="34" t="b">
        <v>0</v>
      </c>
      <c r="BG153" s="34"/>
      <c r="BH153" s="34"/>
      <c r="BI153" s="34"/>
      <c r="BJ153" s="34"/>
      <c r="BK153" s="34"/>
      <c r="BL153" s="34" t="s">
        <v>166</v>
      </c>
      <c r="BM153" s="34" t="s">
        <v>106</v>
      </c>
      <c r="BN153" s="34" t="s">
        <v>107</v>
      </c>
      <c r="BO153" s="35"/>
      <c r="BP153" s="35"/>
      <c r="BQ153" s="35" t="s">
        <v>108</v>
      </c>
      <c r="BR153" s="36" t="e">
        <f>VLOOKUP(BQ153, Cat_Indicadores!B:C, 2, FALSE)</f>
        <v>#N/A</v>
      </c>
      <c r="BS153" s="35" t="s">
        <v>5592</v>
      </c>
      <c r="BT153" s="35"/>
    </row>
    <row r="154" spans="1:72">
      <c r="A154" s="29" t="s">
        <v>779</v>
      </c>
      <c r="B154" s="30" t="s">
        <v>780</v>
      </c>
      <c r="C154" s="31">
        <v>46205.644826388889</v>
      </c>
      <c r="D154" s="30">
        <v>92</v>
      </c>
      <c r="E154" s="30" t="s">
        <v>74</v>
      </c>
      <c r="F154" s="30" t="s">
        <v>75</v>
      </c>
      <c r="G154" s="30" t="s">
        <v>133</v>
      </c>
      <c r="H154" s="30" t="s">
        <v>77</v>
      </c>
      <c r="I154" s="30" t="s">
        <v>78</v>
      </c>
      <c r="J154" s="30" t="s">
        <v>79</v>
      </c>
      <c r="K154" s="32">
        <v>800</v>
      </c>
      <c r="L154" s="32" t="s">
        <v>80</v>
      </c>
      <c r="M154" s="30" t="s">
        <v>781</v>
      </c>
      <c r="N154" s="30" t="s">
        <v>782</v>
      </c>
      <c r="O154" s="30" t="s">
        <v>83</v>
      </c>
      <c r="P154" s="33">
        <v>46200</v>
      </c>
      <c r="Q154" s="33">
        <v>46200</v>
      </c>
      <c r="R154" s="32">
        <v>1</v>
      </c>
      <c r="S154" s="30" t="s">
        <v>243</v>
      </c>
      <c r="T154" s="30" t="s">
        <v>293</v>
      </c>
      <c r="U154" s="30" t="s">
        <v>783</v>
      </c>
      <c r="V154" s="30" t="s">
        <v>87</v>
      </c>
      <c r="W154" s="30" t="s">
        <v>88</v>
      </c>
      <c r="X154" s="30" t="s">
        <v>197</v>
      </c>
      <c r="Y154" s="30">
        <v>8</v>
      </c>
      <c r="AB154" s="30" t="b">
        <v>0</v>
      </c>
      <c r="AC154" s="30"/>
      <c r="AD154" s="30" t="b">
        <v>0</v>
      </c>
      <c r="AF154" s="30" t="b">
        <v>0</v>
      </c>
      <c r="AH154" s="32" t="s">
        <v>91</v>
      </c>
      <c r="AI154" s="32"/>
      <c r="AJ154" s="32"/>
      <c r="AK154" s="32"/>
      <c r="AL154" s="30" t="s">
        <v>92</v>
      </c>
      <c r="AM154" s="30" t="s">
        <v>93</v>
      </c>
      <c r="AN154" s="30" t="s">
        <v>199</v>
      </c>
      <c r="AO154" s="30" t="s">
        <v>200</v>
      </c>
      <c r="AP154" s="30" t="s">
        <v>201</v>
      </c>
      <c r="AQ154" s="30" t="s">
        <v>202</v>
      </c>
      <c r="AR154" s="30" t="s">
        <v>97</v>
      </c>
      <c r="AS154" s="30" t="s">
        <v>679</v>
      </c>
      <c r="AT154" s="30" t="s">
        <v>99</v>
      </c>
      <c r="AU154" s="30" t="s">
        <v>100</v>
      </c>
      <c r="AV154" s="30" t="s">
        <v>665</v>
      </c>
      <c r="AW154" s="30" t="s">
        <v>102</v>
      </c>
      <c r="AX154" s="34" t="s">
        <v>216</v>
      </c>
      <c r="AY154" s="34" t="s">
        <v>778</v>
      </c>
      <c r="AZ154" s="34"/>
      <c r="BA154" s="34"/>
      <c r="BB154" s="34"/>
      <c r="BC154" s="34">
        <v>0</v>
      </c>
      <c r="BD154" s="34"/>
      <c r="BE154" s="34"/>
      <c r="BF154" s="34" t="b">
        <v>0</v>
      </c>
      <c r="BG154" s="34"/>
      <c r="BH154" s="34"/>
      <c r="BI154" s="34"/>
      <c r="BJ154" s="34"/>
      <c r="BK154" s="34"/>
      <c r="BL154" s="34" t="s">
        <v>166</v>
      </c>
      <c r="BM154" s="34" t="s">
        <v>106</v>
      </c>
      <c r="BN154" s="34" t="s">
        <v>107</v>
      </c>
      <c r="BO154" s="35"/>
      <c r="BP154" s="35"/>
      <c r="BQ154" s="35" t="s">
        <v>108</v>
      </c>
      <c r="BR154" s="36" t="e">
        <f>VLOOKUP(BQ154, Cat_Indicadores!B:C, 2, FALSE)</f>
        <v>#N/A</v>
      </c>
      <c r="BS154" s="35" t="s">
        <v>5592</v>
      </c>
      <c r="BT154" s="35"/>
    </row>
    <row r="155" spans="1:72">
      <c r="A155" s="29" t="s">
        <v>784</v>
      </c>
      <c r="B155" s="30" t="s">
        <v>785</v>
      </c>
      <c r="C155" s="31">
        <v>46205.653136574074</v>
      </c>
      <c r="D155" s="30">
        <v>92</v>
      </c>
      <c r="E155" s="30" t="s">
        <v>74</v>
      </c>
      <c r="F155" s="30" t="s">
        <v>75</v>
      </c>
      <c r="G155" s="30" t="s">
        <v>133</v>
      </c>
      <c r="H155" s="30" t="s">
        <v>77</v>
      </c>
      <c r="I155" s="30" t="s">
        <v>78</v>
      </c>
      <c r="J155" s="30" t="s">
        <v>79</v>
      </c>
      <c r="K155" s="32">
        <v>800</v>
      </c>
      <c r="L155" s="32" t="s">
        <v>211</v>
      </c>
      <c r="M155" s="30" t="s">
        <v>786</v>
      </c>
      <c r="N155" s="30" t="s">
        <v>786</v>
      </c>
      <c r="O155" s="30" t="s">
        <v>581</v>
      </c>
      <c r="P155" s="33">
        <v>46121</v>
      </c>
      <c r="Q155" s="33">
        <v>46142</v>
      </c>
      <c r="R155" s="32">
        <v>4</v>
      </c>
      <c r="S155" s="30" t="s">
        <v>84</v>
      </c>
      <c r="T155" s="30" t="s">
        <v>337</v>
      </c>
      <c r="U155" s="30" t="s">
        <v>86</v>
      </c>
      <c r="V155" s="30" t="s">
        <v>87</v>
      </c>
      <c r="W155" s="30" t="s">
        <v>88</v>
      </c>
      <c r="X155" s="30" t="s">
        <v>197</v>
      </c>
      <c r="Y155" s="30">
        <v>26</v>
      </c>
      <c r="AB155" s="30" t="b">
        <v>0</v>
      </c>
      <c r="AC155" s="30"/>
      <c r="AD155" s="30" t="b">
        <v>0</v>
      </c>
      <c r="AF155" s="30" t="b">
        <v>0</v>
      </c>
      <c r="AH155" s="32" t="s">
        <v>91</v>
      </c>
      <c r="AI155" s="32"/>
      <c r="AJ155" s="32"/>
      <c r="AK155" s="32"/>
      <c r="AL155" s="30" t="s">
        <v>92</v>
      </c>
      <c r="AM155" s="30" t="s">
        <v>93</v>
      </c>
      <c r="AN155" s="30" t="s">
        <v>199</v>
      </c>
      <c r="AO155" s="30" t="s">
        <v>200</v>
      </c>
      <c r="AP155" s="30" t="s">
        <v>201</v>
      </c>
      <c r="AQ155" s="30" t="s">
        <v>202</v>
      </c>
      <c r="AR155" s="30" t="s">
        <v>145</v>
      </c>
      <c r="AT155" s="30" t="s">
        <v>226</v>
      </c>
      <c r="AU155" s="30" t="s">
        <v>204</v>
      </c>
      <c r="AV155" s="30" t="s">
        <v>227</v>
      </c>
      <c r="AW155" s="30" t="s">
        <v>206</v>
      </c>
      <c r="AX155" s="34" t="s">
        <v>86</v>
      </c>
      <c r="AY155" s="34" t="s">
        <v>149</v>
      </c>
      <c r="AZ155" s="34" t="s">
        <v>149</v>
      </c>
      <c r="BA155" s="34"/>
      <c r="BB155" s="34"/>
      <c r="BC155" s="34">
        <v>0</v>
      </c>
      <c r="BD155" s="34"/>
      <c r="BE155" s="34"/>
      <c r="BF155" s="34" t="b">
        <v>0</v>
      </c>
      <c r="BG155" s="34"/>
      <c r="BH155" s="34"/>
      <c r="BI155" s="34"/>
      <c r="BJ155" s="34"/>
      <c r="BK155" s="34"/>
      <c r="BL155" s="34" t="s">
        <v>354</v>
      </c>
      <c r="BM155" s="34" t="s">
        <v>106</v>
      </c>
      <c r="BN155" s="34" t="s">
        <v>107</v>
      </c>
      <c r="BO155" s="35"/>
      <c r="BP155" s="35"/>
      <c r="BQ155" s="35" t="s">
        <v>108</v>
      </c>
      <c r="BR155" s="36" t="e">
        <f>VLOOKUP(BQ155, Cat_Indicadores!B:C, 2, FALSE)</f>
        <v>#N/A</v>
      </c>
      <c r="BS155" s="35" t="s">
        <v>5592</v>
      </c>
      <c r="BT155" s="35"/>
    </row>
    <row r="156" spans="1:72">
      <c r="A156" s="29" t="s">
        <v>787</v>
      </c>
      <c r="B156" s="30" t="s">
        <v>788</v>
      </c>
      <c r="C156" s="31">
        <v>46205.691655092596</v>
      </c>
      <c r="D156" s="30">
        <v>92</v>
      </c>
      <c r="E156" s="30" t="s">
        <v>74</v>
      </c>
      <c r="F156" s="30" t="s">
        <v>75</v>
      </c>
      <c r="G156" s="30" t="s">
        <v>133</v>
      </c>
      <c r="H156" s="30" t="s">
        <v>77</v>
      </c>
      <c r="I156" s="30" t="s">
        <v>78</v>
      </c>
      <c r="J156" s="30" t="s">
        <v>79</v>
      </c>
      <c r="K156" s="32">
        <v>800</v>
      </c>
      <c r="L156" s="32" t="s">
        <v>211</v>
      </c>
      <c r="M156" s="30" t="s">
        <v>789</v>
      </c>
      <c r="N156" s="30" t="s">
        <v>789</v>
      </c>
      <c r="O156" s="30" t="s">
        <v>581</v>
      </c>
      <c r="P156" s="33">
        <v>46120</v>
      </c>
      <c r="Q156" s="33">
        <v>46141</v>
      </c>
      <c r="R156" s="32">
        <v>4</v>
      </c>
      <c r="S156" s="30" t="s">
        <v>84</v>
      </c>
      <c r="T156" s="30" t="s">
        <v>337</v>
      </c>
      <c r="U156" s="30" t="s">
        <v>86</v>
      </c>
      <c r="V156" s="30" t="s">
        <v>87</v>
      </c>
      <c r="W156" s="30" t="s">
        <v>88</v>
      </c>
      <c r="X156" s="30" t="s">
        <v>197</v>
      </c>
      <c r="Y156" s="30">
        <v>26</v>
      </c>
      <c r="AB156" s="30" t="b">
        <v>0</v>
      </c>
      <c r="AC156" s="30"/>
      <c r="AD156" s="30" t="b">
        <v>0</v>
      </c>
      <c r="AF156" s="30" t="b">
        <v>0</v>
      </c>
      <c r="AH156" s="32" t="s">
        <v>91</v>
      </c>
      <c r="AI156" s="32"/>
      <c r="AJ156" s="32"/>
      <c r="AK156" s="32"/>
      <c r="AL156" s="30" t="s">
        <v>92</v>
      </c>
      <c r="AM156" s="30" t="s">
        <v>93</v>
      </c>
      <c r="AN156" s="30" t="s">
        <v>199</v>
      </c>
      <c r="AO156" s="30" t="s">
        <v>200</v>
      </c>
      <c r="AP156" s="30" t="s">
        <v>201</v>
      </c>
      <c r="AQ156" s="30" t="s">
        <v>202</v>
      </c>
      <c r="AR156" s="30" t="s">
        <v>145</v>
      </c>
      <c r="AT156" s="30" t="s">
        <v>226</v>
      </c>
      <c r="AU156" s="30" t="s">
        <v>204</v>
      </c>
      <c r="AV156" s="30" t="s">
        <v>227</v>
      </c>
      <c r="AW156" s="30" t="s">
        <v>206</v>
      </c>
      <c r="AX156" s="34" t="s">
        <v>86</v>
      </c>
      <c r="AY156" s="34" t="s">
        <v>149</v>
      </c>
      <c r="AZ156" s="34" t="s">
        <v>149</v>
      </c>
      <c r="BA156" s="34"/>
      <c r="BB156" s="34"/>
      <c r="BC156" s="34">
        <v>0</v>
      </c>
      <c r="BD156" s="34"/>
      <c r="BE156" s="34"/>
      <c r="BF156" s="34" t="b">
        <v>0</v>
      </c>
      <c r="BG156" s="34"/>
      <c r="BH156" s="34"/>
      <c r="BI156" s="34"/>
      <c r="BJ156" s="34"/>
      <c r="BK156" s="34"/>
      <c r="BL156" s="34" t="s">
        <v>354</v>
      </c>
      <c r="BM156" s="34" t="s">
        <v>106</v>
      </c>
      <c r="BN156" s="34" t="s">
        <v>107</v>
      </c>
      <c r="BO156" s="35"/>
      <c r="BP156" s="35"/>
      <c r="BQ156" s="35" t="s">
        <v>108</v>
      </c>
      <c r="BR156" s="36" t="e">
        <f>VLOOKUP(BQ156, Cat_Indicadores!B:C, 2, FALSE)</f>
        <v>#N/A</v>
      </c>
      <c r="BS156" s="35" t="s">
        <v>5592</v>
      </c>
      <c r="BT156" s="35"/>
    </row>
    <row r="157" spans="1:72">
      <c r="A157" s="29" t="s">
        <v>790</v>
      </c>
      <c r="B157" s="30" t="s">
        <v>791</v>
      </c>
      <c r="C157" s="31">
        <v>46205.696226851855</v>
      </c>
      <c r="D157" s="30">
        <v>92</v>
      </c>
      <c r="E157" s="30" t="s">
        <v>74</v>
      </c>
      <c r="F157" s="30" t="s">
        <v>75</v>
      </c>
      <c r="G157" s="30" t="s">
        <v>133</v>
      </c>
      <c r="H157" s="30" t="s">
        <v>77</v>
      </c>
      <c r="I157" s="30" t="s">
        <v>78</v>
      </c>
      <c r="J157" s="30" t="s">
        <v>79</v>
      </c>
      <c r="K157" s="32">
        <v>800</v>
      </c>
      <c r="L157" s="32" t="s">
        <v>80</v>
      </c>
      <c r="M157" s="30" t="s">
        <v>792</v>
      </c>
      <c r="N157" s="30" t="s">
        <v>793</v>
      </c>
      <c r="O157" s="30" t="s">
        <v>581</v>
      </c>
      <c r="P157" s="33">
        <v>46127</v>
      </c>
      <c r="Q157" s="33">
        <v>46141</v>
      </c>
      <c r="R157" s="32">
        <v>1</v>
      </c>
      <c r="S157" s="30" t="s">
        <v>84</v>
      </c>
      <c r="T157" s="30" t="s">
        <v>337</v>
      </c>
      <c r="U157" s="30" t="s">
        <v>86</v>
      </c>
      <c r="V157" s="30" t="s">
        <v>87</v>
      </c>
      <c r="W157" s="30" t="s">
        <v>88</v>
      </c>
      <c r="X157" s="30" t="s">
        <v>197</v>
      </c>
      <c r="Y157" s="30">
        <v>26</v>
      </c>
      <c r="AB157" s="30" t="b">
        <v>0</v>
      </c>
      <c r="AC157" s="30"/>
      <c r="AD157" s="30" t="b">
        <v>0</v>
      </c>
      <c r="AF157" s="30" t="b">
        <v>0</v>
      </c>
      <c r="AH157" s="32" t="s">
        <v>91</v>
      </c>
      <c r="AI157" s="32"/>
      <c r="AJ157" s="32"/>
      <c r="AK157" s="32"/>
      <c r="AL157" s="30" t="s">
        <v>92</v>
      </c>
      <c r="AM157" s="30" t="s">
        <v>93</v>
      </c>
      <c r="AN157" s="30" t="s">
        <v>199</v>
      </c>
      <c r="AO157" s="30" t="s">
        <v>200</v>
      </c>
      <c r="AP157" s="30" t="s">
        <v>201</v>
      </c>
      <c r="AQ157" s="30" t="s">
        <v>202</v>
      </c>
      <c r="AR157" s="30" t="s">
        <v>145</v>
      </c>
      <c r="AT157" s="30" t="s">
        <v>226</v>
      </c>
      <c r="AU157" s="30" t="s">
        <v>204</v>
      </c>
      <c r="AV157" s="30" t="s">
        <v>227</v>
      </c>
      <c r="AW157" s="30" t="s">
        <v>206</v>
      </c>
      <c r="AX157" s="34" t="s">
        <v>86</v>
      </c>
      <c r="AY157" s="34" t="s">
        <v>149</v>
      </c>
      <c r="AZ157" s="34" t="s">
        <v>149</v>
      </c>
      <c r="BA157" s="34"/>
      <c r="BB157" s="34"/>
      <c r="BC157" s="34">
        <v>0</v>
      </c>
      <c r="BD157" s="34"/>
      <c r="BE157" s="34"/>
      <c r="BF157" s="34" t="b">
        <v>0</v>
      </c>
      <c r="BG157" s="34"/>
      <c r="BH157" s="34"/>
      <c r="BI157" s="34"/>
      <c r="BJ157" s="34"/>
      <c r="BK157" s="34"/>
      <c r="BL157" s="34" t="s">
        <v>166</v>
      </c>
      <c r="BM157" s="34" t="s">
        <v>106</v>
      </c>
      <c r="BN157" s="34" t="s">
        <v>107</v>
      </c>
      <c r="BO157" s="35"/>
      <c r="BP157" s="35"/>
      <c r="BQ157" s="35" t="s">
        <v>108</v>
      </c>
      <c r="BR157" s="36" t="e">
        <f>VLOOKUP(BQ157, Cat_Indicadores!B:C, 2, FALSE)</f>
        <v>#N/A</v>
      </c>
      <c r="BS157" s="35" t="s">
        <v>5592</v>
      </c>
      <c r="BT157" s="35"/>
    </row>
    <row r="158" spans="1:72">
      <c r="A158" s="29" t="s">
        <v>794</v>
      </c>
      <c r="B158" s="30" t="s">
        <v>795</v>
      </c>
      <c r="C158" s="31">
        <v>46205.699895833335</v>
      </c>
      <c r="D158" s="30">
        <v>92</v>
      </c>
      <c r="E158" s="30" t="s">
        <v>74</v>
      </c>
      <c r="F158" s="30" t="s">
        <v>75</v>
      </c>
      <c r="G158" s="30" t="s">
        <v>133</v>
      </c>
      <c r="H158" s="30" t="s">
        <v>77</v>
      </c>
      <c r="I158" s="30" t="s">
        <v>78</v>
      </c>
      <c r="J158" s="30" t="s">
        <v>79</v>
      </c>
      <c r="K158" s="32">
        <v>800</v>
      </c>
      <c r="L158" s="32" t="s">
        <v>80</v>
      </c>
      <c r="M158" s="30" t="s">
        <v>792</v>
      </c>
      <c r="N158" s="30" t="s">
        <v>796</v>
      </c>
      <c r="O158" s="30" t="s">
        <v>83</v>
      </c>
      <c r="P158" s="33">
        <v>46128</v>
      </c>
      <c r="Q158" s="33">
        <v>46128</v>
      </c>
      <c r="R158" s="32">
        <v>1</v>
      </c>
      <c r="S158" s="30" t="s">
        <v>84</v>
      </c>
      <c r="T158" s="30" t="s">
        <v>337</v>
      </c>
      <c r="U158" s="30" t="s">
        <v>86</v>
      </c>
      <c r="V158" s="30" t="s">
        <v>87</v>
      </c>
      <c r="W158" s="30" t="s">
        <v>88</v>
      </c>
      <c r="X158" s="30" t="s">
        <v>197</v>
      </c>
      <c r="Y158" s="30">
        <v>26</v>
      </c>
      <c r="AB158" s="30" t="b">
        <v>0</v>
      </c>
      <c r="AC158" s="30"/>
      <c r="AD158" s="30" t="b">
        <v>0</v>
      </c>
      <c r="AF158" s="30" t="b">
        <v>0</v>
      </c>
      <c r="AH158" s="32" t="s">
        <v>91</v>
      </c>
      <c r="AI158" s="32"/>
      <c r="AJ158" s="32"/>
      <c r="AK158" s="32"/>
      <c r="AL158" s="30" t="s">
        <v>92</v>
      </c>
      <c r="AM158" s="30" t="s">
        <v>93</v>
      </c>
      <c r="AN158" s="30" t="s">
        <v>199</v>
      </c>
      <c r="AO158" s="30" t="s">
        <v>200</v>
      </c>
      <c r="AP158" s="30" t="s">
        <v>201</v>
      </c>
      <c r="AQ158" s="30" t="s">
        <v>202</v>
      </c>
      <c r="AR158" s="30" t="s">
        <v>145</v>
      </c>
      <c r="AT158" s="30" t="s">
        <v>226</v>
      </c>
      <c r="AU158" s="30" t="s">
        <v>204</v>
      </c>
      <c r="AV158" s="30" t="s">
        <v>227</v>
      </c>
      <c r="AW158" s="30" t="s">
        <v>206</v>
      </c>
      <c r="AX158" s="34" t="s">
        <v>86</v>
      </c>
      <c r="AY158" s="34" t="s">
        <v>149</v>
      </c>
      <c r="AZ158" s="34" t="s">
        <v>149</v>
      </c>
      <c r="BA158" s="34"/>
      <c r="BB158" s="34"/>
      <c r="BC158" s="34">
        <v>0</v>
      </c>
      <c r="BD158" s="34"/>
      <c r="BE158" s="34"/>
      <c r="BF158" s="34" t="b">
        <v>0</v>
      </c>
      <c r="BG158" s="34"/>
      <c r="BH158" s="34"/>
      <c r="BI158" s="34"/>
      <c r="BJ158" s="34"/>
      <c r="BK158" s="34"/>
      <c r="BL158" s="34" t="s">
        <v>166</v>
      </c>
      <c r="BM158" s="34" t="s">
        <v>106</v>
      </c>
      <c r="BN158" s="34" t="s">
        <v>107</v>
      </c>
      <c r="BO158" s="35"/>
      <c r="BP158" s="35"/>
      <c r="BQ158" s="35" t="s">
        <v>108</v>
      </c>
      <c r="BR158" s="36" t="e">
        <f>VLOOKUP(BQ158, Cat_Indicadores!B:C, 2, FALSE)</f>
        <v>#N/A</v>
      </c>
      <c r="BS158" s="35" t="s">
        <v>5592</v>
      </c>
      <c r="BT158" s="35"/>
    </row>
    <row r="159" spans="1:72">
      <c r="A159" s="29" t="s">
        <v>797</v>
      </c>
      <c r="B159" s="30" t="s">
        <v>798</v>
      </c>
      <c r="C159" s="31">
        <v>46205.702546296299</v>
      </c>
      <c r="D159" s="30">
        <v>92</v>
      </c>
      <c r="E159" s="30" t="s">
        <v>74</v>
      </c>
      <c r="F159" s="30" t="s">
        <v>75</v>
      </c>
      <c r="G159" s="30" t="s">
        <v>133</v>
      </c>
      <c r="H159" s="30" t="s">
        <v>77</v>
      </c>
      <c r="I159" s="30" t="s">
        <v>78</v>
      </c>
      <c r="J159" s="30" t="s">
        <v>79</v>
      </c>
      <c r="K159" s="32">
        <v>800</v>
      </c>
      <c r="L159" s="32" t="s">
        <v>80</v>
      </c>
      <c r="M159" s="30" t="s">
        <v>799</v>
      </c>
      <c r="N159" s="30" t="s">
        <v>796</v>
      </c>
      <c r="O159" s="30" t="s">
        <v>83</v>
      </c>
      <c r="P159" s="33">
        <v>46129</v>
      </c>
      <c r="Q159" s="33">
        <v>46129</v>
      </c>
      <c r="R159" s="32">
        <v>1</v>
      </c>
      <c r="S159" s="30" t="s">
        <v>84</v>
      </c>
      <c r="T159" s="30" t="s">
        <v>337</v>
      </c>
      <c r="U159" s="30" t="s">
        <v>86</v>
      </c>
      <c r="V159" s="30" t="s">
        <v>87</v>
      </c>
      <c r="W159" s="30" t="s">
        <v>88</v>
      </c>
      <c r="X159" s="30" t="s">
        <v>197</v>
      </c>
      <c r="Y159" s="30">
        <v>26</v>
      </c>
      <c r="AB159" s="30" t="b">
        <v>0</v>
      </c>
      <c r="AC159" s="30"/>
      <c r="AD159" s="30" t="b">
        <v>0</v>
      </c>
      <c r="AF159" s="30" t="b">
        <v>0</v>
      </c>
      <c r="AH159" s="32" t="s">
        <v>91</v>
      </c>
      <c r="AI159" s="32"/>
      <c r="AJ159" s="32"/>
      <c r="AK159" s="32"/>
      <c r="AL159" s="30" t="s">
        <v>92</v>
      </c>
      <c r="AM159" s="30" t="s">
        <v>93</v>
      </c>
      <c r="AN159" s="30" t="s">
        <v>199</v>
      </c>
      <c r="AO159" s="30" t="s">
        <v>200</v>
      </c>
      <c r="AP159" s="30" t="s">
        <v>201</v>
      </c>
      <c r="AQ159" s="30" t="s">
        <v>202</v>
      </c>
      <c r="AR159" s="30" t="s">
        <v>145</v>
      </c>
      <c r="AT159" s="30" t="s">
        <v>226</v>
      </c>
      <c r="AU159" s="30" t="s">
        <v>204</v>
      </c>
      <c r="AV159" s="30" t="s">
        <v>227</v>
      </c>
      <c r="AW159" s="30" t="s">
        <v>206</v>
      </c>
      <c r="AX159" s="34" t="s">
        <v>86</v>
      </c>
      <c r="AY159" s="34" t="s">
        <v>149</v>
      </c>
      <c r="AZ159" s="34" t="s">
        <v>149</v>
      </c>
      <c r="BA159" s="34"/>
      <c r="BB159" s="34"/>
      <c r="BC159" s="34">
        <v>0</v>
      </c>
      <c r="BD159" s="34"/>
      <c r="BE159" s="34"/>
      <c r="BF159" s="34" t="b">
        <v>0</v>
      </c>
      <c r="BG159" s="34"/>
      <c r="BH159" s="34"/>
      <c r="BI159" s="34"/>
      <c r="BJ159" s="34"/>
      <c r="BK159" s="34"/>
      <c r="BL159" s="34" t="s">
        <v>166</v>
      </c>
      <c r="BM159" s="34" t="s">
        <v>106</v>
      </c>
      <c r="BN159" s="34" t="s">
        <v>107</v>
      </c>
      <c r="BO159" s="35"/>
      <c r="BP159" s="35"/>
      <c r="BQ159" s="35" t="s">
        <v>108</v>
      </c>
      <c r="BR159" s="36" t="e">
        <f>VLOOKUP(BQ159, Cat_Indicadores!B:C, 2, FALSE)</f>
        <v>#N/A</v>
      </c>
      <c r="BS159" s="35" t="s">
        <v>5592</v>
      </c>
      <c r="BT159" s="35"/>
    </row>
    <row r="160" spans="1:72">
      <c r="A160" s="29" t="s">
        <v>800</v>
      </c>
      <c r="B160" s="30" t="s">
        <v>801</v>
      </c>
      <c r="C160" s="31">
        <v>46205.705347222225</v>
      </c>
      <c r="D160" s="30">
        <v>92</v>
      </c>
      <c r="E160" s="30" t="s">
        <v>74</v>
      </c>
      <c r="F160" s="30" t="s">
        <v>75</v>
      </c>
      <c r="G160" s="30" t="s">
        <v>133</v>
      </c>
      <c r="H160" s="30" t="s">
        <v>77</v>
      </c>
      <c r="I160" s="30" t="s">
        <v>78</v>
      </c>
      <c r="J160" s="30" t="s">
        <v>79</v>
      </c>
      <c r="K160" s="32">
        <v>800</v>
      </c>
      <c r="L160" s="32" t="s">
        <v>80</v>
      </c>
      <c r="M160" s="30" t="s">
        <v>792</v>
      </c>
      <c r="N160" s="30" t="s">
        <v>796</v>
      </c>
      <c r="O160" s="30" t="s">
        <v>83</v>
      </c>
      <c r="P160" s="33">
        <v>46140</v>
      </c>
      <c r="Q160" s="33">
        <v>46140</v>
      </c>
      <c r="R160" s="32">
        <v>1</v>
      </c>
      <c r="S160" s="30" t="s">
        <v>84</v>
      </c>
      <c r="T160" s="30" t="s">
        <v>337</v>
      </c>
      <c r="U160" s="30" t="s">
        <v>86</v>
      </c>
      <c r="V160" s="30" t="s">
        <v>87</v>
      </c>
      <c r="W160" s="30" t="s">
        <v>88</v>
      </c>
      <c r="X160" s="30" t="s">
        <v>197</v>
      </c>
      <c r="Y160" s="30">
        <v>26</v>
      </c>
      <c r="AB160" s="30" t="b">
        <v>0</v>
      </c>
      <c r="AC160" s="30"/>
      <c r="AD160" s="30" t="b">
        <v>0</v>
      </c>
      <c r="AF160" s="30" t="b">
        <v>0</v>
      </c>
      <c r="AH160" s="32" t="s">
        <v>91</v>
      </c>
      <c r="AI160" s="32"/>
      <c r="AJ160" s="32"/>
      <c r="AK160" s="32"/>
      <c r="AL160" s="30" t="s">
        <v>92</v>
      </c>
      <c r="AM160" s="30" t="s">
        <v>93</v>
      </c>
      <c r="AN160" s="30" t="s">
        <v>199</v>
      </c>
      <c r="AO160" s="30" t="s">
        <v>200</v>
      </c>
      <c r="AP160" s="30" t="s">
        <v>201</v>
      </c>
      <c r="AQ160" s="30" t="s">
        <v>202</v>
      </c>
      <c r="AR160" s="30" t="s">
        <v>145</v>
      </c>
      <c r="AT160" s="30" t="s">
        <v>226</v>
      </c>
      <c r="AU160" s="30" t="s">
        <v>204</v>
      </c>
      <c r="AV160" s="30" t="s">
        <v>227</v>
      </c>
      <c r="AW160" s="30" t="s">
        <v>206</v>
      </c>
      <c r="AX160" s="34" t="s">
        <v>86</v>
      </c>
      <c r="AY160" s="34" t="s">
        <v>149</v>
      </c>
      <c r="AZ160" s="34" t="s">
        <v>149</v>
      </c>
      <c r="BA160" s="34"/>
      <c r="BB160" s="34"/>
      <c r="BC160" s="34">
        <v>0</v>
      </c>
      <c r="BD160" s="34"/>
      <c r="BE160" s="34"/>
      <c r="BF160" s="34" t="b">
        <v>0</v>
      </c>
      <c r="BG160" s="34"/>
      <c r="BH160" s="34"/>
      <c r="BI160" s="34"/>
      <c r="BJ160" s="34"/>
      <c r="BK160" s="34"/>
      <c r="BL160" s="34" t="s">
        <v>166</v>
      </c>
      <c r="BM160" s="34" t="s">
        <v>106</v>
      </c>
      <c r="BN160" s="34" t="s">
        <v>107</v>
      </c>
      <c r="BO160" s="35"/>
      <c r="BP160" s="35"/>
      <c r="BQ160" s="35" t="s">
        <v>108</v>
      </c>
      <c r="BR160" s="36" t="e">
        <f>VLOOKUP(BQ160, Cat_Indicadores!B:C, 2, FALSE)</f>
        <v>#N/A</v>
      </c>
      <c r="BS160" s="35" t="s">
        <v>5592</v>
      </c>
      <c r="BT160" s="35"/>
    </row>
    <row r="161" spans="1:72">
      <c r="A161" s="29" t="s">
        <v>802</v>
      </c>
      <c r="B161" s="30" t="s">
        <v>803</v>
      </c>
      <c r="C161" s="31">
        <v>46205.707557870373</v>
      </c>
      <c r="D161" s="30">
        <v>92</v>
      </c>
      <c r="E161" s="30" t="s">
        <v>74</v>
      </c>
      <c r="F161" s="30" t="s">
        <v>75</v>
      </c>
      <c r="G161" s="30" t="s">
        <v>133</v>
      </c>
      <c r="H161" s="30" t="s">
        <v>77</v>
      </c>
      <c r="I161" s="30" t="s">
        <v>78</v>
      </c>
      <c r="J161" s="30" t="s">
        <v>79</v>
      </c>
      <c r="K161" s="32">
        <v>800</v>
      </c>
      <c r="L161" s="32" t="s">
        <v>80</v>
      </c>
      <c r="M161" s="30" t="s">
        <v>804</v>
      </c>
      <c r="N161" s="30" t="s">
        <v>160</v>
      </c>
      <c r="O161" s="30" t="s">
        <v>83</v>
      </c>
      <c r="P161" s="33">
        <v>46150</v>
      </c>
      <c r="Q161" s="33">
        <v>46150</v>
      </c>
      <c r="R161" s="32">
        <v>1</v>
      </c>
      <c r="S161" s="30" t="s">
        <v>84</v>
      </c>
      <c r="T161" s="30" t="s">
        <v>337</v>
      </c>
      <c r="U161" s="30" t="s">
        <v>160</v>
      </c>
      <c r="V161" s="30" t="s">
        <v>87</v>
      </c>
      <c r="W161" s="30" t="s">
        <v>88</v>
      </c>
      <c r="X161" s="30" t="s">
        <v>197</v>
      </c>
      <c r="Y161" s="30">
        <v>26</v>
      </c>
      <c r="AB161" s="30" t="b">
        <v>0</v>
      </c>
      <c r="AC161" s="30"/>
      <c r="AD161" s="30" t="b">
        <v>0</v>
      </c>
      <c r="AF161" s="30" t="b">
        <v>0</v>
      </c>
      <c r="AH161" s="32" t="s">
        <v>91</v>
      </c>
      <c r="AI161" s="32"/>
      <c r="AJ161" s="32"/>
      <c r="AK161" s="32"/>
      <c r="AL161" s="30" t="s">
        <v>92</v>
      </c>
      <c r="AM161" s="30" t="s">
        <v>93</v>
      </c>
      <c r="AN161" s="30" t="s">
        <v>199</v>
      </c>
      <c r="AO161" s="30" t="s">
        <v>200</v>
      </c>
      <c r="AP161" s="30" t="s">
        <v>201</v>
      </c>
      <c r="AQ161" s="30" t="s">
        <v>202</v>
      </c>
      <c r="AR161" s="30" t="s">
        <v>145</v>
      </c>
      <c r="AT161" s="30" t="s">
        <v>226</v>
      </c>
      <c r="AU161" s="30" t="s">
        <v>204</v>
      </c>
      <c r="AV161" s="30" t="s">
        <v>227</v>
      </c>
      <c r="AW161" s="30" t="s">
        <v>206</v>
      </c>
      <c r="AX161" s="34" t="s">
        <v>160</v>
      </c>
      <c r="AY161" s="34" t="s">
        <v>149</v>
      </c>
      <c r="AZ161" s="34" t="s">
        <v>149</v>
      </c>
      <c r="BA161" s="34"/>
      <c r="BB161" s="34"/>
      <c r="BC161" s="34">
        <v>0</v>
      </c>
      <c r="BD161" s="34"/>
      <c r="BE161" s="34"/>
      <c r="BF161" s="34" t="b">
        <v>0</v>
      </c>
      <c r="BG161" s="34"/>
      <c r="BH161" s="34"/>
      <c r="BI161" s="34"/>
      <c r="BJ161" s="34"/>
      <c r="BK161" s="34"/>
      <c r="BL161" s="34" t="s">
        <v>805</v>
      </c>
      <c r="BM161" s="34" t="s">
        <v>106</v>
      </c>
      <c r="BN161" s="34" t="s">
        <v>107</v>
      </c>
      <c r="BO161" s="35"/>
      <c r="BP161" s="35"/>
      <c r="BQ161" s="35" t="s">
        <v>108</v>
      </c>
      <c r="BR161" s="36" t="e">
        <f>VLOOKUP(BQ161, Cat_Indicadores!B:C, 2, FALSE)</f>
        <v>#N/A</v>
      </c>
      <c r="BS161" s="35" t="s">
        <v>5592</v>
      </c>
      <c r="BT161" s="35"/>
    </row>
    <row r="162" spans="1:72">
      <c r="A162" s="29" t="s">
        <v>806</v>
      </c>
      <c r="B162" s="30" t="s">
        <v>807</v>
      </c>
      <c r="C162" s="31">
        <v>46206.402743055558</v>
      </c>
      <c r="D162" s="30">
        <v>92</v>
      </c>
      <c r="E162" s="30" t="s">
        <v>74</v>
      </c>
      <c r="F162" s="30" t="s">
        <v>75</v>
      </c>
      <c r="G162" s="30" t="s">
        <v>133</v>
      </c>
      <c r="H162" s="30" t="s">
        <v>77</v>
      </c>
      <c r="I162" s="30" t="s">
        <v>78</v>
      </c>
      <c r="J162" s="30" t="s">
        <v>79</v>
      </c>
      <c r="K162" s="32">
        <v>800</v>
      </c>
      <c r="L162" s="32" t="s">
        <v>80</v>
      </c>
      <c r="M162" s="30" t="s">
        <v>808</v>
      </c>
      <c r="N162" s="30" t="s">
        <v>160</v>
      </c>
      <c r="O162" s="30" t="s">
        <v>83</v>
      </c>
      <c r="P162" s="33">
        <v>46157</v>
      </c>
      <c r="Q162" s="33">
        <v>46157</v>
      </c>
      <c r="R162" s="32">
        <v>1</v>
      </c>
      <c r="S162" s="30" t="s">
        <v>84</v>
      </c>
      <c r="T162" s="30" t="s">
        <v>337</v>
      </c>
      <c r="U162" s="30" t="s">
        <v>160</v>
      </c>
      <c r="V162" s="30" t="s">
        <v>87</v>
      </c>
      <c r="W162" s="30" t="s">
        <v>88</v>
      </c>
      <c r="X162" s="30" t="s">
        <v>197</v>
      </c>
      <c r="Y162" s="30">
        <v>26</v>
      </c>
      <c r="AB162" s="30" t="b">
        <v>0</v>
      </c>
      <c r="AC162" s="30"/>
      <c r="AD162" s="30" t="b">
        <v>0</v>
      </c>
      <c r="AF162" s="30" t="b">
        <v>0</v>
      </c>
      <c r="AH162" s="32" t="s">
        <v>91</v>
      </c>
      <c r="AI162" s="32"/>
      <c r="AJ162" s="32"/>
      <c r="AK162" s="32"/>
      <c r="AL162" s="30" t="s">
        <v>92</v>
      </c>
      <c r="AM162" s="30" t="s">
        <v>93</v>
      </c>
      <c r="AN162" s="30" t="s">
        <v>199</v>
      </c>
      <c r="AO162" s="30" t="s">
        <v>200</v>
      </c>
      <c r="AP162" s="30" t="s">
        <v>201</v>
      </c>
      <c r="AQ162" s="30" t="s">
        <v>202</v>
      </c>
      <c r="AR162" s="30" t="s">
        <v>145</v>
      </c>
      <c r="AT162" s="30" t="s">
        <v>226</v>
      </c>
      <c r="AU162" s="30" t="s">
        <v>204</v>
      </c>
      <c r="AV162" s="30" t="s">
        <v>227</v>
      </c>
      <c r="AW162" s="30" t="s">
        <v>206</v>
      </c>
      <c r="AX162" s="34" t="s">
        <v>160</v>
      </c>
      <c r="AY162" s="34" t="s">
        <v>149</v>
      </c>
      <c r="AZ162" s="34" t="s">
        <v>149</v>
      </c>
      <c r="BA162" s="34"/>
      <c r="BB162" s="34"/>
      <c r="BC162" s="34">
        <v>0</v>
      </c>
      <c r="BD162" s="34"/>
      <c r="BE162" s="34"/>
      <c r="BF162" s="34" t="b">
        <v>0</v>
      </c>
      <c r="BG162" s="34"/>
      <c r="BH162" s="34"/>
      <c r="BI162" s="34"/>
      <c r="BJ162" s="34"/>
      <c r="BK162" s="34"/>
      <c r="BL162" s="34" t="s">
        <v>166</v>
      </c>
      <c r="BM162" s="34" t="s">
        <v>106</v>
      </c>
      <c r="BN162" s="34" t="s">
        <v>107</v>
      </c>
      <c r="BO162" s="35"/>
      <c r="BP162" s="35"/>
      <c r="BQ162" s="35" t="s">
        <v>108</v>
      </c>
      <c r="BR162" s="36" t="e">
        <f>VLOOKUP(BQ162, Cat_Indicadores!B:C, 2, FALSE)</f>
        <v>#N/A</v>
      </c>
      <c r="BS162" s="35" t="s">
        <v>5592</v>
      </c>
      <c r="BT162" s="35"/>
    </row>
    <row r="163" spans="1:72">
      <c r="A163" s="29" t="s">
        <v>809</v>
      </c>
      <c r="B163" s="30" t="s">
        <v>810</v>
      </c>
      <c r="C163" s="31">
        <v>46206.423263888886</v>
      </c>
      <c r="D163" s="30">
        <v>92</v>
      </c>
      <c r="E163" s="30" t="s">
        <v>74</v>
      </c>
      <c r="F163" s="30" t="s">
        <v>75</v>
      </c>
      <c r="G163" s="30" t="s">
        <v>133</v>
      </c>
      <c r="H163" s="30" t="s">
        <v>77</v>
      </c>
      <c r="I163" s="30" t="s">
        <v>78</v>
      </c>
      <c r="J163" s="30" t="s">
        <v>79</v>
      </c>
      <c r="K163" s="32">
        <v>800</v>
      </c>
      <c r="L163" s="32" t="s">
        <v>211</v>
      </c>
      <c r="M163" s="30" t="s">
        <v>811</v>
      </c>
      <c r="N163" s="30" t="s">
        <v>812</v>
      </c>
      <c r="O163" s="30" t="s">
        <v>581</v>
      </c>
      <c r="P163" s="33">
        <v>46151</v>
      </c>
      <c r="Q163" s="33">
        <v>46172</v>
      </c>
      <c r="R163" s="32">
        <v>4</v>
      </c>
      <c r="S163" s="30" t="s">
        <v>84</v>
      </c>
      <c r="T163" s="30" t="s">
        <v>337</v>
      </c>
      <c r="U163" s="30" t="s">
        <v>86</v>
      </c>
      <c r="V163" s="30" t="s">
        <v>87</v>
      </c>
      <c r="W163" s="30" t="s">
        <v>88</v>
      </c>
      <c r="X163" s="30" t="s">
        <v>197</v>
      </c>
      <c r="Y163" s="30">
        <v>26</v>
      </c>
      <c r="AB163" s="30" t="b">
        <v>0</v>
      </c>
      <c r="AC163" s="30"/>
      <c r="AD163" s="30" t="b">
        <v>0</v>
      </c>
      <c r="AF163" s="30" t="b">
        <v>0</v>
      </c>
      <c r="AH163" s="32" t="s">
        <v>91</v>
      </c>
      <c r="AI163" s="32"/>
      <c r="AJ163" s="32"/>
      <c r="AK163" s="32"/>
      <c r="AL163" s="30" t="s">
        <v>92</v>
      </c>
      <c r="AM163" s="30" t="s">
        <v>93</v>
      </c>
      <c r="AN163" s="30" t="s">
        <v>199</v>
      </c>
      <c r="AO163" s="30" t="s">
        <v>200</v>
      </c>
      <c r="AP163" s="30" t="s">
        <v>201</v>
      </c>
      <c r="AQ163" s="30" t="s">
        <v>202</v>
      </c>
      <c r="AR163" s="30" t="s">
        <v>145</v>
      </c>
      <c r="AT163" s="30" t="s">
        <v>226</v>
      </c>
      <c r="AU163" s="30" t="s">
        <v>204</v>
      </c>
      <c r="AV163" s="30" t="s">
        <v>227</v>
      </c>
      <c r="AW163" s="30" t="s">
        <v>206</v>
      </c>
      <c r="AX163" s="34" t="s">
        <v>86</v>
      </c>
      <c r="AY163" s="34" t="s">
        <v>149</v>
      </c>
      <c r="AZ163" s="34" t="s">
        <v>149</v>
      </c>
      <c r="BA163" s="34"/>
      <c r="BB163" s="34"/>
      <c r="BC163" s="34">
        <v>0</v>
      </c>
      <c r="BD163" s="34"/>
      <c r="BE163" s="34"/>
      <c r="BF163" s="34" t="b">
        <v>0</v>
      </c>
      <c r="BG163" s="34"/>
      <c r="BH163" s="34"/>
      <c r="BI163" s="34"/>
      <c r="BJ163" s="34"/>
      <c r="BK163" s="34"/>
      <c r="BL163" s="34" t="s">
        <v>166</v>
      </c>
      <c r="BM163" s="34" t="s">
        <v>106</v>
      </c>
      <c r="BN163" s="34" t="s">
        <v>107</v>
      </c>
      <c r="BO163" s="35"/>
      <c r="BP163" s="35"/>
      <c r="BQ163" s="35" t="s">
        <v>108</v>
      </c>
      <c r="BR163" s="36" t="e">
        <f>VLOOKUP(BQ163, Cat_Indicadores!B:C, 2, FALSE)</f>
        <v>#N/A</v>
      </c>
      <c r="BS163" s="35" t="s">
        <v>5592</v>
      </c>
      <c r="BT163" s="35"/>
    </row>
    <row r="164" spans="1:72">
      <c r="A164" s="29" t="s">
        <v>813</v>
      </c>
      <c r="B164" s="30" t="s">
        <v>814</v>
      </c>
      <c r="C164" s="31">
        <v>46206.439837962964</v>
      </c>
      <c r="D164" s="30">
        <v>92</v>
      </c>
      <c r="E164" s="30" t="s">
        <v>74</v>
      </c>
      <c r="F164" s="30" t="s">
        <v>75</v>
      </c>
      <c r="G164" s="30" t="s">
        <v>133</v>
      </c>
      <c r="H164" s="30" t="s">
        <v>77</v>
      </c>
      <c r="I164" s="30" t="s">
        <v>78</v>
      </c>
      <c r="J164" s="30" t="s">
        <v>79</v>
      </c>
      <c r="K164" s="32">
        <v>800</v>
      </c>
      <c r="L164" s="32" t="s">
        <v>211</v>
      </c>
      <c r="M164" s="30" t="s">
        <v>815</v>
      </c>
      <c r="N164" s="30" t="s">
        <v>816</v>
      </c>
      <c r="O164" s="30" t="s">
        <v>581</v>
      </c>
      <c r="P164" s="33">
        <v>46150</v>
      </c>
      <c r="Q164" s="33">
        <v>46164</v>
      </c>
      <c r="R164" s="32">
        <v>3</v>
      </c>
      <c r="S164" s="30" t="s">
        <v>84</v>
      </c>
      <c r="T164" s="30" t="s">
        <v>337</v>
      </c>
      <c r="U164" s="30" t="s">
        <v>86</v>
      </c>
      <c r="V164" s="30" t="s">
        <v>87</v>
      </c>
      <c r="W164" s="30" t="s">
        <v>88</v>
      </c>
      <c r="X164" s="30" t="s">
        <v>197</v>
      </c>
      <c r="Y164" s="30">
        <v>26</v>
      </c>
      <c r="AB164" s="30" t="b">
        <v>0</v>
      </c>
      <c r="AC164" s="30"/>
      <c r="AD164" s="30" t="b">
        <v>0</v>
      </c>
      <c r="AF164" s="30" t="b">
        <v>0</v>
      </c>
      <c r="AH164" s="32" t="s">
        <v>91</v>
      </c>
      <c r="AI164" s="32"/>
      <c r="AJ164" s="32"/>
      <c r="AK164" s="32"/>
      <c r="AL164" s="30" t="s">
        <v>92</v>
      </c>
      <c r="AM164" s="30" t="s">
        <v>93</v>
      </c>
      <c r="AN164" s="30" t="s">
        <v>199</v>
      </c>
      <c r="AO164" s="30" t="s">
        <v>200</v>
      </c>
      <c r="AP164" s="30" t="s">
        <v>201</v>
      </c>
      <c r="AQ164" s="30" t="s">
        <v>202</v>
      </c>
      <c r="AR164" s="30" t="s">
        <v>145</v>
      </c>
      <c r="AT164" s="30" t="s">
        <v>226</v>
      </c>
      <c r="AU164" s="30" t="s">
        <v>204</v>
      </c>
      <c r="AV164" s="30" t="s">
        <v>227</v>
      </c>
      <c r="AW164" s="30" t="s">
        <v>206</v>
      </c>
      <c r="AX164" s="34" t="s">
        <v>86</v>
      </c>
      <c r="AY164" s="34" t="s">
        <v>149</v>
      </c>
      <c r="AZ164" s="34" t="s">
        <v>149</v>
      </c>
      <c r="BA164" s="34"/>
      <c r="BB164" s="34"/>
      <c r="BC164" s="34">
        <v>0</v>
      </c>
      <c r="BD164" s="34"/>
      <c r="BE164" s="34"/>
      <c r="BF164" s="34" t="b">
        <v>0</v>
      </c>
      <c r="BG164" s="34"/>
      <c r="BH164" s="34"/>
      <c r="BI164" s="34"/>
      <c r="BJ164" s="34"/>
      <c r="BK164" s="34"/>
      <c r="BL164" s="34" t="s">
        <v>166</v>
      </c>
      <c r="BM164" s="34" t="s">
        <v>106</v>
      </c>
      <c r="BN164" s="34" t="s">
        <v>107</v>
      </c>
      <c r="BO164" s="35"/>
      <c r="BP164" s="35"/>
      <c r="BQ164" s="35" t="s">
        <v>108</v>
      </c>
      <c r="BR164" s="36" t="e">
        <f>VLOOKUP(BQ164, Cat_Indicadores!B:C, 2, FALSE)</f>
        <v>#N/A</v>
      </c>
      <c r="BS164" s="35" t="s">
        <v>5592</v>
      </c>
      <c r="BT164" s="35"/>
    </row>
    <row r="165" spans="1:72">
      <c r="A165" s="29" t="s">
        <v>817</v>
      </c>
      <c r="B165" s="30" t="s">
        <v>818</v>
      </c>
      <c r="C165" s="31">
        <v>46206.445219907408</v>
      </c>
      <c r="D165" s="30">
        <v>92</v>
      </c>
      <c r="E165" s="30" t="s">
        <v>74</v>
      </c>
      <c r="F165" s="30" t="s">
        <v>75</v>
      </c>
      <c r="G165" s="30" t="s">
        <v>133</v>
      </c>
      <c r="H165" s="30" t="s">
        <v>77</v>
      </c>
      <c r="I165" s="30" t="s">
        <v>78</v>
      </c>
      <c r="J165" s="30" t="s">
        <v>79</v>
      </c>
      <c r="K165" s="32">
        <v>800</v>
      </c>
      <c r="L165" s="32" t="s">
        <v>211</v>
      </c>
      <c r="M165" s="30" t="s">
        <v>819</v>
      </c>
      <c r="N165" s="30" t="s">
        <v>820</v>
      </c>
      <c r="O165" s="30" t="s">
        <v>83</v>
      </c>
      <c r="P165" s="33">
        <v>46170</v>
      </c>
      <c r="Q165" s="33">
        <v>46170</v>
      </c>
      <c r="R165" s="32">
        <v>1</v>
      </c>
      <c r="S165" s="30" t="s">
        <v>84</v>
      </c>
      <c r="T165" s="30" t="s">
        <v>337</v>
      </c>
      <c r="U165" s="30" t="s">
        <v>86</v>
      </c>
      <c r="V165" s="30" t="s">
        <v>87</v>
      </c>
      <c r="W165" s="30" t="s">
        <v>88</v>
      </c>
      <c r="X165" s="30" t="s">
        <v>197</v>
      </c>
      <c r="Y165" s="30">
        <v>26</v>
      </c>
      <c r="AB165" s="30" t="b">
        <v>0</v>
      </c>
      <c r="AC165" s="30"/>
      <c r="AD165" s="30" t="b">
        <v>0</v>
      </c>
      <c r="AF165" s="30" t="b">
        <v>0</v>
      </c>
      <c r="AH165" s="32" t="s">
        <v>91</v>
      </c>
      <c r="AI165" s="32"/>
      <c r="AJ165" s="32"/>
      <c r="AK165" s="32"/>
      <c r="AL165" s="30" t="s">
        <v>92</v>
      </c>
      <c r="AM165" s="30" t="s">
        <v>93</v>
      </c>
      <c r="AN165" s="30" t="s">
        <v>199</v>
      </c>
      <c r="AO165" s="30" t="s">
        <v>200</v>
      </c>
      <c r="AP165" s="30" t="s">
        <v>201</v>
      </c>
      <c r="AQ165" s="30" t="s">
        <v>202</v>
      </c>
      <c r="AR165" s="30" t="s">
        <v>145</v>
      </c>
      <c r="AT165" s="30" t="s">
        <v>226</v>
      </c>
      <c r="AU165" s="30" t="s">
        <v>204</v>
      </c>
      <c r="AV165" s="30" t="s">
        <v>227</v>
      </c>
      <c r="AW165" s="30" t="s">
        <v>206</v>
      </c>
      <c r="AX165" s="34" t="s">
        <v>86</v>
      </c>
      <c r="AY165" s="34" t="s">
        <v>149</v>
      </c>
      <c r="AZ165" s="34" t="s">
        <v>149</v>
      </c>
      <c r="BA165" s="34"/>
      <c r="BB165" s="34"/>
      <c r="BC165" s="34">
        <v>0</v>
      </c>
      <c r="BD165" s="34"/>
      <c r="BE165" s="34"/>
      <c r="BF165" s="34" t="b">
        <v>0</v>
      </c>
      <c r="BG165" s="34"/>
      <c r="BH165" s="34"/>
      <c r="BI165" s="34"/>
      <c r="BJ165" s="34"/>
      <c r="BK165" s="34"/>
      <c r="BL165" s="34" t="s">
        <v>166</v>
      </c>
      <c r="BM165" s="34" t="s">
        <v>106</v>
      </c>
      <c r="BN165" s="34" t="s">
        <v>107</v>
      </c>
      <c r="BO165" s="35"/>
      <c r="BP165" s="35"/>
      <c r="BQ165" s="35" t="s">
        <v>108</v>
      </c>
      <c r="BR165" s="36" t="e">
        <f>VLOOKUP(BQ165, Cat_Indicadores!B:C, 2, FALSE)</f>
        <v>#N/A</v>
      </c>
      <c r="BS165" s="35" t="s">
        <v>5592</v>
      </c>
      <c r="BT165" s="35"/>
    </row>
    <row r="166" spans="1:72">
      <c r="A166" s="29" t="s">
        <v>821</v>
      </c>
      <c r="B166" s="30" t="s">
        <v>822</v>
      </c>
      <c r="C166" s="31">
        <v>46206.473587962966</v>
      </c>
      <c r="D166" s="30">
        <v>92</v>
      </c>
      <c r="E166" s="30" t="s">
        <v>74</v>
      </c>
      <c r="F166" s="30" t="s">
        <v>75</v>
      </c>
      <c r="G166" s="30" t="s">
        <v>133</v>
      </c>
      <c r="H166" s="30" t="s">
        <v>77</v>
      </c>
      <c r="I166" s="30" t="s">
        <v>78</v>
      </c>
      <c r="J166" s="30" t="s">
        <v>79</v>
      </c>
      <c r="K166" s="32">
        <v>800</v>
      </c>
      <c r="L166" s="32" t="s">
        <v>80</v>
      </c>
      <c r="M166" s="30" t="s">
        <v>823</v>
      </c>
      <c r="N166" s="30" t="s">
        <v>823</v>
      </c>
      <c r="O166" s="30" t="s">
        <v>83</v>
      </c>
      <c r="P166" s="33">
        <v>46170</v>
      </c>
      <c r="Q166" s="33">
        <v>46170</v>
      </c>
      <c r="R166" s="32">
        <v>1</v>
      </c>
      <c r="S166" s="30" t="s">
        <v>84</v>
      </c>
      <c r="T166" s="30" t="s">
        <v>337</v>
      </c>
      <c r="U166" s="30" t="s">
        <v>349</v>
      </c>
      <c r="V166" s="30" t="s">
        <v>87</v>
      </c>
      <c r="W166" s="30" t="s">
        <v>88</v>
      </c>
      <c r="X166" s="30" t="s">
        <v>197</v>
      </c>
      <c r="Y166" s="30">
        <v>26</v>
      </c>
      <c r="AB166" s="30" t="b">
        <v>0</v>
      </c>
      <c r="AC166" s="30"/>
      <c r="AD166" s="30" t="b">
        <v>0</v>
      </c>
      <c r="AF166" s="30" t="b">
        <v>0</v>
      </c>
      <c r="AH166" s="32" t="s">
        <v>91</v>
      </c>
      <c r="AI166" s="32"/>
      <c r="AJ166" s="32"/>
      <c r="AK166" s="32"/>
      <c r="AL166" s="30" t="s">
        <v>92</v>
      </c>
      <c r="AM166" s="30" t="s">
        <v>93</v>
      </c>
      <c r="AN166" s="30" t="s">
        <v>199</v>
      </c>
      <c r="AO166" s="30" t="s">
        <v>200</v>
      </c>
      <c r="AP166" s="30" t="s">
        <v>201</v>
      </c>
      <c r="AQ166" s="30" t="s">
        <v>202</v>
      </c>
      <c r="AR166" s="30" t="s">
        <v>145</v>
      </c>
      <c r="AS166" s="30" t="s">
        <v>824</v>
      </c>
      <c r="AT166" s="30" t="s">
        <v>226</v>
      </c>
      <c r="AU166" s="30" t="s">
        <v>204</v>
      </c>
      <c r="AV166" s="30" t="s">
        <v>227</v>
      </c>
      <c r="AW166" s="30" t="s">
        <v>206</v>
      </c>
      <c r="AX166" s="34" t="s">
        <v>349</v>
      </c>
      <c r="AY166" s="34" t="s">
        <v>149</v>
      </c>
      <c r="AZ166" s="34" t="s">
        <v>149</v>
      </c>
      <c r="BA166" s="34"/>
      <c r="BB166" s="34"/>
      <c r="BC166" s="34">
        <v>0</v>
      </c>
      <c r="BD166" s="34"/>
      <c r="BE166" s="34"/>
      <c r="BF166" s="34" t="b">
        <v>0</v>
      </c>
      <c r="BG166" s="34"/>
      <c r="BH166" s="34"/>
      <c r="BI166" s="34"/>
      <c r="BJ166" s="34"/>
      <c r="BK166" s="34"/>
      <c r="BL166" s="34"/>
      <c r="BM166" s="34" t="s">
        <v>168</v>
      </c>
      <c r="BN166" s="34"/>
      <c r="BO166" s="35"/>
      <c r="BP166" s="35"/>
      <c r="BQ166" s="35" t="s">
        <v>108</v>
      </c>
      <c r="BR166" s="36" t="e">
        <f>VLOOKUP(BQ166, Cat_Indicadores!B:C, 2, FALSE)</f>
        <v>#N/A</v>
      </c>
      <c r="BS166" s="35" t="s">
        <v>5592</v>
      </c>
      <c r="BT166" s="35"/>
    </row>
    <row r="167" spans="1:72">
      <c r="A167" s="29" t="s">
        <v>825</v>
      </c>
      <c r="B167" s="30" t="s">
        <v>826</v>
      </c>
      <c r="C167" s="31">
        <v>46206.482847222222</v>
      </c>
      <c r="D167" s="30">
        <v>92</v>
      </c>
      <c r="E167" s="30" t="s">
        <v>74</v>
      </c>
      <c r="F167" s="30" t="s">
        <v>75</v>
      </c>
      <c r="G167" s="30" t="s">
        <v>133</v>
      </c>
      <c r="H167" s="30" t="s">
        <v>77</v>
      </c>
      <c r="I167" s="30" t="s">
        <v>78</v>
      </c>
      <c r="J167" s="30" t="s">
        <v>79</v>
      </c>
      <c r="K167" s="32">
        <v>800</v>
      </c>
      <c r="L167" s="32" t="s">
        <v>80</v>
      </c>
      <c r="M167" s="30" t="s">
        <v>823</v>
      </c>
      <c r="N167" s="30" t="s">
        <v>823</v>
      </c>
      <c r="O167" s="30" t="s">
        <v>83</v>
      </c>
      <c r="P167" s="33">
        <v>46146</v>
      </c>
      <c r="Q167" s="33">
        <v>46146</v>
      </c>
      <c r="R167" s="32">
        <v>1</v>
      </c>
      <c r="S167" s="30" t="s">
        <v>84</v>
      </c>
      <c r="T167" s="30" t="s">
        <v>337</v>
      </c>
      <c r="U167" s="30" t="s">
        <v>349</v>
      </c>
      <c r="V167" s="30" t="s">
        <v>87</v>
      </c>
      <c r="W167" s="30" t="s">
        <v>88</v>
      </c>
      <c r="X167" s="30" t="s">
        <v>197</v>
      </c>
      <c r="Y167" s="30">
        <v>26</v>
      </c>
      <c r="AB167" s="30" t="b">
        <v>0</v>
      </c>
      <c r="AC167" s="30"/>
      <c r="AD167" s="30" t="b">
        <v>0</v>
      </c>
      <c r="AF167" s="30" t="b">
        <v>0</v>
      </c>
      <c r="AH167" s="32" t="s">
        <v>91</v>
      </c>
      <c r="AI167" s="32"/>
      <c r="AJ167" s="32"/>
      <c r="AK167" s="32"/>
      <c r="AL167" s="30" t="s">
        <v>92</v>
      </c>
      <c r="AM167" s="30" t="s">
        <v>93</v>
      </c>
      <c r="AN167" s="30" t="s">
        <v>199</v>
      </c>
      <c r="AO167" s="30" t="s">
        <v>200</v>
      </c>
      <c r="AP167" s="30" t="s">
        <v>201</v>
      </c>
      <c r="AQ167" s="30" t="s">
        <v>202</v>
      </c>
      <c r="AR167" s="30" t="s">
        <v>145</v>
      </c>
      <c r="AT167" s="30" t="s">
        <v>226</v>
      </c>
      <c r="AU167" s="30" t="s">
        <v>204</v>
      </c>
      <c r="AV167" s="30" t="s">
        <v>227</v>
      </c>
      <c r="AW167" s="30" t="s">
        <v>206</v>
      </c>
      <c r="AX167" s="34" t="s">
        <v>349</v>
      </c>
      <c r="AY167" s="34" t="s">
        <v>149</v>
      </c>
      <c r="AZ167" s="34" t="s">
        <v>149</v>
      </c>
      <c r="BA167" s="34"/>
      <c r="BB167" s="34"/>
      <c r="BC167" s="34">
        <v>0</v>
      </c>
      <c r="BD167" s="34"/>
      <c r="BE167" s="34"/>
      <c r="BF167" s="34" t="b">
        <v>0</v>
      </c>
      <c r="BG167" s="34"/>
      <c r="BH167" s="34"/>
      <c r="BI167" s="34"/>
      <c r="BJ167" s="34"/>
      <c r="BK167" s="34"/>
      <c r="BL167" s="34"/>
      <c r="BM167" s="34" t="s">
        <v>168</v>
      </c>
      <c r="BN167" s="34"/>
      <c r="BO167" s="35"/>
      <c r="BP167" s="35"/>
      <c r="BQ167" s="35" t="s">
        <v>108</v>
      </c>
      <c r="BR167" s="36" t="e">
        <f>VLOOKUP(BQ167, Cat_Indicadores!B:C, 2, FALSE)</f>
        <v>#N/A</v>
      </c>
      <c r="BS167" s="35" t="s">
        <v>5592</v>
      </c>
      <c r="BT167" s="35"/>
    </row>
    <row r="168" spans="1:72">
      <c r="A168" s="29" t="s">
        <v>827</v>
      </c>
      <c r="B168" s="30" t="s">
        <v>828</v>
      </c>
      <c r="C168" s="31">
        <v>46206.485601851855</v>
      </c>
      <c r="D168" s="30">
        <v>92</v>
      </c>
      <c r="E168" s="30" t="s">
        <v>74</v>
      </c>
      <c r="F168" s="30" t="s">
        <v>75</v>
      </c>
      <c r="G168" s="30" t="s">
        <v>133</v>
      </c>
      <c r="H168" s="30" t="s">
        <v>77</v>
      </c>
      <c r="I168" s="30" t="s">
        <v>78</v>
      </c>
      <c r="J168" s="30" t="s">
        <v>79</v>
      </c>
      <c r="K168" s="32">
        <v>800</v>
      </c>
      <c r="L168" s="32" t="s">
        <v>80</v>
      </c>
      <c r="M168" s="30" t="s">
        <v>823</v>
      </c>
      <c r="N168" s="30" t="s">
        <v>823</v>
      </c>
      <c r="O168" s="30" t="s">
        <v>83</v>
      </c>
      <c r="P168" s="33">
        <v>46146</v>
      </c>
      <c r="Q168" s="33">
        <v>46146</v>
      </c>
      <c r="R168" s="32">
        <v>1</v>
      </c>
      <c r="S168" s="30" t="s">
        <v>84</v>
      </c>
      <c r="T168" s="30" t="s">
        <v>337</v>
      </c>
      <c r="U168" s="30" t="s">
        <v>349</v>
      </c>
      <c r="V168" s="30" t="s">
        <v>87</v>
      </c>
      <c r="W168" s="30" t="s">
        <v>88</v>
      </c>
      <c r="X168" s="30" t="s">
        <v>197</v>
      </c>
      <c r="Y168" s="30">
        <v>26</v>
      </c>
      <c r="AB168" s="30" t="b">
        <v>0</v>
      </c>
      <c r="AC168" s="30"/>
      <c r="AD168" s="30" t="b">
        <v>0</v>
      </c>
      <c r="AF168" s="30" t="b">
        <v>0</v>
      </c>
      <c r="AH168" s="32" t="s">
        <v>91</v>
      </c>
      <c r="AI168" s="32"/>
      <c r="AJ168" s="32"/>
      <c r="AK168" s="32"/>
      <c r="AL168" s="30" t="s">
        <v>92</v>
      </c>
      <c r="AM168" s="30" t="s">
        <v>93</v>
      </c>
      <c r="AN168" s="30" t="s">
        <v>199</v>
      </c>
      <c r="AO168" s="30" t="s">
        <v>200</v>
      </c>
      <c r="AP168" s="30" t="s">
        <v>201</v>
      </c>
      <c r="AQ168" s="30" t="s">
        <v>202</v>
      </c>
      <c r="AR168" s="30" t="s">
        <v>145</v>
      </c>
      <c r="AT168" s="30" t="s">
        <v>226</v>
      </c>
      <c r="AU168" s="30" t="s">
        <v>204</v>
      </c>
      <c r="AV168" s="30" t="s">
        <v>227</v>
      </c>
      <c r="AW168" s="30" t="s">
        <v>206</v>
      </c>
      <c r="AX168" s="34" t="s">
        <v>349</v>
      </c>
      <c r="AY168" s="34" t="s">
        <v>149</v>
      </c>
      <c r="AZ168" s="34" t="s">
        <v>149</v>
      </c>
      <c r="BA168" s="34"/>
      <c r="BB168" s="34"/>
      <c r="BC168" s="34">
        <v>0</v>
      </c>
      <c r="BD168" s="34"/>
      <c r="BE168" s="34"/>
      <c r="BF168" s="34" t="b">
        <v>0</v>
      </c>
      <c r="BG168" s="34"/>
      <c r="BH168" s="34"/>
      <c r="BI168" s="34"/>
      <c r="BJ168" s="34"/>
      <c r="BK168" s="34"/>
      <c r="BL168" s="34"/>
      <c r="BM168" s="34" t="s">
        <v>168</v>
      </c>
      <c r="BN168" s="34"/>
      <c r="BO168" s="35"/>
      <c r="BP168" s="35"/>
      <c r="BQ168" s="35" t="s">
        <v>108</v>
      </c>
      <c r="BR168" s="36" t="e">
        <f>VLOOKUP(BQ168, Cat_Indicadores!B:C, 2, FALSE)</f>
        <v>#N/A</v>
      </c>
      <c r="BS168" s="35" t="s">
        <v>5592</v>
      </c>
      <c r="BT168" s="35"/>
    </row>
    <row r="169" spans="1:72">
      <c r="A169" s="29" t="s">
        <v>829</v>
      </c>
      <c r="B169" s="30" t="s">
        <v>830</v>
      </c>
      <c r="C169" s="31">
        <v>46206.487881944442</v>
      </c>
      <c r="D169" s="30">
        <v>92</v>
      </c>
      <c r="E169" s="30" t="s">
        <v>74</v>
      </c>
      <c r="F169" s="30" t="s">
        <v>75</v>
      </c>
      <c r="G169" s="30" t="s">
        <v>133</v>
      </c>
      <c r="H169" s="30" t="s">
        <v>77</v>
      </c>
      <c r="I169" s="30" t="s">
        <v>78</v>
      </c>
      <c r="J169" s="30" t="s">
        <v>79</v>
      </c>
      <c r="K169" s="32">
        <v>800</v>
      </c>
      <c r="L169" s="32" t="s">
        <v>80</v>
      </c>
      <c r="M169" s="30" t="s">
        <v>823</v>
      </c>
      <c r="N169" s="30" t="s">
        <v>823</v>
      </c>
      <c r="O169" s="30" t="s">
        <v>83</v>
      </c>
      <c r="P169" s="33">
        <v>46170</v>
      </c>
      <c r="Q169" s="33">
        <v>46170</v>
      </c>
      <c r="R169" s="32">
        <v>1</v>
      </c>
      <c r="S169" s="30" t="s">
        <v>84</v>
      </c>
      <c r="T169" s="30" t="s">
        <v>337</v>
      </c>
      <c r="U169" s="30" t="s">
        <v>349</v>
      </c>
      <c r="V169" s="30" t="s">
        <v>87</v>
      </c>
      <c r="W169" s="30" t="s">
        <v>88</v>
      </c>
      <c r="X169" s="30" t="s">
        <v>197</v>
      </c>
      <c r="Y169" s="30">
        <v>26</v>
      </c>
      <c r="AB169" s="30" t="b">
        <v>0</v>
      </c>
      <c r="AC169" s="30"/>
      <c r="AD169" s="30" t="b">
        <v>0</v>
      </c>
      <c r="AF169" s="30" t="b">
        <v>0</v>
      </c>
      <c r="AH169" s="32" t="s">
        <v>91</v>
      </c>
      <c r="AI169" s="32"/>
      <c r="AJ169" s="32"/>
      <c r="AK169" s="32"/>
      <c r="AL169" s="30" t="s">
        <v>92</v>
      </c>
      <c r="AM169" s="30" t="s">
        <v>93</v>
      </c>
      <c r="AN169" s="30" t="s">
        <v>199</v>
      </c>
      <c r="AO169" s="30" t="s">
        <v>200</v>
      </c>
      <c r="AP169" s="30" t="s">
        <v>201</v>
      </c>
      <c r="AQ169" s="30" t="s">
        <v>202</v>
      </c>
      <c r="AR169" s="30" t="s">
        <v>145</v>
      </c>
      <c r="AT169" s="30" t="s">
        <v>226</v>
      </c>
      <c r="AU169" s="30" t="s">
        <v>204</v>
      </c>
      <c r="AV169" s="30" t="s">
        <v>227</v>
      </c>
      <c r="AW169" s="30" t="s">
        <v>206</v>
      </c>
      <c r="AX169" s="34" t="s">
        <v>349</v>
      </c>
      <c r="AY169" s="34" t="s">
        <v>149</v>
      </c>
      <c r="AZ169" s="34" t="s">
        <v>149</v>
      </c>
      <c r="BA169" s="34"/>
      <c r="BB169" s="34"/>
      <c r="BC169" s="34">
        <v>0</v>
      </c>
      <c r="BD169" s="34"/>
      <c r="BE169" s="34"/>
      <c r="BF169" s="34" t="b">
        <v>0</v>
      </c>
      <c r="BG169" s="34"/>
      <c r="BH169" s="34"/>
      <c r="BI169" s="34"/>
      <c r="BJ169" s="34"/>
      <c r="BK169" s="34"/>
      <c r="BL169" s="34"/>
      <c r="BM169" s="34" t="s">
        <v>168</v>
      </c>
      <c r="BN169" s="34"/>
      <c r="BO169" s="35"/>
      <c r="BP169" s="35"/>
      <c r="BQ169" s="35" t="s">
        <v>108</v>
      </c>
      <c r="BR169" s="36" t="e">
        <f>VLOOKUP(BQ169, Cat_Indicadores!B:C, 2, FALSE)</f>
        <v>#N/A</v>
      </c>
      <c r="BS169" s="35" t="s">
        <v>5592</v>
      </c>
      <c r="BT169" s="35"/>
    </row>
    <row r="170" spans="1:72">
      <c r="A170" s="29" t="s">
        <v>831</v>
      </c>
      <c r="B170" s="30" t="s">
        <v>832</v>
      </c>
      <c r="C170" s="31">
        <v>46206.52715277778</v>
      </c>
      <c r="D170" s="30">
        <v>94</v>
      </c>
      <c r="E170" s="30" t="s">
        <v>74</v>
      </c>
      <c r="F170" s="30" t="s">
        <v>75</v>
      </c>
      <c r="G170" s="30" t="s">
        <v>76</v>
      </c>
      <c r="H170" s="30" t="s">
        <v>77</v>
      </c>
      <c r="I170" s="30" t="s">
        <v>78</v>
      </c>
      <c r="J170" s="30" t="s">
        <v>79</v>
      </c>
      <c r="K170" s="32">
        <v>12</v>
      </c>
      <c r="L170" s="32" t="s">
        <v>80</v>
      </c>
      <c r="M170" s="30" t="s">
        <v>833</v>
      </c>
      <c r="N170" s="30" t="s">
        <v>833</v>
      </c>
      <c r="O170" s="30" t="s">
        <v>581</v>
      </c>
      <c r="P170" s="33">
        <v>46177</v>
      </c>
      <c r="Q170" s="33">
        <v>46191</v>
      </c>
      <c r="R170" s="32">
        <v>2</v>
      </c>
      <c r="S170" s="30" t="s">
        <v>264</v>
      </c>
      <c r="T170" s="30" t="s">
        <v>265</v>
      </c>
      <c r="U170" s="30" t="s">
        <v>834</v>
      </c>
      <c r="V170" s="30" t="s">
        <v>87</v>
      </c>
      <c r="W170" s="30" t="s">
        <v>88</v>
      </c>
      <c r="X170" s="30" t="s">
        <v>197</v>
      </c>
      <c r="Y170" s="30">
        <v>26</v>
      </c>
      <c r="AB170" s="30" t="b">
        <v>0</v>
      </c>
      <c r="AC170" s="30"/>
      <c r="AD170" s="30" t="b">
        <v>0</v>
      </c>
      <c r="AF170" s="30" t="b">
        <v>0</v>
      </c>
      <c r="AH170" s="32" t="s">
        <v>91</v>
      </c>
      <c r="AI170" s="32"/>
      <c r="AJ170" s="32"/>
      <c r="AK170" s="32"/>
      <c r="AL170" s="30" t="s">
        <v>92</v>
      </c>
      <c r="AM170" s="30" t="s">
        <v>251</v>
      </c>
      <c r="AN170" s="30" t="s">
        <v>94</v>
      </c>
      <c r="AO170" s="30" t="s">
        <v>95</v>
      </c>
      <c r="AP170" s="30" t="s">
        <v>95</v>
      </c>
      <c r="AQ170" s="30" t="s">
        <v>96</v>
      </c>
      <c r="AR170" s="30" t="s">
        <v>145</v>
      </c>
      <c r="AT170" s="30" t="s">
        <v>203</v>
      </c>
      <c r="AU170" s="30" t="s">
        <v>590</v>
      </c>
      <c r="AV170" s="30" t="s">
        <v>591</v>
      </c>
      <c r="AW170" s="30" t="s">
        <v>592</v>
      </c>
      <c r="AX170" s="34" t="s">
        <v>196</v>
      </c>
      <c r="AY170" s="34" t="s">
        <v>149</v>
      </c>
      <c r="AZ170" s="34" t="s">
        <v>149</v>
      </c>
      <c r="BA170" s="34"/>
      <c r="BB170" s="34"/>
      <c r="BC170" s="34">
        <v>0</v>
      </c>
      <c r="BD170" s="34"/>
      <c r="BE170" s="34"/>
      <c r="BF170" s="34" t="b">
        <v>0</v>
      </c>
      <c r="BG170" s="34"/>
      <c r="BH170" s="34"/>
      <c r="BI170" s="34"/>
      <c r="BJ170" s="34"/>
      <c r="BK170" s="34"/>
      <c r="BL170" s="34" t="s">
        <v>166</v>
      </c>
      <c r="BM170" s="34" t="s">
        <v>106</v>
      </c>
      <c r="BN170" s="34" t="s">
        <v>107</v>
      </c>
      <c r="BO170" s="35"/>
      <c r="BP170" s="35"/>
      <c r="BQ170" s="35" t="s">
        <v>108</v>
      </c>
      <c r="BR170" s="36" t="e">
        <f>VLOOKUP(BQ170, Cat_Indicadores!B:C, 2, FALSE)</f>
        <v>#N/A</v>
      </c>
      <c r="BS170" s="35" t="s">
        <v>5592</v>
      </c>
      <c r="BT170" s="35"/>
    </row>
    <row r="171" spans="1:72">
      <c r="A171" s="29" t="s">
        <v>835</v>
      </c>
      <c r="B171" s="30" t="s">
        <v>836</v>
      </c>
      <c r="C171" s="31">
        <v>46206.532858796294</v>
      </c>
      <c r="D171" s="30">
        <v>94</v>
      </c>
      <c r="E171" s="30" t="s">
        <v>74</v>
      </c>
      <c r="F171" s="30" t="s">
        <v>75</v>
      </c>
      <c r="G171" s="30" t="s">
        <v>76</v>
      </c>
      <c r="H171" s="30" t="s">
        <v>77</v>
      </c>
      <c r="I171" s="30" t="s">
        <v>78</v>
      </c>
      <c r="J171" s="30" t="s">
        <v>79</v>
      </c>
      <c r="K171" s="32">
        <v>12</v>
      </c>
      <c r="L171" s="32" t="s">
        <v>80</v>
      </c>
      <c r="M171" s="30" t="s">
        <v>837</v>
      </c>
      <c r="N171" s="30" t="s">
        <v>838</v>
      </c>
      <c r="O171" s="30" t="s">
        <v>83</v>
      </c>
      <c r="P171" s="33">
        <v>46178</v>
      </c>
      <c r="Q171" s="33">
        <v>46178</v>
      </c>
      <c r="R171" s="32">
        <v>1</v>
      </c>
      <c r="S171" s="30" t="s">
        <v>84</v>
      </c>
      <c r="T171" s="30" t="s">
        <v>337</v>
      </c>
      <c r="U171" s="30" t="s">
        <v>160</v>
      </c>
      <c r="V171" s="30" t="s">
        <v>87</v>
      </c>
      <c r="W171" s="30" t="s">
        <v>88</v>
      </c>
      <c r="X171" s="30" t="s">
        <v>197</v>
      </c>
      <c r="Y171" s="30">
        <v>26</v>
      </c>
      <c r="AB171" s="30" t="b">
        <v>0</v>
      </c>
      <c r="AC171" s="30"/>
      <c r="AD171" s="30" t="b">
        <v>0</v>
      </c>
      <c r="AF171" s="30" t="b">
        <v>0</v>
      </c>
      <c r="AH171" s="32" t="s">
        <v>91</v>
      </c>
      <c r="AI171" s="32"/>
      <c r="AJ171" s="32"/>
      <c r="AK171" s="32"/>
      <c r="AL171" s="30" t="s">
        <v>92</v>
      </c>
      <c r="AM171" s="30" t="s">
        <v>93</v>
      </c>
      <c r="AN171" s="30" t="s">
        <v>199</v>
      </c>
      <c r="AO171" s="30" t="s">
        <v>200</v>
      </c>
      <c r="AP171" s="30" t="s">
        <v>201</v>
      </c>
      <c r="AQ171" s="30" t="s">
        <v>202</v>
      </c>
      <c r="AR171" s="30" t="s">
        <v>145</v>
      </c>
      <c r="AT171" s="30" t="s">
        <v>99</v>
      </c>
      <c r="AU171" s="30" t="s">
        <v>146</v>
      </c>
      <c r="AV171" s="30" t="s">
        <v>839</v>
      </c>
      <c r="AW171" s="30" t="s">
        <v>102</v>
      </c>
      <c r="AX171" s="34" t="s">
        <v>160</v>
      </c>
      <c r="AY171" s="34" t="s">
        <v>149</v>
      </c>
      <c r="AZ171" s="34" t="s">
        <v>149</v>
      </c>
      <c r="BA171" s="34"/>
      <c r="BB171" s="34"/>
      <c r="BC171" s="34">
        <v>0</v>
      </c>
      <c r="BD171" s="34"/>
      <c r="BE171" s="34"/>
      <c r="BF171" s="34" t="b">
        <v>0</v>
      </c>
      <c r="BG171" s="34"/>
      <c r="BH171" s="34"/>
      <c r="BI171" s="34"/>
      <c r="BJ171" s="34"/>
      <c r="BK171" s="34"/>
      <c r="BL171" s="34" t="s">
        <v>166</v>
      </c>
      <c r="BM171" s="34" t="s">
        <v>106</v>
      </c>
      <c r="BN171" s="34" t="s">
        <v>107</v>
      </c>
      <c r="BO171" s="35"/>
      <c r="BP171" s="35"/>
      <c r="BQ171" s="35" t="s">
        <v>108</v>
      </c>
      <c r="BR171" s="36" t="e">
        <f>VLOOKUP(BQ171, Cat_Indicadores!B:C, 2, FALSE)</f>
        <v>#N/A</v>
      </c>
      <c r="BS171" s="35" t="s">
        <v>5592</v>
      </c>
      <c r="BT171" s="35"/>
    </row>
    <row r="172" spans="1:72">
      <c r="A172" s="29" t="s">
        <v>840</v>
      </c>
      <c r="B172" s="30" t="s">
        <v>841</v>
      </c>
      <c r="C172" s="31">
        <v>46206.59480324074</v>
      </c>
      <c r="D172" s="30">
        <v>94</v>
      </c>
      <c r="E172" s="30" t="s">
        <v>74</v>
      </c>
      <c r="F172" s="30" t="s">
        <v>75</v>
      </c>
      <c r="G172" s="30" t="s">
        <v>76</v>
      </c>
      <c r="H172" s="30" t="s">
        <v>77</v>
      </c>
      <c r="I172" s="30" t="s">
        <v>78</v>
      </c>
      <c r="J172" s="30" t="s">
        <v>79</v>
      </c>
      <c r="K172" s="32">
        <v>12</v>
      </c>
      <c r="L172" s="32" t="s">
        <v>80</v>
      </c>
      <c r="M172" s="30" t="s">
        <v>842</v>
      </c>
      <c r="N172" s="30" t="s">
        <v>843</v>
      </c>
      <c r="O172" s="30" t="s">
        <v>83</v>
      </c>
      <c r="P172" s="33">
        <v>46185</v>
      </c>
      <c r="Q172" s="33">
        <v>46185</v>
      </c>
      <c r="R172" s="32">
        <v>1</v>
      </c>
      <c r="S172" s="30" t="s">
        <v>243</v>
      </c>
      <c r="T172" s="30" t="s">
        <v>662</v>
      </c>
      <c r="U172" s="30" t="s">
        <v>160</v>
      </c>
      <c r="V172" s="30" t="s">
        <v>87</v>
      </c>
      <c r="W172" s="30" t="s">
        <v>88</v>
      </c>
      <c r="X172" s="30" t="s">
        <v>197</v>
      </c>
      <c r="Y172" s="30">
        <v>26</v>
      </c>
      <c r="AB172" s="30" t="b">
        <v>0</v>
      </c>
      <c r="AC172" s="30"/>
      <c r="AD172" s="30" t="b">
        <v>0</v>
      </c>
      <c r="AF172" s="30" t="b">
        <v>0</v>
      </c>
      <c r="AH172" s="32" t="s">
        <v>91</v>
      </c>
      <c r="AI172" s="32"/>
      <c r="AJ172" s="32"/>
      <c r="AK172" s="32"/>
      <c r="AL172" s="30" t="s">
        <v>92</v>
      </c>
      <c r="AM172" s="30" t="s">
        <v>93</v>
      </c>
      <c r="AN172" s="30" t="s">
        <v>199</v>
      </c>
      <c r="AO172" s="30" t="s">
        <v>200</v>
      </c>
      <c r="AP172" s="30" t="s">
        <v>201</v>
      </c>
      <c r="AQ172" s="30" t="s">
        <v>202</v>
      </c>
      <c r="AR172" s="30" t="s">
        <v>145</v>
      </c>
      <c r="AT172" s="30" t="s">
        <v>99</v>
      </c>
      <c r="AU172" s="30" t="s">
        <v>146</v>
      </c>
      <c r="AV172" s="30" t="s">
        <v>839</v>
      </c>
      <c r="AW172" s="30" t="s">
        <v>102</v>
      </c>
      <c r="AX172" s="34" t="s">
        <v>160</v>
      </c>
      <c r="AY172" s="34" t="s">
        <v>149</v>
      </c>
      <c r="AZ172" s="34" t="s">
        <v>149</v>
      </c>
      <c r="BA172" s="34"/>
      <c r="BB172" s="34"/>
      <c r="BC172" s="34">
        <v>0</v>
      </c>
      <c r="BD172" s="34"/>
      <c r="BE172" s="34"/>
      <c r="BF172" s="34" t="b">
        <v>0</v>
      </c>
      <c r="BG172" s="34"/>
      <c r="BH172" s="34"/>
      <c r="BI172" s="34"/>
      <c r="BJ172" s="34"/>
      <c r="BK172" s="34"/>
      <c r="BL172" s="34" t="s">
        <v>166</v>
      </c>
      <c r="BM172" s="34" t="s">
        <v>106</v>
      </c>
      <c r="BN172" s="34" t="s">
        <v>107</v>
      </c>
      <c r="BO172" s="35"/>
      <c r="BP172" s="35"/>
      <c r="BQ172" s="35" t="s">
        <v>108</v>
      </c>
      <c r="BR172" s="36" t="e">
        <f>VLOOKUP(BQ172, Cat_Indicadores!B:C, 2, FALSE)</f>
        <v>#N/A</v>
      </c>
      <c r="BS172" s="35" t="s">
        <v>5592</v>
      </c>
      <c r="BT172" s="35"/>
    </row>
    <row r="173" spans="1:72">
      <c r="A173" s="29" t="s">
        <v>844</v>
      </c>
      <c r="B173" s="30" t="s">
        <v>845</v>
      </c>
      <c r="C173" s="31">
        <v>46206.601053240738</v>
      </c>
      <c r="D173" s="30">
        <v>94</v>
      </c>
      <c r="E173" s="30" t="s">
        <v>74</v>
      </c>
      <c r="F173" s="30" t="s">
        <v>75</v>
      </c>
      <c r="G173" s="30" t="s">
        <v>76</v>
      </c>
      <c r="H173" s="30" t="s">
        <v>77</v>
      </c>
      <c r="I173" s="30" t="s">
        <v>78</v>
      </c>
      <c r="J173" s="30" t="s">
        <v>79</v>
      </c>
      <c r="K173" s="32">
        <v>12</v>
      </c>
      <c r="L173" s="32" t="s">
        <v>80</v>
      </c>
      <c r="M173" s="30" t="s">
        <v>846</v>
      </c>
      <c r="N173" s="30" t="s">
        <v>846</v>
      </c>
      <c r="O173" s="30" t="s">
        <v>83</v>
      </c>
      <c r="P173" s="33">
        <v>46192</v>
      </c>
      <c r="Q173" s="33">
        <v>46192</v>
      </c>
      <c r="R173" s="32">
        <v>1</v>
      </c>
      <c r="S173" s="30" t="s">
        <v>243</v>
      </c>
      <c r="T173" s="30" t="s">
        <v>328</v>
      </c>
      <c r="U173" s="30" t="s">
        <v>184</v>
      </c>
      <c r="V173" s="30" t="s">
        <v>87</v>
      </c>
      <c r="W173" s="30" t="s">
        <v>88</v>
      </c>
      <c r="X173" s="30" t="s">
        <v>197</v>
      </c>
      <c r="Y173" s="30">
        <v>26</v>
      </c>
      <c r="AB173" s="30" t="b">
        <v>0</v>
      </c>
      <c r="AC173" s="30"/>
      <c r="AD173" s="30" t="b">
        <v>0</v>
      </c>
      <c r="AF173" s="30" t="b">
        <v>0</v>
      </c>
      <c r="AH173" s="32" t="s">
        <v>91</v>
      </c>
      <c r="AI173" s="32"/>
      <c r="AJ173" s="32"/>
      <c r="AK173" s="32"/>
      <c r="AL173" s="30" t="s">
        <v>92</v>
      </c>
      <c r="AM173" s="30" t="s">
        <v>93</v>
      </c>
      <c r="AN173" s="30" t="s">
        <v>199</v>
      </c>
      <c r="AO173" s="30" t="s">
        <v>200</v>
      </c>
      <c r="AP173" s="30" t="s">
        <v>201</v>
      </c>
      <c r="AQ173" s="30" t="s">
        <v>202</v>
      </c>
      <c r="AR173" s="30" t="s">
        <v>145</v>
      </c>
      <c r="AT173" s="30" t="s">
        <v>99</v>
      </c>
      <c r="AU173" s="30" t="s">
        <v>146</v>
      </c>
      <c r="AV173" s="30" t="s">
        <v>839</v>
      </c>
      <c r="AW173" s="30" t="s">
        <v>102</v>
      </c>
      <c r="AX173" s="34" t="s">
        <v>184</v>
      </c>
      <c r="AY173" s="34" t="s">
        <v>149</v>
      </c>
      <c r="AZ173" s="34" t="s">
        <v>149</v>
      </c>
      <c r="BA173" s="34"/>
      <c r="BB173" s="34"/>
      <c r="BC173" s="34">
        <v>0</v>
      </c>
      <c r="BD173" s="34"/>
      <c r="BE173" s="34"/>
      <c r="BF173" s="34" t="b">
        <v>0</v>
      </c>
      <c r="BG173" s="34"/>
      <c r="BH173" s="34"/>
      <c r="BI173" s="34"/>
      <c r="BJ173" s="34"/>
      <c r="BK173" s="34"/>
      <c r="BL173" s="34" t="s">
        <v>166</v>
      </c>
      <c r="BM173" s="34" t="s">
        <v>106</v>
      </c>
      <c r="BN173" s="34" t="s">
        <v>107</v>
      </c>
      <c r="BO173" s="35"/>
      <c r="BP173" s="35"/>
      <c r="BQ173" s="35" t="s">
        <v>108</v>
      </c>
      <c r="BR173" s="36" t="e">
        <f>VLOOKUP(BQ173, Cat_Indicadores!B:C, 2, FALSE)</f>
        <v>#N/A</v>
      </c>
      <c r="BS173" s="35" t="s">
        <v>5592</v>
      </c>
      <c r="BT173" s="35"/>
    </row>
    <row r="174" spans="1:72">
      <c r="A174" s="29" t="s">
        <v>847</v>
      </c>
      <c r="B174" s="30" t="s">
        <v>848</v>
      </c>
      <c r="C174" s="31">
        <v>46206.608194444445</v>
      </c>
      <c r="D174" s="30">
        <v>94</v>
      </c>
      <c r="E174" s="30" t="s">
        <v>74</v>
      </c>
      <c r="F174" s="30" t="s">
        <v>75</v>
      </c>
      <c r="G174" s="30" t="s">
        <v>76</v>
      </c>
      <c r="H174" s="30" t="s">
        <v>77</v>
      </c>
      <c r="I174" s="30" t="s">
        <v>78</v>
      </c>
      <c r="J174" s="30" t="s">
        <v>79</v>
      </c>
      <c r="K174" s="32">
        <v>12</v>
      </c>
      <c r="L174" s="32" t="s">
        <v>211</v>
      </c>
      <c r="M174" s="30" t="s">
        <v>849</v>
      </c>
      <c r="N174" s="30" t="s">
        <v>812</v>
      </c>
      <c r="O174" s="30" t="s">
        <v>581</v>
      </c>
      <c r="P174" s="33">
        <v>46179</v>
      </c>
      <c r="Q174" s="33">
        <v>46200</v>
      </c>
      <c r="R174" s="32">
        <v>4</v>
      </c>
      <c r="S174" s="30" t="s">
        <v>84</v>
      </c>
      <c r="T174" s="30" t="s">
        <v>337</v>
      </c>
      <c r="U174" s="30" t="s">
        <v>86</v>
      </c>
      <c r="V174" s="30" t="s">
        <v>87</v>
      </c>
      <c r="W174" s="30" t="s">
        <v>88</v>
      </c>
      <c r="X174" s="30" t="s">
        <v>197</v>
      </c>
      <c r="Y174" s="30">
        <v>26</v>
      </c>
      <c r="AB174" s="30" t="b">
        <v>0</v>
      </c>
      <c r="AC174" s="30"/>
      <c r="AD174" s="30" t="b">
        <v>0</v>
      </c>
      <c r="AF174" s="30" t="b">
        <v>0</v>
      </c>
      <c r="AH174" s="32" t="s">
        <v>91</v>
      </c>
      <c r="AI174" s="32"/>
      <c r="AJ174" s="32"/>
      <c r="AK174" s="32"/>
      <c r="AL174" s="30" t="s">
        <v>92</v>
      </c>
      <c r="AM174" s="30" t="s">
        <v>93</v>
      </c>
      <c r="AN174" s="30" t="s">
        <v>199</v>
      </c>
      <c r="AO174" s="30" t="s">
        <v>200</v>
      </c>
      <c r="AP174" s="30" t="s">
        <v>201</v>
      </c>
      <c r="AQ174" s="30" t="s">
        <v>202</v>
      </c>
      <c r="AR174" s="30" t="s">
        <v>145</v>
      </c>
      <c r="AT174" s="30" t="s">
        <v>226</v>
      </c>
      <c r="AU174" s="30" t="s">
        <v>204</v>
      </c>
      <c r="AV174" s="30" t="s">
        <v>227</v>
      </c>
      <c r="AW174" s="30" t="s">
        <v>206</v>
      </c>
      <c r="AX174" s="34" t="s">
        <v>86</v>
      </c>
      <c r="AY174" s="34" t="s">
        <v>149</v>
      </c>
      <c r="AZ174" s="34" t="s">
        <v>149</v>
      </c>
      <c r="BA174" s="34"/>
      <c r="BB174" s="34"/>
      <c r="BC174" s="34">
        <v>0</v>
      </c>
      <c r="BD174" s="34"/>
      <c r="BE174" s="34"/>
      <c r="BF174" s="34" t="b">
        <v>0</v>
      </c>
      <c r="BG174" s="34"/>
      <c r="BH174" s="34"/>
      <c r="BI174" s="34"/>
      <c r="BJ174" s="34"/>
      <c r="BK174" s="34"/>
      <c r="BL174" s="34" t="s">
        <v>166</v>
      </c>
      <c r="BM174" s="34" t="s">
        <v>106</v>
      </c>
      <c r="BN174" s="34" t="s">
        <v>107</v>
      </c>
      <c r="BO174" s="35"/>
      <c r="BP174" s="35"/>
      <c r="BQ174" s="35" t="s">
        <v>108</v>
      </c>
      <c r="BR174" s="36" t="e">
        <f>VLOOKUP(BQ174, Cat_Indicadores!B:C, 2, FALSE)</f>
        <v>#N/A</v>
      </c>
      <c r="BS174" s="35" t="s">
        <v>5592</v>
      </c>
      <c r="BT174" s="35"/>
    </row>
    <row r="175" spans="1:72">
      <c r="A175" s="29" t="s">
        <v>850</v>
      </c>
      <c r="B175" s="30" t="s">
        <v>851</v>
      </c>
      <c r="C175" s="31">
        <v>46206.616550925923</v>
      </c>
      <c r="D175" s="30">
        <v>94</v>
      </c>
      <c r="E175" s="30" t="s">
        <v>74</v>
      </c>
      <c r="F175" s="30" t="s">
        <v>75</v>
      </c>
      <c r="G175" s="30" t="s">
        <v>76</v>
      </c>
      <c r="H175" s="30" t="s">
        <v>77</v>
      </c>
      <c r="I175" s="30" t="s">
        <v>78</v>
      </c>
      <c r="J175" s="30" t="s">
        <v>79</v>
      </c>
      <c r="K175" s="32">
        <v>12</v>
      </c>
      <c r="L175" s="32" t="s">
        <v>211</v>
      </c>
      <c r="M175" s="30" t="s">
        <v>815</v>
      </c>
      <c r="N175" s="30" t="s">
        <v>816</v>
      </c>
      <c r="O175" s="30" t="s">
        <v>581</v>
      </c>
      <c r="P175" s="33">
        <v>46176</v>
      </c>
      <c r="Q175" s="33">
        <v>46197</v>
      </c>
      <c r="R175" s="32">
        <v>1</v>
      </c>
      <c r="S175" s="30" t="s">
        <v>84</v>
      </c>
      <c r="T175" s="30" t="s">
        <v>337</v>
      </c>
      <c r="U175" s="30" t="s">
        <v>86</v>
      </c>
      <c r="V175" s="30" t="s">
        <v>87</v>
      </c>
      <c r="W175" s="30" t="s">
        <v>88</v>
      </c>
      <c r="X175" s="30" t="s">
        <v>197</v>
      </c>
      <c r="Y175" s="30">
        <v>26</v>
      </c>
      <c r="AB175" s="30" t="b">
        <v>0</v>
      </c>
      <c r="AC175" s="30"/>
      <c r="AD175" s="30" t="b">
        <v>0</v>
      </c>
      <c r="AF175" s="30" t="b">
        <v>0</v>
      </c>
      <c r="AH175" s="32" t="s">
        <v>91</v>
      </c>
      <c r="AI175" s="32"/>
      <c r="AJ175" s="32"/>
      <c r="AK175" s="32"/>
      <c r="AL175" s="30" t="s">
        <v>92</v>
      </c>
      <c r="AM175" s="30" t="s">
        <v>93</v>
      </c>
      <c r="AN175" s="30" t="s">
        <v>199</v>
      </c>
      <c r="AO175" s="30" t="s">
        <v>200</v>
      </c>
      <c r="AP175" s="30" t="s">
        <v>201</v>
      </c>
      <c r="AQ175" s="30" t="s">
        <v>202</v>
      </c>
      <c r="AR175" s="30" t="s">
        <v>145</v>
      </c>
      <c r="AT175" s="30" t="s">
        <v>226</v>
      </c>
      <c r="AU175" s="30" t="s">
        <v>204</v>
      </c>
      <c r="AV175" s="30" t="s">
        <v>227</v>
      </c>
      <c r="AW175" s="30" t="s">
        <v>206</v>
      </c>
      <c r="AX175" s="34" t="s">
        <v>86</v>
      </c>
      <c r="AY175" s="34" t="s">
        <v>149</v>
      </c>
      <c r="AZ175" s="34" t="s">
        <v>149</v>
      </c>
      <c r="BA175" s="34"/>
      <c r="BB175" s="34"/>
      <c r="BC175" s="34">
        <v>0</v>
      </c>
      <c r="BD175" s="34"/>
      <c r="BE175" s="34"/>
      <c r="BF175" s="34" t="b">
        <v>0</v>
      </c>
      <c r="BG175" s="34"/>
      <c r="BH175" s="34"/>
      <c r="BI175" s="34"/>
      <c r="BJ175" s="34"/>
      <c r="BK175" s="34"/>
      <c r="BL175" s="34" t="s">
        <v>166</v>
      </c>
      <c r="BM175" s="34" t="s">
        <v>106</v>
      </c>
      <c r="BN175" s="34" t="s">
        <v>107</v>
      </c>
      <c r="BO175" s="35"/>
      <c r="BP175" s="35"/>
      <c r="BQ175" s="35" t="s">
        <v>108</v>
      </c>
      <c r="BR175" s="36" t="e">
        <f>VLOOKUP(BQ175, Cat_Indicadores!B:C, 2, FALSE)</f>
        <v>#N/A</v>
      </c>
      <c r="BS175" s="35" t="s">
        <v>5592</v>
      </c>
      <c r="BT175" s="35"/>
    </row>
    <row r="176" spans="1:72">
      <c r="A176" s="29" t="s">
        <v>852</v>
      </c>
      <c r="B176" s="30" t="s">
        <v>853</v>
      </c>
      <c r="C176" s="31">
        <v>46206.626446759263</v>
      </c>
      <c r="D176" s="30">
        <v>94</v>
      </c>
      <c r="E176" s="30" t="s">
        <v>74</v>
      </c>
      <c r="F176" s="30" t="s">
        <v>75</v>
      </c>
      <c r="G176" s="30" t="s">
        <v>76</v>
      </c>
      <c r="H176" s="30" t="s">
        <v>77</v>
      </c>
      <c r="I176" s="30" t="s">
        <v>78</v>
      </c>
      <c r="J176" s="30" t="s">
        <v>79</v>
      </c>
      <c r="K176" s="32">
        <v>12</v>
      </c>
      <c r="L176" s="32" t="s">
        <v>211</v>
      </c>
      <c r="M176" s="30" t="s">
        <v>819</v>
      </c>
      <c r="N176" s="30" t="s">
        <v>854</v>
      </c>
      <c r="O176" s="30" t="s">
        <v>581</v>
      </c>
      <c r="P176" s="33">
        <v>46177</v>
      </c>
      <c r="Q176" s="33">
        <v>46198</v>
      </c>
      <c r="R176" s="32">
        <v>4</v>
      </c>
      <c r="S176" s="30" t="s">
        <v>84</v>
      </c>
      <c r="T176" s="30" t="s">
        <v>337</v>
      </c>
      <c r="U176" s="30" t="s">
        <v>86</v>
      </c>
      <c r="V176" s="30" t="s">
        <v>87</v>
      </c>
      <c r="W176" s="30" t="s">
        <v>88</v>
      </c>
      <c r="X176" s="30" t="s">
        <v>197</v>
      </c>
      <c r="Y176" s="30">
        <v>26</v>
      </c>
      <c r="AB176" s="30" t="b">
        <v>0</v>
      </c>
      <c r="AC176" s="30"/>
      <c r="AD176" s="30" t="b">
        <v>0</v>
      </c>
      <c r="AF176" s="30" t="b">
        <v>0</v>
      </c>
      <c r="AH176" s="32" t="s">
        <v>91</v>
      </c>
      <c r="AI176" s="32"/>
      <c r="AJ176" s="32"/>
      <c r="AK176" s="32"/>
      <c r="AL176" s="30" t="s">
        <v>92</v>
      </c>
      <c r="AM176" s="30" t="s">
        <v>93</v>
      </c>
      <c r="AN176" s="30" t="s">
        <v>199</v>
      </c>
      <c r="AO176" s="30" t="s">
        <v>200</v>
      </c>
      <c r="AP176" s="30" t="s">
        <v>201</v>
      </c>
      <c r="AQ176" s="30" t="s">
        <v>202</v>
      </c>
      <c r="AR176" s="30" t="s">
        <v>145</v>
      </c>
      <c r="AT176" s="30" t="s">
        <v>226</v>
      </c>
      <c r="AU176" s="30" t="s">
        <v>204</v>
      </c>
      <c r="AV176" s="30" t="s">
        <v>227</v>
      </c>
      <c r="AW176" s="30" t="s">
        <v>206</v>
      </c>
      <c r="AX176" s="34" t="s">
        <v>86</v>
      </c>
      <c r="AY176" s="34" t="s">
        <v>149</v>
      </c>
      <c r="AZ176" s="34" t="s">
        <v>149</v>
      </c>
      <c r="BA176" s="34"/>
      <c r="BB176" s="34"/>
      <c r="BC176" s="34">
        <v>0</v>
      </c>
      <c r="BD176" s="34"/>
      <c r="BE176" s="34"/>
      <c r="BF176" s="34" t="b">
        <v>0</v>
      </c>
      <c r="BG176" s="34"/>
      <c r="BH176" s="34"/>
      <c r="BI176" s="34"/>
      <c r="BJ176" s="34"/>
      <c r="BK176" s="34"/>
      <c r="BL176" s="34" t="s">
        <v>166</v>
      </c>
      <c r="BM176" s="34" t="s">
        <v>106</v>
      </c>
      <c r="BN176" s="34" t="s">
        <v>107</v>
      </c>
      <c r="BO176" s="35"/>
      <c r="BP176" s="35"/>
      <c r="BQ176" s="35" t="s">
        <v>108</v>
      </c>
      <c r="BR176" s="36" t="e">
        <f>VLOOKUP(BQ176, Cat_Indicadores!B:C, 2, FALSE)</f>
        <v>#N/A</v>
      </c>
      <c r="BS176" s="35" t="s">
        <v>5592</v>
      </c>
      <c r="BT176" s="35"/>
    </row>
    <row r="177" spans="1:72">
      <c r="A177" s="29" t="s">
        <v>855</v>
      </c>
      <c r="B177" s="30" t="s">
        <v>856</v>
      </c>
      <c r="C177" s="31">
        <v>46206.635671296295</v>
      </c>
      <c r="D177" s="30">
        <v>94</v>
      </c>
      <c r="E177" s="30" t="s">
        <v>74</v>
      </c>
      <c r="F177" s="30" t="s">
        <v>75</v>
      </c>
      <c r="G177" s="30" t="s">
        <v>76</v>
      </c>
      <c r="H177" s="30" t="s">
        <v>77</v>
      </c>
      <c r="I177" s="30" t="s">
        <v>78</v>
      </c>
      <c r="J177" s="30" t="s">
        <v>79</v>
      </c>
      <c r="K177" s="32">
        <v>12</v>
      </c>
      <c r="L177" s="32" t="s">
        <v>80</v>
      </c>
      <c r="M177" s="30" t="s">
        <v>823</v>
      </c>
      <c r="N177" s="30" t="s">
        <v>857</v>
      </c>
      <c r="O177" s="30" t="s">
        <v>83</v>
      </c>
      <c r="P177" s="33">
        <v>46182</v>
      </c>
      <c r="Q177" s="33">
        <v>46182</v>
      </c>
      <c r="R177" s="32">
        <v>1</v>
      </c>
      <c r="S177" s="30" t="s">
        <v>84</v>
      </c>
      <c r="T177" s="30" t="s">
        <v>337</v>
      </c>
      <c r="U177" s="30" t="s">
        <v>349</v>
      </c>
      <c r="V177" s="30" t="s">
        <v>87</v>
      </c>
      <c r="W177" s="30" t="s">
        <v>88</v>
      </c>
      <c r="X177" s="30" t="s">
        <v>197</v>
      </c>
      <c r="Y177" s="30">
        <v>26</v>
      </c>
      <c r="AB177" s="30" t="b">
        <v>0</v>
      </c>
      <c r="AC177" s="30"/>
      <c r="AD177" s="30" t="b">
        <v>0</v>
      </c>
      <c r="AF177" s="30" t="b">
        <v>0</v>
      </c>
      <c r="AH177" s="32" t="s">
        <v>91</v>
      </c>
      <c r="AI177" s="32"/>
      <c r="AJ177" s="32"/>
      <c r="AK177" s="32"/>
      <c r="AL177" s="30" t="s">
        <v>92</v>
      </c>
      <c r="AM177" s="30" t="s">
        <v>93</v>
      </c>
      <c r="AN177" s="30" t="s">
        <v>199</v>
      </c>
      <c r="AO177" s="30" t="s">
        <v>200</v>
      </c>
      <c r="AP177" s="30" t="s">
        <v>201</v>
      </c>
      <c r="AQ177" s="30" t="s">
        <v>202</v>
      </c>
      <c r="AR177" s="30" t="s">
        <v>145</v>
      </c>
      <c r="AT177" s="30" t="s">
        <v>226</v>
      </c>
      <c r="AU177" s="30" t="s">
        <v>204</v>
      </c>
      <c r="AV177" s="30" t="s">
        <v>227</v>
      </c>
      <c r="AW177" s="30" t="s">
        <v>206</v>
      </c>
      <c r="AX177" s="34" t="s">
        <v>349</v>
      </c>
      <c r="AY177" s="34" t="s">
        <v>149</v>
      </c>
      <c r="AZ177" s="34" t="s">
        <v>149</v>
      </c>
      <c r="BA177" s="34"/>
      <c r="BB177" s="34"/>
      <c r="BC177" s="34">
        <v>0</v>
      </c>
      <c r="BD177" s="34"/>
      <c r="BE177" s="34"/>
      <c r="BF177" s="34" t="b">
        <v>0</v>
      </c>
      <c r="BG177" s="34"/>
      <c r="BH177" s="34"/>
      <c r="BI177" s="34"/>
      <c r="BJ177" s="34"/>
      <c r="BK177" s="34"/>
      <c r="BL177" s="34"/>
      <c r="BM177" s="34" t="s">
        <v>168</v>
      </c>
      <c r="BN177" s="34"/>
      <c r="BO177" s="35"/>
      <c r="BP177" s="35"/>
      <c r="BQ177" s="35" t="s">
        <v>108</v>
      </c>
      <c r="BR177" s="36" t="e">
        <f>VLOOKUP(BQ177, Cat_Indicadores!B:C, 2, FALSE)</f>
        <v>#N/A</v>
      </c>
      <c r="BS177" s="35" t="s">
        <v>5592</v>
      </c>
      <c r="BT177" s="35"/>
    </row>
    <row r="178" spans="1:72">
      <c r="A178" s="29" t="s">
        <v>858</v>
      </c>
      <c r="B178" s="30" t="s">
        <v>859</v>
      </c>
      <c r="C178" s="31">
        <v>46206.639027777775</v>
      </c>
      <c r="D178" s="30">
        <v>94</v>
      </c>
      <c r="E178" s="30" t="s">
        <v>74</v>
      </c>
      <c r="F178" s="30" t="s">
        <v>75</v>
      </c>
      <c r="G178" s="30" t="s">
        <v>76</v>
      </c>
      <c r="H178" s="30" t="s">
        <v>77</v>
      </c>
      <c r="I178" s="30" t="s">
        <v>78</v>
      </c>
      <c r="J178" s="30" t="s">
        <v>79</v>
      </c>
      <c r="K178" s="32">
        <v>12</v>
      </c>
      <c r="L178" s="32" t="s">
        <v>80</v>
      </c>
      <c r="M178" s="30" t="s">
        <v>860</v>
      </c>
      <c r="N178" s="30" t="s">
        <v>860</v>
      </c>
      <c r="O178" s="30" t="s">
        <v>83</v>
      </c>
      <c r="P178" s="33">
        <v>46185</v>
      </c>
      <c r="Q178" s="33">
        <v>46185</v>
      </c>
      <c r="R178" s="32">
        <v>1</v>
      </c>
      <c r="S178" s="30" t="s">
        <v>84</v>
      </c>
      <c r="T178" s="30" t="s">
        <v>337</v>
      </c>
      <c r="U178" s="30" t="s">
        <v>349</v>
      </c>
      <c r="V178" s="30" t="s">
        <v>87</v>
      </c>
      <c r="W178" s="30" t="s">
        <v>88</v>
      </c>
      <c r="X178" s="30" t="s">
        <v>197</v>
      </c>
      <c r="Y178" s="30">
        <v>26</v>
      </c>
      <c r="AB178" s="30" t="b">
        <v>0</v>
      </c>
      <c r="AC178" s="30"/>
      <c r="AD178" s="30" t="b">
        <v>0</v>
      </c>
      <c r="AF178" s="30" t="b">
        <v>0</v>
      </c>
      <c r="AH178" s="32" t="s">
        <v>91</v>
      </c>
      <c r="AI178" s="32"/>
      <c r="AJ178" s="32"/>
      <c r="AK178" s="32"/>
      <c r="AL178" s="30" t="s">
        <v>92</v>
      </c>
      <c r="AM178" s="30" t="s">
        <v>93</v>
      </c>
      <c r="AN178" s="30" t="s">
        <v>199</v>
      </c>
      <c r="AO178" s="30" t="s">
        <v>200</v>
      </c>
      <c r="AP178" s="30" t="s">
        <v>201</v>
      </c>
      <c r="AQ178" s="30" t="s">
        <v>202</v>
      </c>
      <c r="AR178" s="30" t="s">
        <v>145</v>
      </c>
      <c r="AT178" s="30" t="s">
        <v>226</v>
      </c>
      <c r="AU178" s="30" t="s">
        <v>204</v>
      </c>
      <c r="AV178" s="30" t="s">
        <v>227</v>
      </c>
      <c r="AW178" s="30" t="s">
        <v>206</v>
      </c>
      <c r="AX178" s="34" t="s">
        <v>349</v>
      </c>
      <c r="AY178" s="34" t="s">
        <v>149</v>
      </c>
      <c r="AZ178" s="34" t="s">
        <v>149</v>
      </c>
      <c r="BA178" s="34"/>
      <c r="BB178" s="34"/>
      <c r="BC178" s="34">
        <v>0</v>
      </c>
      <c r="BD178" s="34"/>
      <c r="BE178" s="34"/>
      <c r="BF178" s="34" t="b">
        <v>0</v>
      </c>
      <c r="BG178" s="34"/>
      <c r="BH178" s="34"/>
      <c r="BI178" s="34"/>
      <c r="BJ178" s="34"/>
      <c r="BK178" s="34"/>
      <c r="BL178" s="34"/>
      <c r="BM178" s="34" t="s">
        <v>168</v>
      </c>
      <c r="BN178" s="34"/>
      <c r="BO178" s="35"/>
      <c r="BP178" s="35"/>
      <c r="BQ178" s="35" t="s">
        <v>108</v>
      </c>
      <c r="BR178" s="36" t="e">
        <f>VLOOKUP(BQ178, Cat_Indicadores!B:C, 2, FALSE)</f>
        <v>#N/A</v>
      </c>
      <c r="BS178" s="35" t="s">
        <v>5592</v>
      </c>
      <c r="BT178" s="35"/>
    </row>
    <row r="179" spans="1:72">
      <c r="A179" s="29" t="s">
        <v>861</v>
      </c>
      <c r="B179" s="30" t="s">
        <v>862</v>
      </c>
      <c r="C179" s="31">
        <v>46206.646840277775</v>
      </c>
      <c r="D179" s="30">
        <v>94</v>
      </c>
      <c r="E179" s="30" t="s">
        <v>74</v>
      </c>
      <c r="F179" s="30" t="s">
        <v>75</v>
      </c>
      <c r="G179" s="30" t="s">
        <v>76</v>
      </c>
      <c r="H179" s="30" t="s">
        <v>77</v>
      </c>
      <c r="I179" s="30" t="s">
        <v>78</v>
      </c>
      <c r="J179" s="30" t="s">
        <v>79</v>
      </c>
      <c r="K179" s="32">
        <v>12</v>
      </c>
      <c r="L179" s="32" t="s">
        <v>80</v>
      </c>
      <c r="M179" s="30" t="s">
        <v>863</v>
      </c>
      <c r="N179" s="30" t="s">
        <v>863</v>
      </c>
      <c r="O179" s="30" t="s">
        <v>83</v>
      </c>
      <c r="P179" s="33">
        <v>46190</v>
      </c>
      <c r="Q179" s="33">
        <v>46190</v>
      </c>
      <c r="R179" s="32">
        <v>1</v>
      </c>
      <c r="S179" s="30" t="s">
        <v>84</v>
      </c>
      <c r="T179" s="30" t="s">
        <v>337</v>
      </c>
      <c r="U179" s="30" t="s">
        <v>349</v>
      </c>
      <c r="V179" s="30" t="s">
        <v>87</v>
      </c>
      <c r="W179" s="30" t="s">
        <v>88</v>
      </c>
      <c r="X179" s="30" t="s">
        <v>197</v>
      </c>
      <c r="Y179" s="30">
        <v>26</v>
      </c>
      <c r="AB179" s="30" t="b">
        <v>0</v>
      </c>
      <c r="AC179" s="30"/>
      <c r="AD179" s="30" t="b">
        <v>0</v>
      </c>
      <c r="AF179" s="30" t="b">
        <v>0</v>
      </c>
      <c r="AH179" s="32" t="s">
        <v>91</v>
      </c>
      <c r="AI179" s="32"/>
      <c r="AJ179" s="32"/>
      <c r="AK179" s="32"/>
      <c r="AL179" s="30" t="s">
        <v>92</v>
      </c>
      <c r="AM179" s="30" t="s">
        <v>93</v>
      </c>
      <c r="AN179" s="30" t="s">
        <v>199</v>
      </c>
      <c r="AO179" s="30" t="s">
        <v>200</v>
      </c>
      <c r="AP179" s="30" t="s">
        <v>201</v>
      </c>
      <c r="AQ179" s="30" t="s">
        <v>202</v>
      </c>
      <c r="AR179" s="30" t="s">
        <v>145</v>
      </c>
      <c r="AT179" s="30" t="s">
        <v>226</v>
      </c>
      <c r="AU179" s="30" t="s">
        <v>204</v>
      </c>
      <c r="AV179" s="30" t="s">
        <v>227</v>
      </c>
      <c r="AW179" s="30" t="s">
        <v>206</v>
      </c>
      <c r="AX179" s="34" t="s">
        <v>349</v>
      </c>
      <c r="AY179" s="34" t="s">
        <v>149</v>
      </c>
      <c r="AZ179" s="34" t="s">
        <v>149</v>
      </c>
      <c r="BA179" s="34"/>
      <c r="BB179" s="34"/>
      <c r="BC179" s="34">
        <v>0</v>
      </c>
      <c r="BD179" s="34"/>
      <c r="BE179" s="34"/>
      <c r="BF179" s="34" t="b">
        <v>0</v>
      </c>
      <c r="BG179" s="34"/>
      <c r="BH179" s="34"/>
      <c r="BI179" s="34"/>
      <c r="BJ179" s="34"/>
      <c r="BK179" s="34"/>
      <c r="BL179" s="34"/>
      <c r="BM179" s="34" t="s">
        <v>168</v>
      </c>
      <c r="BN179" s="34"/>
      <c r="BO179" s="35"/>
      <c r="BP179" s="35"/>
      <c r="BQ179" s="35" t="s">
        <v>108</v>
      </c>
      <c r="BR179" s="36" t="e">
        <f>VLOOKUP(BQ179, Cat_Indicadores!B:C, 2, FALSE)</f>
        <v>#N/A</v>
      </c>
      <c r="BS179" s="35" t="s">
        <v>5592</v>
      </c>
      <c r="BT179" s="35"/>
    </row>
    <row r="180" spans="1:72">
      <c r="A180" s="29" t="s">
        <v>864</v>
      </c>
      <c r="B180" s="30" t="s">
        <v>865</v>
      </c>
      <c r="C180" s="31">
        <v>46206.649710648147</v>
      </c>
      <c r="D180" s="30">
        <v>93</v>
      </c>
      <c r="E180" s="30" t="s">
        <v>74</v>
      </c>
      <c r="F180" s="30" t="s">
        <v>75</v>
      </c>
      <c r="G180" s="30" t="s">
        <v>595</v>
      </c>
      <c r="H180" s="30" t="s">
        <v>77</v>
      </c>
      <c r="I180" s="30" t="s">
        <v>78</v>
      </c>
      <c r="J180" s="30" t="s">
        <v>79</v>
      </c>
      <c r="K180" s="32">
        <v>10</v>
      </c>
      <c r="L180" s="32" t="s">
        <v>211</v>
      </c>
      <c r="M180" s="30" t="s">
        <v>866</v>
      </c>
      <c r="N180" s="30" t="s">
        <v>867</v>
      </c>
      <c r="O180" s="30" t="s">
        <v>661</v>
      </c>
      <c r="P180" s="33">
        <v>46186</v>
      </c>
      <c r="Q180" s="33">
        <v>46210</v>
      </c>
      <c r="R180" s="32">
        <v>1</v>
      </c>
      <c r="S180" s="30" t="s">
        <v>243</v>
      </c>
      <c r="T180" s="30" t="s">
        <v>662</v>
      </c>
      <c r="U180" s="30" t="s">
        <v>216</v>
      </c>
      <c r="V180" s="30" t="s">
        <v>87</v>
      </c>
      <c r="W180" s="30" t="s">
        <v>88</v>
      </c>
      <c r="X180" s="30" t="s">
        <v>89</v>
      </c>
      <c r="Z180" s="30" t="s">
        <v>868</v>
      </c>
      <c r="AB180" s="30" t="b">
        <v>0</v>
      </c>
      <c r="AC180" s="30"/>
      <c r="AD180" s="30" t="b">
        <v>1</v>
      </c>
      <c r="AE180" s="30">
        <v>1</v>
      </c>
      <c r="AF180" s="30" t="b">
        <v>0</v>
      </c>
      <c r="AH180" s="32" t="s">
        <v>91</v>
      </c>
      <c r="AI180" s="32"/>
      <c r="AJ180" s="32"/>
      <c r="AK180" s="32"/>
      <c r="AL180" s="30" t="s">
        <v>92</v>
      </c>
      <c r="AM180" s="30" t="s">
        <v>664</v>
      </c>
      <c r="AN180" s="30" t="s">
        <v>94</v>
      </c>
      <c r="AO180" s="30" t="s">
        <v>142</v>
      </c>
      <c r="AP180" s="30" t="s">
        <v>143</v>
      </c>
      <c r="AQ180" s="30" t="s">
        <v>144</v>
      </c>
      <c r="AR180" s="30" t="s">
        <v>97</v>
      </c>
      <c r="AS180" s="30" t="s">
        <v>98</v>
      </c>
      <c r="AT180" s="30" t="s">
        <v>99</v>
      </c>
      <c r="AU180" s="30" t="s">
        <v>100</v>
      </c>
      <c r="AV180" s="30" t="s">
        <v>665</v>
      </c>
      <c r="AW180" s="30" t="s">
        <v>102</v>
      </c>
      <c r="AX180" s="34" t="s">
        <v>216</v>
      </c>
      <c r="AY180" s="34" t="s">
        <v>167</v>
      </c>
      <c r="AZ180" s="34"/>
      <c r="BA180" s="34"/>
      <c r="BB180" s="34"/>
      <c r="BC180" s="34">
        <v>0</v>
      </c>
      <c r="BD180" s="34"/>
      <c r="BE180" s="34"/>
      <c r="BF180" s="34" t="b">
        <v>0</v>
      </c>
      <c r="BG180" s="34"/>
      <c r="BH180" s="34"/>
      <c r="BI180" s="34"/>
      <c r="BJ180" s="34"/>
      <c r="BK180" s="34"/>
      <c r="BL180" s="34"/>
      <c r="BM180" s="34" t="s">
        <v>106</v>
      </c>
      <c r="BN180" s="34" t="s">
        <v>107</v>
      </c>
      <c r="BO180" s="35"/>
      <c r="BP180" s="35"/>
      <c r="BQ180" s="35" t="s">
        <v>108</v>
      </c>
      <c r="BR180" s="36" t="e">
        <f>VLOOKUP(BQ180, Cat_Indicadores!B:C, 2, FALSE)</f>
        <v>#N/A</v>
      </c>
      <c r="BS180" s="35" t="s">
        <v>5592</v>
      </c>
      <c r="BT180" s="35"/>
    </row>
    <row r="181" spans="1:72">
      <c r="A181" s="29" t="s">
        <v>869</v>
      </c>
      <c r="B181" s="30" t="s">
        <v>870</v>
      </c>
      <c r="C181" s="31">
        <v>46206.6559837963</v>
      </c>
      <c r="D181" s="30">
        <v>93</v>
      </c>
      <c r="E181" s="30" t="s">
        <v>74</v>
      </c>
      <c r="F181" s="30" t="s">
        <v>75</v>
      </c>
      <c r="G181" s="30" t="s">
        <v>595</v>
      </c>
      <c r="H181" s="30" t="s">
        <v>77</v>
      </c>
      <c r="I181" s="30" t="s">
        <v>78</v>
      </c>
      <c r="J181" s="30" t="s">
        <v>79</v>
      </c>
      <c r="K181" s="32">
        <v>10</v>
      </c>
      <c r="L181" s="32" t="s">
        <v>211</v>
      </c>
      <c r="M181" s="30" t="s">
        <v>871</v>
      </c>
      <c r="N181" s="30" t="s">
        <v>872</v>
      </c>
      <c r="O181" s="30" t="s">
        <v>661</v>
      </c>
      <c r="P181" s="33">
        <v>46184</v>
      </c>
      <c r="Q181" s="33">
        <v>46213</v>
      </c>
      <c r="R181" s="32">
        <v>29</v>
      </c>
      <c r="S181" s="30" t="s">
        <v>243</v>
      </c>
      <c r="T181" s="30" t="s">
        <v>662</v>
      </c>
      <c r="U181" s="30" t="s">
        <v>216</v>
      </c>
      <c r="V181" s="30" t="s">
        <v>87</v>
      </c>
      <c r="W181" s="30" t="s">
        <v>88</v>
      </c>
      <c r="X181" s="30" t="s">
        <v>89</v>
      </c>
      <c r="Z181" s="30" t="s">
        <v>873</v>
      </c>
      <c r="AB181" s="30" t="b">
        <v>0</v>
      </c>
      <c r="AC181" s="30"/>
      <c r="AD181" s="30" t="b">
        <v>1</v>
      </c>
      <c r="AE181" s="30">
        <v>1</v>
      </c>
      <c r="AF181" s="30" t="b">
        <v>0</v>
      </c>
      <c r="AH181" s="32" t="s">
        <v>91</v>
      </c>
      <c r="AI181" s="32"/>
      <c r="AJ181" s="32"/>
      <c r="AK181" s="32"/>
      <c r="AL181" s="30" t="s">
        <v>92</v>
      </c>
      <c r="AM181" s="30" t="s">
        <v>664</v>
      </c>
      <c r="AN181" s="30" t="s">
        <v>94</v>
      </c>
      <c r="AO181" s="30" t="s">
        <v>142</v>
      </c>
      <c r="AP181" s="30" t="s">
        <v>143</v>
      </c>
      <c r="AQ181" s="30" t="s">
        <v>144</v>
      </c>
      <c r="AR181" s="30" t="s">
        <v>97</v>
      </c>
      <c r="AS181" s="30" t="s">
        <v>98</v>
      </c>
      <c r="AT181" s="30" t="s">
        <v>99</v>
      </c>
      <c r="AU181" s="30" t="s">
        <v>100</v>
      </c>
      <c r="AV181" s="30" t="s">
        <v>665</v>
      </c>
      <c r="AW181" s="30" t="s">
        <v>102</v>
      </c>
      <c r="AX181" s="34" t="s">
        <v>216</v>
      </c>
      <c r="AY181" s="34" t="s">
        <v>167</v>
      </c>
      <c r="AZ181" s="34"/>
      <c r="BA181" s="34"/>
      <c r="BB181" s="34"/>
      <c r="BC181" s="34">
        <v>0</v>
      </c>
      <c r="BD181" s="34"/>
      <c r="BE181" s="34"/>
      <c r="BF181" s="34" t="b">
        <v>0</v>
      </c>
      <c r="BG181" s="34"/>
      <c r="BH181" s="34"/>
      <c r="BI181" s="34"/>
      <c r="BJ181" s="34"/>
      <c r="BK181" s="34"/>
      <c r="BL181" s="34"/>
      <c r="BM181" s="34" t="s">
        <v>106</v>
      </c>
      <c r="BN181" s="34" t="s">
        <v>107</v>
      </c>
      <c r="BO181" s="35"/>
      <c r="BP181" s="35"/>
      <c r="BQ181" s="35" t="s">
        <v>108</v>
      </c>
      <c r="BR181" s="36" t="e">
        <f>VLOOKUP(BQ181, Cat_Indicadores!B:C, 2, FALSE)</f>
        <v>#N/A</v>
      </c>
      <c r="BS181" s="35" t="s">
        <v>5592</v>
      </c>
      <c r="BT181" s="35"/>
    </row>
    <row r="182" spans="1:72">
      <c r="A182" s="29" t="s">
        <v>874</v>
      </c>
      <c r="B182" s="30" t="s">
        <v>875</v>
      </c>
      <c r="C182" s="31">
        <v>46206.663935185185</v>
      </c>
      <c r="D182" s="30">
        <v>93</v>
      </c>
      <c r="E182" s="30" t="s">
        <v>74</v>
      </c>
      <c r="F182" s="30" t="s">
        <v>75</v>
      </c>
      <c r="G182" s="30" t="s">
        <v>595</v>
      </c>
      <c r="H182" s="30" t="s">
        <v>77</v>
      </c>
      <c r="I182" s="30" t="s">
        <v>78</v>
      </c>
      <c r="J182" s="30" t="s">
        <v>79</v>
      </c>
      <c r="K182" s="32">
        <v>10</v>
      </c>
      <c r="L182" s="32" t="s">
        <v>211</v>
      </c>
      <c r="M182" s="30" t="s">
        <v>876</v>
      </c>
      <c r="N182" s="30" t="s">
        <v>877</v>
      </c>
      <c r="O182" s="30" t="s">
        <v>83</v>
      </c>
      <c r="P182" s="33">
        <v>46192</v>
      </c>
      <c r="Q182" s="33">
        <v>46192</v>
      </c>
      <c r="R182" s="32">
        <v>1</v>
      </c>
      <c r="S182" s="30" t="s">
        <v>84</v>
      </c>
      <c r="T182" s="30" t="s">
        <v>136</v>
      </c>
      <c r="U182" s="30" t="s">
        <v>86</v>
      </c>
      <c r="V182" s="30" t="s">
        <v>87</v>
      </c>
      <c r="W182" s="30" t="s">
        <v>88</v>
      </c>
      <c r="X182" s="30" t="s">
        <v>89</v>
      </c>
      <c r="Z182" s="30" t="s">
        <v>868</v>
      </c>
      <c r="AB182" s="30" t="b">
        <v>0</v>
      </c>
      <c r="AC182" s="30"/>
      <c r="AD182" s="30" t="b">
        <v>0</v>
      </c>
      <c r="AF182" s="30" t="b">
        <v>0</v>
      </c>
      <c r="AH182" s="32" t="s">
        <v>91</v>
      </c>
      <c r="AI182" s="32"/>
      <c r="AJ182" s="32"/>
      <c r="AK182" s="32"/>
      <c r="AL182" s="30" t="s">
        <v>92</v>
      </c>
      <c r="AM182" s="30" t="s">
        <v>664</v>
      </c>
      <c r="AN182" s="30" t="s">
        <v>94</v>
      </c>
      <c r="AO182" s="30" t="s">
        <v>142</v>
      </c>
      <c r="AP182" s="30" t="s">
        <v>143</v>
      </c>
      <c r="AQ182" s="30" t="s">
        <v>144</v>
      </c>
      <c r="AR182" s="30" t="s">
        <v>97</v>
      </c>
      <c r="AS182" s="30" t="s">
        <v>112</v>
      </c>
      <c r="AT182" s="30" t="s">
        <v>99</v>
      </c>
      <c r="AU182" s="30" t="s">
        <v>100</v>
      </c>
      <c r="AV182" s="30" t="s">
        <v>665</v>
      </c>
      <c r="AW182" s="30" t="s">
        <v>102</v>
      </c>
      <c r="AX182" s="34" t="s">
        <v>86</v>
      </c>
      <c r="AY182" s="34" t="s">
        <v>103</v>
      </c>
      <c r="AZ182" s="34"/>
      <c r="BA182" s="34"/>
      <c r="BB182" s="34"/>
      <c r="BC182" s="34">
        <v>0</v>
      </c>
      <c r="BD182" s="34"/>
      <c r="BE182" s="34"/>
      <c r="BF182" s="34" t="b">
        <v>1</v>
      </c>
      <c r="BG182" s="34" t="s">
        <v>104</v>
      </c>
      <c r="BH182" s="34"/>
      <c r="BI182" s="34"/>
      <c r="BJ182" s="34"/>
      <c r="BK182" s="34"/>
      <c r="BL182" s="34"/>
      <c r="BM182" s="34" t="s">
        <v>106</v>
      </c>
      <c r="BN182" s="34" t="s">
        <v>107</v>
      </c>
      <c r="BO182" s="35"/>
      <c r="BP182" s="35"/>
      <c r="BQ182" s="35" t="s">
        <v>108</v>
      </c>
      <c r="BR182" s="36" t="e">
        <f>VLOOKUP(BQ182, Cat_Indicadores!B:C, 2, FALSE)</f>
        <v>#N/A</v>
      </c>
      <c r="BS182" s="35" t="s">
        <v>5592</v>
      </c>
      <c r="BT182" s="35"/>
    </row>
    <row r="183" spans="1:72">
      <c r="A183" s="29" t="s">
        <v>878</v>
      </c>
      <c r="B183" s="30" t="s">
        <v>879</v>
      </c>
      <c r="C183" s="31">
        <v>46206.704398148147</v>
      </c>
      <c r="D183" s="30">
        <v>93</v>
      </c>
      <c r="E183" s="30" t="s">
        <v>74</v>
      </c>
      <c r="F183" s="30" t="s">
        <v>75</v>
      </c>
      <c r="G183" s="30" t="s">
        <v>595</v>
      </c>
      <c r="H183" s="30" t="s">
        <v>77</v>
      </c>
      <c r="I183" s="30" t="s">
        <v>78</v>
      </c>
      <c r="J183" s="30" t="s">
        <v>79</v>
      </c>
      <c r="K183" s="32">
        <v>10</v>
      </c>
      <c r="L183" s="32" t="s">
        <v>211</v>
      </c>
      <c r="M183" s="30" t="s">
        <v>880</v>
      </c>
      <c r="N183" s="30" t="s">
        <v>881</v>
      </c>
      <c r="O183" s="30" t="s">
        <v>83</v>
      </c>
      <c r="P183" s="33">
        <v>46195</v>
      </c>
      <c r="Q183" s="33">
        <v>46195</v>
      </c>
      <c r="R183" s="32">
        <v>1</v>
      </c>
      <c r="S183" s="30" t="s">
        <v>84</v>
      </c>
      <c r="T183" s="30" t="s">
        <v>136</v>
      </c>
      <c r="U183" s="30" t="s">
        <v>86</v>
      </c>
      <c r="V183" s="30" t="s">
        <v>87</v>
      </c>
      <c r="W183" s="30" t="s">
        <v>88</v>
      </c>
      <c r="X183" s="30" t="s">
        <v>89</v>
      </c>
      <c r="Z183" s="30" t="s">
        <v>873</v>
      </c>
      <c r="AB183" s="30" t="b">
        <v>0</v>
      </c>
      <c r="AC183" s="30"/>
      <c r="AD183" s="30" t="b">
        <v>0</v>
      </c>
      <c r="AF183" s="30" t="b">
        <v>0</v>
      </c>
      <c r="AH183" s="32" t="s">
        <v>91</v>
      </c>
      <c r="AI183" s="32"/>
      <c r="AJ183" s="32"/>
      <c r="AK183" s="32"/>
      <c r="AL183" s="30" t="s">
        <v>92</v>
      </c>
      <c r="AM183" s="30" t="s">
        <v>664</v>
      </c>
      <c r="AN183" s="30" t="s">
        <v>94</v>
      </c>
      <c r="AO183" s="30" t="s">
        <v>142</v>
      </c>
      <c r="AP183" s="30" t="s">
        <v>143</v>
      </c>
      <c r="AQ183" s="30" t="s">
        <v>144</v>
      </c>
      <c r="AR183" s="30" t="s">
        <v>97</v>
      </c>
      <c r="AS183" s="30" t="s">
        <v>112</v>
      </c>
      <c r="AT183" s="30" t="s">
        <v>99</v>
      </c>
      <c r="AU183" s="30" t="s">
        <v>100</v>
      </c>
      <c r="AV183" s="30" t="s">
        <v>665</v>
      </c>
      <c r="AW183" s="30" t="s">
        <v>102</v>
      </c>
      <c r="AX183" s="34" t="s">
        <v>86</v>
      </c>
      <c r="AY183" s="34" t="s">
        <v>103</v>
      </c>
      <c r="AZ183" s="34"/>
      <c r="BA183" s="34"/>
      <c r="BB183" s="34"/>
      <c r="BC183" s="34">
        <v>0</v>
      </c>
      <c r="BD183" s="34"/>
      <c r="BE183" s="34"/>
      <c r="BF183" s="34" t="b">
        <v>1</v>
      </c>
      <c r="BG183" s="34" t="s">
        <v>104</v>
      </c>
      <c r="BH183" s="34"/>
      <c r="BI183" s="34"/>
      <c r="BJ183" s="34"/>
      <c r="BK183" s="34"/>
      <c r="BL183" s="34"/>
      <c r="BM183" s="34" t="s">
        <v>106</v>
      </c>
      <c r="BN183" s="34" t="s">
        <v>107</v>
      </c>
      <c r="BO183" s="35"/>
      <c r="BP183" s="35"/>
      <c r="BQ183" s="35" t="s">
        <v>108</v>
      </c>
      <c r="BR183" s="36" t="e">
        <f>VLOOKUP(BQ183, Cat_Indicadores!B:C, 2, FALSE)</f>
        <v>#N/A</v>
      </c>
      <c r="BS183" s="35" t="s">
        <v>5592</v>
      </c>
      <c r="BT183" s="35"/>
    </row>
    <row r="184" spans="1:72">
      <c r="A184" s="29" t="s">
        <v>882</v>
      </c>
      <c r="B184" s="30" t="s">
        <v>883</v>
      </c>
      <c r="C184" s="31">
        <v>46206.708101851851</v>
      </c>
      <c r="D184" s="30">
        <v>93</v>
      </c>
      <c r="E184" s="30" t="s">
        <v>74</v>
      </c>
      <c r="F184" s="30" t="s">
        <v>75</v>
      </c>
      <c r="G184" s="30" t="s">
        <v>595</v>
      </c>
      <c r="H184" s="30" t="s">
        <v>77</v>
      </c>
      <c r="I184" s="30" t="s">
        <v>78</v>
      </c>
      <c r="J184" s="30" t="s">
        <v>79</v>
      </c>
      <c r="K184" s="32">
        <v>10</v>
      </c>
      <c r="L184" s="32" t="s">
        <v>211</v>
      </c>
      <c r="M184" s="30" t="s">
        <v>880</v>
      </c>
      <c r="N184" s="30" t="s">
        <v>881</v>
      </c>
      <c r="O184" s="30" t="s">
        <v>83</v>
      </c>
      <c r="P184" s="33">
        <v>46196</v>
      </c>
      <c r="Q184" s="33">
        <v>46196</v>
      </c>
      <c r="R184" s="32">
        <v>1</v>
      </c>
      <c r="S184" s="30" t="s">
        <v>84</v>
      </c>
      <c r="T184" s="30" t="s">
        <v>136</v>
      </c>
      <c r="U184" s="30" t="s">
        <v>86</v>
      </c>
      <c r="V184" s="30" t="s">
        <v>87</v>
      </c>
      <c r="W184" s="30" t="s">
        <v>88</v>
      </c>
      <c r="X184" s="30" t="s">
        <v>89</v>
      </c>
      <c r="Z184" s="30" t="s">
        <v>873</v>
      </c>
      <c r="AB184" s="30" t="b">
        <v>0</v>
      </c>
      <c r="AC184" s="30"/>
      <c r="AD184" s="30" t="b">
        <v>0</v>
      </c>
      <c r="AF184" s="30" t="b">
        <v>0</v>
      </c>
      <c r="AH184" s="32" t="s">
        <v>91</v>
      </c>
      <c r="AI184" s="32"/>
      <c r="AJ184" s="32"/>
      <c r="AK184" s="32"/>
      <c r="AL184" s="30" t="s">
        <v>92</v>
      </c>
      <c r="AM184" s="30" t="s">
        <v>664</v>
      </c>
      <c r="AN184" s="30" t="s">
        <v>94</v>
      </c>
      <c r="AO184" s="30" t="s">
        <v>142</v>
      </c>
      <c r="AP184" s="30" t="s">
        <v>143</v>
      </c>
      <c r="AQ184" s="30" t="s">
        <v>144</v>
      </c>
      <c r="AR184" s="30" t="s">
        <v>97</v>
      </c>
      <c r="AS184" s="30" t="s">
        <v>112</v>
      </c>
      <c r="AT184" s="30" t="s">
        <v>99</v>
      </c>
      <c r="AU184" s="30" t="s">
        <v>100</v>
      </c>
      <c r="AV184" s="30" t="s">
        <v>665</v>
      </c>
      <c r="AW184" s="30" t="s">
        <v>102</v>
      </c>
      <c r="AX184" s="34" t="s">
        <v>86</v>
      </c>
      <c r="AY184" s="34" t="s">
        <v>103</v>
      </c>
      <c r="AZ184" s="34"/>
      <c r="BA184" s="34"/>
      <c r="BB184" s="34"/>
      <c r="BC184" s="34">
        <v>0</v>
      </c>
      <c r="BD184" s="34"/>
      <c r="BE184" s="34"/>
      <c r="BF184" s="34" t="b">
        <v>1</v>
      </c>
      <c r="BG184" s="34" t="s">
        <v>104</v>
      </c>
      <c r="BH184" s="34"/>
      <c r="BI184" s="34"/>
      <c r="BJ184" s="34"/>
      <c r="BK184" s="34"/>
      <c r="BL184" s="34"/>
      <c r="BM184" s="34" t="s">
        <v>106</v>
      </c>
      <c r="BN184" s="34" t="s">
        <v>107</v>
      </c>
      <c r="BO184" s="35"/>
      <c r="BP184" s="35"/>
      <c r="BQ184" s="35" t="s">
        <v>108</v>
      </c>
      <c r="BR184" s="36" t="e">
        <f>VLOOKUP(BQ184, Cat_Indicadores!B:C, 2, FALSE)</f>
        <v>#N/A</v>
      </c>
      <c r="BS184" s="35" t="s">
        <v>5592</v>
      </c>
      <c r="BT184" s="35"/>
    </row>
    <row r="185" spans="1:72">
      <c r="A185" s="29" t="s">
        <v>884</v>
      </c>
      <c r="B185" s="30" t="s">
        <v>885</v>
      </c>
      <c r="C185" s="31">
        <v>46208.493055555555</v>
      </c>
      <c r="D185" s="30">
        <v>93</v>
      </c>
      <c r="E185" s="30" t="s">
        <v>74</v>
      </c>
      <c r="F185" s="30" t="s">
        <v>75</v>
      </c>
      <c r="G185" s="30" t="s">
        <v>595</v>
      </c>
      <c r="H185" s="30" t="s">
        <v>77</v>
      </c>
      <c r="I185" s="30" t="s">
        <v>78</v>
      </c>
      <c r="J185" s="30" t="s">
        <v>79</v>
      </c>
      <c r="K185" s="32">
        <v>10</v>
      </c>
      <c r="L185" s="32" t="s">
        <v>211</v>
      </c>
      <c r="M185" s="30" t="s">
        <v>880</v>
      </c>
      <c r="N185" s="30" t="s">
        <v>881</v>
      </c>
      <c r="O185" s="30" t="s">
        <v>83</v>
      </c>
      <c r="P185" s="33">
        <v>46197</v>
      </c>
      <c r="Q185" s="33">
        <v>46197</v>
      </c>
      <c r="R185" s="32">
        <v>1</v>
      </c>
      <c r="S185" s="30" t="s">
        <v>84</v>
      </c>
      <c r="T185" s="30" t="s">
        <v>136</v>
      </c>
      <c r="U185" s="30" t="s">
        <v>86</v>
      </c>
      <c r="V185" s="30" t="s">
        <v>87</v>
      </c>
      <c r="W185" s="30" t="s">
        <v>88</v>
      </c>
      <c r="X185" s="30" t="s">
        <v>89</v>
      </c>
      <c r="Z185" s="30" t="s">
        <v>873</v>
      </c>
      <c r="AB185" s="30" t="b">
        <v>0</v>
      </c>
      <c r="AC185" s="30"/>
      <c r="AD185" s="30" t="b">
        <v>0</v>
      </c>
      <c r="AF185" s="30" t="b">
        <v>0</v>
      </c>
      <c r="AH185" s="32" t="s">
        <v>91</v>
      </c>
      <c r="AI185" s="32"/>
      <c r="AJ185" s="32"/>
      <c r="AK185" s="32"/>
      <c r="AL185" s="30" t="s">
        <v>92</v>
      </c>
      <c r="AM185" s="30" t="s">
        <v>664</v>
      </c>
      <c r="AN185" s="30" t="s">
        <v>94</v>
      </c>
      <c r="AO185" s="30" t="s">
        <v>142</v>
      </c>
      <c r="AP185" s="30" t="s">
        <v>143</v>
      </c>
      <c r="AQ185" s="30" t="s">
        <v>144</v>
      </c>
      <c r="AR185" s="30" t="s">
        <v>97</v>
      </c>
      <c r="AS185" s="30" t="s">
        <v>112</v>
      </c>
      <c r="AT185" s="30" t="s">
        <v>99</v>
      </c>
      <c r="AU185" s="30" t="s">
        <v>100</v>
      </c>
      <c r="AV185" s="30" t="s">
        <v>665</v>
      </c>
      <c r="AW185" s="30" t="s">
        <v>102</v>
      </c>
      <c r="AX185" s="34" t="s">
        <v>86</v>
      </c>
      <c r="AY185" s="34" t="s">
        <v>103</v>
      </c>
      <c r="AZ185" s="34"/>
      <c r="BA185" s="34"/>
      <c r="BB185" s="34"/>
      <c r="BC185" s="34">
        <v>0</v>
      </c>
      <c r="BD185" s="34"/>
      <c r="BE185" s="34"/>
      <c r="BF185" s="34" t="b">
        <v>1</v>
      </c>
      <c r="BG185" s="34" t="s">
        <v>104</v>
      </c>
      <c r="BH185" s="34"/>
      <c r="BI185" s="34"/>
      <c r="BJ185" s="34"/>
      <c r="BK185" s="34"/>
      <c r="BL185" s="34" t="s">
        <v>166</v>
      </c>
      <c r="BM185" s="34" t="s">
        <v>106</v>
      </c>
      <c r="BN185" s="34" t="s">
        <v>107</v>
      </c>
      <c r="BO185" s="35"/>
      <c r="BP185" s="35"/>
      <c r="BQ185" s="35" t="s">
        <v>108</v>
      </c>
      <c r="BR185" s="36" t="e">
        <f>VLOOKUP(BQ185, Cat_Indicadores!B:C, 2, FALSE)</f>
        <v>#N/A</v>
      </c>
      <c r="BS185" s="35" t="s">
        <v>5592</v>
      </c>
      <c r="BT185" s="35"/>
    </row>
    <row r="186" spans="1:72">
      <c r="A186" s="29" t="s">
        <v>886</v>
      </c>
      <c r="B186" s="30" t="s">
        <v>887</v>
      </c>
      <c r="C186" s="31">
        <v>46208.497789351852</v>
      </c>
      <c r="D186" s="30">
        <v>94</v>
      </c>
      <c r="E186" s="30" t="s">
        <v>74</v>
      </c>
      <c r="F186" s="30" t="s">
        <v>75</v>
      </c>
      <c r="G186" s="30" t="s">
        <v>76</v>
      </c>
      <c r="H186" s="30" t="s">
        <v>77</v>
      </c>
      <c r="I186" s="30" t="s">
        <v>78</v>
      </c>
      <c r="J186" s="30" t="s">
        <v>79</v>
      </c>
      <c r="K186" s="32">
        <v>12</v>
      </c>
      <c r="L186" s="32" t="s">
        <v>211</v>
      </c>
      <c r="M186" s="30" t="s">
        <v>888</v>
      </c>
      <c r="N186" s="30" t="s">
        <v>889</v>
      </c>
      <c r="O186" s="30" t="s">
        <v>83</v>
      </c>
      <c r="P186" s="33">
        <v>46202</v>
      </c>
      <c r="Q186" s="33">
        <v>46202</v>
      </c>
      <c r="R186" s="32">
        <v>1</v>
      </c>
      <c r="S186" s="30" t="s">
        <v>322</v>
      </c>
      <c r="T186" s="30" t="s">
        <v>890</v>
      </c>
      <c r="U186" s="30" t="s">
        <v>86</v>
      </c>
      <c r="V186" s="30" t="s">
        <v>87</v>
      </c>
      <c r="W186" s="30" t="s">
        <v>88</v>
      </c>
      <c r="X186" s="30" t="s">
        <v>89</v>
      </c>
      <c r="Z186" s="30" t="s">
        <v>891</v>
      </c>
      <c r="AB186" s="30" t="b">
        <v>0</v>
      </c>
      <c r="AC186" s="30"/>
      <c r="AD186" s="30" t="b">
        <v>0</v>
      </c>
      <c r="AF186" s="30" t="b">
        <v>0</v>
      </c>
      <c r="AH186" s="32" t="s">
        <v>91</v>
      </c>
      <c r="AI186" s="32"/>
      <c r="AJ186" s="32"/>
      <c r="AK186" s="32"/>
      <c r="AL186" s="30" t="s">
        <v>92</v>
      </c>
      <c r="AM186" s="30" t="s">
        <v>93</v>
      </c>
      <c r="AN186" s="30" t="s">
        <v>94</v>
      </c>
      <c r="AO186" s="30" t="s">
        <v>142</v>
      </c>
      <c r="AP186" s="30" t="s">
        <v>143</v>
      </c>
      <c r="AQ186" s="30" t="s">
        <v>144</v>
      </c>
      <c r="AR186" s="30" t="s">
        <v>97</v>
      </c>
      <c r="AS186" s="30" t="s">
        <v>112</v>
      </c>
      <c r="AT186" s="30" t="s">
        <v>99</v>
      </c>
      <c r="AU186" s="30" t="s">
        <v>100</v>
      </c>
      <c r="AV186" s="30" t="s">
        <v>101</v>
      </c>
      <c r="AW186" s="30" t="s">
        <v>102</v>
      </c>
      <c r="AX186" s="34" t="s">
        <v>86</v>
      </c>
      <c r="AY186" s="34" t="s">
        <v>103</v>
      </c>
      <c r="AZ186" s="34"/>
      <c r="BA186" s="34"/>
      <c r="BB186" s="34"/>
      <c r="BC186" s="34">
        <v>0</v>
      </c>
      <c r="BD186" s="34"/>
      <c r="BE186" s="34"/>
      <c r="BF186" s="34" t="b">
        <v>1</v>
      </c>
      <c r="BG186" s="34" t="s">
        <v>104</v>
      </c>
      <c r="BH186" s="34"/>
      <c r="BI186" s="34"/>
      <c r="BJ186" s="34"/>
      <c r="BK186" s="34"/>
      <c r="BL186" s="34"/>
      <c r="BM186" s="34" t="s">
        <v>106</v>
      </c>
      <c r="BN186" s="34" t="s">
        <v>107</v>
      </c>
      <c r="BO186" s="35"/>
      <c r="BP186" s="35"/>
      <c r="BQ186" s="35" t="s">
        <v>108</v>
      </c>
      <c r="BR186" s="36" t="e">
        <f>VLOOKUP(BQ186, Cat_Indicadores!B:C, 2, FALSE)</f>
        <v>#N/A</v>
      </c>
      <c r="BS186" s="35" t="s">
        <v>5592</v>
      </c>
      <c r="BT186" s="35"/>
    </row>
    <row r="187" spans="1:72">
      <c r="A187" s="29" t="s">
        <v>892</v>
      </c>
      <c r="B187" s="30" t="s">
        <v>893</v>
      </c>
      <c r="C187" s="31">
        <v>46208.500879629632</v>
      </c>
      <c r="D187" s="30">
        <v>93</v>
      </c>
      <c r="E187" s="30" t="s">
        <v>74</v>
      </c>
      <c r="F187" s="30" t="s">
        <v>75</v>
      </c>
      <c r="G187" s="30" t="s">
        <v>595</v>
      </c>
      <c r="H187" s="30" t="s">
        <v>77</v>
      </c>
      <c r="I187" s="30" t="s">
        <v>78</v>
      </c>
      <c r="J187" s="30" t="s">
        <v>79</v>
      </c>
      <c r="K187" s="32">
        <v>10</v>
      </c>
      <c r="L187" s="32" t="s">
        <v>211</v>
      </c>
      <c r="M187" s="30" t="s">
        <v>880</v>
      </c>
      <c r="N187" s="30" t="s">
        <v>894</v>
      </c>
      <c r="O187" s="30" t="s">
        <v>83</v>
      </c>
      <c r="P187" s="33">
        <v>46181</v>
      </c>
      <c r="Q187" s="33">
        <v>46181</v>
      </c>
      <c r="R187" s="32">
        <v>1</v>
      </c>
      <c r="S187" s="30" t="s">
        <v>84</v>
      </c>
      <c r="T187" s="30" t="s">
        <v>136</v>
      </c>
      <c r="U187" s="30" t="s">
        <v>86</v>
      </c>
      <c r="V187" s="30" t="s">
        <v>87</v>
      </c>
      <c r="W187" s="30" t="s">
        <v>88</v>
      </c>
      <c r="X187" s="30" t="s">
        <v>89</v>
      </c>
      <c r="Z187" s="30" t="s">
        <v>895</v>
      </c>
      <c r="AB187" s="30" t="b">
        <v>0</v>
      </c>
      <c r="AC187" s="30"/>
      <c r="AD187" s="30" t="b">
        <v>0</v>
      </c>
      <c r="AF187" s="30" t="b">
        <v>0</v>
      </c>
      <c r="AH187" s="32" t="s">
        <v>91</v>
      </c>
      <c r="AI187" s="32"/>
      <c r="AJ187" s="32"/>
      <c r="AK187" s="32"/>
      <c r="AL187" s="30" t="s">
        <v>92</v>
      </c>
      <c r="AM187" s="30" t="s">
        <v>664</v>
      </c>
      <c r="AN187" s="30" t="s">
        <v>94</v>
      </c>
      <c r="AO187" s="30" t="s">
        <v>142</v>
      </c>
      <c r="AP187" s="30" t="s">
        <v>143</v>
      </c>
      <c r="AQ187" s="30" t="s">
        <v>144</v>
      </c>
      <c r="AR187" s="30" t="s">
        <v>97</v>
      </c>
      <c r="AS187" s="30" t="s">
        <v>112</v>
      </c>
      <c r="AT187" s="30" t="s">
        <v>99</v>
      </c>
      <c r="AU187" s="30" t="s">
        <v>100</v>
      </c>
      <c r="AV187" s="30" t="s">
        <v>665</v>
      </c>
      <c r="AW187" s="30" t="s">
        <v>102</v>
      </c>
      <c r="AX187" s="34" t="s">
        <v>86</v>
      </c>
      <c r="AY187" s="34" t="s">
        <v>103</v>
      </c>
      <c r="AZ187" s="34"/>
      <c r="BA187" s="34"/>
      <c r="BB187" s="34"/>
      <c r="BC187" s="34">
        <v>0</v>
      </c>
      <c r="BD187" s="34"/>
      <c r="BE187" s="34"/>
      <c r="BF187" s="34" t="b">
        <v>1</v>
      </c>
      <c r="BG187" s="34" t="s">
        <v>104</v>
      </c>
      <c r="BH187" s="34"/>
      <c r="BI187" s="34"/>
      <c r="BJ187" s="34"/>
      <c r="BK187" s="34"/>
      <c r="BL187" s="34"/>
      <c r="BM187" s="34" t="s">
        <v>106</v>
      </c>
      <c r="BN187" s="34" t="s">
        <v>107</v>
      </c>
      <c r="BO187" s="35"/>
      <c r="BP187" s="35"/>
      <c r="BQ187" s="35" t="s">
        <v>108</v>
      </c>
      <c r="BR187" s="36" t="e">
        <f>VLOOKUP(BQ187, Cat_Indicadores!B:C, 2, FALSE)</f>
        <v>#N/A</v>
      </c>
      <c r="BS187" s="35" t="s">
        <v>5592</v>
      </c>
      <c r="BT187" s="35"/>
    </row>
    <row r="188" spans="1:72">
      <c r="A188" s="29" t="s">
        <v>896</v>
      </c>
      <c r="B188" s="30" t="s">
        <v>897</v>
      </c>
      <c r="C188" s="31">
        <v>46208.504236111112</v>
      </c>
      <c r="D188" s="30">
        <v>92</v>
      </c>
      <c r="E188" s="30" t="s">
        <v>74</v>
      </c>
      <c r="F188" s="30" t="s">
        <v>75</v>
      </c>
      <c r="G188" s="30" t="s">
        <v>133</v>
      </c>
      <c r="H188" s="30" t="s">
        <v>77</v>
      </c>
      <c r="I188" s="30" t="s">
        <v>78</v>
      </c>
      <c r="J188" s="30" t="s">
        <v>79</v>
      </c>
      <c r="K188" s="32">
        <v>800</v>
      </c>
      <c r="L188" s="32" t="s">
        <v>211</v>
      </c>
      <c r="M188" s="30" t="s">
        <v>898</v>
      </c>
      <c r="N188" s="30" t="s">
        <v>899</v>
      </c>
      <c r="O188" s="30" t="s">
        <v>661</v>
      </c>
      <c r="P188" s="33">
        <v>46116</v>
      </c>
      <c r="Q188" s="33">
        <v>46173</v>
      </c>
      <c r="R188" s="32">
        <v>7</v>
      </c>
      <c r="S188" s="30" t="s">
        <v>84</v>
      </c>
      <c r="T188" s="30" t="s">
        <v>117</v>
      </c>
      <c r="U188" s="30" t="s">
        <v>86</v>
      </c>
      <c r="V188" s="30" t="s">
        <v>87</v>
      </c>
      <c r="W188" s="30" t="s">
        <v>88</v>
      </c>
      <c r="X188" s="30" t="s">
        <v>197</v>
      </c>
      <c r="Y188" s="30">
        <v>8</v>
      </c>
      <c r="AB188" s="30" t="b">
        <v>0</v>
      </c>
      <c r="AC188" s="30"/>
      <c r="AD188" s="30" t="b">
        <v>0</v>
      </c>
      <c r="AF188" s="30" t="b">
        <v>0</v>
      </c>
      <c r="AH188" s="32" t="s">
        <v>91</v>
      </c>
      <c r="AI188" s="32"/>
      <c r="AJ188" s="32"/>
      <c r="AK188" s="32"/>
      <c r="AL188" s="30" t="s">
        <v>92</v>
      </c>
      <c r="AM188" s="30" t="s">
        <v>93</v>
      </c>
      <c r="AN188" s="30" t="s">
        <v>94</v>
      </c>
      <c r="AO188" s="30" t="s">
        <v>142</v>
      </c>
      <c r="AP188" s="30" t="s">
        <v>143</v>
      </c>
      <c r="AQ188" s="30" t="s">
        <v>232</v>
      </c>
      <c r="AR188" s="30" t="s">
        <v>691</v>
      </c>
      <c r="AT188" s="30" t="s">
        <v>99</v>
      </c>
      <c r="AU188" s="30" t="s">
        <v>146</v>
      </c>
      <c r="AV188" s="30" t="s">
        <v>839</v>
      </c>
      <c r="AW188" s="30" t="s">
        <v>102</v>
      </c>
      <c r="AX188" s="34" t="s">
        <v>86</v>
      </c>
      <c r="AY188" s="34" t="s">
        <v>103</v>
      </c>
      <c r="AZ188" s="34"/>
      <c r="BA188" s="34"/>
      <c r="BB188" s="34"/>
      <c r="BC188" s="34">
        <v>0</v>
      </c>
      <c r="BD188" s="34"/>
      <c r="BE188" s="34"/>
      <c r="BF188" s="34" t="b">
        <v>0</v>
      </c>
      <c r="BG188" s="34"/>
      <c r="BH188" s="34"/>
      <c r="BI188" s="34"/>
      <c r="BJ188" s="34"/>
      <c r="BK188" s="34"/>
      <c r="BL188" s="34"/>
      <c r="BM188" s="34" t="s">
        <v>168</v>
      </c>
      <c r="BN188" s="34"/>
      <c r="BO188" s="35"/>
      <c r="BP188" s="35"/>
      <c r="BQ188" s="35" t="s">
        <v>108</v>
      </c>
      <c r="BR188" s="36" t="e">
        <f>VLOOKUP(BQ188, Cat_Indicadores!B:C, 2, FALSE)</f>
        <v>#N/A</v>
      </c>
      <c r="BS188" s="35" t="s">
        <v>5592</v>
      </c>
      <c r="BT188" s="35"/>
    </row>
    <row r="189" spans="1:72">
      <c r="A189" s="29" t="s">
        <v>900</v>
      </c>
      <c r="B189" s="30" t="s">
        <v>901</v>
      </c>
      <c r="C189" s="31">
        <v>46208.509791666664</v>
      </c>
      <c r="D189" s="30">
        <v>92</v>
      </c>
      <c r="E189" s="30" t="s">
        <v>74</v>
      </c>
      <c r="F189" s="30" t="s">
        <v>75</v>
      </c>
      <c r="G189" s="30" t="s">
        <v>133</v>
      </c>
      <c r="H189" s="30" t="s">
        <v>77</v>
      </c>
      <c r="I189" s="30" t="s">
        <v>78</v>
      </c>
      <c r="J189" s="30" t="s">
        <v>79</v>
      </c>
      <c r="K189" s="32">
        <v>800</v>
      </c>
      <c r="L189" s="32" t="s">
        <v>211</v>
      </c>
      <c r="M189" s="30" t="s">
        <v>902</v>
      </c>
      <c r="N189" s="30" t="s">
        <v>899</v>
      </c>
      <c r="O189" s="30" t="s">
        <v>581</v>
      </c>
      <c r="P189" s="33">
        <v>46117</v>
      </c>
      <c r="Q189" s="33">
        <v>46173</v>
      </c>
      <c r="R189" s="32">
        <v>5</v>
      </c>
      <c r="S189" s="30" t="s">
        <v>84</v>
      </c>
      <c r="T189" s="30" t="s">
        <v>117</v>
      </c>
      <c r="U189" s="30" t="s">
        <v>86</v>
      </c>
      <c r="V189" s="30" t="s">
        <v>87</v>
      </c>
      <c r="W189" s="30" t="s">
        <v>88</v>
      </c>
      <c r="X189" s="30" t="s">
        <v>197</v>
      </c>
      <c r="Y189" s="30">
        <v>8</v>
      </c>
      <c r="AB189" s="30" t="b">
        <v>0</v>
      </c>
      <c r="AC189" s="30"/>
      <c r="AD189" s="30" t="b">
        <v>0</v>
      </c>
      <c r="AF189" s="30" t="b">
        <v>0</v>
      </c>
      <c r="AH189" s="32" t="s">
        <v>91</v>
      </c>
      <c r="AI189" s="32"/>
      <c r="AJ189" s="32"/>
      <c r="AK189" s="32"/>
      <c r="AL189" s="30" t="s">
        <v>92</v>
      </c>
      <c r="AM189" s="30" t="s">
        <v>93</v>
      </c>
      <c r="AN189" s="30" t="s">
        <v>94</v>
      </c>
      <c r="AO189" s="30" t="s">
        <v>142</v>
      </c>
      <c r="AP189" s="30" t="s">
        <v>143</v>
      </c>
      <c r="AQ189" s="30" t="s">
        <v>232</v>
      </c>
      <c r="AR189" s="30" t="s">
        <v>691</v>
      </c>
      <c r="AT189" s="30" t="s">
        <v>99</v>
      </c>
      <c r="AU189" s="30" t="s">
        <v>146</v>
      </c>
      <c r="AV189" s="30" t="s">
        <v>839</v>
      </c>
      <c r="AW189" s="30" t="s">
        <v>102</v>
      </c>
      <c r="AX189" s="34" t="s">
        <v>86</v>
      </c>
      <c r="AY189" s="34" t="s">
        <v>103</v>
      </c>
      <c r="AZ189" s="34"/>
      <c r="BA189" s="34"/>
      <c r="BB189" s="34"/>
      <c r="BC189" s="34">
        <v>0</v>
      </c>
      <c r="BD189" s="34"/>
      <c r="BE189" s="34"/>
      <c r="BF189" s="34" t="b">
        <v>0</v>
      </c>
      <c r="BG189" s="34"/>
      <c r="BH189" s="34"/>
      <c r="BI189" s="34"/>
      <c r="BJ189" s="34"/>
      <c r="BK189" s="34"/>
      <c r="BL189" s="34"/>
      <c r="BM189" s="34" t="s">
        <v>168</v>
      </c>
      <c r="BN189" s="34"/>
      <c r="BO189" s="35"/>
      <c r="BP189" s="35"/>
      <c r="BQ189" s="35" t="s">
        <v>108</v>
      </c>
      <c r="BR189" s="36" t="e">
        <f>VLOOKUP(BQ189, Cat_Indicadores!B:C, 2, FALSE)</f>
        <v>#N/A</v>
      </c>
      <c r="BS189" s="35" t="s">
        <v>5592</v>
      </c>
      <c r="BT189" s="35"/>
    </row>
    <row r="190" spans="1:72">
      <c r="A190" s="29" t="s">
        <v>903</v>
      </c>
      <c r="B190" s="30" t="s">
        <v>904</v>
      </c>
      <c r="C190" s="31">
        <v>46208.514699074076</v>
      </c>
      <c r="D190" s="30">
        <v>92</v>
      </c>
      <c r="E190" s="30" t="s">
        <v>74</v>
      </c>
      <c r="F190" s="30" t="s">
        <v>75</v>
      </c>
      <c r="G190" s="30" t="s">
        <v>133</v>
      </c>
      <c r="H190" s="30" t="s">
        <v>77</v>
      </c>
      <c r="I190" s="30" t="s">
        <v>78</v>
      </c>
      <c r="J190" s="30" t="s">
        <v>79</v>
      </c>
      <c r="K190" s="32">
        <v>800</v>
      </c>
      <c r="L190" s="32" t="s">
        <v>211</v>
      </c>
      <c r="M190" s="30" t="s">
        <v>905</v>
      </c>
      <c r="N190" s="30" t="s">
        <v>899</v>
      </c>
      <c r="O190" s="30" t="s">
        <v>581</v>
      </c>
      <c r="P190" s="33">
        <v>46118</v>
      </c>
      <c r="Q190" s="33">
        <v>46173</v>
      </c>
      <c r="R190" s="32">
        <v>4</v>
      </c>
      <c r="S190" s="30" t="s">
        <v>84</v>
      </c>
      <c r="T190" s="30" t="s">
        <v>117</v>
      </c>
      <c r="U190" s="30" t="s">
        <v>86</v>
      </c>
      <c r="V190" s="30" t="s">
        <v>87</v>
      </c>
      <c r="W190" s="30" t="s">
        <v>88</v>
      </c>
      <c r="X190" s="30" t="s">
        <v>197</v>
      </c>
      <c r="Y190" s="30">
        <v>8</v>
      </c>
      <c r="AB190" s="30" t="b">
        <v>0</v>
      </c>
      <c r="AC190" s="30"/>
      <c r="AD190" s="30" t="b">
        <v>0</v>
      </c>
      <c r="AF190" s="30" t="b">
        <v>0</v>
      </c>
      <c r="AH190" s="32" t="s">
        <v>91</v>
      </c>
      <c r="AI190" s="32"/>
      <c r="AJ190" s="32"/>
      <c r="AK190" s="32"/>
      <c r="AL190" s="30" t="s">
        <v>92</v>
      </c>
      <c r="AM190" s="30" t="s">
        <v>93</v>
      </c>
      <c r="AN190" s="30" t="s">
        <v>94</v>
      </c>
      <c r="AO190" s="30" t="s">
        <v>142</v>
      </c>
      <c r="AP190" s="30" t="s">
        <v>143</v>
      </c>
      <c r="AQ190" s="30" t="s">
        <v>232</v>
      </c>
      <c r="AR190" s="30" t="s">
        <v>691</v>
      </c>
      <c r="AT190" s="30" t="s">
        <v>99</v>
      </c>
      <c r="AU190" s="30" t="s">
        <v>146</v>
      </c>
      <c r="AV190" s="30" t="s">
        <v>839</v>
      </c>
      <c r="AW190" s="30" t="s">
        <v>102</v>
      </c>
      <c r="AX190" s="34" t="s">
        <v>86</v>
      </c>
      <c r="AY190" s="34" t="s">
        <v>103</v>
      </c>
      <c r="AZ190" s="34"/>
      <c r="BA190" s="34"/>
      <c r="BB190" s="34"/>
      <c r="BC190" s="34">
        <v>0</v>
      </c>
      <c r="BD190" s="34"/>
      <c r="BE190" s="34"/>
      <c r="BF190" s="34" t="b">
        <v>0</v>
      </c>
      <c r="BG190" s="34"/>
      <c r="BH190" s="34"/>
      <c r="BI190" s="34"/>
      <c r="BJ190" s="34"/>
      <c r="BK190" s="34"/>
      <c r="BL190" s="34"/>
      <c r="BM190" s="34" t="s">
        <v>168</v>
      </c>
      <c r="BN190" s="34"/>
      <c r="BO190" s="35"/>
      <c r="BP190" s="35"/>
      <c r="BQ190" s="35" t="s">
        <v>108</v>
      </c>
      <c r="BR190" s="36" t="e">
        <f>VLOOKUP(BQ190, Cat_Indicadores!B:C, 2, FALSE)</f>
        <v>#N/A</v>
      </c>
      <c r="BS190" s="35" t="s">
        <v>5592</v>
      </c>
      <c r="BT190" s="35"/>
    </row>
    <row r="191" spans="1:72">
      <c r="A191" s="29" t="s">
        <v>906</v>
      </c>
      <c r="B191" s="30" t="s">
        <v>907</v>
      </c>
      <c r="C191" s="31">
        <v>46208.518368055556</v>
      </c>
      <c r="D191" s="30">
        <v>92</v>
      </c>
      <c r="E191" s="30" t="s">
        <v>74</v>
      </c>
      <c r="F191" s="30" t="s">
        <v>75</v>
      </c>
      <c r="G191" s="30" t="s">
        <v>133</v>
      </c>
      <c r="H191" s="30" t="s">
        <v>77</v>
      </c>
      <c r="I191" s="30" t="s">
        <v>78</v>
      </c>
      <c r="J191" s="30" t="s">
        <v>79</v>
      </c>
      <c r="K191" s="32">
        <v>800</v>
      </c>
      <c r="L191" s="32" t="s">
        <v>211</v>
      </c>
      <c r="M191" s="30" t="s">
        <v>908</v>
      </c>
      <c r="N191" s="30" t="s">
        <v>899</v>
      </c>
      <c r="O191" s="30" t="s">
        <v>581</v>
      </c>
      <c r="P191" s="33">
        <v>46119</v>
      </c>
      <c r="Q191" s="33">
        <v>46173</v>
      </c>
      <c r="R191" s="32">
        <v>7</v>
      </c>
      <c r="S191" s="30" t="s">
        <v>84</v>
      </c>
      <c r="T191" s="30" t="s">
        <v>117</v>
      </c>
      <c r="U191" s="30" t="s">
        <v>86</v>
      </c>
      <c r="V191" s="30" t="s">
        <v>87</v>
      </c>
      <c r="W191" s="30" t="s">
        <v>88</v>
      </c>
      <c r="X191" s="30" t="s">
        <v>197</v>
      </c>
      <c r="Y191" s="30">
        <v>8</v>
      </c>
      <c r="AB191" s="30" t="b">
        <v>0</v>
      </c>
      <c r="AC191" s="30"/>
      <c r="AD191" s="30" t="b">
        <v>0</v>
      </c>
      <c r="AF191" s="30" t="b">
        <v>0</v>
      </c>
      <c r="AH191" s="32" t="s">
        <v>91</v>
      </c>
      <c r="AI191" s="32"/>
      <c r="AJ191" s="32"/>
      <c r="AK191" s="32"/>
      <c r="AL191" s="30" t="s">
        <v>92</v>
      </c>
      <c r="AM191" s="30" t="s">
        <v>93</v>
      </c>
      <c r="AN191" s="30" t="s">
        <v>94</v>
      </c>
      <c r="AO191" s="30" t="s">
        <v>142</v>
      </c>
      <c r="AP191" s="30" t="s">
        <v>143</v>
      </c>
      <c r="AQ191" s="30" t="s">
        <v>232</v>
      </c>
      <c r="AR191" s="30" t="s">
        <v>691</v>
      </c>
      <c r="AT191" s="30" t="s">
        <v>99</v>
      </c>
      <c r="AU191" s="30" t="s">
        <v>146</v>
      </c>
      <c r="AV191" s="30" t="s">
        <v>839</v>
      </c>
      <c r="AW191" s="30" t="s">
        <v>102</v>
      </c>
      <c r="AX191" s="34" t="s">
        <v>86</v>
      </c>
      <c r="AY191" s="34" t="s">
        <v>103</v>
      </c>
      <c r="AZ191" s="34"/>
      <c r="BA191" s="34"/>
      <c r="BB191" s="34"/>
      <c r="BC191" s="34">
        <v>0</v>
      </c>
      <c r="BD191" s="34"/>
      <c r="BE191" s="34"/>
      <c r="BF191" s="34" t="b">
        <v>0</v>
      </c>
      <c r="BG191" s="34"/>
      <c r="BH191" s="34"/>
      <c r="BI191" s="34"/>
      <c r="BJ191" s="34"/>
      <c r="BK191" s="34"/>
      <c r="BL191" s="34"/>
      <c r="BM191" s="34" t="s">
        <v>168</v>
      </c>
      <c r="BN191" s="34"/>
      <c r="BO191" s="35"/>
      <c r="BP191" s="35"/>
      <c r="BQ191" s="35" t="s">
        <v>108</v>
      </c>
      <c r="BR191" s="36" t="e">
        <f>VLOOKUP(BQ191, Cat_Indicadores!B:C, 2, FALSE)</f>
        <v>#N/A</v>
      </c>
      <c r="BS191" s="35" t="s">
        <v>5592</v>
      </c>
      <c r="BT191" s="35"/>
    </row>
    <row r="192" spans="1:72">
      <c r="A192" s="29" t="s">
        <v>909</v>
      </c>
      <c r="B192" s="30" t="s">
        <v>910</v>
      </c>
      <c r="C192" s="31">
        <v>46208.524722222224</v>
      </c>
      <c r="D192" s="30">
        <v>92</v>
      </c>
      <c r="E192" s="30" t="s">
        <v>74</v>
      </c>
      <c r="F192" s="30" t="s">
        <v>75</v>
      </c>
      <c r="G192" s="30" t="s">
        <v>133</v>
      </c>
      <c r="H192" s="30" t="s">
        <v>77</v>
      </c>
      <c r="I192" s="30" t="s">
        <v>78</v>
      </c>
      <c r="J192" s="30" t="s">
        <v>79</v>
      </c>
      <c r="K192" s="32">
        <v>800</v>
      </c>
      <c r="L192" s="32" t="s">
        <v>211</v>
      </c>
      <c r="M192" s="30" t="s">
        <v>911</v>
      </c>
      <c r="N192" s="30" t="s">
        <v>899</v>
      </c>
      <c r="O192" s="30" t="s">
        <v>661</v>
      </c>
      <c r="P192" s="33">
        <v>46120</v>
      </c>
      <c r="Q192" s="33">
        <v>46142</v>
      </c>
      <c r="R192" s="32">
        <v>4</v>
      </c>
      <c r="S192" s="30" t="s">
        <v>84</v>
      </c>
      <c r="T192" s="30" t="s">
        <v>117</v>
      </c>
      <c r="U192" s="30" t="s">
        <v>86</v>
      </c>
      <c r="V192" s="30" t="s">
        <v>87</v>
      </c>
      <c r="W192" s="30" t="s">
        <v>88</v>
      </c>
      <c r="X192" s="30" t="s">
        <v>197</v>
      </c>
      <c r="Y192" s="30">
        <v>8</v>
      </c>
      <c r="AB192" s="30" t="b">
        <v>0</v>
      </c>
      <c r="AC192" s="30"/>
      <c r="AD192" s="30" t="b">
        <v>0</v>
      </c>
      <c r="AF192" s="30" t="b">
        <v>0</v>
      </c>
      <c r="AH192" s="32" t="s">
        <v>91</v>
      </c>
      <c r="AI192" s="32"/>
      <c r="AJ192" s="32"/>
      <c r="AK192" s="32"/>
      <c r="AL192" s="30" t="s">
        <v>92</v>
      </c>
      <c r="AM192" s="30" t="s">
        <v>93</v>
      </c>
      <c r="AN192" s="30" t="s">
        <v>94</v>
      </c>
      <c r="AO192" s="30" t="s">
        <v>142</v>
      </c>
      <c r="AP192" s="30" t="s">
        <v>143</v>
      </c>
      <c r="AQ192" s="30" t="s">
        <v>232</v>
      </c>
      <c r="AR192" s="30" t="s">
        <v>691</v>
      </c>
      <c r="AT192" s="30" t="s">
        <v>99</v>
      </c>
      <c r="AU192" s="30" t="s">
        <v>146</v>
      </c>
      <c r="AV192" s="30" t="s">
        <v>839</v>
      </c>
      <c r="AW192" s="30" t="s">
        <v>102</v>
      </c>
      <c r="AX192" s="34" t="s">
        <v>86</v>
      </c>
      <c r="AY192" s="34" t="s">
        <v>103</v>
      </c>
      <c r="AZ192" s="34"/>
      <c r="BA192" s="34"/>
      <c r="BB192" s="34"/>
      <c r="BC192" s="34">
        <v>0</v>
      </c>
      <c r="BD192" s="34"/>
      <c r="BE192" s="34"/>
      <c r="BF192" s="34" t="b">
        <v>0</v>
      </c>
      <c r="BG192" s="34"/>
      <c r="BH192" s="34"/>
      <c r="BI192" s="34"/>
      <c r="BJ192" s="34"/>
      <c r="BK192" s="34"/>
      <c r="BL192" s="34"/>
      <c r="BM192" s="34" t="s">
        <v>168</v>
      </c>
      <c r="BN192" s="34"/>
      <c r="BO192" s="35"/>
      <c r="BP192" s="35"/>
      <c r="BQ192" s="35" t="s">
        <v>108</v>
      </c>
      <c r="BR192" s="36" t="e">
        <f>VLOOKUP(BQ192, Cat_Indicadores!B:C, 2, FALSE)</f>
        <v>#N/A</v>
      </c>
      <c r="BS192" s="35" t="s">
        <v>5592</v>
      </c>
      <c r="BT192" s="35"/>
    </row>
    <row r="193" spans="1:72">
      <c r="A193" s="29" t="s">
        <v>912</v>
      </c>
      <c r="B193" s="30" t="s">
        <v>913</v>
      </c>
      <c r="C193" s="31">
        <v>46208.528067129628</v>
      </c>
      <c r="D193" s="30">
        <v>92</v>
      </c>
      <c r="E193" s="30" t="s">
        <v>74</v>
      </c>
      <c r="F193" s="30" t="s">
        <v>75</v>
      </c>
      <c r="G193" s="30" t="s">
        <v>133</v>
      </c>
      <c r="H193" s="30" t="s">
        <v>77</v>
      </c>
      <c r="I193" s="30" t="s">
        <v>78</v>
      </c>
      <c r="J193" s="30" t="s">
        <v>79</v>
      </c>
      <c r="K193" s="32">
        <v>800</v>
      </c>
      <c r="L193" s="32" t="s">
        <v>211</v>
      </c>
      <c r="M193" s="30" t="s">
        <v>914</v>
      </c>
      <c r="N193" s="30" t="s">
        <v>915</v>
      </c>
      <c r="O193" s="30" t="s">
        <v>83</v>
      </c>
      <c r="P193" s="33">
        <v>46136</v>
      </c>
      <c r="Q193" s="33">
        <v>46136</v>
      </c>
      <c r="R193" s="32">
        <v>1</v>
      </c>
      <c r="S193" s="30" t="s">
        <v>84</v>
      </c>
      <c r="T193" s="30" t="s">
        <v>117</v>
      </c>
      <c r="U193" s="30" t="s">
        <v>86</v>
      </c>
      <c r="V193" s="30" t="s">
        <v>87</v>
      </c>
      <c r="W193" s="30" t="s">
        <v>88</v>
      </c>
      <c r="X193" s="30" t="s">
        <v>197</v>
      </c>
      <c r="Y193" s="30">
        <v>8</v>
      </c>
      <c r="AB193" s="30" t="b">
        <v>0</v>
      </c>
      <c r="AC193" s="30"/>
      <c r="AD193" s="30" t="b">
        <v>0</v>
      </c>
      <c r="AF193" s="30" t="b">
        <v>0</v>
      </c>
      <c r="AH193" s="32" t="s">
        <v>91</v>
      </c>
      <c r="AI193" s="32"/>
      <c r="AJ193" s="32"/>
      <c r="AK193" s="32"/>
      <c r="AL193" s="30" t="s">
        <v>92</v>
      </c>
      <c r="AM193" s="30" t="s">
        <v>93</v>
      </c>
      <c r="AN193" s="30" t="s">
        <v>94</v>
      </c>
      <c r="AO193" s="30" t="s">
        <v>142</v>
      </c>
      <c r="AP193" s="30" t="s">
        <v>143</v>
      </c>
      <c r="AQ193" s="30" t="s">
        <v>232</v>
      </c>
      <c r="AR193" s="30" t="s">
        <v>97</v>
      </c>
      <c r="AS193" s="30" t="s">
        <v>112</v>
      </c>
      <c r="AT193" s="30" t="s">
        <v>99</v>
      </c>
      <c r="AU193" s="30" t="s">
        <v>146</v>
      </c>
      <c r="AV193" s="30" t="s">
        <v>839</v>
      </c>
      <c r="AW193" s="30" t="s">
        <v>102</v>
      </c>
      <c r="AX193" s="34" t="s">
        <v>86</v>
      </c>
      <c r="AY193" s="34" t="s">
        <v>103</v>
      </c>
      <c r="AZ193" s="34"/>
      <c r="BA193" s="34"/>
      <c r="BB193" s="34"/>
      <c r="BC193" s="34">
        <v>0</v>
      </c>
      <c r="BD193" s="34"/>
      <c r="BE193" s="34"/>
      <c r="BF193" s="34" t="b">
        <v>0</v>
      </c>
      <c r="BG193" s="34"/>
      <c r="BH193" s="34"/>
      <c r="BI193" s="34"/>
      <c r="BJ193" s="34"/>
      <c r="BK193" s="34"/>
      <c r="BL193" s="34"/>
      <c r="BM193" s="34" t="s">
        <v>168</v>
      </c>
      <c r="BN193" s="34"/>
      <c r="BO193" s="35"/>
      <c r="BP193" s="35"/>
      <c r="BQ193" s="35" t="s">
        <v>108</v>
      </c>
      <c r="BR193" s="36" t="e">
        <f>VLOOKUP(BQ193, Cat_Indicadores!B:C, 2, FALSE)</f>
        <v>#N/A</v>
      </c>
      <c r="BS193" s="35" t="s">
        <v>5592</v>
      </c>
      <c r="BT193" s="35"/>
    </row>
    <row r="194" spans="1:72">
      <c r="A194" s="29" t="s">
        <v>916</v>
      </c>
      <c r="B194" s="30" t="s">
        <v>917</v>
      </c>
      <c r="C194" s="31">
        <v>46208.531053240738</v>
      </c>
      <c r="D194" s="30">
        <v>92</v>
      </c>
      <c r="E194" s="30" t="s">
        <v>74</v>
      </c>
      <c r="F194" s="30" t="s">
        <v>75</v>
      </c>
      <c r="G194" s="30" t="s">
        <v>133</v>
      </c>
      <c r="H194" s="30" t="s">
        <v>77</v>
      </c>
      <c r="I194" s="30" t="s">
        <v>78</v>
      </c>
      <c r="J194" s="30" t="s">
        <v>79</v>
      </c>
      <c r="K194" s="32">
        <v>800</v>
      </c>
      <c r="L194" s="32" t="s">
        <v>80</v>
      </c>
      <c r="M194" s="30" t="s">
        <v>918</v>
      </c>
      <c r="N194" s="30" t="s">
        <v>919</v>
      </c>
      <c r="O194" s="30" t="s">
        <v>83</v>
      </c>
      <c r="P194" s="33">
        <v>46148</v>
      </c>
      <c r="Q194" s="33">
        <v>46148</v>
      </c>
      <c r="R194" s="32">
        <v>1</v>
      </c>
      <c r="S194" s="30" t="s">
        <v>84</v>
      </c>
      <c r="T194" s="30" t="s">
        <v>117</v>
      </c>
      <c r="U194" s="30" t="s">
        <v>349</v>
      </c>
      <c r="V194" s="30" t="s">
        <v>87</v>
      </c>
      <c r="W194" s="30" t="s">
        <v>88</v>
      </c>
      <c r="X194" s="30" t="s">
        <v>197</v>
      </c>
      <c r="Y194" s="30">
        <v>8</v>
      </c>
      <c r="AB194" s="30" t="b">
        <v>0</v>
      </c>
      <c r="AC194" s="30"/>
      <c r="AD194" s="30" t="b">
        <v>0</v>
      </c>
      <c r="AF194" s="30" t="b">
        <v>0</v>
      </c>
      <c r="AH194" s="32" t="s">
        <v>91</v>
      </c>
      <c r="AI194" s="32"/>
      <c r="AJ194" s="32"/>
      <c r="AK194" s="32"/>
      <c r="AL194" s="30" t="s">
        <v>92</v>
      </c>
      <c r="AM194" s="30" t="s">
        <v>93</v>
      </c>
      <c r="AN194" s="30" t="s">
        <v>94</v>
      </c>
      <c r="AO194" s="30" t="s">
        <v>142</v>
      </c>
      <c r="AP194" s="30" t="s">
        <v>143</v>
      </c>
      <c r="AQ194" s="30" t="s">
        <v>232</v>
      </c>
      <c r="AR194" s="30" t="s">
        <v>691</v>
      </c>
      <c r="AT194" s="30" t="s">
        <v>99</v>
      </c>
      <c r="AU194" s="30" t="s">
        <v>146</v>
      </c>
      <c r="AV194" s="30" t="s">
        <v>839</v>
      </c>
      <c r="AW194" s="30" t="s">
        <v>102</v>
      </c>
      <c r="AX194" s="34" t="s">
        <v>349</v>
      </c>
      <c r="AY194" s="34" t="s">
        <v>103</v>
      </c>
      <c r="AZ194" s="34"/>
      <c r="BA194" s="34"/>
      <c r="BB194" s="34"/>
      <c r="BC194" s="34">
        <v>0</v>
      </c>
      <c r="BD194" s="34"/>
      <c r="BE194" s="34"/>
      <c r="BF194" s="34" t="b">
        <v>0</v>
      </c>
      <c r="BG194" s="34"/>
      <c r="BH194" s="34"/>
      <c r="BI194" s="34"/>
      <c r="BJ194" s="34"/>
      <c r="BK194" s="34"/>
      <c r="BL194" s="34"/>
      <c r="BM194" s="34" t="s">
        <v>168</v>
      </c>
      <c r="BN194" s="34"/>
      <c r="BO194" s="35"/>
      <c r="BP194" s="35"/>
      <c r="BQ194" s="35" t="s">
        <v>108</v>
      </c>
      <c r="BR194" s="36" t="e">
        <f>VLOOKUP(BQ194, Cat_Indicadores!B:C, 2, FALSE)</f>
        <v>#N/A</v>
      </c>
      <c r="BS194" s="35" t="s">
        <v>5592</v>
      </c>
      <c r="BT194" s="35"/>
    </row>
    <row r="195" spans="1:72">
      <c r="A195" s="29" t="s">
        <v>920</v>
      </c>
      <c r="B195" s="30" t="s">
        <v>921</v>
      </c>
      <c r="C195" s="31">
        <v>46208.541550925926</v>
      </c>
      <c r="D195" s="30">
        <v>92</v>
      </c>
      <c r="E195" s="30" t="s">
        <v>74</v>
      </c>
      <c r="F195" s="30" t="s">
        <v>75</v>
      </c>
      <c r="G195" s="30" t="s">
        <v>133</v>
      </c>
      <c r="H195" s="30" t="s">
        <v>77</v>
      </c>
      <c r="I195" s="30" t="s">
        <v>78</v>
      </c>
      <c r="J195" s="30" t="s">
        <v>79</v>
      </c>
      <c r="K195" s="32">
        <v>800</v>
      </c>
      <c r="L195" s="32" t="s">
        <v>80</v>
      </c>
      <c r="M195" s="30" t="s">
        <v>918</v>
      </c>
      <c r="N195" s="30" t="s">
        <v>919</v>
      </c>
      <c r="O195" s="30" t="s">
        <v>83</v>
      </c>
      <c r="P195" s="33">
        <v>46148</v>
      </c>
      <c r="Q195" s="33">
        <v>46148</v>
      </c>
      <c r="R195" s="32">
        <v>1</v>
      </c>
      <c r="S195" s="30" t="s">
        <v>84</v>
      </c>
      <c r="T195" s="30" t="s">
        <v>117</v>
      </c>
      <c r="U195" s="30" t="s">
        <v>349</v>
      </c>
      <c r="V195" s="30" t="s">
        <v>87</v>
      </c>
      <c r="W195" s="30" t="s">
        <v>88</v>
      </c>
      <c r="X195" s="30" t="s">
        <v>197</v>
      </c>
      <c r="Y195" s="30">
        <v>8</v>
      </c>
      <c r="AB195" s="30" t="b">
        <v>0</v>
      </c>
      <c r="AC195" s="30"/>
      <c r="AD195" s="30" t="b">
        <v>0</v>
      </c>
      <c r="AF195" s="30" t="b">
        <v>0</v>
      </c>
      <c r="AH195" s="32" t="s">
        <v>91</v>
      </c>
      <c r="AI195" s="32"/>
      <c r="AJ195" s="32"/>
      <c r="AK195" s="32"/>
      <c r="AL195" s="30" t="s">
        <v>92</v>
      </c>
      <c r="AM195" s="30" t="s">
        <v>93</v>
      </c>
      <c r="AN195" s="30" t="s">
        <v>94</v>
      </c>
      <c r="AO195" s="30" t="s">
        <v>142</v>
      </c>
      <c r="AP195" s="30" t="s">
        <v>143</v>
      </c>
      <c r="AQ195" s="30" t="s">
        <v>232</v>
      </c>
      <c r="AR195" s="30" t="s">
        <v>691</v>
      </c>
      <c r="AT195" s="30" t="s">
        <v>99</v>
      </c>
      <c r="AU195" s="30" t="s">
        <v>146</v>
      </c>
      <c r="AV195" s="30" t="s">
        <v>839</v>
      </c>
      <c r="AW195" s="30" t="s">
        <v>102</v>
      </c>
      <c r="AX195" s="34" t="s">
        <v>349</v>
      </c>
      <c r="AY195" s="34" t="s">
        <v>103</v>
      </c>
      <c r="AZ195" s="34"/>
      <c r="BA195" s="34"/>
      <c r="BB195" s="34"/>
      <c r="BC195" s="34">
        <v>0</v>
      </c>
      <c r="BD195" s="34"/>
      <c r="BE195" s="34"/>
      <c r="BF195" s="34" t="b">
        <v>0</v>
      </c>
      <c r="BG195" s="34"/>
      <c r="BH195" s="34"/>
      <c r="BI195" s="34"/>
      <c r="BJ195" s="34"/>
      <c r="BK195" s="34"/>
      <c r="BL195" s="34"/>
      <c r="BM195" s="34" t="s">
        <v>168</v>
      </c>
      <c r="BN195" s="34"/>
      <c r="BO195" s="35"/>
      <c r="BP195" s="35"/>
      <c r="BQ195" s="35" t="s">
        <v>108</v>
      </c>
      <c r="BR195" s="36" t="e">
        <f>VLOOKUP(BQ195, Cat_Indicadores!B:C, 2, FALSE)</f>
        <v>#N/A</v>
      </c>
      <c r="BS195" s="35" t="s">
        <v>5592</v>
      </c>
      <c r="BT195" s="35"/>
    </row>
    <row r="196" spans="1:72">
      <c r="A196" s="29" t="s">
        <v>922</v>
      </c>
      <c r="B196" s="30" t="s">
        <v>923</v>
      </c>
      <c r="C196" s="31">
        <v>46208.547673611109</v>
      </c>
      <c r="D196" s="30">
        <v>92</v>
      </c>
      <c r="E196" s="30" t="s">
        <v>74</v>
      </c>
      <c r="F196" s="30" t="s">
        <v>75</v>
      </c>
      <c r="G196" s="30" t="s">
        <v>133</v>
      </c>
      <c r="H196" s="30" t="s">
        <v>77</v>
      </c>
      <c r="I196" s="30" t="s">
        <v>78</v>
      </c>
      <c r="J196" s="30" t="s">
        <v>79</v>
      </c>
      <c r="K196" s="32">
        <v>800</v>
      </c>
      <c r="L196" s="32" t="s">
        <v>80</v>
      </c>
      <c r="M196" s="30" t="s">
        <v>924</v>
      </c>
      <c r="N196" s="30" t="s">
        <v>919</v>
      </c>
      <c r="O196" s="30" t="s">
        <v>83</v>
      </c>
      <c r="P196" s="33">
        <v>46149</v>
      </c>
      <c r="Q196" s="33">
        <v>46149</v>
      </c>
      <c r="R196" s="32">
        <v>1</v>
      </c>
      <c r="S196" s="30" t="s">
        <v>84</v>
      </c>
      <c r="T196" s="30" t="s">
        <v>117</v>
      </c>
      <c r="U196" s="30" t="s">
        <v>349</v>
      </c>
      <c r="V196" s="30" t="s">
        <v>87</v>
      </c>
      <c r="W196" s="30" t="s">
        <v>88</v>
      </c>
      <c r="X196" s="30" t="s">
        <v>197</v>
      </c>
      <c r="Y196" s="30">
        <v>8</v>
      </c>
      <c r="AB196" s="30" t="b">
        <v>0</v>
      </c>
      <c r="AC196" s="30"/>
      <c r="AD196" s="30" t="b">
        <v>0</v>
      </c>
      <c r="AF196" s="30" t="b">
        <v>0</v>
      </c>
      <c r="AH196" s="32" t="s">
        <v>91</v>
      </c>
      <c r="AI196" s="32"/>
      <c r="AJ196" s="32"/>
      <c r="AK196" s="32"/>
      <c r="AL196" s="30" t="s">
        <v>92</v>
      </c>
      <c r="AM196" s="30" t="s">
        <v>93</v>
      </c>
      <c r="AN196" s="30" t="s">
        <v>94</v>
      </c>
      <c r="AO196" s="30" t="s">
        <v>142</v>
      </c>
      <c r="AP196" s="30" t="s">
        <v>143</v>
      </c>
      <c r="AQ196" s="30" t="s">
        <v>232</v>
      </c>
      <c r="AR196" s="30" t="s">
        <v>691</v>
      </c>
      <c r="AT196" s="30" t="s">
        <v>99</v>
      </c>
      <c r="AU196" s="30" t="s">
        <v>146</v>
      </c>
      <c r="AV196" s="30" t="s">
        <v>839</v>
      </c>
      <c r="AW196" s="30" t="s">
        <v>102</v>
      </c>
      <c r="AX196" s="34" t="s">
        <v>349</v>
      </c>
      <c r="AY196" s="34" t="s">
        <v>103</v>
      </c>
      <c r="AZ196" s="34"/>
      <c r="BA196" s="34"/>
      <c r="BB196" s="34"/>
      <c r="BC196" s="34">
        <v>0</v>
      </c>
      <c r="BD196" s="34"/>
      <c r="BE196" s="34"/>
      <c r="BF196" s="34" t="b">
        <v>0</v>
      </c>
      <c r="BG196" s="34"/>
      <c r="BH196" s="34"/>
      <c r="BI196" s="34"/>
      <c r="BJ196" s="34"/>
      <c r="BK196" s="34"/>
      <c r="BL196" s="34"/>
      <c r="BM196" s="34" t="s">
        <v>168</v>
      </c>
      <c r="BN196" s="34"/>
      <c r="BO196" s="35"/>
      <c r="BP196" s="35"/>
      <c r="BQ196" s="35" t="s">
        <v>108</v>
      </c>
      <c r="BR196" s="36" t="e">
        <f>VLOOKUP(BQ196, Cat_Indicadores!B:C, 2, FALSE)</f>
        <v>#N/A</v>
      </c>
      <c r="BS196" s="35" t="s">
        <v>5592</v>
      </c>
      <c r="BT196" s="35"/>
    </row>
    <row r="197" spans="1:72">
      <c r="A197" s="29" t="s">
        <v>925</v>
      </c>
      <c r="B197" s="30" t="s">
        <v>926</v>
      </c>
      <c r="C197" s="31">
        <v>46208.550636574073</v>
      </c>
      <c r="D197" s="30">
        <v>92</v>
      </c>
      <c r="E197" s="30" t="s">
        <v>74</v>
      </c>
      <c r="F197" s="30" t="s">
        <v>75</v>
      </c>
      <c r="G197" s="30" t="s">
        <v>133</v>
      </c>
      <c r="H197" s="30" t="s">
        <v>77</v>
      </c>
      <c r="I197" s="30" t="s">
        <v>78</v>
      </c>
      <c r="J197" s="30" t="s">
        <v>79</v>
      </c>
      <c r="K197" s="32">
        <v>800</v>
      </c>
      <c r="L197" s="32" t="s">
        <v>80</v>
      </c>
      <c r="M197" s="30" t="s">
        <v>924</v>
      </c>
      <c r="N197" s="30" t="s">
        <v>927</v>
      </c>
      <c r="O197" s="30" t="s">
        <v>83</v>
      </c>
      <c r="P197" s="33">
        <v>46149</v>
      </c>
      <c r="Q197" s="33">
        <v>46149</v>
      </c>
      <c r="R197" s="32">
        <v>1</v>
      </c>
      <c r="S197" s="30" t="s">
        <v>84</v>
      </c>
      <c r="T197" s="30" t="s">
        <v>117</v>
      </c>
      <c r="U197" s="30" t="s">
        <v>349</v>
      </c>
      <c r="V197" s="30" t="s">
        <v>87</v>
      </c>
      <c r="W197" s="30" t="s">
        <v>88</v>
      </c>
      <c r="X197" s="30" t="s">
        <v>197</v>
      </c>
      <c r="Y197" s="30">
        <v>8</v>
      </c>
      <c r="AB197" s="30" t="b">
        <v>0</v>
      </c>
      <c r="AC197" s="30"/>
      <c r="AD197" s="30" t="b">
        <v>0</v>
      </c>
      <c r="AF197" s="30" t="b">
        <v>0</v>
      </c>
      <c r="AH197" s="32" t="s">
        <v>91</v>
      </c>
      <c r="AI197" s="32"/>
      <c r="AJ197" s="32"/>
      <c r="AK197" s="32"/>
      <c r="AL197" s="30" t="s">
        <v>92</v>
      </c>
      <c r="AM197" s="30" t="s">
        <v>93</v>
      </c>
      <c r="AN197" s="30" t="s">
        <v>94</v>
      </c>
      <c r="AO197" s="30" t="s">
        <v>142</v>
      </c>
      <c r="AP197" s="30" t="s">
        <v>143</v>
      </c>
      <c r="AQ197" s="30" t="s">
        <v>232</v>
      </c>
      <c r="AR197" s="30" t="s">
        <v>691</v>
      </c>
      <c r="AT197" s="30" t="s">
        <v>99</v>
      </c>
      <c r="AU197" s="30" t="s">
        <v>146</v>
      </c>
      <c r="AV197" s="30" t="s">
        <v>839</v>
      </c>
      <c r="AW197" s="30" t="s">
        <v>102</v>
      </c>
      <c r="AX197" s="34" t="s">
        <v>349</v>
      </c>
      <c r="AY197" s="34" t="s">
        <v>103</v>
      </c>
      <c r="AZ197" s="34"/>
      <c r="BA197" s="34"/>
      <c r="BB197" s="34"/>
      <c r="BC197" s="34">
        <v>0</v>
      </c>
      <c r="BD197" s="34"/>
      <c r="BE197" s="34"/>
      <c r="BF197" s="34" t="b">
        <v>0</v>
      </c>
      <c r="BG197" s="34"/>
      <c r="BH197" s="34"/>
      <c r="BI197" s="34"/>
      <c r="BJ197" s="34"/>
      <c r="BK197" s="34"/>
      <c r="BL197" s="34"/>
      <c r="BM197" s="34" t="s">
        <v>168</v>
      </c>
      <c r="BN197" s="34"/>
      <c r="BO197" s="35"/>
      <c r="BP197" s="35"/>
      <c r="BQ197" s="35" t="s">
        <v>108</v>
      </c>
      <c r="BR197" s="36" t="e">
        <f>VLOOKUP(BQ197, Cat_Indicadores!B:C, 2, FALSE)</f>
        <v>#N/A</v>
      </c>
      <c r="BS197" s="35" t="s">
        <v>5592</v>
      </c>
      <c r="BT197" s="35"/>
    </row>
    <row r="198" spans="1:72">
      <c r="A198" s="29" t="s">
        <v>928</v>
      </c>
      <c r="B198" s="30" t="s">
        <v>929</v>
      </c>
      <c r="C198" s="31">
        <v>46208.552870370368</v>
      </c>
      <c r="D198" s="30">
        <v>92</v>
      </c>
      <c r="E198" s="30" t="s">
        <v>74</v>
      </c>
      <c r="F198" s="30" t="s">
        <v>75</v>
      </c>
      <c r="G198" s="30" t="s">
        <v>133</v>
      </c>
      <c r="H198" s="30" t="s">
        <v>77</v>
      </c>
      <c r="I198" s="30" t="s">
        <v>78</v>
      </c>
      <c r="J198" s="30" t="s">
        <v>79</v>
      </c>
      <c r="K198" s="32">
        <v>800</v>
      </c>
      <c r="L198" s="32" t="s">
        <v>80</v>
      </c>
      <c r="M198" s="30" t="s">
        <v>930</v>
      </c>
      <c r="N198" s="30" t="s">
        <v>927</v>
      </c>
      <c r="O198" s="30" t="s">
        <v>83</v>
      </c>
      <c r="P198" s="33">
        <v>46154</v>
      </c>
      <c r="Q198" s="33">
        <v>46154</v>
      </c>
      <c r="R198" s="32">
        <v>1</v>
      </c>
      <c r="S198" s="30" t="s">
        <v>84</v>
      </c>
      <c r="T198" s="30" t="s">
        <v>117</v>
      </c>
      <c r="U198" s="30" t="s">
        <v>349</v>
      </c>
      <c r="V198" s="30" t="s">
        <v>87</v>
      </c>
      <c r="W198" s="30" t="s">
        <v>88</v>
      </c>
      <c r="X198" s="30" t="s">
        <v>197</v>
      </c>
      <c r="Y198" s="30">
        <v>8</v>
      </c>
      <c r="AB198" s="30" t="b">
        <v>0</v>
      </c>
      <c r="AC198" s="30"/>
      <c r="AD198" s="30" t="b">
        <v>0</v>
      </c>
      <c r="AF198" s="30" t="b">
        <v>0</v>
      </c>
      <c r="AH198" s="32" t="s">
        <v>91</v>
      </c>
      <c r="AI198" s="32"/>
      <c r="AJ198" s="32"/>
      <c r="AK198" s="32"/>
      <c r="AL198" s="30" t="s">
        <v>92</v>
      </c>
      <c r="AM198" s="30" t="s">
        <v>93</v>
      </c>
      <c r="AN198" s="30" t="s">
        <v>94</v>
      </c>
      <c r="AO198" s="30" t="s">
        <v>142</v>
      </c>
      <c r="AP198" s="30" t="s">
        <v>143</v>
      </c>
      <c r="AQ198" s="30" t="s">
        <v>232</v>
      </c>
      <c r="AR198" s="30" t="s">
        <v>691</v>
      </c>
      <c r="AT198" s="30" t="s">
        <v>99</v>
      </c>
      <c r="AU198" s="30" t="s">
        <v>146</v>
      </c>
      <c r="AV198" s="30" t="s">
        <v>839</v>
      </c>
      <c r="AW198" s="30" t="s">
        <v>102</v>
      </c>
      <c r="AX198" s="34" t="s">
        <v>349</v>
      </c>
      <c r="AY198" s="34" t="s">
        <v>103</v>
      </c>
      <c r="AZ198" s="34"/>
      <c r="BA198" s="34"/>
      <c r="BB198" s="34"/>
      <c r="BC198" s="34">
        <v>0</v>
      </c>
      <c r="BD198" s="34"/>
      <c r="BE198" s="34"/>
      <c r="BF198" s="34" t="b">
        <v>0</v>
      </c>
      <c r="BG198" s="34"/>
      <c r="BH198" s="34"/>
      <c r="BI198" s="34"/>
      <c r="BJ198" s="34"/>
      <c r="BK198" s="34"/>
      <c r="BL198" s="34"/>
      <c r="BM198" s="34" t="s">
        <v>168</v>
      </c>
      <c r="BN198" s="34"/>
      <c r="BO198" s="35"/>
      <c r="BP198" s="35"/>
      <c r="BQ198" s="35" t="s">
        <v>108</v>
      </c>
      <c r="BR198" s="36" t="e">
        <f>VLOOKUP(BQ198, Cat_Indicadores!B:C, 2, FALSE)</f>
        <v>#N/A</v>
      </c>
      <c r="BS198" s="35" t="s">
        <v>5592</v>
      </c>
      <c r="BT198" s="35"/>
    </row>
    <row r="199" spans="1:72">
      <c r="A199" s="29" t="s">
        <v>931</v>
      </c>
      <c r="B199" s="30" t="s">
        <v>932</v>
      </c>
      <c r="C199" s="31">
        <v>46208.555821759262</v>
      </c>
      <c r="D199" s="30">
        <v>92</v>
      </c>
      <c r="E199" s="30" t="s">
        <v>74</v>
      </c>
      <c r="F199" s="30" t="s">
        <v>75</v>
      </c>
      <c r="G199" s="30" t="s">
        <v>133</v>
      </c>
      <c r="H199" s="30" t="s">
        <v>77</v>
      </c>
      <c r="I199" s="30" t="s">
        <v>78</v>
      </c>
      <c r="J199" s="30" t="s">
        <v>79</v>
      </c>
      <c r="K199" s="32">
        <v>800</v>
      </c>
      <c r="L199" s="32" t="s">
        <v>80</v>
      </c>
      <c r="M199" s="30" t="s">
        <v>933</v>
      </c>
      <c r="N199" s="30" t="s">
        <v>927</v>
      </c>
      <c r="O199" s="30" t="s">
        <v>83</v>
      </c>
      <c r="P199" s="33">
        <v>46156</v>
      </c>
      <c r="Q199" s="33">
        <v>46156</v>
      </c>
      <c r="R199" s="32">
        <v>1</v>
      </c>
      <c r="S199" s="30" t="s">
        <v>84</v>
      </c>
      <c r="T199" s="30" t="s">
        <v>117</v>
      </c>
      <c r="U199" s="30" t="s">
        <v>349</v>
      </c>
      <c r="V199" s="30" t="s">
        <v>87</v>
      </c>
      <c r="W199" s="30" t="s">
        <v>88</v>
      </c>
      <c r="X199" s="30" t="s">
        <v>197</v>
      </c>
      <c r="Y199" s="30">
        <v>8</v>
      </c>
      <c r="AB199" s="30" t="b">
        <v>0</v>
      </c>
      <c r="AC199" s="30"/>
      <c r="AD199" s="30" t="b">
        <v>0</v>
      </c>
      <c r="AF199" s="30" t="b">
        <v>0</v>
      </c>
      <c r="AH199" s="32" t="s">
        <v>91</v>
      </c>
      <c r="AI199" s="32"/>
      <c r="AJ199" s="32"/>
      <c r="AK199" s="32"/>
      <c r="AL199" s="30" t="s">
        <v>92</v>
      </c>
      <c r="AM199" s="30" t="s">
        <v>93</v>
      </c>
      <c r="AN199" s="30" t="s">
        <v>94</v>
      </c>
      <c r="AO199" s="30" t="s">
        <v>142</v>
      </c>
      <c r="AP199" s="30" t="s">
        <v>143</v>
      </c>
      <c r="AQ199" s="30" t="s">
        <v>232</v>
      </c>
      <c r="AR199" s="30" t="s">
        <v>691</v>
      </c>
      <c r="AT199" s="30" t="s">
        <v>99</v>
      </c>
      <c r="AU199" s="30" t="s">
        <v>146</v>
      </c>
      <c r="AV199" s="30" t="s">
        <v>839</v>
      </c>
      <c r="AW199" s="30" t="s">
        <v>102</v>
      </c>
      <c r="AX199" s="34" t="s">
        <v>349</v>
      </c>
      <c r="AY199" s="34" t="s">
        <v>103</v>
      </c>
      <c r="AZ199" s="34"/>
      <c r="BA199" s="34"/>
      <c r="BB199" s="34"/>
      <c r="BC199" s="34">
        <v>0</v>
      </c>
      <c r="BD199" s="34"/>
      <c r="BE199" s="34"/>
      <c r="BF199" s="34" t="b">
        <v>0</v>
      </c>
      <c r="BG199" s="34"/>
      <c r="BH199" s="34"/>
      <c r="BI199" s="34"/>
      <c r="BJ199" s="34"/>
      <c r="BK199" s="34"/>
      <c r="BL199" s="34"/>
      <c r="BM199" s="34" t="s">
        <v>168</v>
      </c>
      <c r="BN199" s="34"/>
      <c r="BO199" s="35"/>
      <c r="BP199" s="35"/>
      <c r="BQ199" s="35" t="s">
        <v>108</v>
      </c>
      <c r="BR199" s="36" t="e">
        <f>VLOOKUP(BQ199, Cat_Indicadores!B:C, 2, FALSE)</f>
        <v>#N/A</v>
      </c>
      <c r="BS199" s="35" t="s">
        <v>5592</v>
      </c>
      <c r="BT199" s="35"/>
    </row>
    <row r="200" spans="1:72">
      <c r="A200" s="29" t="s">
        <v>934</v>
      </c>
      <c r="B200" s="30" t="s">
        <v>935</v>
      </c>
      <c r="C200" s="31">
        <v>46208.558252314811</v>
      </c>
      <c r="D200" s="30">
        <v>92</v>
      </c>
      <c r="E200" s="30" t="s">
        <v>74</v>
      </c>
      <c r="F200" s="30" t="s">
        <v>75</v>
      </c>
      <c r="G200" s="30" t="s">
        <v>133</v>
      </c>
      <c r="H200" s="30" t="s">
        <v>77</v>
      </c>
      <c r="I200" s="30" t="s">
        <v>78</v>
      </c>
      <c r="J200" s="30" t="s">
        <v>79</v>
      </c>
      <c r="K200" s="32">
        <v>800</v>
      </c>
      <c r="L200" s="32" t="s">
        <v>80</v>
      </c>
      <c r="M200" s="30" t="s">
        <v>936</v>
      </c>
      <c r="N200" s="30" t="s">
        <v>927</v>
      </c>
      <c r="O200" s="30" t="s">
        <v>83</v>
      </c>
      <c r="P200" s="33">
        <v>46161</v>
      </c>
      <c r="Q200" s="33">
        <v>46161</v>
      </c>
      <c r="R200" s="32">
        <v>1</v>
      </c>
      <c r="S200" s="30" t="s">
        <v>84</v>
      </c>
      <c r="T200" s="30" t="s">
        <v>117</v>
      </c>
      <c r="U200" s="30" t="s">
        <v>349</v>
      </c>
      <c r="V200" s="30" t="s">
        <v>87</v>
      </c>
      <c r="W200" s="30" t="s">
        <v>88</v>
      </c>
      <c r="X200" s="30" t="s">
        <v>197</v>
      </c>
      <c r="Y200" s="30">
        <v>8</v>
      </c>
      <c r="AB200" s="30" t="b">
        <v>0</v>
      </c>
      <c r="AC200" s="30"/>
      <c r="AD200" s="30" t="b">
        <v>0</v>
      </c>
      <c r="AF200" s="30" t="b">
        <v>0</v>
      </c>
      <c r="AH200" s="32" t="s">
        <v>91</v>
      </c>
      <c r="AI200" s="32"/>
      <c r="AJ200" s="32"/>
      <c r="AK200" s="32"/>
      <c r="AL200" s="30" t="s">
        <v>92</v>
      </c>
      <c r="AM200" s="30" t="s">
        <v>93</v>
      </c>
      <c r="AN200" s="30" t="s">
        <v>94</v>
      </c>
      <c r="AO200" s="30" t="s">
        <v>142</v>
      </c>
      <c r="AP200" s="30" t="s">
        <v>143</v>
      </c>
      <c r="AQ200" s="30" t="s">
        <v>232</v>
      </c>
      <c r="AR200" s="30" t="s">
        <v>691</v>
      </c>
      <c r="AT200" s="30" t="s">
        <v>99</v>
      </c>
      <c r="AU200" s="30" t="s">
        <v>146</v>
      </c>
      <c r="AV200" s="30" t="s">
        <v>839</v>
      </c>
      <c r="AW200" s="30" t="s">
        <v>102</v>
      </c>
      <c r="AX200" s="34" t="s">
        <v>349</v>
      </c>
      <c r="AY200" s="34" t="s">
        <v>103</v>
      </c>
      <c r="AZ200" s="34"/>
      <c r="BA200" s="34"/>
      <c r="BB200" s="34"/>
      <c r="BC200" s="34">
        <v>0</v>
      </c>
      <c r="BD200" s="34"/>
      <c r="BE200" s="34"/>
      <c r="BF200" s="34" t="b">
        <v>0</v>
      </c>
      <c r="BG200" s="34"/>
      <c r="BH200" s="34"/>
      <c r="BI200" s="34"/>
      <c r="BJ200" s="34"/>
      <c r="BK200" s="34"/>
      <c r="BL200" s="34"/>
      <c r="BM200" s="34" t="s">
        <v>168</v>
      </c>
      <c r="BN200" s="34"/>
      <c r="BO200" s="35"/>
      <c r="BP200" s="35"/>
      <c r="BQ200" s="35" t="s">
        <v>108</v>
      </c>
      <c r="BR200" s="36" t="e">
        <f>VLOOKUP(BQ200, Cat_Indicadores!B:C, 2, FALSE)</f>
        <v>#N/A</v>
      </c>
      <c r="BS200" s="35" t="s">
        <v>5592</v>
      </c>
      <c r="BT200" s="35"/>
    </row>
    <row r="201" spans="1:72">
      <c r="A201" s="29" t="s">
        <v>937</v>
      </c>
      <c r="B201" s="30" t="s">
        <v>938</v>
      </c>
      <c r="C201" s="31">
        <v>46208.561111111114</v>
      </c>
      <c r="D201" s="30">
        <v>92</v>
      </c>
      <c r="E201" s="30" t="s">
        <v>74</v>
      </c>
      <c r="F201" s="30" t="s">
        <v>75</v>
      </c>
      <c r="G201" s="30" t="s">
        <v>133</v>
      </c>
      <c r="H201" s="30" t="s">
        <v>77</v>
      </c>
      <c r="I201" s="30" t="s">
        <v>78</v>
      </c>
      <c r="J201" s="30" t="s">
        <v>79</v>
      </c>
      <c r="K201" s="32">
        <v>800</v>
      </c>
      <c r="L201" s="32" t="s">
        <v>80</v>
      </c>
      <c r="M201" s="30" t="s">
        <v>924</v>
      </c>
      <c r="N201" s="30" t="s">
        <v>927</v>
      </c>
      <c r="O201" s="30" t="s">
        <v>83</v>
      </c>
      <c r="P201" s="33">
        <v>46163</v>
      </c>
      <c r="Q201" s="33">
        <v>46163</v>
      </c>
      <c r="R201" s="32">
        <v>1</v>
      </c>
      <c r="S201" s="30" t="s">
        <v>84</v>
      </c>
      <c r="T201" s="30" t="s">
        <v>117</v>
      </c>
      <c r="U201" s="30" t="s">
        <v>349</v>
      </c>
      <c r="V201" s="30" t="s">
        <v>87</v>
      </c>
      <c r="W201" s="30" t="s">
        <v>88</v>
      </c>
      <c r="X201" s="30" t="s">
        <v>197</v>
      </c>
      <c r="Y201" s="30">
        <v>8</v>
      </c>
      <c r="AB201" s="30" t="b">
        <v>0</v>
      </c>
      <c r="AC201" s="30"/>
      <c r="AD201" s="30" t="b">
        <v>0</v>
      </c>
      <c r="AF201" s="30" t="b">
        <v>0</v>
      </c>
      <c r="AH201" s="32" t="s">
        <v>91</v>
      </c>
      <c r="AI201" s="32"/>
      <c r="AJ201" s="32"/>
      <c r="AK201" s="32"/>
      <c r="AL201" s="30" t="s">
        <v>92</v>
      </c>
      <c r="AM201" s="30" t="s">
        <v>93</v>
      </c>
      <c r="AN201" s="30" t="s">
        <v>94</v>
      </c>
      <c r="AO201" s="30" t="s">
        <v>142</v>
      </c>
      <c r="AP201" s="30" t="s">
        <v>143</v>
      </c>
      <c r="AQ201" s="30" t="s">
        <v>232</v>
      </c>
      <c r="AR201" s="30" t="s">
        <v>691</v>
      </c>
      <c r="AT201" s="30" t="s">
        <v>99</v>
      </c>
      <c r="AU201" s="30" t="s">
        <v>146</v>
      </c>
      <c r="AV201" s="30" t="s">
        <v>839</v>
      </c>
      <c r="AW201" s="30" t="s">
        <v>102</v>
      </c>
      <c r="AX201" s="34" t="s">
        <v>349</v>
      </c>
      <c r="AY201" s="34" t="s">
        <v>103</v>
      </c>
      <c r="AZ201" s="34"/>
      <c r="BA201" s="34"/>
      <c r="BB201" s="34"/>
      <c r="BC201" s="34">
        <v>0</v>
      </c>
      <c r="BD201" s="34"/>
      <c r="BE201" s="34"/>
      <c r="BF201" s="34" t="b">
        <v>0</v>
      </c>
      <c r="BG201" s="34"/>
      <c r="BH201" s="34"/>
      <c r="BI201" s="34"/>
      <c r="BJ201" s="34"/>
      <c r="BK201" s="34"/>
      <c r="BL201" s="34"/>
      <c r="BM201" s="34" t="s">
        <v>168</v>
      </c>
      <c r="BN201" s="34"/>
      <c r="BO201" s="35"/>
      <c r="BP201" s="35"/>
      <c r="BQ201" s="35" t="s">
        <v>108</v>
      </c>
      <c r="BR201" s="36" t="e">
        <f>VLOOKUP(BQ201, Cat_Indicadores!B:C, 2, FALSE)</f>
        <v>#N/A</v>
      </c>
      <c r="BS201" s="35" t="s">
        <v>5592</v>
      </c>
      <c r="BT201" s="35"/>
    </row>
    <row r="202" spans="1:72">
      <c r="A202" s="29" t="s">
        <v>939</v>
      </c>
      <c r="B202" s="30" t="s">
        <v>940</v>
      </c>
      <c r="C202" s="31">
        <v>46208.563831018517</v>
      </c>
      <c r="D202" s="30">
        <v>92</v>
      </c>
      <c r="E202" s="30" t="s">
        <v>74</v>
      </c>
      <c r="F202" s="30" t="s">
        <v>75</v>
      </c>
      <c r="G202" s="30" t="s">
        <v>133</v>
      </c>
      <c r="H202" s="30" t="s">
        <v>77</v>
      </c>
      <c r="I202" s="30" t="s">
        <v>78</v>
      </c>
      <c r="J202" s="30" t="s">
        <v>79</v>
      </c>
      <c r="K202" s="32">
        <v>800</v>
      </c>
      <c r="L202" s="32" t="s">
        <v>80</v>
      </c>
      <c r="M202" s="30" t="s">
        <v>924</v>
      </c>
      <c r="N202" s="30" t="s">
        <v>927</v>
      </c>
      <c r="O202" s="30" t="s">
        <v>83</v>
      </c>
      <c r="P202" s="33">
        <v>46163</v>
      </c>
      <c r="Q202" s="33">
        <v>46163</v>
      </c>
      <c r="R202" s="32">
        <v>1</v>
      </c>
      <c r="S202" s="30" t="s">
        <v>84</v>
      </c>
      <c r="T202" s="30" t="s">
        <v>117</v>
      </c>
      <c r="U202" s="30" t="s">
        <v>349</v>
      </c>
      <c r="V202" s="30" t="s">
        <v>87</v>
      </c>
      <c r="W202" s="30" t="s">
        <v>88</v>
      </c>
      <c r="X202" s="30" t="s">
        <v>197</v>
      </c>
      <c r="Y202" s="30">
        <v>8</v>
      </c>
      <c r="AB202" s="30" t="b">
        <v>0</v>
      </c>
      <c r="AC202" s="30"/>
      <c r="AD202" s="30" t="b">
        <v>0</v>
      </c>
      <c r="AF202" s="30" t="b">
        <v>0</v>
      </c>
      <c r="AH202" s="32" t="s">
        <v>91</v>
      </c>
      <c r="AI202" s="32"/>
      <c r="AJ202" s="32"/>
      <c r="AK202" s="32"/>
      <c r="AL202" s="30" t="s">
        <v>92</v>
      </c>
      <c r="AM202" s="30" t="s">
        <v>93</v>
      </c>
      <c r="AN202" s="30" t="s">
        <v>94</v>
      </c>
      <c r="AO202" s="30" t="s">
        <v>142</v>
      </c>
      <c r="AP202" s="30" t="s">
        <v>143</v>
      </c>
      <c r="AQ202" s="30" t="s">
        <v>232</v>
      </c>
      <c r="AR202" s="30" t="s">
        <v>691</v>
      </c>
      <c r="AT202" s="30" t="s">
        <v>99</v>
      </c>
      <c r="AU202" s="30" t="s">
        <v>146</v>
      </c>
      <c r="AV202" s="30" t="s">
        <v>839</v>
      </c>
      <c r="AW202" s="30" t="s">
        <v>102</v>
      </c>
      <c r="AX202" s="34" t="s">
        <v>349</v>
      </c>
      <c r="AY202" s="34" t="s">
        <v>103</v>
      </c>
      <c r="AZ202" s="34"/>
      <c r="BA202" s="34"/>
      <c r="BB202" s="34"/>
      <c r="BC202" s="34">
        <v>0</v>
      </c>
      <c r="BD202" s="34"/>
      <c r="BE202" s="34"/>
      <c r="BF202" s="34" t="b">
        <v>0</v>
      </c>
      <c r="BG202" s="34"/>
      <c r="BH202" s="34"/>
      <c r="BI202" s="34"/>
      <c r="BJ202" s="34"/>
      <c r="BK202" s="34"/>
      <c r="BL202" s="34"/>
      <c r="BM202" s="34" t="s">
        <v>168</v>
      </c>
      <c r="BN202" s="34"/>
      <c r="BO202" s="35"/>
      <c r="BP202" s="35"/>
      <c r="BQ202" s="35" t="s">
        <v>108</v>
      </c>
      <c r="BR202" s="36" t="e">
        <f>VLOOKUP(BQ202, Cat_Indicadores!B:C, 2, FALSE)</f>
        <v>#N/A</v>
      </c>
      <c r="BS202" s="35" t="s">
        <v>5592</v>
      </c>
      <c r="BT202" s="35"/>
    </row>
    <row r="203" spans="1:72">
      <c r="A203" s="29" t="s">
        <v>941</v>
      </c>
      <c r="B203" s="30" t="s">
        <v>942</v>
      </c>
      <c r="C203" s="31">
        <v>46209.404803240737</v>
      </c>
      <c r="D203" s="30">
        <v>92</v>
      </c>
      <c r="E203" s="30" t="s">
        <v>74</v>
      </c>
      <c r="F203" s="30" t="s">
        <v>75</v>
      </c>
      <c r="G203" s="30" t="s">
        <v>133</v>
      </c>
      <c r="H203" s="30" t="s">
        <v>77</v>
      </c>
      <c r="I203" s="30" t="s">
        <v>78</v>
      </c>
      <c r="J203" s="30" t="s">
        <v>79</v>
      </c>
      <c r="K203" s="32">
        <v>800</v>
      </c>
      <c r="L203" s="32" t="s">
        <v>80</v>
      </c>
      <c r="M203" s="30" t="s">
        <v>943</v>
      </c>
      <c r="N203" s="30" t="s">
        <v>919</v>
      </c>
      <c r="O203" s="30" t="s">
        <v>83</v>
      </c>
      <c r="P203" s="33">
        <v>46164</v>
      </c>
      <c r="Q203" s="33">
        <v>46164</v>
      </c>
      <c r="R203" s="32">
        <v>1</v>
      </c>
      <c r="S203" s="30" t="s">
        <v>84</v>
      </c>
      <c r="T203" s="30" t="s">
        <v>117</v>
      </c>
      <c r="U203" s="30" t="s">
        <v>349</v>
      </c>
      <c r="V203" s="30" t="s">
        <v>87</v>
      </c>
      <c r="W203" s="30" t="s">
        <v>88</v>
      </c>
      <c r="X203" s="30" t="s">
        <v>197</v>
      </c>
      <c r="Y203" s="30">
        <v>8</v>
      </c>
      <c r="AB203" s="30" t="b">
        <v>0</v>
      </c>
      <c r="AC203" s="30"/>
      <c r="AD203" s="30" t="b">
        <v>0</v>
      </c>
      <c r="AF203" s="30" t="b">
        <v>0</v>
      </c>
      <c r="AH203" s="32" t="s">
        <v>91</v>
      </c>
      <c r="AI203" s="32"/>
      <c r="AJ203" s="32"/>
      <c r="AK203" s="32"/>
      <c r="AL203" s="30" t="s">
        <v>92</v>
      </c>
      <c r="AM203" s="30" t="s">
        <v>93</v>
      </c>
      <c r="AN203" s="30" t="s">
        <v>94</v>
      </c>
      <c r="AO203" s="30" t="s">
        <v>142</v>
      </c>
      <c r="AP203" s="30" t="s">
        <v>143</v>
      </c>
      <c r="AQ203" s="30" t="s">
        <v>232</v>
      </c>
      <c r="AR203" s="30" t="s">
        <v>691</v>
      </c>
      <c r="AT203" s="30" t="s">
        <v>99</v>
      </c>
      <c r="AU203" s="30" t="s">
        <v>146</v>
      </c>
      <c r="AV203" s="30" t="s">
        <v>839</v>
      </c>
      <c r="AW203" s="30" t="s">
        <v>102</v>
      </c>
      <c r="AX203" s="34" t="s">
        <v>349</v>
      </c>
      <c r="AY203" s="34" t="s">
        <v>103</v>
      </c>
      <c r="AZ203" s="34"/>
      <c r="BA203" s="34"/>
      <c r="BB203" s="34"/>
      <c r="BC203" s="34">
        <v>0</v>
      </c>
      <c r="BD203" s="34"/>
      <c r="BE203" s="34"/>
      <c r="BF203" s="34" t="b">
        <v>0</v>
      </c>
      <c r="BG203" s="34"/>
      <c r="BH203" s="34"/>
      <c r="BI203" s="34"/>
      <c r="BJ203" s="34"/>
      <c r="BK203" s="34"/>
      <c r="BL203" s="34"/>
      <c r="BM203" s="34" t="s">
        <v>168</v>
      </c>
      <c r="BN203" s="34"/>
      <c r="BO203" s="35"/>
      <c r="BP203" s="35"/>
      <c r="BQ203" s="35" t="s">
        <v>108</v>
      </c>
      <c r="BR203" s="36" t="e">
        <f>VLOOKUP(BQ203, Cat_Indicadores!B:C, 2, FALSE)</f>
        <v>#N/A</v>
      </c>
      <c r="BS203" s="35" t="s">
        <v>5592</v>
      </c>
      <c r="BT203" s="35"/>
    </row>
    <row r="204" spans="1:72">
      <c r="A204" s="29" t="s">
        <v>944</v>
      </c>
      <c r="B204" s="30" t="s">
        <v>945</v>
      </c>
      <c r="C204" s="31">
        <v>46209.408414351848</v>
      </c>
      <c r="D204" s="30">
        <v>92</v>
      </c>
      <c r="E204" s="30" t="s">
        <v>74</v>
      </c>
      <c r="F204" s="30" t="s">
        <v>75</v>
      </c>
      <c r="G204" s="30" t="s">
        <v>133</v>
      </c>
      <c r="H204" s="30" t="s">
        <v>77</v>
      </c>
      <c r="I204" s="30" t="s">
        <v>78</v>
      </c>
      <c r="J204" s="30" t="s">
        <v>79</v>
      </c>
      <c r="K204" s="32">
        <v>800</v>
      </c>
      <c r="L204" s="32" t="s">
        <v>80</v>
      </c>
      <c r="M204" s="30" t="s">
        <v>943</v>
      </c>
      <c r="N204" s="30" t="s">
        <v>927</v>
      </c>
      <c r="O204" s="30" t="s">
        <v>83</v>
      </c>
      <c r="P204" s="33">
        <v>46164</v>
      </c>
      <c r="Q204" s="33">
        <v>46164</v>
      </c>
      <c r="R204" s="32">
        <v>1</v>
      </c>
      <c r="S204" s="30" t="s">
        <v>84</v>
      </c>
      <c r="T204" s="30" t="s">
        <v>117</v>
      </c>
      <c r="U204" s="30" t="s">
        <v>349</v>
      </c>
      <c r="V204" s="30" t="s">
        <v>87</v>
      </c>
      <c r="W204" s="30" t="s">
        <v>88</v>
      </c>
      <c r="X204" s="30" t="s">
        <v>197</v>
      </c>
      <c r="Y204" s="30">
        <v>8</v>
      </c>
      <c r="AB204" s="30" t="b">
        <v>0</v>
      </c>
      <c r="AC204" s="30"/>
      <c r="AD204" s="30" t="b">
        <v>0</v>
      </c>
      <c r="AF204" s="30" t="b">
        <v>0</v>
      </c>
      <c r="AH204" s="32" t="s">
        <v>91</v>
      </c>
      <c r="AI204" s="32"/>
      <c r="AJ204" s="32"/>
      <c r="AK204" s="32"/>
      <c r="AL204" s="30" t="s">
        <v>92</v>
      </c>
      <c r="AM204" s="30" t="s">
        <v>93</v>
      </c>
      <c r="AN204" s="30" t="s">
        <v>94</v>
      </c>
      <c r="AO204" s="30" t="s">
        <v>142</v>
      </c>
      <c r="AP204" s="30" t="s">
        <v>143</v>
      </c>
      <c r="AQ204" s="30" t="s">
        <v>232</v>
      </c>
      <c r="AR204" s="30" t="s">
        <v>691</v>
      </c>
      <c r="AT204" s="30" t="s">
        <v>99</v>
      </c>
      <c r="AU204" s="30" t="s">
        <v>146</v>
      </c>
      <c r="AV204" s="30" t="s">
        <v>839</v>
      </c>
      <c r="AW204" s="30" t="s">
        <v>102</v>
      </c>
      <c r="AX204" s="34" t="s">
        <v>349</v>
      </c>
      <c r="AY204" s="34" t="s">
        <v>103</v>
      </c>
      <c r="AZ204" s="34"/>
      <c r="BA204" s="34"/>
      <c r="BB204" s="34"/>
      <c r="BC204" s="34">
        <v>0</v>
      </c>
      <c r="BD204" s="34"/>
      <c r="BE204" s="34"/>
      <c r="BF204" s="34" t="b">
        <v>0</v>
      </c>
      <c r="BG204" s="34"/>
      <c r="BH204" s="34"/>
      <c r="BI204" s="34"/>
      <c r="BJ204" s="34"/>
      <c r="BK204" s="34"/>
      <c r="BL204" s="34"/>
      <c r="BM204" s="34" t="s">
        <v>168</v>
      </c>
      <c r="BN204" s="34"/>
      <c r="BO204" s="35"/>
      <c r="BP204" s="35"/>
      <c r="BQ204" s="35" t="s">
        <v>108</v>
      </c>
      <c r="BR204" s="36" t="e">
        <f>VLOOKUP(BQ204, Cat_Indicadores!B:C, 2, FALSE)</f>
        <v>#N/A</v>
      </c>
      <c r="BS204" s="35" t="s">
        <v>5592</v>
      </c>
      <c r="BT204" s="35"/>
    </row>
    <row r="205" spans="1:72">
      <c r="A205" s="29" t="s">
        <v>946</v>
      </c>
      <c r="B205" s="30" t="s">
        <v>947</v>
      </c>
      <c r="C205" s="31">
        <v>46209.427361111113</v>
      </c>
      <c r="D205" s="30">
        <v>92</v>
      </c>
      <c r="E205" s="30" t="s">
        <v>74</v>
      </c>
      <c r="F205" s="30" t="s">
        <v>75</v>
      </c>
      <c r="G205" s="30" t="s">
        <v>133</v>
      </c>
      <c r="H205" s="30" t="s">
        <v>77</v>
      </c>
      <c r="I205" s="30" t="s">
        <v>78</v>
      </c>
      <c r="J205" s="30" t="s">
        <v>79</v>
      </c>
      <c r="K205" s="32">
        <v>800</v>
      </c>
      <c r="L205" s="32" t="s">
        <v>80</v>
      </c>
      <c r="M205" s="30" t="s">
        <v>673</v>
      </c>
      <c r="N205" s="30" t="s">
        <v>927</v>
      </c>
      <c r="O205" s="30" t="s">
        <v>83</v>
      </c>
      <c r="P205" s="33">
        <v>46168</v>
      </c>
      <c r="Q205" s="33">
        <v>46168</v>
      </c>
      <c r="R205" s="32">
        <v>1</v>
      </c>
      <c r="S205" s="30" t="s">
        <v>84</v>
      </c>
      <c r="T205" s="30" t="s">
        <v>117</v>
      </c>
      <c r="U205" s="30" t="s">
        <v>338</v>
      </c>
      <c r="V205" s="30" t="s">
        <v>87</v>
      </c>
      <c r="W205" s="30" t="s">
        <v>88</v>
      </c>
      <c r="X205" s="30" t="s">
        <v>197</v>
      </c>
      <c r="Y205" s="30">
        <v>8</v>
      </c>
      <c r="AB205" s="30" t="b">
        <v>0</v>
      </c>
      <c r="AC205" s="30"/>
      <c r="AD205" s="30" t="b">
        <v>0</v>
      </c>
      <c r="AF205" s="30" t="b">
        <v>0</v>
      </c>
      <c r="AH205" s="32" t="s">
        <v>91</v>
      </c>
      <c r="AI205" s="32"/>
      <c r="AJ205" s="32"/>
      <c r="AK205" s="32"/>
      <c r="AL205" s="30" t="s">
        <v>92</v>
      </c>
      <c r="AM205" s="30" t="s">
        <v>93</v>
      </c>
      <c r="AN205" s="30" t="s">
        <v>94</v>
      </c>
      <c r="AO205" s="30" t="s">
        <v>142</v>
      </c>
      <c r="AP205" s="30" t="s">
        <v>143</v>
      </c>
      <c r="AQ205" s="30" t="s">
        <v>232</v>
      </c>
      <c r="AR205" s="30" t="s">
        <v>691</v>
      </c>
      <c r="AT205" s="30" t="s">
        <v>99</v>
      </c>
      <c r="AU205" s="30" t="s">
        <v>146</v>
      </c>
      <c r="AV205" s="30" t="s">
        <v>839</v>
      </c>
      <c r="AW205" s="30" t="s">
        <v>102</v>
      </c>
      <c r="AX205" s="34" t="s">
        <v>338</v>
      </c>
      <c r="AY205" s="34" t="s">
        <v>103</v>
      </c>
      <c r="AZ205" s="34"/>
      <c r="BA205" s="34"/>
      <c r="BB205" s="34"/>
      <c r="BC205" s="34">
        <v>0</v>
      </c>
      <c r="BD205" s="34"/>
      <c r="BE205" s="34"/>
      <c r="BF205" s="34" t="b">
        <v>0</v>
      </c>
      <c r="BG205" s="34"/>
      <c r="BH205" s="34"/>
      <c r="BI205" s="34"/>
      <c r="BJ205" s="34"/>
      <c r="BK205" s="34"/>
      <c r="BL205" s="34"/>
      <c r="BM205" s="34" t="s">
        <v>168</v>
      </c>
      <c r="BN205" s="34"/>
      <c r="BO205" s="35"/>
      <c r="BP205" s="35"/>
      <c r="BQ205" s="35" t="s">
        <v>108</v>
      </c>
      <c r="BR205" s="36" t="e">
        <f>VLOOKUP(BQ205, Cat_Indicadores!B:C, 2, FALSE)</f>
        <v>#N/A</v>
      </c>
      <c r="BS205" s="35" t="s">
        <v>5592</v>
      </c>
      <c r="BT205" s="35"/>
    </row>
    <row r="206" spans="1:72">
      <c r="A206" s="29" t="s">
        <v>948</v>
      </c>
      <c r="B206" s="30" t="s">
        <v>949</v>
      </c>
      <c r="C206" s="31">
        <v>46209.436238425929</v>
      </c>
      <c r="D206" s="30">
        <v>92</v>
      </c>
      <c r="E206" s="30" t="s">
        <v>74</v>
      </c>
      <c r="F206" s="30" t="s">
        <v>75</v>
      </c>
      <c r="G206" s="30" t="s">
        <v>133</v>
      </c>
      <c r="H206" s="30" t="s">
        <v>77</v>
      </c>
      <c r="I206" s="30" t="s">
        <v>78</v>
      </c>
      <c r="J206" s="30" t="s">
        <v>79</v>
      </c>
      <c r="K206" s="32">
        <v>800</v>
      </c>
      <c r="L206" s="32" t="s">
        <v>80</v>
      </c>
      <c r="M206" s="30" t="s">
        <v>950</v>
      </c>
      <c r="N206" s="30" t="s">
        <v>927</v>
      </c>
      <c r="O206" s="30" t="s">
        <v>83</v>
      </c>
      <c r="P206" s="33">
        <v>46169</v>
      </c>
      <c r="Q206" s="33">
        <v>46169</v>
      </c>
      <c r="R206" s="32">
        <v>1</v>
      </c>
      <c r="S206" s="30" t="s">
        <v>84</v>
      </c>
      <c r="T206" s="30" t="s">
        <v>117</v>
      </c>
      <c r="U206" s="30" t="s">
        <v>349</v>
      </c>
      <c r="V206" s="30" t="s">
        <v>87</v>
      </c>
      <c r="W206" s="30" t="s">
        <v>88</v>
      </c>
      <c r="X206" s="30" t="s">
        <v>197</v>
      </c>
      <c r="Y206" s="30">
        <v>8</v>
      </c>
      <c r="AB206" s="30" t="b">
        <v>0</v>
      </c>
      <c r="AC206" s="30"/>
      <c r="AD206" s="30" t="b">
        <v>0</v>
      </c>
      <c r="AF206" s="30" t="b">
        <v>0</v>
      </c>
      <c r="AH206" s="32" t="s">
        <v>91</v>
      </c>
      <c r="AI206" s="32"/>
      <c r="AJ206" s="32"/>
      <c r="AK206" s="32"/>
      <c r="AL206" s="30" t="s">
        <v>92</v>
      </c>
      <c r="AM206" s="30" t="s">
        <v>93</v>
      </c>
      <c r="AN206" s="30" t="s">
        <v>94</v>
      </c>
      <c r="AO206" s="30" t="s">
        <v>142</v>
      </c>
      <c r="AP206" s="30" t="s">
        <v>143</v>
      </c>
      <c r="AQ206" s="30" t="s">
        <v>232</v>
      </c>
      <c r="AR206" s="30" t="s">
        <v>691</v>
      </c>
      <c r="AT206" s="30" t="s">
        <v>99</v>
      </c>
      <c r="AU206" s="30" t="s">
        <v>146</v>
      </c>
      <c r="AV206" s="30" t="s">
        <v>839</v>
      </c>
      <c r="AW206" s="30" t="s">
        <v>102</v>
      </c>
      <c r="AX206" s="34" t="s">
        <v>349</v>
      </c>
      <c r="AY206" s="34" t="s">
        <v>103</v>
      </c>
      <c r="AZ206" s="34"/>
      <c r="BA206" s="34"/>
      <c r="BB206" s="34"/>
      <c r="BC206" s="34">
        <v>0</v>
      </c>
      <c r="BD206" s="34"/>
      <c r="BE206" s="34"/>
      <c r="BF206" s="34" t="b">
        <v>0</v>
      </c>
      <c r="BG206" s="34"/>
      <c r="BH206" s="34"/>
      <c r="BI206" s="34"/>
      <c r="BJ206" s="34"/>
      <c r="BK206" s="34"/>
      <c r="BL206" s="34"/>
      <c r="BM206" s="34" t="s">
        <v>168</v>
      </c>
      <c r="BN206" s="34"/>
      <c r="BO206" s="35"/>
      <c r="BP206" s="35"/>
      <c r="BQ206" s="35" t="s">
        <v>108</v>
      </c>
      <c r="BR206" s="36" t="e">
        <f>VLOOKUP(BQ206, Cat_Indicadores!B:C, 2, FALSE)</f>
        <v>#N/A</v>
      </c>
      <c r="BS206" s="35" t="s">
        <v>5592</v>
      </c>
      <c r="BT206" s="35"/>
    </row>
    <row r="207" spans="1:72">
      <c r="A207" s="29" t="s">
        <v>951</v>
      </c>
      <c r="B207" s="30" t="s">
        <v>952</v>
      </c>
      <c r="C207" s="31">
        <v>46209.439317129632</v>
      </c>
      <c r="D207" s="30">
        <v>92</v>
      </c>
      <c r="E207" s="30" t="s">
        <v>74</v>
      </c>
      <c r="F207" s="30" t="s">
        <v>75</v>
      </c>
      <c r="G207" s="30" t="s">
        <v>133</v>
      </c>
      <c r="H207" s="30" t="s">
        <v>77</v>
      </c>
      <c r="I207" s="30" t="s">
        <v>78</v>
      </c>
      <c r="J207" s="30" t="s">
        <v>79</v>
      </c>
      <c r="K207" s="32">
        <v>800</v>
      </c>
      <c r="L207" s="32" t="s">
        <v>80</v>
      </c>
      <c r="M207" s="30" t="s">
        <v>953</v>
      </c>
      <c r="N207" s="30" t="s">
        <v>927</v>
      </c>
      <c r="O207" s="30" t="s">
        <v>83</v>
      </c>
      <c r="P207" s="33">
        <v>46170</v>
      </c>
      <c r="Q207" s="33">
        <v>46170</v>
      </c>
      <c r="R207" s="32">
        <v>1</v>
      </c>
      <c r="S207" s="30" t="s">
        <v>84</v>
      </c>
      <c r="T207" s="30" t="s">
        <v>117</v>
      </c>
      <c r="U207" s="30" t="s">
        <v>338</v>
      </c>
      <c r="V207" s="30" t="s">
        <v>87</v>
      </c>
      <c r="W207" s="30" t="s">
        <v>88</v>
      </c>
      <c r="X207" s="30" t="s">
        <v>197</v>
      </c>
      <c r="Y207" s="30">
        <v>8</v>
      </c>
      <c r="AB207" s="30" t="b">
        <v>0</v>
      </c>
      <c r="AC207" s="30"/>
      <c r="AD207" s="30" t="b">
        <v>0</v>
      </c>
      <c r="AF207" s="30" t="b">
        <v>0</v>
      </c>
      <c r="AH207" s="32" t="s">
        <v>91</v>
      </c>
      <c r="AI207" s="32"/>
      <c r="AJ207" s="32"/>
      <c r="AK207" s="32"/>
      <c r="AL207" s="30" t="s">
        <v>92</v>
      </c>
      <c r="AM207" s="30" t="s">
        <v>93</v>
      </c>
      <c r="AN207" s="30" t="s">
        <v>94</v>
      </c>
      <c r="AO207" s="30" t="s">
        <v>142</v>
      </c>
      <c r="AP207" s="30" t="s">
        <v>143</v>
      </c>
      <c r="AQ207" s="30" t="s">
        <v>232</v>
      </c>
      <c r="AR207" s="30" t="s">
        <v>691</v>
      </c>
      <c r="AT207" s="30" t="s">
        <v>99</v>
      </c>
      <c r="AU207" s="30" t="s">
        <v>146</v>
      </c>
      <c r="AV207" s="30" t="s">
        <v>839</v>
      </c>
      <c r="AW207" s="30" t="s">
        <v>102</v>
      </c>
      <c r="AX207" s="34" t="s">
        <v>338</v>
      </c>
      <c r="AY207" s="34" t="s">
        <v>103</v>
      </c>
      <c r="AZ207" s="34"/>
      <c r="BA207" s="34"/>
      <c r="BB207" s="34"/>
      <c r="BC207" s="34">
        <v>0</v>
      </c>
      <c r="BD207" s="34"/>
      <c r="BE207" s="34"/>
      <c r="BF207" s="34" t="b">
        <v>0</v>
      </c>
      <c r="BG207" s="34"/>
      <c r="BH207" s="34"/>
      <c r="BI207" s="34"/>
      <c r="BJ207" s="34"/>
      <c r="BK207" s="34"/>
      <c r="BL207" s="34"/>
      <c r="BM207" s="34" t="s">
        <v>168</v>
      </c>
      <c r="BN207" s="34"/>
      <c r="BO207" s="35"/>
      <c r="BP207" s="35"/>
      <c r="BQ207" s="35" t="s">
        <v>108</v>
      </c>
      <c r="BR207" s="36" t="e">
        <f>VLOOKUP(BQ207, Cat_Indicadores!B:C, 2, FALSE)</f>
        <v>#N/A</v>
      </c>
      <c r="BS207" s="35" t="s">
        <v>5592</v>
      </c>
      <c r="BT207" s="35"/>
    </row>
    <row r="208" spans="1:72">
      <c r="A208" s="29" t="s">
        <v>954</v>
      </c>
      <c r="B208" s="30" t="s">
        <v>955</v>
      </c>
      <c r="C208" s="31">
        <v>46209.446319444447</v>
      </c>
      <c r="D208" s="30">
        <v>92</v>
      </c>
      <c r="E208" s="30" t="s">
        <v>74</v>
      </c>
      <c r="F208" s="30" t="s">
        <v>75</v>
      </c>
      <c r="G208" s="30" t="s">
        <v>133</v>
      </c>
      <c r="H208" s="30" t="s">
        <v>77</v>
      </c>
      <c r="I208" s="30" t="s">
        <v>78</v>
      </c>
      <c r="J208" s="30" t="s">
        <v>79</v>
      </c>
      <c r="K208" s="32">
        <v>800</v>
      </c>
      <c r="L208" s="32" t="s">
        <v>80</v>
      </c>
      <c r="M208" s="30" t="s">
        <v>953</v>
      </c>
      <c r="N208" s="30" t="s">
        <v>927</v>
      </c>
      <c r="O208" s="30" t="s">
        <v>83</v>
      </c>
      <c r="P208" s="33">
        <v>46170</v>
      </c>
      <c r="Q208" s="33">
        <v>46170</v>
      </c>
      <c r="R208" s="32">
        <v>1</v>
      </c>
      <c r="S208" s="30" t="s">
        <v>84</v>
      </c>
      <c r="T208" s="30" t="s">
        <v>117</v>
      </c>
      <c r="U208" s="30" t="s">
        <v>338</v>
      </c>
      <c r="V208" s="30" t="s">
        <v>87</v>
      </c>
      <c r="W208" s="30" t="s">
        <v>88</v>
      </c>
      <c r="X208" s="30" t="s">
        <v>197</v>
      </c>
      <c r="Y208" s="30">
        <v>8</v>
      </c>
      <c r="AB208" s="30" t="b">
        <v>0</v>
      </c>
      <c r="AC208" s="30"/>
      <c r="AD208" s="30" t="b">
        <v>0</v>
      </c>
      <c r="AF208" s="30" t="b">
        <v>0</v>
      </c>
      <c r="AH208" s="32" t="s">
        <v>91</v>
      </c>
      <c r="AI208" s="32"/>
      <c r="AJ208" s="32"/>
      <c r="AK208" s="32"/>
      <c r="AL208" s="30" t="s">
        <v>92</v>
      </c>
      <c r="AM208" s="30" t="s">
        <v>93</v>
      </c>
      <c r="AN208" s="30" t="s">
        <v>94</v>
      </c>
      <c r="AO208" s="30" t="s">
        <v>142</v>
      </c>
      <c r="AP208" s="30" t="s">
        <v>143</v>
      </c>
      <c r="AQ208" s="30" t="s">
        <v>232</v>
      </c>
      <c r="AR208" s="30" t="s">
        <v>691</v>
      </c>
      <c r="AT208" s="30" t="s">
        <v>99</v>
      </c>
      <c r="AU208" s="30" t="s">
        <v>146</v>
      </c>
      <c r="AV208" s="30" t="s">
        <v>839</v>
      </c>
      <c r="AW208" s="30" t="s">
        <v>102</v>
      </c>
      <c r="AX208" s="34" t="s">
        <v>338</v>
      </c>
      <c r="AY208" s="34" t="s">
        <v>103</v>
      </c>
      <c r="AZ208" s="34"/>
      <c r="BA208" s="34"/>
      <c r="BB208" s="34"/>
      <c r="BC208" s="34">
        <v>0</v>
      </c>
      <c r="BD208" s="34"/>
      <c r="BE208" s="34"/>
      <c r="BF208" s="34" t="b">
        <v>0</v>
      </c>
      <c r="BG208" s="34"/>
      <c r="BH208" s="34"/>
      <c r="BI208" s="34"/>
      <c r="BJ208" s="34"/>
      <c r="BK208" s="34"/>
      <c r="BL208" s="34"/>
      <c r="BM208" s="34" t="s">
        <v>168</v>
      </c>
      <c r="BN208" s="34"/>
      <c r="BO208" s="35"/>
      <c r="BP208" s="35"/>
      <c r="BQ208" s="35" t="s">
        <v>108</v>
      </c>
      <c r="BR208" s="36" t="e">
        <f>VLOOKUP(BQ208, Cat_Indicadores!B:C, 2, FALSE)</f>
        <v>#N/A</v>
      </c>
      <c r="BS208" s="35" t="s">
        <v>5592</v>
      </c>
      <c r="BT208" s="35"/>
    </row>
    <row r="209" spans="1:72">
      <c r="A209" s="29" t="s">
        <v>956</v>
      </c>
      <c r="B209" s="30" t="s">
        <v>957</v>
      </c>
      <c r="C209" s="31">
        <v>46209.450057870374</v>
      </c>
      <c r="D209" s="30">
        <v>92</v>
      </c>
      <c r="E209" s="30" t="s">
        <v>74</v>
      </c>
      <c r="F209" s="30" t="s">
        <v>75</v>
      </c>
      <c r="G209" s="30" t="s">
        <v>133</v>
      </c>
      <c r="H209" s="30" t="s">
        <v>77</v>
      </c>
      <c r="I209" s="30" t="s">
        <v>78</v>
      </c>
      <c r="J209" s="30" t="s">
        <v>79</v>
      </c>
      <c r="K209" s="32">
        <v>800</v>
      </c>
      <c r="L209" s="32" t="s">
        <v>80</v>
      </c>
      <c r="M209" s="30" t="s">
        <v>958</v>
      </c>
      <c r="N209" s="30" t="s">
        <v>927</v>
      </c>
      <c r="O209" s="30" t="s">
        <v>83</v>
      </c>
      <c r="P209" s="33">
        <v>46171</v>
      </c>
      <c r="Q209" s="33">
        <v>46171</v>
      </c>
      <c r="R209" s="32">
        <v>1</v>
      </c>
      <c r="S209" s="30" t="s">
        <v>84</v>
      </c>
      <c r="T209" s="30" t="s">
        <v>117</v>
      </c>
      <c r="U209" s="30" t="s">
        <v>349</v>
      </c>
      <c r="V209" s="30" t="s">
        <v>87</v>
      </c>
      <c r="W209" s="30" t="s">
        <v>88</v>
      </c>
      <c r="X209" s="30" t="s">
        <v>197</v>
      </c>
      <c r="Y209" s="30">
        <v>8</v>
      </c>
      <c r="AB209" s="30" t="b">
        <v>0</v>
      </c>
      <c r="AC209" s="30"/>
      <c r="AD209" s="30" t="b">
        <v>0</v>
      </c>
      <c r="AF209" s="30" t="b">
        <v>0</v>
      </c>
      <c r="AH209" s="32" t="s">
        <v>91</v>
      </c>
      <c r="AI209" s="32"/>
      <c r="AJ209" s="32"/>
      <c r="AK209" s="32"/>
      <c r="AL209" s="30" t="s">
        <v>92</v>
      </c>
      <c r="AM209" s="30" t="s">
        <v>93</v>
      </c>
      <c r="AN209" s="30" t="s">
        <v>94</v>
      </c>
      <c r="AO209" s="30" t="s">
        <v>142</v>
      </c>
      <c r="AP209" s="30" t="s">
        <v>143</v>
      </c>
      <c r="AQ209" s="30" t="s">
        <v>232</v>
      </c>
      <c r="AR209" s="30" t="s">
        <v>691</v>
      </c>
      <c r="AT209" s="30" t="s">
        <v>99</v>
      </c>
      <c r="AU209" s="30" t="s">
        <v>146</v>
      </c>
      <c r="AV209" s="30" t="s">
        <v>839</v>
      </c>
      <c r="AW209" s="30" t="s">
        <v>102</v>
      </c>
      <c r="AX209" s="34" t="s">
        <v>349</v>
      </c>
      <c r="AY209" s="34" t="s">
        <v>103</v>
      </c>
      <c r="AZ209" s="34"/>
      <c r="BA209" s="34"/>
      <c r="BB209" s="34"/>
      <c r="BC209" s="34">
        <v>0</v>
      </c>
      <c r="BD209" s="34"/>
      <c r="BE209" s="34"/>
      <c r="BF209" s="34" t="b">
        <v>0</v>
      </c>
      <c r="BG209" s="34"/>
      <c r="BH209" s="34"/>
      <c r="BI209" s="34"/>
      <c r="BJ209" s="34"/>
      <c r="BK209" s="34"/>
      <c r="BL209" s="34"/>
      <c r="BM209" s="34" t="s">
        <v>168</v>
      </c>
      <c r="BN209" s="34"/>
      <c r="BO209" s="35"/>
      <c r="BP209" s="35"/>
      <c r="BQ209" s="35" t="s">
        <v>108</v>
      </c>
      <c r="BR209" s="36" t="e">
        <f>VLOOKUP(BQ209, Cat_Indicadores!B:C, 2, FALSE)</f>
        <v>#N/A</v>
      </c>
      <c r="BS209" s="35" t="s">
        <v>5592</v>
      </c>
      <c r="BT209" s="35"/>
    </row>
    <row r="210" spans="1:72">
      <c r="A210" s="29" t="s">
        <v>959</v>
      </c>
      <c r="B210" s="30" t="s">
        <v>960</v>
      </c>
      <c r="C210" s="31">
        <v>46209.45815972222</v>
      </c>
      <c r="D210" s="30">
        <v>92</v>
      </c>
      <c r="E210" s="30" t="s">
        <v>74</v>
      </c>
      <c r="F210" s="30" t="s">
        <v>75</v>
      </c>
      <c r="G210" s="30" t="s">
        <v>133</v>
      </c>
      <c r="H210" s="30" t="s">
        <v>77</v>
      </c>
      <c r="I210" s="30" t="s">
        <v>78</v>
      </c>
      <c r="J210" s="30" t="s">
        <v>79</v>
      </c>
      <c r="K210" s="32">
        <v>800</v>
      </c>
      <c r="L210" s="32" t="s">
        <v>211</v>
      </c>
      <c r="M210" s="30" t="s">
        <v>961</v>
      </c>
      <c r="N210" s="30" t="s">
        <v>962</v>
      </c>
      <c r="O210" s="30" t="s">
        <v>581</v>
      </c>
      <c r="P210" s="33">
        <v>46157</v>
      </c>
      <c r="Q210" s="33">
        <v>46256</v>
      </c>
      <c r="R210" s="32">
        <v>15</v>
      </c>
      <c r="S210" s="30" t="s">
        <v>243</v>
      </c>
      <c r="T210" s="30" t="s">
        <v>740</v>
      </c>
      <c r="U210" s="30" t="s">
        <v>735</v>
      </c>
      <c r="V210" s="30" t="s">
        <v>87</v>
      </c>
      <c r="W210" s="30" t="s">
        <v>88</v>
      </c>
      <c r="X210" s="30" t="s">
        <v>197</v>
      </c>
      <c r="Y210" s="30">
        <v>8</v>
      </c>
      <c r="AB210" s="30" t="b">
        <v>1</v>
      </c>
      <c r="AC210" s="30"/>
      <c r="AD210" s="30" t="b">
        <v>1</v>
      </c>
      <c r="AE210" s="30">
        <v>1</v>
      </c>
      <c r="AF210" s="30" t="b">
        <v>0</v>
      </c>
      <c r="AH210" s="32" t="s">
        <v>963</v>
      </c>
      <c r="AI210" s="32">
        <v>2293</v>
      </c>
      <c r="AJ210" s="32">
        <v>3058</v>
      </c>
      <c r="AK210" s="32" t="s">
        <v>964</v>
      </c>
      <c r="AL210" s="30" t="s">
        <v>92</v>
      </c>
      <c r="AM210" s="30" t="s">
        <v>93</v>
      </c>
      <c r="AN210" s="30" t="s">
        <v>94</v>
      </c>
      <c r="AO210" s="30" t="s">
        <v>142</v>
      </c>
      <c r="AP210" s="30" t="s">
        <v>143</v>
      </c>
      <c r="AQ210" s="30" t="s">
        <v>144</v>
      </c>
      <c r="AR210" s="30" t="s">
        <v>691</v>
      </c>
      <c r="AT210" s="30" t="s">
        <v>99</v>
      </c>
      <c r="AU210" s="30" t="s">
        <v>100</v>
      </c>
      <c r="AV210" s="30" t="s">
        <v>101</v>
      </c>
      <c r="AW210" s="30" t="s">
        <v>102</v>
      </c>
      <c r="AX210" s="34" t="s">
        <v>735</v>
      </c>
      <c r="AY210" s="34" t="s">
        <v>149</v>
      </c>
      <c r="AZ210" s="34" t="s">
        <v>149</v>
      </c>
      <c r="BA210" s="34"/>
      <c r="BB210" s="34"/>
      <c r="BC210" s="34">
        <v>0</v>
      </c>
      <c r="BD210" s="34"/>
      <c r="BE210" s="34"/>
      <c r="BF210" s="34" t="b">
        <v>0</v>
      </c>
      <c r="BG210" s="34"/>
      <c r="BH210" s="34"/>
      <c r="BI210" s="34"/>
      <c r="BJ210" s="34"/>
      <c r="BK210" s="34"/>
      <c r="BL210" s="34"/>
      <c r="BM210" s="34" t="s">
        <v>168</v>
      </c>
      <c r="BN210" s="34"/>
      <c r="BO210" s="35"/>
      <c r="BP210" s="35"/>
      <c r="BQ210" s="35" t="s">
        <v>108</v>
      </c>
      <c r="BR210" s="36" t="e">
        <f>VLOOKUP(BQ210, Cat_Indicadores!B:C, 2, FALSE)</f>
        <v>#N/A</v>
      </c>
      <c r="BS210" s="35" t="s">
        <v>5592</v>
      </c>
      <c r="BT210" s="35"/>
    </row>
    <row r="211" spans="1:72">
      <c r="A211" s="29" t="s">
        <v>965</v>
      </c>
      <c r="B211" s="30" t="s">
        <v>966</v>
      </c>
      <c r="C211" s="31">
        <v>46209.469201388885</v>
      </c>
      <c r="D211" s="30">
        <v>92</v>
      </c>
      <c r="E211" s="30" t="s">
        <v>74</v>
      </c>
      <c r="F211" s="30" t="s">
        <v>75</v>
      </c>
      <c r="G211" s="30" t="s">
        <v>133</v>
      </c>
      <c r="H211" s="30" t="s">
        <v>77</v>
      </c>
      <c r="I211" s="30" t="s">
        <v>78</v>
      </c>
      <c r="J211" s="30" t="s">
        <v>79</v>
      </c>
      <c r="K211" s="32">
        <v>800</v>
      </c>
      <c r="L211" s="32" t="s">
        <v>80</v>
      </c>
      <c r="M211" s="30" t="s">
        <v>967</v>
      </c>
      <c r="N211" s="30" t="s">
        <v>968</v>
      </c>
      <c r="O211" s="30" t="s">
        <v>581</v>
      </c>
      <c r="P211" s="33">
        <v>46158</v>
      </c>
      <c r="Q211" s="33">
        <v>46166</v>
      </c>
      <c r="R211" s="32">
        <v>4</v>
      </c>
      <c r="S211" s="30" t="s">
        <v>84</v>
      </c>
      <c r="T211" s="30" t="s">
        <v>117</v>
      </c>
      <c r="U211" s="30" t="s">
        <v>86</v>
      </c>
      <c r="V211" s="30" t="s">
        <v>87</v>
      </c>
      <c r="W211" s="30" t="s">
        <v>88</v>
      </c>
      <c r="X211" s="30" t="s">
        <v>197</v>
      </c>
      <c r="Y211" s="30">
        <v>8</v>
      </c>
      <c r="AB211" s="30" t="b">
        <v>0</v>
      </c>
      <c r="AC211" s="30"/>
      <c r="AD211" s="30" t="b">
        <v>0</v>
      </c>
      <c r="AF211" s="30" t="b">
        <v>0</v>
      </c>
      <c r="AH211" s="32" t="s">
        <v>91</v>
      </c>
      <c r="AI211" s="32"/>
      <c r="AJ211" s="32"/>
      <c r="AK211" s="32"/>
      <c r="AL211" s="30" t="s">
        <v>92</v>
      </c>
      <c r="AM211" s="30" t="s">
        <v>93</v>
      </c>
      <c r="AN211" s="30" t="s">
        <v>94</v>
      </c>
      <c r="AO211" s="30" t="s">
        <v>142</v>
      </c>
      <c r="AP211" s="30" t="s">
        <v>143</v>
      </c>
      <c r="AQ211" s="30" t="s">
        <v>232</v>
      </c>
      <c r="AR211" s="30" t="s">
        <v>691</v>
      </c>
      <c r="AT211" s="30" t="s">
        <v>99</v>
      </c>
      <c r="AU211" s="30" t="s">
        <v>146</v>
      </c>
      <c r="AV211" s="30" t="s">
        <v>839</v>
      </c>
      <c r="AW211" s="30" t="s">
        <v>102</v>
      </c>
      <c r="AX211" s="34" t="s">
        <v>86</v>
      </c>
      <c r="AY211" s="34" t="s">
        <v>103</v>
      </c>
      <c r="AZ211" s="34"/>
      <c r="BA211" s="34"/>
      <c r="BB211" s="34"/>
      <c r="BC211" s="34">
        <v>0</v>
      </c>
      <c r="BD211" s="34"/>
      <c r="BE211" s="34"/>
      <c r="BF211" s="34" t="b">
        <v>0</v>
      </c>
      <c r="BG211" s="34"/>
      <c r="BH211" s="34"/>
      <c r="BI211" s="34"/>
      <c r="BJ211" s="34"/>
      <c r="BK211" s="34"/>
      <c r="BL211" s="34"/>
      <c r="BM211" s="34" t="s">
        <v>168</v>
      </c>
      <c r="BN211" s="34"/>
      <c r="BO211" s="35"/>
      <c r="BP211" s="35"/>
      <c r="BQ211" s="35" t="s">
        <v>108</v>
      </c>
      <c r="BR211" s="36" t="e">
        <f>VLOOKUP(BQ211, Cat_Indicadores!B:C, 2, FALSE)</f>
        <v>#N/A</v>
      </c>
      <c r="BS211" s="35" t="s">
        <v>5592</v>
      </c>
      <c r="BT211" s="35"/>
    </row>
    <row r="212" spans="1:72">
      <c r="A212" s="29" t="s">
        <v>969</v>
      </c>
      <c r="B212" s="30" t="s">
        <v>970</v>
      </c>
      <c r="C212" s="31">
        <v>46209.487326388888</v>
      </c>
      <c r="D212" s="30">
        <v>92</v>
      </c>
      <c r="E212" s="30" t="s">
        <v>74</v>
      </c>
      <c r="F212" s="30" t="s">
        <v>75</v>
      </c>
      <c r="G212" s="30" t="s">
        <v>133</v>
      </c>
      <c r="H212" s="30" t="s">
        <v>77</v>
      </c>
      <c r="I212" s="30" t="s">
        <v>78</v>
      </c>
      <c r="J212" s="30" t="s">
        <v>79</v>
      </c>
      <c r="K212" s="32">
        <v>800</v>
      </c>
      <c r="L212" s="32" t="s">
        <v>80</v>
      </c>
      <c r="M212" s="30" t="s">
        <v>971</v>
      </c>
      <c r="N212" s="30" t="s">
        <v>927</v>
      </c>
      <c r="O212" s="30" t="s">
        <v>83</v>
      </c>
      <c r="P212" s="33">
        <v>46177</v>
      </c>
      <c r="Q212" s="33">
        <v>46177</v>
      </c>
      <c r="R212" s="32">
        <v>1</v>
      </c>
      <c r="S212" s="30" t="s">
        <v>84</v>
      </c>
      <c r="T212" s="30" t="s">
        <v>117</v>
      </c>
      <c r="U212" s="30" t="s">
        <v>349</v>
      </c>
      <c r="V212" s="30" t="s">
        <v>87</v>
      </c>
      <c r="W212" s="30" t="s">
        <v>88</v>
      </c>
      <c r="X212" s="30" t="s">
        <v>197</v>
      </c>
      <c r="Y212" s="30">
        <v>8</v>
      </c>
      <c r="AB212" s="30" t="b">
        <v>0</v>
      </c>
      <c r="AC212" s="30"/>
      <c r="AD212" s="30" t="b">
        <v>0</v>
      </c>
      <c r="AF212" s="30" t="b">
        <v>0</v>
      </c>
      <c r="AH212" s="32" t="s">
        <v>91</v>
      </c>
      <c r="AI212" s="32"/>
      <c r="AJ212" s="32"/>
      <c r="AK212" s="32"/>
      <c r="AL212" s="30" t="s">
        <v>92</v>
      </c>
      <c r="AM212" s="30" t="s">
        <v>93</v>
      </c>
      <c r="AN212" s="30" t="s">
        <v>94</v>
      </c>
      <c r="AO212" s="30" t="s">
        <v>142</v>
      </c>
      <c r="AP212" s="30" t="s">
        <v>143</v>
      </c>
      <c r="AQ212" s="30" t="s">
        <v>232</v>
      </c>
      <c r="AR212" s="30" t="s">
        <v>691</v>
      </c>
      <c r="AT212" s="30" t="s">
        <v>99</v>
      </c>
      <c r="AU212" s="30" t="s">
        <v>146</v>
      </c>
      <c r="AV212" s="30" t="s">
        <v>839</v>
      </c>
      <c r="AW212" s="30" t="s">
        <v>102</v>
      </c>
      <c r="AX212" s="34" t="s">
        <v>349</v>
      </c>
      <c r="AY212" s="34" t="s">
        <v>103</v>
      </c>
      <c r="AZ212" s="34"/>
      <c r="BA212" s="34"/>
      <c r="BB212" s="34"/>
      <c r="BC212" s="34">
        <v>0</v>
      </c>
      <c r="BD212" s="34"/>
      <c r="BE212" s="34"/>
      <c r="BF212" s="34" t="b">
        <v>0</v>
      </c>
      <c r="BG212" s="34"/>
      <c r="BH212" s="34"/>
      <c r="BI212" s="34"/>
      <c r="BJ212" s="34"/>
      <c r="BK212" s="34"/>
      <c r="BL212" s="34"/>
      <c r="BM212" s="34" t="s">
        <v>168</v>
      </c>
      <c r="BN212" s="34"/>
      <c r="BO212" s="35"/>
      <c r="BP212" s="35"/>
      <c r="BQ212" s="35" t="s">
        <v>108</v>
      </c>
      <c r="BR212" s="36" t="e">
        <f>VLOOKUP(BQ212, Cat_Indicadores!B:C, 2, FALSE)</f>
        <v>#N/A</v>
      </c>
      <c r="BS212" s="35" t="s">
        <v>5592</v>
      </c>
      <c r="BT212" s="35"/>
    </row>
    <row r="213" spans="1:72">
      <c r="A213" s="29" t="s">
        <v>972</v>
      </c>
      <c r="B213" s="30" t="s">
        <v>973</v>
      </c>
      <c r="C213" s="31">
        <v>46209.490057870367</v>
      </c>
      <c r="D213" s="30">
        <v>92</v>
      </c>
      <c r="E213" s="30" t="s">
        <v>74</v>
      </c>
      <c r="F213" s="30" t="s">
        <v>75</v>
      </c>
      <c r="G213" s="30" t="s">
        <v>133</v>
      </c>
      <c r="H213" s="30" t="s">
        <v>77</v>
      </c>
      <c r="I213" s="30" t="s">
        <v>78</v>
      </c>
      <c r="J213" s="30" t="s">
        <v>79</v>
      </c>
      <c r="K213" s="32">
        <v>800</v>
      </c>
      <c r="L213" s="32" t="s">
        <v>80</v>
      </c>
      <c r="M213" s="30" t="s">
        <v>971</v>
      </c>
      <c r="N213" s="30" t="s">
        <v>927</v>
      </c>
      <c r="O213" s="30" t="s">
        <v>83</v>
      </c>
      <c r="P213" s="33">
        <v>46177</v>
      </c>
      <c r="Q213" s="33">
        <v>46177</v>
      </c>
      <c r="R213" s="32">
        <v>1</v>
      </c>
      <c r="S213" s="30" t="s">
        <v>84</v>
      </c>
      <c r="T213" s="30" t="s">
        <v>117</v>
      </c>
      <c r="U213" s="30" t="s">
        <v>349</v>
      </c>
      <c r="V213" s="30" t="s">
        <v>87</v>
      </c>
      <c r="W213" s="30" t="s">
        <v>88</v>
      </c>
      <c r="X213" s="30" t="s">
        <v>197</v>
      </c>
      <c r="Y213" s="30">
        <v>8</v>
      </c>
      <c r="AB213" s="30" t="b">
        <v>0</v>
      </c>
      <c r="AC213" s="30"/>
      <c r="AD213" s="30" t="b">
        <v>0</v>
      </c>
      <c r="AF213" s="30" t="b">
        <v>0</v>
      </c>
      <c r="AH213" s="32" t="s">
        <v>91</v>
      </c>
      <c r="AI213" s="32"/>
      <c r="AJ213" s="32"/>
      <c r="AK213" s="32"/>
      <c r="AL213" s="30" t="s">
        <v>92</v>
      </c>
      <c r="AM213" s="30" t="s">
        <v>93</v>
      </c>
      <c r="AN213" s="30" t="s">
        <v>94</v>
      </c>
      <c r="AO213" s="30" t="s">
        <v>142</v>
      </c>
      <c r="AP213" s="30" t="s">
        <v>143</v>
      </c>
      <c r="AQ213" s="30" t="s">
        <v>232</v>
      </c>
      <c r="AR213" s="30" t="s">
        <v>691</v>
      </c>
      <c r="AT213" s="30" t="s">
        <v>99</v>
      </c>
      <c r="AU213" s="30" t="s">
        <v>146</v>
      </c>
      <c r="AV213" s="30" t="s">
        <v>839</v>
      </c>
      <c r="AW213" s="30" t="s">
        <v>102</v>
      </c>
      <c r="AX213" s="34" t="s">
        <v>349</v>
      </c>
      <c r="AY213" s="34" t="s">
        <v>103</v>
      </c>
      <c r="AZ213" s="34"/>
      <c r="BA213" s="34"/>
      <c r="BB213" s="34"/>
      <c r="BC213" s="34">
        <v>0</v>
      </c>
      <c r="BD213" s="34"/>
      <c r="BE213" s="34"/>
      <c r="BF213" s="34" t="b">
        <v>0</v>
      </c>
      <c r="BG213" s="34"/>
      <c r="BH213" s="34"/>
      <c r="BI213" s="34"/>
      <c r="BJ213" s="34"/>
      <c r="BK213" s="34"/>
      <c r="BL213" s="34"/>
      <c r="BM213" s="34" t="s">
        <v>168</v>
      </c>
      <c r="BN213" s="34"/>
      <c r="BO213" s="35"/>
      <c r="BP213" s="35"/>
      <c r="BQ213" s="35" t="s">
        <v>108</v>
      </c>
      <c r="BR213" s="36" t="e">
        <f>VLOOKUP(BQ213, Cat_Indicadores!B:C, 2, FALSE)</f>
        <v>#N/A</v>
      </c>
      <c r="BS213" s="35" t="s">
        <v>5592</v>
      </c>
      <c r="BT213" s="35"/>
    </row>
    <row r="214" spans="1:72">
      <c r="A214" s="29" t="s">
        <v>974</v>
      </c>
      <c r="B214" s="30" t="s">
        <v>975</v>
      </c>
      <c r="C214" s="31">
        <v>46209.492372685185</v>
      </c>
      <c r="D214" s="30">
        <v>92</v>
      </c>
      <c r="E214" s="30" t="s">
        <v>74</v>
      </c>
      <c r="F214" s="30" t="s">
        <v>75</v>
      </c>
      <c r="G214" s="30" t="s">
        <v>133</v>
      </c>
      <c r="H214" s="30" t="s">
        <v>77</v>
      </c>
      <c r="I214" s="30" t="s">
        <v>78</v>
      </c>
      <c r="J214" s="30" t="s">
        <v>79</v>
      </c>
      <c r="K214" s="32">
        <v>800</v>
      </c>
      <c r="L214" s="32" t="s">
        <v>80</v>
      </c>
      <c r="M214" s="30" t="s">
        <v>976</v>
      </c>
      <c r="N214" s="30" t="s">
        <v>927</v>
      </c>
      <c r="O214" s="30" t="s">
        <v>83</v>
      </c>
      <c r="P214" s="33">
        <v>46177</v>
      </c>
      <c r="Q214" s="33">
        <v>46177</v>
      </c>
      <c r="R214" s="32">
        <v>1</v>
      </c>
      <c r="S214" s="30" t="s">
        <v>84</v>
      </c>
      <c r="T214" s="30" t="s">
        <v>117</v>
      </c>
      <c r="U214" s="30" t="s">
        <v>349</v>
      </c>
      <c r="V214" s="30" t="s">
        <v>87</v>
      </c>
      <c r="W214" s="30" t="s">
        <v>88</v>
      </c>
      <c r="X214" s="30" t="s">
        <v>197</v>
      </c>
      <c r="Y214" s="30">
        <v>8</v>
      </c>
      <c r="AB214" s="30" t="b">
        <v>0</v>
      </c>
      <c r="AC214" s="30"/>
      <c r="AD214" s="30" t="b">
        <v>0</v>
      </c>
      <c r="AF214" s="30" t="b">
        <v>0</v>
      </c>
      <c r="AH214" s="32" t="s">
        <v>91</v>
      </c>
      <c r="AI214" s="32"/>
      <c r="AJ214" s="32"/>
      <c r="AK214" s="32"/>
      <c r="AL214" s="30" t="s">
        <v>92</v>
      </c>
      <c r="AM214" s="30" t="s">
        <v>93</v>
      </c>
      <c r="AN214" s="30" t="s">
        <v>94</v>
      </c>
      <c r="AO214" s="30" t="s">
        <v>142</v>
      </c>
      <c r="AP214" s="30" t="s">
        <v>143</v>
      </c>
      <c r="AQ214" s="30" t="s">
        <v>232</v>
      </c>
      <c r="AR214" s="30" t="s">
        <v>691</v>
      </c>
      <c r="AT214" s="30" t="s">
        <v>99</v>
      </c>
      <c r="AU214" s="30" t="s">
        <v>146</v>
      </c>
      <c r="AV214" s="30" t="s">
        <v>839</v>
      </c>
      <c r="AW214" s="30" t="s">
        <v>102</v>
      </c>
      <c r="AX214" s="34" t="s">
        <v>349</v>
      </c>
      <c r="AY214" s="34" t="s">
        <v>103</v>
      </c>
      <c r="AZ214" s="34"/>
      <c r="BA214" s="34"/>
      <c r="BB214" s="34"/>
      <c r="BC214" s="34">
        <v>0</v>
      </c>
      <c r="BD214" s="34"/>
      <c r="BE214" s="34"/>
      <c r="BF214" s="34" t="b">
        <v>0</v>
      </c>
      <c r="BG214" s="34"/>
      <c r="BH214" s="34"/>
      <c r="BI214" s="34"/>
      <c r="BJ214" s="34"/>
      <c r="BK214" s="34"/>
      <c r="BL214" s="34"/>
      <c r="BM214" s="34" t="s">
        <v>168</v>
      </c>
      <c r="BN214" s="34"/>
      <c r="BO214" s="35"/>
      <c r="BP214" s="35"/>
      <c r="BQ214" s="35" t="s">
        <v>108</v>
      </c>
      <c r="BR214" s="36" t="e">
        <f>VLOOKUP(BQ214, Cat_Indicadores!B:C, 2, FALSE)</f>
        <v>#N/A</v>
      </c>
      <c r="BS214" s="35" t="s">
        <v>5592</v>
      </c>
      <c r="BT214" s="35"/>
    </row>
    <row r="215" spans="1:72">
      <c r="A215" s="29" t="s">
        <v>977</v>
      </c>
      <c r="B215" s="30" t="s">
        <v>978</v>
      </c>
      <c r="C215" s="31">
        <v>46209.49459490741</v>
      </c>
      <c r="D215" s="30">
        <v>92</v>
      </c>
      <c r="E215" s="30" t="s">
        <v>74</v>
      </c>
      <c r="F215" s="30" t="s">
        <v>75</v>
      </c>
      <c r="G215" s="30" t="s">
        <v>133</v>
      </c>
      <c r="H215" s="30" t="s">
        <v>77</v>
      </c>
      <c r="I215" s="30" t="s">
        <v>78</v>
      </c>
      <c r="J215" s="30" t="s">
        <v>79</v>
      </c>
      <c r="K215" s="32">
        <v>800</v>
      </c>
      <c r="L215" s="32" t="s">
        <v>80</v>
      </c>
      <c r="M215" s="30" t="s">
        <v>976</v>
      </c>
      <c r="N215" s="30" t="s">
        <v>927</v>
      </c>
      <c r="O215" s="30" t="s">
        <v>83</v>
      </c>
      <c r="P215" s="33">
        <v>46177</v>
      </c>
      <c r="Q215" s="33">
        <v>46177</v>
      </c>
      <c r="R215" s="32">
        <v>1</v>
      </c>
      <c r="S215" s="30" t="s">
        <v>84</v>
      </c>
      <c r="T215" s="30" t="s">
        <v>117</v>
      </c>
      <c r="U215" s="30" t="s">
        <v>349</v>
      </c>
      <c r="V215" s="30" t="s">
        <v>87</v>
      </c>
      <c r="W215" s="30" t="s">
        <v>88</v>
      </c>
      <c r="X215" s="30" t="s">
        <v>197</v>
      </c>
      <c r="Y215" s="30">
        <v>8</v>
      </c>
      <c r="AB215" s="30" t="b">
        <v>0</v>
      </c>
      <c r="AC215" s="30"/>
      <c r="AD215" s="30" t="b">
        <v>0</v>
      </c>
      <c r="AF215" s="30" t="b">
        <v>0</v>
      </c>
      <c r="AH215" s="32" t="s">
        <v>91</v>
      </c>
      <c r="AI215" s="32"/>
      <c r="AJ215" s="32"/>
      <c r="AK215" s="32"/>
      <c r="AL215" s="30" t="s">
        <v>92</v>
      </c>
      <c r="AM215" s="30" t="s">
        <v>93</v>
      </c>
      <c r="AN215" s="30" t="s">
        <v>94</v>
      </c>
      <c r="AO215" s="30" t="s">
        <v>142</v>
      </c>
      <c r="AP215" s="30" t="s">
        <v>143</v>
      </c>
      <c r="AQ215" s="30" t="s">
        <v>232</v>
      </c>
      <c r="AR215" s="30" t="s">
        <v>691</v>
      </c>
      <c r="AT215" s="30" t="s">
        <v>99</v>
      </c>
      <c r="AU215" s="30" t="s">
        <v>146</v>
      </c>
      <c r="AV215" s="30" t="s">
        <v>839</v>
      </c>
      <c r="AW215" s="30" t="s">
        <v>102</v>
      </c>
      <c r="AX215" s="34" t="s">
        <v>349</v>
      </c>
      <c r="AY215" s="34" t="s">
        <v>103</v>
      </c>
      <c r="AZ215" s="34"/>
      <c r="BA215" s="34"/>
      <c r="BB215" s="34"/>
      <c r="BC215" s="34">
        <v>0</v>
      </c>
      <c r="BD215" s="34"/>
      <c r="BE215" s="34"/>
      <c r="BF215" s="34" t="b">
        <v>0</v>
      </c>
      <c r="BG215" s="34"/>
      <c r="BH215" s="34"/>
      <c r="BI215" s="34"/>
      <c r="BJ215" s="34"/>
      <c r="BK215" s="34"/>
      <c r="BL215" s="34"/>
      <c r="BM215" s="34" t="s">
        <v>168</v>
      </c>
      <c r="BN215" s="34"/>
      <c r="BO215" s="35"/>
      <c r="BP215" s="35"/>
      <c r="BQ215" s="35" t="s">
        <v>108</v>
      </c>
      <c r="BR215" s="36" t="e">
        <f>VLOOKUP(BQ215, Cat_Indicadores!B:C, 2, FALSE)</f>
        <v>#N/A</v>
      </c>
      <c r="BS215" s="35" t="s">
        <v>5592</v>
      </c>
      <c r="BT215" s="35"/>
    </row>
    <row r="216" spans="1:72">
      <c r="A216" s="29" t="s">
        <v>979</v>
      </c>
      <c r="B216" s="30" t="s">
        <v>980</v>
      </c>
      <c r="C216" s="31">
        <v>46209.498206018521</v>
      </c>
      <c r="D216" s="30">
        <v>92</v>
      </c>
      <c r="E216" s="30" t="s">
        <v>74</v>
      </c>
      <c r="F216" s="30" t="s">
        <v>75</v>
      </c>
      <c r="G216" s="30" t="s">
        <v>133</v>
      </c>
      <c r="H216" s="30" t="s">
        <v>77</v>
      </c>
      <c r="I216" s="30" t="s">
        <v>78</v>
      </c>
      <c r="J216" s="30" t="s">
        <v>79</v>
      </c>
      <c r="K216" s="32">
        <v>800</v>
      </c>
      <c r="L216" s="32" t="s">
        <v>80</v>
      </c>
      <c r="M216" s="30" t="s">
        <v>981</v>
      </c>
      <c r="N216" s="30" t="s">
        <v>919</v>
      </c>
      <c r="O216" s="30" t="s">
        <v>83</v>
      </c>
      <c r="P216" s="33">
        <v>46178</v>
      </c>
      <c r="Q216" s="33">
        <v>46178</v>
      </c>
      <c r="R216" s="32">
        <v>1</v>
      </c>
      <c r="S216" s="30" t="s">
        <v>84</v>
      </c>
      <c r="T216" s="30" t="s">
        <v>117</v>
      </c>
      <c r="U216" s="30" t="s">
        <v>349</v>
      </c>
      <c r="V216" s="30" t="s">
        <v>87</v>
      </c>
      <c r="W216" s="30" t="s">
        <v>88</v>
      </c>
      <c r="X216" s="30" t="s">
        <v>197</v>
      </c>
      <c r="Y216" s="30">
        <v>8</v>
      </c>
      <c r="AB216" s="30" t="b">
        <v>0</v>
      </c>
      <c r="AC216" s="30"/>
      <c r="AD216" s="30" t="b">
        <v>0</v>
      </c>
      <c r="AF216" s="30" t="b">
        <v>0</v>
      </c>
      <c r="AH216" s="32" t="s">
        <v>91</v>
      </c>
      <c r="AI216" s="32"/>
      <c r="AJ216" s="32"/>
      <c r="AK216" s="32"/>
      <c r="AL216" s="30" t="s">
        <v>92</v>
      </c>
      <c r="AM216" s="30" t="s">
        <v>93</v>
      </c>
      <c r="AN216" s="30" t="s">
        <v>94</v>
      </c>
      <c r="AO216" s="30" t="s">
        <v>142</v>
      </c>
      <c r="AP216" s="30" t="s">
        <v>143</v>
      </c>
      <c r="AQ216" s="30" t="s">
        <v>232</v>
      </c>
      <c r="AR216" s="30" t="s">
        <v>691</v>
      </c>
      <c r="AT216" s="30" t="s">
        <v>99</v>
      </c>
      <c r="AU216" s="30" t="s">
        <v>146</v>
      </c>
      <c r="AV216" s="30" t="s">
        <v>839</v>
      </c>
      <c r="AW216" s="30" t="s">
        <v>102</v>
      </c>
      <c r="AX216" s="34" t="s">
        <v>349</v>
      </c>
      <c r="AY216" s="34" t="s">
        <v>103</v>
      </c>
      <c r="AZ216" s="34"/>
      <c r="BA216" s="34"/>
      <c r="BB216" s="34"/>
      <c r="BC216" s="34">
        <v>0</v>
      </c>
      <c r="BD216" s="34"/>
      <c r="BE216" s="34"/>
      <c r="BF216" s="34" t="b">
        <v>0</v>
      </c>
      <c r="BG216" s="34"/>
      <c r="BH216" s="34"/>
      <c r="BI216" s="34"/>
      <c r="BJ216" s="34"/>
      <c r="BK216" s="34"/>
      <c r="BL216" s="34"/>
      <c r="BM216" s="34" t="s">
        <v>168</v>
      </c>
      <c r="BN216" s="34"/>
      <c r="BO216" s="35"/>
      <c r="BP216" s="35"/>
      <c r="BQ216" s="35" t="s">
        <v>108</v>
      </c>
      <c r="BR216" s="36" t="e">
        <f>VLOOKUP(BQ216, Cat_Indicadores!B:C, 2, FALSE)</f>
        <v>#N/A</v>
      </c>
      <c r="BS216" s="35" t="s">
        <v>5592</v>
      </c>
      <c r="BT216" s="35"/>
    </row>
    <row r="217" spans="1:72">
      <c r="A217" s="29" t="s">
        <v>982</v>
      </c>
      <c r="B217" s="30" t="s">
        <v>983</v>
      </c>
      <c r="C217" s="31">
        <v>46209.506574074076</v>
      </c>
      <c r="D217" s="30">
        <v>92</v>
      </c>
      <c r="E217" s="30" t="s">
        <v>74</v>
      </c>
      <c r="F217" s="30" t="s">
        <v>75</v>
      </c>
      <c r="G217" s="30" t="s">
        <v>133</v>
      </c>
      <c r="H217" s="30" t="s">
        <v>77</v>
      </c>
      <c r="I217" s="30" t="s">
        <v>78</v>
      </c>
      <c r="J217" s="30" t="s">
        <v>79</v>
      </c>
      <c r="K217" s="32">
        <v>800</v>
      </c>
      <c r="L217" s="32" t="s">
        <v>80</v>
      </c>
      <c r="M217" s="30" t="s">
        <v>984</v>
      </c>
      <c r="N217" s="30" t="s">
        <v>927</v>
      </c>
      <c r="O217" s="30" t="s">
        <v>83</v>
      </c>
      <c r="P217" s="33">
        <v>46209</v>
      </c>
      <c r="Q217" s="33">
        <v>46209</v>
      </c>
      <c r="R217" s="32">
        <v>1</v>
      </c>
      <c r="S217" s="30" t="s">
        <v>84</v>
      </c>
      <c r="T217" s="30" t="s">
        <v>117</v>
      </c>
      <c r="U217" s="30" t="s">
        <v>349</v>
      </c>
      <c r="V217" s="30" t="s">
        <v>87</v>
      </c>
      <c r="W217" s="30" t="s">
        <v>88</v>
      </c>
      <c r="X217" s="30" t="s">
        <v>197</v>
      </c>
      <c r="Y217" s="30">
        <v>8</v>
      </c>
      <c r="AB217" s="30" t="b">
        <v>0</v>
      </c>
      <c r="AC217" s="30"/>
      <c r="AD217" s="30" t="b">
        <v>0</v>
      </c>
      <c r="AF217" s="30" t="b">
        <v>0</v>
      </c>
      <c r="AH217" s="32" t="s">
        <v>91</v>
      </c>
      <c r="AI217" s="32"/>
      <c r="AJ217" s="32"/>
      <c r="AK217" s="32"/>
      <c r="AL217" s="30" t="s">
        <v>92</v>
      </c>
      <c r="AM217" s="30" t="s">
        <v>93</v>
      </c>
      <c r="AN217" s="30" t="s">
        <v>94</v>
      </c>
      <c r="AO217" s="30" t="s">
        <v>142</v>
      </c>
      <c r="AP217" s="30" t="s">
        <v>143</v>
      </c>
      <c r="AQ217" s="30" t="s">
        <v>232</v>
      </c>
      <c r="AR217" s="30" t="s">
        <v>691</v>
      </c>
      <c r="AT217" s="30" t="s">
        <v>99</v>
      </c>
      <c r="AU217" s="30" t="s">
        <v>146</v>
      </c>
      <c r="AV217" s="30" t="s">
        <v>839</v>
      </c>
      <c r="AW217" s="30" t="s">
        <v>102</v>
      </c>
      <c r="AX217" s="34" t="s">
        <v>349</v>
      </c>
      <c r="AY217" s="34" t="s">
        <v>103</v>
      </c>
      <c r="AZ217" s="34"/>
      <c r="BA217" s="34"/>
      <c r="BB217" s="34"/>
      <c r="BC217" s="34">
        <v>0</v>
      </c>
      <c r="BD217" s="34"/>
      <c r="BE217" s="34"/>
      <c r="BF217" s="34" t="b">
        <v>0</v>
      </c>
      <c r="BG217" s="34"/>
      <c r="BH217" s="34"/>
      <c r="BI217" s="34"/>
      <c r="BJ217" s="34"/>
      <c r="BK217" s="34"/>
      <c r="BL217" s="34"/>
      <c r="BM217" s="34" t="s">
        <v>168</v>
      </c>
      <c r="BN217" s="34"/>
      <c r="BO217" s="35"/>
      <c r="BP217" s="35"/>
      <c r="BQ217" s="35" t="s">
        <v>108</v>
      </c>
      <c r="BR217" s="36" t="e">
        <f>VLOOKUP(BQ217, Cat_Indicadores!B:C, 2, FALSE)</f>
        <v>#N/A</v>
      </c>
      <c r="BS217" s="35" t="s">
        <v>5592</v>
      </c>
      <c r="BT217" s="35"/>
    </row>
    <row r="218" spans="1:72">
      <c r="A218" s="29" t="s">
        <v>985</v>
      </c>
      <c r="B218" s="30" t="s">
        <v>986</v>
      </c>
      <c r="C218" s="31">
        <v>46209.513541666667</v>
      </c>
      <c r="D218" s="30">
        <v>92</v>
      </c>
      <c r="E218" s="30" t="s">
        <v>74</v>
      </c>
      <c r="F218" s="30" t="s">
        <v>75</v>
      </c>
      <c r="G218" s="30" t="s">
        <v>133</v>
      </c>
      <c r="H218" s="30" t="s">
        <v>77</v>
      </c>
      <c r="I218" s="30" t="s">
        <v>78</v>
      </c>
      <c r="J218" s="30" t="s">
        <v>79</v>
      </c>
      <c r="K218" s="32">
        <v>800</v>
      </c>
      <c r="L218" s="32" t="s">
        <v>80</v>
      </c>
      <c r="M218" s="30" t="s">
        <v>987</v>
      </c>
      <c r="N218" s="30" t="s">
        <v>927</v>
      </c>
      <c r="O218" s="30" t="s">
        <v>83</v>
      </c>
      <c r="P218" s="33">
        <v>46192</v>
      </c>
      <c r="Q218" s="33">
        <v>46192</v>
      </c>
      <c r="R218" s="32">
        <v>1</v>
      </c>
      <c r="S218" s="30" t="s">
        <v>84</v>
      </c>
      <c r="T218" s="30" t="s">
        <v>117</v>
      </c>
      <c r="U218" s="30" t="s">
        <v>349</v>
      </c>
      <c r="V218" s="30" t="s">
        <v>87</v>
      </c>
      <c r="W218" s="30" t="s">
        <v>88</v>
      </c>
      <c r="X218" s="30" t="s">
        <v>197</v>
      </c>
      <c r="Y218" s="30">
        <v>8</v>
      </c>
      <c r="AB218" s="30" t="b">
        <v>0</v>
      </c>
      <c r="AC218" s="30"/>
      <c r="AD218" s="30" t="b">
        <v>0</v>
      </c>
      <c r="AF218" s="30" t="b">
        <v>0</v>
      </c>
      <c r="AH218" s="32" t="s">
        <v>91</v>
      </c>
      <c r="AI218" s="32"/>
      <c r="AJ218" s="32"/>
      <c r="AK218" s="32"/>
      <c r="AL218" s="30" t="s">
        <v>92</v>
      </c>
      <c r="AM218" s="30" t="s">
        <v>93</v>
      </c>
      <c r="AN218" s="30" t="s">
        <v>94</v>
      </c>
      <c r="AO218" s="30" t="s">
        <v>142</v>
      </c>
      <c r="AP218" s="30" t="s">
        <v>143</v>
      </c>
      <c r="AQ218" s="30" t="s">
        <v>232</v>
      </c>
      <c r="AR218" s="30" t="s">
        <v>691</v>
      </c>
      <c r="AT218" s="30" t="s">
        <v>99</v>
      </c>
      <c r="AU218" s="30" t="s">
        <v>146</v>
      </c>
      <c r="AV218" s="30" t="s">
        <v>839</v>
      </c>
      <c r="AW218" s="30" t="s">
        <v>102</v>
      </c>
      <c r="AX218" s="34" t="s">
        <v>349</v>
      </c>
      <c r="AY218" s="34" t="s">
        <v>103</v>
      </c>
      <c r="AZ218" s="34"/>
      <c r="BA218" s="34"/>
      <c r="BB218" s="34"/>
      <c r="BC218" s="34">
        <v>0</v>
      </c>
      <c r="BD218" s="34"/>
      <c r="BE218" s="34"/>
      <c r="BF218" s="34" t="b">
        <v>0</v>
      </c>
      <c r="BG218" s="34"/>
      <c r="BH218" s="34"/>
      <c r="BI218" s="34"/>
      <c r="BJ218" s="34"/>
      <c r="BK218" s="34"/>
      <c r="BL218" s="34"/>
      <c r="BM218" s="34" t="s">
        <v>168</v>
      </c>
      <c r="BN218" s="34"/>
      <c r="BO218" s="35"/>
      <c r="BP218" s="35"/>
      <c r="BQ218" s="35" t="s">
        <v>108</v>
      </c>
      <c r="BR218" s="36" t="e">
        <f>VLOOKUP(BQ218, Cat_Indicadores!B:C, 2, FALSE)</f>
        <v>#N/A</v>
      </c>
      <c r="BS218" s="35" t="s">
        <v>5592</v>
      </c>
      <c r="BT218" s="35"/>
    </row>
    <row r="219" spans="1:72">
      <c r="A219" s="29" t="s">
        <v>988</v>
      </c>
      <c r="B219" s="30" t="s">
        <v>989</v>
      </c>
      <c r="C219" s="31">
        <v>46209.516770833332</v>
      </c>
      <c r="D219" s="30">
        <v>92</v>
      </c>
      <c r="E219" s="30" t="s">
        <v>74</v>
      </c>
      <c r="F219" s="30" t="s">
        <v>75</v>
      </c>
      <c r="G219" s="30" t="s">
        <v>133</v>
      </c>
      <c r="H219" s="30" t="s">
        <v>77</v>
      </c>
      <c r="I219" s="30" t="s">
        <v>78</v>
      </c>
      <c r="J219" s="30" t="s">
        <v>79</v>
      </c>
      <c r="K219" s="32">
        <v>800</v>
      </c>
      <c r="L219" s="32" t="s">
        <v>80</v>
      </c>
      <c r="M219" s="30" t="s">
        <v>984</v>
      </c>
      <c r="N219" s="30" t="s">
        <v>927</v>
      </c>
      <c r="O219" s="30" t="s">
        <v>83</v>
      </c>
      <c r="P219" s="33">
        <v>46192</v>
      </c>
      <c r="Q219" s="33">
        <v>46192</v>
      </c>
      <c r="R219" s="32">
        <v>1</v>
      </c>
      <c r="S219" s="30" t="s">
        <v>84</v>
      </c>
      <c r="T219" s="30" t="s">
        <v>117</v>
      </c>
      <c r="U219" s="30" t="s">
        <v>349</v>
      </c>
      <c r="V219" s="30" t="s">
        <v>87</v>
      </c>
      <c r="W219" s="30" t="s">
        <v>88</v>
      </c>
      <c r="X219" s="30" t="s">
        <v>197</v>
      </c>
      <c r="Y219" s="30">
        <v>8</v>
      </c>
      <c r="AB219" s="30" t="b">
        <v>0</v>
      </c>
      <c r="AC219" s="30"/>
      <c r="AD219" s="30" t="b">
        <v>0</v>
      </c>
      <c r="AF219" s="30" t="b">
        <v>0</v>
      </c>
      <c r="AH219" s="32" t="s">
        <v>91</v>
      </c>
      <c r="AI219" s="32"/>
      <c r="AJ219" s="32"/>
      <c r="AK219" s="32"/>
      <c r="AL219" s="30" t="s">
        <v>92</v>
      </c>
      <c r="AM219" s="30" t="s">
        <v>93</v>
      </c>
      <c r="AN219" s="30" t="s">
        <v>94</v>
      </c>
      <c r="AO219" s="30" t="s">
        <v>142</v>
      </c>
      <c r="AP219" s="30" t="s">
        <v>143</v>
      </c>
      <c r="AQ219" s="30" t="s">
        <v>232</v>
      </c>
      <c r="AR219" s="30" t="s">
        <v>691</v>
      </c>
      <c r="AT219" s="30" t="s">
        <v>99</v>
      </c>
      <c r="AU219" s="30" t="s">
        <v>146</v>
      </c>
      <c r="AV219" s="30" t="s">
        <v>839</v>
      </c>
      <c r="AW219" s="30" t="s">
        <v>102</v>
      </c>
      <c r="AX219" s="34" t="s">
        <v>349</v>
      </c>
      <c r="AY219" s="34" t="s">
        <v>103</v>
      </c>
      <c r="AZ219" s="34"/>
      <c r="BA219" s="34"/>
      <c r="BB219" s="34"/>
      <c r="BC219" s="34">
        <v>0</v>
      </c>
      <c r="BD219" s="34"/>
      <c r="BE219" s="34"/>
      <c r="BF219" s="34" t="b">
        <v>0</v>
      </c>
      <c r="BG219" s="34"/>
      <c r="BH219" s="34"/>
      <c r="BI219" s="34"/>
      <c r="BJ219" s="34"/>
      <c r="BK219" s="34"/>
      <c r="BL219" s="34"/>
      <c r="BM219" s="34" t="s">
        <v>168</v>
      </c>
      <c r="BN219" s="34"/>
      <c r="BO219" s="35"/>
      <c r="BP219" s="35"/>
      <c r="BQ219" s="35" t="s">
        <v>108</v>
      </c>
      <c r="BR219" s="36" t="e">
        <f>VLOOKUP(BQ219, Cat_Indicadores!B:C, 2, FALSE)</f>
        <v>#N/A</v>
      </c>
      <c r="BS219" s="35" t="s">
        <v>5592</v>
      </c>
      <c r="BT219" s="35"/>
    </row>
    <row r="220" spans="1:72">
      <c r="A220" s="29" t="s">
        <v>990</v>
      </c>
      <c r="B220" s="30" t="s">
        <v>991</v>
      </c>
      <c r="C220" s="31">
        <v>46209.519097222219</v>
      </c>
      <c r="D220" s="30">
        <v>92</v>
      </c>
      <c r="E220" s="30" t="s">
        <v>74</v>
      </c>
      <c r="F220" s="30" t="s">
        <v>75</v>
      </c>
      <c r="G220" s="30" t="s">
        <v>133</v>
      </c>
      <c r="H220" s="30" t="s">
        <v>77</v>
      </c>
      <c r="I220" s="30" t="s">
        <v>78</v>
      </c>
      <c r="J220" s="30" t="s">
        <v>79</v>
      </c>
      <c r="K220" s="32">
        <v>800</v>
      </c>
      <c r="L220" s="32" t="s">
        <v>80</v>
      </c>
      <c r="M220" s="30" t="s">
        <v>992</v>
      </c>
      <c r="N220" s="30" t="s">
        <v>927</v>
      </c>
      <c r="O220" s="30" t="s">
        <v>83</v>
      </c>
      <c r="P220" s="33">
        <v>46197</v>
      </c>
      <c r="Q220" s="33">
        <v>46197</v>
      </c>
      <c r="R220" s="32">
        <v>1</v>
      </c>
      <c r="S220" s="30" t="s">
        <v>84</v>
      </c>
      <c r="T220" s="30" t="s">
        <v>117</v>
      </c>
      <c r="U220" s="30" t="s">
        <v>349</v>
      </c>
      <c r="V220" s="30" t="s">
        <v>87</v>
      </c>
      <c r="W220" s="30" t="s">
        <v>88</v>
      </c>
      <c r="X220" s="30" t="s">
        <v>197</v>
      </c>
      <c r="Y220" s="30">
        <v>8</v>
      </c>
      <c r="AB220" s="30" t="b">
        <v>0</v>
      </c>
      <c r="AC220" s="30"/>
      <c r="AD220" s="30" t="b">
        <v>0</v>
      </c>
      <c r="AF220" s="30" t="b">
        <v>0</v>
      </c>
      <c r="AH220" s="32" t="s">
        <v>91</v>
      </c>
      <c r="AI220" s="32"/>
      <c r="AJ220" s="32"/>
      <c r="AK220" s="32"/>
      <c r="AL220" s="30" t="s">
        <v>92</v>
      </c>
      <c r="AM220" s="30" t="s">
        <v>93</v>
      </c>
      <c r="AN220" s="30" t="s">
        <v>94</v>
      </c>
      <c r="AO220" s="30" t="s">
        <v>142</v>
      </c>
      <c r="AP220" s="30" t="s">
        <v>143</v>
      </c>
      <c r="AQ220" s="30" t="s">
        <v>232</v>
      </c>
      <c r="AR220" s="30" t="s">
        <v>691</v>
      </c>
      <c r="AT220" s="30" t="s">
        <v>99</v>
      </c>
      <c r="AU220" s="30" t="s">
        <v>146</v>
      </c>
      <c r="AV220" s="30" t="s">
        <v>839</v>
      </c>
      <c r="AW220" s="30" t="s">
        <v>102</v>
      </c>
      <c r="AX220" s="34" t="s">
        <v>349</v>
      </c>
      <c r="AY220" s="34" t="s">
        <v>103</v>
      </c>
      <c r="AZ220" s="34"/>
      <c r="BA220" s="34"/>
      <c r="BB220" s="34"/>
      <c r="BC220" s="34">
        <v>0</v>
      </c>
      <c r="BD220" s="34"/>
      <c r="BE220" s="34"/>
      <c r="BF220" s="34" t="b">
        <v>0</v>
      </c>
      <c r="BG220" s="34"/>
      <c r="BH220" s="34"/>
      <c r="BI220" s="34"/>
      <c r="BJ220" s="34"/>
      <c r="BK220" s="34"/>
      <c r="BL220" s="34"/>
      <c r="BM220" s="34" t="s">
        <v>168</v>
      </c>
      <c r="BN220" s="34"/>
      <c r="BO220" s="35"/>
      <c r="BP220" s="35"/>
      <c r="BQ220" s="35" t="s">
        <v>108</v>
      </c>
      <c r="BR220" s="36" t="e">
        <f>VLOOKUP(BQ220, Cat_Indicadores!B:C, 2, FALSE)</f>
        <v>#N/A</v>
      </c>
      <c r="BS220" s="35" t="s">
        <v>5592</v>
      </c>
      <c r="BT220" s="35"/>
    </row>
    <row r="221" spans="1:72">
      <c r="A221" s="29" t="s">
        <v>993</v>
      </c>
      <c r="B221" s="30" t="s">
        <v>994</v>
      </c>
      <c r="C221" s="31">
        <v>46209.522835648146</v>
      </c>
      <c r="D221" s="30">
        <v>92</v>
      </c>
      <c r="E221" s="30" t="s">
        <v>74</v>
      </c>
      <c r="F221" s="30" t="s">
        <v>75</v>
      </c>
      <c r="G221" s="30" t="s">
        <v>133</v>
      </c>
      <c r="H221" s="30" t="s">
        <v>77</v>
      </c>
      <c r="I221" s="30" t="s">
        <v>78</v>
      </c>
      <c r="J221" s="30" t="s">
        <v>79</v>
      </c>
      <c r="K221" s="32">
        <v>800</v>
      </c>
      <c r="L221" s="32" t="s">
        <v>80</v>
      </c>
      <c r="M221" s="30" t="s">
        <v>995</v>
      </c>
      <c r="N221" s="30" t="s">
        <v>927</v>
      </c>
      <c r="O221" s="30" t="s">
        <v>83</v>
      </c>
      <c r="P221" s="33">
        <v>46199</v>
      </c>
      <c r="Q221" s="33">
        <v>46199</v>
      </c>
      <c r="R221" s="32">
        <v>1</v>
      </c>
      <c r="S221" s="30" t="s">
        <v>84</v>
      </c>
      <c r="T221" s="30" t="s">
        <v>117</v>
      </c>
      <c r="U221" s="30" t="s">
        <v>349</v>
      </c>
      <c r="V221" s="30" t="s">
        <v>87</v>
      </c>
      <c r="W221" s="30" t="s">
        <v>88</v>
      </c>
      <c r="X221" s="30" t="s">
        <v>197</v>
      </c>
      <c r="Y221" s="30">
        <v>8</v>
      </c>
      <c r="AB221" s="30" t="b">
        <v>0</v>
      </c>
      <c r="AC221" s="30"/>
      <c r="AD221" s="30" t="b">
        <v>0</v>
      </c>
      <c r="AF221" s="30" t="b">
        <v>0</v>
      </c>
      <c r="AH221" s="32" t="s">
        <v>91</v>
      </c>
      <c r="AI221" s="32"/>
      <c r="AJ221" s="32"/>
      <c r="AK221" s="32"/>
      <c r="AL221" s="30" t="s">
        <v>92</v>
      </c>
      <c r="AM221" s="30" t="s">
        <v>93</v>
      </c>
      <c r="AN221" s="30" t="s">
        <v>94</v>
      </c>
      <c r="AO221" s="30" t="s">
        <v>142</v>
      </c>
      <c r="AP221" s="30" t="s">
        <v>143</v>
      </c>
      <c r="AQ221" s="30" t="s">
        <v>232</v>
      </c>
      <c r="AR221" s="30" t="s">
        <v>691</v>
      </c>
      <c r="AT221" s="30" t="s">
        <v>99</v>
      </c>
      <c r="AU221" s="30" t="s">
        <v>146</v>
      </c>
      <c r="AV221" s="30" t="s">
        <v>839</v>
      </c>
      <c r="AW221" s="30" t="s">
        <v>102</v>
      </c>
      <c r="AX221" s="34" t="s">
        <v>349</v>
      </c>
      <c r="AY221" s="34" t="s">
        <v>103</v>
      </c>
      <c r="AZ221" s="34"/>
      <c r="BA221" s="34"/>
      <c r="BB221" s="34"/>
      <c r="BC221" s="34">
        <v>0</v>
      </c>
      <c r="BD221" s="34"/>
      <c r="BE221" s="34"/>
      <c r="BF221" s="34" t="b">
        <v>0</v>
      </c>
      <c r="BG221" s="34"/>
      <c r="BH221" s="34"/>
      <c r="BI221" s="34"/>
      <c r="BJ221" s="34"/>
      <c r="BK221" s="34"/>
      <c r="BL221" s="34"/>
      <c r="BM221" s="34" t="s">
        <v>168</v>
      </c>
      <c r="BN221" s="34"/>
      <c r="BO221" s="35"/>
      <c r="BP221" s="35"/>
      <c r="BQ221" s="35" t="s">
        <v>108</v>
      </c>
      <c r="BR221" s="36" t="e">
        <f>VLOOKUP(BQ221, Cat_Indicadores!B:C, 2, FALSE)</f>
        <v>#N/A</v>
      </c>
      <c r="BS221" s="35" t="s">
        <v>5592</v>
      </c>
      <c r="BT221" s="35"/>
    </row>
    <row r="222" spans="1:72">
      <c r="A222" s="29" t="s">
        <v>996</v>
      </c>
      <c r="B222" s="30" t="s">
        <v>997</v>
      </c>
      <c r="C222" s="31">
        <v>46209.524872685186</v>
      </c>
      <c r="D222" s="30">
        <v>92</v>
      </c>
      <c r="E222" s="30" t="s">
        <v>74</v>
      </c>
      <c r="F222" s="30" t="s">
        <v>75</v>
      </c>
      <c r="G222" s="30" t="s">
        <v>133</v>
      </c>
      <c r="H222" s="30" t="s">
        <v>77</v>
      </c>
      <c r="I222" s="30" t="s">
        <v>78</v>
      </c>
      <c r="J222" s="30" t="s">
        <v>79</v>
      </c>
      <c r="K222" s="32">
        <v>800</v>
      </c>
      <c r="L222" s="32" t="s">
        <v>80</v>
      </c>
      <c r="M222" s="30" t="s">
        <v>998</v>
      </c>
      <c r="N222" s="30" t="s">
        <v>927</v>
      </c>
      <c r="O222" s="30" t="s">
        <v>83</v>
      </c>
      <c r="P222" s="33">
        <v>46203</v>
      </c>
      <c r="Q222" s="33">
        <v>46203</v>
      </c>
      <c r="R222" s="32">
        <v>1</v>
      </c>
      <c r="S222" s="30" t="s">
        <v>84</v>
      </c>
      <c r="T222" s="30" t="s">
        <v>117</v>
      </c>
      <c r="U222" s="30" t="s">
        <v>349</v>
      </c>
      <c r="V222" s="30" t="s">
        <v>87</v>
      </c>
      <c r="W222" s="30" t="s">
        <v>88</v>
      </c>
      <c r="X222" s="30" t="s">
        <v>197</v>
      </c>
      <c r="Y222" s="30">
        <v>8</v>
      </c>
      <c r="AB222" s="30" t="b">
        <v>0</v>
      </c>
      <c r="AC222" s="30"/>
      <c r="AD222" s="30" t="b">
        <v>0</v>
      </c>
      <c r="AF222" s="30" t="b">
        <v>0</v>
      </c>
      <c r="AH222" s="32" t="s">
        <v>91</v>
      </c>
      <c r="AI222" s="32"/>
      <c r="AJ222" s="32"/>
      <c r="AK222" s="32"/>
      <c r="AL222" s="30" t="s">
        <v>92</v>
      </c>
      <c r="AM222" s="30" t="s">
        <v>93</v>
      </c>
      <c r="AN222" s="30" t="s">
        <v>94</v>
      </c>
      <c r="AO222" s="30" t="s">
        <v>142</v>
      </c>
      <c r="AP222" s="30" t="s">
        <v>143</v>
      </c>
      <c r="AQ222" s="30" t="s">
        <v>232</v>
      </c>
      <c r="AR222" s="30" t="s">
        <v>691</v>
      </c>
      <c r="AT222" s="30" t="s">
        <v>99</v>
      </c>
      <c r="AU222" s="30" t="s">
        <v>146</v>
      </c>
      <c r="AV222" s="30" t="s">
        <v>839</v>
      </c>
      <c r="AW222" s="30" t="s">
        <v>102</v>
      </c>
      <c r="AX222" s="34" t="s">
        <v>349</v>
      </c>
      <c r="AY222" s="34" t="s">
        <v>103</v>
      </c>
      <c r="AZ222" s="34"/>
      <c r="BA222" s="34"/>
      <c r="BB222" s="34"/>
      <c r="BC222" s="34">
        <v>0</v>
      </c>
      <c r="BD222" s="34"/>
      <c r="BE222" s="34"/>
      <c r="BF222" s="34" t="b">
        <v>0</v>
      </c>
      <c r="BG222" s="34"/>
      <c r="BH222" s="34"/>
      <c r="BI222" s="34"/>
      <c r="BJ222" s="34"/>
      <c r="BK222" s="34"/>
      <c r="BL222" s="34"/>
      <c r="BM222" s="34" t="s">
        <v>168</v>
      </c>
      <c r="BN222" s="34"/>
      <c r="BO222" s="35"/>
      <c r="BP222" s="35"/>
      <c r="BQ222" s="35" t="s">
        <v>108</v>
      </c>
      <c r="BR222" s="36" t="e">
        <f>VLOOKUP(BQ222, Cat_Indicadores!B:C, 2, FALSE)</f>
        <v>#N/A</v>
      </c>
      <c r="BS222" s="35" t="s">
        <v>5592</v>
      </c>
      <c r="BT222" s="35"/>
    </row>
    <row r="223" spans="1:72">
      <c r="A223" s="29" t="s">
        <v>999</v>
      </c>
      <c r="B223" s="30" t="s">
        <v>1000</v>
      </c>
      <c r="C223" s="31">
        <v>46209.527581018519</v>
      </c>
      <c r="D223" s="30">
        <v>92</v>
      </c>
      <c r="E223" s="30" t="s">
        <v>74</v>
      </c>
      <c r="F223" s="30" t="s">
        <v>75</v>
      </c>
      <c r="G223" s="30" t="s">
        <v>133</v>
      </c>
      <c r="H223" s="30" t="s">
        <v>77</v>
      </c>
      <c r="I223" s="30" t="s">
        <v>78</v>
      </c>
      <c r="J223" s="30" t="s">
        <v>79</v>
      </c>
      <c r="K223" s="32">
        <v>800</v>
      </c>
      <c r="L223" s="32" t="s">
        <v>211</v>
      </c>
      <c r="M223" s="30" t="s">
        <v>1001</v>
      </c>
      <c r="N223" s="30" t="s">
        <v>899</v>
      </c>
      <c r="O223" s="30" t="s">
        <v>581</v>
      </c>
      <c r="P223" s="33">
        <v>46179</v>
      </c>
      <c r="Q223" s="33">
        <v>46201</v>
      </c>
      <c r="R223" s="32">
        <v>3</v>
      </c>
      <c r="S223" s="30" t="s">
        <v>84</v>
      </c>
      <c r="T223" s="30" t="s">
        <v>117</v>
      </c>
      <c r="U223" s="30" t="s">
        <v>86</v>
      </c>
      <c r="V223" s="30" t="s">
        <v>87</v>
      </c>
      <c r="W223" s="30" t="s">
        <v>88</v>
      </c>
      <c r="X223" s="30" t="s">
        <v>197</v>
      </c>
      <c r="Y223" s="30">
        <v>8</v>
      </c>
      <c r="AB223" s="30" t="b">
        <v>0</v>
      </c>
      <c r="AC223" s="30"/>
      <c r="AD223" s="30" t="b">
        <v>0</v>
      </c>
      <c r="AF223" s="30" t="b">
        <v>0</v>
      </c>
      <c r="AH223" s="32" t="s">
        <v>91</v>
      </c>
      <c r="AI223" s="32"/>
      <c r="AJ223" s="32"/>
      <c r="AK223" s="32"/>
      <c r="AL223" s="30" t="s">
        <v>92</v>
      </c>
      <c r="AM223" s="30" t="s">
        <v>93</v>
      </c>
      <c r="AN223" s="30" t="s">
        <v>94</v>
      </c>
      <c r="AO223" s="30" t="s">
        <v>142</v>
      </c>
      <c r="AP223" s="30" t="s">
        <v>143</v>
      </c>
      <c r="AQ223" s="30" t="s">
        <v>232</v>
      </c>
      <c r="AR223" s="30" t="s">
        <v>691</v>
      </c>
      <c r="AT223" s="30" t="s">
        <v>99</v>
      </c>
      <c r="AU223" s="30" t="s">
        <v>146</v>
      </c>
      <c r="AV223" s="30" t="s">
        <v>839</v>
      </c>
      <c r="AW223" s="30" t="s">
        <v>102</v>
      </c>
      <c r="AX223" s="34" t="s">
        <v>86</v>
      </c>
      <c r="AY223" s="34" t="s">
        <v>103</v>
      </c>
      <c r="AZ223" s="34"/>
      <c r="BA223" s="34"/>
      <c r="BB223" s="34"/>
      <c r="BC223" s="34">
        <v>0</v>
      </c>
      <c r="BD223" s="34"/>
      <c r="BE223" s="34"/>
      <c r="BF223" s="34" t="b">
        <v>0</v>
      </c>
      <c r="BG223" s="34"/>
      <c r="BH223" s="34"/>
      <c r="BI223" s="34"/>
      <c r="BJ223" s="34"/>
      <c r="BK223" s="34"/>
      <c r="BL223" s="34"/>
      <c r="BM223" s="34" t="s">
        <v>168</v>
      </c>
      <c r="BN223" s="34"/>
      <c r="BO223" s="35"/>
      <c r="BP223" s="35"/>
      <c r="BQ223" s="35" t="s">
        <v>108</v>
      </c>
      <c r="BR223" s="36" t="e">
        <f>VLOOKUP(BQ223, Cat_Indicadores!B:C, 2, FALSE)</f>
        <v>#N/A</v>
      </c>
      <c r="BS223" s="35" t="s">
        <v>5592</v>
      </c>
      <c r="BT223" s="35"/>
    </row>
    <row r="224" spans="1:72">
      <c r="A224" s="29" t="s">
        <v>1002</v>
      </c>
      <c r="B224" s="30" t="s">
        <v>1003</v>
      </c>
      <c r="C224" s="31">
        <v>46209.532754629632</v>
      </c>
      <c r="D224" s="30">
        <v>92</v>
      </c>
      <c r="E224" s="30" t="s">
        <v>74</v>
      </c>
      <c r="F224" s="30" t="s">
        <v>75</v>
      </c>
      <c r="G224" s="30" t="s">
        <v>133</v>
      </c>
      <c r="H224" s="30" t="s">
        <v>77</v>
      </c>
      <c r="I224" s="30" t="s">
        <v>78</v>
      </c>
      <c r="J224" s="30" t="s">
        <v>79</v>
      </c>
      <c r="K224" s="32">
        <v>800</v>
      </c>
      <c r="L224" s="32" t="s">
        <v>211</v>
      </c>
      <c r="M224" s="30" t="s">
        <v>1004</v>
      </c>
      <c r="N224" s="30" t="s">
        <v>899</v>
      </c>
      <c r="O224" s="30" t="s">
        <v>581</v>
      </c>
      <c r="P224" s="33">
        <v>46180</v>
      </c>
      <c r="Q224" s="33">
        <v>46201</v>
      </c>
      <c r="R224" s="32">
        <v>4</v>
      </c>
      <c r="S224" s="30" t="s">
        <v>84</v>
      </c>
      <c r="T224" s="30" t="s">
        <v>117</v>
      </c>
      <c r="U224" s="30" t="s">
        <v>86</v>
      </c>
      <c r="V224" s="30" t="s">
        <v>87</v>
      </c>
      <c r="W224" s="30" t="s">
        <v>88</v>
      </c>
      <c r="X224" s="30" t="s">
        <v>197</v>
      </c>
      <c r="Y224" s="30">
        <v>8</v>
      </c>
      <c r="AB224" s="30" t="b">
        <v>0</v>
      </c>
      <c r="AC224" s="30"/>
      <c r="AD224" s="30" t="b">
        <v>0</v>
      </c>
      <c r="AF224" s="30" t="b">
        <v>0</v>
      </c>
      <c r="AH224" s="32" t="s">
        <v>91</v>
      </c>
      <c r="AI224" s="32"/>
      <c r="AJ224" s="32"/>
      <c r="AK224" s="32"/>
      <c r="AL224" s="30" t="s">
        <v>92</v>
      </c>
      <c r="AM224" s="30" t="s">
        <v>93</v>
      </c>
      <c r="AN224" s="30" t="s">
        <v>94</v>
      </c>
      <c r="AO224" s="30" t="s">
        <v>142</v>
      </c>
      <c r="AP224" s="30" t="s">
        <v>143</v>
      </c>
      <c r="AQ224" s="30" t="s">
        <v>232</v>
      </c>
      <c r="AR224" s="30" t="s">
        <v>691</v>
      </c>
      <c r="AT224" s="30" t="s">
        <v>99</v>
      </c>
      <c r="AU224" s="30" t="s">
        <v>146</v>
      </c>
      <c r="AV224" s="30" t="s">
        <v>839</v>
      </c>
      <c r="AW224" s="30" t="s">
        <v>102</v>
      </c>
      <c r="AX224" s="34" t="s">
        <v>86</v>
      </c>
      <c r="AY224" s="34" t="s">
        <v>103</v>
      </c>
      <c r="AZ224" s="34"/>
      <c r="BA224" s="34"/>
      <c r="BB224" s="34"/>
      <c r="BC224" s="34">
        <v>0</v>
      </c>
      <c r="BD224" s="34"/>
      <c r="BE224" s="34"/>
      <c r="BF224" s="34" t="b">
        <v>0</v>
      </c>
      <c r="BG224" s="34"/>
      <c r="BH224" s="34"/>
      <c r="BI224" s="34"/>
      <c r="BJ224" s="34"/>
      <c r="BK224" s="34"/>
      <c r="BL224" s="34"/>
      <c r="BM224" s="34" t="s">
        <v>168</v>
      </c>
      <c r="BN224" s="34"/>
      <c r="BO224" s="35"/>
      <c r="BP224" s="35"/>
      <c r="BQ224" s="35" t="s">
        <v>108</v>
      </c>
      <c r="BR224" s="36" t="e">
        <f>VLOOKUP(BQ224, Cat_Indicadores!B:C, 2, FALSE)</f>
        <v>#N/A</v>
      </c>
      <c r="BS224" s="35" t="s">
        <v>5592</v>
      </c>
      <c r="BT224" s="35"/>
    </row>
    <row r="225" spans="1:72">
      <c r="A225" s="29" t="s">
        <v>1005</v>
      </c>
      <c r="B225" s="30" t="s">
        <v>1006</v>
      </c>
      <c r="C225" s="31">
        <v>46209.589409722219</v>
      </c>
      <c r="D225" s="30">
        <v>92</v>
      </c>
      <c r="E225" s="30" t="s">
        <v>74</v>
      </c>
      <c r="F225" s="30" t="s">
        <v>75</v>
      </c>
      <c r="G225" s="30" t="s">
        <v>133</v>
      </c>
      <c r="H225" s="30" t="s">
        <v>77</v>
      </c>
      <c r="I225" s="30" t="s">
        <v>78</v>
      </c>
      <c r="J225" s="30" t="s">
        <v>79</v>
      </c>
      <c r="K225" s="32">
        <v>800</v>
      </c>
      <c r="L225" s="32" t="s">
        <v>211</v>
      </c>
      <c r="M225" s="30" t="s">
        <v>1007</v>
      </c>
      <c r="N225" s="30" t="s">
        <v>899</v>
      </c>
      <c r="O225" s="30" t="s">
        <v>581</v>
      </c>
      <c r="P225" s="33">
        <v>46179</v>
      </c>
      <c r="Q225" s="33">
        <v>46200</v>
      </c>
      <c r="R225" s="32">
        <v>4</v>
      </c>
      <c r="S225" s="30" t="s">
        <v>84</v>
      </c>
      <c r="T225" s="30" t="s">
        <v>117</v>
      </c>
      <c r="U225" s="30" t="s">
        <v>86</v>
      </c>
      <c r="V225" s="30" t="s">
        <v>87</v>
      </c>
      <c r="W225" s="30" t="s">
        <v>88</v>
      </c>
      <c r="X225" s="30" t="s">
        <v>197</v>
      </c>
      <c r="Y225" s="30">
        <v>8</v>
      </c>
      <c r="AB225" s="30" t="b">
        <v>0</v>
      </c>
      <c r="AC225" s="30"/>
      <c r="AD225" s="30" t="b">
        <v>0</v>
      </c>
      <c r="AF225" s="30" t="b">
        <v>0</v>
      </c>
      <c r="AH225" s="32" t="s">
        <v>91</v>
      </c>
      <c r="AI225" s="32"/>
      <c r="AJ225" s="32"/>
      <c r="AK225" s="32"/>
      <c r="AL225" s="30" t="s">
        <v>92</v>
      </c>
      <c r="AM225" s="30" t="s">
        <v>93</v>
      </c>
      <c r="AN225" s="30" t="s">
        <v>94</v>
      </c>
      <c r="AO225" s="30" t="s">
        <v>142</v>
      </c>
      <c r="AP225" s="30" t="s">
        <v>143</v>
      </c>
      <c r="AQ225" s="30" t="s">
        <v>232</v>
      </c>
      <c r="AR225" s="30" t="s">
        <v>691</v>
      </c>
      <c r="AT225" s="30" t="s">
        <v>99</v>
      </c>
      <c r="AU225" s="30" t="s">
        <v>146</v>
      </c>
      <c r="AV225" s="30" t="s">
        <v>839</v>
      </c>
      <c r="AW225" s="30" t="s">
        <v>102</v>
      </c>
      <c r="AX225" s="34" t="s">
        <v>86</v>
      </c>
      <c r="AY225" s="34" t="s">
        <v>103</v>
      </c>
      <c r="AZ225" s="34"/>
      <c r="BA225" s="34"/>
      <c r="BB225" s="34"/>
      <c r="BC225" s="34">
        <v>0</v>
      </c>
      <c r="BD225" s="34"/>
      <c r="BE225" s="34"/>
      <c r="BF225" s="34" t="b">
        <v>0</v>
      </c>
      <c r="BG225" s="34"/>
      <c r="BH225" s="34"/>
      <c r="BI225" s="34"/>
      <c r="BJ225" s="34"/>
      <c r="BK225" s="34"/>
      <c r="BL225" s="34"/>
      <c r="BM225" s="34" t="s">
        <v>168</v>
      </c>
      <c r="BN225" s="34"/>
      <c r="BO225" s="35"/>
      <c r="BP225" s="35"/>
      <c r="BQ225" s="35" t="s">
        <v>108</v>
      </c>
      <c r="BR225" s="36" t="e">
        <f>VLOOKUP(BQ225, Cat_Indicadores!B:C, 2, FALSE)</f>
        <v>#N/A</v>
      </c>
      <c r="BS225" s="35" t="s">
        <v>5592</v>
      </c>
      <c r="BT225" s="35"/>
    </row>
    <row r="226" spans="1:72">
      <c r="A226" s="29" t="s">
        <v>1008</v>
      </c>
      <c r="B226" s="30" t="s">
        <v>1009</v>
      </c>
      <c r="C226" s="31">
        <v>46209.592615740738</v>
      </c>
      <c r="D226" s="30">
        <v>92</v>
      </c>
      <c r="E226" s="30" t="s">
        <v>74</v>
      </c>
      <c r="F226" s="30" t="s">
        <v>75</v>
      </c>
      <c r="G226" s="30" t="s">
        <v>133</v>
      </c>
      <c r="H226" s="30" t="s">
        <v>77</v>
      </c>
      <c r="I226" s="30" t="s">
        <v>78</v>
      </c>
      <c r="J226" s="30" t="s">
        <v>79</v>
      </c>
      <c r="K226" s="32">
        <v>800</v>
      </c>
      <c r="L226" s="32" t="s">
        <v>211</v>
      </c>
      <c r="M226" s="30" t="s">
        <v>1010</v>
      </c>
      <c r="N226" s="30" t="s">
        <v>899</v>
      </c>
      <c r="O226" s="30" t="s">
        <v>581</v>
      </c>
      <c r="P226" s="33">
        <v>46180</v>
      </c>
      <c r="Q226" s="33">
        <v>46201</v>
      </c>
      <c r="R226" s="32">
        <v>3</v>
      </c>
      <c r="S226" s="30" t="s">
        <v>84</v>
      </c>
      <c r="T226" s="30" t="s">
        <v>117</v>
      </c>
      <c r="U226" s="30" t="s">
        <v>86</v>
      </c>
      <c r="V226" s="30" t="s">
        <v>87</v>
      </c>
      <c r="W226" s="30" t="s">
        <v>88</v>
      </c>
      <c r="X226" s="30" t="s">
        <v>197</v>
      </c>
      <c r="Y226" s="30">
        <v>8</v>
      </c>
      <c r="AB226" s="30" t="b">
        <v>0</v>
      </c>
      <c r="AC226" s="30"/>
      <c r="AD226" s="30" t="b">
        <v>0</v>
      </c>
      <c r="AF226" s="30" t="b">
        <v>0</v>
      </c>
      <c r="AH226" s="32" t="s">
        <v>91</v>
      </c>
      <c r="AI226" s="32"/>
      <c r="AJ226" s="32"/>
      <c r="AK226" s="32"/>
      <c r="AL226" s="30" t="s">
        <v>92</v>
      </c>
      <c r="AM226" s="30" t="s">
        <v>93</v>
      </c>
      <c r="AN226" s="30" t="s">
        <v>94</v>
      </c>
      <c r="AO226" s="30" t="s">
        <v>142</v>
      </c>
      <c r="AP226" s="30" t="s">
        <v>143</v>
      </c>
      <c r="AQ226" s="30" t="s">
        <v>232</v>
      </c>
      <c r="AR226" s="30" t="s">
        <v>691</v>
      </c>
      <c r="AT226" s="30" t="s">
        <v>99</v>
      </c>
      <c r="AU226" s="30" t="s">
        <v>146</v>
      </c>
      <c r="AV226" s="30" t="s">
        <v>839</v>
      </c>
      <c r="AW226" s="30" t="s">
        <v>102</v>
      </c>
      <c r="AX226" s="34" t="s">
        <v>86</v>
      </c>
      <c r="AY226" s="34" t="s">
        <v>103</v>
      </c>
      <c r="AZ226" s="34"/>
      <c r="BA226" s="34"/>
      <c r="BB226" s="34"/>
      <c r="BC226" s="34">
        <v>0</v>
      </c>
      <c r="BD226" s="34"/>
      <c r="BE226" s="34"/>
      <c r="BF226" s="34" t="b">
        <v>0</v>
      </c>
      <c r="BG226" s="34"/>
      <c r="BH226" s="34"/>
      <c r="BI226" s="34"/>
      <c r="BJ226" s="34"/>
      <c r="BK226" s="34"/>
      <c r="BL226" s="34"/>
      <c r="BM226" s="34" t="s">
        <v>168</v>
      </c>
      <c r="BN226" s="34"/>
      <c r="BO226" s="35"/>
      <c r="BP226" s="35"/>
      <c r="BQ226" s="35" t="s">
        <v>108</v>
      </c>
      <c r="BR226" s="36" t="e">
        <f>VLOOKUP(BQ226, Cat_Indicadores!B:C, 2, FALSE)</f>
        <v>#N/A</v>
      </c>
      <c r="BS226" s="35" t="s">
        <v>5592</v>
      </c>
      <c r="BT226" s="35"/>
    </row>
    <row r="227" spans="1:72">
      <c r="A227" s="29" t="s">
        <v>1011</v>
      </c>
      <c r="B227" s="30" t="s">
        <v>1012</v>
      </c>
      <c r="C227" s="31">
        <v>46210.496365740742</v>
      </c>
      <c r="D227" s="30">
        <v>91</v>
      </c>
      <c r="E227" s="30" t="s">
        <v>74</v>
      </c>
      <c r="F227" s="30" t="s">
        <v>75</v>
      </c>
      <c r="G227" s="30" t="s">
        <v>573</v>
      </c>
      <c r="H227" s="30" t="s">
        <v>77</v>
      </c>
      <c r="I227" s="30" t="s">
        <v>78</v>
      </c>
      <c r="J227" s="30" t="s">
        <v>574</v>
      </c>
      <c r="K227" s="32">
        <v>28</v>
      </c>
      <c r="L227" s="32" t="s">
        <v>211</v>
      </c>
      <c r="M227" s="30" t="s">
        <v>1013</v>
      </c>
      <c r="N227" s="30" t="s">
        <v>1014</v>
      </c>
      <c r="O227" s="30" t="s">
        <v>83</v>
      </c>
      <c r="P227" s="33">
        <v>46137</v>
      </c>
      <c r="Q227" s="33">
        <v>46137</v>
      </c>
      <c r="R227" s="32">
        <v>1</v>
      </c>
      <c r="S227" s="30" t="s">
        <v>243</v>
      </c>
      <c r="T227" s="30" t="s">
        <v>703</v>
      </c>
      <c r="U227" s="30" t="s">
        <v>367</v>
      </c>
      <c r="V227" s="30" t="s">
        <v>87</v>
      </c>
      <c r="W227" s="30" t="s">
        <v>88</v>
      </c>
      <c r="X227" s="30" t="s">
        <v>197</v>
      </c>
      <c r="Y227" s="30">
        <v>8</v>
      </c>
      <c r="AB227" s="30" t="b">
        <v>0</v>
      </c>
      <c r="AC227" s="30"/>
      <c r="AD227" s="30" t="b">
        <v>1</v>
      </c>
      <c r="AE227" s="30">
        <v>1</v>
      </c>
      <c r="AF227" s="30" t="b">
        <v>0</v>
      </c>
      <c r="AH227" s="32" t="s">
        <v>91</v>
      </c>
      <c r="AI227" s="32"/>
      <c r="AJ227" s="32"/>
      <c r="AK227" s="32"/>
      <c r="AL227" s="30" t="s">
        <v>92</v>
      </c>
      <c r="AM227" s="30" t="s">
        <v>294</v>
      </c>
      <c r="AN227" s="30" t="s">
        <v>94</v>
      </c>
      <c r="AO227" s="30" t="s">
        <v>142</v>
      </c>
      <c r="AP227" s="30" t="s">
        <v>143</v>
      </c>
      <c r="AQ227" s="30" t="s">
        <v>144</v>
      </c>
      <c r="AR227" s="30" t="s">
        <v>691</v>
      </c>
      <c r="AT227" s="30" t="s">
        <v>99</v>
      </c>
      <c r="AU227" s="30" t="s">
        <v>100</v>
      </c>
      <c r="AV227" s="30" t="s">
        <v>101</v>
      </c>
      <c r="AW227" s="30" t="s">
        <v>102</v>
      </c>
      <c r="AX227" s="34" t="s">
        <v>367</v>
      </c>
      <c r="AY227" s="34" t="s">
        <v>167</v>
      </c>
      <c r="AZ227" s="34"/>
      <c r="BA227" s="34"/>
      <c r="BB227" s="34"/>
      <c r="BC227" s="34">
        <v>0</v>
      </c>
      <c r="BD227" s="34"/>
      <c r="BE227" s="34"/>
      <c r="BF227" s="34" t="b">
        <v>0</v>
      </c>
      <c r="BG227" s="34"/>
      <c r="BH227" s="34"/>
      <c r="BI227" s="34"/>
      <c r="BJ227" s="34"/>
      <c r="BK227" s="34"/>
      <c r="BL227" s="34" t="s">
        <v>151</v>
      </c>
      <c r="BM227" s="34" t="s">
        <v>106</v>
      </c>
      <c r="BN227" s="34" t="s">
        <v>1015</v>
      </c>
      <c r="BO227" s="35"/>
      <c r="BP227" s="35"/>
      <c r="BQ227" s="35" t="s">
        <v>108</v>
      </c>
      <c r="BR227" s="36" t="e">
        <f>VLOOKUP(BQ227, Cat_Indicadores!B:C, 2, FALSE)</f>
        <v>#N/A</v>
      </c>
      <c r="BS227" s="35" t="s">
        <v>5592</v>
      </c>
      <c r="BT227" s="35"/>
    </row>
    <row r="228" spans="1:72">
      <c r="A228" s="29" t="s">
        <v>1016</v>
      </c>
      <c r="B228" s="30" t="s">
        <v>1017</v>
      </c>
      <c r="C228" s="31">
        <v>46210.503136574072</v>
      </c>
      <c r="D228" s="30">
        <v>92</v>
      </c>
      <c r="E228" s="30" t="s">
        <v>74</v>
      </c>
      <c r="F228" s="30" t="s">
        <v>75</v>
      </c>
      <c r="G228" s="30" t="s">
        <v>133</v>
      </c>
      <c r="H228" s="30" t="s">
        <v>77</v>
      </c>
      <c r="I228" s="30" t="s">
        <v>78</v>
      </c>
      <c r="J228" s="30" t="s">
        <v>79</v>
      </c>
      <c r="K228" s="32">
        <v>800</v>
      </c>
      <c r="L228" s="32" t="s">
        <v>80</v>
      </c>
      <c r="M228" s="30" t="s">
        <v>1018</v>
      </c>
      <c r="N228" s="30" t="s">
        <v>1019</v>
      </c>
      <c r="O228" s="30" t="s">
        <v>83</v>
      </c>
      <c r="P228" s="33">
        <v>46151</v>
      </c>
      <c r="Q228" s="33">
        <v>46151</v>
      </c>
      <c r="R228" s="32">
        <v>1</v>
      </c>
      <c r="S228" s="30" t="s">
        <v>84</v>
      </c>
      <c r="T228" s="30" t="s">
        <v>117</v>
      </c>
      <c r="U228" s="30" t="s">
        <v>338</v>
      </c>
      <c r="V228" s="30" t="s">
        <v>87</v>
      </c>
      <c r="W228" s="30" t="s">
        <v>88</v>
      </c>
      <c r="X228" s="30" t="s">
        <v>197</v>
      </c>
      <c r="Y228" s="30">
        <v>8</v>
      </c>
      <c r="AB228" s="30" t="b">
        <v>0</v>
      </c>
      <c r="AC228" s="30"/>
      <c r="AD228" s="30" t="b">
        <v>0</v>
      </c>
      <c r="AF228" s="30" t="b">
        <v>0</v>
      </c>
      <c r="AH228" s="32" t="s">
        <v>91</v>
      </c>
      <c r="AI228" s="32"/>
      <c r="AJ228" s="32"/>
      <c r="AK228" s="32"/>
      <c r="AL228" s="30" t="s">
        <v>92</v>
      </c>
      <c r="AM228" s="30" t="s">
        <v>141</v>
      </c>
      <c r="AN228" s="30" t="s">
        <v>94</v>
      </c>
      <c r="AO228" s="30" t="s">
        <v>142</v>
      </c>
      <c r="AP228" s="30" t="s">
        <v>143</v>
      </c>
      <c r="AQ228" s="30" t="s">
        <v>144</v>
      </c>
      <c r="AR228" s="30" t="s">
        <v>691</v>
      </c>
      <c r="AT228" s="30" t="s">
        <v>99</v>
      </c>
      <c r="AU228" s="30" t="s">
        <v>100</v>
      </c>
      <c r="AV228" s="30" t="s">
        <v>101</v>
      </c>
      <c r="AW228" s="30" t="s">
        <v>102</v>
      </c>
      <c r="AX228" s="34" t="s">
        <v>338</v>
      </c>
      <c r="AY228" s="34" t="s">
        <v>103</v>
      </c>
      <c r="AZ228" s="34"/>
      <c r="BA228" s="34"/>
      <c r="BB228" s="34"/>
      <c r="BC228" s="34">
        <v>0</v>
      </c>
      <c r="BD228" s="34"/>
      <c r="BE228" s="34"/>
      <c r="BF228" s="34" t="b">
        <v>0</v>
      </c>
      <c r="BG228" s="34"/>
      <c r="BH228" s="34"/>
      <c r="BI228" s="34"/>
      <c r="BJ228" s="34"/>
      <c r="BK228" s="34"/>
      <c r="BL228" s="34"/>
      <c r="BM228" s="34" t="s">
        <v>168</v>
      </c>
      <c r="BN228" s="34"/>
      <c r="BO228" s="35"/>
      <c r="BP228" s="35"/>
      <c r="BQ228" s="35" t="s">
        <v>108</v>
      </c>
      <c r="BR228" s="36" t="e">
        <f>VLOOKUP(BQ228, Cat_Indicadores!B:C, 2, FALSE)</f>
        <v>#N/A</v>
      </c>
      <c r="BS228" s="35" t="s">
        <v>5592</v>
      </c>
      <c r="BT228" s="35"/>
    </row>
    <row r="229" spans="1:72">
      <c r="A229" s="29" t="s">
        <v>1020</v>
      </c>
      <c r="B229" s="30" t="s">
        <v>1021</v>
      </c>
      <c r="C229" s="31">
        <v>46210.511087962965</v>
      </c>
      <c r="D229" s="30">
        <v>92</v>
      </c>
      <c r="E229" s="30" t="s">
        <v>74</v>
      </c>
      <c r="F229" s="30" t="s">
        <v>75</v>
      </c>
      <c r="G229" s="30" t="s">
        <v>133</v>
      </c>
      <c r="H229" s="30" t="s">
        <v>77</v>
      </c>
      <c r="I229" s="30" t="s">
        <v>78</v>
      </c>
      <c r="J229" s="30" t="s">
        <v>79</v>
      </c>
      <c r="K229" s="32">
        <v>800</v>
      </c>
      <c r="L229" s="32" t="s">
        <v>211</v>
      </c>
      <c r="M229" s="30" t="s">
        <v>1022</v>
      </c>
      <c r="N229" s="30" t="s">
        <v>1023</v>
      </c>
      <c r="O229" s="30" t="s">
        <v>83</v>
      </c>
      <c r="P229" s="33">
        <v>46180</v>
      </c>
      <c r="Q229" s="33">
        <v>46180</v>
      </c>
      <c r="R229" s="32">
        <v>1</v>
      </c>
      <c r="S229" s="30" t="s">
        <v>84</v>
      </c>
      <c r="T229" s="30" t="s">
        <v>117</v>
      </c>
      <c r="U229" s="30" t="s">
        <v>338</v>
      </c>
      <c r="V229" s="30" t="s">
        <v>87</v>
      </c>
      <c r="W229" s="30" t="s">
        <v>88</v>
      </c>
      <c r="X229" s="30" t="s">
        <v>197</v>
      </c>
      <c r="Y229" s="30">
        <v>8</v>
      </c>
      <c r="AB229" s="30" t="b">
        <v>0</v>
      </c>
      <c r="AC229" s="30"/>
      <c r="AD229" s="30" t="b">
        <v>0</v>
      </c>
      <c r="AF229" s="30" t="b">
        <v>0</v>
      </c>
      <c r="AH229" s="32" t="s">
        <v>91</v>
      </c>
      <c r="AI229" s="32"/>
      <c r="AJ229" s="32"/>
      <c r="AK229" s="32"/>
      <c r="AL229" s="30" t="s">
        <v>92</v>
      </c>
      <c r="AM229" s="30" t="s">
        <v>141</v>
      </c>
      <c r="AN229" s="30" t="s">
        <v>94</v>
      </c>
      <c r="AO229" s="30" t="s">
        <v>142</v>
      </c>
      <c r="AP229" s="30" t="s">
        <v>143</v>
      </c>
      <c r="AQ229" s="30" t="s">
        <v>144</v>
      </c>
      <c r="AR229" s="30" t="s">
        <v>691</v>
      </c>
      <c r="AT229" s="30" t="s">
        <v>99</v>
      </c>
      <c r="AU229" s="30" t="s">
        <v>100</v>
      </c>
      <c r="AV229" s="30" t="s">
        <v>101</v>
      </c>
      <c r="AW229" s="30" t="s">
        <v>102</v>
      </c>
      <c r="AX229" s="34" t="s">
        <v>338</v>
      </c>
      <c r="AY229" s="34" t="s">
        <v>103</v>
      </c>
      <c r="AZ229" s="34"/>
      <c r="BA229" s="34"/>
      <c r="BB229" s="34"/>
      <c r="BC229" s="34">
        <v>0</v>
      </c>
      <c r="BD229" s="34"/>
      <c r="BE229" s="34"/>
      <c r="BF229" s="34" t="b">
        <v>0</v>
      </c>
      <c r="BG229" s="34"/>
      <c r="BH229" s="34"/>
      <c r="BI229" s="34"/>
      <c r="BJ229" s="34"/>
      <c r="BK229" s="34"/>
      <c r="BL229" s="34"/>
      <c r="BM229" s="34" t="s">
        <v>168</v>
      </c>
      <c r="BN229" s="34"/>
      <c r="BO229" s="35"/>
      <c r="BP229" s="35"/>
      <c r="BQ229" s="35" t="s">
        <v>108</v>
      </c>
      <c r="BR229" s="36" t="e">
        <f>VLOOKUP(BQ229, Cat_Indicadores!B:C, 2, FALSE)</f>
        <v>#N/A</v>
      </c>
      <c r="BS229" s="35" t="s">
        <v>5592</v>
      </c>
      <c r="BT229" s="35"/>
    </row>
    <row r="230" spans="1:72">
      <c r="A230" s="29" t="s">
        <v>1024</v>
      </c>
      <c r="B230" s="30" t="s">
        <v>1025</v>
      </c>
      <c r="C230" s="31">
        <v>46210.525312500002</v>
      </c>
      <c r="D230" s="30">
        <v>92</v>
      </c>
      <c r="E230" s="30" t="s">
        <v>74</v>
      </c>
      <c r="F230" s="30" t="s">
        <v>75</v>
      </c>
      <c r="G230" s="30" t="s">
        <v>133</v>
      </c>
      <c r="H230" s="30" t="s">
        <v>77</v>
      </c>
      <c r="I230" s="30" t="s">
        <v>78</v>
      </c>
      <c r="J230" s="30" t="s">
        <v>79</v>
      </c>
      <c r="K230" s="32">
        <v>800</v>
      </c>
      <c r="L230" s="32" t="s">
        <v>211</v>
      </c>
      <c r="M230" s="30" t="s">
        <v>673</v>
      </c>
      <c r="N230" s="30" t="s">
        <v>1026</v>
      </c>
      <c r="O230" s="30" t="s">
        <v>83</v>
      </c>
      <c r="P230" s="33">
        <v>46168</v>
      </c>
      <c r="Q230" s="33">
        <v>46168</v>
      </c>
      <c r="R230" s="32">
        <v>1</v>
      </c>
      <c r="S230" s="30" t="s">
        <v>84</v>
      </c>
      <c r="T230" s="30" t="s">
        <v>117</v>
      </c>
      <c r="U230" s="30" t="s">
        <v>338</v>
      </c>
      <c r="V230" s="30" t="s">
        <v>87</v>
      </c>
      <c r="W230" s="30" t="s">
        <v>88</v>
      </c>
      <c r="X230" s="30" t="s">
        <v>197</v>
      </c>
      <c r="Y230" s="30">
        <v>8</v>
      </c>
      <c r="AB230" s="30" t="b">
        <v>0</v>
      </c>
      <c r="AC230" s="30"/>
      <c r="AD230" s="30" t="b">
        <v>0</v>
      </c>
      <c r="AF230" s="30" t="b">
        <v>0</v>
      </c>
      <c r="AH230" s="32" t="s">
        <v>91</v>
      </c>
      <c r="AI230" s="32"/>
      <c r="AJ230" s="32"/>
      <c r="AK230" s="32"/>
      <c r="AL230" s="30" t="s">
        <v>92</v>
      </c>
      <c r="AM230" s="30" t="s">
        <v>141</v>
      </c>
      <c r="AN230" s="30" t="s">
        <v>94</v>
      </c>
      <c r="AO230" s="30" t="s">
        <v>142</v>
      </c>
      <c r="AP230" s="30" t="s">
        <v>143</v>
      </c>
      <c r="AQ230" s="30" t="s">
        <v>144</v>
      </c>
      <c r="AR230" s="30" t="s">
        <v>691</v>
      </c>
      <c r="AT230" s="30" t="s">
        <v>99</v>
      </c>
      <c r="AU230" s="30" t="s">
        <v>100</v>
      </c>
      <c r="AV230" s="30" t="s">
        <v>101</v>
      </c>
      <c r="AW230" s="30" t="s">
        <v>102</v>
      </c>
      <c r="AX230" s="34" t="s">
        <v>338</v>
      </c>
      <c r="AY230" s="34" t="s">
        <v>103</v>
      </c>
      <c r="AZ230" s="34"/>
      <c r="BA230" s="34"/>
      <c r="BB230" s="34"/>
      <c r="BC230" s="34">
        <v>0</v>
      </c>
      <c r="BD230" s="34"/>
      <c r="BE230" s="34"/>
      <c r="BF230" s="34" t="b">
        <v>0</v>
      </c>
      <c r="BG230" s="34"/>
      <c r="BH230" s="34"/>
      <c r="BI230" s="34"/>
      <c r="BJ230" s="34"/>
      <c r="BK230" s="34"/>
      <c r="BL230" s="34" t="s">
        <v>354</v>
      </c>
      <c r="BM230" s="34" t="s">
        <v>106</v>
      </c>
      <c r="BN230" s="34" t="s">
        <v>107</v>
      </c>
      <c r="BO230" s="35"/>
      <c r="BP230" s="35"/>
      <c r="BQ230" s="35" t="s">
        <v>108</v>
      </c>
      <c r="BR230" s="36" t="e">
        <f>VLOOKUP(BQ230, Cat_Indicadores!B:C, 2, FALSE)</f>
        <v>#N/A</v>
      </c>
      <c r="BS230" s="35" t="s">
        <v>5592</v>
      </c>
      <c r="BT230" s="35"/>
    </row>
    <row r="231" spans="1:72">
      <c r="A231" s="29" t="s">
        <v>1027</v>
      </c>
      <c r="B231" s="30" t="s">
        <v>1028</v>
      </c>
      <c r="C231" s="31">
        <v>46210.528287037036</v>
      </c>
      <c r="D231" s="30">
        <v>91</v>
      </c>
      <c r="E231" s="30" t="s">
        <v>74</v>
      </c>
      <c r="F231" s="30" t="s">
        <v>75</v>
      </c>
      <c r="G231" s="30" t="s">
        <v>573</v>
      </c>
      <c r="H231" s="30" t="s">
        <v>77</v>
      </c>
      <c r="I231" s="30" t="s">
        <v>78</v>
      </c>
      <c r="J231" s="30" t="s">
        <v>574</v>
      </c>
      <c r="K231" s="32">
        <v>28</v>
      </c>
      <c r="L231" s="32" t="s">
        <v>211</v>
      </c>
      <c r="M231" s="30" t="s">
        <v>1029</v>
      </c>
      <c r="N231" s="30" t="s">
        <v>1030</v>
      </c>
      <c r="O231" s="30" t="s">
        <v>83</v>
      </c>
      <c r="P231" s="33">
        <v>46170</v>
      </c>
      <c r="Q231" s="33">
        <v>46170</v>
      </c>
      <c r="R231" s="32">
        <v>1</v>
      </c>
      <c r="S231" s="30" t="s">
        <v>243</v>
      </c>
      <c r="T231" s="30" t="s">
        <v>398</v>
      </c>
      <c r="U231" s="30" t="s">
        <v>367</v>
      </c>
      <c r="V231" s="30" t="s">
        <v>87</v>
      </c>
      <c r="W231" s="30" t="s">
        <v>88</v>
      </c>
      <c r="X231" s="30" t="s">
        <v>197</v>
      </c>
      <c r="Y231" s="30">
        <v>26</v>
      </c>
      <c r="AB231" s="30" t="b">
        <v>0</v>
      </c>
      <c r="AC231" s="30"/>
      <c r="AD231" s="30" t="b">
        <v>0</v>
      </c>
      <c r="AF231" s="30" t="b">
        <v>0</v>
      </c>
      <c r="AH231" s="32" t="s">
        <v>91</v>
      </c>
      <c r="AI231" s="32"/>
      <c r="AJ231" s="32"/>
      <c r="AK231" s="32"/>
      <c r="AL231" s="30" t="s">
        <v>92</v>
      </c>
      <c r="AM231" s="30" t="s">
        <v>294</v>
      </c>
      <c r="AN231" s="30" t="s">
        <v>94</v>
      </c>
      <c r="AO231" s="30" t="s">
        <v>142</v>
      </c>
      <c r="AP231" s="30" t="s">
        <v>143</v>
      </c>
      <c r="AQ231" s="30" t="s">
        <v>144</v>
      </c>
      <c r="AR231" s="30" t="s">
        <v>691</v>
      </c>
      <c r="AT231" s="30" t="s">
        <v>99</v>
      </c>
      <c r="AU231" s="30" t="s">
        <v>100</v>
      </c>
      <c r="AV231" s="30" t="s">
        <v>101</v>
      </c>
      <c r="AW231" s="30" t="s">
        <v>102</v>
      </c>
      <c r="AX231" s="34" t="s">
        <v>367</v>
      </c>
      <c r="AY231" s="34" t="s">
        <v>167</v>
      </c>
      <c r="AZ231" s="34"/>
      <c r="BA231" s="34"/>
      <c r="BB231" s="34"/>
      <c r="BC231" s="34">
        <v>0</v>
      </c>
      <c r="BD231" s="34"/>
      <c r="BE231" s="34"/>
      <c r="BF231" s="34" t="b">
        <v>0</v>
      </c>
      <c r="BG231" s="34"/>
      <c r="BH231" s="34"/>
      <c r="BI231" s="34"/>
      <c r="BJ231" s="34"/>
      <c r="BK231" s="34"/>
      <c r="BL231" s="34"/>
      <c r="BM231" s="34" t="s">
        <v>168</v>
      </c>
      <c r="BN231" s="34"/>
      <c r="BO231" s="35"/>
      <c r="BP231" s="35"/>
      <c r="BQ231" s="35" t="s">
        <v>108</v>
      </c>
      <c r="BR231" s="36" t="e">
        <f>VLOOKUP(BQ231, Cat_Indicadores!B:C, 2, FALSE)</f>
        <v>#N/A</v>
      </c>
      <c r="BS231" s="35" t="s">
        <v>5592</v>
      </c>
      <c r="BT231" s="35"/>
    </row>
    <row r="232" spans="1:72">
      <c r="A232" s="29" t="s">
        <v>1031</v>
      </c>
      <c r="B232" s="30" t="s">
        <v>1032</v>
      </c>
      <c r="C232" s="31">
        <v>46210.609178240738</v>
      </c>
      <c r="D232" s="30">
        <v>92</v>
      </c>
      <c r="E232" s="30" t="s">
        <v>74</v>
      </c>
      <c r="F232" s="30" t="s">
        <v>75</v>
      </c>
      <c r="G232" s="30" t="s">
        <v>133</v>
      </c>
      <c r="H232" s="30" t="s">
        <v>77</v>
      </c>
      <c r="I232" s="30" t="s">
        <v>78</v>
      </c>
      <c r="J232" s="30" t="s">
        <v>79</v>
      </c>
      <c r="K232" s="32">
        <v>800</v>
      </c>
      <c r="L232" s="32" t="s">
        <v>80</v>
      </c>
      <c r="M232" s="30" t="s">
        <v>1033</v>
      </c>
      <c r="N232" s="30" t="s">
        <v>1034</v>
      </c>
      <c r="O232" s="30" t="s">
        <v>83</v>
      </c>
      <c r="P232" s="33">
        <v>46204</v>
      </c>
      <c r="Q232" s="33">
        <v>46204</v>
      </c>
      <c r="R232" s="32">
        <v>1</v>
      </c>
      <c r="S232" s="30" t="s">
        <v>84</v>
      </c>
      <c r="T232" s="30" t="s">
        <v>117</v>
      </c>
      <c r="U232" s="30" t="s">
        <v>338</v>
      </c>
      <c r="V232" s="30" t="s">
        <v>87</v>
      </c>
      <c r="W232" s="30" t="s">
        <v>88</v>
      </c>
      <c r="X232" s="30" t="s">
        <v>197</v>
      </c>
      <c r="Y232" s="30">
        <v>9</v>
      </c>
      <c r="AB232" s="30" t="b">
        <v>0</v>
      </c>
      <c r="AC232" s="30"/>
      <c r="AD232" s="30" t="b">
        <v>0</v>
      </c>
      <c r="AF232" s="30" t="b">
        <v>0</v>
      </c>
      <c r="AH232" s="32" t="s">
        <v>91</v>
      </c>
      <c r="AI232" s="32"/>
      <c r="AJ232" s="32"/>
      <c r="AK232" s="32"/>
      <c r="AL232" s="30" t="s">
        <v>92</v>
      </c>
      <c r="AM232" s="30" t="s">
        <v>93</v>
      </c>
      <c r="AN232" s="30" t="s">
        <v>94</v>
      </c>
      <c r="AO232" s="30" t="s">
        <v>95</v>
      </c>
      <c r="AP232" s="30" t="s">
        <v>589</v>
      </c>
      <c r="AQ232" s="30" t="s">
        <v>589</v>
      </c>
      <c r="AR232" s="30" t="s">
        <v>145</v>
      </c>
      <c r="AT232" s="30" t="s">
        <v>275</v>
      </c>
      <c r="AU232" s="30" t="s">
        <v>618</v>
      </c>
      <c r="AV232" s="30" t="s">
        <v>619</v>
      </c>
      <c r="AW232" s="30" t="s">
        <v>620</v>
      </c>
      <c r="AX232" s="34" t="s">
        <v>349</v>
      </c>
      <c r="AY232" s="34" t="s">
        <v>149</v>
      </c>
      <c r="AZ232" s="34" t="s">
        <v>149</v>
      </c>
      <c r="BA232" s="34"/>
      <c r="BB232" s="34"/>
      <c r="BC232" s="34">
        <v>0</v>
      </c>
      <c r="BD232" s="34"/>
      <c r="BE232" s="34"/>
      <c r="BF232" s="34" t="b">
        <v>0</v>
      </c>
      <c r="BG232" s="34"/>
      <c r="BH232" s="34"/>
      <c r="BI232" s="34"/>
      <c r="BJ232" s="34"/>
      <c r="BK232" s="34"/>
      <c r="BL232" s="34"/>
      <c r="BM232" s="34" t="s">
        <v>168</v>
      </c>
      <c r="BN232" s="34"/>
      <c r="BO232" s="35"/>
      <c r="BP232" s="35"/>
      <c r="BQ232" s="35" t="s">
        <v>108</v>
      </c>
      <c r="BR232" s="36" t="e">
        <f>VLOOKUP(BQ232, Cat_Indicadores!B:C, 2, FALSE)</f>
        <v>#N/A</v>
      </c>
      <c r="BS232" s="35" t="s">
        <v>5592</v>
      </c>
      <c r="BT232" s="35"/>
    </row>
    <row r="233" spans="1:72">
      <c r="A233" s="29" t="s">
        <v>1035</v>
      </c>
      <c r="B233" s="30" t="s">
        <v>1036</v>
      </c>
      <c r="C233" s="31">
        <v>46210.697013888886</v>
      </c>
      <c r="D233" s="30">
        <v>94</v>
      </c>
      <c r="E233" s="30" t="s">
        <v>74</v>
      </c>
      <c r="F233" s="30" t="s">
        <v>75</v>
      </c>
      <c r="G233" s="30" t="s">
        <v>76</v>
      </c>
      <c r="H233" s="30" t="s">
        <v>77</v>
      </c>
      <c r="I233" s="30" t="s">
        <v>78</v>
      </c>
      <c r="J233" s="30" t="s">
        <v>79</v>
      </c>
      <c r="K233" s="32">
        <v>12</v>
      </c>
      <c r="L233" s="32" t="s">
        <v>211</v>
      </c>
      <c r="M233" s="30" t="s">
        <v>1037</v>
      </c>
      <c r="N233" s="30" t="s">
        <v>1038</v>
      </c>
      <c r="O233" s="30" t="s">
        <v>661</v>
      </c>
      <c r="P233" s="33">
        <v>46082</v>
      </c>
      <c r="Q233" s="33">
        <v>46172</v>
      </c>
      <c r="R233" s="32">
        <v>1</v>
      </c>
      <c r="S233" s="30" t="s">
        <v>243</v>
      </c>
      <c r="T233" s="30" t="s">
        <v>703</v>
      </c>
      <c r="U233" s="30" t="s">
        <v>1039</v>
      </c>
      <c r="V233" s="30" t="s">
        <v>1040</v>
      </c>
      <c r="W233" s="30" t="s">
        <v>1041</v>
      </c>
      <c r="X233" s="30" t="s">
        <v>197</v>
      </c>
      <c r="Y233" s="30">
        <v>1</v>
      </c>
      <c r="AB233" s="30" t="b">
        <v>0</v>
      </c>
      <c r="AC233" s="30"/>
      <c r="AD233" s="30" t="b">
        <v>1</v>
      </c>
      <c r="AE233" s="30">
        <v>1</v>
      </c>
      <c r="AF233" s="30" t="b">
        <v>0</v>
      </c>
      <c r="AH233" s="32" t="s">
        <v>91</v>
      </c>
      <c r="AI233" s="32"/>
      <c r="AJ233" s="32"/>
      <c r="AK233" s="32"/>
      <c r="AL233" s="30" t="s">
        <v>92</v>
      </c>
      <c r="AM233" s="30" t="s">
        <v>93</v>
      </c>
      <c r="AN233" s="30" t="s">
        <v>94</v>
      </c>
      <c r="AO233" s="30" t="s">
        <v>95</v>
      </c>
      <c r="AP233" s="30" t="s">
        <v>95</v>
      </c>
      <c r="AQ233" s="30" t="s">
        <v>96</v>
      </c>
      <c r="AR233" s="30" t="s">
        <v>97</v>
      </c>
      <c r="AS233" s="30" t="s">
        <v>698</v>
      </c>
      <c r="AT233" s="30" t="s">
        <v>99</v>
      </c>
      <c r="AU233" s="30" t="s">
        <v>146</v>
      </c>
      <c r="AV233" s="30" t="s">
        <v>839</v>
      </c>
      <c r="AW233" s="30" t="s">
        <v>102</v>
      </c>
      <c r="AX233" s="34" t="s">
        <v>1039</v>
      </c>
      <c r="AY233" s="34" t="s">
        <v>279</v>
      </c>
      <c r="AZ233" s="34"/>
      <c r="BA233" s="34"/>
      <c r="BB233" s="34"/>
      <c r="BC233" s="34">
        <v>0</v>
      </c>
      <c r="BD233" s="34"/>
      <c r="BE233" s="34"/>
      <c r="BF233" s="34" t="b">
        <v>1</v>
      </c>
      <c r="BG233" s="34" t="s">
        <v>1042</v>
      </c>
      <c r="BH233" s="34"/>
      <c r="BI233" s="34"/>
      <c r="BJ233" s="34"/>
      <c r="BK233" s="34"/>
      <c r="BL233" s="34"/>
      <c r="BM233" s="34" t="s">
        <v>106</v>
      </c>
      <c r="BN233" s="34" t="s">
        <v>107</v>
      </c>
      <c r="BO233" s="35"/>
      <c r="BP233" s="35"/>
      <c r="BQ233" s="35" t="s">
        <v>108</v>
      </c>
      <c r="BR233" s="36" t="e">
        <f>VLOOKUP(BQ233, Cat_Indicadores!B:C, 2, FALSE)</f>
        <v>#N/A</v>
      </c>
      <c r="BS233" s="35" t="s">
        <v>5592</v>
      </c>
      <c r="BT233" s="35"/>
    </row>
    <row r="234" spans="1:72">
      <c r="A234" s="29" t="s">
        <v>1043</v>
      </c>
      <c r="B234" s="30" t="s">
        <v>1044</v>
      </c>
      <c r="C234" s="31">
        <v>46216.675682870373</v>
      </c>
      <c r="D234" s="30">
        <v>92</v>
      </c>
      <c r="E234" s="30" t="s">
        <v>74</v>
      </c>
      <c r="F234" s="30" t="s">
        <v>75</v>
      </c>
      <c r="G234" s="30" t="s">
        <v>133</v>
      </c>
      <c r="H234" s="30" t="s">
        <v>77</v>
      </c>
      <c r="I234" s="30" t="s">
        <v>78</v>
      </c>
      <c r="J234" s="30" t="s">
        <v>79</v>
      </c>
      <c r="K234" s="32">
        <v>800</v>
      </c>
      <c r="L234" s="32" t="s">
        <v>80</v>
      </c>
      <c r="M234" s="30" t="s">
        <v>1045</v>
      </c>
      <c r="N234" s="30" t="s">
        <v>927</v>
      </c>
      <c r="O234" s="30" t="s">
        <v>83</v>
      </c>
      <c r="P234" s="33">
        <v>46204</v>
      </c>
      <c r="Q234" s="33">
        <v>46204</v>
      </c>
      <c r="R234" s="32">
        <v>1</v>
      </c>
      <c r="S234" s="30" t="s">
        <v>84</v>
      </c>
      <c r="T234" s="30" t="s">
        <v>117</v>
      </c>
      <c r="U234" s="30" t="s">
        <v>349</v>
      </c>
      <c r="V234" s="30" t="s">
        <v>87</v>
      </c>
      <c r="W234" s="30" t="s">
        <v>88</v>
      </c>
      <c r="X234" s="30" t="s">
        <v>197</v>
      </c>
      <c r="Y234" s="30" t="s">
        <v>1046</v>
      </c>
      <c r="AB234" s="30" t="b">
        <v>0</v>
      </c>
      <c r="AC234" s="30"/>
      <c r="AD234" s="30" t="b">
        <v>0</v>
      </c>
      <c r="AF234" s="30" t="b">
        <v>0</v>
      </c>
      <c r="AH234" s="32" t="s">
        <v>91</v>
      </c>
      <c r="AI234" s="32"/>
      <c r="AJ234" s="32"/>
      <c r="AK234" s="32"/>
      <c r="AL234" s="30" t="s">
        <v>92</v>
      </c>
      <c r="AM234" s="30" t="s">
        <v>93</v>
      </c>
      <c r="AN234" s="30" t="s">
        <v>94</v>
      </c>
      <c r="AO234" s="30" t="s">
        <v>142</v>
      </c>
      <c r="AP234" s="30" t="s">
        <v>143</v>
      </c>
      <c r="AQ234" s="30" t="s">
        <v>232</v>
      </c>
      <c r="AR234" s="30" t="s">
        <v>691</v>
      </c>
      <c r="AT234" s="30" t="s">
        <v>99</v>
      </c>
      <c r="AU234" s="30" t="s">
        <v>146</v>
      </c>
      <c r="AV234" s="30" t="s">
        <v>839</v>
      </c>
      <c r="AW234" s="30" t="s">
        <v>102</v>
      </c>
      <c r="AX234" s="34" t="s">
        <v>349</v>
      </c>
      <c r="AY234" s="34" t="s">
        <v>103</v>
      </c>
      <c r="AZ234" s="34"/>
      <c r="BA234" s="34"/>
      <c r="BB234" s="34"/>
      <c r="BC234" s="34">
        <v>0</v>
      </c>
      <c r="BD234" s="34"/>
      <c r="BE234" s="34"/>
      <c r="BF234" s="34" t="b">
        <v>0</v>
      </c>
      <c r="BG234" s="34"/>
      <c r="BH234" s="34"/>
      <c r="BI234" s="34"/>
      <c r="BJ234" s="34"/>
      <c r="BK234" s="34"/>
      <c r="BL234" s="34"/>
      <c r="BM234" s="34" t="s">
        <v>168</v>
      </c>
      <c r="BN234" s="34"/>
      <c r="BO234" s="35"/>
      <c r="BP234" s="35"/>
      <c r="BQ234" s="35" t="s">
        <v>108</v>
      </c>
      <c r="BR234" s="36" t="e">
        <f>VLOOKUP(BQ234, Cat_Indicadores!B:C, 2, FALSE)</f>
        <v>#N/A</v>
      </c>
      <c r="BS234" s="35" t="s">
        <v>5592</v>
      </c>
      <c r="BT234" s="35"/>
    </row>
    <row r="235" spans="1:72">
      <c r="A235" s="29" t="s">
        <v>1047</v>
      </c>
      <c r="B235" s="30" t="s">
        <v>1048</v>
      </c>
      <c r="C235" s="31">
        <v>46216.683032407411</v>
      </c>
      <c r="D235" s="30">
        <v>92</v>
      </c>
      <c r="E235" s="30" t="s">
        <v>74</v>
      </c>
      <c r="F235" s="30" t="s">
        <v>75</v>
      </c>
      <c r="G235" s="30" t="s">
        <v>133</v>
      </c>
      <c r="H235" s="30" t="s">
        <v>77</v>
      </c>
      <c r="I235" s="30" t="s">
        <v>78</v>
      </c>
      <c r="J235" s="30" t="s">
        <v>79</v>
      </c>
      <c r="K235" s="32">
        <v>800</v>
      </c>
      <c r="L235" s="32" t="s">
        <v>80</v>
      </c>
      <c r="M235" s="30" t="s">
        <v>1049</v>
      </c>
      <c r="N235" s="30" t="s">
        <v>927</v>
      </c>
      <c r="O235" s="30" t="s">
        <v>83</v>
      </c>
      <c r="P235" s="33">
        <v>46212</v>
      </c>
      <c r="Q235" s="33">
        <v>46212</v>
      </c>
      <c r="R235" s="32">
        <v>1</v>
      </c>
      <c r="S235" s="30" t="s">
        <v>84</v>
      </c>
      <c r="T235" s="30" t="s">
        <v>117</v>
      </c>
      <c r="U235" s="30" t="s">
        <v>349</v>
      </c>
      <c r="V235" s="30" t="s">
        <v>87</v>
      </c>
      <c r="W235" s="30" t="s">
        <v>88</v>
      </c>
      <c r="X235" s="30" t="s">
        <v>197</v>
      </c>
      <c r="Y235" s="30" t="s">
        <v>1046</v>
      </c>
      <c r="AB235" s="30" t="b">
        <v>0</v>
      </c>
      <c r="AC235" s="30"/>
      <c r="AD235" s="30" t="b">
        <v>0</v>
      </c>
      <c r="AF235" s="30" t="b">
        <v>0</v>
      </c>
      <c r="AH235" s="32" t="s">
        <v>91</v>
      </c>
      <c r="AI235" s="32"/>
      <c r="AJ235" s="32"/>
      <c r="AK235" s="32"/>
      <c r="AL235" s="30" t="s">
        <v>92</v>
      </c>
      <c r="AM235" s="30" t="s">
        <v>93</v>
      </c>
      <c r="AN235" s="30" t="s">
        <v>94</v>
      </c>
      <c r="AO235" s="30" t="s">
        <v>142</v>
      </c>
      <c r="AP235" s="30" t="s">
        <v>143</v>
      </c>
      <c r="AQ235" s="30" t="s">
        <v>232</v>
      </c>
      <c r="AR235" s="30" t="s">
        <v>691</v>
      </c>
      <c r="AT235" s="30" t="s">
        <v>99</v>
      </c>
      <c r="AU235" s="30" t="s">
        <v>146</v>
      </c>
      <c r="AV235" s="30" t="s">
        <v>839</v>
      </c>
      <c r="AW235" s="30" t="s">
        <v>102</v>
      </c>
      <c r="AX235" s="34" t="s">
        <v>349</v>
      </c>
      <c r="AY235" s="34" t="s">
        <v>103</v>
      </c>
      <c r="AZ235" s="34"/>
      <c r="BA235" s="34"/>
      <c r="BB235" s="34"/>
      <c r="BC235" s="34">
        <v>0</v>
      </c>
      <c r="BD235" s="34"/>
      <c r="BE235" s="34"/>
      <c r="BF235" s="34" t="b">
        <v>0</v>
      </c>
      <c r="BG235" s="34"/>
      <c r="BH235" s="34"/>
      <c r="BI235" s="34"/>
      <c r="BJ235" s="34"/>
      <c r="BK235" s="34"/>
      <c r="BL235" s="34"/>
      <c r="BM235" s="34" t="s">
        <v>168</v>
      </c>
      <c r="BN235" s="34"/>
      <c r="BO235" s="35"/>
      <c r="BP235" s="35"/>
      <c r="BQ235" s="35" t="s">
        <v>108</v>
      </c>
      <c r="BR235" s="36" t="e">
        <f>VLOOKUP(BQ235, Cat_Indicadores!B:C, 2, FALSE)</f>
        <v>#N/A</v>
      </c>
      <c r="BS235" s="35" t="s">
        <v>5592</v>
      </c>
      <c r="BT235" s="35"/>
    </row>
    <row r="236" spans="1:72">
      <c r="A236" s="29" t="s">
        <v>1050</v>
      </c>
      <c r="B236" s="30" t="s">
        <v>1051</v>
      </c>
      <c r="C236" s="31">
        <v>46216.689803240741</v>
      </c>
      <c r="D236" s="30">
        <v>92</v>
      </c>
      <c r="E236" s="30" t="s">
        <v>74</v>
      </c>
      <c r="F236" s="30" t="s">
        <v>75</v>
      </c>
      <c r="G236" s="30" t="s">
        <v>133</v>
      </c>
      <c r="H236" s="30" t="s">
        <v>77</v>
      </c>
      <c r="I236" s="30" t="s">
        <v>78</v>
      </c>
      <c r="J236" s="30" t="s">
        <v>79</v>
      </c>
      <c r="K236" s="32">
        <v>800</v>
      </c>
      <c r="L236" s="32" t="s">
        <v>80</v>
      </c>
      <c r="M236" s="30" t="s">
        <v>1052</v>
      </c>
      <c r="N236" s="30" t="s">
        <v>927</v>
      </c>
      <c r="O236" s="30" t="s">
        <v>83</v>
      </c>
      <c r="P236" s="33">
        <v>46212</v>
      </c>
      <c r="Q236" s="33">
        <v>46212</v>
      </c>
      <c r="R236" s="32">
        <v>1</v>
      </c>
      <c r="S236" s="30" t="s">
        <v>84</v>
      </c>
      <c r="T236" s="30" t="s">
        <v>117</v>
      </c>
      <c r="U236" s="30" t="s">
        <v>338</v>
      </c>
      <c r="V236" s="30" t="s">
        <v>87</v>
      </c>
      <c r="W236" s="30" t="s">
        <v>88</v>
      </c>
      <c r="X236" s="30" t="s">
        <v>197</v>
      </c>
      <c r="Y236" s="30" t="s">
        <v>1046</v>
      </c>
      <c r="AB236" s="30" t="b">
        <v>0</v>
      </c>
      <c r="AC236" s="30"/>
      <c r="AD236" s="30" t="b">
        <v>0</v>
      </c>
      <c r="AF236" s="30" t="b">
        <v>0</v>
      </c>
      <c r="AH236" s="32" t="s">
        <v>91</v>
      </c>
      <c r="AI236" s="32"/>
      <c r="AJ236" s="32"/>
      <c r="AK236" s="32"/>
      <c r="AL236" s="30" t="s">
        <v>92</v>
      </c>
      <c r="AM236" s="30" t="s">
        <v>93</v>
      </c>
      <c r="AN236" s="30" t="s">
        <v>94</v>
      </c>
      <c r="AO236" s="30" t="s">
        <v>142</v>
      </c>
      <c r="AP236" s="30" t="s">
        <v>143</v>
      </c>
      <c r="AQ236" s="30" t="s">
        <v>232</v>
      </c>
      <c r="AR236" s="30" t="s">
        <v>691</v>
      </c>
      <c r="AT236" s="30" t="s">
        <v>99</v>
      </c>
      <c r="AU236" s="30" t="s">
        <v>146</v>
      </c>
      <c r="AV236" s="30" t="s">
        <v>839</v>
      </c>
      <c r="AW236" s="30" t="s">
        <v>102</v>
      </c>
      <c r="AX236" s="34" t="s">
        <v>338</v>
      </c>
      <c r="AY236" s="34" t="s">
        <v>103</v>
      </c>
      <c r="AZ236" s="34"/>
      <c r="BA236" s="34"/>
      <c r="BB236" s="34"/>
      <c r="BC236" s="34">
        <v>0</v>
      </c>
      <c r="BD236" s="34"/>
      <c r="BE236" s="34"/>
      <c r="BF236" s="34" t="b">
        <v>0</v>
      </c>
      <c r="BG236" s="34"/>
      <c r="BH236" s="34"/>
      <c r="BI236" s="34"/>
      <c r="BJ236" s="34"/>
      <c r="BK236" s="34"/>
      <c r="BL236" s="34"/>
      <c r="BM236" s="34" t="s">
        <v>168</v>
      </c>
      <c r="BN236" s="34"/>
      <c r="BO236" s="35"/>
      <c r="BP236" s="35"/>
      <c r="BQ236" s="35" t="s">
        <v>108</v>
      </c>
      <c r="BR236" s="36" t="e">
        <f>VLOOKUP(BQ236, Cat_Indicadores!B:C, 2, FALSE)</f>
        <v>#N/A</v>
      </c>
      <c r="BS236" s="35" t="s">
        <v>5592</v>
      </c>
      <c r="BT236" s="35"/>
    </row>
    <row r="237" spans="1:72">
      <c r="A237" s="29" t="s">
        <v>1053</v>
      </c>
      <c r="B237" s="30" t="s">
        <v>1054</v>
      </c>
      <c r="C237" s="31">
        <v>46217.671597222223</v>
      </c>
      <c r="D237" s="30">
        <v>92</v>
      </c>
      <c r="E237" s="30" t="s">
        <v>74</v>
      </c>
      <c r="F237" s="30" t="s">
        <v>75</v>
      </c>
      <c r="G237" s="30" t="s">
        <v>133</v>
      </c>
      <c r="H237" s="30" t="s">
        <v>77</v>
      </c>
      <c r="I237" s="30" t="s">
        <v>78</v>
      </c>
      <c r="J237" s="30" t="s">
        <v>79</v>
      </c>
      <c r="K237" s="32">
        <v>800</v>
      </c>
      <c r="L237" s="32" t="s">
        <v>80</v>
      </c>
      <c r="M237" s="30" t="s">
        <v>1055</v>
      </c>
      <c r="N237" s="30" t="s">
        <v>919</v>
      </c>
      <c r="O237" s="30" t="s">
        <v>83</v>
      </c>
      <c r="P237" s="33">
        <v>46212</v>
      </c>
      <c r="Q237" s="33">
        <v>46212</v>
      </c>
      <c r="R237" s="32">
        <v>1</v>
      </c>
      <c r="S237" s="30" t="s">
        <v>84</v>
      </c>
      <c r="T237" s="30" t="s">
        <v>117</v>
      </c>
      <c r="U237" s="30" t="s">
        <v>338</v>
      </c>
      <c r="V237" s="30" t="s">
        <v>87</v>
      </c>
      <c r="W237" s="30" t="s">
        <v>88</v>
      </c>
      <c r="X237" s="30" t="s">
        <v>197</v>
      </c>
      <c r="Y237" s="30" t="s">
        <v>1046</v>
      </c>
      <c r="AB237" s="30" t="b">
        <v>0</v>
      </c>
      <c r="AC237" s="30"/>
      <c r="AD237" s="30" t="b">
        <v>0</v>
      </c>
      <c r="AF237" s="30" t="b">
        <v>0</v>
      </c>
      <c r="AH237" s="32" t="s">
        <v>91</v>
      </c>
      <c r="AI237" s="32"/>
      <c r="AJ237" s="32"/>
      <c r="AK237" s="32"/>
      <c r="AL237" s="30" t="s">
        <v>92</v>
      </c>
      <c r="AM237" s="30" t="s">
        <v>93</v>
      </c>
      <c r="AN237" s="30" t="s">
        <v>94</v>
      </c>
      <c r="AO237" s="30" t="s">
        <v>142</v>
      </c>
      <c r="AP237" s="30" t="s">
        <v>143</v>
      </c>
      <c r="AQ237" s="30" t="s">
        <v>232</v>
      </c>
      <c r="AR237" s="30" t="s">
        <v>691</v>
      </c>
      <c r="AT237" s="30" t="s">
        <v>99</v>
      </c>
      <c r="AU237" s="30" t="s">
        <v>146</v>
      </c>
      <c r="AV237" s="30" t="s">
        <v>839</v>
      </c>
      <c r="AW237" s="30" t="s">
        <v>102</v>
      </c>
      <c r="AX237" s="34" t="s">
        <v>338</v>
      </c>
      <c r="AY237" s="34" t="s">
        <v>103</v>
      </c>
      <c r="AZ237" s="34"/>
      <c r="BA237" s="34"/>
      <c r="BB237" s="34"/>
      <c r="BC237" s="34">
        <v>0</v>
      </c>
      <c r="BD237" s="34"/>
      <c r="BE237" s="34"/>
      <c r="BF237" s="34" t="b">
        <v>0</v>
      </c>
      <c r="BG237" s="34"/>
      <c r="BH237" s="34"/>
      <c r="BI237" s="34"/>
      <c r="BJ237" s="34"/>
      <c r="BK237" s="34"/>
      <c r="BL237" s="34"/>
      <c r="BM237" s="34" t="s">
        <v>168</v>
      </c>
      <c r="BN237" s="34"/>
      <c r="BO237" s="35"/>
      <c r="BP237" s="35"/>
      <c r="BQ237" s="35" t="s">
        <v>108</v>
      </c>
      <c r="BR237" s="36" t="e">
        <f>VLOOKUP(BQ237, Cat_Indicadores!B:C, 2, FALSE)</f>
        <v>#N/A</v>
      </c>
      <c r="BS237" s="35" t="s">
        <v>5592</v>
      </c>
      <c r="BT237" s="35"/>
    </row>
    <row r="238" spans="1:72">
      <c r="A238" s="29" t="s">
        <v>1056</v>
      </c>
      <c r="B238" s="30" t="s">
        <v>1057</v>
      </c>
      <c r="C238" s="31">
        <v>46219.600868055553</v>
      </c>
      <c r="D238" s="30">
        <v>92</v>
      </c>
      <c r="E238" s="30" t="s">
        <v>74</v>
      </c>
      <c r="F238" s="30" t="s">
        <v>75</v>
      </c>
      <c r="G238" s="30" t="s">
        <v>133</v>
      </c>
      <c r="H238" s="30" t="s">
        <v>77</v>
      </c>
      <c r="I238" s="30" t="s">
        <v>78</v>
      </c>
      <c r="J238" s="30" t="s">
        <v>79</v>
      </c>
      <c r="K238" s="32">
        <v>800</v>
      </c>
      <c r="L238" s="32" t="s">
        <v>80</v>
      </c>
      <c r="M238" s="30" t="s">
        <v>401</v>
      </c>
      <c r="N238" s="30" t="s">
        <v>919</v>
      </c>
      <c r="O238" s="30" t="s">
        <v>83</v>
      </c>
      <c r="P238" s="33">
        <v>46212</v>
      </c>
      <c r="Q238" s="33">
        <v>46212</v>
      </c>
      <c r="R238" s="32">
        <v>1</v>
      </c>
      <c r="S238" s="30" t="s">
        <v>84</v>
      </c>
      <c r="T238" s="30" t="s">
        <v>117</v>
      </c>
      <c r="U238" s="30" t="s">
        <v>338</v>
      </c>
      <c r="V238" s="30" t="s">
        <v>87</v>
      </c>
      <c r="W238" s="30" t="s">
        <v>88</v>
      </c>
      <c r="X238" s="30" t="s">
        <v>197</v>
      </c>
      <c r="Y238" s="30" t="s">
        <v>1046</v>
      </c>
      <c r="AB238" s="30" t="b">
        <v>0</v>
      </c>
      <c r="AC238" s="30"/>
      <c r="AD238" s="30" t="b">
        <v>0</v>
      </c>
      <c r="AF238" s="30" t="b">
        <v>0</v>
      </c>
      <c r="AH238" s="32" t="s">
        <v>91</v>
      </c>
      <c r="AI238" s="32"/>
      <c r="AJ238" s="32"/>
      <c r="AK238" s="32"/>
      <c r="AL238" s="30" t="s">
        <v>92</v>
      </c>
      <c r="AM238" s="30" t="s">
        <v>93</v>
      </c>
      <c r="AN238" s="30" t="s">
        <v>94</v>
      </c>
      <c r="AO238" s="30" t="s">
        <v>142</v>
      </c>
      <c r="AP238" s="30" t="s">
        <v>143</v>
      </c>
      <c r="AQ238" s="30" t="s">
        <v>232</v>
      </c>
      <c r="AR238" s="30" t="s">
        <v>691</v>
      </c>
      <c r="AT238" s="30" t="s">
        <v>99</v>
      </c>
      <c r="AU238" s="30" t="s">
        <v>146</v>
      </c>
      <c r="AV238" s="30" t="s">
        <v>839</v>
      </c>
      <c r="AW238" s="30" t="s">
        <v>102</v>
      </c>
      <c r="AX238" s="34" t="s">
        <v>338</v>
      </c>
      <c r="AY238" s="34" t="s">
        <v>103</v>
      </c>
      <c r="AZ238" s="34"/>
      <c r="BA238" s="34"/>
      <c r="BB238" s="34"/>
      <c r="BC238" s="34">
        <v>0</v>
      </c>
      <c r="BD238" s="34"/>
      <c r="BE238" s="34"/>
      <c r="BF238" s="34" t="b">
        <v>0</v>
      </c>
      <c r="BG238" s="34"/>
      <c r="BH238" s="34"/>
      <c r="BI238" s="34"/>
      <c r="BJ238" s="34"/>
      <c r="BK238" s="34"/>
      <c r="BL238" s="34"/>
      <c r="BM238" s="34" t="s">
        <v>168</v>
      </c>
      <c r="BN238" s="34"/>
      <c r="BO238" s="35"/>
      <c r="BP238" s="35"/>
      <c r="BQ238" s="35" t="s">
        <v>108</v>
      </c>
      <c r="BR238" s="36" t="e">
        <f>VLOOKUP(BQ238, Cat_Indicadores!B:C, 2, FALSE)</f>
        <v>#N/A</v>
      </c>
      <c r="BS238" s="35" t="s">
        <v>5592</v>
      </c>
      <c r="BT238" s="35"/>
    </row>
    <row r="239" spans="1:72">
      <c r="A239" s="29" t="s">
        <v>1058</v>
      </c>
      <c r="B239" s="30" t="s">
        <v>1059</v>
      </c>
      <c r="C239" s="31">
        <v>46219.649409722224</v>
      </c>
      <c r="D239" s="30">
        <v>92</v>
      </c>
      <c r="E239" s="30" t="s">
        <v>74</v>
      </c>
      <c r="F239" s="30" t="s">
        <v>75</v>
      </c>
      <c r="G239" s="30" t="s">
        <v>133</v>
      </c>
      <c r="H239" s="30" t="s">
        <v>77</v>
      </c>
      <c r="I239" s="30" t="s">
        <v>78</v>
      </c>
      <c r="J239" s="30" t="s">
        <v>79</v>
      </c>
      <c r="K239" s="32">
        <v>800</v>
      </c>
      <c r="L239" s="32" t="s">
        <v>80</v>
      </c>
      <c r="M239" s="30" t="s">
        <v>1060</v>
      </c>
      <c r="N239" s="30" t="s">
        <v>927</v>
      </c>
      <c r="O239" s="30" t="s">
        <v>83</v>
      </c>
      <c r="P239" s="33">
        <v>46212</v>
      </c>
      <c r="Q239" s="33">
        <v>46212</v>
      </c>
      <c r="R239" s="32">
        <v>1</v>
      </c>
      <c r="S239" s="30" t="s">
        <v>84</v>
      </c>
      <c r="T239" s="30" t="s">
        <v>117</v>
      </c>
      <c r="U239" s="30" t="s">
        <v>349</v>
      </c>
      <c r="V239" s="30" t="s">
        <v>87</v>
      </c>
      <c r="W239" s="30" t="s">
        <v>88</v>
      </c>
      <c r="X239" s="30" t="s">
        <v>197</v>
      </c>
      <c r="Y239" s="30" t="s">
        <v>1046</v>
      </c>
      <c r="AB239" s="30" t="b">
        <v>0</v>
      </c>
      <c r="AC239" s="30"/>
      <c r="AD239" s="30" t="b">
        <v>0</v>
      </c>
      <c r="AF239" s="30" t="b">
        <v>0</v>
      </c>
      <c r="AH239" s="32" t="s">
        <v>91</v>
      </c>
      <c r="AI239" s="32"/>
      <c r="AJ239" s="32"/>
      <c r="AK239" s="32"/>
      <c r="AL239" s="30" t="s">
        <v>92</v>
      </c>
      <c r="AM239" s="30" t="s">
        <v>93</v>
      </c>
      <c r="AN239" s="30" t="s">
        <v>94</v>
      </c>
      <c r="AO239" s="30" t="s">
        <v>142</v>
      </c>
      <c r="AP239" s="30" t="s">
        <v>143</v>
      </c>
      <c r="AQ239" s="30" t="s">
        <v>232</v>
      </c>
      <c r="AR239" s="30" t="s">
        <v>691</v>
      </c>
      <c r="AT239" s="30" t="s">
        <v>99</v>
      </c>
      <c r="AU239" s="30" t="s">
        <v>146</v>
      </c>
      <c r="AV239" s="30" t="s">
        <v>839</v>
      </c>
      <c r="AW239" s="30" t="s">
        <v>102</v>
      </c>
      <c r="AX239" s="34" t="s">
        <v>349</v>
      </c>
      <c r="AY239" s="34" t="s">
        <v>103</v>
      </c>
      <c r="AZ239" s="34"/>
      <c r="BA239" s="34"/>
      <c r="BB239" s="34"/>
      <c r="BC239" s="34">
        <v>0</v>
      </c>
      <c r="BD239" s="34"/>
      <c r="BE239" s="34"/>
      <c r="BF239" s="34" t="b">
        <v>0</v>
      </c>
      <c r="BG239" s="34"/>
      <c r="BH239" s="34"/>
      <c r="BI239" s="34"/>
      <c r="BJ239" s="34"/>
      <c r="BK239" s="34"/>
      <c r="BL239" s="34"/>
      <c r="BM239" s="34" t="s">
        <v>168</v>
      </c>
      <c r="BN239" s="34"/>
      <c r="BO239" s="35"/>
      <c r="BP239" s="35"/>
      <c r="BQ239" s="35" t="s">
        <v>108</v>
      </c>
      <c r="BR239" s="36" t="e">
        <f>VLOOKUP(BQ239, Cat_Indicadores!B:C, 2, FALSE)</f>
        <v>#N/A</v>
      </c>
      <c r="BS239" s="35" t="s">
        <v>5592</v>
      </c>
      <c r="BT239" s="35"/>
    </row>
    <row r="240" spans="1:72">
      <c r="A240" s="29" t="s">
        <v>1061</v>
      </c>
      <c r="B240" s="30" t="s">
        <v>1062</v>
      </c>
      <c r="C240" s="31">
        <v>46219.662453703706</v>
      </c>
      <c r="D240" s="30">
        <v>94</v>
      </c>
      <c r="E240" s="30" t="s">
        <v>74</v>
      </c>
      <c r="F240" s="30" t="s">
        <v>75</v>
      </c>
      <c r="G240" s="30" t="s">
        <v>76</v>
      </c>
      <c r="H240" s="30" t="s">
        <v>77</v>
      </c>
      <c r="I240" s="30" t="s">
        <v>78</v>
      </c>
      <c r="J240" s="30" t="s">
        <v>79</v>
      </c>
      <c r="K240" s="32">
        <v>12</v>
      </c>
      <c r="L240" s="32" t="s">
        <v>211</v>
      </c>
      <c r="M240" s="30" t="s">
        <v>849</v>
      </c>
      <c r="N240" s="30" t="s">
        <v>812</v>
      </c>
      <c r="O240" s="30" t="s">
        <v>581</v>
      </c>
      <c r="P240" s="33">
        <v>46207</v>
      </c>
      <c r="Q240" s="33">
        <v>46221</v>
      </c>
      <c r="R240" s="32">
        <v>3</v>
      </c>
      <c r="S240" s="30" t="s">
        <v>84</v>
      </c>
      <c r="T240" s="30" t="s">
        <v>337</v>
      </c>
      <c r="U240" s="30" t="s">
        <v>86</v>
      </c>
      <c r="V240" s="30" t="s">
        <v>87</v>
      </c>
      <c r="W240" s="30" t="s">
        <v>88</v>
      </c>
      <c r="X240" s="30" t="s">
        <v>197</v>
      </c>
      <c r="Y240" s="30" t="s">
        <v>1063</v>
      </c>
      <c r="AB240" s="30" t="b">
        <v>0</v>
      </c>
      <c r="AC240" s="30"/>
      <c r="AD240" s="30" t="b">
        <v>0</v>
      </c>
      <c r="AF240" s="30" t="b">
        <v>0</v>
      </c>
      <c r="AH240" s="32" t="s">
        <v>91</v>
      </c>
      <c r="AI240" s="32"/>
      <c r="AJ240" s="32"/>
      <c r="AK240" s="32"/>
      <c r="AL240" s="30" t="s">
        <v>92</v>
      </c>
      <c r="AM240" s="30" t="s">
        <v>93</v>
      </c>
      <c r="AN240" s="30" t="s">
        <v>199</v>
      </c>
      <c r="AO240" s="30" t="s">
        <v>200</v>
      </c>
      <c r="AP240" s="30" t="s">
        <v>201</v>
      </c>
      <c r="AQ240" s="30" t="s">
        <v>202</v>
      </c>
      <c r="AR240" s="30" t="s">
        <v>145</v>
      </c>
      <c r="AT240" s="30" t="s">
        <v>226</v>
      </c>
      <c r="AU240" s="30" t="s">
        <v>204</v>
      </c>
      <c r="AV240" s="30" t="s">
        <v>227</v>
      </c>
      <c r="AW240" s="30" t="s">
        <v>206</v>
      </c>
      <c r="AX240" s="34" t="s">
        <v>86</v>
      </c>
      <c r="AY240" s="34" t="s">
        <v>149</v>
      </c>
      <c r="AZ240" s="34" t="s">
        <v>149</v>
      </c>
      <c r="BA240" s="34"/>
      <c r="BB240" s="34"/>
      <c r="BC240" s="34">
        <v>0</v>
      </c>
      <c r="BD240" s="34"/>
      <c r="BE240" s="34"/>
      <c r="BF240" s="34" t="b">
        <v>0</v>
      </c>
      <c r="BG240" s="34"/>
      <c r="BH240" s="34"/>
      <c r="BI240" s="34"/>
      <c r="BJ240" s="34"/>
      <c r="BK240" s="34"/>
      <c r="BL240" s="34" t="s">
        <v>166</v>
      </c>
      <c r="BM240" s="34" t="s">
        <v>106</v>
      </c>
      <c r="BN240" s="34" t="s">
        <v>107</v>
      </c>
      <c r="BO240" s="35"/>
      <c r="BP240" s="35"/>
      <c r="BQ240" s="35" t="s">
        <v>108</v>
      </c>
      <c r="BR240" s="36" t="e">
        <f>VLOOKUP(BQ240, Cat_Indicadores!B:C, 2, FALSE)</f>
        <v>#N/A</v>
      </c>
      <c r="BS240" s="35" t="s">
        <v>5592</v>
      </c>
      <c r="BT240" s="35"/>
    </row>
    <row r="241" spans="1:72">
      <c r="A241" s="29" t="s">
        <v>1064</v>
      </c>
      <c r="B241" s="30" t="s">
        <v>1065</v>
      </c>
      <c r="C241" s="31">
        <v>46238.473773148151</v>
      </c>
      <c r="D241" s="30">
        <v>94</v>
      </c>
      <c r="E241" s="30" t="s">
        <v>74</v>
      </c>
      <c r="F241" s="30" t="s">
        <v>75</v>
      </c>
      <c r="G241" s="30" t="s">
        <v>76</v>
      </c>
      <c r="H241" s="30" t="s">
        <v>77</v>
      </c>
      <c r="I241" s="30" t="s">
        <v>78</v>
      </c>
      <c r="J241" s="30" t="s">
        <v>79</v>
      </c>
      <c r="K241" s="32">
        <v>12</v>
      </c>
      <c r="L241" s="32" t="s">
        <v>211</v>
      </c>
      <c r="M241" s="30" t="s">
        <v>1066</v>
      </c>
      <c r="N241" s="30" t="s">
        <v>1067</v>
      </c>
      <c r="O241" s="30" t="s">
        <v>83</v>
      </c>
      <c r="P241" s="33">
        <v>46223</v>
      </c>
      <c r="Q241" s="33">
        <v>46223</v>
      </c>
      <c r="R241" s="32">
        <v>1</v>
      </c>
      <c r="S241" s="30" t="s">
        <v>378</v>
      </c>
      <c r="T241" s="30" t="s">
        <v>1068</v>
      </c>
      <c r="U241" s="30" t="s">
        <v>1069</v>
      </c>
      <c r="V241" s="30" t="s">
        <v>87</v>
      </c>
      <c r="W241" s="30" t="s">
        <v>88</v>
      </c>
      <c r="X241" s="30" t="s">
        <v>197</v>
      </c>
      <c r="Y241" s="30" t="s">
        <v>1070</v>
      </c>
      <c r="AB241" s="30" t="b">
        <v>0</v>
      </c>
      <c r="AC241" s="30"/>
      <c r="AD241" s="30" t="b">
        <v>0</v>
      </c>
      <c r="AF241" s="30" t="b">
        <v>0</v>
      </c>
      <c r="AH241" s="32" t="s">
        <v>91</v>
      </c>
      <c r="AI241" s="32"/>
      <c r="AJ241" s="32"/>
      <c r="AK241" s="32"/>
      <c r="AL241" s="30" t="s">
        <v>92</v>
      </c>
      <c r="AM241" s="30" t="s">
        <v>93</v>
      </c>
      <c r="AN241" s="30" t="s">
        <v>94</v>
      </c>
      <c r="AO241" s="30" t="s">
        <v>95</v>
      </c>
      <c r="AP241" s="30" t="s">
        <v>589</v>
      </c>
      <c r="AQ241" s="30" t="s">
        <v>589</v>
      </c>
      <c r="AR241" s="30" t="s">
        <v>97</v>
      </c>
      <c r="AS241" s="30" t="s">
        <v>698</v>
      </c>
      <c r="AT241" s="30" t="s">
        <v>99</v>
      </c>
      <c r="AU241" s="30" t="s">
        <v>100</v>
      </c>
      <c r="AV241" s="30" t="s">
        <v>101</v>
      </c>
      <c r="AW241" s="30" t="s">
        <v>102</v>
      </c>
      <c r="AX241" s="34" t="s">
        <v>1069</v>
      </c>
      <c r="AY241" s="34" t="s">
        <v>149</v>
      </c>
      <c r="AZ241" s="34" t="s">
        <v>149</v>
      </c>
      <c r="BA241" s="34"/>
      <c r="BB241" s="34"/>
      <c r="BC241" s="34">
        <v>0</v>
      </c>
      <c r="BD241" s="34"/>
      <c r="BE241" s="34"/>
      <c r="BF241" s="34" t="b">
        <v>0</v>
      </c>
      <c r="BG241" s="34"/>
      <c r="BH241" s="34"/>
      <c r="BI241" s="34"/>
      <c r="BJ241" s="34"/>
      <c r="BK241" s="34"/>
      <c r="BL241" s="34" t="s">
        <v>166</v>
      </c>
      <c r="BM241" s="34" t="s">
        <v>106</v>
      </c>
      <c r="BN241" s="34" t="s">
        <v>107</v>
      </c>
      <c r="BO241" s="35"/>
      <c r="BP241" s="35"/>
      <c r="BQ241" s="35" t="s">
        <v>108</v>
      </c>
      <c r="BR241" s="36" t="e">
        <f>VLOOKUP(BQ241, Cat_Indicadores!B:C, 2, FALSE)</f>
        <v>#N/A</v>
      </c>
      <c r="BS241" s="35" t="s">
        <v>5592</v>
      </c>
      <c r="BT241" s="35"/>
    </row>
    <row r="242" spans="1:72">
      <c r="A242" s="29" t="s">
        <v>1071</v>
      </c>
      <c r="B242" s="30" t="s">
        <v>1072</v>
      </c>
      <c r="C242" s="31">
        <v>46238.50204861111</v>
      </c>
      <c r="D242" s="30">
        <v>92</v>
      </c>
      <c r="E242" s="30" t="s">
        <v>74</v>
      </c>
      <c r="F242" s="30" t="s">
        <v>75</v>
      </c>
      <c r="G242" s="30" t="s">
        <v>133</v>
      </c>
      <c r="H242" s="30" t="s">
        <v>77</v>
      </c>
      <c r="I242" s="30" t="s">
        <v>78</v>
      </c>
      <c r="J242" s="30" t="s">
        <v>79</v>
      </c>
      <c r="K242" s="32">
        <v>800</v>
      </c>
      <c r="L242" s="32" t="s">
        <v>80</v>
      </c>
      <c r="M242" s="30" t="s">
        <v>1073</v>
      </c>
      <c r="N242" s="30" t="s">
        <v>1073</v>
      </c>
      <c r="O242" s="30" t="s">
        <v>83</v>
      </c>
      <c r="P242" s="33">
        <v>46231</v>
      </c>
      <c r="Q242" s="33">
        <v>46231</v>
      </c>
      <c r="R242" s="32">
        <v>1</v>
      </c>
      <c r="S242" s="30" t="s">
        <v>84</v>
      </c>
      <c r="T242" s="30" t="s">
        <v>117</v>
      </c>
      <c r="U242" s="30" t="s">
        <v>338</v>
      </c>
      <c r="V242" s="30" t="s">
        <v>87</v>
      </c>
      <c r="W242" s="30" t="s">
        <v>88</v>
      </c>
      <c r="X242" s="30" t="s">
        <v>197</v>
      </c>
      <c r="Y242" s="30" t="s">
        <v>1070</v>
      </c>
      <c r="AB242" s="30" t="b">
        <v>0</v>
      </c>
      <c r="AC242" s="30"/>
      <c r="AD242" s="30" t="b">
        <v>0</v>
      </c>
      <c r="AF242" s="30" t="b">
        <v>0</v>
      </c>
      <c r="AH242" s="32" t="s">
        <v>91</v>
      </c>
      <c r="AI242" s="32"/>
      <c r="AJ242" s="32"/>
      <c r="AK242" s="32"/>
      <c r="AL242" s="30" t="s">
        <v>92</v>
      </c>
      <c r="AM242" s="30" t="s">
        <v>93</v>
      </c>
      <c r="AN242" s="30" t="s">
        <v>94</v>
      </c>
      <c r="AO242" s="30" t="s">
        <v>95</v>
      </c>
      <c r="AP242" s="30" t="s">
        <v>589</v>
      </c>
      <c r="AQ242" s="30" t="s">
        <v>589</v>
      </c>
      <c r="AR242" s="30" t="s">
        <v>145</v>
      </c>
      <c r="AT242" s="30" t="s">
        <v>99</v>
      </c>
      <c r="AU242" s="30" t="s">
        <v>100</v>
      </c>
      <c r="AV242" s="30" t="s">
        <v>101</v>
      </c>
      <c r="AW242" s="30" t="s">
        <v>102</v>
      </c>
      <c r="AX242" s="34" t="s">
        <v>338</v>
      </c>
      <c r="AY242" s="34" t="s">
        <v>103</v>
      </c>
      <c r="AZ242" s="34"/>
      <c r="BA242" s="34"/>
      <c r="BB242" s="34"/>
      <c r="BC242" s="34">
        <v>0</v>
      </c>
      <c r="BD242" s="34"/>
      <c r="BE242" s="34"/>
      <c r="BF242" s="34" t="b">
        <v>0</v>
      </c>
      <c r="BG242" s="34"/>
      <c r="BH242" s="34"/>
      <c r="BI242" s="34"/>
      <c r="BJ242" s="34"/>
      <c r="BK242" s="34"/>
      <c r="BL242" s="34"/>
      <c r="BM242" s="34" t="s">
        <v>168</v>
      </c>
      <c r="BN242" s="34"/>
      <c r="BO242" s="35"/>
      <c r="BP242" s="35"/>
      <c r="BQ242" s="35" t="s">
        <v>108</v>
      </c>
      <c r="BR242" s="36" t="e">
        <f>VLOOKUP(BQ242, Cat_Indicadores!B:C, 2, FALSE)</f>
        <v>#N/A</v>
      </c>
      <c r="BS242" s="35" t="s">
        <v>5592</v>
      </c>
      <c r="BT242" s="35"/>
    </row>
    <row r="243" spans="1:72">
      <c r="A243" s="29" t="s">
        <v>1074</v>
      </c>
      <c r="B243" s="30" t="s">
        <v>1075</v>
      </c>
      <c r="C243" s="31">
        <v>46238.5315162037</v>
      </c>
      <c r="D243" s="30">
        <v>92</v>
      </c>
      <c r="E243" s="30" t="s">
        <v>74</v>
      </c>
      <c r="F243" s="30" t="s">
        <v>75</v>
      </c>
      <c r="G243" s="30" t="s">
        <v>133</v>
      </c>
      <c r="H243" s="30" t="s">
        <v>77</v>
      </c>
      <c r="I243" s="30" t="s">
        <v>78</v>
      </c>
      <c r="J243" s="30" t="s">
        <v>79</v>
      </c>
      <c r="K243" s="32">
        <v>800</v>
      </c>
      <c r="L243" s="32" t="s">
        <v>80</v>
      </c>
      <c r="M243" s="30" t="s">
        <v>673</v>
      </c>
      <c r="N243" s="30" t="s">
        <v>1076</v>
      </c>
      <c r="O243" s="30" t="s">
        <v>83</v>
      </c>
      <c r="P243" s="33">
        <v>46232</v>
      </c>
      <c r="Q243" s="33">
        <v>46232</v>
      </c>
      <c r="R243" s="32">
        <v>1</v>
      </c>
      <c r="S243" s="30" t="s">
        <v>84</v>
      </c>
      <c r="T243" s="30" t="s">
        <v>117</v>
      </c>
      <c r="U243" s="30" t="s">
        <v>338</v>
      </c>
      <c r="V243" s="30" t="s">
        <v>87</v>
      </c>
      <c r="W243" s="30" t="s">
        <v>88</v>
      </c>
      <c r="X243" s="30" t="s">
        <v>197</v>
      </c>
      <c r="Y243" s="30" t="s">
        <v>1070</v>
      </c>
      <c r="AB243" s="30" t="b">
        <v>0</v>
      </c>
      <c r="AC243" s="30"/>
      <c r="AD243" s="30" t="b">
        <v>0</v>
      </c>
      <c r="AF243" s="30" t="b">
        <v>0</v>
      </c>
      <c r="AH243" s="32" t="s">
        <v>91</v>
      </c>
      <c r="AI243" s="32"/>
      <c r="AJ243" s="32"/>
      <c r="AK243" s="32"/>
      <c r="AL243" s="30" t="s">
        <v>92</v>
      </c>
      <c r="AM243" s="30" t="s">
        <v>93</v>
      </c>
      <c r="AN243" s="30" t="s">
        <v>94</v>
      </c>
      <c r="AO243" s="30" t="s">
        <v>95</v>
      </c>
      <c r="AP243" s="30" t="s">
        <v>589</v>
      </c>
      <c r="AQ243" s="30" t="s">
        <v>589</v>
      </c>
      <c r="AR243" s="30" t="s">
        <v>145</v>
      </c>
      <c r="AT243" s="30" t="s">
        <v>99</v>
      </c>
      <c r="AU243" s="30" t="s">
        <v>100</v>
      </c>
      <c r="AV243" s="30" t="s">
        <v>101</v>
      </c>
      <c r="AW243" s="30" t="s">
        <v>102</v>
      </c>
      <c r="AX243" s="34" t="s">
        <v>338</v>
      </c>
      <c r="AY243" s="34" t="s">
        <v>103</v>
      </c>
      <c r="AZ243" s="34"/>
      <c r="BA243" s="34"/>
      <c r="BB243" s="34"/>
      <c r="BC243" s="34">
        <v>0</v>
      </c>
      <c r="BD243" s="34"/>
      <c r="BE243" s="34"/>
      <c r="BF243" s="34" t="b">
        <v>0</v>
      </c>
      <c r="BG243" s="34"/>
      <c r="BH243" s="34"/>
      <c r="BI243" s="34"/>
      <c r="BJ243" s="34"/>
      <c r="BK243" s="34"/>
      <c r="BL243" s="34"/>
      <c r="BM243" s="34" t="s">
        <v>168</v>
      </c>
      <c r="BN243" s="34"/>
      <c r="BO243" s="35"/>
      <c r="BP243" s="35"/>
      <c r="BQ243" s="35" t="s">
        <v>108</v>
      </c>
      <c r="BR243" s="36" t="e">
        <f>VLOOKUP(BQ243, Cat_Indicadores!B:C, 2, FALSE)</f>
        <v>#N/A</v>
      </c>
      <c r="BS243" s="35" t="s">
        <v>5592</v>
      </c>
      <c r="BT243" s="35"/>
    </row>
    <row r="244" spans="1:72">
      <c r="A244" s="29" t="s">
        <v>1077</v>
      </c>
      <c r="B244" s="30" t="s">
        <v>1078</v>
      </c>
      <c r="C244" s="31">
        <v>46240.490081018521</v>
      </c>
      <c r="D244" s="30">
        <v>92</v>
      </c>
      <c r="E244" s="30" t="s">
        <v>74</v>
      </c>
      <c r="F244" s="30" t="s">
        <v>75</v>
      </c>
      <c r="G244" s="30" t="s">
        <v>133</v>
      </c>
      <c r="H244" s="30" t="s">
        <v>77</v>
      </c>
      <c r="I244" s="30" t="s">
        <v>78</v>
      </c>
      <c r="J244" s="30" t="s">
        <v>79</v>
      </c>
      <c r="K244" s="32">
        <v>800</v>
      </c>
      <c r="L244" s="32" t="s">
        <v>80</v>
      </c>
      <c r="M244" s="30" t="s">
        <v>1045</v>
      </c>
      <c r="N244" s="30" t="s">
        <v>919</v>
      </c>
      <c r="O244" s="30" t="s">
        <v>83</v>
      </c>
      <c r="P244" s="33">
        <v>46204</v>
      </c>
      <c r="Q244" s="33">
        <v>46204</v>
      </c>
      <c r="R244" s="32">
        <v>1</v>
      </c>
      <c r="S244" s="30" t="s">
        <v>84</v>
      </c>
      <c r="T244" s="30" t="s">
        <v>117</v>
      </c>
      <c r="U244" s="30" t="s">
        <v>349</v>
      </c>
      <c r="V244" s="30" t="s">
        <v>87</v>
      </c>
      <c r="W244" s="30" t="s">
        <v>88</v>
      </c>
      <c r="X244" s="30" t="s">
        <v>197</v>
      </c>
      <c r="Y244" s="30" t="s">
        <v>1046</v>
      </c>
      <c r="AB244" s="30" t="b">
        <v>0</v>
      </c>
      <c r="AC244" s="30"/>
      <c r="AD244" s="30" t="b">
        <v>0</v>
      </c>
      <c r="AF244" s="30" t="b">
        <v>0</v>
      </c>
      <c r="AH244" s="32" t="s">
        <v>91</v>
      </c>
      <c r="AI244" s="32"/>
      <c r="AJ244" s="32"/>
      <c r="AK244" s="32"/>
      <c r="AL244" s="30" t="s">
        <v>92</v>
      </c>
      <c r="AM244" s="30" t="s">
        <v>93</v>
      </c>
      <c r="AN244" s="30" t="s">
        <v>94</v>
      </c>
      <c r="AO244" s="30" t="s">
        <v>142</v>
      </c>
      <c r="AP244" s="30" t="s">
        <v>143</v>
      </c>
      <c r="AQ244" s="30" t="s">
        <v>232</v>
      </c>
      <c r="AR244" s="30" t="s">
        <v>691</v>
      </c>
      <c r="AT244" s="30" t="s">
        <v>99</v>
      </c>
      <c r="AU244" s="30" t="s">
        <v>146</v>
      </c>
      <c r="AV244" s="30" t="s">
        <v>839</v>
      </c>
      <c r="AW244" s="30" t="s">
        <v>102</v>
      </c>
      <c r="AX244" s="34" t="s">
        <v>349</v>
      </c>
      <c r="AY244" s="34" t="s">
        <v>103</v>
      </c>
      <c r="AZ244" s="34"/>
      <c r="BA244" s="34"/>
      <c r="BB244" s="34"/>
      <c r="BC244" s="34">
        <v>0</v>
      </c>
      <c r="BD244" s="34"/>
      <c r="BE244" s="34"/>
      <c r="BF244" s="34" t="b">
        <v>0</v>
      </c>
      <c r="BG244" s="34"/>
      <c r="BH244" s="34"/>
      <c r="BI244" s="34"/>
      <c r="BJ244" s="34"/>
      <c r="BK244" s="34"/>
      <c r="BL244" s="34"/>
      <c r="BM244" s="34" t="s">
        <v>168</v>
      </c>
      <c r="BN244" s="34"/>
      <c r="BO244" s="35"/>
      <c r="BP244" s="35"/>
      <c r="BQ244" s="35" t="s">
        <v>108</v>
      </c>
      <c r="BR244" s="36" t="e">
        <f>VLOOKUP(BQ244, Cat_Indicadores!B:C, 2, FALSE)</f>
        <v>#N/A</v>
      </c>
      <c r="BS244" s="35" t="s">
        <v>5592</v>
      </c>
      <c r="BT244" s="35"/>
    </row>
    <row r="245" spans="1:72">
      <c r="A245" s="29" t="s">
        <v>1079</v>
      </c>
      <c r="B245" s="30" t="s">
        <v>1080</v>
      </c>
      <c r="C245" s="31">
        <v>46244.445034722223</v>
      </c>
      <c r="D245" s="30">
        <v>92</v>
      </c>
      <c r="E245" s="30" t="s">
        <v>74</v>
      </c>
      <c r="F245" s="30" t="s">
        <v>75</v>
      </c>
      <c r="G245" s="30" t="s">
        <v>133</v>
      </c>
      <c r="H245" s="30" t="s">
        <v>77</v>
      </c>
      <c r="I245" s="30" t="s">
        <v>78</v>
      </c>
      <c r="J245" s="30" t="s">
        <v>79</v>
      </c>
      <c r="K245" s="32">
        <v>800</v>
      </c>
      <c r="L245" s="32" t="s">
        <v>80</v>
      </c>
      <c r="M245" s="30" t="s">
        <v>1081</v>
      </c>
      <c r="N245" s="30" t="s">
        <v>919</v>
      </c>
      <c r="O245" s="30" t="s">
        <v>83</v>
      </c>
      <c r="P245" s="33">
        <v>46212</v>
      </c>
      <c r="Q245" s="33">
        <v>46212</v>
      </c>
      <c r="R245" s="32">
        <v>1</v>
      </c>
      <c r="S245" s="30" t="s">
        <v>84</v>
      </c>
      <c r="T245" s="30" t="s">
        <v>117</v>
      </c>
      <c r="U245" s="30" t="s">
        <v>349</v>
      </c>
      <c r="V245" s="30" t="s">
        <v>87</v>
      </c>
      <c r="W245" s="30" t="s">
        <v>88</v>
      </c>
      <c r="X245" s="30" t="s">
        <v>197</v>
      </c>
      <c r="Y245" s="30" t="s">
        <v>1046</v>
      </c>
      <c r="AB245" s="30" t="b">
        <v>0</v>
      </c>
      <c r="AC245" s="30"/>
      <c r="AD245" s="30" t="b">
        <v>0</v>
      </c>
      <c r="AF245" s="30" t="b">
        <v>0</v>
      </c>
      <c r="AH245" s="32" t="s">
        <v>91</v>
      </c>
      <c r="AI245" s="32"/>
      <c r="AJ245" s="32"/>
      <c r="AK245" s="32"/>
      <c r="AL245" s="30" t="s">
        <v>92</v>
      </c>
      <c r="AM245" s="30" t="s">
        <v>93</v>
      </c>
      <c r="AN245" s="30" t="s">
        <v>94</v>
      </c>
      <c r="AO245" s="30" t="s">
        <v>142</v>
      </c>
      <c r="AP245" s="30" t="s">
        <v>143</v>
      </c>
      <c r="AQ245" s="30" t="s">
        <v>232</v>
      </c>
      <c r="AR245" s="30" t="s">
        <v>691</v>
      </c>
      <c r="AT245" s="30" t="s">
        <v>99</v>
      </c>
      <c r="AU245" s="30" t="s">
        <v>146</v>
      </c>
      <c r="AV245" s="30" t="s">
        <v>839</v>
      </c>
      <c r="AW245" s="30" t="s">
        <v>102</v>
      </c>
      <c r="AX245" s="34" t="s">
        <v>349</v>
      </c>
      <c r="AY245" s="34" t="s">
        <v>103</v>
      </c>
      <c r="AZ245" s="34"/>
      <c r="BA245" s="34"/>
      <c r="BB245" s="34"/>
      <c r="BC245" s="34">
        <v>0</v>
      </c>
      <c r="BD245" s="34"/>
      <c r="BE245" s="34"/>
      <c r="BF245" s="34" t="b">
        <v>0</v>
      </c>
      <c r="BG245" s="34"/>
      <c r="BH245" s="34"/>
      <c r="BI245" s="34"/>
      <c r="BJ245" s="34"/>
      <c r="BK245" s="34"/>
      <c r="BL245" s="34"/>
      <c r="BM245" s="34" t="s">
        <v>168</v>
      </c>
      <c r="BN245" s="34"/>
      <c r="BO245" s="35"/>
      <c r="BP245" s="35"/>
      <c r="BQ245" s="35" t="s">
        <v>108</v>
      </c>
      <c r="BR245" s="36" t="e">
        <f>VLOOKUP(BQ245, Cat_Indicadores!B:C, 2, FALSE)</f>
        <v>#N/A</v>
      </c>
      <c r="BS245" s="35" t="s">
        <v>5592</v>
      </c>
      <c r="BT245" s="35"/>
    </row>
    <row r="246" spans="1:72">
      <c r="A246" s="29" t="s">
        <v>1082</v>
      </c>
      <c r="B246" s="30" t="s">
        <v>1083</v>
      </c>
      <c r="C246" s="31">
        <v>46244.471782407411</v>
      </c>
      <c r="D246" s="30">
        <v>92</v>
      </c>
      <c r="E246" s="30" t="s">
        <v>74</v>
      </c>
      <c r="F246" s="30" t="s">
        <v>75</v>
      </c>
      <c r="G246" s="30" t="s">
        <v>133</v>
      </c>
      <c r="H246" s="30" t="s">
        <v>77</v>
      </c>
      <c r="I246" s="30" t="s">
        <v>78</v>
      </c>
      <c r="J246" s="30" t="s">
        <v>79</v>
      </c>
      <c r="K246" s="32">
        <v>800</v>
      </c>
      <c r="L246" s="32" t="s">
        <v>80</v>
      </c>
      <c r="M246" s="30" t="s">
        <v>1084</v>
      </c>
      <c r="N246" s="30" t="s">
        <v>927</v>
      </c>
      <c r="O246" s="30" t="s">
        <v>83</v>
      </c>
      <c r="P246" s="33">
        <v>46212</v>
      </c>
      <c r="Q246" s="33">
        <v>46212</v>
      </c>
      <c r="R246" s="32">
        <v>1</v>
      </c>
      <c r="S246" s="30" t="s">
        <v>84</v>
      </c>
      <c r="T246" s="30" t="s">
        <v>117</v>
      </c>
      <c r="U246" s="30" t="s">
        <v>338</v>
      </c>
      <c r="V246" s="30" t="s">
        <v>87</v>
      </c>
      <c r="W246" s="30" t="s">
        <v>88</v>
      </c>
      <c r="X246" s="30" t="s">
        <v>197</v>
      </c>
      <c r="Y246" s="30" t="s">
        <v>1046</v>
      </c>
      <c r="AB246" s="30" t="b">
        <v>0</v>
      </c>
      <c r="AC246" s="30"/>
      <c r="AD246" s="30" t="b">
        <v>0</v>
      </c>
      <c r="AF246" s="30" t="b">
        <v>0</v>
      </c>
      <c r="AH246" s="32" t="s">
        <v>91</v>
      </c>
      <c r="AI246" s="32"/>
      <c r="AJ246" s="32"/>
      <c r="AK246" s="32"/>
      <c r="AL246" s="30" t="s">
        <v>92</v>
      </c>
      <c r="AM246" s="30" t="s">
        <v>93</v>
      </c>
      <c r="AN246" s="30" t="s">
        <v>94</v>
      </c>
      <c r="AO246" s="30" t="s">
        <v>142</v>
      </c>
      <c r="AP246" s="30" t="s">
        <v>143</v>
      </c>
      <c r="AQ246" s="30" t="s">
        <v>232</v>
      </c>
      <c r="AR246" s="30" t="s">
        <v>691</v>
      </c>
      <c r="AT246" s="30" t="s">
        <v>99</v>
      </c>
      <c r="AU246" s="30" t="s">
        <v>146</v>
      </c>
      <c r="AV246" s="30" t="s">
        <v>839</v>
      </c>
      <c r="AW246" s="30" t="s">
        <v>102</v>
      </c>
      <c r="AX246" s="34" t="s">
        <v>338</v>
      </c>
      <c r="AY246" s="34" t="s">
        <v>103</v>
      </c>
      <c r="AZ246" s="34"/>
      <c r="BA246" s="34"/>
      <c r="BB246" s="34"/>
      <c r="BC246" s="34">
        <v>0</v>
      </c>
      <c r="BD246" s="34"/>
      <c r="BE246" s="34"/>
      <c r="BF246" s="34" t="b">
        <v>0</v>
      </c>
      <c r="BG246" s="34"/>
      <c r="BH246" s="34"/>
      <c r="BI246" s="34"/>
      <c r="BJ246" s="34"/>
      <c r="BK246" s="34"/>
      <c r="BL246" s="34"/>
      <c r="BM246" s="34" t="s">
        <v>168</v>
      </c>
      <c r="BN246" s="34"/>
      <c r="BO246" s="35"/>
      <c r="BP246" s="35"/>
      <c r="BQ246" s="35" t="s">
        <v>108</v>
      </c>
      <c r="BR246" s="36" t="e">
        <f>VLOOKUP(BQ246, Cat_Indicadores!B:C, 2, FALSE)</f>
        <v>#N/A</v>
      </c>
      <c r="BS246" s="35" t="s">
        <v>5592</v>
      </c>
      <c r="BT246" s="35"/>
    </row>
    <row r="247" spans="1:72">
      <c r="A247" s="29" t="s">
        <v>1085</v>
      </c>
      <c r="B247" s="30" t="s">
        <v>1086</v>
      </c>
      <c r="C247" s="31">
        <v>46244.478842592594</v>
      </c>
      <c r="D247" s="30">
        <v>92</v>
      </c>
      <c r="E247" s="30" t="s">
        <v>74</v>
      </c>
      <c r="F247" s="30" t="s">
        <v>75</v>
      </c>
      <c r="G247" s="30" t="s">
        <v>133</v>
      </c>
      <c r="H247" s="30" t="s">
        <v>77</v>
      </c>
      <c r="I247" s="30" t="s">
        <v>78</v>
      </c>
      <c r="J247" s="30" t="s">
        <v>79</v>
      </c>
      <c r="K247" s="32">
        <v>800</v>
      </c>
      <c r="L247" s="32" t="s">
        <v>80</v>
      </c>
      <c r="M247" s="30" t="s">
        <v>1087</v>
      </c>
      <c r="N247" s="30" t="s">
        <v>927</v>
      </c>
      <c r="O247" s="30" t="s">
        <v>83</v>
      </c>
      <c r="P247" s="33">
        <v>46212</v>
      </c>
      <c r="Q247" s="33">
        <v>46212</v>
      </c>
      <c r="R247" s="32">
        <v>1</v>
      </c>
      <c r="S247" s="30" t="s">
        <v>84</v>
      </c>
      <c r="T247" s="30" t="s">
        <v>117</v>
      </c>
      <c r="U247" s="30" t="s">
        <v>338</v>
      </c>
      <c r="V247" s="30" t="s">
        <v>87</v>
      </c>
      <c r="W247" s="30" t="s">
        <v>88</v>
      </c>
      <c r="X247" s="30" t="s">
        <v>197</v>
      </c>
      <c r="Y247" s="30" t="s">
        <v>1046</v>
      </c>
      <c r="AB247" s="30" t="b">
        <v>0</v>
      </c>
      <c r="AC247" s="30"/>
      <c r="AD247" s="30" t="b">
        <v>0</v>
      </c>
      <c r="AF247" s="30" t="b">
        <v>0</v>
      </c>
      <c r="AH247" s="32" t="s">
        <v>91</v>
      </c>
      <c r="AI247" s="32"/>
      <c r="AJ247" s="32"/>
      <c r="AK247" s="32"/>
      <c r="AL247" s="30" t="s">
        <v>92</v>
      </c>
      <c r="AM247" s="30" t="s">
        <v>93</v>
      </c>
      <c r="AN247" s="30" t="s">
        <v>94</v>
      </c>
      <c r="AO247" s="30" t="s">
        <v>142</v>
      </c>
      <c r="AP247" s="30" t="s">
        <v>143</v>
      </c>
      <c r="AQ247" s="30" t="s">
        <v>232</v>
      </c>
      <c r="AR247" s="30" t="s">
        <v>691</v>
      </c>
      <c r="AT247" s="30" t="s">
        <v>99</v>
      </c>
      <c r="AU247" s="30" t="s">
        <v>146</v>
      </c>
      <c r="AV247" s="30" t="s">
        <v>839</v>
      </c>
      <c r="AW247" s="30" t="s">
        <v>102</v>
      </c>
      <c r="AX247" s="34" t="s">
        <v>338</v>
      </c>
      <c r="AY247" s="34" t="s">
        <v>103</v>
      </c>
      <c r="AZ247" s="34"/>
      <c r="BA247" s="34"/>
      <c r="BB247" s="34"/>
      <c r="BC247" s="34">
        <v>0</v>
      </c>
      <c r="BD247" s="34"/>
      <c r="BE247" s="34"/>
      <c r="BF247" s="34" t="b">
        <v>0</v>
      </c>
      <c r="BG247" s="34"/>
      <c r="BH247" s="34"/>
      <c r="BI247" s="34"/>
      <c r="BJ247" s="34"/>
      <c r="BK247" s="34"/>
      <c r="BL247" s="34"/>
      <c r="BM247" s="34" t="s">
        <v>168</v>
      </c>
      <c r="BN247" s="34"/>
      <c r="BO247" s="35"/>
      <c r="BP247" s="35"/>
      <c r="BQ247" s="35" t="s">
        <v>108</v>
      </c>
      <c r="BR247" s="36" t="e">
        <f>VLOOKUP(BQ247, Cat_Indicadores!B:C, 2, FALSE)</f>
        <v>#N/A</v>
      </c>
      <c r="BS247" s="35" t="s">
        <v>5592</v>
      </c>
      <c r="BT247" s="35"/>
    </row>
    <row r="248" spans="1:72">
      <c r="A248" s="29" t="s">
        <v>1088</v>
      </c>
      <c r="B248" s="30" t="s">
        <v>1089</v>
      </c>
      <c r="C248" s="31">
        <v>46245.47446759259</v>
      </c>
      <c r="D248" s="30">
        <v>92</v>
      </c>
      <c r="E248" s="30" t="s">
        <v>74</v>
      </c>
      <c r="F248" s="30" t="s">
        <v>75</v>
      </c>
      <c r="G248" s="30" t="s">
        <v>133</v>
      </c>
      <c r="H248" s="30" t="s">
        <v>77</v>
      </c>
      <c r="I248" s="30" t="s">
        <v>78</v>
      </c>
      <c r="J248" s="30" t="s">
        <v>79</v>
      </c>
      <c r="K248" s="32">
        <v>800</v>
      </c>
      <c r="L248" s="32" t="s">
        <v>80</v>
      </c>
      <c r="M248" s="30" t="s">
        <v>1087</v>
      </c>
      <c r="N248" s="30" t="s">
        <v>927</v>
      </c>
      <c r="O248" s="30" t="s">
        <v>83</v>
      </c>
      <c r="P248" s="33">
        <v>46212</v>
      </c>
      <c r="Q248" s="33">
        <v>46212</v>
      </c>
      <c r="R248" s="32">
        <v>1</v>
      </c>
      <c r="S248" s="30" t="s">
        <v>84</v>
      </c>
      <c r="T248" s="30" t="s">
        <v>117</v>
      </c>
      <c r="U248" s="30" t="s">
        <v>338</v>
      </c>
      <c r="V248" s="30" t="s">
        <v>87</v>
      </c>
      <c r="W248" s="30" t="s">
        <v>88</v>
      </c>
      <c r="X248" s="30" t="s">
        <v>197</v>
      </c>
      <c r="Y248" s="30" t="s">
        <v>1046</v>
      </c>
      <c r="AB248" s="30" t="b">
        <v>0</v>
      </c>
      <c r="AC248" s="30"/>
      <c r="AD248" s="30" t="b">
        <v>0</v>
      </c>
      <c r="AF248" s="30" t="b">
        <v>0</v>
      </c>
      <c r="AH248" s="32" t="s">
        <v>91</v>
      </c>
      <c r="AI248" s="32"/>
      <c r="AJ248" s="32"/>
      <c r="AK248" s="32"/>
      <c r="AL248" s="30" t="s">
        <v>92</v>
      </c>
      <c r="AM248" s="30" t="s">
        <v>93</v>
      </c>
      <c r="AN248" s="30" t="s">
        <v>94</v>
      </c>
      <c r="AO248" s="30" t="s">
        <v>142</v>
      </c>
      <c r="AP248" s="30" t="s">
        <v>143</v>
      </c>
      <c r="AQ248" s="30" t="s">
        <v>232</v>
      </c>
      <c r="AR248" s="30" t="s">
        <v>691</v>
      </c>
      <c r="AT248" s="30" t="s">
        <v>99</v>
      </c>
      <c r="AU248" s="30" t="s">
        <v>146</v>
      </c>
      <c r="AV248" s="30" t="s">
        <v>839</v>
      </c>
      <c r="AW248" s="30" t="s">
        <v>102</v>
      </c>
      <c r="AX248" s="34" t="s">
        <v>338</v>
      </c>
      <c r="AY248" s="34" t="s">
        <v>103</v>
      </c>
      <c r="AZ248" s="34"/>
      <c r="BA248" s="34"/>
      <c r="BB248" s="34"/>
      <c r="BC248" s="34">
        <v>0</v>
      </c>
      <c r="BD248" s="34"/>
      <c r="BE248" s="34"/>
      <c r="BF248" s="34" t="b">
        <v>0</v>
      </c>
      <c r="BG248" s="34"/>
      <c r="BH248" s="34"/>
      <c r="BI248" s="34"/>
      <c r="BJ248" s="34"/>
      <c r="BK248" s="34"/>
      <c r="BL248" s="34"/>
      <c r="BM248" s="34" t="s">
        <v>168</v>
      </c>
      <c r="BN248" s="34"/>
      <c r="BO248" s="35"/>
      <c r="BP248" s="35"/>
      <c r="BQ248" s="35" t="s">
        <v>108</v>
      </c>
      <c r="BR248" s="36" t="e">
        <f>VLOOKUP(BQ248, Cat_Indicadores!B:C, 2, FALSE)</f>
        <v>#N/A</v>
      </c>
      <c r="BS248" s="35" t="s">
        <v>5592</v>
      </c>
      <c r="BT248" s="35"/>
    </row>
    <row r="249" spans="1:72">
      <c r="A249" s="29" t="s">
        <v>1090</v>
      </c>
      <c r="B249" s="30" t="s">
        <v>1091</v>
      </c>
      <c r="C249" s="31">
        <v>46245.488009259258</v>
      </c>
      <c r="D249" s="30">
        <v>92</v>
      </c>
      <c r="E249" s="30" t="s">
        <v>74</v>
      </c>
      <c r="F249" s="30" t="s">
        <v>75</v>
      </c>
      <c r="G249" s="30" t="s">
        <v>133</v>
      </c>
      <c r="H249" s="30" t="s">
        <v>77</v>
      </c>
      <c r="I249" s="30" t="s">
        <v>78</v>
      </c>
      <c r="J249" s="30" t="s">
        <v>79</v>
      </c>
      <c r="K249" s="32">
        <v>800</v>
      </c>
      <c r="L249" s="32" t="s">
        <v>80</v>
      </c>
      <c r="M249" s="30" t="s">
        <v>918</v>
      </c>
      <c r="N249" s="30" t="s">
        <v>927</v>
      </c>
      <c r="O249" s="30" t="s">
        <v>83</v>
      </c>
      <c r="P249" s="33">
        <v>46212</v>
      </c>
      <c r="Q249" s="33">
        <v>46212</v>
      </c>
      <c r="R249" s="32">
        <v>1</v>
      </c>
      <c r="S249" s="30" t="s">
        <v>84</v>
      </c>
      <c r="T249" s="30" t="s">
        <v>117</v>
      </c>
      <c r="U249" s="30" t="s">
        <v>349</v>
      </c>
      <c r="V249" s="30" t="s">
        <v>87</v>
      </c>
      <c r="W249" s="30" t="s">
        <v>88</v>
      </c>
      <c r="X249" s="30" t="s">
        <v>197</v>
      </c>
      <c r="Y249" s="30" t="s">
        <v>1046</v>
      </c>
      <c r="AB249" s="30" t="b">
        <v>0</v>
      </c>
      <c r="AC249" s="30"/>
      <c r="AD249" s="30" t="b">
        <v>0</v>
      </c>
      <c r="AF249" s="30" t="b">
        <v>0</v>
      </c>
      <c r="AH249" s="32" t="s">
        <v>91</v>
      </c>
      <c r="AI249" s="32"/>
      <c r="AJ249" s="32"/>
      <c r="AK249" s="32"/>
      <c r="AL249" s="30" t="s">
        <v>92</v>
      </c>
      <c r="AM249" s="30" t="s">
        <v>93</v>
      </c>
      <c r="AN249" s="30" t="s">
        <v>94</v>
      </c>
      <c r="AO249" s="30" t="s">
        <v>142</v>
      </c>
      <c r="AP249" s="30" t="s">
        <v>143</v>
      </c>
      <c r="AQ249" s="30" t="s">
        <v>232</v>
      </c>
      <c r="AR249" s="30" t="s">
        <v>691</v>
      </c>
      <c r="AT249" s="30" t="s">
        <v>99</v>
      </c>
      <c r="AU249" s="30" t="s">
        <v>146</v>
      </c>
      <c r="AV249" s="30" t="s">
        <v>839</v>
      </c>
      <c r="AW249" s="30" t="s">
        <v>102</v>
      </c>
      <c r="AX249" s="34" t="s">
        <v>349</v>
      </c>
      <c r="AY249" s="34" t="s">
        <v>103</v>
      </c>
      <c r="AZ249" s="34"/>
      <c r="BA249" s="34"/>
      <c r="BB249" s="34"/>
      <c r="BC249" s="34">
        <v>0</v>
      </c>
      <c r="BD249" s="34"/>
      <c r="BE249" s="34"/>
      <c r="BF249" s="34" t="b">
        <v>0</v>
      </c>
      <c r="BG249" s="34"/>
      <c r="BH249" s="34"/>
      <c r="BI249" s="34"/>
      <c r="BJ249" s="34"/>
      <c r="BK249" s="34"/>
      <c r="BL249" s="34"/>
      <c r="BM249" s="34" t="s">
        <v>168</v>
      </c>
      <c r="BN249" s="34"/>
      <c r="BO249" s="35"/>
      <c r="BP249" s="35"/>
      <c r="BQ249" s="35" t="s">
        <v>108</v>
      </c>
      <c r="BR249" s="36" t="e">
        <f>VLOOKUP(BQ249, Cat_Indicadores!B:C, 2, FALSE)</f>
        <v>#N/A</v>
      </c>
      <c r="BS249" s="35" t="s">
        <v>5592</v>
      </c>
      <c r="BT249" s="35"/>
    </row>
    <row r="250" spans="1:72">
      <c r="A250" s="29" t="s">
        <v>1092</v>
      </c>
      <c r="B250" s="30" t="s">
        <v>1093</v>
      </c>
      <c r="C250" s="31">
        <v>46245.492060185185</v>
      </c>
      <c r="D250" s="30">
        <v>92</v>
      </c>
      <c r="E250" s="30" t="s">
        <v>74</v>
      </c>
      <c r="F250" s="30" t="s">
        <v>75</v>
      </c>
      <c r="G250" s="30" t="s">
        <v>133</v>
      </c>
      <c r="H250" s="30" t="s">
        <v>77</v>
      </c>
      <c r="I250" s="30" t="s">
        <v>78</v>
      </c>
      <c r="J250" s="30" t="s">
        <v>79</v>
      </c>
      <c r="K250" s="32">
        <v>800</v>
      </c>
      <c r="L250" s="32" t="s">
        <v>80</v>
      </c>
      <c r="M250" s="30" t="s">
        <v>1094</v>
      </c>
      <c r="N250" s="30" t="s">
        <v>927</v>
      </c>
      <c r="O250" s="30" t="s">
        <v>83</v>
      </c>
      <c r="P250" s="33">
        <v>46218</v>
      </c>
      <c r="Q250" s="33">
        <v>46218</v>
      </c>
      <c r="R250" s="32">
        <v>1</v>
      </c>
      <c r="S250" s="30" t="s">
        <v>84</v>
      </c>
      <c r="T250" s="30" t="s">
        <v>117</v>
      </c>
      <c r="U250" s="30" t="s">
        <v>349</v>
      </c>
      <c r="V250" s="30" t="s">
        <v>87</v>
      </c>
      <c r="W250" s="30" t="s">
        <v>88</v>
      </c>
      <c r="X250" s="30" t="s">
        <v>197</v>
      </c>
      <c r="Y250" s="30" t="s">
        <v>1046</v>
      </c>
      <c r="AB250" s="30" t="b">
        <v>0</v>
      </c>
      <c r="AC250" s="30"/>
      <c r="AD250" s="30" t="b">
        <v>0</v>
      </c>
      <c r="AF250" s="30" t="b">
        <v>0</v>
      </c>
      <c r="AH250" s="32" t="s">
        <v>91</v>
      </c>
      <c r="AI250" s="32"/>
      <c r="AJ250" s="32"/>
      <c r="AK250" s="32"/>
      <c r="AL250" s="30" t="s">
        <v>92</v>
      </c>
      <c r="AM250" s="30" t="s">
        <v>93</v>
      </c>
      <c r="AN250" s="30" t="s">
        <v>94</v>
      </c>
      <c r="AO250" s="30" t="s">
        <v>142</v>
      </c>
      <c r="AP250" s="30" t="s">
        <v>143</v>
      </c>
      <c r="AQ250" s="30" t="s">
        <v>232</v>
      </c>
      <c r="AR250" s="30" t="s">
        <v>691</v>
      </c>
      <c r="AT250" s="30" t="s">
        <v>99</v>
      </c>
      <c r="AU250" s="30" t="s">
        <v>146</v>
      </c>
      <c r="AV250" s="30" t="s">
        <v>839</v>
      </c>
      <c r="AW250" s="30" t="s">
        <v>102</v>
      </c>
      <c r="AX250" s="34" t="s">
        <v>349</v>
      </c>
      <c r="AY250" s="34" t="s">
        <v>103</v>
      </c>
      <c r="AZ250" s="34"/>
      <c r="BA250" s="34"/>
      <c r="BB250" s="34"/>
      <c r="BC250" s="34">
        <v>0</v>
      </c>
      <c r="BD250" s="34"/>
      <c r="BE250" s="34"/>
      <c r="BF250" s="34" t="b">
        <v>0</v>
      </c>
      <c r="BG250" s="34"/>
      <c r="BH250" s="34"/>
      <c r="BI250" s="34"/>
      <c r="BJ250" s="34"/>
      <c r="BK250" s="34"/>
      <c r="BL250" s="34"/>
      <c r="BM250" s="34" t="s">
        <v>168</v>
      </c>
      <c r="BN250" s="34"/>
      <c r="BO250" s="35"/>
      <c r="BP250" s="35"/>
      <c r="BQ250" s="35" t="s">
        <v>108</v>
      </c>
      <c r="BR250" s="36" t="e">
        <f>VLOOKUP(BQ250, Cat_Indicadores!B:C, 2, FALSE)</f>
        <v>#N/A</v>
      </c>
      <c r="BS250" s="35" t="s">
        <v>5592</v>
      </c>
      <c r="BT250" s="35"/>
    </row>
    <row r="251" spans="1:72">
      <c r="A251" s="29" t="s">
        <v>1095</v>
      </c>
      <c r="B251" s="30" t="s">
        <v>1096</v>
      </c>
      <c r="C251" s="31">
        <v>46245.519733796296</v>
      </c>
      <c r="D251" s="30">
        <v>92</v>
      </c>
      <c r="E251" s="30" t="s">
        <v>74</v>
      </c>
      <c r="F251" s="30" t="s">
        <v>75</v>
      </c>
      <c r="G251" s="30" t="s">
        <v>133</v>
      </c>
      <c r="H251" s="30" t="s">
        <v>77</v>
      </c>
      <c r="I251" s="30" t="s">
        <v>78</v>
      </c>
      <c r="J251" s="30" t="s">
        <v>79</v>
      </c>
      <c r="K251" s="32">
        <v>800</v>
      </c>
      <c r="L251" s="32" t="s">
        <v>80</v>
      </c>
      <c r="M251" s="30" t="s">
        <v>1087</v>
      </c>
      <c r="N251" s="30" t="s">
        <v>927</v>
      </c>
      <c r="O251" s="30" t="s">
        <v>83</v>
      </c>
      <c r="P251" s="33">
        <v>46218</v>
      </c>
      <c r="Q251" s="33">
        <v>46218</v>
      </c>
      <c r="R251" s="32">
        <v>1</v>
      </c>
      <c r="S251" s="30" t="s">
        <v>84</v>
      </c>
      <c r="T251" s="30" t="s">
        <v>117</v>
      </c>
      <c r="U251" s="30" t="s">
        <v>338</v>
      </c>
      <c r="V251" s="30" t="s">
        <v>87</v>
      </c>
      <c r="W251" s="30" t="s">
        <v>88</v>
      </c>
      <c r="X251" s="30" t="s">
        <v>197</v>
      </c>
      <c r="Y251" s="30" t="s">
        <v>1046</v>
      </c>
      <c r="AB251" s="30" t="b">
        <v>0</v>
      </c>
      <c r="AC251" s="30"/>
      <c r="AD251" s="30" t="b">
        <v>0</v>
      </c>
      <c r="AF251" s="30" t="b">
        <v>0</v>
      </c>
      <c r="AH251" s="32" t="s">
        <v>91</v>
      </c>
      <c r="AI251" s="32"/>
      <c r="AJ251" s="32"/>
      <c r="AK251" s="32"/>
      <c r="AL251" s="30" t="s">
        <v>92</v>
      </c>
      <c r="AM251" s="30" t="s">
        <v>93</v>
      </c>
      <c r="AN251" s="30" t="s">
        <v>94</v>
      </c>
      <c r="AO251" s="30" t="s">
        <v>142</v>
      </c>
      <c r="AP251" s="30" t="s">
        <v>143</v>
      </c>
      <c r="AQ251" s="30" t="s">
        <v>232</v>
      </c>
      <c r="AR251" s="30" t="s">
        <v>691</v>
      </c>
      <c r="AT251" s="30" t="s">
        <v>99</v>
      </c>
      <c r="AU251" s="30" t="s">
        <v>146</v>
      </c>
      <c r="AV251" s="30" t="s">
        <v>839</v>
      </c>
      <c r="AW251" s="30" t="s">
        <v>102</v>
      </c>
      <c r="AX251" s="34" t="s">
        <v>338</v>
      </c>
      <c r="AY251" s="34" t="s">
        <v>103</v>
      </c>
      <c r="AZ251" s="34"/>
      <c r="BA251" s="34"/>
      <c r="BB251" s="34"/>
      <c r="BC251" s="34">
        <v>0</v>
      </c>
      <c r="BD251" s="34"/>
      <c r="BE251" s="34"/>
      <c r="BF251" s="34" t="b">
        <v>0</v>
      </c>
      <c r="BG251" s="34"/>
      <c r="BH251" s="34"/>
      <c r="BI251" s="34"/>
      <c r="BJ251" s="34"/>
      <c r="BK251" s="34"/>
      <c r="BL251" s="34"/>
      <c r="BM251" s="34" t="s">
        <v>168</v>
      </c>
      <c r="BN251" s="34"/>
      <c r="BO251" s="35"/>
      <c r="BP251" s="35"/>
      <c r="BQ251" s="35" t="s">
        <v>108</v>
      </c>
      <c r="BR251" s="36" t="e">
        <f>VLOOKUP(BQ251, Cat_Indicadores!B:C, 2, FALSE)</f>
        <v>#N/A</v>
      </c>
      <c r="BS251" s="35" t="s">
        <v>5592</v>
      </c>
      <c r="BT251" s="35"/>
    </row>
    <row r="252" spans="1:72">
      <c r="A252" s="29" t="s">
        <v>1097</v>
      </c>
      <c r="B252" s="30" t="s">
        <v>1098</v>
      </c>
      <c r="C252" s="31">
        <v>46245.523159722223</v>
      </c>
      <c r="D252" s="30">
        <v>92</v>
      </c>
      <c r="E252" s="30" t="s">
        <v>74</v>
      </c>
      <c r="F252" s="30" t="s">
        <v>75</v>
      </c>
      <c r="G252" s="30" t="s">
        <v>133</v>
      </c>
      <c r="H252" s="30" t="s">
        <v>77</v>
      </c>
      <c r="I252" s="30" t="s">
        <v>78</v>
      </c>
      <c r="J252" s="30" t="s">
        <v>79</v>
      </c>
      <c r="K252" s="32">
        <v>800</v>
      </c>
      <c r="L252" s="32" t="s">
        <v>80</v>
      </c>
      <c r="M252" s="30" t="s">
        <v>1099</v>
      </c>
      <c r="N252" s="30" t="s">
        <v>927</v>
      </c>
      <c r="O252" s="30" t="s">
        <v>83</v>
      </c>
      <c r="P252" s="33">
        <v>46219</v>
      </c>
      <c r="Q252" s="33">
        <v>46219</v>
      </c>
      <c r="R252" s="32">
        <v>1</v>
      </c>
      <c r="S252" s="30" t="s">
        <v>84</v>
      </c>
      <c r="T252" s="30" t="s">
        <v>117</v>
      </c>
      <c r="U252" s="30" t="s">
        <v>349</v>
      </c>
      <c r="V252" s="30" t="s">
        <v>87</v>
      </c>
      <c r="W252" s="30" t="s">
        <v>88</v>
      </c>
      <c r="X252" s="30" t="s">
        <v>197</v>
      </c>
      <c r="Y252" s="30" t="s">
        <v>1046</v>
      </c>
      <c r="AB252" s="30" t="b">
        <v>0</v>
      </c>
      <c r="AC252" s="30"/>
      <c r="AD252" s="30" t="b">
        <v>0</v>
      </c>
      <c r="AF252" s="30" t="b">
        <v>0</v>
      </c>
      <c r="AH252" s="32" t="s">
        <v>91</v>
      </c>
      <c r="AI252" s="32"/>
      <c r="AJ252" s="32"/>
      <c r="AK252" s="32"/>
      <c r="AL252" s="30" t="s">
        <v>92</v>
      </c>
      <c r="AM252" s="30" t="s">
        <v>93</v>
      </c>
      <c r="AN252" s="30" t="s">
        <v>94</v>
      </c>
      <c r="AO252" s="30" t="s">
        <v>142</v>
      </c>
      <c r="AP252" s="30" t="s">
        <v>143</v>
      </c>
      <c r="AQ252" s="30" t="s">
        <v>232</v>
      </c>
      <c r="AR252" s="30" t="s">
        <v>691</v>
      </c>
      <c r="AT252" s="30" t="s">
        <v>99</v>
      </c>
      <c r="AU252" s="30" t="s">
        <v>146</v>
      </c>
      <c r="AV252" s="30" t="s">
        <v>839</v>
      </c>
      <c r="AW252" s="30" t="s">
        <v>102</v>
      </c>
      <c r="AX252" s="34" t="s">
        <v>349</v>
      </c>
      <c r="AY252" s="34" t="s">
        <v>103</v>
      </c>
      <c r="AZ252" s="34"/>
      <c r="BA252" s="34"/>
      <c r="BB252" s="34"/>
      <c r="BC252" s="34">
        <v>0</v>
      </c>
      <c r="BD252" s="34"/>
      <c r="BE252" s="34"/>
      <c r="BF252" s="34" t="b">
        <v>0</v>
      </c>
      <c r="BG252" s="34"/>
      <c r="BH252" s="34"/>
      <c r="BI252" s="34"/>
      <c r="BJ252" s="34"/>
      <c r="BK252" s="34"/>
      <c r="BL252" s="34"/>
      <c r="BM252" s="34" t="s">
        <v>168</v>
      </c>
      <c r="BN252" s="34"/>
      <c r="BO252" s="35"/>
      <c r="BP252" s="35"/>
      <c r="BQ252" s="35" t="s">
        <v>108</v>
      </c>
      <c r="BR252" s="36" t="e">
        <f>VLOOKUP(BQ252, Cat_Indicadores!B:C, 2, FALSE)</f>
        <v>#N/A</v>
      </c>
      <c r="BS252" s="35" t="s">
        <v>5592</v>
      </c>
      <c r="BT252" s="35"/>
    </row>
    <row r="253" spans="1:72">
      <c r="A253" s="29" t="s">
        <v>1100</v>
      </c>
      <c r="B253" s="30" t="s">
        <v>1101</v>
      </c>
      <c r="C253" s="31">
        <v>46245.528726851851</v>
      </c>
      <c r="D253" s="30">
        <v>92</v>
      </c>
      <c r="E253" s="30" t="s">
        <v>74</v>
      </c>
      <c r="F253" s="30" t="s">
        <v>75</v>
      </c>
      <c r="G253" s="30" t="s">
        <v>133</v>
      </c>
      <c r="H253" s="30" t="s">
        <v>77</v>
      </c>
      <c r="I253" s="30" t="s">
        <v>78</v>
      </c>
      <c r="J253" s="30" t="s">
        <v>79</v>
      </c>
      <c r="K253" s="32">
        <v>800</v>
      </c>
      <c r="L253" s="32" t="s">
        <v>80</v>
      </c>
      <c r="M253" s="30" t="s">
        <v>1102</v>
      </c>
      <c r="N253" s="30" t="s">
        <v>1103</v>
      </c>
      <c r="O253" s="30" t="s">
        <v>83</v>
      </c>
      <c r="P253" s="33">
        <v>46222</v>
      </c>
      <c r="Q253" s="33">
        <v>46222</v>
      </c>
      <c r="R253" s="32">
        <v>1</v>
      </c>
      <c r="S253" s="30" t="s">
        <v>84</v>
      </c>
      <c r="T253" s="30" t="s">
        <v>117</v>
      </c>
      <c r="U253" s="30" t="s">
        <v>349</v>
      </c>
      <c r="V253" s="30" t="s">
        <v>87</v>
      </c>
      <c r="W253" s="30" t="s">
        <v>88</v>
      </c>
      <c r="X253" s="30" t="s">
        <v>197</v>
      </c>
      <c r="Y253" s="30" t="s">
        <v>1046</v>
      </c>
      <c r="AB253" s="30" t="b">
        <v>0</v>
      </c>
      <c r="AC253" s="30"/>
      <c r="AD253" s="30" t="b">
        <v>0</v>
      </c>
      <c r="AF253" s="30" t="b">
        <v>0</v>
      </c>
      <c r="AH253" s="32" t="s">
        <v>91</v>
      </c>
      <c r="AI253" s="32"/>
      <c r="AJ253" s="32"/>
      <c r="AK253" s="32"/>
      <c r="AL253" s="30" t="s">
        <v>92</v>
      </c>
      <c r="AM253" s="30" t="s">
        <v>93</v>
      </c>
      <c r="AN253" s="30" t="s">
        <v>94</v>
      </c>
      <c r="AO253" s="30" t="s">
        <v>142</v>
      </c>
      <c r="AP253" s="30" t="s">
        <v>143</v>
      </c>
      <c r="AQ253" s="30" t="s">
        <v>232</v>
      </c>
      <c r="AR253" s="30" t="s">
        <v>691</v>
      </c>
      <c r="AT253" s="30" t="s">
        <v>99</v>
      </c>
      <c r="AU253" s="30" t="s">
        <v>146</v>
      </c>
      <c r="AV253" s="30" t="s">
        <v>839</v>
      </c>
      <c r="AW253" s="30" t="s">
        <v>102</v>
      </c>
      <c r="AX253" s="34" t="s">
        <v>338</v>
      </c>
      <c r="AY253" s="34" t="s">
        <v>103</v>
      </c>
      <c r="AZ253" s="34"/>
      <c r="BA253" s="34"/>
      <c r="BB253" s="34"/>
      <c r="BC253" s="34">
        <v>0</v>
      </c>
      <c r="BD253" s="34"/>
      <c r="BE253" s="34"/>
      <c r="BF253" s="34" t="b">
        <v>0</v>
      </c>
      <c r="BG253" s="34"/>
      <c r="BH253" s="34"/>
      <c r="BI253" s="34"/>
      <c r="BJ253" s="34"/>
      <c r="BK253" s="34"/>
      <c r="BL253" s="34"/>
      <c r="BM253" s="34" t="s">
        <v>168</v>
      </c>
      <c r="BN253" s="34"/>
      <c r="BO253" s="35"/>
      <c r="BP253" s="35"/>
      <c r="BQ253" s="35" t="s">
        <v>108</v>
      </c>
      <c r="BR253" s="36" t="e">
        <f>VLOOKUP(BQ253, Cat_Indicadores!B:C, 2, FALSE)</f>
        <v>#N/A</v>
      </c>
      <c r="BS253" s="35" t="s">
        <v>5592</v>
      </c>
      <c r="BT253" s="35"/>
    </row>
    <row r="254" spans="1:72">
      <c r="A254" s="29" t="s">
        <v>1104</v>
      </c>
      <c r="B254" s="30" t="s">
        <v>1105</v>
      </c>
      <c r="C254" s="31">
        <v>46246.450925925928</v>
      </c>
      <c r="D254" s="30">
        <v>92</v>
      </c>
      <c r="E254" s="30" t="s">
        <v>74</v>
      </c>
      <c r="F254" s="30" t="s">
        <v>75</v>
      </c>
      <c r="G254" s="30" t="s">
        <v>133</v>
      </c>
      <c r="H254" s="30" t="s">
        <v>77</v>
      </c>
      <c r="I254" s="30" t="s">
        <v>78</v>
      </c>
      <c r="J254" s="30" t="s">
        <v>79</v>
      </c>
      <c r="K254" s="32">
        <v>800</v>
      </c>
      <c r="L254" s="32" t="s">
        <v>80</v>
      </c>
      <c r="M254" s="30" t="s">
        <v>1106</v>
      </c>
      <c r="N254" s="30" t="s">
        <v>927</v>
      </c>
      <c r="O254" s="30" t="s">
        <v>83</v>
      </c>
      <c r="P254" s="33">
        <v>46224</v>
      </c>
      <c r="Q254" s="33">
        <v>46224</v>
      </c>
      <c r="R254" s="32">
        <v>1</v>
      </c>
      <c r="S254" s="30" t="s">
        <v>84</v>
      </c>
      <c r="T254" s="30" t="s">
        <v>117</v>
      </c>
      <c r="U254" s="30" t="s">
        <v>349</v>
      </c>
      <c r="V254" s="30" t="s">
        <v>87</v>
      </c>
      <c r="W254" s="30" t="s">
        <v>88</v>
      </c>
      <c r="X254" s="30" t="s">
        <v>197</v>
      </c>
      <c r="Y254" s="30" t="s">
        <v>1046</v>
      </c>
      <c r="AB254" s="30" t="b">
        <v>0</v>
      </c>
      <c r="AC254" s="30"/>
      <c r="AD254" s="30" t="b">
        <v>0</v>
      </c>
      <c r="AF254" s="30" t="b">
        <v>0</v>
      </c>
      <c r="AH254" s="32" t="s">
        <v>91</v>
      </c>
      <c r="AI254" s="32"/>
      <c r="AJ254" s="32"/>
      <c r="AK254" s="32"/>
      <c r="AL254" s="30" t="s">
        <v>92</v>
      </c>
      <c r="AM254" s="30" t="s">
        <v>93</v>
      </c>
      <c r="AN254" s="30" t="s">
        <v>94</v>
      </c>
      <c r="AO254" s="30" t="s">
        <v>142</v>
      </c>
      <c r="AP254" s="30" t="s">
        <v>143</v>
      </c>
      <c r="AQ254" s="30" t="s">
        <v>232</v>
      </c>
      <c r="AR254" s="30" t="s">
        <v>691</v>
      </c>
      <c r="AT254" s="30" t="s">
        <v>99</v>
      </c>
      <c r="AU254" s="30" t="s">
        <v>146</v>
      </c>
      <c r="AV254" s="30" t="s">
        <v>839</v>
      </c>
      <c r="AW254" s="30" t="s">
        <v>102</v>
      </c>
      <c r="AX254" s="34" t="s">
        <v>349</v>
      </c>
      <c r="AY254" s="34" t="s">
        <v>103</v>
      </c>
      <c r="AZ254" s="34"/>
      <c r="BA254" s="34"/>
      <c r="BB254" s="34"/>
      <c r="BC254" s="34">
        <v>0</v>
      </c>
      <c r="BD254" s="34"/>
      <c r="BE254" s="34"/>
      <c r="BF254" s="34" t="b">
        <v>0</v>
      </c>
      <c r="BG254" s="34"/>
      <c r="BH254" s="34"/>
      <c r="BI254" s="34"/>
      <c r="BJ254" s="34"/>
      <c r="BK254" s="34"/>
      <c r="BL254" s="34"/>
      <c r="BM254" s="34" t="s">
        <v>168</v>
      </c>
      <c r="BN254" s="34"/>
      <c r="BO254" s="35"/>
      <c r="BP254" s="35"/>
      <c r="BQ254" s="35" t="s">
        <v>108</v>
      </c>
      <c r="BR254" s="36" t="e">
        <f>VLOOKUP(BQ254, Cat_Indicadores!B:C, 2, FALSE)</f>
        <v>#N/A</v>
      </c>
      <c r="BS254" s="35" t="s">
        <v>5592</v>
      </c>
      <c r="BT254" s="35"/>
    </row>
    <row r="255" spans="1:72">
      <c r="A255" s="29" t="s">
        <v>1107</v>
      </c>
      <c r="B255" s="30" t="s">
        <v>1108</v>
      </c>
      <c r="C255" s="31">
        <v>46247.454201388886</v>
      </c>
      <c r="D255" s="30">
        <v>92</v>
      </c>
      <c r="E255" s="30" t="s">
        <v>74</v>
      </c>
      <c r="F255" s="30" t="s">
        <v>75</v>
      </c>
      <c r="G255" s="30" t="s">
        <v>133</v>
      </c>
      <c r="H255" s="30" t="s">
        <v>77</v>
      </c>
      <c r="I255" s="30" t="s">
        <v>78</v>
      </c>
      <c r="J255" s="30" t="s">
        <v>79</v>
      </c>
      <c r="K255" s="32">
        <v>800</v>
      </c>
      <c r="L255" s="32" t="s">
        <v>80</v>
      </c>
      <c r="M255" s="30" t="s">
        <v>1109</v>
      </c>
      <c r="N255" s="30" t="s">
        <v>919</v>
      </c>
      <c r="O255" s="30" t="s">
        <v>83</v>
      </c>
      <c r="P255" s="33">
        <v>46224</v>
      </c>
      <c r="Q255" s="33">
        <v>46224</v>
      </c>
      <c r="R255" s="32">
        <v>1</v>
      </c>
      <c r="S255" s="30" t="s">
        <v>84</v>
      </c>
      <c r="T255" s="30" t="s">
        <v>117</v>
      </c>
      <c r="U255" s="30" t="s">
        <v>349</v>
      </c>
      <c r="V255" s="30" t="s">
        <v>87</v>
      </c>
      <c r="W255" s="30" t="s">
        <v>88</v>
      </c>
      <c r="X255" s="30" t="s">
        <v>197</v>
      </c>
      <c r="Y255" s="30" t="s">
        <v>1046</v>
      </c>
      <c r="AB255" s="30" t="b">
        <v>0</v>
      </c>
      <c r="AC255" s="30"/>
      <c r="AD255" s="30" t="b">
        <v>0</v>
      </c>
      <c r="AF255" s="30" t="b">
        <v>0</v>
      </c>
      <c r="AH255" s="32" t="s">
        <v>91</v>
      </c>
      <c r="AI255" s="32"/>
      <c r="AJ255" s="32"/>
      <c r="AK255" s="32"/>
      <c r="AL255" s="30" t="s">
        <v>92</v>
      </c>
      <c r="AM255" s="30" t="s">
        <v>93</v>
      </c>
      <c r="AN255" s="30" t="s">
        <v>94</v>
      </c>
      <c r="AO255" s="30" t="s">
        <v>142</v>
      </c>
      <c r="AP255" s="30" t="s">
        <v>143</v>
      </c>
      <c r="AQ255" s="30" t="s">
        <v>232</v>
      </c>
      <c r="AR255" s="30" t="s">
        <v>691</v>
      </c>
      <c r="AT255" s="30" t="s">
        <v>99</v>
      </c>
      <c r="AU255" s="30" t="s">
        <v>146</v>
      </c>
      <c r="AV255" s="30" t="s">
        <v>839</v>
      </c>
      <c r="AW255" s="30" t="s">
        <v>102</v>
      </c>
      <c r="AX255" s="34" t="s">
        <v>349</v>
      </c>
      <c r="AY255" s="34" t="s">
        <v>103</v>
      </c>
      <c r="AZ255" s="34"/>
      <c r="BA255" s="34"/>
      <c r="BB255" s="34"/>
      <c r="BC255" s="34">
        <v>0</v>
      </c>
      <c r="BD255" s="34"/>
      <c r="BE255" s="34"/>
      <c r="BF255" s="34" t="b">
        <v>0</v>
      </c>
      <c r="BG255" s="34"/>
      <c r="BH255" s="34"/>
      <c r="BI255" s="34"/>
      <c r="BJ255" s="34"/>
      <c r="BK255" s="34"/>
      <c r="BL255" s="34"/>
      <c r="BM255" s="34" t="s">
        <v>168</v>
      </c>
      <c r="BN255" s="34"/>
      <c r="BO255" s="35"/>
      <c r="BP255" s="35"/>
      <c r="BQ255" s="35" t="s">
        <v>108</v>
      </c>
      <c r="BR255" s="36" t="e">
        <f>VLOOKUP(BQ255, Cat_Indicadores!B:C, 2, FALSE)</f>
        <v>#N/A</v>
      </c>
      <c r="BS255" s="35" t="s">
        <v>5592</v>
      </c>
      <c r="BT255" s="35"/>
    </row>
    <row r="256" spans="1:72">
      <c r="A256" s="29" t="s">
        <v>1110</v>
      </c>
      <c r="B256" s="30" t="s">
        <v>1111</v>
      </c>
      <c r="C256" s="31">
        <v>46247.460439814815</v>
      </c>
      <c r="D256" s="30">
        <v>92</v>
      </c>
      <c r="E256" s="30" t="s">
        <v>74</v>
      </c>
      <c r="F256" s="30" t="s">
        <v>75</v>
      </c>
      <c r="G256" s="30" t="s">
        <v>133</v>
      </c>
      <c r="H256" s="30" t="s">
        <v>77</v>
      </c>
      <c r="I256" s="30" t="s">
        <v>78</v>
      </c>
      <c r="J256" s="30" t="s">
        <v>79</v>
      </c>
      <c r="K256" s="32">
        <v>800</v>
      </c>
      <c r="L256" s="32" t="s">
        <v>80</v>
      </c>
      <c r="M256" s="30" t="s">
        <v>1087</v>
      </c>
      <c r="N256" s="30" t="s">
        <v>919</v>
      </c>
      <c r="O256" s="30" t="s">
        <v>83</v>
      </c>
      <c r="P256" s="33">
        <v>46230</v>
      </c>
      <c r="Q256" s="33">
        <v>46230</v>
      </c>
      <c r="R256" s="32">
        <v>1</v>
      </c>
      <c r="S256" s="30" t="s">
        <v>84</v>
      </c>
      <c r="T256" s="30" t="s">
        <v>117</v>
      </c>
      <c r="U256" s="30" t="s">
        <v>338</v>
      </c>
      <c r="V256" s="30" t="s">
        <v>87</v>
      </c>
      <c r="W256" s="30" t="s">
        <v>88</v>
      </c>
      <c r="X256" s="30" t="s">
        <v>197</v>
      </c>
      <c r="Y256" s="30" t="s">
        <v>1046</v>
      </c>
      <c r="AB256" s="30" t="b">
        <v>0</v>
      </c>
      <c r="AC256" s="30"/>
      <c r="AD256" s="30" t="b">
        <v>0</v>
      </c>
      <c r="AF256" s="30" t="b">
        <v>0</v>
      </c>
      <c r="AH256" s="32" t="s">
        <v>91</v>
      </c>
      <c r="AI256" s="32"/>
      <c r="AJ256" s="32"/>
      <c r="AK256" s="32"/>
      <c r="AL256" s="30" t="s">
        <v>92</v>
      </c>
      <c r="AM256" s="30" t="s">
        <v>93</v>
      </c>
      <c r="AN256" s="30" t="s">
        <v>94</v>
      </c>
      <c r="AO256" s="30" t="s">
        <v>142</v>
      </c>
      <c r="AP256" s="30" t="s">
        <v>143</v>
      </c>
      <c r="AQ256" s="30" t="s">
        <v>232</v>
      </c>
      <c r="AR256" s="30" t="s">
        <v>691</v>
      </c>
      <c r="AT256" s="30" t="s">
        <v>99</v>
      </c>
      <c r="AU256" s="30" t="s">
        <v>146</v>
      </c>
      <c r="AV256" s="30" t="s">
        <v>839</v>
      </c>
      <c r="AW256" s="30" t="s">
        <v>102</v>
      </c>
      <c r="AX256" s="34" t="s">
        <v>349</v>
      </c>
      <c r="AY256" s="34" t="s">
        <v>103</v>
      </c>
      <c r="AZ256" s="34"/>
      <c r="BA256" s="34"/>
      <c r="BB256" s="34"/>
      <c r="BC256" s="34">
        <v>0</v>
      </c>
      <c r="BD256" s="34"/>
      <c r="BE256" s="34"/>
      <c r="BF256" s="34" t="b">
        <v>0</v>
      </c>
      <c r="BG256" s="34"/>
      <c r="BH256" s="34"/>
      <c r="BI256" s="34"/>
      <c r="BJ256" s="34"/>
      <c r="BK256" s="34"/>
      <c r="BL256" s="34"/>
      <c r="BM256" s="34" t="s">
        <v>168</v>
      </c>
      <c r="BN256" s="34"/>
      <c r="BO256" s="35"/>
      <c r="BP256" s="35"/>
      <c r="BQ256" s="35" t="s">
        <v>108</v>
      </c>
      <c r="BR256" s="36" t="e">
        <f>VLOOKUP(BQ256, Cat_Indicadores!B:C, 2, FALSE)</f>
        <v>#N/A</v>
      </c>
      <c r="BS256" s="35" t="s">
        <v>5592</v>
      </c>
      <c r="BT256" s="35"/>
    </row>
    <row r="257" spans="1:72">
      <c r="A257" s="29" t="s">
        <v>1112</v>
      </c>
      <c r="B257" s="30" t="s">
        <v>1113</v>
      </c>
      <c r="C257" s="31">
        <v>46247.521736111114</v>
      </c>
      <c r="D257" s="30">
        <v>92</v>
      </c>
      <c r="E257" s="30" t="s">
        <v>74</v>
      </c>
      <c r="F257" s="30" t="s">
        <v>75</v>
      </c>
      <c r="G257" s="30" t="s">
        <v>133</v>
      </c>
      <c r="H257" s="30" t="s">
        <v>77</v>
      </c>
      <c r="I257" s="30" t="s">
        <v>78</v>
      </c>
      <c r="J257" s="30" t="s">
        <v>79</v>
      </c>
      <c r="K257" s="32">
        <v>800</v>
      </c>
      <c r="L257" s="32" t="s">
        <v>80</v>
      </c>
      <c r="M257" s="30" t="s">
        <v>1114</v>
      </c>
      <c r="N257" s="30" t="s">
        <v>927</v>
      </c>
      <c r="O257" s="30" t="s">
        <v>83</v>
      </c>
      <c r="P257" s="33">
        <v>46247</v>
      </c>
      <c r="Q257" s="33">
        <v>46247</v>
      </c>
      <c r="R257" s="32">
        <v>1</v>
      </c>
      <c r="S257" s="30" t="s">
        <v>84</v>
      </c>
      <c r="T257" s="30" t="s">
        <v>117</v>
      </c>
      <c r="U257" s="30" t="s">
        <v>349</v>
      </c>
      <c r="V257" s="30" t="s">
        <v>87</v>
      </c>
      <c r="W257" s="30" t="s">
        <v>88</v>
      </c>
      <c r="X257" s="30" t="s">
        <v>197</v>
      </c>
      <c r="Y257" s="30" t="s">
        <v>1046</v>
      </c>
      <c r="AB257" s="30" t="b">
        <v>0</v>
      </c>
      <c r="AC257" s="30"/>
      <c r="AD257" s="30" t="b">
        <v>0</v>
      </c>
      <c r="AF257" s="30" t="b">
        <v>0</v>
      </c>
      <c r="AH257" s="32" t="s">
        <v>91</v>
      </c>
      <c r="AI257" s="32"/>
      <c r="AJ257" s="32"/>
      <c r="AK257" s="32"/>
      <c r="AL257" s="30" t="s">
        <v>92</v>
      </c>
      <c r="AM257" s="30" t="s">
        <v>93</v>
      </c>
      <c r="AN257" s="30" t="s">
        <v>94</v>
      </c>
      <c r="AO257" s="30" t="s">
        <v>142</v>
      </c>
      <c r="AP257" s="30" t="s">
        <v>143</v>
      </c>
      <c r="AQ257" s="30" t="s">
        <v>232</v>
      </c>
      <c r="AR257" s="30" t="s">
        <v>691</v>
      </c>
      <c r="AT257" s="30" t="s">
        <v>99</v>
      </c>
      <c r="AU257" s="30" t="s">
        <v>146</v>
      </c>
      <c r="AV257" s="30" t="s">
        <v>839</v>
      </c>
      <c r="AW257" s="30" t="s">
        <v>102</v>
      </c>
      <c r="AX257" s="34" t="s">
        <v>349</v>
      </c>
      <c r="AY257" s="34" t="s">
        <v>103</v>
      </c>
      <c r="AZ257" s="34"/>
      <c r="BA257" s="34"/>
      <c r="BB257" s="34"/>
      <c r="BC257" s="34">
        <v>0</v>
      </c>
      <c r="BD257" s="34"/>
      <c r="BE257" s="34"/>
      <c r="BF257" s="34" t="b">
        <v>0</v>
      </c>
      <c r="BG257" s="34"/>
      <c r="BH257" s="34"/>
      <c r="BI257" s="34"/>
      <c r="BJ257" s="34"/>
      <c r="BK257" s="34"/>
      <c r="BL257" s="34"/>
      <c r="BM257" s="34" t="s">
        <v>168</v>
      </c>
      <c r="BN257" s="34"/>
      <c r="BO257" s="35"/>
      <c r="BP257" s="35"/>
      <c r="BQ257" s="35" t="s">
        <v>108</v>
      </c>
      <c r="BR257" s="36" t="e">
        <f>VLOOKUP(BQ257, Cat_Indicadores!B:C, 2, FALSE)</f>
        <v>#N/A</v>
      </c>
      <c r="BS257" s="35" t="s">
        <v>5592</v>
      </c>
      <c r="BT257" s="35"/>
    </row>
    <row r="258" spans="1:72">
      <c r="A258" s="29" t="s">
        <v>1115</v>
      </c>
      <c r="B258" s="30" t="s">
        <v>1116</v>
      </c>
      <c r="C258" s="31">
        <v>46247.527372685188</v>
      </c>
      <c r="D258" s="30">
        <v>92</v>
      </c>
      <c r="E258" s="30" t="s">
        <v>74</v>
      </c>
      <c r="F258" s="30" t="s">
        <v>75</v>
      </c>
      <c r="G258" s="30" t="s">
        <v>133</v>
      </c>
      <c r="H258" s="30" t="s">
        <v>77</v>
      </c>
      <c r="I258" s="30" t="s">
        <v>78</v>
      </c>
      <c r="J258" s="30" t="s">
        <v>79</v>
      </c>
      <c r="K258" s="32">
        <v>800</v>
      </c>
      <c r="L258" s="32" t="s">
        <v>80</v>
      </c>
      <c r="M258" s="30" t="s">
        <v>673</v>
      </c>
      <c r="N258" s="30" t="s">
        <v>1117</v>
      </c>
      <c r="O258" s="30" t="s">
        <v>83</v>
      </c>
      <c r="P258" s="33">
        <v>46225</v>
      </c>
      <c r="Q258" s="33">
        <v>46225</v>
      </c>
      <c r="R258" s="32">
        <v>1</v>
      </c>
      <c r="S258" s="30" t="s">
        <v>84</v>
      </c>
      <c r="T258" s="30" t="s">
        <v>117</v>
      </c>
      <c r="U258" s="30" t="s">
        <v>338</v>
      </c>
      <c r="V258" s="30" t="s">
        <v>87</v>
      </c>
      <c r="W258" s="30" t="s">
        <v>88</v>
      </c>
      <c r="X258" s="30" t="s">
        <v>197</v>
      </c>
      <c r="Y258" s="30" t="s">
        <v>1046</v>
      </c>
      <c r="AB258" s="30" t="b">
        <v>0</v>
      </c>
      <c r="AC258" s="30"/>
      <c r="AD258" s="30" t="b">
        <v>0</v>
      </c>
      <c r="AF258" s="30" t="b">
        <v>0</v>
      </c>
      <c r="AH258" s="32" t="s">
        <v>91</v>
      </c>
      <c r="AI258" s="32"/>
      <c r="AJ258" s="32"/>
      <c r="AK258" s="32"/>
      <c r="AL258" s="30" t="s">
        <v>92</v>
      </c>
      <c r="AM258" s="30" t="s">
        <v>93</v>
      </c>
      <c r="AN258" s="30" t="s">
        <v>94</v>
      </c>
      <c r="AO258" s="30" t="s">
        <v>142</v>
      </c>
      <c r="AP258" s="30" t="s">
        <v>143</v>
      </c>
      <c r="AQ258" s="30" t="s">
        <v>232</v>
      </c>
      <c r="AR258" s="30" t="s">
        <v>691</v>
      </c>
      <c r="AT258" s="30" t="s">
        <v>99</v>
      </c>
      <c r="AU258" s="30" t="s">
        <v>146</v>
      </c>
      <c r="AV258" s="30" t="s">
        <v>839</v>
      </c>
      <c r="AW258" s="30" t="s">
        <v>102</v>
      </c>
      <c r="AX258" s="34" t="s">
        <v>338</v>
      </c>
      <c r="AY258" s="34" t="s">
        <v>103</v>
      </c>
      <c r="AZ258" s="34"/>
      <c r="BA258" s="34"/>
      <c r="BB258" s="34"/>
      <c r="BC258" s="34">
        <v>0</v>
      </c>
      <c r="BD258" s="34"/>
      <c r="BE258" s="34"/>
      <c r="BF258" s="34" t="b">
        <v>0</v>
      </c>
      <c r="BG258" s="34"/>
      <c r="BH258" s="34"/>
      <c r="BI258" s="34"/>
      <c r="BJ258" s="34"/>
      <c r="BK258" s="34"/>
      <c r="BL258" s="34"/>
      <c r="BM258" s="34" t="s">
        <v>168</v>
      </c>
      <c r="BN258" s="34"/>
      <c r="BO258" s="35"/>
      <c r="BP258" s="35"/>
      <c r="BQ258" s="35" t="s">
        <v>108</v>
      </c>
      <c r="BR258" s="36" t="e">
        <f>VLOOKUP(BQ258, Cat_Indicadores!B:C, 2, FALSE)</f>
        <v>#N/A</v>
      </c>
      <c r="BS258" s="35" t="s">
        <v>5592</v>
      </c>
      <c r="BT258" s="35"/>
    </row>
    <row r="259" spans="1:72">
      <c r="A259" s="29" t="s">
        <v>1118</v>
      </c>
      <c r="B259" s="30" t="s">
        <v>1119</v>
      </c>
      <c r="C259" s="31">
        <v>46247.620335648149</v>
      </c>
      <c r="D259" s="30">
        <v>92</v>
      </c>
      <c r="E259" s="30" t="s">
        <v>74</v>
      </c>
      <c r="F259" s="30" t="s">
        <v>75</v>
      </c>
      <c r="G259" s="30" t="s">
        <v>133</v>
      </c>
      <c r="H259" s="30" t="s">
        <v>77</v>
      </c>
      <c r="I259" s="30" t="s">
        <v>78</v>
      </c>
      <c r="J259" s="30" t="s">
        <v>79</v>
      </c>
      <c r="K259" s="32">
        <v>800</v>
      </c>
      <c r="L259" s="32" t="s">
        <v>80</v>
      </c>
      <c r="M259" s="30" t="s">
        <v>673</v>
      </c>
      <c r="N259" s="30" t="s">
        <v>919</v>
      </c>
      <c r="O259" s="30" t="s">
        <v>83</v>
      </c>
      <c r="P259" s="33">
        <v>46247</v>
      </c>
      <c r="Q259" s="33">
        <v>46247</v>
      </c>
      <c r="R259" s="32">
        <v>1</v>
      </c>
      <c r="S259" s="30" t="s">
        <v>84</v>
      </c>
      <c r="T259" s="30" t="s">
        <v>117</v>
      </c>
      <c r="U259" s="30" t="s">
        <v>338</v>
      </c>
      <c r="V259" s="30" t="s">
        <v>87</v>
      </c>
      <c r="W259" s="30" t="s">
        <v>88</v>
      </c>
      <c r="X259" s="30" t="s">
        <v>197</v>
      </c>
      <c r="Y259" s="30" t="s">
        <v>1046</v>
      </c>
      <c r="AB259" s="30" t="b">
        <v>0</v>
      </c>
      <c r="AC259" s="30"/>
      <c r="AD259" s="30" t="b">
        <v>0</v>
      </c>
      <c r="AF259" s="30" t="b">
        <v>0</v>
      </c>
      <c r="AH259" s="32" t="s">
        <v>91</v>
      </c>
      <c r="AI259" s="32"/>
      <c r="AJ259" s="32"/>
      <c r="AK259" s="32"/>
      <c r="AL259" s="30" t="s">
        <v>92</v>
      </c>
      <c r="AM259" s="30" t="s">
        <v>93</v>
      </c>
      <c r="AN259" s="30" t="s">
        <v>94</v>
      </c>
      <c r="AO259" s="30" t="s">
        <v>142</v>
      </c>
      <c r="AP259" s="30" t="s">
        <v>143</v>
      </c>
      <c r="AQ259" s="30" t="s">
        <v>232</v>
      </c>
      <c r="AR259" s="30" t="s">
        <v>691</v>
      </c>
      <c r="AT259" s="30" t="s">
        <v>99</v>
      </c>
      <c r="AU259" s="30" t="s">
        <v>146</v>
      </c>
      <c r="AV259" s="30" t="s">
        <v>839</v>
      </c>
      <c r="AW259" s="30" t="s">
        <v>102</v>
      </c>
      <c r="AX259" s="34" t="s">
        <v>338</v>
      </c>
      <c r="AY259" s="34" t="s">
        <v>103</v>
      </c>
      <c r="AZ259" s="34"/>
      <c r="BA259" s="34"/>
      <c r="BB259" s="34"/>
      <c r="BC259" s="34">
        <v>0</v>
      </c>
      <c r="BD259" s="34"/>
      <c r="BE259" s="34"/>
      <c r="BF259" s="34" t="b">
        <v>0</v>
      </c>
      <c r="BG259" s="34"/>
      <c r="BH259" s="34"/>
      <c r="BI259" s="34"/>
      <c r="BJ259" s="34"/>
      <c r="BK259" s="34"/>
      <c r="BL259" s="34"/>
      <c r="BM259" s="34" t="s">
        <v>168</v>
      </c>
      <c r="BN259" s="34"/>
      <c r="BO259" s="35"/>
      <c r="BP259" s="35"/>
      <c r="BQ259" s="35" t="s">
        <v>108</v>
      </c>
      <c r="BR259" s="36" t="e">
        <f>VLOOKUP(BQ259, Cat_Indicadores!B:C, 2, FALSE)</f>
        <v>#N/A</v>
      </c>
      <c r="BS259" s="35" t="s">
        <v>5592</v>
      </c>
      <c r="BT259" s="35"/>
    </row>
    <row r="260" spans="1:72">
      <c r="A260" s="29" t="s">
        <v>1120</v>
      </c>
      <c r="B260" s="30" t="s">
        <v>1121</v>
      </c>
      <c r="C260" s="31">
        <v>46247.653634259259</v>
      </c>
      <c r="D260" s="30">
        <v>92</v>
      </c>
      <c r="E260" s="30" t="s">
        <v>74</v>
      </c>
      <c r="F260" s="30" t="s">
        <v>75</v>
      </c>
      <c r="G260" s="30" t="s">
        <v>133</v>
      </c>
      <c r="H260" s="30" t="s">
        <v>77</v>
      </c>
      <c r="I260" s="30" t="s">
        <v>78</v>
      </c>
      <c r="J260" s="30" t="s">
        <v>79</v>
      </c>
      <c r="K260" s="32">
        <v>800</v>
      </c>
      <c r="L260" s="32" t="s">
        <v>80</v>
      </c>
      <c r="M260" s="30" t="s">
        <v>1087</v>
      </c>
      <c r="N260" s="30" t="s">
        <v>927</v>
      </c>
      <c r="O260" s="30" t="s">
        <v>83</v>
      </c>
      <c r="P260" s="33">
        <v>46226</v>
      </c>
      <c r="Q260" s="33">
        <v>46226</v>
      </c>
      <c r="R260" s="32">
        <v>1</v>
      </c>
      <c r="S260" s="30" t="s">
        <v>84</v>
      </c>
      <c r="T260" s="30" t="s">
        <v>117</v>
      </c>
      <c r="U260" s="30" t="s">
        <v>338</v>
      </c>
      <c r="V260" s="30" t="s">
        <v>87</v>
      </c>
      <c r="W260" s="30" t="s">
        <v>88</v>
      </c>
      <c r="X260" s="30" t="s">
        <v>197</v>
      </c>
      <c r="Y260" s="30" t="s">
        <v>1046</v>
      </c>
      <c r="AB260" s="30" t="b">
        <v>0</v>
      </c>
      <c r="AC260" s="30"/>
      <c r="AD260" s="30" t="b">
        <v>0</v>
      </c>
      <c r="AF260" s="30" t="b">
        <v>0</v>
      </c>
      <c r="AH260" s="32" t="s">
        <v>91</v>
      </c>
      <c r="AI260" s="32"/>
      <c r="AJ260" s="32"/>
      <c r="AK260" s="32"/>
      <c r="AL260" s="30" t="s">
        <v>92</v>
      </c>
      <c r="AM260" s="30" t="s">
        <v>93</v>
      </c>
      <c r="AN260" s="30" t="s">
        <v>94</v>
      </c>
      <c r="AO260" s="30" t="s">
        <v>142</v>
      </c>
      <c r="AP260" s="30" t="s">
        <v>143</v>
      </c>
      <c r="AQ260" s="30" t="s">
        <v>232</v>
      </c>
      <c r="AR260" s="30" t="s">
        <v>691</v>
      </c>
      <c r="AT260" s="30" t="s">
        <v>99</v>
      </c>
      <c r="AU260" s="30" t="s">
        <v>146</v>
      </c>
      <c r="AV260" s="30" t="s">
        <v>839</v>
      </c>
      <c r="AW260" s="30" t="s">
        <v>102</v>
      </c>
      <c r="AX260" s="34" t="s">
        <v>338</v>
      </c>
      <c r="AY260" s="34" t="s">
        <v>103</v>
      </c>
      <c r="AZ260" s="34"/>
      <c r="BA260" s="34"/>
      <c r="BB260" s="34"/>
      <c r="BC260" s="34">
        <v>0</v>
      </c>
      <c r="BD260" s="34"/>
      <c r="BE260" s="34"/>
      <c r="BF260" s="34" t="b">
        <v>0</v>
      </c>
      <c r="BG260" s="34"/>
      <c r="BH260" s="34"/>
      <c r="BI260" s="34"/>
      <c r="BJ260" s="34"/>
      <c r="BK260" s="34"/>
      <c r="BL260" s="34"/>
      <c r="BM260" s="34" t="s">
        <v>168</v>
      </c>
      <c r="BN260" s="34"/>
      <c r="BO260" s="35"/>
      <c r="BP260" s="35"/>
      <c r="BQ260" s="35" t="s">
        <v>108</v>
      </c>
      <c r="BR260" s="36" t="e">
        <f>VLOOKUP(BQ260, Cat_Indicadores!B:C, 2, FALSE)</f>
        <v>#N/A</v>
      </c>
      <c r="BS260" s="35" t="s">
        <v>5592</v>
      </c>
      <c r="BT260" s="35"/>
    </row>
    <row r="261" spans="1:72">
      <c r="A261" s="29" t="s">
        <v>1122</v>
      </c>
      <c r="B261" s="30" t="s">
        <v>1123</v>
      </c>
      <c r="C261" s="31">
        <v>46247.673217592594</v>
      </c>
      <c r="D261" s="30">
        <v>92</v>
      </c>
      <c r="E261" s="30" t="s">
        <v>74</v>
      </c>
      <c r="F261" s="30" t="s">
        <v>75</v>
      </c>
      <c r="G261" s="30" t="s">
        <v>133</v>
      </c>
      <c r="H261" s="30" t="s">
        <v>77</v>
      </c>
      <c r="I261" s="30" t="s">
        <v>78</v>
      </c>
      <c r="J261" s="30" t="s">
        <v>79</v>
      </c>
      <c r="K261" s="32">
        <v>800</v>
      </c>
      <c r="L261" s="32" t="s">
        <v>80</v>
      </c>
      <c r="M261" s="30" t="s">
        <v>1087</v>
      </c>
      <c r="N261" s="30" t="s">
        <v>927</v>
      </c>
      <c r="O261" s="30" t="s">
        <v>83</v>
      </c>
      <c r="P261" s="33">
        <v>46226</v>
      </c>
      <c r="Q261" s="33">
        <v>46226</v>
      </c>
      <c r="R261" s="32">
        <v>1</v>
      </c>
      <c r="S261" s="30" t="s">
        <v>84</v>
      </c>
      <c r="T261" s="30" t="s">
        <v>117</v>
      </c>
      <c r="U261" s="30" t="s">
        <v>338</v>
      </c>
      <c r="V261" s="30" t="s">
        <v>87</v>
      </c>
      <c r="W261" s="30" t="s">
        <v>88</v>
      </c>
      <c r="X261" s="30" t="s">
        <v>197</v>
      </c>
      <c r="Y261" s="30" t="s">
        <v>1046</v>
      </c>
      <c r="AB261" s="30" t="b">
        <v>0</v>
      </c>
      <c r="AC261" s="30"/>
      <c r="AD261" s="30" t="b">
        <v>0</v>
      </c>
      <c r="AF261" s="30" t="b">
        <v>0</v>
      </c>
      <c r="AH261" s="32" t="s">
        <v>91</v>
      </c>
      <c r="AI261" s="32"/>
      <c r="AJ261" s="32"/>
      <c r="AK261" s="32"/>
      <c r="AL261" s="30" t="s">
        <v>92</v>
      </c>
      <c r="AM261" s="30" t="s">
        <v>93</v>
      </c>
      <c r="AN261" s="30" t="s">
        <v>94</v>
      </c>
      <c r="AO261" s="30" t="s">
        <v>142</v>
      </c>
      <c r="AP261" s="30" t="s">
        <v>143</v>
      </c>
      <c r="AQ261" s="30" t="s">
        <v>232</v>
      </c>
      <c r="AR261" s="30" t="s">
        <v>691</v>
      </c>
      <c r="AT261" s="30" t="s">
        <v>99</v>
      </c>
      <c r="AU261" s="30" t="s">
        <v>146</v>
      </c>
      <c r="AV261" s="30" t="s">
        <v>839</v>
      </c>
      <c r="AW261" s="30" t="s">
        <v>102</v>
      </c>
      <c r="AX261" s="34" t="s">
        <v>338</v>
      </c>
      <c r="AY261" s="34" t="s">
        <v>103</v>
      </c>
      <c r="AZ261" s="34"/>
      <c r="BA261" s="34"/>
      <c r="BB261" s="34"/>
      <c r="BC261" s="34">
        <v>0</v>
      </c>
      <c r="BD261" s="34"/>
      <c r="BE261" s="34"/>
      <c r="BF261" s="34" t="b">
        <v>0</v>
      </c>
      <c r="BG261" s="34"/>
      <c r="BH261" s="34"/>
      <c r="BI261" s="34"/>
      <c r="BJ261" s="34"/>
      <c r="BK261" s="34"/>
      <c r="BL261" s="34"/>
      <c r="BM261" s="34" t="s">
        <v>168</v>
      </c>
      <c r="BN261" s="34"/>
      <c r="BO261" s="35"/>
      <c r="BP261" s="35"/>
      <c r="BQ261" s="35" t="s">
        <v>108</v>
      </c>
      <c r="BR261" s="36" t="e">
        <f>VLOOKUP(BQ261, Cat_Indicadores!B:C, 2, FALSE)</f>
        <v>#N/A</v>
      </c>
      <c r="BS261" s="35" t="s">
        <v>5592</v>
      </c>
      <c r="BT261" s="35"/>
    </row>
    <row r="262" spans="1:72">
      <c r="A262" s="29" t="s">
        <v>1124</v>
      </c>
      <c r="B262" s="30" t="s">
        <v>1125</v>
      </c>
      <c r="C262" s="31">
        <v>46248.421168981484</v>
      </c>
      <c r="D262" s="30">
        <v>92</v>
      </c>
      <c r="E262" s="30" t="s">
        <v>74</v>
      </c>
      <c r="F262" s="30" t="s">
        <v>75</v>
      </c>
      <c r="G262" s="30" t="s">
        <v>133</v>
      </c>
      <c r="H262" s="30" t="s">
        <v>77</v>
      </c>
      <c r="I262" s="30" t="s">
        <v>78</v>
      </c>
      <c r="J262" s="30" t="s">
        <v>79</v>
      </c>
      <c r="K262" s="32">
        <v>800</v>
      </c>
      <c r="L262" s="32" t="s">
        <v>80</v>
      </c>
      <c r="M262" s="30" t="s">
        <v>1126</v>
      </c>
      <c r="N262" s="30" t="s">
        <v>927</v>
      </c>
      <c r="O262" s="30" t="s">
        <v>83</v>
      </c>
      <c r="P262" s="33">
        <v>46226</v>
      </c>
      <c r="Q262" s="33">
        <v>46226</v>
      </c>
      <c r="R262" s="32">
        <v>1</v>
      </c>
      <c r="S262" s="30" t="s">
        <v>84</v>
      </c>
      <c r="T262" s="30" t="s">
        <v>117</v>
      </c>
      <c r="U262" s="30" t="s">
        <v>349</v>
      </c>
      <c r="V262" s="30" t="s">
        <v>87</v>
      </c>
      <c r="W262" s="30" t="s">
        <v>88</v>
      </c>
      <c r="X262" s="30" t="s">
        <v>197</v>
      </c>
      <c r="Y262" s="30" t="s">
        <v>1046</v>
      </c>
      <c r="AB262" s="30" t="b">
        <v>0</v>
      </c>
      <c r="AC262" s="30"/>
      <c r="AD262" s="30" t="b">
        <v>0</v>
      </c>
      <c r="AF262" s="30" t="b">
        <v>0</v>
      </c>
      <c r="AH262" s="32" t="s">
        <v>91</v>
      </c>
      <c r="AI262" s="32"/>
      <c r="AJ262" s="32"/>
      <c r="AK262" s="32"/>
      <c r="AL262" s="30" t="s">
        <v>92</v>
      </c>
      <c r="AM262" s="30" t="s">
        <v>93</v>
      </c>
      <c r="AN262" s="30" t="s">
        <v>94</v>
      </c>
      <c r="AO262" s="30" t="s">
        <v>142</v>
      </c>
      <c r="AP262" s="30" t="s">
        <v>143</v>
      </c>
      <c r="AQ262" s="30" t="s">
        <v>232</v>
      </c>
      <c r="AR262" s="30" t="s">
        <v>691</v>
      </c>
      <c r="AT262" s="30" t="s">
        <v>99</v>
      </c>
      <c r="AU262" s="30" t="s">
        <v>146</v>
      </c>
      <c r="AV262" s="30" t="s">
        <v>839</v>
      </c>
      <c r="AW262" s="30" t="s">
        <v>102</v>
      </c>
      <c r="AX262" s="34" t="s">
        <v>349</v>
      </c>
      <c r="AY262" s="34" t="s">
        <v>103</v>
      </c>
      <c r="AZ262" s="34"/>
      <c r="BA262" s="34"/>
      <c r="BB262" s="34"/>
      <c r="BC262" s="34">
        <v>0</v>
      </c>
      <c r="BD262" s="34"/>
      <c r="BE262" s="34"/>
      <c r="BF262" s="34" t="b">
        <v>0</v>
      </c>
      <c r="BG262" s="34"/>
      <c r="BH262" s="34"/>
      <c r="BI262" s="34"/>
      <c r="BJ262" s="34"/>
      <c r="BK262" s="34"/>
      <c r="BL262" s="34"/>
      <c r="BM262" s="34" t="s">
        <v>168</v>
      </c>
      <c r="BN262" s="34"/>
      <c r="BO262" s="35"/>
      <c r="BP262" s="35"/>
      <c r="BQ262" s="35" t="s">
        <v>108</v>
      </c>
      <c r="BR262" s="36" t="e">
        <f>VLOOKUP(BQ262, Cat_Indicadores!B:C, 2, FALSE)</f>
        <v>#N/A</v>
      </c>
      <c r="BS262" s="35" t="s">
        <v>5592</v>
      </c>
      <c r="BT262" s="35"/>
    </row>
    <row r="263" spans="1:72">
      <c r="A263" s="29" t="s">
        <v>1127</v>
      </c>
      <c r="B263" s="30" t="s">
        <v>1128</v>
      </c>
      <c r="C263" s="31">
        <v>46248.454432870371</v>
      </c>
      <c r="D263" s="30">
        <v>92</v>
      </c>
      <c r="E263" s="30" t="s">
        <v>74</v>
      </c>
      <c r="F263" s="30" t="s">
        <v>75</v>
      </c>
      <c r="G263" s="30" t="s">
        <v>133</v>
      </c>
      <c r="H263" s="30" t="s">
        <v>77</v>
      </c>
      <c r="I263" s="30" t="s">
        <v>78</v>
      </c>
      <c r="J263" s="30" t="s">
        <v>79</v>
      </c>
      <c r="K263" s="32">
        <v>800</v>
      </c>
      <c r="L263" s="32" t="s">
        <v>80</v>
      </c>
      <c r="M263" s="30" t="s">
        <v>1126</v>
      </c>
      <c r="N263" s="30" t="s">
        <v>927</v>
      </c>
      <c r="O263" s="30" t="s">
        <v>83</v>
      </c>
      <c r="P263" s="33">
        <v>46248</v>
      </c>
      <c r="Q263" s="33">
        <v>46248</v>
      </c>
      <c r="R263" s="32">
        <v>1</v>
      </c>
      <c r="S263" s="30" t="s">
        <v>84</v>
      </c>
      <c r="T263" s="30" t="s">
        <v>117</v>
      </c>
      <c r="U263" s="30" t="s">
        <v>349</v>
      </c>
      <c r="V263" s="30" t="s">
        <v>87</v>
      </c>
      <c r="W263" s="30" t="s">
        <v>88</v>
      </c>
      <c r="X263" s="30" t="s">
        <v>197</v>
      </c>
      <c r="Y263" s="30" t="s">
        <v>1046</v>
      </c>
      <c r="AB263" s="30" t="b">
        <v>0</v>
      </c>
      <c r="AC263" s="30"/>
      <c r="AD263" s="30" t="b">
        <v>0</v>
      </c>
      <c r="AF263" s="30" t="b">
        <v>0</v>
      </c>
      <c r="AH263" s="32" t="s">
        <v>91</v>
      </c>
      <c r="AI263" s="32"/>
      <c r="AJ263" s="32"/>
      <c r="AK263" s="32"/>
      <c r="AL263" s="30" t="s">
        <v>92</v>
      </c>
      <c r="AM263" s="30" t="s">
        <v>93</v>
      </c>
      <c r="AN263" s="30" t="s">
        <v>94</v>
      </c>
      <c r="AO263" s="30" t="s">
        <v>142</v>
      </c>
      <c r="AP263" s="30" t="s">
        <v>143</v>
      </c>
      <c r="AQ263" s="30" t="s">
        <v>232</v>
      </c>
      <c r="AR263" s="30" t="s">
        <v>691</v>
      </c>
      <c r="AT263" s="30" t="s">
        <v>99</v>
      </c>
      <c r="AU263" s="30" t="s">
        <v>146</v>
      </c>
      <c r="AV263" s="30" t="s">
        <v>839</v>
      </c>
      <c r="AW263" s="30" t="s">
        <v>102</v>
      </c>
      <c r="AX263" s="34" t="s">
        <v>349</v>
      </c>
      <c r="AY263" s="34" t="s">
        <v>103</v>
      </c>
      <c r="AZ263" s="34"/>
      <c r="BA263" s="34"/>
      <c r="BB263" s="34"/>
      <c r="BC263" s="34">
        <v>0</v>
      </c>
      <c r="BD263" s="34"/>
      <c r="BE263" s="34"/>
      <c r="BF263" s="34" t="b">
        <v>0</v>
      </c>
      <c r="BG263" s="34"/>
      <c r="BH263" s="34"/>
      <c r="BI263" s="34"/>
      <c r="BJ263" s="34"/>
      <c r="BK263" s="34"/>
      <c r="BL263" s="34"/>
      <c r="BM263" s="34" t="s">
        <v>168</v>
      </c>
      <c r="BN263" s="34"/>
      <c r="BO263" s="35"/>
      <c r="BP263" s="35"/>
      <c r="BQ263" s="35" t="s">
        <v>108</v>
      </c>
      <c r="BR263" s="36" t="e">
        <f>VLOOKUP(BQ263, Cat_Indicadores!B:C, 2, FALSE)</f>
        <v>#N/A</v>
      </c>
      <c r="BS263" s="35" t="s">
        <v>5592</v>
      </c>
      <c r="BT263" s="35"/>
    </row>
    <row r="264" spans="1:72">
      <c r="A264" s="29" t="s">
        <v>1129</v>
      </c>
      <c r="B264" s="30" t="s">
        <v>1130</v>
      </c>
      <c r="C264" s="31">
        <v>46251.508506944447</v>
      </c>
      <c r="D264" s="30">
        <v>92</v>
      </c>
      <c r="E264" s="30" t="s">
        <v>74</v>
      </c>
      <c r="F264" s="30" t="s">
        <v>75</v>
      </c>
      <c r="G264" s="30" t="s">
        <v>133</v>
      </c>
      <c r="H264" s="30" t="s">
        <v>77</v>
      </c>
      <c r="I264" s="30" t="s">
        <v>78</v>
      </c>
      <c r="J264" s="30" t="s">
        <v>79</v>
      </c>
      <c r="K264" s="32">
        <v>800</v>
      </c>
      <c r="L264" s="32" t="s">
        <v>80</v>
      </c>
      <c r="M264" s="30" t="s">
        <v>1131</v>
      </c>
      <c r="N264" s="30" t="s">
        <v>919</v>
      </c>
      <c r="O264" s="30" t="s">
        <v>83</v>
      </c>
      <c r="P264" s="33">
        <v>46226</v>
      </c>
      <c r="Q264" s="33">
        <v>46226</v>
      </c>
      <c r="R264" s="32">
        <v>1</v>
      </c>
      <c r="S264" s="30" t="s">
        <v>84</v>
      </c>
      <c r="T264" s="30" t="s">
        <v>117</v>
      </c>
      <c r="U264" s="30" t="s">
        <v>349</v>
      </c>
      <c r="V264" s="30" t="s">
        <v>87</v>
      </c>
      <c r="W264" s="30" t="s">
        <v>88</v>
      </c>
      <c r="X264" s="30" t="s">
        <v>197</v>
      </c>
      <c r="Y264" s="30" t="s">
        <v>1046</v>
      </c>
      <c r="AB264" s="30" t="b">
        <v>0</v>
      </c>
      <c r="AC264" s="30"/>
      <c r="AD264" s="30" t="b">
        <v>0</v>
      </c>
      <c r="AF264" s="30" t="b">
        <v>0</v>
      </c>
      <c r="AH264" s="32" t="s">
        <v>91</v>
      </c>
      <c r="AI264" s="32"/>
      <c r="AJ264" s="32"/>
      <c r="AK264" s="32"/>
      <c r="AL264" s="30" t="s">
        <v>92</v>
      </c>
      <c r="AM264" s="30" t="s">
        <v>93</v>
      </c>
      <c r="AN264" s="30" t="s">
        <v>94</v>
      </c>
      <c r="AO264" s="30" t="s">
        <v>142</v>
      </c>
      <c r="AP264" s="30" t="s">
        <v>143</v>
      </c>
      <c r="AQ264" s="30" t="s">
        <v>232</v>
      </c>
      <c r="AR264" s="30" t="s">
        <v>691</v>
      </c>
      <c r="AT264" s="30" t="s">
        <v>99</v>
      </c>
      <c r="AU264" s="30" t="s">
        <v>146</v>
      </c>
      <c r="AV264" s="30" t="s">
        <v>839</v>
      </c>
      <c r="AW264" s="30" t="s">
        <v>102</v>
      </c>
      <c r="AX264" s="34" t="s">
        <v>349</v>
      </c>
      <c r="AY264" s="34" t="s">
        <v>103</v>
      </c>
      <c r="AZ264" s="34"/>
      <c r="BA264" s="34"/>
      <c r="BB264" s="34"/>
      <c r="BC264" s="34">
        <v>0</v>
      </c>
      <c r="BD264" s="34"/>
      <c r="BE264" s="34"/>
      <c r="BF264" s="34" t="b">
        <v>0</v>
      </c>
      <c r="BG264" s="34"/>
      <c r="BH264" s="34"/>
      <c r="BI264" s="34"/>
      <c r="BJ264" s="34"/>
      <c r="BK264" s="34"/>
      <c r="BL264" s="34"/>
      <c r="BM264" s="34" t="s">
        <v>168</v>
      </c>
      <c r="BN264" s="34"/>
      <c r="BO264" s="35"/>
      <c r="BP264" s="35"/>
      <c r="BQ264" s="35" t="s">
        <v>108</v>
      </c>
      <c r="BR264" s="36" t="e">
        <f>VLOOKUP(BQ264, Cat_Indicadores!B:C, 2, FALSE)</f>
        <v>#N/A</v>
      </c>
      <c r="BS264" s="35" t="s">
        <v>5592</v>
      </c>
      <c r="BT264" s="35"/>
    </row>
    <row r="265" spans="1:72">
      <c r="A265" s="29" t="s">
        <v>1132</v>
      </c>
      <c r="B265" s="30" t="s">
        <v>1133</v>
      </c>
      <c r="C265" s="31">
        <v>46251.51116898148</v>
      </c>
      <c r="D265" s="30">
        <v>92</v>
      </c>
      <c r="E265" s="30" t="s">
        <v>74</v>
      </c>
      <c r="F265" s="30" t="s">
        <v>75</v>
      </c>
      <c r="G265" s="30" t="s">
        <v>133</v>
      </c>
      <c r="H265" s="30" t="s">
        <v>77</v>
      </c>
      <c r="I265" s="30" t="s">
        <v>78</v>
      </c>
      <c r="J265" s="30" t="s">
        <v>79</v>
      </c>
      <c r="K265" s="32">
        <v>800</v>
      </c>
      <c r="L265" s="32" t="s">
        <v>80</v>
      </c>
      <c r="M265" s="30" t="s">
        <v>1131</v>
      </c>
      <c r="N265" s="30" t="s">
        <v>927</v>
      </c>
      <c r="O265" s="30" t="s">
        <v>83</v>
      </c>
      <c r="P265" s="33">
        <v>46226</v>
      </c>
      <c r="Q265" s="33">
        <v>46226</v>
      </c>
      <c r="R265" s="32">
        <v>1</v>
      </c>
      <c r="S265" s="30" t="s">
        <v>84</v>
      </c>
      <c r="T265" s="30" t="s">
        <v>117</v>
      </c>
      <c r="U265" s="30" t="s">
        <v>349</v>
      </c>
      <c r="V265" s="30" t="s">
        <v>87</v>
      </c>
      <c r="W265" s="30" t="s">
        <v>88</v>
      </c>
      <c r="X265" s="30" t="s">
        <v>197</v>
      </c>
      <c r="Y265" s="30" t="s">
        <v>1046</v>
      </c>
      <c r="AB265" s="30" t="b">
        <v>0</v>
      </c>
      <c r="AC265" s="30"/>
      <c r="AD265" s="30" t="b">
        <v>0</v>
      </c>
      <c r="AF265" s="30" t="b">
        <v>0</v>
      </c>
      <c r="AH265" s="32" t="s">
        <v>91</v>
      </c>
      <c r="AI265" s="32"/>
      <c r="AJ265" s="32"/>
      <c r="AK265" s="32"/>
      <c r="AL265" s="30" t="s">
        <v>92</v>
      </c>
      <c r="AM265" s="30" t="s">
        <v>93</v>
      </c>
      <c r="AN265" s="30" t="s">
        <v>94</v>
      </c>
      <c r="AO265" s="30" t="s">
        <v>142</v>
      </c>
      <c r="AP265" s="30" t="s">
        <v>143</v>
      </c>
      <c r="AQ265" s="30" t="s">
        <v>232</v>
      </c>
      <c r="AR265" s="30" t="s">
        <v>691</v>
      </c>
      <c r="AT265" s="30" t="s">
        <v>99</v>
      </c>
      <c r="AU265" s="30" t="s">
        <v>146</v>
      </c>
      <c r="AV265" s="30" t="s">
        <v>839</v>
      </c>
      <c r="AW265" s="30" t="s">
        <v>102</v>
      </c>
      <c r="AX265" s="34" t="s">
        <v>349</v>
      </c>
      <c r="AY265" s="34" t="s">
        <v>103</v>
      </c>
      <c r="AZ265" s="34"/>
      <c r="BA265" s="34"/>
      <c r="BB265" s="34"/>
      <c r="BC265" s="34">
        <v>0</v>
      </c>
      <c r="BD265" s="34"/>
      <c r="BE265" s="34"/>
      <c r="BF265" s="34" t="b">
        <v>0</v>
      </c>
      <c r="BG265" s="34"/>
      <c r="BH265" s="34"/>
      <c r="BI265" s="34"/>
      <c r="BJ265" s="34"/>
      <c r="BK265" s="34"/>
      <c r="BL265" s="34"/>
      <c r="BM265" s="34" t="s">
        <v>168</v>
      </c>
      <c r="BN265" s="34"/>
      <c r="BO265" s="35"/>
      <c r="BP265" s="35"/>
      <c r="BQ265" s="35" t="s">
        <v>108</v>
      </c>
      <c r="BR265" s="36" t="e">
        <f>VLOOKUP(BQ265, Cat_Indicadores!B:C, 2, FALSE)</f>
        <v>#N/A</v>
      </c>
      <c r="BS265" s="35" t="s">
        <v>5592</v>
      </c>
      <c r="BT265" s="35"/>
    </row>
    <row r="266" spans="1:72">
      <c r="A266" s="29" t="s">
        <v>1134</v>
      </c>
      <c r="B266" s="30" t="s">
        <v>1135</v>
      </c>
      <c r="C266" s="31">
        <v>46251.514189814814</v>
      </c>
      <c r="D266" s="30">
        <v>92</v>
      </c>
      <c r="E266" s="30" t="s">
        <v>74</v>
      </c>
      <c r="F266" s="30" t="s">
        <v>75</v>
      </c>
      <c r="G266" s="30" t="s">
        <v>133</v>
      </c>
      <c r="H266" s="30" t="s">
        <v>77</v>
      </c>
      <c r="I266" s="30" t="s">
        <v>78</v>
      </c>
      <c r="J266" s="30" t="s">
        <v>79</v>
      </c>
      <c r="K266" s="32">
        <v>800</v>
      </c>
      <c r="L266" s="32" t="s">
        <v>80</v>
      </c>
      <c r="M266" s="30" t="s">
        <v>1131</v>
      </c>
      <c r="N266" s="30" t="s">
        <v>927</v>
      </c>
      <c r="O266" s="30" t="s">
        <v>83</v>
      </c>
      <c r="P266" s="33">
        <v>46226</v>
      </c>
      <c r="Q266" s="33">
        <v>46226</v>
      </c>
      <c r="R266" s="32">
        <v>1</v>
      </c>
      <c r="S266" s="30" t="s">
        <v>84</v>
      </c>
      <c r="T266" s="30" t="s">
        <v>117</v>
      </c>
      <c r="U266" s="30" t="s">
        <v>349</v>
      </c>
      <c r="V266" s="30" t="s">
        <v>87</v>
      </c>
      <c r="W266" s="30" t="s">
        <v>88</v>
      </c>
      <c r="X266" s="30" t="s">
        <v>197</v>
      </c>
      <c r="Y266" s="30" t="s">
        <v>1046</v>
      </c>
      <c r="AB266" s="30" t="b">
        <v>0</v>
      </c>
      <c r="AC266" s="30"/>
      <c r="AD266" s="30" t="b">
        <v>0</v>
      </c>
      <c r="AF266" s="30" t="b">
        <v>0</v>
      </c>
      <c r="AH266" s="32" t="s">
        <v>91</v>
      </c>
      <c r="AI266" s="32"/>
      <c r="AJ266" s="32"/>
      <c r="AK266" s="32"/>
      <c r="AL266" s="30" t="s">
        <v>92</v>
      </c>
      <c r="AM266" s="30" t="s">
        <v>93</v>
      </c>
      <c r="AN266" s="30" t="s">
        <v>94</v>
      </c>
      <c r="AO266" s="30" t="s">
        <v>142</v>
      </c>
      <c r="AP266" s="30" t="s">
        <v>143</v>
      </c>
      <c r="AQ266" s="30" t="s">
        <v>232</v>
      </c>
      <c r="AR266" s="30" t="s">
        <v>691</v>
      </c>
      <c r="AT266" s="30" t="s">
        <v>99</v>
      </c>
      <c r="AU266" s="30" t="s">
        <v>146</v>
      </c>
      <c r="AV266" s="30" t="s">
        <v>839</v>
      </c>
      <c r="AW266" s="30" t="s">
        <v>102</v>
      </c>
      <c r="AX266" s="34" t="s">
        <v>349</v>
      </c>
      <c r="AY266" s="34" t="s">
        <v>103</v>
      </c>
      <c r="AZ266" s="34"/>
      <c r="BA266" s="34"/>
      <c r="BB266" s="34"/>
      <c r="BC266" s="34">
        <v>0</v>
      </c>
      <c r="BD266" s="34"/>
      <c r="BE266" s="34"/>
      <c r="BF266" s="34" t="b">
        <v>0</v>
      </c>
      <c r="BG266" s="34"/>
      <c r="BH266" s="34"/>
      <c r="BI266" s="34"/>
      <c r="BJ266" s="34"/>
      <c r="BK266" s="34"/>
      <c r="BL266" s="34"/>
      <c r="BM266" s="34" t="s">
        <v>168</v>
      </c>
      <c r="BN266" s="34"/>
      <c r="BO266" s="35"/>
      <c r="BP266" s="35"/>
      <c r="BQ266" s="35" t="s">
        <v>108</v>
      </c>
      <c r="BR266" s="36" t="e">
        <f>VLOOKUP(BQ266, Cat_Indicadores!B:C, 2, FALSE)</f>
        <v>#N/A</v>
      </c>
      <c r="BS266" s="35" t="s">
        <v>5592</v>
      </c>
      <c r="BT266" s="35"/>
    </row>
    <row r="267" spans="1:72">
      <c r="A267" s="29" t="s">
        <v>1136</v>
      </c>
      <c r="B267" s="30" t="s">
        <v>1137</v>
      </c>
      <c r="C267" s="31">
        <v>46251.517800925925</v>
      </c>
      <c r="D267" s="30">
        <v>92</v>
      </c>
      <c r="E267" s="30" t="s">
        <v>74</v>
      </c>
      <c r="F267" s="30" t="s">
        <v>75</v>
      </c>
      <c r="G267" s="30" t="s">
        <v>133</v>
      </c>
      <c r="H267" s="30" t="s">
        <v>77</v>
      </c>
      <c r="I267" s="30" t="s">
        <v>78</v>
      </c>
      <c r="J267" s="30" t="s">
        <v>79</v>
      </c>
      <c r="K267" s="32">
        <v>800</v>
      </c>
      <c r="L267" s="32" t="s">
        <v>80</v>
      </c>
      <c r="M267" s="30" t="s">
        <v>1055</v>
      </c>
      <c r="N267" s="30" t="s">
        <v>927</v>
      </c>
      <c r="O267" s="30" t="s">
        <v>83</v>
      </c>
      <c r="P267" s="33">
        <v>46226</v>
      </c>
      <c r="Q267" s="33">
        <v>46226</v>
      </c>
      <c r="R267" s="32">
        <v>1</v>
      </c>
      <c r="S267" s="30" t="s">
        <v>84</v>
      </c>
      <c r="T267" s="30" t="s">
        <v>117</v>
      </c>
      <c r="U267" s="30" t="s">
        <v>338</v>
      </c>
      <c r="V267" s="30" t="s">
        <v>87</v>
      </c>
      <c r="W267" s="30" t="s">
        <v>88</v>
      </c>
      <c r="X267" s="30" t="s">
        <v>197</v>
      </c>
      <c r="Y267" s="30" t="s">
        <v>1046</v>
      </c>
      <c r="AB267" s="30" t="b">
        <v>0</v>
      </c>
      <c r="AC267" s="30"/>
      <c r="AD267" s="30" t="b">
        <v>0</v>
      </c>
      <c r="AF267" s="30" t="b">
        <v>0</v>
      </c>
      <c r="AH267" s="32" t="s">
        <v>91</v>
      </c>
      <c r="AI267" s="32"/>
      <c r="AJ267" s="32"/>
      <c r="AK267" s="32"/>
      <c r="AL267" s="30" t="s">
        <v>92</v>
      </c>
      <c r="AM267" s="30" t="s">
        <v>93</v>
      </c>
      <c r="AN267" s="30" t="s">
        <v>94</v>
      </c>
      <c r="AO267" s="30" t="s">
        <v>142</v>
      </c>
      <c r="AP267" s="30" t="s">
        <v>143</v>
      </c>
      <c r="AQ267" s="30" t="s">
        <v>232</v>
      </c>
      <c r="AR267" s="30" t="s">
        <v>691</v>
      </c>
      <c r="AT267" s="30" t="s">
        <v>99</v>
      </c>
      <c r="AU267" s="30" t="s">
        <v>146</v>
      </c>
      <c r="AV267" s="30" t="s">
        <v>839</v>
      </c>
      <c r="AW267" s="30" t="s">
        <v>102</v>
      </c>
      <c r="AX267" s="34" t="s">
        <v>338</v>
      </c>
      <c r="AY267" s="34" t="s">
        <v>103</v>
      </c>
      <c r="AZ267" s="34"/>
      <c r="BA267" s="34"/>
      <c r="BB267" s="34"/>
      <c r="BC267" s="34">
        <v>0</v>
      </c>
      <c r="BD267" s="34"/>
      <c r="BE267" s="34"/>
      <c r="BF267" s="34" t="b">
        <v>0</v>
      </c>
      <c r="BG267" s="34"/>
      <c r="BH267" s="34"/>
      <c r="BI267" s="34"/>
      <c r="BJ267" s="34"/>
      <c r="BK267" s="34"/>
      <c r="BL267" s="34"/>
      <c r="BM267" s="34" t="s">
        <v>168</v>
      </c>
      <c r="BN267" s="34"/>
      <c r="BO267" s="35"/>
      <c r="BP267" s="35"/>
      <c r="BQ267" s="35" t="s">
        <v>108</v>
      </c>
      <c r="BR267" s="36" t="e">
        <f>VLOOKUP(BQ267, Cat_Indicadores!B:C, 2, FALSE)</f>
        <v>#N/A</v>
      </c>
      <c r="BS267" s="35" t="s">
        <v>5592</v>
      </c>
      <c r="BT267" s="35"/>
    </row>
    <row r="268" spans="1:72">
      <c r="A268" s="29" t="s">
        <v>1138</v>
      </c>
      <c r="B268" s="30" t="s">
        <v>1139</v>
      </c>
      <c r="C268" s="31">
        <v>46251.52480324074</v>
      </c>
      <c r="D268" s="30">
        <v>92</v>
      </c>
      <c r="E268" s="30" t="s">
        <v>74</v>
      </c>
      <c r="F268" s="30" t="s">
        <v>75</v>
      </c>
      <c r="G268" s="30" t="s">
        <v>133</v>
      </c>
      <c r="H268" s="30" t="s">
        <v>77</v>
      </c>
      <c r="I268" s="30" t="s">
        <v>78</v>
      </c>
      <c r="J268" s="30" t="s">
        <v>79</v>
      </c>
      <c r="K268" s="32">
        <v>800</v>
      </c>
      <c r="L268" s="32" t="s">
        <v>80</v>
      </c>
      <c r="M268" s="30" t="s">
        <v>1055</v>
      </c>
      <c r="N268" s="30" t="s">
        <v>927</v>
      </c>
      <c r="O268" s="30" t="s">
        <v>83</v>
      </c>
      <c r="P268" s="33">
        <v>46251</v>
      </c>
      <c r="Q268" s="33">
        <v>46251</v>
      </c>
      <c r="R268" s="32">
        <v>1</v>
      </c>
      <c r="S268" s="30" t="s">
        <v>84</v>
      </c>
      <c r="T268" s="30" t="s">
        <v>117</v>
      </c>
      <c r="U268" s="30" t="s">
        <v>338</v>
      </c>
      <c r="V268" s="30" t="s">
        <v>87</v>
      </c>
      <c r="W268" s="30" t="s">
        <v>88</v>
      </c>
      <c r="X268" s="30" t="s">
        <v>197</v>
      </c>
      <c r="Y268" s="30" t="s">
        <v>1046</v>
      </c>
      <c r="AB268" s="30" t="b">
        <v>0</v>
      </c>
      <c r="AC268" s="30"/>
      <c r="AD268" s="30" t="b">
        <v>0</v>
      </c>
      <c r="AF268" s="30" t="b">
        <v>0</v>
      </c>
      <c r="AH268" s="32" t="s">
        <v>91</v>
      </c>
      <c r="AI268" s="32"/>
      <c r="AJ268" s="32"/>
      <c r="AK268" s="32"/>
      <c r="AL268" s="30" t="s">
        <v>92</v>
      </c>
      <c r="AM268" s="30" t="s">
        <v>93</v>
      </c>
      <c r="AN268" s="30" t="s">
        <v>94</v>
      </c>
      <c r="AO268" s="30" t="s">
        <v>142</v>
      </c>
      <c r="AP268" s="30" t="s">
        <v>143</v>
      </c>
      <c r="AQ268" s="30" t="s">
        <v>232</v>
      </c>
      <c r="AR268" s="30" t="s">
        <v>691</v>
      </c>
      <c r="AT268" s="30" t="s">
        <v>99</v>
      </c>
      <c r="AU268" s="30" t="s">
        <v>146</v>
      </c>
      <c r="AV268" s="30" t="s">
        <v>839</v>
      </c>
      <c r="AW268" s="30" t="s">
        <v>102</v>
      </c>
      <c r="AX268" s="34" t="s">
        <v>338</v>
      </c>
      <c r="AY268" s="34" t="s">
        <v>103</v>
      </c>
      <c r="AZ268" s="34"/>
      <c r="BA268" s="34"/>
      <c r="BB268" s="34"/>
      <c r="BC268" s="34">
        <v>0</v>
      </c>
      <c r="BD268" s="34"/>
      <c r="BE268" s="34"/>
      <c r="BF268" s="34" t="b">
        <v>0</v>
      </c>
      <c r="BG268" s="34"/>
      <c r="BH268" s="34"/>
      <c r="BI268" s="34"/>
      <c r="BJ268" s="34"/>
      <c r="BK268" s="34"/>
      <c r="BL268" s="34"/>
      <c r="BM268" s="34" t="s">
        <v>168</v>
      </c>
      <c r="BN268" s="34"/>
      <c r="BO268" s="35"/>
      <c r="BP268" s="35"/>
      <c r="BQ268" s="35" t="s">
        <v>108</v>
      </c>
      <c r="BR268" s="36" t="e">
        <f>VLOOKUP(BQ268, Cat_Indicadores!B:C, 2, FALSE)</f>
        <v>#N/A</v>
      </c>
      <c r="BS268" s="35" t="s">
        <v>5592</v>
      </c>
      <c r="BT268" s="35"/>
    </row>
    <row r="269" spans="1:72">
      <c r="A269" s="29" t="s">
        <v>1140</v>
      </c>
      <c r="B269" s="30" t="s">
        <v>1141</v>
      </c>
      <c r="C269" s="31">
        <v>46251.605821759258</v>
      </c>
      <c r="D269" s="30">
        <v>92</v>
      </c>
      <c r="E269" s="30" t="s">
        <v>74</v>
      </c>
      <c r="F269" s="30" t="s">
        <v>75</v>
      </c>
      <c r="G269" s="30" t="s">
        <v>133</v>
      </c>
      <c r="H269" s="30" t="s">
        <v>77</v>
      </c>
      <c r="I269" s="30" t="s">
        <v>78</v>
      </c>
      <c r="J269" s="30" t="s">
        <v>79</v>
      </c>
      <c r="K269" s="32">
        <v>800</v>
      </c>
      <c r="L269" s="32" t="s">
        <v>80</v>
      </c>
      <c r="M269" s="30" t="s">
        <v>1142</v>
      </c>
      <c r="N269" s="30" t="s">
        <v>927</v>
      </c>
      <c r="O269" s="30" t="s">
        <v>83</v>
      </c>
      <c r="P269" s="33">
        <v>46232</v>
      </c>
      <c r="Q269" s="33">
        <v>46232</v>
      </c>
      <c r="R269" s="32">
        <v>1</v>
      </c>
      <c r="S269" s="30" t="s">
        <v>84</v>
      </c>
      <c r="T269" s="30" t="s">
        <v>117</v>
      </c>
      <c r="U269" s="30" t="s">
        <v>349</v>
      </c>
      <c r="V269" s="30" t="s">
        <v>87</v>
      </c>
      <c r="W269" s="30" t="s">
        <v>88</v>
      </c>
      <c r="X269" s="30" t="s">
        <v>197</v>
      </c>
      <c r="Y269" s="30" t="s">
        <v>1046</v>
      </c>
      <c r="AB269" s="30" t="b">
        <v>0</v>
      </c>
      <c r="AC269" s="30"/>
      <c r="AD269" s="30" t="b">
        <v>0</v>
      </c>
      <c r="AF269" s="30" t="b">
        <v>0</v>
      </c>
      <c r="AH269" s="32" t="s">
        <v>91</v>
      </c>
      <c r="AI269" s="32"/>
      <c r="AJ269" s="32"/>
      <c r="AK269" s="32"/>
      <c r="AL269" s="30" t="s">
        <v>92</v>
      </c>
      <c r="AM269" s="30" t="s">
        <v>93</v>
      </c>
      <c r="AN269" s="30" t="s">
        <v>94</v>
      </c>
      <c r="AO269" s="30" t="s">
        <v>142</v>
      </c>
      <c r="AP269" s="30" t="s">
        <v>143</v>
      </c>
      <c r="AQ269" s="30" t="s">
        <v>232</v>
      </c>
      <c r="AR269" s="30" t="s">
        <v>691</v>
      </c>
      <c r="AT269" s="30" t="s">
        <v>99</v>
      </c>
      <c r="AU269" s="30" t="s">
        <v>146</v>
      </c>
      <c r="AV269" s="30" t="s">
        <v>839</v>
      </c>
      <c r="AW269" s="30" t="s">
        <v>102</v>
      </c>
      <c r="AX269" s="34" t="s">
        <v>349</v>
      </c>
      <c r="AY269" s="34" t="s">
        <v>103</v>
      </c>
      <c r="AZ269" s="34"/>
      <c r="BA269" s="34"/>
      <c r="BB269" s="34"/>
      <c r="BC269" s="34">
        <v>0</v>
      </c>
      <c r="BD269" s="34"/>
      <c r="BE269" s="34"/>
      <c r="BF269" s="34" t="b">
        <v>0</v>
      </c>
      <c r="BG269" s="34"/>
      <c r="BH269" s="34"/>
      <c r="BI269" s="34"/>
      <c r="BJ269" s="34"/>
      <c r="BK269" s="34"/>
      <c r="BL269" s="34"/>
      <c r="BM269" s="34" t="s">
        <v>168</v>
      </c>
      <c r="BN269" s="34"/>
      <c r="BO269" s="35"/>
      <c r="BP269" s="35"/>
      <c r="BQ269" s="35" t="s">
        <v>108</v>
      </c>
      <c r="BR269" s="36" t="e">
        <f>VLOOKUP(BQ269, Cat_Indicadores!B:C, 2, FALSE)</f>
        <v>#N/A</v>
      </c>
      <c r="BS269" s="35" t="s">
        <v>5592</v>
      </c>
      <c r="BT269" s="35"/>
    </row>
    <row r="270" spans="1:72">
      <c r="A270" s="29" t="s">
        <v>1143</v>
      </c>
      <c r="B270" s="30" t="s">
        <v>1144</v>
      </c>
      <c r="C270" s="31">
        <v>46251.621574074074</v>
      </c>
      <c r="D270" s="30">
        <v>92</v>
      </c>
      <c r="E270" s="30" t="s">
        <v>74</v>
      </c>
      <c r="F270" s="30" t="s">
        <v>75</v>
      </c>
      <c r="G270" s="30" t="s">
        <v>133</v>
      </c>
      <c r="H270" s="30" t="s">
        <v>77</v>
      </c>
      <c r="I270" s="30" t="s">
        <v>78</v>
      </c>
      <c r="J270" s="30" t="s">
        <v>79</v>
      </c>
      <c r="K270" s="32">
        <v>800</v>
      </c>
      <c r="L270" s="32" t="s">
        <v>80</v>
      </c>
      <c r="M270" s="30" t="s">
        <v>1145</v>
      </c>
      <c r="N270" s="30" t="s">
        <v>927</v>
      </c>
      <c r="O270" s="30" t="s">
        <v>83</v>
      </c>
      <c r="P270" s="33">
        <v>46233</v>
      </c>
      <c r="Q270" s="33">
        <v>46233</v>
      </c>
      <c r="R270" s="32">
        <v>1</v>
      </c>
      <c r="S270" s="30" t="s">
        <v>84</v>
      </c>
      <c r="T270" s="30" t="s">
        <v>117</v>
      </c>
      <c r="U270" s="30" t="s">
        <v>349</v>
      </c>
      <c r="V270" s="30" t="s">
        <v>87</v>
      </c>
      <c r="W270" s="30" t="s">
        <v>88</v>
      </c>
      <c r="X270" s="30" t="s">
        <v>197</v>
      </c>
      <c r="Y270" s="30" t="s">
        <v>1046</v>
      </c>
      <c r="AB270" s="30" t="b">
        <v>0</v>
      </c>
      <c r="AC270" s="30"/>
      <c r="AD270" s="30" t="b">
        <v>0</v>
      </c>
      <c r="AF270" s="30" t="b">
        <v>0</v>
      </c>
      <c r="AH270" s="32" t="s">
        <v>91</v>
      </c>
      <c r="AI270" s="32"/>
      <c r="AJ270" s="32"/>
      <c r="AK270" s="32"/>
      <c r="AL270" s="30" t="s">
        <v>92</v>
      </c>
      <c r="AM270" s="30" t="s">
        <v>93</v>
      </c>
      <c r="AN270" s="30" t="s">
        <v>94</v>
      </c>
      <c r="AO270" s="30" t="s">
        <v>142</v>
      </c>
      <c r="AP270" s="30" t="s">
        <v>143</v>
      </c>
      <c r="AQ270" s="30" t="s">
        <v>232</v>
      </c>
      <c r="AR270" s="30" t="s">
        <v>691</v>
      </c>
      <c r="AT270" s="30" t="s">
        <v>99</v>
      </c>
      <c r="AU270" s="30" t="s">
        <v>146</v>
      </c>
      <c r="AV270" s="30" t="s">
        <v>839</v>
      </c>
      <c r="AW270" s="30" t="s">
        <v>102</v>
      </c>
      <c r="AX270" s="34" t="s">
        <v>349</v>
      </c>
      <c r="AY270" s="34" t="s">
        <v>103</v>
      </c>
      <c r="AZ270" s="34"/>
      <c r="BA270" s="34"/>
      <c r="BB270" s="34"/>
      <c r="BC270" s="34">
        <v>0</v>
      </c>
      <c r="BD270" s="34"/>
      <c r="BE270" s="34"/>
      <c r="BF270" s="34" t="b">
        <v>0</v>
      </c>
      <c r="BG270" s="34"/>
      <c r="BH270" s="34"/>
      <c r="BI270" s="34"/>
      <c r="BJ270" s="34"/>
      <c r="BK270" s="34"/>
      <c r="BL270" s="34"/>
      <c r="BM270" s="34" t="s">
        <v>168</v>
      </c>
      <c r="BN270" s="34"/>
      <c r="BO270" s="35"/>
      <c r="BP270" s="35"/>
      <c r="BQ270" s="35" t="s">
        <v>108</v>
      </c>
      <c r="BR270" s="36" t="e">
        <f>VLOOKUP(BQ270, Cat_Indicadores!B:C, 2, FALSE)</f>
        <v>#N/A</v>
      </c>
      <c r="BS270" s="35" t="s">
        <v>5592</v>
      </c>
      <c r="BT270" s="35"/>
    </row>
    <row r="271" spans="1:72">
      <c r="A271" s="29" t="s">
        <v>1146</v>
      </c>
      <c r="B271" s="30" t="s">
        <v>1147</v>
      </c>
      <c r="C271" s="31">
        <v>46251.625150462962</v>
      </c>
      <c r="D271" s="30">
        <v>92</v>
      </c>
      <c r="E271" s="30" t="s">
        <v>74</v>
      </c>
      <c r="F271" s="30" t="s">
        <v>75</v>
      </c>
      <c r="G271" s="30" t="s">
        <v>133</v>
      </c>
      <c r="H271" s="30" t="s">
        <v>77</v>
      </c>
      <c r="I271" s="30" t="s">
        <v>78</v>
      </c>
      <c r="J271" s="30" t="s">
        <v>79</v>
      </c>
      <c r="K271" s="32">
        <v>800</v>
      </c>
      <c r="L271" s="32" t="s">
        <v>80</v>
      </c>
      <c r="M271" s="30" t="s">
        <v>1148</v>
      </c>
      <c r="N271" s="30" t="s">
        <v>927</v>
      </c>
      <c r="O271" s="30" t="s">
        <v>83</v>
      </c>
      <c r="P271" s="33">
        <v>46233</v>
      </c>
      <c r="Q271" s="33">
        <v>46233</v>
      </c>
      <c r="R271" s="32">
        <v>1</v>
      </c>
      <c r="S271" s="30" t="s">
        <v>84</v>
      </c>
      <c r="T271" s="30" t="s">
        <v>117</v>
      </c>
      <c r="U271" s="30" t="s">
        <v>349</v>
      </c>
      <c r="V271" s="30" t="s">
        <v>87</v>
      </c>
      <c r="W271" s="30" t="s">
        <v>88</v>
      </c>
      <c r="X271" s="30" t="s">
        <v>197</v>
      </c>
      <c r="Y271" s="30" t="s">
        <v>1046</v>
      </c>
      <c r="AB271" s="30" t="b">
        <v>0</v>
      </c>
      <c r="AC271" s="30"/>
      <c r="AD271" s="30" t="b">
        <v>0</v>
      </c>
      <c r="AF271" s="30" t="b">
        <v>0</v>
      </c>
      <c r="AH271" s="32" t="s">
        <v>91</v>
      </c>
      <c r="AI271" s="32"/>
      <c r="AJ271" s="32"/>
      <c r="AK271" s="32"/>
      <c r="AL271" s="30" t="s">
        <v>92</v>
      </c>
      <c r="AM271" s="30" t="s">
        <v>93</v>
      </c>
      <c r="AN271" s="30" t="s">
        <v>94</v>
      </c>
      <c r="AO271" s="30" t="s">
        <v>142</v>
      </c>
      <c r="AP271" s="30" t="s">
        <v>143</v>
      </c>
      <c r="AQ271" s="30" t="s">
        <v>232</v>
      </c>
      <c r="AR271" s="30" t="s">
        <v>691</v>
      </c>
      <c r="AT271" s="30" t="s">
        <v>99</v>
      </c>
      <c r="AU271" s="30" t="s">
        <v>146</v>
      </c>
      <c r="AV271" s="30" t="s">
        <v>839</v>
      </c>
      <c r="AW271" s="30" t="s">
        <v>102</v>
      </c>
      <c r="AX271" s="34" t="s">
        <v>349</v>
      </c>
      <c r="AY271" s="34" t="s">
        <v>103</v>
      </c>
      <c r="AZ271" s="34"/>
      <c r="BA271" s="34"/>
      <c r="BB271" s="34"/>
      <c r="BC271" s="34">
        <v>0</v>
      </c>
      <c r="BD271" s="34"/>
      <c r="BE271" s="34"/>
      <c r="BF271" s="34" t="b">
        <v>0</v>
      </c>
      <c r="BG271" s="34"/>
      <c r="BH271" s="34"/>
      <c r="BI271" s="34"/>
      <c r="BJ271" s="34"/>
      <c r="BK271" s="34"/>
      <c r="BL271" s="34"/>
      <c r="BM271" s="34" t="s">
        <v>168</v>
      </c>
      <c r="BN271" s="34"/>
      <c r="BO271" s="35"/>
      <c r="BP271" s="35"/>
      <c r="BQ271" s="35" t="s">
        <v>108</v>
      </c>
      <c r="BR271" s="36" t="e">
        <f>VLOOKUP(BQ271, Cat_Indicadores!B:C, 2, FALSE)</f>
        <v>#N/A</v>
      </c>
      <c r="BS271" s="35" t="s">
        <v>5592</v>
      </c>
      <c r="BT271" s="35"/>
    </row>
    <row r="272" spans="1:72">
      <c r="A272" s="29" t="s">
        <v>1149</v>
      </c>
      <c r="B272" s="30" t="s">
        <v>1150</v>
      </c>
      <c r="C272" s="31">
        <v>46251.66138888889</v>
      </c>
      <c r="D272" s="30">
        <v>92</v>
      </c>
      <c r="E272" s="30" t="s">
        <v>74</v>
      </c>
      <c r="F272" s="30" t="s">
        <v>75</v>
      </c>
      <c r="G272" s="30" t="s">
        <v>133</v>
      </c>
      <c r="H272" s="30" t="s">
        <v>77</v>
      </c>
      <c r="I272" s="30" t="s">
        <v>78</v>
      </c>
      <c r="J272" s="30" t="s">
        <v>79</v>
      </c>
      <c r="K272" s="32">
        <v>800</v>
      </c>
      <c r="L272" s="32" t="s">
        <v>211</v>
      </c>
      <c r="M272" s="30" t="s">
        <v>1151</v>
      </c>
      <c r="N272" s="30" t="s">
        <v>1152</v>
      </c>
      <c r="O272" s="30" t="s">
        <v>661</v>
      </c>
      <c r="P272" s="33">
        <v>46125</v>
      </c>
      <c r="Q272" s="33">
        <v>46218</v>
      </c>
      <c r="R272" s="32">
        <v>1</v>
      </c>
      <c r="S272" s="30" t="s">
        <v>243</v>
      </c>
      <c r="T272" s="30" t="s">
        <v>703</v>
      </c>
      <c r="U272" s="30" t="s">
        <v>1039</v>
      </c>
      <c r="V272" s="30" t="s">
        <v>1040</v>
      </c>
      <c r="W272" s="30" t="s">
        <v>1041</v>
      </c>
      <c r="X272" s="30" t="s">
        <v>197</v>
      </c>
      <c r="Y272" s="30" t="s">
        <v>1046</v>
      </c>
      <c r="AB272" s="30" t="b">
        <v>0</v>
      </c>
      <c r="AC272" s="30"/>
      <c r="AD272" s="30" t="b">
        <v>1</v>
      </c>
      <c r="AE272" s="30">
        <v>1</v>
      </c>
      <c r="AF272" s="30" t="b">
        <v>0</v>
      </c>
      <c r="AH272" s="32" t="s">
        <v>91</v>
      </c>
      <c r="AI272" s="32"/>
      <c r="AJ272" s="32"/>
      <c r="AK272" s="32"/>
      <c r="AL272" s="30" t="s">
        <v>92</v>
      </c>
      <c r="AM272" s="30" t="s">
        <v>141</v>
      </c>
      <c r="AN272" s="30" t="s">
        <v>94</v>
      </c>
      <c r="AO272" s="30" t="s">
        <v>142</v>
      </c>
      <c r="AP272" s="30" t="s">
        <v>143</v>
      </c>
      <c r="AQ272" s="30" t="s">
        <v>232</v>
      </c>
      <c r="AR272" s="30" t="s">
        <v>97</v>
      </c>
      <c r="AS272" s="30" t="s">
        <v>98</v>
      </c>
      <c r="AT272" s="30" t="s">
        <v>217</v>
      </c>
      <c r="AU272" s="30" t="s">
        <v>218</v>
      </c>
      <c r="AV272" s="30" t="s">
        <v>1153</v>
      </c>
      <c r="AW272" s="30" t="s">
        <v>220</v>
      </c>
      <c r="AX272" s="34" t="s">
        <v>1039</v>
      </c>
      <c r="AY272" s="34" t="s">
        <v>279</v>
      </c>
      <c r="AZ272" s="34"/>
      <c r="BA272" s="34"/>
      <c r="BB272" s="34"/>
      <c r="BC272" s="34">
        <v>0</v>
      </c>
      <c r="BD272" s="34"/>
      <c r="BE272" s="34"/>
      <c r="BF272" s="34" t="b">
        <v>1</v>
      </c>
      <c r="BG272" s="34" t="s">
        <v>1042</v>
      </c>
      <c r="BH272" s="34"/>
      <c r="BI272" s="34"/>
      <c r="BJ272" s="34"/>
      <c r="BK272" s="34"/>
      <c r="BL272" s="34"/>
      <c r="BM272" s="34" t="s">
        <v>168</v>
      </c>
      <c r="BN272" s="34"/>
      <c r="BO272" s="35"/>
      <c r="BP272" s="35"/>
      <c r="BQ272" s="35" t="s">
        <v>108</v>
      </c>
      <c r="BR272" s="36" t="e">
        <f>VLOOKUP(BQ272, Cat_Indicadores!B:C, 2, FALSE)</f>
        <v>#N/A</v>
      </c>
      <c r="BS272" s="35" t="s">
        <v>5592</v>
      </c>
      <c r="BT272" s="35"/>
    </row>
    <row r="273" spans="1:72">
      <c r="A273" s="29" t="s">
        <v>1154</v>
      </c>
      <c r="B273" s="30" t="s">
        <v>1155</v>
      </c>
      <c r="C273" s="31">
        <v>46251.685706018521</v>
      </c>
      <c r="D273" s="30">
        <v>93</v>
      </c>
      <c r="E273" s="30" t="s">
        <v>74</v>
      </c>
      <c r="F273" s="30" t="s">
        <v>75</v>
      </c>
      <c r="G273" s="30" t="s">
        <v>595</v>
      </c>
      <c r="H273" s="30" t="s">
        <v>77</v>
      </c>
      <c r="I273" s="30" t="s">
        <v>78</v>
      </c>
      <c r="J273" s="30" t="s">
        <v>79</v>
      </c>
      <c r="K273" s="32">
        <v>10</v>
      </c>
      <c r="L273" s="32" t="s">
        <v>211</v>
      </c>
      <c r="M273" s="30" t="s">
        <v>1156</v>
      </c>
      <c r="N273" s="30" t="s">
        <v>1157</v>
      </c>
      <c r="O273" s="30" t="s">
        <v>661</v>
      </c>
      <c r="P273" s="33">
        <v>46211</v>
      </c>
      <c r="Q273" s="33">
        <v>46239</v>
      </c>
      <c r="R273" s="32">
        <v>1</v>
      </c>
      <c r="S273" s="30" t="s">
        <v>243</v>
      </c>
      <c r="T273" s="30" t="s">
        <v>662</v>
      </c>
      <c r="U273" s="30" t="s">
        <v>216</v>
      </c>
      <c r="V273" s="30" t="s">
        <v>87</v>
      </c>
      <c r="W273" s="30" t="s">
        <v>88</v>
      </c>
      <c r="X273" s="30" t="s">
        <v>89</v>
      </c>
      <c r="Z273" s="30" t="s">
        <v>1158</v>
      </c>
      <c r="AB273" s="30" t="b">
        <v>0</v>
      </c>
      <c r="AC273" s="30"/>
      <c r="AD273" s="30" t="b">
        <v>1</v>
      </c>
      <c r="AE273" s="30">
        <v>1</v>
      </c>
      <c r="AF273" s="30" t="b">
        <v>0</v>
      </c>
      <c r="AH273" s="32" t="s">
        <v>91</v>
      </c>
      <c r="AI273" s="32"/>
      <c r="AJ273" s="32"/>
      <c r="AK273" s="32"/>
      <c r="AL273" s="30" t="s">
        <v>92</v>
      </c>
      <c r="AM273" s="30" t="s">
        <v>664</v>
      </c>
      <c r="AN273" s="30" t="s">
        <v>94</v>
      </c>
      <c r="AO273" s="30" t="s">
        <v>142</v>
      </c>
      <c r="AP273" s="30" t="s">
        <v>143</v>
      </c>
      <c r="AQ273" s="30" t="s">
        <v>144</v>
      </c>
      <c r="AR273" s="30" t="s">
        <v>97</v>
      </c>
      <c r="AS273" s="30" t="s">
        <v>98</v>
      </c>
      <c r="AT273" s="30" t="s">
        <v>99</v>
      </c>
      <c r="AU273" s="30" t="s">
        <v>100</v>
      </c>
      <c r="AV273" s="30" t="s">
        <v>101</v>
      </c>
      <c r="AW273" s="30" t="s">
        <v>102</v>
      </c>
      <c r="AX273" s="34" t="s">
        <v>1159</v>
      </c>
      <c r="AY273" s="34" t="s">
        <v>167</v>
      </c>
      <c r="AZ273" s="34"/>
      <c r="BA273" s="34"/>
      <c r="BB273" s="34"/>
      <c r="BC273" s="34">
        <v>0</v>
      </c>
      <c r="BD273" s="34"/>
      <c r="BE273" s="34"/>
      <c r="BF273" s="34" t="b">
        <v>1</v>
      </c>
      <c r="BG273" s="34" t="s">
        <v>104</v>
      </c>
      <c r="BH273" s="34"/>
      <c r="BI273" s="34"/>
      <c r="BJ273" s="34"/>
      <c r="BK273" s="34"/>
      <c r="BL273" s="34"/>
      <c r="BM273" s="34" t="s">
        <v>106</v>
      </c>
      <c r="BN273" s="34" t="s">
        <v>107</v>
      </c>
      <c r="BO273" s="35"/>
      <c r="BP273" s="35"/>
      <c r="BQ273" s="35" t="s">
        <v>108</v>
      </c>
      <c r="BR273" s="36" t="e">
        <f>VLOOKUP(BQ273, Cat_Indicadores!B:C, 2, FALSE)</f>
        <v>#N/A</v>
      </c>
      <c r="BS273" s="35" t="s">
        <v>5592</v>
      </c>
      <c r="BT273" s="35"/>
    </row>
    <row r="274" spans="1:72">
      <c r="A274" s="29" t="s">
        <v>1160</v>
      </c>
      <c r="B274" s="30" t="s">
        <v>1161</v>
      </c>
      <c r="C274" s="31">
        <v>46252.440081018518</v>
      </c>
      <c r="D274" s="30">
        <v>93</v>
      </c>
      <c r="E274" s="30" t="s">
        <v>74</v>
      </c>
      <c r="F274" s="30" t="s">
        <v>75</v>
      </c>
      <c r="G274" s="30" t="s">
        <v>595</v>
      </c>
      <c r="H274" s="30" t="s">
        <v>77</v>
      </c>
      <c r="I274" s="30" t="s">
        <v>78</v>
      </c>
      <c r="J274" s="30" t="s">
        <v>79</v>
      </c>
      <c r="K274" s="32">
        <v>10</v>
      </c>
      <c r="L274" s="32" t="s">
        <v>211</v>
      </c>
      <c r="M274" s="30" t="s">
        <v>1162</v>
      </c>
      <c r="N274" s="30" t="s">
        <v>1163</v>
      </c>
      <c r="O274" s="30" t="s">
        <v>661</v>
      </c>
      <c r="P274" s="33">
        <v>46213</v>
      </c>
      <c r="Q274" s="33">
        <v>46241</v>
      </c>
      <c r="R274" s="32">
        <v>1</v>
      </c>
      <c r="S274" s="30" t="s">
        <v>243</v>
      </c>
      <c r="T274" s="30" t="s">
        <v>662</v>
      </c>
      <c r="U274" s="30" t="s">
        <v>216</v>
      </c>
      <c r="V274" s="30" t="s">
        <v>87</v>
      </c>
      <c r="W274" s="30" t="s">
        <v>88</v>
      </c>
      <c r="X274" s="30" t="s">
        <v>89</v>
      </c>
      <c r="Z274" s="30" t="s">
        <v>1164</v>
      </c>
      <c r="AB274" s="30" t="b">
        <v>0</v>
      </c>
      <c r="AC274" s="30"/>
      <c r="AD274" s="30" t="b">
        <v>1</v>
      </c>
      <c r="AE274" s="30">
        <v>1</v>
      </c>
      <c r="AF274" s="30" t="b">
        <v>0</v>
      </c>
      <c r="AH274" s="32" t="s">
        <v>91</v>
      </c>
      <c r="AI274" s="32"/>
      <c r="AJ274" s="32"/>
      <c r="AK274" s="32"/>
      <c r="AL274" s="30" t="s">
        <v>92</v>
      </c>
      <c r="AM274" s="30" t="s">
        <v>664</v>
      </c>
      <c r="AN274" s="30" t="s">
        <v>94</v>
      </c>
      <c r="AO274" s="30" t="s">
        <v>142</v>
      </c>
      <c r="AP274" s="30" t="s">
        <v>143</v>
      </c>
      <c r="AQ274" s="30" t="s">
        <v>144</v>
      </c>
      <c r="AR274" s="30" t="s">
        <v>97</v>
      </c>
      <c r="AS274" s="30" t="s">
        <v>98</v>
      </c>
      <c r="AT274" s="30" t="s">
        <v>99</v>
      </c>
      <c r="AU274" s="30" t="s">
        <v>100</v>
      </c>
      <c r="AV274" s="30" t="s">
        <v>101</v>
      </c>
      <c r="AW274" s="30" t="s">
        <v>102</v>
      </c>
      <c r="AX274" s="34" t="s">
        <v>1159</v>
      </c>
      <c r="AY274" s="34" t="s">
        <v>167</v>
      </c>
      <c r="AZ274" s="34"/>
      <c r="BA274" s="34"/>
      <c r="BB274" s="34"/>
      <c r="BC274" s="34">
        <v>0</v>
      </c>
      <c r="BD274" s="34"/>
      <c r="BE274" s="34"/>
      <c r="BF274" s="34" t="b">
        <v>1</v>
      </c>
      <c r="BG274" s="34" t="s">
        <v>104</v>
      </c>
      <c r="BH274" s="34"/>
      <c r="BI274" s="34"/>
      <c r="BJ274" s="34"/>
      <c r="BK274" s="34"/>
      <c r="BL274" s="34"/>
      <c r="BM274" s="34" t="s">
        <v>106</v>
      </c>
      <c r="BN274" s="34" t="s">
        <v>107</v>
      </c>
      <c r="BO274" s="35"/>
      <c r="BP274" s="35"/>
      <c r="BQ274" s="35" t="s">
        <v>108</v>
      </c>
      <c r="BR274" s="36" t="e">
        <f>VLOOKUP(BQ274, Cat_Indicadores!B:C, 2, FALSE)</f>
        <v>#N/A</v>
      </c>
      <c r="BS274" s="35" t="s">
        <v>5592</v>
      </c>
      <c r="BT274" s="35"/>
    </row>
    <row r="275" spans="1:72">
      <c r="A275" s="29" t="s">
        <v>1165</v>
      </c>
      <c r="B275" s="30" t="s">
        <v>1166</v>
      </c>
      <c r="C275" s="31">
        <v>46252.457083333335</v>
      </c>
      <c r="D275" s="30">
        <v>93</v>
      </c>
      <c r="E275" s="30" t="s">
        <v>74</v>
      </c>
      <c r="F275" s="30" t="s">
        <v>75</v>
      </c>
      <c r="G275" s="30" t="s">
        <v>595</v>
      </c>
      <c r="H275" s="30" t="s">
        <v>77</v>
      </c>
      <c r="I275" s="30" t="s">
        <v>78</v>
      </c>
      <c r="J275" s="30" t="s">
        <v>79</v>
      </c>
      <c r="K275" s="32">
        <v>10</v>
      </c>
      <c r="L275" s="32" t="s">
        <v>211</v>
      </c>
      <c r="M275" s="30" t="s">
        <v>1167</v>
      </c>
      <c r="N275" s="30" t="s">
        <v>1168</v>
      </c>
      <c r="O275" s="30" t="s">
        <v>83</v>
      </c>
      <c r="P275" s="33">
        <v>46226</v>
      </c>
      <c r="Q275" s="33">
        <v>46226</v>
      </c>
      <c r="R275" s="32">
        <v>1</v>
      </c>
      <c r="S275" s="30" t="s">
        <v>84</v>
      </c>
      <c r="T275" s="30" t="s">
        <v>136</v>
      </c>
      <c r="U275" s="30" t="s">
        <v>86</v>
      </c>
      <c r="V275" s="30" t="s">
        <v>87</v>
      </c>
      <c r="W275" s="30" t="s">
        <v>88</v>
      </c>
      <c r="X275" s="30" t="s">
        <v>89</v>
      </c>
      <c r="Z275" s="30" t="s">
        <v>1164</v>
      </c>
      <c r="AB275" s="30" t="b">
        <v>0</v>
      </c>
      <c r="AC275" s="30"/>
      <c r="AD275" s="30" t="b">
        <v>1</v>
      </c>
      <c r="AE275" s="30">
        <v>1</v>
      </c>
      <c r="AF275" s="30" t="b">
        <v>0</v>
      </c>
      <c r="AH275" s="32" t="s">
        <v>91</v>
      </c>
      <c r="AI275" s="32"/>
      <c r="AJ275" s="32"/>
      <c r="AK275" s="32"/>
      <c r="AL275" s="30" t="s">
        <v>92</v>
      </c>
      <c r="AM275" s="30" t="s">
        <v>664</v>
      </c>
      <c r="AN275" s="30" t="s">
        <v>94</v>
      </c>
      <c r="AO275" s="30" t="s">
        <v>142</v>
      </c>
      <c r="AP275" s="30" t="s">
        <v>143</v>
      </c>
      <c r="AQ275" s="30" t="s">
        <v>144</v>
      </c>
      <c r="AR275" s="30" t="s">
        <v>97</v>
      </c>
      <c r="AS275" s="30" t="s">
        <v>98</v>
      </c>
      <c r="AT275" s="30" t="s">
        <v>99</v>
      </c>
      <c r="AU275" s="30" t="s">
        <v>100</v>
      </c>
      <c r="AV275" s="30" t="s">
        <v>665</v>
      </c>
      <c r="AW275" s="30" t="s">
        <v>102</v>
      </c>
      <c r="AX275" s="34" t="s">
        <v>86</v>
      </c>
      <c r="AY275" s="34" t="s">
        <v>103</v>
      </c>
      <c r="AZ275" s="34"/>
      <c r="BA275" s="34"/>
      <c r="BB275" s="34"/>
      <c r="BC275" s="34">
        <v>0</v>
      </c>
      <c r="BD275" s="34"/>
      <c r="BE275" s="34"/>
      <c r="BF275" s="34" t="b">
        <v>1</v>
      </c>
      <c r="BG275" s="34" t="s">
        <v>104</v>
      </c>
      <c r="BH275" s="34"/>
      <c r="BI275" s="34"/>
      <c r="BJ275" s="34"/>
      <c r="BK275" s="34"/>
      <c r="BL275" s="34"/>
      <c r="BM275" s="34" t="s">
        <v>106</v>
      </c>
      <c r="BN275" s="34" t="s">
        <v>107</v>
      </c>
      <c r="BO275" s="35"/>
      <c r="BP275" s="35"/>
      <c r="BQ275" s="35" t="s">
        <v>108</v>
      </c>
      <c r="BR275" s="36" t="e">
        <f>VLOOKUP(BQ275, Cat_Indicadores!B:C, 2, FALSE)</f>
        <v>#N/A</v>
      </c>
      <c r="BS275" s="35" t="s">
        <v>5592</v>
      </c>
      <c r="BT275" s="35"/>
    </row>
    <row r="276" spans="1:72">
      <c r="A276" s="29" t="s">
        <v>1169</v>
      </c>
      <c r="B276" s="30" t="s">
        <v>1170</v>
      </c>
      <c r="C276" s="31">
        <v>46252.479664351849</v>
      </c>
      <c r="D276" s="30">
        <v>93</v>
      </c>
      <c r="E276" s="30" t="s">
        <v>74</v>
      </c>
      <c r="F276" s="30" t="s">
        <v>75</v>
      </c>
      <c r="G276" s="30" t="s">
        <v>595</v>
      </c>
      <c r="H276" s="30" t="s">
        <v>77</v>
      </c>
      <c r="I276" s="30" t="s">
        <v>78</v>
      </c>
      <c r="J276" s="30" t="s">
        <v>79</v>
      </c>
      <c r="K276" s="32">
        <v>10</v>
      </c>
      <c r="L276" s="32" t="s">
        <v>211</v>
      </c>
      <c r="M276" s="30" t="s">
        <v>1171</v>
      </c>
      <c r="N276" s="30" t="s">
        <v>1172</v>
      </c>
      <c r="O276" s="30" t="s">
        <v>83</v>
      </c>
      <c r="P276" s="33">
        <v>46237</v>
      </c>
      <c r="Q276" s="33">
        <v>46237</v>
      </c>
      <c r="R276" s="32">
        <v>1</v>
      </c>
      <c r="S276" s="30" t="s">
        <v>84</v>
      </c>
      <c r="T276" s="30" t="s">
        <v>136</v>
      </c>
      <c r="U276" s="30" t="s">
        <v>86</v>
      </c>
      <c r="V276" s="30" t="s">
        <v>87</v>
      </c>
      <c r="W276" s="30" t="s">
        <v>88</v>
      </c>
      <c r="X276" s="30" t="s">
        <v>89</v>
      </c>
      <c r="Z276" s="30" t="s">
        <v>1173</v>
      </c>
      <c r="AB276" s="30" t="b">
        <v>0</v>
      </c>
      <c r="AC276" s="30"/>
      <c r="AD276" s="30" t="b">
        <v>1</v>
      </c>
      <c r="AE276" s="30">
        <v>1</v>
      </c>
      <c r="AF276" s="30" t="b">
        <v>0</v>
      </c>
      <c r="AH276" s="32" t="s">
        <v>91</v>
      </c>
      <c r="AI276" s="32"/>
      <c r="AJ276" s="32"/>
      <c r="AK276" s="32"/>
      <c r="AL276" s="30" t="s">
        <v>92</v>
      </c>
      <c r="AM276" s="30" t="s">
        <v>664</v>
      </c>
      <c r="AN276" s="30" t="s">
        <v>94</v>
      </c>
      <c r="AO276" s="30" t="s">
        <v>142</v>
      </c>
      <c r="AP276" s="30" t="s">
        <v>143</v>
      </c>
      <c r="AQ276" s="30" t="s">
        <v>144</v>
      </c>
      <c r="AR276" s="30" t="s">
        <v>97</v>
      </c>
      <c r="AS276" s="30" t="s">
        <v>98</v>
      </c>
      <c r="AT276" s="30" t="s">
        <v>99</v>
      </c>
      <c r="AU276" s="30" t="s">
        <v>100</v>
      </c>
      <c r="AV276" s="30" t="s">
        <v>665</v>
      </c>
      <c r="AW276" s="30" t="s">
        <v>102</v>
      </c>
      <c r="AX276" s="34" t="s">
        <v>86</v>
      </c>
      <c r="AY276" s="34" t="s">
        <v>103</v>
      </c>
      <c r="AZ276" s="34"/>
      <c r="BA276" s="34"/>
      <c r="BB276" s="34"/>
      <c r="BC276" s="34">
        <v>0</v>
      </c>
      <c r="BD276" s="34"/>
      <c r="BE276" s="34"/>
      <c r="BF276" s="34" t="b">
        <v>1</v>
      </c>
      <c r="BG276" s="34" t="s">
        <v>104</v>
      </c>
      <c r="BH276" s="34"/>
      <c r="BI276" s="34"/>
      <c r="BJ276" s="34"/>
      <c r="BK276" s="34"/>
      <c r="BL276" s="34"/>
      <c r="BM276" s="34" t="s">
        <v>106</v>
      </c>
      <c r="BN276" s="34" t="s">
        <v>107</v>
      </c>
      <c r="BO276" s="35"/>
      <c r="BP276" s="35"/>
      <c r="BQ276" s="35" t="s">
        <v>108</v>
      </c>
      <c r="BR276" s="36" t="e">
        <f>VLOOKUP(BQ276, Cat_Indicadores!B:C, 2, FALSE)</f>
        <v>#N/A</v>
      </c>
      <c r="BS276" s="35" t="s">
        <v>5592</v>
      </c>
      <c r="BT276" s="35"/>
    </row>
    <row r="277" spans="1:72">
      <c r="A277" s="29" t="s">
        <v>1174</v>
      </c>
      <c r="B277" s="30" t="s">
        <v>1175</v>
      </c>
      <c r="C277" s="31">
        <v>46252.48641203704</v>
      </c>
      <c r="D277" s="30">
        <v>94</v>
      </c>
      <c r="E277" s="30" t="s">
        <v>74</v>
      </c>
      <c r="F277" s="30" t="s">
        <v>75</v>
      </c>
      <c r="G277" s="30" t="s">
        <v>76</v>
      </c>
      <c r="H277" s="30" t="s">
        <v>77</v>
      </c>
      <c r="I277" s="30" t="s">
        <v>78</v>
      </c>
      <c r="J277" s="30" t="s">
        <v>79</v>
      </c>
      <c r="K277" s="32">
        <v>12</v>
      </c>
      <c r="L277" s="32" t="s">
        <v>211</v>
      </c>
      <c r="M277" s="30" t="s">
        <v>815</v>
      </c>
      <c r="N277" s="30" t="s">
        <v>1176</v>
      </c>
      <c r="O277" s="30" t="s">
        <v>581</v>
      </c>
      <c r="P277" s="33">
        <v>46204</v>
      </c>
      <c r="Q277" s="33">
        <v>46232</v>
      </c>
      <c r="R277" s="32">
        <v>5</v>
      </c>
      <c r="S277" s="30" t="s">
        <v>84</v>
      </c>
      <c r="T277" s="30" t="s">
        <v>337</v>
      </c>
      <c r="U277" s="30" t="s">
        <v>86</v>
      </c>
      <c r="V277" s="30" t="s">
        <v>87</v>
      </c>
      <c r="W277" s="30" t="s">
        <v>88</v>
      </c>
      <c r="X277" s="30" t="s">
        <v>197</v>
      </c>
      <c r="Y277" s="30" t="s">
        <v>1063</v>
      </c>
      <c r="AB277" s="30" t="b">
        <v>0</v>
      </c>
      <c r="AC277" s="30"/>
      <c r="AD277" s="30" t="b">
        <v>0</v>
      </c>
      <c r="AF277" s="30" t="b">
        <v>0</v>
      </c>
      <c r="AH277" s="32" t="s">
        <v>91</v>
      </c>
      <c r="AI277" s="32"/>
      <c r="AJ277" s="32"/>
      <c r="AK277" s="32"/>
      <c r="AL277" s="30" t="s">
        <v>92</v>
      </c>
      <c r="AM277" s="30" t="s">
        <v>93</v>
      </c>
      <c r="AN277" s="30" t="s">
        <v>199</v>
      </c>
      <c r="AO277" s="30" t="s">
        <v>200</v>
      </c>
      <c r="AP277" s="30" t="s">
        <v>201</v>
      </c>
      <c r="AQ277" s="30" t="s">
        <v>202</v>
      </c>
      <c r="AR277" s="30" t="s">
        <v>97</v>
      </c>
      <c r="AS277" s="30" t="s">
        <v>824</v>
      </c>
      <c r="AT277" s="30" t="s">
        <v>226</v>
      </c>
      <c r="AU277" s="30" t="s">
        <v>204</v>
      </c>
      <c r="AV277" s="30" t="s">
        <v>227</v>
      </c>
      <c r="AW277" s="30" t="s">
        <v>206</v>
      </c>
      <c r="AX277" s="34" t="s">
        <v>86</v>
      </c>
      <c r="AY277" s="34" t="s">
        <v>149</v>
      </c>
      <c r="AZ277" s="34"/>
      <c r="BA277" s="34"/>
      <c r="BB277" s="34"/>
      <c r="BC277" s="34">
        <v>0</v>
      </c>
      <c r="BD277" s="34"/>
      <c r="BE277" s="34"/>
      <c r="BF277" s="34" t="b">
        <v>0</v>
      </c>
      <c r="BG277" s="34"/>
      <c r="BH277" s="34"/>
      <c r="BI277" s="34"/>
      <c r="BJ277" s="34"/>
      <c r="BK277" s="34"/>
      <c r="BL277" s="34" t="s">
        <v>354</v>
      </c>
      <c r="BM277" s="34" t="s">
        <v>106</v>
      </c>
      <c r="BN277" s="34" t="s">
        <v>107</v>
      </c>
      <c r="BO277" s="35"/>
      <c r="BP277" s="35"/>
      <c r="BQ277" s="35" t="s">
        <v>108</v>
      </c>
      <c r="BR277" s="36" t="e">
        <f>VLOOKUP(BQ277, Cat_Indicadores!B:C, 2, FALSE)</f>
        <v>#N/A</v>
      </c>
      <c r="BS277" s="35" t="s">
        <v>5592</v>
      </c>
      <c r="BT277" s="35"/>
    </row>
    <row r="278" spans="1:72">
      <c r="A278" s="29" t="s">
        <v>1177</v>
      </c>
      <c r="B278" s="30" t="s">
        <v>1178</v>
      </c>
      <c r="C278" s="31">
        <v>46252.513055555559</v>
      </c>
      <c r="D278" s="30">
        <v>94</v>
      </c>
      <c r="E278" s="30" t="s">
        <v>74</v>
      </c>
      <c r="F278" s="30" t="s">
        <v>75</v>
      </c>
      <c r="G278" s="30" t="s">
        <v>76</v>
      </c>
      <c r="H278" s="30" t="s">
        <v>77</v>
      </c>
      <c r="I278" s="30" t="s">
        <v>78</v>
      </c>
      <c r="J278" s="30" t="s">
        <v>79</v>
      </c>
      <c r="K278" s="32">
        <v>12</v>
      </c>
      <c r="L278" s="32" t="s">
        <v>211</v>
      </c>
      <c r="M278" s="30" t="s">
        <v>819</v>
      </c>
      <c r="N278" s="30" t="s">
        <v>1179</v>
      </c>
      <c r="O278" s="30" t="s">
        <v>581</v>
      </c>
      <c r="P278" s="33">
        <v>46205</v>
      </c>
      <c r="Q278" s="33">
        <v>46233</v>
      </c>
      <c r="R278" s="32">
        <v>5</v>
      </c>
      <c r="S278" s="30" t="s">
        <v>84</v>
      </c>
      <c r="T278" s="30" t="s">
        <v>337</v>
      </c>
      <c r="U278" s="30" t="s">
        <v>86</v>
      </c>
      <c r="V278" s="30" t="s">
        <v>87</v>
      </c>
      <c r="W278" s="30" t="s">
        <v>88</v>
      </c>
      <c r="X278" s="30" t="s">
        <v>197</v>
      </c>
      <c r="Y278" s="30" t="s">
        <v>1063</v>
      </c>
      <c r="AB278" s="30" t="b">
        <v>0</v>
      </c>
      <c r="AC278" s="30"/>
      <c r="AD278" s="30" t="b">
        <v>0</v>
      </c>
      <c r="AF278" s="30" t="b">
        <v>0</v>
      </c>
      <c r="AH278" s="32" t="s">
        <v>91</v>
      </c>
      <c r="AI278" s="32"/>
      <c r="AJ278" s="32"/>
      <c r="AK278" s="32"/>
      <c r="AL278" s="30" t="s">
        <v>92</v>
      </c>
      <c r="AM278" s="30" t="s">
        <v>93</v>
      </c>
      <c r="AN278" s="30" t="s">
        <v>199</v>
      </c>
      <c r="AO278" s="30" t="s">
        <v>200</v>
      </c>
      <c r="AP278" s="30" t="s">
        <v>201</v>
      </c>
      <c r="AQ278" s="30" t="s">
        <v>202</v>
      </c>
      <c r="AR278" s="30" t="s">
        <v>97</v>
      </c>
      <c r="AS278" s="30" t="s">
        <v>824</v>
      </c>
      <c r="AT278" s="30" t="s">
        <v>226</v>
      </c>
      <c r="AU278" s="30" t="s">
        <v>204</v>
      </c>
      <c r="AV278" s="30" t="s">
        <v>227</v>
      </c>
      <c r="AW278" s="30" t="s">
        <v>206</v>
      </c>
      <c r="AX278" s="34" t="s">
        <v>86</v>
      </c>
      <c r="AY278" s="34" t="s">
        <v>149</v>
      </c>
      <c r="AZ278" s="34" t="s">
        <v>149</v>
      </c>
      <c r="BA278" s="34"/>
      <c r="BB278" s="34"/>
      <c r="BC278" s="34">
        <v>0</v>
      </c>
      <c r="BD278" s="34"/>
      <c r="BE278" s="34"/>
      <c r="BF278" s="34" t="b">
        <v>0</v>
      </c>
      <c r="BG278" s="34"/>
      <c r="BH278" s="34"/>
      <c r="BI278" s="34"/>
      <c r="BJ278" s="34"/>
      <c r="BK278" s="34"/>
      <c r="BL278" s="34"/>
      <c r="BM278" s="34" t="s">
        <v>106</v>
      </c>
      <c r="BN278" s="34" t="s">
        <v>107</v>
      </c>
      <c r="BO278" s="35"/>
      <c r="BP278" s="35"/>
      <c r="BQ278" s="35" t="s">
        <v>108</v>
      </c>
      <c r="BR278" s="36" t="e">
        <f>VLOOKUP(BQ278, Cat_Indicadores!B:C, 2, FALSE)</f>
        <v>#N/A</v>
      </c>
      <c r="BS278" s="35" t="s">
        <v>5592</v>
      </c>
      <c r="BT278" s="35"/>
    </row>
    <row r="279" spans="1:72">
      <c r="A279" s="29" t="s">
        <v>1180</v>
      </c>
      <c r="B279" s="30" t="s">
        <v>1181</v>
      </c>
      <c r="C279" s="31">
        <v>46252.518009259256</v>
      </c>
      <c r="D279" s="30">
        <v>94</v>
      </c>
      <c r="E279" s="30" t="s">
        <v>74</v>
      </c>
      <c r="F279" s="30" t="s">
        <v>75</v>
      </c>
      <c r="G279" s="30" t="s">
        <v>76</v>
      </c>
      <c r="H279" s="30" t="s">
        <v>77</v>
      </c>
      <c r="I279" s="30" t="s">
        <v>78</v>
      </c>
      <c r="J279" s="30" t="s">
        <v>79</v>
      </c>
      <c r="K279" s="32">
        <v>12</v>
      </c>
      <c r="L279" s="32" t="s">
        <v>80</v>
      </c>
      <c r="M279" s="30" t="s">
        <v>1182</v>
      </c>
      <c r="N279" s="30" t="s">
        <v>1183</v>
      </c>
      <c r="O279" s="30" t="s">
        <v>83</v>
      </c>
      <c r="P279" s="33">
        <v>46220</v>
      </c>
      <c r="Q279" s="33">
        <v>46220</v>
      </c>
      <c r="R279" s="32">
        <v>1</v>
      </c>
      <c r="S279" s="30" t="s">
        <v>463</v>
      </c>
      <c r="T279" s="30" t="s">
        <v>717</v>
      </c>
      <c r="U279" s="30" t="s">
        <v>160</v>
      </c>
      <c r="V279" s="30" t="s">
        <v>87</v>
      </c>
      <c r="W279" s="30" t="s">
        <v>88</v>
      </c>
      <c r="X279" s="30" t="s">
        <v>197</v>
      </c>
      <c r="Y279" s="30" t="s">
        <v>1063</v>
      </c>
      <c r="AB279" s="30" t="b">
        <v>0</v>
      </c>
      <c r="AC279" s="30"/>
      <c r="AD279" s="30" t="b">
        <v>0</v>
      </c>
      <c r="AF279" s="30" t="b">
        <v>0</v>
      </c>
      <c r="AH279" s="32" t="s">
        <v>91</v>
      </c>
      <c r="AI279" s="32"/>
      <c r="AJ279" s="32"/>
      <c r="AK279" s="32"/>
      <c r="AL279" s="30" t="s">
        <v>92</v>
      </c>
      <c r="AM279" s="30" t="s">
        <v>93</v>
      </c>
      <c r="AN279" s="30" t="s">
        <v>94</v>
      </c>
      <c r="AO279" s="30" t="s">
        <v>407</v>
      </c>
      <c r="AP279" s="30" t="s">
        <v>1184</v>
      </c>
      <c r="AQ279" s="30" t="s">
        <v>1184</v>
      </c>
      <c r="AR279" s="30" t="s">
        <v>97</v>
      </c>
      <c r="AS279" s="30" t="s">
        <v>1185</v>
      </c>
      <c r="AT279" s="30" t="s">
        <v>99</v>
      </c>
      <c r="AU279" s="30" t="s">
        <v>146</v>
      </c>
      <c r="AV279" s="30" t="s">
        <v>839</v>
      </c>
      <c r="AW279" s="30" t="s">
        <v>102</v>
      </c>
      <c r="AX279" s="34" t="s">
        <v>160</v>
      </c>
      <c r="AY279" s="34" t="s">
        <v>149</v>
      </c>
      <c r="AZ279" s="34" t="s">
        <v>149</v>
      </c>
      <c r="BA279" s="34"/>
      <c r="BB279" s="34"/>
      <c r="BC279" s="34">
        <v>0</v>
      </c>
      <c r="BD279" s="34"/>
      <c r="BE279" s="34"/>
      <c r="BF279" s="34" t="b">
        <v>0</v>
      </c>
      <c r="BG279" s="34"/>
      <c r="BH279" s="34"/>
      <c r="BI279" s="34"/>
      <c r="BJ279" s="34"/>
      <c r="BK279" s="34"/>
      <c r="BL279" s="34" t="s">
        <v>1186</v>
      </c>
      <c r="BM279" s="34" t="s">
        <v>106</v>
      </c>
      <c r="BN279" s="34" t="s">
        <v>107</v>
      </c>
      <c r="BO279" s="35"/>
      <c r="BP279" s="35"/>
      <c r="BQ279" s="35" t="s">
        <v>108</v>
      </c>
      <c r="BR279" s="36" t="e">
        <f>VLOOKUP(BQ279, Cat_Indicadores!B:C, 2, FALSE)</f>
        <v>#N/A</v>
      </c>
      <c r="BS279" s="35" t="s">
        <v>5592</v>
      </c>
      <c r="BT279" s="35"/>
    </row>
    <row r="280" spans="1:72">
      <c r="A280" s="29" t="s">
        <v>1187</v>
      </c>
      <c r="B280" s="30" t="s">
        <v>1188</v>
      </c>
      <c r="C280" s="31">
        <v>46252.523900462962</v>
      </c>
      <c r="D280" s="30">
        <v>94</v>
      </c>
      <c r="E280" s="30" t="s">
        <v>74</v>
      </c>
      <c r="F280" s="30" t="s">
        <v>75</v>
      </c>
      <c r="G280" s="30" t="s">
        <v>76</v>
      </c>
      <c r="H280" s="30" t="s">
        <v>77</v>
      </c>
      <c r="I280" s="30" t="s">
        <v>78</v>
      </c>
      <c r="J280" s="30" t="s">
        <v>79</v>
      </c>
      <c r="K280" s="32">
        <v>12</v>
      </c>
      <c r="L280" s="32" t="s">
        <v>80</v>
      </c>
      <c r="M280" s="30" t="s">
        <v>1189</v>
      </c>
      <c r="N280" s="30" t="s">
        <v>160</v>
      </c>
      <c r="O280" s="30" t="s">
        <v>83</v>
      </c>
      <c r="P280" s="33">
        <v>46227</v>
      </c>
      <c r="Q280" s="33">
        <v>46227</v>
      </c>
      <c r="R280" s="32">
        <v>1</v>
      </c>
      <c r="S280" s="30" t="s">
        <v>463</v>
      </c>
      <c r="T280" s="30" t="s">
        <v>717</v>
      </c>
      <c r="U280" s="30" t="s">
        <v>160</v>
      </c>
      <c r="V280" s="30" t="s">
        <v>87</v>
      </c>
      <c r="W280" s="30" t="s">
        <v>88</v>
      </c>
      <c r="X280" s="30" t="s">
        <v>197</v>
      </c>
      <c r="Y280" s="30" t="s">
        <v>1063</v>
      </c>
      <c r="AB280" s="30" t="b">
        <v>0</v>
      </c>
      <c r="AC280" s="30"/>
      <c r="AD280" s="30" t="b">
        <v>0</v>
      </c>
      <c r="AF280" s="30" t="b">
        <v>0</v>
      </c>
      <c r="AH280" s="32" t="s">
        <v>91</v>
      </c>
      <c r="AI280" s="32"/>
      <c r="AJ280" s="32"/>
      <c r="AK280" s="32"/>
      <c r="AL280" s="30" t="s">
        <v>92</v>
      </c>
      <c r="AM280" s="30" t="s">
        <v>93</v>
      </c>
      <c r="AN280" s="30" t="s">
        <v>199</v>
      </c>
      <c r="AO280" s="30" t="s">
        <v>200</v>
      </c>
      <c r="AP280" s="30" t="s">
        <v>201</v>
      </c>
      <c r="AQ280" s="30" t="s">
        <v>202</v>
      </c>
      <c r="AR280" s="30" t="s">
        <v>145</v>
      </c>
      <c r="AT280" s="30" t="s">
        <v>226</v>
      </c>
      <c r="AU280" s="30" t="s">
        <v>204</v>
      </c>
      <c r="AV280" s="30" t="s">
        <v>227</v>
      </c>
      <c r="AW280" s="30" t="s">
        <v>206</v>
      </c>
      <c r="AX280" s="34" t="s">
        <v>160</v>
      </c>
      <c r="AY280" s="34" t="s">
        <v>149</v>
      </c>
      <c r="AZ280" s="34" t="s">
        <v>149</v>
      </c>
      <c r="BA280" s="34"/>
      <c r="BB280" s="34"/>
      <c r="BC280" s="34">
        <v>0</v>
      </c>
      <c r="BD280" s="34"/>
      <c r="BE280" s="34"/>
      <c r="BF280" s="34" t="b">
        <v>0</v>
      </c>
      <c r="BG280" s="34"/>
      <c r="BH280" s="34"/>
      <c r="BI280" s="34"/>
      <c r="BJ280" s="34"/>
      <c r="BK280" s="34"/>
      <c r="BL280" s="34" t="s">
        <v>354</v>
      </c>
      <c r="BM280" s="34" t="s">
        <v>106</v>
      </c>
      <c r="BN280" s="34" t="s">
        <v>107</v>
      </c>
      <c r="BO280" s="35"/>
      <c r="BP280" s="35"/>
      <c r="BQ280" s="35" t="s">
        <v>108</v>
      </c>
      <c r="BR280" s="36" t="e">
        <f>VLOOKUP(BQ280, Cat_Indicadores!B:C, 2, FALSE)</f>
        <v>#N/A</v>
      </c>
      <c r="BS280" s="35" t="s">
        <v>5592</v>
      </c>
      <c r="BT280" s="35"/>
    </row>
    <row r="281" spans="1:72">
      <c r="A281" s="29" t="s">
        <v>1190</v>
      </c>
      <c r="B281" s="30" t="s">
        <v>1191</v>
      </c>
      <c r="C281" s="31">
        <v>46254.463888888888</v>
      </c>
      <c r="D281" s="30">
        <v>92</v>
      </c>
      <c r="E281" s="30" t="s">
        <v>74</v>
      </c>
      <c r="F281" s="30" t="s">
        <v>75</v>
      </c>
      <c r="G281" s="30" t="s">
        <v>133</v>
      </c>
      <c r="H281" s="30" t="s">
        <v>77</v>
      </c>
      <c r="I281" s="30" t="s">
        <v>78</v>
      </c>
      <c r="J281" s="30" t="s">
        <v>79</v>
      </c>
      <c r="K281" s="32">
        <v>800</v>
      </c>
      <c r="L281" s="32" t="s">
        <v>80</v>
      </c>
      <c r="M281" s="30" t="s">
        <v>1192</v>
      </c>
      <c r="N281" s="30" t="s">
        <v>927</v>
      </c>
      <c r="O281" s="30" t="s">
        <v>661</v>
      </c>
      <c r="P281" s="33">
        <v>46231</v>
      </c>
      <c r="Q281" s="33">
        <v>46234</v>
      </c>
      <c r="R281" s="32">
        <v>1</v>
      </c>
      <c r="S281" s="30" t="s">
        <v>84</v>
      </c>
      <c r="T281" s="30" t="s">
        <v>117</v>
      </c>
      <c r="U281" s="30" t="s">
        <v>338</v>
      </c>
      <c r="V281" s="30" t="s">
        <v>87</v>
      </c>
      <c r="W281" s="30" t="s">
        <v>88</v>
      </c>
      <c r="X281" s="30" t="s">
        <v>197</v>
      </c>
      <c r="Y281" s="30" t="s">
        <v>1046</v>
      </c>
      <c r="AB281" s="30" t="b">
        <v>0</v>
      </c>
      <c r="AC281" s="30"/>
      <c r="AD281" s="30" t="b">
        <v>0</v>
      </c>
      <c r="AF281" s="30" t="b">
        <v>0</v>
      </c>
      <c r="AH281" s="32" t="s">
        <v>91</v>
      </c>
      <c r="AI281" s="32"/>
      <c r="AJ281" s="32"/>
      <c r="AK281" s="32"/>
      <c r="AL281" s="30" t="s">
        <v>92</v>
      </c>
      <c r="AM281" s="30" t="s">
        <v>93</v>
      </c>
      <c r="AN281" s="30" t="s">
        <v>94</v>
      </c>
      <c r="AO281" s="30" t="s">
        <v>142</v>
      </c>
      <c r="AP281" s="30" t="s">
        <v>143</v>
      </c>
      <c r="AQ281" s="30" t="s">
        <v>232</v>
      </c>
      <c r="AR281" s="30" t="s">
        <v>691</v>
      </c>
      <c r="AT281" s="30" t="s">
        <v>99</v>
      </c>
      <c r="AU281" s="30" t="s">
        <v>146</v>
      </c>
      <c r="AV281" s="30" t="s">
        <v>839</v>
      </c>
      <c r="AW281" s="30" t="s">
        <v>102</v>
      </c>
      <c r="AX281" s="34" t="s">
        <v>338</v>
      </c>
      <c r="AY281" s="34" t="s">
        <v>103</v>
      </c>
      <c r="AZ281" s="34"/>
      <c r="BA281" s="34"/>
      <c r="BB281" s="34"/>
      <c r="BC281" s="34">
        <v>0</v>
      </c>
      <c r="BD281" s="34"/>
      <c r="BE281" s="34"/>
      <c r="BF281" s="34" t="b">
        <v>0</v>
      </c>
      <c r="BG281" s="34"/>
      <c r="BH281" s="34"/>
      <c r="BI281" s="34"/>
      <c r="BJ281" s="34"/>
      <c r="BK281" s="34"/>
      <c r="BL281" s="34"/>
      <c r="BM281" s="34" t="s">
        <v>168</v>
      </c>
      <c r="BN281" s="34"/>
      <c r="BO281" s="35"/>
      <c r="BP281" s="35"/>
      <c r="BQ281" s="35" t="s">
        <v>108</v>
      </c>
      <c r="BR281" s="36" t="e">
        <f>VLOOKUP(BQ281, Cat_Indicadores!B:C, 2, FALSE)</f>
        <v>#N/A</v>
      </c>
      <c r="BS281" s="35" t="s">
        <v>5592</v>
      </c>
      <c r="BT281" s="35"/>
    </row>
    <row r="282" spans="1:72">
      <c r="A282" s="29" t="s">
        <v>1193</v>
      </c>
      <c r="B282" s="30" t="s">
        <v>1194</v>
      </c>
      <c r="C282" s="31">
        <v>46254.540405092594</v>
      </c>
      <c r="D282" s="30">
        <v>92</v>
      </c>
      <c r="E282" s="30" t="s">
        <v>74</v>
      </c>
      <c r="F282" s="30" t="s">
        <v>75</v>
      </c>
      <c r="G282" s="30" t="s">
        <v>133</v>
      </c>
      <c r="H282" s="30" t="s">
        <v>77</v>
      </c>
      <c r="I282" s="30" t="s">
        <v>78</v>
      </c>
      <c r="J282" s="30" t="s">
        <v>79</v>
      </c>
      <c r="K282" s="32">
        <v>800</v>
      </c>
      <c r="L282" s="32" t="s">
        <v>80</v>
      </c>
      <c r="M282" s="30" t="s">
        <v>1195</v>
      </c>
      <c r="N282" s="30" t="s">
        <v>899</v>
      </c>
      <c r="O282" s="30" t="s">
        <v>581</v>
      </c>
      <c r="P282" s="33">
        <v>46207</v>
      </c>
      <c r="Q282" s="33">
        <v>46229</v>
      </c>
      <c r="R282" s="32">
        <v>4</v>
      </c>
      <c r="S282" s="30" t="s">
        <v>84</v>
      </c>
      <c r="T282" s="30" t="s">
        <v>117</v>
      </c>
      <c r="U282" s="30" t="s">
        <v>86</v>
      </c>
      <c r="V282" s="30" t="s">
        <v>87</v>
      </c>
      <c r="W282" s="30" t="s">
        <v>88</v>
      </c>
      <c r="X282" s="30" t="s">
        <v>197</v>
      </c>
      <c r="Y282" s="30" t="s">
        <v>1046</v>
      </c>
      <c r="AB282" s="30" t="b">
        <v>0</v>
      </c>
      <c r="AC282" s="30"/>
      <c r="AD282" s="30" t="b">
        <v>0</v>
      </c>
      <c r="AF282" s="30" t="b">
        <v>0</v>
      </c>
      <c r="AH282" s="32" t="s">
        <v>91</v>
      </c>
      <c r="AI282" s="32"/>
      <c r="AJ282" s="32"/>
      <c r="AK282" s="32"/>
      <c r="AL282" s="30" t="s">
        <v>92</v>
      </c>
      <c r="AM282" s="30" t="s">
        <v>93</v>
      </c>
      <c r="AN282" s="30" t="s">
        <v>94</v>
      </c>
      <c r="AO282" s="30" t="s">
        <v>142</v>
      </c>
      <c r="AP282" s="30" t="s">
        <v>143</v>
      </c>
      <c r="AQ282" s="30" t="s">
        <v>232</v>
      </c>
      <c r="AR282" s="30" t="s">
        <v>691</v>
      </c>
      <c r="AT282" s="30" t="s">
        <v>99</v>
      </c>
      <c r="AU282" s="30" t="s">
        <v>146</v>
      </c>
      <c r="AV282" s="30" t="s">
        <v>839</v>
      </c>
      <c r="AW282" s="30" t="s">
        <v>102</v>
      </c>
      <c r="AX282" s="34" t="s">
        <v>86</v>
      </c>
      <c r="AY282" s="34" t="s">
        <v>103</v>
      </c>
      <c r="AZ282" s="34"/>
      <c r="BA282" s="34"/>
      <c r="BB282" s="34"/>
      <c r="BC282" s="34">
        <v>0</v>
      </c>
      <c r="BD282" s="34"/>
      <c r="BE282" s="34"/>
      <c r="BF282" s="34" t="b">
        <v>0</v>
      </c>
      <c r="BG282" s="34"/>
      <c r="BH282" s="34"/>
      <c r="BI282" s="34"/>
      <c r="BJ282" s="34"/>
      <c r="BK282" s="34"/>
      <c r="BL282" s="34"/>
      <c r="BM282" s="34" t="s">
        <v>168</v>
      </c>
      <c r="BN282" s="34"/>
      <c r="BO282" s="35"/>
      <c r="BP282" s="35"/>
      <c r="BQ282" s="35" t="s">
        <v>108</v>
      </c>
      <c r="BR282" s="36" t="e">
        <f>VLOOKUP(BQ282, Cat_Indicadores!B:C, 2, FALSE)</f>
        <v>#N/A</v>
      </c>
      <c r="BS282" s="35" t="s">
        <v>5592</v>
      </c>
      <c r="BT282" s="35"/>
    </row>
    <row r="283" spans="1:72">
      <c r="A283" s="29" t="s">
        <v>1196</v>
      </c>
      <c r="B283" s="30" t="s">
        <v>1197</v>
      </c>
      <c r="C283" s="31">
        <v>46254.649594907409</v>
      </c>
      <c r="D283" s="30">
        <v>92</v>
      </c>
      <c r="E283" s="30" t="s">
        <v>74</v>
      </c>
      <c r="F283" s="30" t="s">
        <v>75</v>
      </c>
      <c r="G283" s="30" t="s">
        <v>133</v>
      </c>
      <c r="H283" s="30" t="s">
        <v>77</v>
      </c>
      <c r="I283" s="30" t="s">
        <v>78</v>
      </c>
      <c r="J283" s="30" t="s">
        <v>79</v>
      </c>
      <c r="K283" s="32">
        <v>800</v>
      </c>
      <c r="L283" s="32" t="s">
        <v>80</v>
      </c>
      <c r="M283" s="30" t="s">
        <v>1198</v>
      </c>
      <c r="N283" s="30" t="s">
        <v>1199</v>
      </c>
      <c r="O283" s="30" t="s">
        <v>83</v>
      </c>
      <c r="P283" s="33">
        <v>46207</v>
      </c>
      <c r="Q283" s="33">
        <v>46207</v>
      </c>
      <c r="R283" s="32">
        <v>1</v>
      </c>
      <c r="S283" s="30" t="s">
        <v>378</v>
      </c>
      <c r="T283" s="30" t="s">
        <v>379</v>
      </c>
      <c r="U283" s="30" t="s">
        <v>480</v>
      </c>
      <c r="V283" s="30" t="s">
        <v>87</v>
      </c>
      <c r="W283" s="30" t="s">
        <v>88</v>
      </c>
      <c r="X283" s="30" t="s">
        <v>197</v>
      </c>
      <c r="Y283" s="30" t="s">
        <v>1046</v>
      </c>
      <c r="AB283" s="30" t="b">
        <v>0</v>
      </c>
      <c r="AC283" s="30"/>
      <c r="AD283" s="30" t="b">
        <v>0</v>
      </c>
      <c r="AF283" s="30" t="b">
        <v>0</v>
      </c>
      <c r="AH283" s="32" t="s">
        <v>91</v>
      </c>
      <c r="AI283" s="32"/>
      <c r="AJ283" s="32"/>
      <c r="AK283" s="32"/>
      <c r="AL283" s="30" t="s">
        <v>92</v>
      </c>
      <c r="AM283" s="30" t="s">
        <v>93</v>
      </c>
      <c r="AN283" s="30" t="s">
        <v>94</v>
      </c>
      <c r="AO283" s="30" t="s">
        <v>142</v>
      </c>
      <c r="AP283" s="30" t="s">
        <v>143</v>
      </c>
      <c r="AQ283" s="30" t="s">
        <v>232</v>
      </c>
      <c r="AR283" s="30" t="s">
        <v>691</v>
      </c>
      <c r="AT283" s="30" t="s">
        <v>99</v>
      </c>
      <c r="AU283" s="30" t="s">
        <v>146</v>
      </c>
      <c r="AV283" s="30" t="s">
        <v>839</v>
      </c>
      <c r="AW283" s="30" t="s">
        <v>102</v>
      </c>
      <c r="AX283" s="34" t="s">
        <v>480</v>
      </c>
      <c r="AY283" s="34" t="s">
        <v>103</v>
      </c>
      <c r="AZ283" s="34"/>
      <c r="BA283" s="34"/>
      <c r="BB283" s="34"/>
      <c r="BC283" s="34">
        <v>0</v>
      </c>
      <c r="BD283" s="34"/>
      <c r="BE283" s="34"/>
      <c r="BF283" s="34" t="b">
        <v>0</v>
      </c>
      <c r="BG283" s="34"/>
      <c r="BH283" s="34"/>
      <c r="BI283" s="34"/>
      <c r="BJ283" s="34"/>
      <c r="BK283" s="34"/>
      <c r="BL283" s="34"/>
      <c r="BM283" s="34" t="s">
        <v>168</v>
      </c>
      <c r="BN283" s="34"/>
      <c r="BO283" s="35"/>
      <c r="BP283" s="35"/>
      <c r="BQ283" s="35" t="s">
        <v>108</v>
      </c>
      <c r="BR283" s="36" t="e">
        <f>VLOOKUP(BQ283, Cat_Indicadores!B:C, 2, FALSE)</f>
        <v>#N/A</v>
      </c>
      <c r="BS283" s="35" t="s">
        <v>5592</v>
      </c>
      <c r="BT283" s="35"/>
    </row>
    <row r="284" spans="1:72">
      <c r="A284" s="29" t="s">
        <v>1200</v>
      </c>
      <c r="B284" s="30" t="s">
        <v>1201</v>
      </c>
      <c r="C284" s="31">
        <v>46254.65488425926</v>
      </c>
      <c r="D284" s="30">
        <v>92</v>
      </c>
      <c r="E284" s="30" t="s">
        <v>74</v>
      </c>
      <c r="F284" s="30" t="s">
        <v>75</v>
      </c>
      <c r="G284" s="30" t="s">
        <v>133</v>
      </c>
      <c r="H284" s="30" t="s">
        <v>77</v>
      </c>
      <c r="I284" s="30" t="s">
        <v>78</v>
      </c>
      <c r="J284" s="30" t="s">
        <v>79</v>
      </c>
      <c r="K284" s="32">
        <v>800</v>
      </c>
      <c r="L284" s="32" t="s">
        <v>80</v>
      </c>
      <c r="M284" s="30" t="s">
        <v>1202</v>
      </c>
      <c r="N284" s="30" t="s">
        <v>1199</v>
      </c>
      <c r="O284" s="30" t="s">
        <v>83</v>
      </c>
      <c r="P284" s="33">
        <v>46214</v>
      </c>
      <c r="Q284" s="33">
        <v>46214</v>
      </c>
      <c r="R284" s="32">
        <v>1</v>
      </c>
      <c r="S284" s="30" t="s">
        <v>378</v>
      </c>
      <c r="T284" s="30" t="s">
        <v>379</v>
      </c>
      <c r="U284" s="30" t="s">
        <v>480</v>
      </c>
      <c r="V284" s="30" t="s">
        <v>87</v>
      </c>
      <c r="W284" s="30" t="s">
        <v>88</v>
      </c>
      <c r="X284" s="30" t="s">
        <v>197</v>
      </c>
      <c r="Y284" s="30" t="s">
        <v>1046</v>
      </c>
      <c r="AB284" s="30" t="b">
        <v>0</v>
      </c>
      <c r="AC284" s="30"/>
      <c r="AD284" s="30" t="b">
        <v>0</v>
      </c>
      <c r="AF284" s="30" t="b">
        <v>0</v>
      </c>
      <c r="AH284" s="32" t="s">
        <v>91</v>
      </c>
      <c r="AI284" s="32"/>
      <c r="AJ284" s="32"/>
      <c r="AK284" s="32"/>
      <c r="AL284" s="30" t="s">
        <v>92</v>
      </c>
      <c r="AM284" s="30" t="s">
        <v>93</v>
      </c>
      <c r="AN284" s="30" t="s">
        <v>94</v>
      </c>
      <c r="AO284" s="30" t="s">
        <v>142</v>
      </c>
      <c r="AP284" s="30" t="s">
        <v>143</v>
      </c>
      <c r="AQ284" s="30" t="s">
        <v>232</v>
      </c>
      <c r="AR284" s="30" t="s">
        <v>691</v>
      </c>
      <c r="AT284" s="30" t="s">
        <v>99</v>
      </c>
      <c r="AU284" s="30" t="s">
        <v>146</v>
      </c>
      <c r="AV284" s="30" t="s">
        <v>839</v>
      </c>
      <c r="AW284" s="30" t="s">
        <v>102</v>
      </c>
      <c r="AX284" s="34" t="s">
        <v>480</v>
      </c>
      <c r="AY284" s="34" t="s">
        <v>103</v>
      </c>
      <c r="AZ284" s="34"/>
      <c r="BA284" s="34"/>
      <c r="BB284" s="34"/>
      <c r="BC284" s="34">
        <v>0</v>
      </c>
      <c r="BD284" s="34"/>
      <c r="BE284" s="34"/>
      <c r="BF284" s="34" t="b">
        <v>0</v>
      </c>
      <c r="BG284" s="34"/>
      <c r="BH284" s="34"/>
      <c r="BI284" s="34"/>
      <c r="BJ284" s="34"/>
      <c r="BK284" s="34"/>
      <c r="BL284" s="34"/>
      <c r="BM284" s="34" t="s">
        <v>168</v>
      </c>
      <c r="BN284" s="34"/>
      <c r="BO284" s="35"/>
      <c r="BP284" s="35"/>
      <c r="BQ284" s="35" t="s">
        <v>108</v>
      </c>
      <c r="BR284" s="36" t="e">
        <f>VLOOKUP(BQ284, Cat_Indicadores!B:C, 2, FALSE)</f>
        <v>#N/A</v>
      </c>
      <c r="BS284" s="35" t="s">
        <v>5592</v>
      </c>
      <c r="BT284" s="35"/>
    </row>
    <row r="285" spans="1:72">
      <c r="A285" s="29" t="s">
        <v>1203</v>
      </c>
      <c r="B285" s="30" t="s">
        <v>1204</v>
      </c>
      <c r="C285" s="31">
        <v>46254.657384259262</v>
      </c>
      <c r="D285" s="30">
        <v>92</v>
      </c>
      <c r="E285" s="30" t="s">
        <v>74</v>
      </c>
      <c r="F285" s="30" t="s">
        <v>75</v>
      </c>
      <c r="G285" s="30" t="s">
        <v>133</v>
      </c>
      <c r="H285" s="30" t="s">
        <v>77</v>
      </c>
      <c r="I285" s="30" t="s">
        <v>78</v>
      </c>
      <c r="J285" s="30" t="s">
        <v>79</v>
      </c>
      <c r="K285" s="32">
        <v>800</v>
      </c>
      <c r="L285" s="32" t="s">
        <v>80</v>
      </c>
      <c r="M285" s="30" t="s">
        <v>1205</v>
      </c>
      <c r="N285" s="30" t="s">
        <v>1199</v>
      </c>
      <c r="O285" s="30" t="s">
        <v>83</v>
      </c>
      <c r="P285" s="33">
        <v>46221</v>
      </c>
      <c r="Q285" s="33">
        <v>46221</v>
      </c>
      <c r="R285" s="32">
        <v>1</v>
      </c>
      <c r="S285" s="30" t="s">
        <v>378</v>
      </c>
      <c r="T285" s="30" t="s">
        <v>379</v>
      </c>
      <c r="U285" s="30" t="s">
        <v>480</v>
      </c>
      <c r="V285" s="30" t="s">
        <v>87</v>
      </c>
      <c r="W285" s="30" t="s">
        <v>88</v>
      </c>
      <c r="X285" s="30" t="s">
        <v>197</v>
      </c>
      <c r="Y285" s="30" t="s">
        <v>1046</v>
      </c>
      <c r="AB285" s="30" t="b">
        <v>0</v>
      </c>
      <c r="AC285" s="30"/>
      <c r="AD285" s="30" t="b">
        <v>0</v>
      </c>
      <c r="AF285" s="30" t="b">
        <v>0</v>
      </c>
      <c r="AH285" s="32" t="s">
        <v>91</v>
      </c>
      <c r="AI285" s="32"/>
      <c r="AJ285" s="32"/>
      <c r="AK285" s="32"/>
      <c r="AL285" s="30" t="s">
        <v>92</v>
      </c>
      <c r="AM285" s="30" t="s">
        <v>93</v>
      </c>
      <c r="AN285" s="30" t="s">
        <v>94</v>
      </c>
      <c r="AO285" s="30" t="s">
        <v>142</v>
      </c>
      <c r="AP285" s="30" t="s">
        <v>143</v>
      </c>
      <c r="AQ285" s="30" t="s">
        <v>232</v>
      </c>
      <c r="AR285" s="30" t="s">
        <v>691</v>
      </c>
      <c r="AT285" s="30" t="s">
        <v>99</v>
      </c>
      <c r="AU285" s="30" t="s">
        <v>146</v>
      </c>
      <c r="AV285" s="30" t="s">
        <v>839</v>
      </c>
      <c r="AW285" s="30" t="s">
        <v>102</v>
      </c>
      <c r="AX285" s="34" t="s">
        <v>480</v>
      </c>
      <c r="AY285" s="34" t="s">
        <v>103</v>
      </c>
      <c r="AZ285" s="34"/>
      <c r="BA285" s="34"/>
      <c r="BB285" s="34"/>
      <c r="BC285" s="34">
        <v>0</v>
      </c>
      <c r="BD285" s="34"/>
      <c r="BE285" s="34"/>
      <c r="BF285" s="34" t="b">
        <v>0</v>
      </c>
      <c r="BG285" s="34"/>
      <c r="BH285" s="34"/>
      <c r="BI285" s="34"/>
      <c r="BJ285" s="34"/>
      <c r="BK285" s="34"/>
      <c r="BL285" s="34"/>
      <c r="BM285" s="34" t="s">
        <v>168</v>
      </c>
      <c r="BN285" s="34"/>
      <c r="BO285" s="35"/>
      <c r="BP285" s="35"/>
      <c r="BQ285" s="35" t="s">
        <v>108</v>
      </c>
      <c r="BR285" s="36" t="e">
        <f>VLOOKUP(BQ285, Cat_Indicadores!B:C, 2, FALSE)</f>
        <v>#N/A</v>
      </c>
      <c r="BS285" s="35" t="s">
        <v>5592</v>
      </c>
      <c r="BT285" s="35"/>
    </row>
    <row r="286" spans="1:72">
      <c r="A286" s="29" t="s">
        <v>1206</v>
      </c>
      <c r="B286" s="30" t="s">
        <v>1207</v>
      </c>
      <c r="C286" s="31">
        <v>46254.659826388888</v>
      </c>
      <c r="D286" s="30">
        <v>92</v>
      </c>
      <c r="E286" s="30" t="s">
        <v>74</v>
      </c>
      <c r="F286" s="30" t="s">
        <v>75</v>
      </c>
      <c r="G286" s="30" t="s">
        <v>133</v>
      </c>
      <c r="H286" s="30" t="s">
        <v>77</v>
      </c>
      <c r="I286" s="30" t="s">
        <v>78</v>
      </c>
      <c r="J286" s="30" t="s">
        <v>79</v>
      </c>
      <c r="K286" s="32">
        <v>800</v>
      </c>
      <c r="L286" s="32" t="s">
        <v>80</v>
      </c>
      <c r="M286" s="30" t="s">
        <v>1208</v>
      </c>
      <c r="N286" s="30" t="s">
        <v>1199</v>
      </c>
      <c r="O286" s="30" t="s">
        <v>83</v>
      </c>
      <c r="P286" s="33">
        <v>46228</v>
      </c>
      <c r="Q286" s="33">
        <v>46228</v>
      </c>
      <c r="R286" s="32">
        <v>1</v>
      </c>
      <c r="S286" s="30" t="s">
        <v>378</v>
      </c>
      <c r="T286" s="30" t="s">
        <v>379</v>
      </c>
      <c r="U286" s="30" t="s">
        <v>480</v>
      </c>
      <c r="V286" s="30" t="s">
        <v>87</v>
      </c>
      <c r="W286" s="30" t="s">
        <v>88</v>
      </c>
      <c r="X286" s="30" t="s">
        <v>197</v>
      </c>
      <c r="Y286" s="30" t="s">
        <v>1046</v>
      </c>
      <c r="AB286" s="30" t="b">
        <v>0</v>
      </c>
      <c r="AC286" s="30"/>
      <c r="AD286" s="30" t="b">
        <v>0</v>
      </c>
      <c r="AF286" s="30" t="b">
        <v>0</v>
      </c>
      <c r="AH286" s="32" t="s">
        <v>91</v>
      </c>
      <c r="AI286" s="32"/>
      <c r="AJ286" s="32"/>
      <c r="AK286" s="32"/>
      <c r="AL286" s="30" t="s">
        <v>92</v>
      </c>
      <c r="AM286" s="30" t="s">
        <v>93</v>
      </c>
      <c r="AN286" s="30" t="s">
        <v>94</v>
      </c>
      <c r="AO286" s="30" t="s">
        <v>142</v>
      </c>
      <c r="AP286" s="30" t="s">
        <v>143</v>
      </c>
      <c r="AQ286" s="30" t="s">
        <v>232</v>
      </c>
      <c r="AR286" s="30" t="s">
        <v>691</v>
      </c>
      <c r="AT286" s="30" t="s">
        <v>99</v>
      </c>
      <c r="AU286" s="30" t="s">
        <v>146</v>
      </c>
      <c r="AV286" s="30" t="s">
        <v>839</v>
      </c>
      <c r="AW286" s="30" t="s">
        <v>102</v>
      </c>
      <c r="AX286" s="34" t="s">
        <v>480</v>
      </c>
      <c r="AY286" s="34" t="s">
        <v>103</v>
      </c>
      <c r="AZ286" s="34"/>
      <c r="BA286" s="34"/>
      <c r="BB286" s="34"/>
      <c r="BC286" s="34">
        <v>0</v>
      </c>
      <c r="BD286" s="34"/>
      <c r="BE286" s="34"/>
      <c r="BF286" s="34" t="b">
        <v>0</v>
      </c>
      <c r="BG286" s="34"/>
      <c r="BH286" s="34"/>
      <c r="BI286" s="34"/>
      <c r="BJ286" s="34"/>
      <c r="BK286" s="34"/>
      <c r="BL286" s="34"/>
      <c r="BM286" s="34" t="s">
        <v>168</v>
      </c>
      <c r="BN286" s="34"/>
      <c r="BO286" s="35"/>
      <c r="BP286" s="35"/>
      <c r="BQ286" s="35" t="s">
        <v>108</v>
      </c>
      <c r="BR286" s="36" t="e">
        <f>VLOOKUP(BQ286, Cat_Indicadores!B:C, 2, FALSE)</f>
        <v>#N/A</v>
      </c>
      <c r="BS286" s="35" t="s">
        <v>5592</v>
      </c>
      <c r="BT286" s="35"/>
    </row>
    <row r="287" spans="1:72">
      <c r="A287" s="29" t="s">
        <v>1209</v>
      </c>
      <c r="B287" s="30" t="s">
        <v>1210</v>
      </c>
      <c r="C287" s="31">
        <v>46254.662893518522</v>
      </c>
      <c r="D287" s="30">
        <v>92</v>
      </c>
      <c r="E287" s="30" t="s">
        <v>74</v>
      </c>
      <c r="F287" s="30" t="s">
        <v>75</v>
      </c>
      <c r="G287" s="30" t="s">
        <v>133</v>
      </c>
      <c r="H287" s="30" t="s">
        <v>77</v>
      </c>
      <c r="I287" s="30" t="s">
        <v>78</v>
      </c>
      <c r="J287" s="30" t="s">
        <v>79</v>
      </c>
      <c r="K287" s="32">
        <v>800</v>
      </c>
      <c r="L287" s="32" t="s">
        <v>80</v>
      </c>
      <c r="M287" s="30" t="s">
        <v>1211</v>
      </c>
      <c r="N287" s="30" t="s">
        <v>899</v>
      </c>
      <c r="O287" s="30" t="s">
        <v>581</v>
      </c>
      <c r="P287" s="33">
        <v>46208</v>
      </c>
      <c r="Q287" s="33">
        <v>46229</v>
      </c>
      <c r="R287" s="32">
        <v>1</v>
      </c>
      <c r="S287" s="30" t="s">
        <v>84</v>
      </c>
      <c r="T287" s="30" t="s">
        <v>117</v>
      </c>
      <c r="U287" s="30" t="s">
        <v>86</v>
      </c>
      <c r="V287" s="30" t="s">
        <v>87</v>
      </c>
      <c r="W287" s="30" t="s">
        <v>88</v>
      </c>
      <c r="X287" s="30" t="s">
        <v>197</v>
      </c>
      <c r="Y287" s="30" t="s">
        <v>1046</v>
      </c>
      <c r="AB287" s="30" t="b">
        <v>0</v>
      </c>
      <c r="AC287" s="30"/>
      <c r="AD287" s="30" t="b">
        <v>0</v>
      </c>
      <c r="AF287" s="30" t="b">
        <v>0</v>
      </c>
      <c r="AH287" s="32" t="s">
        <v>91</v>
      </c>
      <c r="AI287" s="32"/>
      <c r="AJ287" s="32"/>
      <c r="AK287" s="32"/>
      <c r="AL287" s="30" t="s">
        <v>92</v>
      </c>
      <c r="AM287" s="30" t="s">
        <v>93</v>
      </c>
      <c r="AN287" s="30" t="s">
        <v>94</v>
      </c>
      <c r="AO287" s="30" t="s">
        <v>142</v>
      </c>
      <c r="AP287" s="30" t="s">
        <v>143</v>
      </c>
      <c r="AQ287" s="30" t="s">
        <v>232</v>
      </c>
      <c r="AR287" s="30" t="s">
        <v>691</v>
      </c>
      <c r="AT287" s="30" t="s">
        <v>99</v>
      </c>
      <c r="AU287" s="30" t="s">
        <v>146</v>
      </c>
      <c r="AV287" s="30" t="s">
        <v>839</v>
      </c>
      <c r="AW287" s="30" t="s">
        <v>102</v>
      </c>
      <c r="AX287" s="34" t="s">
        <v>86</v>
      </c>
      <c r="AY287" s="34" t="s">
        <v>103</v>
      </c>
      <c r="AZ287" s="34"/>
      <c r="BA287" s="34"/>
      <c r="BB287" s="34"/>
      <c r="BC287" s="34">
        <v>0</v>
      </c>
      <c r="BD287" s="34"/>
      <c r="BE287" s="34"/>
      <c r="BF287" s="34" t="b">
        <v>0</v>
      </c>
      <c r="BG287" s="34"/>
      <c r="BH287" s="34"/>
      <c r="BI287" s="34"/>
      <c r="BJ287" s="34"/>
      <c r="BK287" s="34"/>
      <c r="BL287" s="34"/>
      <c r="BM287" s="34" t="s">
        <v>168</v>
      </c>
      <c r="BN287" s="34"/>
      <c r="BO287" s="35"/>
      <c r="BP287" s="35"/>
      <c r="BQ287" s="35" t="s">
        <v>108</v>
      </c>
      <c r="BR287" s="36" t="e">
        <f>VLOOKUP(BQ287, Cat_Indicadores!B:C, 2, FALSE)</f>
        <v>#N/A</v>
      </c>
      <c r="BS287" s="35" t="s">
        <v>5592</v>
      </c>
      <c r="BT287" s="35"/>
    </row>
    <row r="288" spans="1:72">
      <c r="A288" s="29" t="s">
        <v>1212</v>
      </c>
      <c r="B288" s="30" t="s">
        <v>1213</v>
      </c>
      <c r="C288" s="31">
        <v>46254.666087962964</v>
      </c>
      <c r="D288" s="30">
        <v>92</v>
      </c>
      <c r="E288" s="30" t="s">
        <v>74</v>
      </c>
      <c r="F288" s="30" t="s">
        <v>75</v>
      </c>
      <c r="G288" s="30" t="s">
        <v>133</v>
      </c>
      <c r="H288" s="30" t="s">
        <v>77</v>
      </c>
      <c r="I288" s="30" t="s">
        <v>78</v>
      </c>
      <c r="J288" s="30" t="s">
        <v>79</v>
      </c>
      <c r="K288" s="32">
        <v>800</v>
      </c>
      <c r="L288" s="32" t="s">
        <v>80</v>
      </c>
      <c r="M288" s="30" t="s">
        <v>1214</v>
      </c>
      <c r="N288" s="30" t="s">
        <v>899</v>
      </c>
      <c r="O288" s="30" t="s">
        <v>83</v>
      </c>
      <c r="P288" s="33">
        <v>46229</v>
      </c>
      <c r="Q288" s="33">
        <v>46229</v>
      </c>
      <c r="R288" s="32">
        <v>1</v>
      </c>
      <c r="S288" s="30" t="s">
        <v>84</v>
      </c>
      <c r="T288" s="30" t="s">
        <v>117</v>
      </c>
      <c r="U288" s="30" t="s">
        <v>86</v>
      </c>
      <c r="V288" s="30" t="s">
        <v>87</v>
      </c>
      <c r="W288" s="30" t="s">
        <v>88</v>
      </c>
      <c r="X288" s="30" t="s">
        <v>197</v>
      </c>
      <c r="Y288" s="30" t="s">
        <v>1046</v>
      </c>
      <c r="AB288" s="30" t="b">
        <v>0</v>
      </c>
      <c r="AC288" s="30"/>
      <c r="AD288" s="30" t="b">
        <v>0</v>
      </c>
      <c r="AF288" s="30" t="b">
        <v>0</v>
      </c>
      <c r="AH288" s="32" t="s">
        <v>91</v>
      </c>
      <c r="AI288" s="32"/>
      <c r="AJ288" s="32"/>
      <c r="AK288" s="32"/>
      <c r="AL288" s="30" t="s">
        <v>92</v>
      </c>
      <c r="AM288" s="30" t="s">
        <v>93</v>
      </c>
      <c r="AN288" s="30" t="s">
        <v>94</v>
      </c>
      <c r="AO288" s="30" t="s">
        <v>142</v>
      </c>
      <c r="AP288" s="30" t="s">
        <v>143</v>
      </c>
      <c r="AQ288" s="30" t="s">
        <v>232</v>
      </c>
      <c r="AR288" s="30" t="s">
        <v>691</v>
      </c>
      <c r="AT288" s="30" t="s">
        <v>99</v>
      </c>
      <c r="AU288" s="30" t="s">
        <v>146</v>
      </c>
      <c r="AV288" s="30" t="s">
        <v>839</v>
      </c>
      <c r="AW288" s="30" t="s">
        <v>102</v>
      </c>
      <c r="AX288" s="34" t="s">
        <v>86</v>
      </c>
      <c r="AY288" s="34" t="s">
        <v>103</v>
      </c>
      <c r="AZ288" s="34"/>
      <c r="BA288" s="34"/>
      <c r="BB288" s="34"/>
      <c r="BC288" s="34">
        <v>0</v>
      </c>
      <c r="BD288" s="34"/>
      <c r="BE288" s="34"/>
      <c r="BF288" s="34" t="b">
        <v>0</v>
      </c>
      <c r="BG288" s="34"/>
      <c r="BH288" s="34"/>
      <c r="BI288" s="34"/>
      <c r="BJ288" s="34"/>
      <c r="BK288" s="34"/>
      <c r="BL288" s="34"/>
      <c r="BM288" s="34" t="s">
        <v>168</v>
      </c>
      <c r="BN288" s="34"/>
      <c r="BO288" s="35"/>
      <c r="BP288" s="35"/>
      <c r="BQ288" s="35" t="s">
        <v>108</v>
      </c>
      <c r="BR288" s="36" t="e">
        <f>VLOOKUP(BQ288, Cat_Indicadores!B:C, 2, FALSE)</f>
        <v>#N/A</v>
      </c>
      <c r="BS288" s="35" t="s">
        <v>5592</v>
      </c>
      <c r="BT288" s="35"/>
    </row>
    <row r="289" spans="1:72">
      <c r="A289" s="29" t="s">
        <v>1215</v>
      </c>
      <c r="B289" s="30" t="s">
        <v>1216</v>
      </c>
      <c r="C289" s="31">
        <v>46254.668738425928</v>
      </c>
      <c r="D289" s="30">
        <v>92</v>
      </c>
      <c r="E289" s="30" t="s">
        <v>74</v>
      </c>
      <c r="F289" s="30" t="s">
        <v>75</v>
      </c>
      <c r="G289" s="30" t="s">
        <v>133</v>
      </c>
      <c r="H289" s="30" t="s">
        <v>77</v>
      </c>
      <c r="I289" s="30" t="s">
        <v>78</v>
      </c>
      <c r="J289" s="30" t="s">
        <v>79</v>
      </c>
      <c r="K289" s="32">
        <v>800</v>
      </c>
      <c r="L289" s="32" t="s">
        <v>80</v>
      </c>
      <c r="M289" s="30" t="s">
        <v>1217</v>
      </c>
      <c r="N289" s="30" t="s">
        <v>899</v>
      </c>
      <c r="O289" s="30" t="s">
        <v>83</v>
      </c>
      <c r="P289" s="33">
        <v>46228</v>
      </c>
      <c r="Q289" s="33">
        <v>46228</v>
      </c>
      <c r="R289" s="32">
        <v>1</v>
      </c>
      <c r="S289" s="30" t="s">
        <v>84</v>
      </c>
      <c r="T289" s="30" t="s">
        <v>117</v>
      </c>
      <c r="U289" s="30" t="s">
        <v>86</v>
      </c>
      <c r="V289" s="30" t="s">
        <v>87</v>
      </c>
      <c r="W289" s="30" t="s">
        <v>88</v>
      </c>
      <c r="X289" s="30" t="s">
        <v>197</v>
      </c>
      <c r="Y289" s="30" t="s">
        <v>1046</v>
      </c>
      <c r="AB289" s="30" t="b">
        <v>0</v>
      </c>
      <c r="AC289" s="30"/>
      <c r="AD289" s="30" t="b">
        <v>0</v>
      </c>
      <c r="AF289" s="30" t="b">
        <v>0</v>
      </c>
      <c r="AH289" s="32" t="s">
        <v>91</v>
      </c>
      <c r="AI289" s="32"/>
      <c r="AJ289" s="32"/>
      <c r="AK289" s="32"/>
      <c r="AL289" s="30" t="s">
        <v>92</v>
      </c>
      <c r="AM289" s="30" t="s">
        <v>93</v>
      </c>
      <c r="AN289" s="30" t="s">
        <v>94</v>
      </c>
      <c r="AO289" s="30" t="s">
        <v>142</v>
      </c>
      <c r="AP289" s="30" t="s">
        <v>143</v>
      </c>
      <c r="AQ289" s="30" t="s">
        <v>232</v>
      </c>
      <c r="AR289" s="30" t="s">
        <v>691</v>
      </c>
      <c r="AT289" s="30" t="s">
        <v>99</v>
      </c>
      <c r="AU289" s="30" t="s">
        <v>146</v>
      </c>
      <c r="AV289" s="30" t="s">
        <v>839</v>
      </c>
      <c r="AW289" s="30" t="s">
        <v>102</v>
      </c>
      <c r="AX289" s="34" t="s">
        <v>86</v>
      </c>
      <c r="AY289" s="34" t="s">
        <v>103</v>
      </c>
      <c r="AZ289" s="34"/>
      <c r="BA289" s="34"/>
      <c r="BB289" s="34"/>
      <c r="BC289" s="34">
        <v>0</v>
      </c>
      <c r="BD289" s="34"/>
      <c r="BE289" s="34"/>
      <c r="BF289" s="34" t="b">
        <v>0</v>
      </c>
      <c r="BG289" s="34"/>
      <c r="BH289" s="34"/>
      <c r="BI289" s="34"/>
      <c r="BJ289" s="34"/>
      <c r="BK289" s="34"/>
      <c r="BL289" s="34"/>
      <c r="BM289" s="34" t="s">
        <v>168</v>
      </c>
      <c r="BN289" s="34"/>
      <c r="BO289" s="35"/>
      <c r="BP289" s="35"/>
      <c r="BQ289" s="35" t="s">
        <v>108</v>
      </c>
      <c r="BR289" s="36" t="e">
        <f>VLOOKUP(BQ289, Cat_Indicadores!B:C, 2, FALSE)</f>
        <v>#N/A</v>
      </c>
      <c r="BS289" s="35" t="s">
        <v>5592</v>
      </c>
      <c r="BT289" s="35"/>
    </row>
    <row r="290" spans="1:72">
      <c r="A290" s="29" t="s">
        <v>1218</v>
      </c>
      <c r="B290" s="30" t="s">
        <v>1219</v>
      </c>
      <c r="C290" s="31">
        <v>46254.671261574076</v>
      </c>
      <c r="D290" s="30">
        <v>92</v>
      </c>
      <c r="E290" s="30" t="s">
        <v>74</v>
      </c>
      <c r="F290" s="30" t="s">
        <v>75</v>
      </c>
      <c r="G290" s="30" t="s">
        <v>133</v>
      </c>
      <c r="H290" s="30" t="s">
        <v>77</v>
      </c>
      <c r="I290" s="30" t="s">
        <v>78</v>
      </c>
      <c r="J290" s="30" t="s">
        <v>79</v>
      </c>
      <c r="K290" s="32">
        <v>800</v>
      </c>
      <c r="L290" s="32" t="s">
        <v>80</v>
      </c>
      <c r="M290" s="30" t="s">
        <v>1220</v>
      </c>
      <c r="N290" s="30" t="s">
        <v>899</v>
      </c>
      <c r="O290" s="30" t="s">
        <v>83</v>
      </c>
      <c r="P290" s="33">
        <v>46222</v>
      </c>
      <c r="Q290" s="33">
        <v>46222</v>
      </c>
      <c r="R290" s="32">
        <v>1</v>
      </c>
      <c r="S290" s="30" t="s">
        <v>84</v>
      </c>
      <c r="T290" s="30" t="s">
        <v>117</v>
      </c>
      <c r="U290" s="30" t="s">
        <v>86</v>
      </c>
      <c r="V290" s="30" t="s">
        <v>87</v>
      </c>
      <c r="W290" s="30" t="s">
        <v>88</v>
      </c>
      <c r="X290" s="30" t="s">
        <v>197</v>
      </c>
      <c r="Y290" s="30" t="s">
        <v>1046</v>
      </c>
      <c r="AB290" s="30" t="b">
        <v>0</v>
      </c>
      <c r="AC290" s="30"/>
      <c r="AD290" s="30" t="b">
        <v>0</v>
      </c>
      <c r="AF290" s="30" t="b">
        <v>0</v>
      </c>
      <c r="AH290" s="32" t="s">
        <v>91</v>
      </c>
      <c r="AI290" s="32"/>
      <c r="AJ290" s="32"/>
      <c r="AK290" s="32"/>
      <c r="AL290" s="30" t="s">
        <v>92</v>
      </c>
      <c r="AM290" s="30" t="s">
        <v>93</v>
      </c>
      <c r="AN290" s="30" t="s">
        <v>94</v>
      </c>
      <c r="AO290" s="30" t="s">
        <v>142</v>
      </c>
      <c r="AP290" s="30" t="s">
        <v>143</v>
      </c>
      <c r="AQ290" s="30" t="s">
        <v>232</v>
      </c>
      <c r="AR290" s="30" t="s">
        <v>691</v>
      </c>
      <c r="AT290" s="30" t="s">
        <v>99</v>
      </c>
      <c r="AU290" s="30" t="s">
        <v>146</v>
      </c>
      <c r="AV290" s="30" t="s">
        <v>839</v>
      </c>
      <c r="AW290" s="30" t="s">
        <v>102</v>
      </c>
      <c r="AX290" s="34" t="s">
        <v>86</v>
      </c>
      <c r="AY290" s="34" t="s">
        <v>103</v>
      </c>
      <c r="AZ290" s="34"/>
      <c r="BA290" s="34"/>
      <c r="BB290" s="34"/>
      <c r="BC290" s="34">
        <v>0</v>
      </c>
      <c r="BD290" s="34"/>
      <c r="BE290" s="34"/>
      <c r="BF290" s="34" t="b">
        <v>0</v>
      </c>
      <c r="BG290" s="34"/>
      <c r="BH290" s="34"/>
      <c r="BI290" s="34"/>
      <c r="BJ290" s="34"/>
      <c r="BK290" s="34"/>
      <c r="BL290" s="34"/>
      <c r="BM290" s="34" t="s">
        <v>168</v>
      </c>
      <c r="BN290" s="34"/>
      <c r="BO290" s="35"/>
      <c r="BP290" s="35"/>
      <c r="BQ290" s="35" t="s">
        <v>108</v>
      </c>
      <c r="BR290" s="36" t="e">
        <f>VLOOKUP(BQ290, Cat_Indicadores!B:C, 2, FALSE)</f>
        <v>#N/A</v>
      </c>
      <c r="BS290" s="35" t="s">
        <v>5592</v>
      </c>
      <c r="BT290" s="35"/>
    </row>
    <row r="291" spans="1:72">
      <c r="A291" s="29" t="s">
        <v>1221</v>
      </c>
      <c r="B291" s="30" t="s">
        <v>1222</v>
      </c>
      <c r="C291" s="31">
        <v>46254.674293981479</v>
      </c>
      <c r="D291" s="30">
        <v>92</v>
      </c>
      <c r="E291" s="30" t="s">
        <v>74</v>
      </c>
      <c r="F291" s="30" t="s">
        <v>75</v>
      </c>
      <c r="G291" s="30" t="s">
        <v>133</v>
      </c>
      <c r="H291" s="30" t="s">
        <v>77</v>
      </c>
      <c r="I291" s="30" t="s">
        <v>78</v>
      </c>
      <c r="J291" s="30" t="s">
        <v>79</v>
      </c>
      <c r="K291" s="32">
        <v>800</v>
      </c>
      <c r="L291" s="32" t="s">
        <v>80</v>
      </c>
      <c r="M291" s="30" t="s">
        <v>1223</v>
      </c>
      <c r="N291" s="30" t="s">
        <v>899</v>
      </c>
      <c r="O291" s="30" t="s">
        <v>83</v>
      </c>
      <c r="P291" s="33">
        <v>46227</v>
      </c>
      <c r="Q291" s="33">
        <v>46227</v>
      </c>
      <c r="R291" s="32">
        <v>1</v>
      </c>
      <c r="S291" s="30" t="s">
        <v>84</v>
      </c>
      <c r="T291" s="30" t="s">
        <v>117</v>
      </c>
      <c r="U291" s="30" t="s">
        <v>86</v>
      </c>
      <c r="V291" s="30" t="s">
        <v>87</v>
      </c>
      <c r="W291" s="30" t="s">
        <v>88</v>
      </c>
      <c r="X291" s="30" t="s">
        <v>197</v>
      </c>
      <c r="Y291" s="30" t="s">
        <v>1046</v>
      </c>
      <c r="AB291" s="30" t="b">
        <v>0</v>
      </c>
      <c r="AC291" s="30"/>
      <c r="AD291" s="30" t="b">
        <v>0</v>
      </c>
      <c r="AF291" s="30" t="b">
        <v>0</v>
      </c>
      <c r="AH291" s="32" t="s">
        <v>91</v>
      </c>
      <c r="AI291" s="32"/>
      <c r="AJ291" s="32"/>
      <c r="AK291" s="32"/>
      <c r="AL291" s="30" t="s">
        <v>92</v>
      </c>
      <c r="AM291" s="30" t="s">
        <v>93</v>
      </c>
      <c r="AN291" s="30" t="s">
        <v>94</v>
      </c>
      <c r="AO291" s="30" t="s">
        <v>142</v>
      </c>
      <c r="AP291" s="30" t="s">
        <v>143</v>
      </c>
      <c r="AQ291" s="30" t="s">
        <v>232</v>
      </c>
      <c r="AR291" s="30" t="s">
        <v>691</v>
      </c>
      <c r="AT291" s="30" t="s">
        <v>99</v>
      </c>
      <c r="AU291" s="30" t="s">
        <v>146</v>
      </c>
      <c r="AV291" s="30" t="s">
        <v>839</v>
      </c>
      <c r="AW291" s="30" t="s">
        <v>102</v>
      </c>
      <c r="AX291" s="34" t="s">
        <v>86</v>
      </c>
      <c r="AY291" s="34" t="s">
        <v>103</v>
      </c>
      <c r="AZ291" s="34"/>
      <c r="BA291" s="34"/>
      <c r="BB291" s="34"/>
      <c r="BC291" s="34">
        <v>0</v>
      </c>
      <c r="BD291" s="34"/>
      <c r="BE291" s="34"/>
      <c r="BF291" s="34" t="b">
        <v>0</v>
      </c>
      <c r="BG291" s="34"/>
      <c r="BH291" s="34"/>
      <c r="BI291" s="34"/>
      <c r="BJ291" s="34"/>
      <c r="BK291" s="34"/>
      <c r="BL291" s="34"/>
      <c r="BM291" s="34" t="s">
        <v>168</v>
      </c>
      <c r="BN291" s="34"/>
      <c r="BO291" s="35"/>
      <c r="BP291" s="35"/>
      <c r="BQ291" s="35" t="s">
        <v>108</v>
      </c>
      <c r="BR291" s="36" t="e">
        <f>VLOOKUP(BQ291, Cat_Indicadores!B:C, 2, FALSE)</f>
        <v>#N/A</v>
      </c>
      <c r="BS291" s="35" t="s">
        <v>5592</v>
      </c>
      <c r="BT291" s="35"/>
    </row>
    <row r="292" spans="1:72">
      <c r="A292" s="29" t="s">
        <v>1224</v>
      </c>
      <c r="B292" s="30" t="s">
        <v>1225</v>
      </c>
      <c r="C292" s="31">
        <v>46254.69027777778</v>
      </c>
      <c r="D292" s="30">
        <v>92</v>
      </c>
      <c r="E292" s="30" t="s">
        <v>74</v>
      </c>
      <c r="F292" s="30" t="s">
        <v>75</v>
      </c>
      <c r="G292" s="30" t="s">
        <v>133</v>
      </c>
      <c r="H292" s="30" t="s">
        <v>77</v>
      </c>
      <c r="I292" s="30" t="s">
        <v>78</v>
      </c>
      <c r="J292" s="30" t="s">
        <v>79</v>
      </c>
      <c r="K292" s="32">
        <v>800</v>
      </c>
      <c r="L292" s="32" t="s">
        <v>80</v>
      </c>
      <c r="M292" s="30" t="s">
        <v>1226</v>
      </c>
      <c r="N292" s="30" t="s">
        <v>899</v>
      </c>
      <c r="O292" s="30" t="s">
        <v>83</v>
      </c>
      <c r="P292" s="33">
        <v>46233</v>
      </c>
      <c r="Q292" s="33">
        <v>46233</v>
      </c>
      <c r="R292" s="32">
        <v>1</v>
      </c>
      <c r="S292" s="30" t="s">
        <v>84</v>
      </c>
      <c r="T292" s="30" t="s">
        <v>117</v>
      </c>
      <c r="U292" s="30" t="s">
        <v>86</v>
      </c>
      <c r="V292" s="30" t="s">
        <v>87</v>
      </c>
      <c r="W292" s="30" t="s">
        <v>88</v>
      </c>
      <c r="X292" s="30" t="s">
        <v>197</v>
      </c>
      <c r="Y292" s="30" t="s">
        <v>1046</v>
      </c>
      <c r="AB292" s="30" t="b">
        <v>0</v>
      </c>
      <c r="AC292" s="30"/>
      <c r="AD292" s="30" t="b">
        <v>0</v>
      </c>
      <c r="AF292" s="30" t="b">
        <v>0</v>
      </c>
      <c r="AH292" s="32" t="s">
        <v>91</v>
      </c>
      <c r="AI292" s="32"/>
      <c r="AJ292" s="32"/>
      <c r="AK292" s="32"/>
      <c r="AL292" s="30" t="s">
        <v>92</v>
      </c>
      <c r="AM292" s="30" t="s">
        <v>93</v>
      </c>
      <c r="AN292" s="30" t="s">
        <v>94</v>
      </c>
      <c r="AO292" s="30" t="s">
        <v>142</v>
      </c>
      <c r="AP292" s="30" t="s">
        <v>143</v>
      </c>
      <c r="AQ292" s="30" t="s">
        <v>232</v>
      </c>
      <c r="AR292" s="30" t="s">
        <v>691</v>
      </c>
      <c r="AT292" s="30" t="s">
        <v>99</v>
      </c>
      <c r="AU292" s="30" t="s">
        <v>146</v>
      </c>
      <c r="AV292" s="30" t="s">
        <v>839</v>
      </c>
      <c r="AW292" s="30" t="s">
        <v>102</v>
      </c>
      <c r="AX292" s="34" t="s">
        <v>86</v>
      </c>
      <c r="AY292" s="34" t="s">
        <v>103</v>
      </c>
      <c r="AZ292" s="34"/>
      <c r="BA292" s="34"/>
      <c r="BB292" s="34"/>
      <c r="BC292" s="34">
        <v>0</v>
      </c>
      <c r="BD292" s="34"/>
      <c r="BE292" s="34"/>
      <c r="BF292" s="34" t="b">
        <v>0</v>
      </c>
      <c r="BG292" s="34"/>
      <c r="BH292" s="34"/>
      <c r="BI292" s="34"/>
      <c r="BJ292" s="34"/>
      <c r="BK292" s="34"/>
      <c r="BL292" s="34"/>
      <c r="BM292" s="34" t="s">
        <v>168</v>
      </c>
      <c r="BN292" s="34"/>
      <c r="BO292" s="35"/>
      <c r="BP292" s="35"/>
      <c r="BQ292" s="35" t="s">
        <v>108</v>
      </c>
      <c r="BR292" s="36" t="e">
        <f>VLOOKUP(BQ292, Cat_Indicadores!B:C, 2, FALSE)</f>
        <v>#N/A</v>
      </c>
      <c r="BS292" s="35" t="s">
        <v>5592</v>
      </c>
      <c r="BT292" s="35"/>
    </row>
    <row r="293" spans="1:72">
      <c r="A293" s="29" t="s">
        <v>1227</v>
      </c>
      <c r="B293" s="30" t="s">
        <v>1228</v>
      </c>
      <c r="C293" s="31">
        <v>46254.694351851853</v>
      </c>
      <c r="D293" s="30">
        <v>92</v>
      </c>
      <c r="E293" s="30" t="s">
        <v>74</v>
      </c>
      <c r="F293" s="30" t="s">
        <v>75</v>
      </c>
      <c r="G293" s="30" t="s">
        <v>133</v>
      </c>
      <c r="H293" s="30" t="s">
        <v>77</v>
      </c>
      <c r="I293" s="30" t="s">
        <v>78</v>
      </c>
      <c r="J293" s="30" t="s">
        <v>79</v>
      </c>
      <c r="K293" s="32">
        <v>800</v>
      </c>
      <c r="L293" s="32" t="s">
        <v>80</v>
      </c>
      <c r="M293" s="30" t="s">
        <v>1229</v>
      </c>
      <c r="N293" s="30" t="s">
        <v>899</v>
      </c>
      <c r="O293" s="30" t="s">
        <v>83</v>
      </c>
      <c r="P293" s="33">
        <v>46228</v>
      </c>
      <c r="Q293" s="33">
        <v>46228</v>
      </c>
      <c r="R293" s="32">
        <v>1</v>
      </c>
      <c r="S293" s="30" t="s">
        <v>84</v>
      </c>
      <c r="T293" s="30" t="s">
        <v>117</v>
      </c>
      <c r="U293" s="30" t="s">
        <v>480</v>
      </c>
      <c r="V293" s="30" t="s">
        <v>87</v>
      </c>
      <c r="W293" s="30" t="s">
        <v>88</v>
      </c>
      <c r="X293" s="30" t="s">
        <v>197</v>
      </c>
      <c r="Y293" s="30" t="s">
        <v>1046</v>
      </c>
      <c r="AB293" s="30" t="b">
        <v>0</v>
      </c>
      <c r="AC293" s="30"/>
      <c r="AD293" s="30" t="b">
        <v>0</v>
      </c>
      <c r="AF293" s="30" t="b">
        <v>0</v>
      </c>
      <c r="AH293" s="32" t="s">
        <v>91</v>
      </c>
      <c r="AI293" s="32"/>
      <c r="AJ293" s="32"/>
      <c r="AK293" s="32"/>
      <c r="AL293" s="30" t="s">
        <v>92</v>
      </c>
      <c r="AM293" s="30" t="s">
        <v>93</v>
      </c>
      <c r="AN293" s="30" t="s">
        <v>94</v>
      </c>
      <c r="AO293" s="30" t="s">
        <v>142</v>
      </c>
      <c r="AP293" s="30" t="s">
        <v>143</v>
      </c>
      <c r="AQ293" s="30" t="s">
        <v>232</v>
      </c>
      <c r="AR293" s="30" t="s">
        <v>691</v>
      </c>
      <c r="AT293" s="30" t="s">
        <v>99</v>
      </c>
      <c r="AU293" s="30" t="s">
        <v>146</v>
      </c>
      <c r="AV293" s="30" t="s">
        <v>839</v>
      </c>
      <c r="AW293" s="30" t="s">
        <v>102</v>
      </c>
      <c r="AX293" s="34" t="s">
        <v>86</v>
      </c>
      <c r="AY293" s="34" t="s">
        <v>103</v>
      </c>
      <c r="AZ293" s="34"/>
      <c r="BA293" s="34"/>
      <c r="BB293" s="34"/>
      <c r="BC293" s="34">
        <v>0</v>
      </c>
      <c r="BD293" s="34"/>
      <c r="BE293" s="34"/>
      <c r="BF293" s="34" t="b">
        <v>0</v>
      </c>
      <c r="BG293" s="34"/>
      <c r="BH293" s="34"/>
      <c r="BI293" s="34"/>
      <c r="BJ293" s="34"/>
      <c r="BK293" s="34"/>
      <c r="BL293" s="34"/>
      <c r="BM293" s="34" t="s">
        <v>168</v>
      </c>
      <c r="BN293" s="34"/>
      <c r="BO293" s="35"/>
      <c r="BP293" s="35"/>
      <c r="BQ293" s="35" t="s">
        <v>108</v>
      </c>
      <c r="BR293" s="36" t="e">
        <f>VLOOKUP(BQ293, Cat_Indicadores!B:C, 2, FALSE)</f>
        <v>#N/A</v>
      </c>
      <c r="BS293" s="35" t="s">
        <v>5592</v>
      </c>
      <c r="BT293" s="35"/>
    </row>
    <row r="294" spans="1:72">
      <c r="A294" s="29" t="s">
        <v>1230</v>
      </c>
      <c r="B294" s="30" t="s">
        <v>1231</v>
      </c>
      <c r="C294" s="31">
        <v>46254.695925925924</v>
      </c>
      <c r="D294" s="30">
        <v>92</v>
      </c>
      <c r="E294" s="30" t="s">
        <v>74</v>
      </c>
      <c r="F294" s="30" t="s">
        <v>75</v>
      </c>
      <c r="G294" s="30" t="s">
        <v>133</v>
      </c>
      <c r="H294" s="30" t="s">
        <v>77</v>
      </c>
      <c r="I294" s="30" t="s">
        <v>78</v>
      </c>
      <c r="J294" s="30" t="s">
        <v>79</v>
      </c>
      <c r="K294" s="32">
        <v>800</v>
      </c>
      <c r="L294" s="32" t="s">
        <v>80</v>
      </c>
      <c r="M294" s="30" t="s">
        <v>1229</v>
      </c>
      <c r="N294" s="30" t="s">
        <v>899</v>
      </c>
      <c r="O294" s="30" t="s">
        <v>83</v>
      </c>
      <c r="P294" s="33">
        <v>46229</v>
      </c>
      <c r="Q294" s="33">
        <v>46229</v>
      </c>
      <c r="R294" s="32">
        <v>1</v>
      </c>
      <c r="S294" s="30" t="s">
        <v>84</v>
      </c>
      <c r="T294" s="30" t="s">
        <v>117</v>
      </c>
      <c r="U294" s="30" t="s">
        <v>480</v>
      </c>
      <c r="V294" s="30" t="s">
        <v>87</v>
      </c>
      <c r="W294" s="30" t="s">
        <v>88</v>
      </c>
      <c r="X294" s="30" t="s">
        <v>197</v>
      </c>
      <c r="Y294" s="30" t="s">
        <v>1046</v>
      </c>
      <c r="AB294" s="30" t="b">
        <v>0</v>
      </c>
      <c r="AC294" s="30"/>
      <c r="AD294" s="30" t="b">
        <v>0</v>
      </c>
      <c r="AF294" s="30" t="b">
        <v>0</v>
      </c>
      <c r="AH294" s="32" t="s">
        <v>91</v>
      </c>
      <c r="AI294" s="32"/>
      <c r="AJ294" s="32"/>
      <c r="AK294" s="32"/>
      <c r="AL294" s="30" t="s">
        <v>92</v>
      </c>
      <c r="AM294" s="30" t="s">
        <v>93</v>
      </c>
      <c r="AN294" s="30" t="s">
        <v>94</v>
      </c>
      <c r="AO294" s="30" t="s">
        <v>142</v>
      </c>
      <c r="AP294" s="30" t="s">
        <v>143</v>
      </c>
      <c r="AQ294" s="30" t="s">
        <v>232</v>
      </c>
      <c r="AR294" s="30" t="s">
        <v>691</v>
      </c>
      <c r="AT294" s="30" t="s">
        <v>99</v>
      </c>
      <c r="AU294" s="30" t="s">
        <v>146</v>
      </c>
      <c r="AV294" s="30" t="s">
        <v>839</v>
      </c>
      <c r="AW294" s="30" t="s">
        <v>102</v>
      </c>
      <c r="AX294" s="34" t="s">
        <v>86</v>
      </c>
      <c r="AY294" s="34" t="s">
        <v>103</v>
      </c>
      <c r="AZ294" s="34"/>
      <c r="BA294" s="34"/>
      <c r="BB294" s="34"/>
      <c r="BC294" s="34">
        <v>0</v>
      </c>
      <c r="BD294" s="34"/>
      <c r="BE294" s="34"/>
      <c r="BF294" s="34" t="b">
        <v>0</v>
      </c>
      <c r="BG294" s="34"/>
      <c r="BH294" s="34"/>
      <c r="BI294" s="34"/>
      <c r="BJ294" s="34"/>
      <c r="BK294" s="34"/>
      <c r="BL294" s="34"/>
      <c r="BM294" s="34" t="s">
        <v>168</v>
      </c>
      <c r="BN294" s="34"/>
      <c r="BO294" s="35"/>
      <c r="BP294" s="35"/>
      <c r="BQ294" s="35" t="s">
        <v>108</v>
      </c>
      <c r="BR294" s="36" t="e">
        <f>VLOOKUP(BQ294, Cat_Indicadores!B:C, 2, FALSE)</f>
        <v>#N/A</v>
      </c>
      <c r="BS294" s="35" t="s">
        <v>5592</v>
      </c>
      <c r="BT294" s="35"/>
    </row>
    <row r="295" spans="1:72">
      <c r="A295" s="29" t="s">
        <v>1232</v>
      </c>
      <c r="B295" s="30" t="s">
        <v>1233</v>
      </c>
      <c r="C295" s="31">
        <v>46254.701631944445</v>
      </c>
      <c r="D295" s="30">
        <v>92</v>
      </c>
      <c r="E295" s="30" t="s">
        <v>74</v>
      </c>
      <c r="F295" s="30" t="s">
        <v>75</v>
      </c>
      <c r="G295" s="30" t="s">
        <v>133</v>
      </c>
      <c r="H295" s="30" t="s">
        <v>77</v>
      </c>
      <c r="I295" s="30" t="s">
        <v>78</v>
      </c>
      <c r="J295" s="30" t="s">
        <v>79</v>
      </c>
      <c r="K295" s="32">
        <v>800</v>
      </c>
      <c r="L295" s="32" t="s">
        <v>80</v>
      </c>
      <c r="M295" s="30" t="s">
        <v>1234</v>
      </c>
      <c r="N295" s="30" t="s">
        <v>1234</v>
      </c>
      <c r="O295" s="30" t="s">
        <v>83</v>
      </c>
      <c r="P295" s="33">
        <v>46204</v>
      </c>
      <c r="Q295" s="33">
        <v>46204</v>
      </c>
      <c r="R295" s="32">
        <v>1</v>
      </c>
      <c r="S295" s="30" t="s">
        <v>264</v>
      </c>
      <c r="T295" s="30" t="s">
        <v>265</v>
      </c>
      <c r="U295" s="30" t="s">
        <v>308</v>
      </c>
      <c r="V295" s="30" t="s">
        <v>87</v>
      </c>
      <c r="W295" s="30" t="s">
        <v>88</v>
      </c>
      <c r="X295" s="30" t="s">
        <v>197</v>
      </c>
      <c r="Y295" s="30" t="s">
        <v>1046</v>
      </c>
      <c r="AB295" s="30" t="b">
        <v>0</v>
      </c>
      <c r="AC295" s="30"/>
      <c r="AD295" s="30" t="b">
        <v>0</v>
      </c>
      <c r="AF295" s="30" t="b">
        <v>0</v>
      </c>
      <c r="AH295" s="32" t="s">
        <v>91</v>
      </c>
      <c r="AI295" s="32"/>
      <c r="AJ295" s="32"/>
      <c r="AK295" s="32"/>
      <c r="AL295" s="30" t="s">
        <v>92</v>
      </c>
      <c r="AM295" s="30" t="s">
        <v>251</v>
      </c>
      <c r="AN295" s="30" t="s">
        <v>266</v>
      </c>
      <c r="AO295" s="30" t="s">
        <v>267</v>
      </c>
      <c r="AP295" s="30" t="s">
        <v>268</v>
      </c>
      <c r="AQ295" s="30" t="s">
        <v>269</v>
      </c>
      <c r="AR295" s="30" t="s">
        <v>145</v>
      </c>
      <c r="AT295" s="30" t="s">
        <v>99</v>
      </c>
      <c r="AU295" s="30" t="s">
        <v>100</v>
      </c>
      <c r="AV295" s="30" t="s">
        <v>101</v>
      </c>
      <c r="AW295" s="30" t="s">
        <v>102</v>
      </c>
      <c r="AX295" s="34" t="s">
        <v>308</v>
      </c>
      <c r="AY295" s="34" t="s">
        <v>778</v>
      </c>
      <c r="AZ295" s="34"/>
      <c r="BA295" s="34"/>
      <c r="BB295" s="34"/>
      <c r="BC295" s="34">
        <v>0</v>
      </c>
      <c r="BD295" s="34"/>
      <c r="BE295" s="34"/>
      <c r="BF295" s="34" t="b">
        <v>0</v>
      </c>
      <c r="BG295" s="34"/>
      <c r="BH295" s="34"/>
      <c r="BI295" s="34"/>
      <c r="BJ295" s="34"/>
      <c r="BK295" s="34"/>
      <c r="BL295" s="34" t="s">
        <v>208</v>
      </c>
      <c r="BM295" s="34" t="s">
        <v>106</v>
      </c>
      <c r="BN295" s="34" t="s">
        <v>107</v>
      </c>
      <c r="BO295" s="35"/>
      <c r="BP295" s="35"/>
      <c r="BQ295" s="35" t="s">
        <v>108</v>
      </c>
      <c r="BR295" s="36" t="e">
        <f>VLOOKUP(BQ295, Cat_Indicadores!B:C, 2, FALSE)</f>
        <v>#N/A</v>
      </c>
      <c r="BS295" s="35" t="s">
        <v>5592</v>
      </c>
      <c r="BT295" s="35"/>
    </row>
    <row r="296" spans="1:72">
      <c r="A296" s="29" t="s">
        <v>1235</v>
      </c>
      <c r="B296" s="30" t="s">
        <v>1236</v>
      </c>
      <c r="C296" s="31">
        <v>46254.704872685186</v>
      </c>
      <c r="D296" s="30">
        <v>92</v>
      </c>
      <c r="E296" s="30" t="s">
        <v>74</v>
      </c>
      <c r="F296" s="30" t="s">
        <v>75</v>
      </c>
      <c r="G296" s="30" t="s">
        <v>133</v>
      </c>
      <c r="H296" s="30" t="s">
        <v>77</v>
      </c>
      <c r="I296" s="30" t="s">
        <v>78</v>
      </c>
      <c r="J296" s="30" t="s">
        <v>79</v>
      </c>
      <c r="K296" s="32">
        <v>800</v>
      </c>
      <c r="L296" s="32" t="s">
        <v>80</v>
      </c>
      <c r="M296" s="30" t="s">
        <v>1237</v>
      </c>
      <c r="N296" s="30" t="s">
        <v>1238</v>
      </c>
      <c r="O296" s="30" t="s">
        <v>83</v>
      </c>
      <c r="P296" s="33">
        <v>46211</v>
      </c>
      <c r="Q296" s="33">
        <v>46211</v>
      </c>
      <c r="R296" s="32">
        <v>1</v>
      </c>
      <c r="S296" s="30" t="s">
        <v>264</v>
      </c>
      <c r="T296" s="30" t="s">
        <v>265</v>
      </c>
      <c r="U296" s="30" t="s">
        <v>308</v>
      </c>
      <c r="V296" s="30" t="s">
        <v>87</v>
      </c>
      <c r="W296" s="30" t="s">
        <v>88</v>
      </c>
      <c r="X296" s="30" t="s">
        <v>197</v>
      </c>
      <c r="Y296" s="30" t="s">
        <v>1046</v>
      </c>
      <c r="AB296" s="30" t="b">
        <v>0</v>
      </c>
      <c r="AC296" s="30"/>
      <c r="AD296" s="30" t="b">
        <v>0</v>
      </c>
      <c r="AF296" s="30" t="b">
        <v>0</v>
      </c>
      <c r="AH296" s="32" t="s">
        <v>91</v>
      </c>
      <c r="AI296" s="32"/>
      <c r="AJ296" s="32"/>
      <c r="AK296" s="32"/>
      <c r="AL296" s="30" t="s">
        <v>92</v>
      </c>
      <c r="AM296" s="30" t="s">
        <v>251</v>
      </c>
      <c r="AN296" s="30" t="s">
        <v>266</v>
      </c>
      <c r="AO296" s="30" t="s">
        <v>267</v>
      </c>
      <c r="AP296" s="30" t="s">
        <v>268</v>
      </c>
      <c r="AQ296" s="30" t="s">
        <v>269</v>
      </c>
      <c r="AR296" s="30" t="s">
        <v>145</v>
      </c>
      <c r="AT296" s="30" t="s">
        <v>99</v>
      </c>
      <c r="AU296" s="30" t="s">
        <v>100</v>
      </c>
      <c r="AV296" s="30" t="s">
        <v>101</v>
      </c>
      <c r="AW296" s="30" t="s">
        <v>102</v>
      </c>
      <c r="AX296" s="34" t="s">
        <v>308</v>
      </c>
      <c r="AY296" s="34" t="s">
        <v>778</v>
      </c>
      <c r="AZ296" s="34"/>
      <c r="BA296" s="34"/>
      <c r="BB296" s="34"/>
      <c r="BC296" s="34">
        <v>0</v>
      </c>
      <c r="BD296" s="34"/>
      <c r="BE296" s="34"/>
      <c r="BF296" s="34" t="b">
        <v>0</v>
      </c>
      <c r="BG296" s="34"/>
      <c r="BH296" s="34"/>
      <c r="BI296" s="34"/>
      <c r="BJ296" s="34"/>
      <c r="BK296" s="34"/>
      <c r="BL296" s="34" t="s">
        <v>208</v>
      </c>
      <c r="BM296" s="34" t="s">
        <v>106</v>
      </c>
      <c r="BN296" s="34" t="s">
        <v>107</v>
      </c>
      <c r="BO296" s="35"/>
      <c r="BP296" s="35"/>
      <c r="BQ296" s="35" t="s">
        <v>108</v>
      </c>
      <c r="BR296" s="36" t="e">
        <f>VLOOKUP(BQ296, Cat_Indicadores!B:C, 2, FALSE)</f>
        <v>#N/A</v>
      </c>
      <c r="BS296" s="35" t="s">
        <v>5592</v>
      </c>
      <c r="BT296" s="35"/>
    </row>
    <row r="297" spans="1:72">
      <c r="A297" s="29" t="s">
        <v>1239</v>
      </c>
      <c r="B297" s="30" t="s">
        <v>1240</v>
      </c>
      <c r="C297" s="31">
        <v>46254.709409722222</v>
      </c>
      <c r="D297" s="30">
        <v>92</v>
      </c>
      <c r="E297" s="30" t="s">
        <v>74</v>
      </c>
      <c r="F297" s="30" t="s">
        <v>75</v>
      </c>
      <c r="G297" s="30" t="s">
        <v>133</v>
      </c>
      <c r="H297" s="30" t="s">
        <v>77</v>
      </c>
      <c r="I297" s="30" t="s">
        <v>78</v>
      </c>
      <c r="J297" s="30" t="s">
        <v>79</v>
      </c>
      <c r="K297" s="32">
        <v>800</v>
      </c>
      <c r="L297" s="32" t="s">
        <v>80</v>
      </c>
      <c r="M297" s="30" t="s">
        <v>1241</v>
      </c>
      <c r="N297" s="30" t="s">
        <v>1242</v>
      </c>
      <c r="O297" s="30" t="s">
        <v>661</v>
      </c>
      <c r="P297" s="33">
        <v>46205</v>
      </c>
      <c r="Q297" s="33">
        <v>46212</v>
      </c>
      <c r="R297" s="32">
        <v>3</v>
      </c>
      <c r="S297" s="30" t="s">
        <v>264</v>
      </c>
      <c r="T297" s="30" t="s">
        <v>265</v>
      </c>
      <c r="U297" s="30" t="s">
        <v>86</v>
      </c>
      <c r="V297" s="30" t="s">
        <v>87</v>
      </c>
      <c r="W297" s="30" t="s">
        <v>88</v>
      </c>
      <c r="X297" s="30" t="s">
        <v>197</v>
      </c>
      <c r="Y297" s="30" t="s">
        <v>1046</v>
      </c>
      <c r="AB297" s="30" t="b">
        <v>0</v>
      </c>
      <c r="AC297" s="30"/>
      <c r="AD297" s="30" t="b">
        <v>0</v>
      </c>
      <c r="AF297" s="30" t="b">
        <v>0</v>
      </c>
      <c r="AH297" s="32" t="s">
        <v>91</v>
      </c>
      <c r="AI297" s="32"/>
      <c r="AJ297" s="32"/>
      <c r="AK297" s="32"/>
      <c r="AL297" s="30" t="s">
        <v>92</v>
      </c>
      <c r="AM297" s="30" t="s">
        <v>251</v>
      </c>
      <c r="AN297" s="30" t="s">
        <v>266</v>
      </c>
      <c r="AO297" s="30" t="s">
        <v>267</v>
      </c>
      <c r="AP297" s="30" t="s">
        <v>268</v>
      </c>
      <c r="AQ297" s="30" t="s">
        <v>269</v>
      </c>
      <c r="AR297" s="30" t="s">
        <v>145</v>
      </c>
      <c r="AT297" s="30" t="s">
        <v>99</v>
      </c>
      <c r="AU297" s="30" t="s">
        <v>100</v>
      </c>
      <c r="AV297" s="30" t="s">
        <v>101</v>
      </c>
      <c r="AW297" s="30" t="s">
        <v>102</v>
      </c>
      <c r="AX297" s="34" t="s">
        <v>86</v>
      </c>
      <c r="AY297" s="34" t="s">
        <v>778</v>
      </c>
      <c r="AZ297" s="34"/>
      <c r="BA297" s="34"/>
      <c r="BB297" s="34"/>
      <c r="BC297" s="34">
        <v>0</v>
      </c>
      <c r="BD297" s="34"/>
      <c r="BE297" s="34"/>
      <c r="BF297" s="34" t="b">
        <v>0</v>
      </c>
      <c r="BG297" s="34"/>
      <c r="BH297" s="34"/>
      <c r="BI297" s="34"/>
      <c r="BJ297" s="34"/>
      <c r="BK297" s="34"/>
      <c r="BL297" s="34"/>
      <c r="BM297" s="34" t="s">
        <v>168</v>
      </c>
      <c r="BN297" s="34"/>
      <c r="BO297" s="35"/>
      <c r="BP297" s="35"/>
      <c r="BQ297" s="35" t="s">
        <v>108</v>
      </c>
      <c r="BR297" s="36" t="e">
        <f>VLOOKUP(BQ297, Cat_Indicadores!B:C, 2, FALSE)</f>
        <v>#N/A</v>
      </c>
      <c r="BS297" s="35" t="s">
        <v>5592</v>
      </c>
      <c r="BT297" s="35"/>
    </row>
    <row r="298" spans="1:72">
      <c r="A298" s="29" t="s">
        <v>1243</v>
      </c>
      <c r="B298" s="30" t="s">
        <v>1244</v>
      </c>
      <c r="C298" s="31">
        <v>46254.712094907409</v>
      </c>
      <c r="D298" s="30">
        <v>92</v>
      </c>
      <c r="E298" s="30" t="s">
        <v>74</v>
      </c>
      <c r="F298" s="30" t="s">
        <v>75</v>
      </c>
      <c r="G298" s="30" t="s">
        <v>133</v>
      </c>
      <c r="H298" s="30" t="s">
        <v>77</v>
      </c>
      <c r="I298" s="30" t="s">
        <v>78</v>
      </c>
      <c r="J298" s="30" t="s">
        <v>79</v>
      </c>
      <c r="K298" s="32">
        <v>800</v>
      </c>
      <c r="L298" s="32" t="s">
        <v>80</v>
      </c>
      <c r="M298" s="30" t="s">
        <v>1245</v>
      </c>
      <c r="N298" s="30" t="s">
        <v>1246</v>
      </c>
      <c r="O298" s="30" t="s">
        <v>83</v>
      </c>
      <c r="P298" s="33">
        <v>46221</v>
      </c>
      <c r="Q298" s="33">
        <v>46221</v>
      </c>
      <c r="R298" s="32">
        <v>1</v>
      </c>
      <c r="S298" s="30" t="s">
        <v>243</v>
      </c>
      <c r="T298" s="30" t="s">
        <v>398</v>
      </c>
      <c r="U298" s="30" t="s">
        <v>86</v>
      </c>
      <c r="V298" s="30" t="s">
        <v>87</v>
      </c>
      <c r="W298" s="30" t="s">
        <v>88</v>
      </c>
      <c r="X298" s="30" t="s">
        <v>197</v>
      </c>
      <c r="Y298" s="30" t="s">
        <v>1046</v>
      </c>
      <c r="AB298" s="30" t="b">
        <v>0</v>
      </c>
      <c r="AC298" s="30"/>
      <c r="AD298" s="30" t="b">
        <v>0</v>
      </c>
      <c r="AF298" s="30" t="b">
        <v>0</v>
      </c>
      <c r="AH298" s="32" t="s">
        <v>91</v>
      </c>
      <c r="AI298" s="32"/>
      <c r="AJ298" s="32"/>
      <c r="AK298" s="32"/>
      <c r="AL298" s="30" t="s">
        <v>92</v>
      </c>
      <c r="AM298" s="30" t="s">
        <v>93</v>
      </c>
      <c r="AN298" s="30" t="s">
        <v>94</v>
      </c>
      <c r="AO298" s="30" t="s">
        <v>142</v>
      </c>
      <c r="AP298" s="30" t="s">
        <v>143</v>
      </c>
      <c r="AQ298" s="30" t="s">
        <v>232</v>
      </c>
      <c r="AR298" s="30" t="s">
        <v>145</v>
      </c>
      <c r="AT298" s="30" t="s">
        <v>99</v>
      </c>
      <c r="AU298" s="30" t="s">
        <v>100</v>
      </c>
      <c r="AV298" s="30" t="s">
        <v>101</v>
      </c>
      <c r="AW298" s="30" t="s">
        <v>102</v>
      </c>
      <c r="AX298" s="34" t="s">
        <v>86</v>
      </c>
      <c r="AY298" s="34" t="s">
        <v>778</v>
      </c>
      <c r="AZ298" s="34"/>
      <c r="BA298" s="34"/>
      <c r="BB298" s="34"/>
      <c r="BC298" s="34">
        <v>0</v>
      </c>
      <c r="BD298" s="34"/>
      <c r="BE298" s="34"/>
      <c r="BF298" s="34" t="b">
        <v>0</v>
      </c>
      <c r="BG298" s="34"/>
      <c r="BH298" s="34"/>
      <c r="BI298" s="34"/>
      <c r="BJ298" s="34"/>
      <c r="BK298" s="34"/>
      <c r="BL298" s="34" t="s">
        <v>208</v>
      </c>
      <c r="BM298" s="34" t="s">
        <v>106</v>
      </c>
      <c r="BN298" s="34" t="s">
        <v>107</v>
      </c>
      <c r="BO298" s="35"/>
      <c r="BP298" s="35"/>
      <c r="BQ298" s="35" t="s">
        <v>108</v>
      </c>
      <c r="BR298" s="36" t="e">
        <f>VLOOKUP(BQ298, Cat_Indicadores!B:C, 2, FALSE)</f>
        <v>#N/A</v>
      </c>
      <c r="BS298" s="35" t="s">
        <v>5592</v>
      </c>
      <c r="BT298" s="35"/>
    </row>
    <row r="299" spans="1:72">
      <c r="A299" s="29" t="s">
        <v>1247</v>
      </c>
      <c r="B299" s="30" t="s">
        <v>1248</v>
      </c>
      <c r="C299" s="31">
        <v>46254.714594907404</v>
      </c>
      <c r="D299" s="30">
        <v>92</v>
      </c>
      <c r="E299" s="30" t="s">
        <v>74</v>
      </c>
      <c r="F299" s="30" t="s">
        <v>75</v>
      </c>
      <c r="G299" s="30" t="s">
        <v>133</v>
      </c>
      <c r="H299" s="30" t="s">
        <v>77</v>
      </c>
      <c r="I299" s="30" t="s">
        <v>78</v>
      </c>
      <c r="J299" s="30" t="s">
        <v>79</v>
      </c>
      <c r="K299" s="32">
        <v>800</v>
      </c>
      <c r="L299" s="32" t="s">
        <v>80</v>
      </c>
      <c r="M299" s="30" t="s">
        <v>1249</v>
      </c>
      <c r="N299" s="30" t="s">
        <v>1250</v>
      </c>
      <c r="O299" s="30" t="s">
        <v>83</v>
      </c>
      <c r="P299" s="33">
        <v>46213</v>
      </c>
      <c r="Q299" s="33">
        <v>46213</v>
      </c>
      <c r="R299" s="32">
        <v>1</v>
      </c>
      <c r="S299" s="30" t="s">
        <v>194</v>
      </c>
      <c r="T299" s="30" t="s">
        <v>195</v>
      </c>
      <c r="U299" s="30" t="s">
        <v>160</v>
      </c>
      <c r="V299" s="30" t="s">
        <v>87</v>
      </c>
      <c r="W299" s="30" t="s">
        <v>88</v>
      </c>
      <c r="X299" s="30" t="s">
        <v>197</v>
      </c>
      <c r="Y299" s="30" t="s">
        <v>1046</v>
      </c>
      <c r="AB299" s="30" t="b">
        <v>0</v>
      </c>
      <c r="AC299" s="30"/>
      <c r="AD299" s="30" t="b">
        <v>0</v>
      </c>
      <c r="AF299" s="30" t="b">
        <v>0</v>
      </c>
      <c r="AH299" s="32" t="s">
        <v>91</v>
      </c>
      <c r="AI299" s="32"/>
      <c r="AJ299" s="32"/>
      <c r="AK299" s="32"/>
      <c r="AL299" s="30" t="s">
        <v>92</v>
      </c>
      <c r="AM299" s="30" t="s">
        <v>93</v>
      </c>
      <c r="AN299" s="30" t="s">
        <v>94</v>
      </c>
      <c r="AO299" s="30" t="s">
        <v>142</v>
      </c>
      <c r="AP299" s="30" t="s">
        <v>143</v>
      </c>
      <c r="AQ299" s="30" t="s">
        <v>232</v>
      </c>
      <c r="AR299" s="30" t="s">
        <v>145</v>
      </c>
      <c r="AT299" s="30" t="s">
        <v>99</v>
      </c>
      <c r="AU299" s="30" t="s">
        <v>100</v>
      </c>
      <c r="AV299" s="30" t="s">
        <v>101</v>
      </c>
      <c r="AW299" s="30" t="s">
        <v>102</v>
      </c>
      <c r="AX299" s="34" t="s">
        <v>160</v>
      </c>
      <c r="AY299" s="34" t="s">
        <v>778</v>
      </c>
      <c r="AZ299" s="34"/>
      <c r="BA299" s="34"/>
      <c r="BB299" s="34"/>
      <c r="BC299" s="34">
        <v>0</v>
      </c>
      <c r="BD299" s="34"/>
      <c r="BE299" s="34"/>
      <c r="BF299" s="34" t="b">
        <v>0</v>
      </c>
      <c r="BG299" s="34"/>
      <c r="BH299" s="34"/>
      <c r="BI299" s="34"/>
      <c r="BJ299" s="34"/>
      <c r="BK299" s="34"/>
      <c r="BL299" s="34" t="s">
        <v>208</v>
      </c>
      <c r="BM299" s="34" t="s">
        <v>106</v>
      </c>
      <c r="BN299" s="34" t="s">
        <v>107</v>
      </c>
      <c r="BO299" s="35"/>
      <c r="BP299" s="35"/>
      <c r="BQ299" s="35" t="s">
        <v>108</v>
      </c>
      <c r="BR299" s="36" t="e">
        <f>VLOOKUP(BQ299, Cat_Indicadores!B:C, 2, FALSE)</f>
        <v>#N/A</v>
      </c>
      <c r="BS299" s="35" t="s">
        <v>5592</v>
      </c>
      <c r="BT299" s="35"/>
    </row>
    <row r="300" spans="1:72">
      <c r="A300" s="29" t="s">
        <v>1251</v>
      </c>
      <c r="B300" s="30" t="s">
        <v>1252</v>
      </c>
      <c r="C300" s="31">
        <v>46254.716828703706</v>
      </c>
      <c r="D300" s="30">
        <v>92</v>
      </c>
      <c r="E300" s="30" t="s">
        <v>74</v>
      </c>
      <c r="F300" s="30" t="s">
        <v>75</v>
      </c>
      <c r="G300" s="30" t="s">
        <v>133</v>
      </c>
      <c r="H300" s="30" t="s">
        <v>77</v>
      </c>
      <c r="I300" s="30" t="s">
        <v>78</v>
      </c>
      <c r="J300" s="30" t="s">
        <v>79</v>
      </c>
      <c r="K300" s="32">
        <v>800</v>
      </c>
      <c r="L300" s="32" t="s">
        <v>80</v>
      </c>
      <c r="M300" s="30" t="s">
        <v>1253</v>
      </c>
      <c r="N300" s="30" t="s">
        <v>1246</v>
      </c>
      <c r="O300" s="30" t="s">
        <v>83</v>
      </c>
      <c r="P300" s="33">
        <v>46227</v>
      </c>
      <c r="Q300" s="33">
        <v>46227</v>
      </c>
      <c r="R300" s="32">
        <v>1</v>
      </c>
      <c r="S300" s="30" t="s">
        <v>194</v>
      </c>
      <c r="T300" s="30" t="s">
        <v>195</v>
      </c>
      <c r="U300" s="30" t="s">
        <v>160</v>
      </c>
      <c r="V300" s="30" t="s">
        <v>87</v>
      </c>
      <c r="W300" s="30" t="s">
        <v>88</v>
      </c>
      <c r="X300" s="30" t="s">
        <v>197</v>
      </c>
      <c r="Y300" s="30" t="s">
        <v>1046</v>
      </c>
      <c r="AB300" s="30" t="b">
        <v>0</v>
      </c>
      <c r="AC300" s="30"/>
      <c r="AD300" s="30" t="b">
        <v>0</v>
      </c>
      <c r="AF300" s="30" t="b">
        <v>0</v>
      </c>
      <c r="AH300" s="32" t="s">
        <v>91</v>
      </c>
      <c r="AI300" s="32"/>
      <c r="AJ300" s="32"/>
      <c r="AK300" s="32"/>
      <c r="AL300" s="30" t="s">
        <v>92</v>
      </c>
      <c r="AM300" s="30" t="s">
        <v>93</v>
      </c>
      <c r="AN300" s="30" t="s">
        <v>94</v>
      </c>
      <c r="AO300" s="30" t="s">
        <v>142</v>
      </c>
      <c r="AP300" s="30" t="s">
        <v>143</v>
      </c>
      <c r="AQ300" s="30" t="s">
        <v>232</v>
      </c>
      <c r="AR300" s="30" t="s">
        <v>145</v>
      </c>
      <c r="AT300" s="30" t="s">
        <v>99</v>
      </c>
      <c r="AU300" s="30" t="s">
        <v>100</v>
      </c>
      <c r="AV300" s="30" t="s">
        <v>101</v>
      </c>
      <c r="AW300" s="30" t="s">
        <v>102</v>
      </c>
      <c r="AX300" s="34" t="s">
        <v>160</v>
      </c>
      <c r="AY300" s="34" t="s">
        <v>778</v>
      </c>
      <c r="AZ300" s="34"/>
      <c r="BA300" s="34"/>
      <c r="BB300" s="34"/>
      <c r="BC300" s="34">
        <v>0</v>
      </c>
      <c r="BD300" s="34"/>
      <c r="BE300" s="34"/>
      <c r="BF300" s="34" t="b">
        <v>0</v>
      </c>
      <c r="BG300" s="34"/>
      <c r="BH300" s="34"/>
      <c r="BI300" s="34"/>
      <c r="BJ300" s="34"/>
      <c r="BK300" s="34"/>
      <c r="BL300" s="34" t="s">
        <v>208</v>
      </c>
      <c r="BM300" s="34" t="s">
        <v>106</v>
      </c>
      <c r="BN300" s="34" t="s">
        <v>107</v>
      </c>
      <c r="BO300" s="35"/>
      <c r="BP300" s="35"/>
      <c r="BQ300" s="35" t="s">
        <v>108</v>
      </c>
      <c r="BR300" s="36" t="e">
        <f>VLOOKUP(BQ300, Cat_Indicadores!B:C, 2, FALSE)</f>
        <v>#N/A</v>
      </c>
      <c r="BS300" s="35" t="s">
        <v>5592</v>
      </c>
      <c r="BT300" s="35"/>
    </row>
    <row r="301" spans="1:72">
      <c r="A301" s="29" t="s">
        <v>1254</v>
      </c>
      <c r="B301" s="30" t="s">
        <v>1255</v>
      </c>
      <c r="C301" s="31">
        <v>46254.72011574074</v>
      </c>
      <c r="D301" s="30">
        <v>92</v>
      </c>
      <c r="E301" s="30" t="s">
        <v>74</v>
      </c>
      <c r="F301" s="30" t="s">
        <v>75</v>
      </c>
      <c r="G301" s="30" t="s">
        <v>133</v>
      </c>
      <c r="H301" s="30" t="s">
        <v>77</v>
      </c>
      <c r="I301" s="30" t="s">
        <v>78</v>
      </c>
      <c r="J301" s="30" t="s">
        <v>79</v>
      </c>
      <c r="K301" s="32">
        <v>800</v>
      </c>
      <c r="L301" s="32" t="s">
        <v>80</v>
      </c>
      <c r="M301" s="30" t="s">
        <v>1256</v>
      </c>
      <c r="N301" s="30" t="s">
        <v>1257</v>
      </c>
      <c r="O301" s="30" t="s">
        <v>83</v>
      </c>
      <c r="P301" s="33">
        <v>46214</v>
      </c>
      <c r="Q301" s="33">
        <v>46214</v>
      </c>
      <c r="R301" s="32">
        <v>1</v>
      </c>
      <c r="S301" s="30" t="s">
        <v>264</v>
      </c>
      <c r="T301" s="30" t="s">
        <v>265</v>
      </c>
      <c r="U301" s="30" t="s">
        <v>216</v>
      </c>
      <c r="V301" s="30" t="s">
        <v>87</v>
      </c>
      <c r="W301" s="30" t="s">
        <v>88</v>
      </c>
      <c r="X301" s="30" t="s">
        <v>197</v>
      </c>
      <c r="Y301" s="30" t="s">
        <v>1046</v>
      </c>
      <c r="AB301" s="30" t="b">
        <v>0</v>
      </c>
      <c r="AC301" s="30"/>
      <c r="AD301" s="30" t="b">
        <v>0</v>
      </c>
      <c r="AF301" s="30" t="b">
        <v>0</v>
      </c>
      <c r="AH301" s="32" t="s">
        <v>91</v>
      </c>
      <c r="AI301" s="32"/>
      <c r="AJ301" s="32"/>
      <c r="AK301" s="32"/>
      <c r="AL301" s="30" t="s">
        <v>92</v>
      </c>
      <c r="AM301" s="30" t="s">
        <v>93</v>
      </c>
      <c r="AN301" s="30" t="s">
        <v>94</v>
      </c>
      <c r="AO301" s="30" t="s">
        <v>142</v>
      </c>
      <c r="AP301" s="30" t="s">
        <v>143</v>
      </c>
      <c r="AQ301" s="30" t="s">
        <v>232</v>
      </c>
      <c r="AR301" s="30" t="s">
        <v>145</v>
      </c>
      <c r="AT301" s="30" t="s">
        <v>99</v>
      </c>
      <c r="AU301" s="30" t="s">
        <v>100</v>
      </c>
      <c r="AV301" s="30" t="s">
        <v>101</v>
      </c>
      <c r="AW301" s="30" t="s">
        <v>102</v>
      </c>
      <c r="AX301" s="34" t="s">
        <v>221</v>
      </c>
      <c r="AY301" s="34" t="s">
        <v>778</v>
      </c>
      <c r="AZ301" s="34"/>
      <c r="BA301" s="34"/>
      <c r="BB301" s="34"/>
      <c r="BC301" s="34">
        <v>0</v>
      </c>
      <c r="BD301" s="34"/>
      <c r="BE301" s="34"/>
      <c r="BF301" s="34" t="b">
        <v>0</v>
      </c>
      <c r="BG301" s="34"/>
      <c r="BH301" s="34"/>
      <c r="BI301" s="34"/>
      <c r="BJ301" s="34"/>
      <c r="BK301" s="34"/>
      <c r="BL301" s="34" t="s">
        <v>208</v>
      </c>
      <c r="BM301" s="34" t="s">
        <v>106</v>
      </c>
      <c r="BN301" s="34" t="s">
        <v>107</v>
      </c>
      <c r="BO301" s="35"/>
      <c r="BP301" s="35"/>
      <c r="BQ301" s="35" t="s">
        <v>108</v>
      </c>
      <c r="BR301" s="36" t="e">
        <f>VLOOKUP(BQ301, Cat_Indicadores!B:C, 2, FALSE)</f>
        <v>#N/A</v>
      </c>
      <c r="BS301" s="35" t="s">
        <v>5592</v>
      </c>
      <c r="BT301" s="35"/>
    </row>
    <row r="302" spans="1:72">
      <c r="A302" s="29" t="s">
        <v>1258</v>
      </c>
      <c r="B302" s="30" t="s">
        <v>1259</v>
      </c>
      <c r="C302" s="31">
        <v>46254.722395833334</v>
      </c>
      <c r="D302" s="30">
        <v>92</v>
      </c>
      <c r="E302" s="30" t="s">
        <v>74</v>
      </c>
      <c r="F302" s="30" t="s">
        <v>75</v>
      </c>
      <c r="G302" s="30" t="s">
        <v>133</v>
      </c>
      <c r="H302" s="30" t="s">
        <v>77</v>
      </c>
      <c r="I302" s="30" t="s">
        <v>78</v>
      </c>
      <c r="J302" s="30" t="s">
        <v>79</v>
      </c>
      <c r="K302" s="32">
        <v>800</v>
      </c>
      <c r="L302" s="32" t="s">
        <v>80</v>
      </c>
      <c r="M302" s="30" t="s">
        <v>1260</v>
      </c>
      <c r="N302" s="30" t="s">
        <v>1261</v>
      </c>
      <c r="O302" s="30" t="s">
        <v>83</v>
      </c>
      <c r="P302" s="33">
        <v>46214</v>
      </c>
      <c r="Q302" s="33">
        <v>46214</v>
      </c>
      <c r="R302" s="32">
        <v>1</v>
      </c>
      <c r="S302" s="30" t="s">
        <v>214</v>
      </c>
      <c r="T302" s="30" t="s">
        <v>215</v>
      </c>
      <c r="U302" s="30" t="s">
        <v>216</v>
      </c>
      <c r="V302" s="30" t="s">
        <v>87</v>
      </c>
      <c r="W302" s="30" t="s">
        <v>88</v>
      </c>
      <c r="X302" s="30" t="s">
        <v>197</v>
      </c>
      <c r="Y302" s="30" t="s">
        <v>1046</v>
      </c>
      <c r="AB302" s="30" t="b">
        <v>0</v>
      </c>
      <c r="AC302" s="30"/>
      <c r="AD302" s="30" t="b">
        <v>0</v>
      </c>
      <c r="AF302" s="30" t="b">
        <v>0</v>
      </c>
      <c r="AH302" s="32" t="s">
        <v>91</v>
      </c>
      <c r="AI302" s="32"/>
      <c r="AJ302" s="32"/>
      <c r="AK302" s="32"/>
      <c r="AL302" s="30" t="s">
        <v>92</v>
      </c>
      <c r="AM302" s="30" t="s">
        <v>93</v>
      </c>
      <c r="AN302" s="30" t="s">
        <v>94</v>
      </c>
      <c r="AO302" s="30" t="s">
        <v>142</v>
      </c>
      <c r="AP302" s="30" t="s">
        <v>143</v>
      </c>
      <c r="AQ302" s="30" t="s">
        <v>232</v>
      </c>
      <c r="AR302" s="30" t="s">
        <v>145</v>
      </c>
      <c r="AT302" s="30" t="s">
        <v>99</v>
      </c>
      <c r="AU302" s="30" t="s">
        <v>100</v>
      </c>
      <c r="AV302" s="30" t="s">
        <v>101</v>
      </c>
      <c r="AW302" s="30" t="s">
        <v>102</v>
      </c>
      <c r="AX302" s="34" t="s">
        <v>221</v>
      </c>
      <c r="AY302" s="34" t="s">
        <v>778</v>
      </c>
      <c r="AZ302" s="34"/>
      <c r="BA302" s="34"/>
      <c r="BB302" s="34"/>
      <c r="BC302" s="34">
        <v>0</v>
      </c>
      <c r="BD302" s="34"/>
      <c r="BE302" s="34"/>
      <c r="BF302" s="34" t="b">
        <v>0</v>
      </c>
      <c r="BG302" s="34"/>
      <c r="BH302" s="34"/>
      <c r="BI302" s="34"/>
      <c r="BJ302" s="34"/>
      <c r="BK302" s="34"/>
      <c r="BL302" s="34" t="s">
        <v>208</v>
      </c>
      <c r="BM302" s="34" t="s">
        <v>106</v>
      </c>
      <c r="BN302" s="34" t="s">
        <v>107</v>
      </c>
      <c r="BO302" s="35"/>
      <c r="BP302" s="35"/>
      <c r="BQ302" s="35" t="s">
        <v>108</v>
      </c>
      <c r="BR302" s="36" t="e">
        <f>VLOOKUP(BQ302, Cat_Indicadores!B:C, 2, FALSE)</f>
        <v>#N/A</v>
      </c>
      <c r="BS302" s="35" t="s">
        <v>5592</v>
      </c>
      <c r="BT302" s="35"/>
    </row>
    <row r="303" spans="1:72">
      <c r="A303" s="29" t="s">
        <v>1262</v>
      </c>
      <c r="B303" s="30" t="s">
        <v>1263</v>
      </c>
      <c r="C303" s="31">
        <v>46254.72619212963</v>
      </c>
      <c r="D303" s="30">
        <v>92</v>
      </c>
      <c r="E303" s="30" t="s">
        <v>74</v>
      </c>
      <c r="F303" s="30" t="s">
        <v>75</v>
      </c>
      <c r="G303" s="30" t="s">
        <v>133</v>
      </c>
      <c r="H303" s="30" t="s">
        <v>77</v>
      </c>
      <c r="I303" s="30" t="s">
        <v>78</v>
      </c>
      <c r="J303" s="30" t="s">
        <v>79</v>
      </c>
      <c r="K303" s="32">
        <v>800</v>
      </c>
      <c r="L303" s="32" t="s">
        <v>80</v>
      </c>
      <c r="M303" s="30" t="s">
        <v>1264</v>
      </c>
      <c r="N303" s="30" t="s">
        <v>1265</v>
      </c>
      <c r="O303" s="30" t="s">
        <v>83</v>
      </c>
      <c r="P303" s="33">
        <v>46229</v>
      </c>
      <c r="Q303" s="33">
        <v>46229</v>
      </c>
      <c r="R303" s="32">
        <v>1</v>
      </c>
      <c r="S303" s="30" t="s">
        <v>264</v>
      </c>
      <c r="T303" s="30" t="s">
        <v>265</v>
      </c>
      <c r="U303" s="30" t="s">
        <v>216</v>
      </c>
      <c r="V303" s="30" t="s">
        <v>87</v>
      </c>
      <c r="W303" s="30" t="s">
        <v>88</v>
      </c>
      <c r="X303" s="30" t="s">
        <v>197</v>
      </c>
      <c r="Y303" s="30" t="s">
        <v>1046</v>
      </c>
      <c r="AB303" s="30" t="b">
        <v>0</v>
      </c>
      <c r="AC303" s="30"/>
      <c r="AD303" s="30" t="b">
        <v>0</v>
      </c>
      <c r="AF303" s="30" t="b">
        <v>0</v>
      </c>
      <c r="AH303" s="32" t="s">
        <v>91</v>
      </c>
      <c r="AI303" s="32"/>
      <c r="AJ303" s="32"/>
      <c r="AK303" s="32"/>
      <c r="AL303" s="30" t="s">
        <v>92</v>
      </c>
      <c r="AM303" s="30" t="s">
        <v>93</v>
      </c>
      <c r="AN303" s="30" t="s">
        <v>94</v>
      </c>
      <c r="AO303" s="30" t="s">
        <v>142</v>
      </c>
      <c r="AP303" s="30" t="s">
        <v>143</v>
      </c>
      <c r="AQ303" s="30" t="s">
        <v>232</v>
      </c>
      <c r="AR303" s="30" t="s">
        <v>145</v>
      </c>
      <c r="AT303" s="30" t="s">
        <v>99</v>
      </c>
      <c r="AU303" s="30" t="s">
        <v>100</v>
      </c>
      <c r="AV303" s="30" t="s">
        <v>101</v>
      </c>
      <c r="AW303" s="30" t="s">
        <v>102</v>
      </c>
      <c r="AX303" s="34" t="s">
        <v>221</v>
      </c>
      <c r="AY303" s="34" t="s">
        <v>778</v>
      </c>
      <c r="AZ303" s="34"/>
      <c r="BA303" s="34"/>
      <c r="BB303" s="34"/>
      <c r="BC303" s="34">
        <v>0</v>
      </c>
      <c r="BD303" s="34"/>
      <c r="BE303" s="34"/>
      <c r="BF303" s="34" t="b">
        <v>0</v>
      </c>
      <c r="BG303" s="34"/>
      <c r="BH303" s="34"/>
      <c r="BI303" s="34"/>
      <c r="BJ303" s="34"/>
      <c r="BK303" s="34"/>
      <c r="BL303" s="34" t="s">
        <v>208</v>
      </c>
      <c r="BM303" s="34" t="s">
        <v>106</v>
      </c>
      <c r="BN303" s="34" t="s">
        <v>107</v>
      </c>
      <c r="BO303" s="35"/>
      <c r="BP303" s="35"/>
      <c r="BQ303" s="35" t="s">
        <v>108</v>
      </c>
      <c r="BR303" s="36" t="e">
        <f>VLOOKUP(BQ303, Cat_Indicadores!B:C, 2, FALSE)</f>
        <v>#N/A</v>
      </c>
      <c r="BS303" s="35" t="s">
        <v>5592</v>
      </c>
      <c r="BT303" s="35"/>
    </row>
    <row r="304" spans="1:72">
      <c r="A304" s="29" t="s">
        <v>1266</v>
      </c>
      <c r="B304" s="30" t="s">
        <v>1267</v>
      </c>
      <c r="C304" s="31">
        <v>46254.729513888888</v>
      </c>
      <c r="D304" s="30">
        <v>91</v>
      </c>
      <c r="E304" s="30" t="s">
        <v>74</v>
      </c>
      <c r="F304" s="30" t="s">
        <v>75</v>
      </c>
      <c r="G304" s="30" t="s">
        <v>573</v>
      </c>
      <c r="H304" s="30" t="s">
        <v>77</v>
      </c>
      <c r="I304" s="30" t="s">
        <v>78</v>
      </c>
      <c r="J304" s="30" t="s">
        <v>574</v>
      </c>
      <c r="K304" s="32">
        <v>28</v>
      </c>
      <c r="L304" s="32" t="s">
        <v>211</v>
      </c>
      <c r="M304" s="30" t="s">
        <v>1268</v>
      </c>
      <c r="N304" s="30" t="s">
        <v>1269</v>
      </c>
      <c r="O304" s="30" t="s">
        <v>661</v>
      </c>
      <c r="P304" s="33">
        <v>46219</v>
      </c>
      <c r="Q304" s="33">
        <v>46271</v>
      </c>
      <c r="R304" s="32">
        <v>0</v>
      </c>
      <c r="S304" s="30" t="s">
        <v>243</v>
      </c>
      <c r="T304" s="30" t="s">
        <v>293</v>
      </c>
      <c r="U304" s="30" t="s">
        <v>367</v>
      </c>
      <c r="V304" s="30" t="s">
        <v>87</v>
      </c>
      <c r="W304" s="30" t="s">
        <v>88</v>
      </c>
      <c r="X304" s="30" t="s">
        <v>197</v>
      </c>
      <c r="Y304" s="30" t="s">
        <v>1270</v>
      </c>
      <c r="AB304" s="30" t="b">
        <v>0</v>
      </c>
      <c r="AC304" s="30"/>
      <c r="AD304" s="30" t="b">
        <v>1</v>
      </c>
      <c r="AE304" s="30">
        <v>1</v>
      </c>
      <c r="AF304" s="30" t="b">
        <v>0</v>
      </c>
      <c r="AH304" s="32" t="s">
        <v>91</v>
      </c>
      <c r="AI304" s="32"/>
      <c r="AJ304" s="32"/>
      <c r="AK304" s="32"/>
      <c r="AL304" s="30" t="s">
        <v>92</v>
      </c>
      <c r="AM304" s="30" t="s">
        <v>294</v>
      </c>
      <c r="AN304" s="30" t="s">
        <v>94</v>
      </c>
      <c r="AO304" s="30" t="s">
        <v>142</v>
      </c>
      <c r="AP304" s="30" t="s">
        <v>143</v>
      </c>
      <c r="AQ304" s="30" t="s">
        <v>144</v>
      </c>
      <c r="AR304" s="30" t="s">
        <v>691</v>
      </c>
      <c r="AT304" s="30" t="s">
        <v>99</v>
      </c>
      <c r="AU304" s="30" t="s">
        <v>100</v>
      </c>
      <c r="AV304" s="30" t="s">
        <v>101</v>
      </c>
      <c r="AW304" s="30" t="s">
        <v>102</v>
      </c>
      <c r="AX304" s="34" t="s">
        <v>367</v>
      </c>
      <c r="AY304" s="34" t="s">
        <v>167</v>
      </c>
      <c r="AZ304" s="34"/>
      <c r="BA304" s="34"/>
      <c r="BB304" s="34"/>
      <c r="BC304" s="34">
        <v>0</v>
      </c>
      <c r="BD304" s="34"/>
      <c r="BE304" s="34"/>
      <c r="BF304" s="34" t="b">
        <v>1</v>
      </c>
      <c r="BG304" s="34" t="s">
        <v>1042</v>
      </c>
      <c r="BH304" s="34"/>
      <c r="BI304" s="34"/>
      <c r="BJ304" s="34"/>
      <c r="BK304" s="34"/>
      <c r="BL304" s="34"/>
      <c r="BM304" s="34" t="s">
        <v>106</v>
      </c>
      <c r="BN304" s="34" t="s">
        <v>107</v>
      </c>
      <c r="BO304" s="35"/>
      <c r="BP304" s="35"/>
      <c r="BQ304" s="35" t="s">
        <v>108</v>
      </c>
      <c r="BR304" s="36" t="e">
        <f>VLOOKUP(BQ304, Cat_Indicadores!B:C, 2, FALSE)</f>
        <v>#N/A</v>
      </c>
      <c r="BS304" s="35" t="s">
        <v>5592</v>
      </c>
      <c r="BT304" s="35"/>
    </row>
    <row r="305" spans="1:72">
      <c r="A305" s="29" t="s">
        <v>1271</v>
      </c>
      <c r="B305" s="30" t="s">
        <v>1272</v>
      </c>
      <c r="C305" s="31">
        <v>46254.748263888891</v>
      </c>
      <c r="D305" s="30">
        <v>92</v>
      </c>
      <c r="E305" s="30" t="s">
        <v>74</v>
      </c>
      <c r="F305" s="30" t="s">
        <v>75</v>
      </c>
      <c r="G305" s="30" t="s">
        <v>133</v>
      </c>
      <c r="H305" s="30" t="s">
        <v>77</v>
      </c>
      <c r="I305" s="30" t="s">
        <v>78</v>
      </c>
      <c r="J305" s="30" t="s">
        <v>79</v>
      </c>
      <c r="K305" s="32">
        <v>800</v>
      </c>
      <c r="L305" s="32" t="s">
        <v>211</v>
      </c>
      <c r="M305" s="30" t="s">
        <v>1273</v>
      </c>
      <c r="N305" s="30" t="s">
        <v>1274</v>
      </c>
      <c r="O305" s="30" t="s">
        <v>83</v>
      </c>
      <c r="P305" s="33">
        <v>46212</v>
      </c>
      <c r="Q305" s="33">
        <v>46212</v>
      </c>
      <c r="R305" s="32">
        <v>1</v>
      </c>
      <c r="S305" s="30" t="s">
        <v>84</v>
      </c>
      <c r="T305" s="30" t="s">
        <v>337</v>
      </c>
      <c r="U305" s="30" t="s">
        <v>184</v>
      </c>
      <c r="V305" s="30" t="s">
        <v>87</v>
      </c>
      <c r="W305" s="30" t="s">
        <v>88</v>
      </c>
      <c r="X305" s="30" t="s">
        <v>197</v>
      </c>
      <c r="Y305" s="30" t="s">
        <v>1275</v>
      </c>
      <c r="AB305" s="30" t="b">
        <v>0</v>
      </c>
      <c r="AC305" s="30"/>
      <c r="AD305" s="30" t="b">
        <v>0</v>
      </c>
      <c r="AF305" s="30" t="b">
        <v>0</v>
      </c>
      <c r="AH305" s="32" t="s">
        <v>91</v>
      </c>
      <c r="AI305" s="32"/>
      <c r="AJ305" s="32"/>
      <c r="AK305" s="32"/>
      <c r="AL305" s="30" t="s">
        <v>92</v>
      </c>
      <c r="AM305" s="30" t="s">
        <v>93</v>
      </c>
      <c r="AN305" s="30" t="s">
        <v>199</v>
      </c>
      <c r="AO305" s="30" t="s">
        <v>200</v>
      </c>
      <c r="AP305" s="30" t="s">
        <v>201</v>
      </c>
      <c r="AQ305" s="30" t="s">
        <v>202</v>
      </c>
      <c r="AR305" s="30" t="s">
        <v>145</v>
      </c>
      <c r="AT305" s="30" t="s">
        <v>99</v>
      </c>
      <c r="AU305" s="30" t="s">
        <v>100</v>
      </c>
      <c r="AV305" s="30" t="s">
        <v>101</v>
      </c>
      <c r="AW305" s="30" t="s">
        <v>102</v>
      </c>
      <c r="AX305" s="34" t="s">
        <v>216</v>
      </c>
      <c r="AY305" s="34" t="s">
        <v>149</v>
      </c>
      <c r="AZ305" s="34"/>
      <c r="BA305" s="34"/>
      <c r="BB305" s="34"/>
      <c r="BC305" s="34">
        <v>0</v>
      </c>
      <c r="BD305" s="34"/>
      <c r="BE305" s="34"/>
      <c r="BF305" s="34" t="b">
        <v>0</v>
      </c>
      <c r="BG305" s="34"/>
      <c r="BH305" s="34"/>
      <c r="BI305" s="34"/>
      <c r="BJ305" s="34"/>
      <c r="BK305" s="34"/>
      <c r="BL305" s="34"/>
      <c r="BM305" s="34" t="s">
        <v>168</v>
      </c>
      <c r="BN305" s="34"/>
      <c r="BO305" s="35"/>
      <c r="BP305" s="35"/>
      <c r="BQ305" s="35" t="s">
        <v>108</v>
      </c>
      <c r="BR305" s="36" t="e">
        <f>VLOOKUP(BQ305, Cat_Indicadores!B:C, 2, FALSE)</f>
        <v>#N/A</v>
      </c>
      <c r="BS305" s="35" t="s">
        <v>5592</v>
      </c>
      <c r="BT305" s="35"/>
    </row>
    <row r="306" spans="1:72">
      <c r="A306" s="29" t="s">
        <v>1276</v>
      </c>
      <c r="B306" s="30" t="s">
        <v>1277</v>
      </c>
      <c r="C306" s="31">
        <v>46254.751238425924</v>
      </c>
      <c r="D306" s="30">
        <v>92</v>
      </c>
      <c r="E306" s="30" t="s">
        <v>74</v>
      </c>
      <c r="F306" s="30" t="s">
        <v>75</v>
      </c>
      <c r="G306" s="30" t="s">
        <v>133</v>
      </c>
      <c r="H306" s="30" t="s">
        <v>77</v>
      </c>
      <c r="I306" s="30" t="s">
        <v>78</v>
      </c>
      <c r="J306" s="30" t="s">
        <v>79</v>
      </c>
      <c r="K306" s="32">
        <v>800</v>
      </c>
      <c r="L306" s="32" t="s">
        <v>211</v>
      </c>
      <c r="M306" s="30" t="s">
        <v>1278</v>
      </c>
      <c r="N306" s="30" t="s">
        <v>1279</v>
      </c>
      <c r="O306" s="30" t="s">
        <v>83</v>
      </c>
      <c r="P306" s="33">
        <v>46213</v>
      </c>
      <c r="Q306" s="33">
        <v>46213</v>
      </c>
      <c r="R306" s="32">
        <v>1</v>
      </c>
      <c r="S306" s="30" t="s">
        <v>84</v>
      </c>
      <c r="T306" s="30" t="s">
        <v>337</v>
      </c>
      <c r="U306" s="30" t="s">
        <v>86</v>
      </c>
      <c r="V306" s="30" t="s">
        <v>87</v>
      </c>
      <c r="W306" s="30" t="s">
        <v>88</v>
      </c>
      <c r="X306" s="30" t="s">
        <v>197</v>
      </c>
      <c r="Y306" s="30" t="s">
        <v>1270</v>
      </c>
      <c r="AB306" s="30" t="b">
        <v>0</v>
      </c>
      <c r="AC306" s="30"/>
      <c r="AD306" s="30" t="b">
        <v>0</v>
      </c>
      <c r="AF306" s="30" t="b">
        <v>0</v>
      </c>
      <c r="AH306" s="32" t="s">
        <v>91</v>
      </c>
      <c r="AI306" s="32"/>
      <c r="AJ306" s="32"/>
      <c r="AK306" s="32"/>
      <c r="AL306" s="30" t="s">
        <v>92</v>
      </c>
      <c r="AM306" s="30" t="s">
        <v>93</v>
      </c>
      <c r="AN306" s="30" t="s">
        <v>199</v>
      </c>
      <c r="AO306" s="30" t="s">
        <v>200</v>
      </c>
      <c r="AP306" s="30" t="s">
        <v>201</v>
      </c>
      <c r="AQ306" s="30" t="s">
        <v>202</v>
      </c>
      <c r="AR306" s="30" t="s">
        <v>145</v>
      </c>
      <c r="AT306" s="30" t="s">
        <v>99</v>
      </c>
      <c r="AU306" s="30" t="s">
        <v>100</v>
      </c>
      <c r="AV306" s="30" t="s">
        <v>101</v>
      </c>
      <c r="AW306" s="30" t="s">
        <v>102</v>
      </c>
      <c r="AX306" s="34" t="s">
        <v>86</v>
      </c>
      <c r="AY306" s="34" t="s">
        <v>149</v>
      </c>
      <c r="AZ306" s="34"/>
      <c r="BA306" s="34"/>
      <c r="BB306" s="34"/>
      <c r="BC306" s="34">
        <v>0</v>
      </c>
      <c r="BD306" s="34"/>
      <c r="BE306" s="34"/>
      <c r="BF306" s="34" t="b">
        <v>0</v>
      </c>
      <c r="BG306" s="34"/>
      <c r="BH306" s="34"/>
      <c r="BI306" s="34"/>
      <c r="BJ306" s="34"/>
      <c r="BK306" s="34"/>
      <c r="BL306" s="34"/>
      <c r="BM306" s="34" t="s">
        <v>168</v>
      </c>
      <c r="BN306" s="34"/>
      <c r="BO306" s="35"/>
      <c r="BP306" s="35"/>
      <c r="BQ306" s="35" t="s">
        <v>108</v>
      </c>
      <c r="BR306" s="36" t="e">
        <f>VLOOKUP(BQ306, Cat_Indicadores!B:C, 2, FALSE)</f>
        <v>#N/A</v>
      </c>
      <c r="BS306" s="35" t="s">
        <v>5592</v>
      </c>
      <c r="BT306" s="35"/>
    </row>
    <row r="307" spans="1:72">
      <c r="A307" s="29" t="s">
        <v>1280</v>
      </c>
      <c r="B307" s="30" t="s">
        <v>1281</v>
      </c>
      <c r="C307" s="31">
        <v>46254.753553240742</v>
      </c>
      <c r="D307" s="30">
        <v>92</v>
      </c>
      <c r="E307" s="30" t="s">
        <v>74</v>
      </c>
      <c r="F307" s="30" t="s">
        <v>75</v>
      </c>
      <c r="G307" s="30" t="s">
        <v>133</v>
      </c>
      <c r="H307" s="30" t="s">
        <v>77</v>
      </c>
      <c r="I307" s="30" t="s">
        <v>78</v>
      </c>
      <c r="J307" s="30" t="s">
        <v>79</v>
      </c>
      <c r="K307" s="32">
        <v>800</v>
      </c>
      <c r="L307" s="32" t="s">
        <v>211</v>
      </c>
      <c r="M307" s="30" t="s">
        <v>555</v>
      </c>
      <c r="N307" s="30" t="s">
        <v>556</v>
      </c>
      <c r="O307" s="30" t="s">
        <v>83</v>
      </c>
      <c r="P307" s="33">
        <v>46214</v>
      </c>
      <c r="Q307" s="33">
        <v>46214</v>
      </c>
      <c r="R307" s="32">
        <v>1</v>
      </c>
      <c r="S307" s="30" t="s">
        <v>214</v>
      </c>
      <c r="T307" s="30" t="s">
        <v>215</v>
      </c>
      <c r="U307" s="30" t="s">
        <v>86</v>
      </c>
      <c r="V307" s="30" t="s">
        <v>87</v>
      </c>
      <c r="W307" s="30" t="s">
        <v>88</v>
      </c>
      <c r="X307" s="30" t="s">
        <v>197</v>
      </c>
      <c r="Y307" s="30" t="s">
        <v>1282</v>
      </c>
      <c r="AB307" s="30" t="b">
        <v>0</v>
      </c>
      <c r="AC307" s="30"/>
      <c r="AD307" s="30" t="b">
        <v>0</v>
      </c>
      <c r="AF307" s="30" t="b">
        <v>0</v>
      </c>
      <c r="AH307" s="32" t="s">
        <v>91</v>
      </c>
      <c r="AI307" s="32"/>
      <c r="AJ307" s="32"/>
      <c r="AK307" s="32"/>
      <c r="AL307" s="30" t="s">
        <v>92</v>
      </c>
      <c r="AM307" s="30" t="s">
        <v>93</v>
      </c>
      <c r="AN307" s="30" t="s">
        <v>199</v>
      </c>
      <c r="AO307" s="30" t="s">
        <v>200</v>
      </c>
      <c r="AP307" s="30" t="s">
        <v>201</v>
      </c>
      <c r="AQ307" s="30" t="s">
        <v>202</v>
      </c>
      <c r="AR307" s="30" t="s">
        <v>691</v>
      </c>
      <c r="AT307" s="30" t="s">
        <v>99</v>
      </c>
      <c r="AU307" s="30" t="s">
        <v>100</v>
      </c>
      <c r="AV307" s="30" t="s">
        <v>101</v>
      </c>
      <c r="AW307" s="30" t="s">
        <v>102</v>
      </c>
      <c r="AX307" s="34" t="s">
        <v>86</v>
      </c>
      <c r="AY307" s="34" t="s">
        <v>149</v>
      </c>
      <c r="AZ307" s="34"/>
      <c r="BA307" s="34"/>
      <c r="BB307" s="34"/>
      <c r="BC307" s="34">
        <v>0</v>
      </c>
      <c r="BD307" s="34"/>
      <c r="BE307" s="34"/>
      <c r="BF307" s="34" t="b">
        <v>0</v>
      </c>
      <c r="BG307" s="34"/>
      <c r="BH307" s="34"/>
      <c r="BI307" s="34"/>
      <c r="BJ307" s="34"/>
      <c r="BK307" s="34"/>
      <c r="BL307" s="34"/>
      <c r="BM307" s="34" t="s">
        <v>168</v>
      </c>
      <c r="BN307" s="34"/>
      <c r="BO307" s="35"/>
      <c r="BP307" s="35"/>
      <c r="BQ307" s="35" t="s">
        <v>108</v>
      </c>
      <c r="BR307" s="36" t="e">
        <f>VLOOKUP(BQ307, Cat_Indicadores!B:C, 2, FALSE)</f>
        <v>#N/A</v>
      </c>
      <c r="BS307" s="35" t="s">
        <v>5592</v>
      </c>
      <c r="BT307" s="35"/>
    </row>
    <row r="308" spans="1:72">
      <c r="A308" s="29" t="s">
        <v>1283</v>
      </c>
      <c r="B308" s="30" t="s">
        <v>1284</v>
      </c>
      <c r="C308" s="31">
        <v>46254.75545138889</v>
      </c>
      <c r="D308" s="30">
        <v>92</v>
      </c>
      <c r="E308" s="30" t="s">
        <v>74</v>
      </c>
      <c r="F308" s="30" t="s">
        <v>75</v>
      </c>
      <c r="G308" s="30" t="s">
        <v>133</v>
      </c>
      <c r="H308" s="30" t="s">
        <v>77</v>
      </c>
      <c r="I308" s="30" t="s">
        <v>78</v>
      </c>
      <c r="J308" s="30" t="s">
        <v>79</v>
      </c>
      <c r="K308" s="32">
        <v>800</v>
      </c>
      <c r="L308" s="32" t="s">
        <v>211</v>
      </c>
      <c r="M308" s="30" t="s">
        <v>1285</v>
      </c>
      <c r="N308" s="30" t="s">
        <v>1286</v>
      </c>
      <c r="O308" s="30" t="s">
        <v>83</v>
      </c>
      <c r="P308" s="33">
        <v>46222</v>
      </c>
      <c r="Q308" s="33">
        <v>46222</v>
      </c>
      <c r="R308" s="32">
        <v>1</v>
      </c>
      <c r="S308" s="30" t="s">
        <v>214</v>
      </c>
      <c r="T308" s="30" t="s">
        <v>1287</v>
      </c>
      <c r="U308" s="30" t="s">
        <v>221</v>
      </c>
      <c r="V308" s="30" t="s">
        <v>87</v>
      </c>
      <c r="W308" s="30" t="s">
        <v>88</v>
      </c>
      <c r="X308" s="30" t="s">
        <v>197</v>
      </c>
      <c r="Y308" s="30" t="s">
        <v>1288</v>
      </c>
      <c r="AB308" s="30" t="b">
        <v>0</v>
      </c>
      <c r="AC308" s="30"/>
      <c r="AD308" s="30" t="b">
        <v>0</v>
      </c>
      <c r="AF308" s="30" t="b">
        <v>0</v>
      </c>
      <c r="AH308" s="32" t="s">
        <v>91</v>
      </c>
      <c r="AI308" s="32"/>
      <c r="AJ308" s="32"/>
      <c r="AK308" s="32"/>
      <c r="AL308" s="30" t="s">
        <v>92</v>
      </c>
      <c r="AM308" s="30" t="s">
        <v>93</v>
      </c>
      <c r="AN308" s="30" t="s">
        <v>199</v>
      </c>
      <c r="AO308" s="30" t="s">
        <v>200</v>
      </c>
      <c r="AP308" s="30" t="s">
        <v>201</v>
      </c>
      <c r="AQ308" s="30" t="s">
        <v>202</v>
      </c>
      <c r="AR308" s="30" t="s">
        <v>145</v>
      </c>
      <c r="AT308" s="30" t="s">
        <v>99</v>
      </c>
      <c r="AU308" s="30" t="s">
        <v>100</v>
      </c>
      <c r="AV308" s="30" t="s">
        <v>101</v>
      </c>
      <c r="AW308" s="30" t="s">
        <v>102</v>
      </c>
      <c r="AX308" s="34" t="s">
        <v>216</v>
      </c>
      <c r="AY308" s="34" t="s">
        <v>149</v>
      </c>
      <c r="AZ308" s="34"/>
      <c r="BA308" s="34"/>
      <c r="BB308" s="34"/>
      <c r="BC308" s="34">
        <v>0</v>
      </c>
      <c r="BD308" s="34"/>
      <c r="BE308" s="34"/>
      <c r="BF308" s="34" t="b">
        <v>0</v>
      </c>
      <c r="BG308" s="34"/>
      <c r="BH308" s="34"/>
      <c r="BI308" s="34"/>
      <c r="BJ308" s="34"/>
      <c r="BK308" s="34"/>
      <c r="BL308" s="34"/>
      <c r="BM308" s="34" t="s">
        <v>168</v>
      </c>
      <c r="BN308" s="34"/>
      <c r="BO308" s="35"/>
      <c r="BP308" s="35"/>
      <c r="BQ308" s="35" t="s">
        <v>108</v>
      </c>
      <c r="BR308" s="36" t="e">
        <f>VLOOKUP(BQ308, Cat_Indicadores!B:C, 2, FALSE)</f>
        <v>#N/A</v>
      </c>
      <c r="BS308" s="35" t="s">
        <v>5592</v>
      </c>
      <c r="BT308" s="35"/>
    </row>
    <row r="309" spans="1:72">
      <c r="A309" s="29" t="s">
        <v>1289</v>
      </c>
      <c r="B309" s="30" t="s">
        <v>1290</v>
      </c>
      <c r="C309" s="31">
        <v>46254.758923611109</v>
      </c>
      <c r="D309" s="30">
        <v>92</v>
      </c>
      <c r="E309" s="30" t="s">
        <v>74</v>
      </c>
      <c r="F309" s="30" t="s">
        <v>75</v>
      </c>
      <c r="G309" s="30" t="s">
        <v>133</v>
      </c>
      <c r="H309" s="30" t="s">
        <v>77</v>
      </c>
      <c r="I309" s="30" t="s">
        <v>78</v>
      </c>
      <c r="J309" s="30" t="s">
        <v>79</v>
      </c>
      <c r="K309" s="32">
        <v>800</v>
      </c>
      <c r="L309" s="32" t="s">
        <v>211</v>
      </c>
      <c r="M309" s="30" t="s">
        <v>555</v>
      </c>
      <c r="N309" s="30" t="s">
        <v>556</v>
      </c>
      <c r="O309" s="30" t="s">
        <v>83</v>
      </c>
      <c r="P309" s="33">
        <v>46221</v>
      </c>
      <c r="Q309" s="33">
        <v>46221</v>
      </c>
      <c r="R309" s="32">
        <v>1</v>
      </c>
      <c r="S309" s="30" t="s">
        <v>249</v>
      </c>
      <c r="T309" s="30" t="s">
        <v>259</v>
      </c>
      <c r="U309" s="30" t="s">
        <v>86</v>
      </c>
      <c r="V309" s="30" t="s">
        <v>87</v>
      </c>
      <c r="W309" s="30" t="s">
        <v>88</v>
      </c>
      <c r="X309" s="30" t="s">
        <v>197</v>
      </c>
      <c r="Y309" s="30" t="s">
        <v>1282</v>
      </c>
      <c r="AB309" s="30" t="b">
        <v>0</v>
      </c>
      <c r="AC309" s="30"/>
      <c r="AD309" s="30" t="b">
        <v>0</v>
      </c>
      <c r="AF309" s="30" t="b">
        <v>0</v>
      </c>
      <c r="AH309" s="32" t="s">
        <v>91</v>
      </c>
      <c r="AI309" s="32"/>
      <c r="AJ309" s="32"/>
      <c r="AK309" s="32"/>
      <c r="AL309" s="30" t="s">
        <v>92</v>
      </c>
      <c r="AM309" s="30" t="s">
        <v>93</v>
      </c>
      <c r="AN309" s="30" t="s">
        <v>199</v>
      </c>
      <c r="AO309" s="30" t="s">
        <v>200</v>
      </c>
      <c r="AP309" s="30" t="s">
        <v>201</v>
      </c>
      <c r="AQ309" s="30" t="s">
        <v>202</v>
      </c>
      <c r="AR309" s="30" t="s">
        <v>145</v>
      </c>
      <c r="AT309" s="30" t="s">
        <v>99</v>
      </c>
      <c r="AU309" s="30" t="s">
        <v>100</v>
      </c>
      <c r="AV309" s="30" t="s">
        <v>101</v>
      </c>
      <c r="AW309" s="30" t="s">
        <v>102</v>
      </c>
      <c r="AX309" s="34" t="s">
        <v>86</v>
      </c>
      <c r="AY309" s="34" t="s">
        <v>149</v>
      </c>
      <c r="AZ309" s="34"/>
      <c r="BA309" s="34"/>
      <c r="BB309" s="34"/>
      <c r="BC309" s="34">
        <v>0</v>
      </c>
      <c r="BD309" s="34"/>
      <c r="BE309" s="34"/>
      <c r="BF309" s="34" t="b">
        <v>0</v>
      </c>
      <c r="BG309" s="34"/>
      <c r="BH309" s="34"/>
      <c r="BI309" s="34"/>
      <c r="BJ309" s="34"/>
      <c r="BK309" s="34"/>
      <c r="BL309" s="34"/>
      <c r="BM309" s="34" t="s">
        <v>168</v>
      </c>
      <c r="BN309" s="34"/>
      <c r="BO309" s="35"/>
      <c r="BP309" s="35"/>
      <c r="BQ309" s="35" t="s">
        <v>108</v>
      </c>
      <c r="BR309" s="36" t="e">
        <f>VLOOKUP(BQ309, Cat_Indicadores!B:C, 2, FALSE)</f>
        <v>#N/A</v>
      </c>
      <c r="BS309" s="35" t="s">
        <v>5592</v>
      </c>
      <c r="BT309" s="35"/>
    </row>
    <row r="310" spans="1:72">
      <c r="A310" s="29" t="s">
        <v>1291</v>
      </c>
      <c r="B310" s="30" t="s">
        <v>1292</v>
      </c>
      <c r="C310" s="31">
        <v>46254.76326388889</v>
      </c>
      <c r="D310" s="30">
        <v>92</v>
      </c>
      <c r="E310" s="30" t="s">
        <v>74</v>
      </c>
      <c r="F310" s="30" t="s">
        <v>75</v>
      </c>
      <c r="G310" s="30" t="s">
        <v>133</v>
      </c>
      <c r="H310" s="30" t="s">
        <v>77</v>
      </c>
      <c r="I310" s="30" t="s">
        <v>78</v>
      </c>
      <c r="J310" s="30" t="s">
        <v>79</v>
      </c>
      <c r="K310" s="32">
        <v>800</v>
      </c>
      <c r="L310" s="32" t="s">
        <v>211</v>
      </c>
      <c r="M310" s="30" t="s">
        <v>1293</v>
      </c>
      <c r="N310" s="30" t="s">
        <v>1294</v>
      </c>
      <c r="O310" s="30" t="s">
        <v>83</v>
      </c>
      <c r="P310" s="33">
        <v>46220</v>
      </c>
      <c r="Q310" s="33">
        <v>46220</v>
      </c>
      <c r="R310" s="32">
        <v>1</v>
      </c>
      <c r="S310" s="30" t="s">
        <v>84</v>
      </c>
      <c r="T310" s="30" t="s">
        <v>337</v>
      </c>
      <c r="U310" s="30" t="s">
        <v>86</v>
      </c>
      <c r="V310" s="30" t="s">
        <v>87</v>
      </c>
      <c r="W310" s="30" t="s">
        <v>88</v>
      </c>
      <c r="X310" s="30" t="s">
        <v>197</v>
      </c>
      <c r="Y310" s="30" t="s">
        <v>1270</v>
      </c>
      <c r="AB310" s="30" t="b">
        <v>0</v>
      </c>
      <c r="AC310" s="30"/>
      <c r="AD310" s="30" t="b">
        <v>0</v>
      </c>
      <c r="AF310" s="30" t="b">
        <v>0</v>
      </c>
      <c r="AH310" s="32" t="s">
        <v>91</v>
      </c>
      <c r="AI310" s="32"/>
      <c r="AJ310" s="32"/>
      <c r="AK310" s="32"/>
      <c r="AL310" s="30" t="s">
        <v>92</v>
      </c>
      <c r="AM310" s="30" t="s">
        <v>93</v>
      </c>
      <c r="AN310" s="30" t="s">
        <v>199</v>
      </c>
      <c r="AO310" s="30" t="s">
        <v>200</v>
      </c>
      <c r="AP310" s="30" t="s">
        <v>201</v>
      </c>
      <c r="AQ310" s="30" t="s">
        <v>202</v>
      </c>
      <c r="AR310" s="30" t="s">
        <v>145</v>
      </c>
      <c r="AT310" s="30" t="s">
        <v>99</v>
      </c>
      <c r="AU310" s="30" t="s">
        <v>100</v>
      </c>
      <c r="AV310" s="30" t="s">
        <v>101</v>
      </c>
      <c r="AW310" s="30" t="s">
        <v>102</v>
      </c>
      <c r="AX310" s="34" t="s">
        <v>86</v>
      </c>
      <c r="AY310" s="34" t="s">
        <v>149</v>
      </c>
      <c r="AZ310" s="34"/>
      <c r="BA310" s="34"/>
      <c r="BB310" s="34"/>
      <c r="BC310" s="34">
        <v>0</v>
      </c>
      <c r="BD310" s="34"/>
      <c r="BE310" s="34"/>
      <c r="BF310" s="34" t="b">
        <v>0</v>
      </c>
      <c r="BG310" s="34"/>
      <c r="BH310" s="34"/>
      <c r="BI310" s="34"/>
      <c r="BJ310" s="34"/>
      <c r="BK310" s="34"/>
      <c r="BL310" s="34"/>
      <c r="BM310" s="34" t="s">
        <v>168</v>
      </c>
      <c r="BN310" s="34"/>
      <c r="BO310" s="35"/>
      <c r="BP310" s="35"/>
      <c r="BQ310" s="35" t="s">
        <v>108</v>
      </c>
      <c r="BR310" s="36" t="e">
        <f>VLOOKUP(BQ310, Cat_Indicadores!B:C, 2, FALSE)</f>
        <v>#N/A</v>
      </c>
      <c r="BS310" s="35" t="s">
        <v>5592</v>
      </c>
      <c r="BT310" s="35"/>
    </row>
    <row r="311" spans="1:72">
      <c r="A311" s="29" t="s">
        <v>1295</v>
      </c>
      <c r="B311" s="30" t="s">
        <v>1296</v>
      </c>
      <c r="C311" s="31">
        <v>46254.765219907407</v>
      </c>
      <c r="D311" s="30">
        <v>92</v>
      </c>
      <c r="E311" s="30" t="s">
        <v>74</v>
      </c>
      <c r="F311" s="30" t="s">
        <v>75</v>
      </c>
      <c r="G311" s="30" t="s">
        <v>133</v>
      </c>
      <c r="H311" s="30" t="s">
        <v>77</v>
      </c>
      <c r="I311" s="30" t="s">
        <v>78</v>
      </c>
      <c r="J311" s="30" t="s">
        <v>79</v>
      </c>
      <c r="K311" s="32">
        <v>800</v>
      </c>
      <c r="L311" s="32" t="s">
        <v>211</v>
      </c>
      <c r="M311" s="30" t="s">
        <v>1297</v>
      </c>
      <c r="N311" s="30" t="s">
        <v>1298</v>
      </c>
      <c r="O311" s="30" t="s">
        <v>83</v>
      </c>
      <c r="P311" s="33">
        <v>46226</v>
      </c>
      <c r="Q311" s="33">
        <v>46226</v>
      </c>
      <c r="R311" s="32">
        <v>1</v>
      </c>
      <c r="S311" s="30" t="s">
        <v>84</v>
      </c>
      <c r="T311" s="30" t="s">
        <v>337</v>
      </c>
      <c r="U311" s="30" t="s">
        <v>160</v>
      </c>
      <c r="V311" s="30" t="s">
        <v>87</v>
      </c>
      <c r="W311" s="30" t="s">
        <v>88</v>
      </c>
      <c r="X311" s="30" t="s">
        <v>197</v>
      </c>
      <c r="Y311" s="30" t="s">
        <v>1288</v>
      </c>
      <c r="AB311" s="30" t="b">
        <v>0</v>
      </c>
      <c r="AC311" s="30"/>
      <c r="AD311" s="30" t="b">
        <v>0</v>
      </c>
      <c r="AF311" s="30" t="b">
        <v>0</v>
      </c>
      <c r="AH311" s="32" t="s">
        <v>91</v>
      </c>
      <c r="AI311" s="32"/>
      <c r="AJ311" s="32"/>
      <c r="AK311" s="32"/>
      <c r="AL311" s="30" t="s">
        <v>92</v>
      </c>
      <c r="AM311" s="30" t="s">
        <v>93</v>
      </c>
      <c r="AN311" s="30" t="s">
        <v>199</v>
      </c>
      <c r="AO311" s="30" t="s">
        <v>200</v>
      </c>
      <c r="AP311" s="30" t="s">
        <v>201</v>
      </c>
      <c r="AQ311" s="30" t="s">
        <v>202</v>
      </c>
      <c r="AR311" s="30" t="s">
        <v>145</v>
      </c>
      <c r="AT311" s="30" t="s">
        <v>99</v>
      </c>
      <c r="AU311" s="30" t="s">
        <v>100</v>
      </c>
      <c r="AV311" s="30" t="s">
        <v>101</v>
      </c>
      <c r="AW311" s="30" t="s">
        <v>102</v>
      </c>
      <c r="AX311" s="34" t="s">
        <v>160</v>
      </c>
      <c r="AY311" s="34" t="s">
        <v>149</v>
      </c>
      <c r="AZ311" s="34"/>
      <c r="BA311" s="34"/>
      <c r="BB311" s="34"/>
      <c r="BC311" s="34">
        <v>0</v>
      </c>
      <c r="BD311" s="34"/>
      <c r="BE311" s="34"/>
      <c r="BF311" s="34" t="b">
        <v>0</v>
      </c>
      <c r="BG311" s="34"/>
      <c r="BH311" s="34"/>
      <c r="BI311" s="34"/>
      <c r="BJ311" s="34"/>
      <c r="BK311" s="34"/>
      <c r="BL311" s="34"/>
      <c r="BM311" s="34" t="s">
        <v>168</v>
      </c>
      <c r="BN311" s="34"/>
      <c r="BO311" s="35"/>
      <c r="BP311" s="35"/>
      <c r="BQ311" s="35" t="s">
        <v>108</v>
      </c>
      <c r="BR311" s="36" t="e">
        <f>VLOOKUP(BQ311, Cat_Indicadores!B:C, 2, FALSE)</f>
        <v>#N/A</v>
      </c>
      <c r="BS311" s="35" t="s">
        <v>5592</v>
      </c>
      <c r="BT311" s="35"/>
    </row>
    <row r="312" spans="1:72">
      <c r="A312" s="29" t="s">
        <v>1299</v>
      </c>
      <c r="B312" s="30" t="s">
        <v>1300</v>
      </c>
      <c r="C312" s="31">
        <v>46254.771180555559</v>
      </c>
      <c r="D312" s="30">
        <v>92</v>
      </c>
      <c r="E312" s="30" t="s">
        <v>74</v>
      </c>
      <c r="F312" s="30" t="s">
        <v>75</v>
      </c>
      <c r="G312" s="30" t="s">
        <v>133</v>
      </c>
      <c r="H312" s="30" t="s">
        <v>77</v>
      </c>
      <c r="I312" s="30" t="s">
        <v>78</v>
      </c>
      <c r="J312" s="30" t="s">
        <v>79</v>
      </c>
      <c r="K312" s="32">
        <v>800</v>
      </c>
      <c r="L312" s="32" t="s">
        <v>211</v>
      </c>
      <c r="M312" s="30" t="s">
        <v>1301</v>
      </c>
      <c r="N312" s="30" t="s">
        <v>1302</v>
      </c>
      <c r="O312" s="30" t="s">
        <v>83</v>
      </c>
      <c r="P312" s="33">
        <v>46228</v>
      </c>
      <c r="Q312" s="33">
        <v>46228</v>
      </c>
      <c r="R312" s="32">
        <v>1</v>
      </c>
      <c r="S312" s="30" t="s">
        <v>84</v>
      </c>
      <c r="T312" s="30" t="s">
        <v>337</v>
      </c>
      <c r="U312" s="30" t="s">
        <v>184</v>
      </c>
      <c r="V312" s="30" t="s">
        <v>87</v>
      </c>
      <c r="W312" s="30" t="s">
        <v>88</v>
      </c>
      <c r="X312" s="30" t="s">
        <v>197</v>
      </c>
      <c r="Y312" s="30" t="s">
        <v>1275</v>
      </c>
      <c r="AB312" s="30" t="b">
        <v>0</v>
      </c>
      <c r="AC312" s="30"/>
      <c r="AD312" s="30" t="b">
        <v>0</v>
      </c>
      <c r="AF312" s="30" t="b">
        <v>0</v>
      </c>
      <c r="AH312" s="32" t="s">
        <v>91</v>
      </c>
      <c r="AI312" s="32"/>
      <c r="AJ312" s="32"/>
      <c r="AK312" s="32"/>
      <c r="AL312" s="30" t="s">
        <v>92</v>
      </c>
      <c r="AM312" s="30" t="s">
        <v>93</v>
      </c>
      <c r="AN312" s="30" t="s">
        <v>199</v>
      </c>
      <c r="AO312" s="30" t="s">
        <v>200</v>
      </c>
      <c r="AP312" s="30" t="s">
        <v>201</v>
      </c>
      <c r="AQ312" s="30" t="s">
        <v>202</v>
      </c>
      <c r="AR312" s="30" t="s">
        <v>145</v>
      </c>
      <c r="AT312" s="30" t="s">
        <v>99</v>
      </c>
      <c r="AU312" s="30" t="s">
        <v>100</v>
      </c>
      <c r="AV312" s="30" t="s">
        <v>101</v>
      </c>
      <c r="AW312" s="30" t="s">
        <v>102</v>
      </c>
      <c r="AX312" s="34" t="s">
        <v>497</v>
      </c>
      <c r="AY312" s="34" t="s">
        <v>149</v>
      </c>
      <c r="AZ312" s="34"/>
      <c r="BA312" s="34"/>
      <c r="BB312" s="34"/>
      <c r="BC312" s="34">
        <v>0</v>
      </c>
      <c r="BD312" s="34"/>
      <c r="BE312" s="34"/>
      <c r="BF312" s="34" t="b">
        <v>0</v>
      </c>
      <c r="BG312" s="34"/>
      <c r="BH312" s="34"/>
      <c r="BI312" s="34"/>
      <c r="BJ312" s="34"/>
      <c r="BK312" s="34"/>
      <c r="BL312" s="34"/>
      <c r="BM312" s="34" t="s">
        <v>168</v>
      </c>
      <c r="BN312" s="34"/>
      <c r="BO312" s="35"/>
      <c r="BP312" s="35"/>
      <c r="BQ312" s="35" t="s">
        <v>108</v>
      </c>
      <c r="BR312" s="36" t="e">
        <f>VLOOKUP(BQ312, Cat_Indicadores!B:C, 2, FALSE)</f>
        <v>#N/A</v>
      </c>
      <c r="BS312" s="35" t="s">
        <v>5592</v>
      </c>
      <c r="BT312" s="35"/>
    </row>
    <row r="313" spans="1:72">
      <c r="A313" s="29" t="s">
        <v>1303</v>
      </c>
      <c r="B313" s="30" t="s">
        <v>1304</v>
      </c>
      <c r="C313" s="31">
        <v>46254.773831018516</v>
      </c>
      <c r="D313" s="30">
        <v>92</v>
      </c>
      <c r="E313" s="30" t="s">
        <v>74</v>
      </c>
      <c r="F313" s="30" t="s">
        <v>75</v>
      </c>
      <c r="G313" s="30" t="s">
        <v>133</v>
      </c>
      <c r="H313" s="30" t="s">
        <v>77</v>
      </c>
      <c r="I313" s="30" t="s">
        <v>78</v>
      </c>
      <c r="J313" s="30" t="s">
        <v>79</v>
      </c>
      <c r="K313" s="32">
        <v>800</v>
      </c>
      <c r="L313" s="32" t="s">
        <v>211</v>
      </c>
      <c r="M313" s="30" t="s">
        <v>1305</v>
      </c>
      <c r="N313" s="30" t="s">
        <v>1306</v>
      </c>
      <c r="O313" s="30" t="s">
        <v>83</v>
      </c>
      <c r="P313" s="33">
        <v>46228</v>
      </c>
      <c r="Q313" s="33">
        <v>46228</v>
      </c>
      <c r="R313" s="32">
        <v>1</v>
      </c>
      <c r="S313" s="30" t="s">
        <v>243</v>
      </c>
      <c r="T313" s="30" t="s">
        <v>398</v>
      </c>
      <c r="U313" s="30" t="s">
        <v>86</v>
      </c>
      <c r="V313" s="30" t="s">
        <v>87</v>
      </c>
      <c r="W313" s="30" t="s">
        <v>88</v>
      </c>
      <c r="X313" s="30" t="s">
        <v>197</v>
      </c>
      <c r="Y313" s="30" t="s">
        <v>1288</v>
      </c>
      <c r="AB313" s="30" t="b">
        <v>0</v>
      </c>
      <c r="AC313" s="30"/>
      <c r="AD313" s="30" t="b">
        <v>0</v>
      </c>
      <c r="AF313" s="30" t="b">
        <v>0</v>
      </c>
      <c r="AH313" s="32" t="s">
        <v>91</v>
      </c>
      <c r="AI313" s="32"/>
      <c r="AJ313" s="32"/>
      <c r="AK313" s="32"/>
      <c r="AL313" s="30" t="s">
        <v>92</v>
      </c>
      <c r="AM313" s="30" t="s">
        <v>93</v>
      </c>
      <c r="AN313" s="30" t="s">
        <v>199</v>
      </c>
      <c r="AO313" s="30" t="s">
        <v>200</v>
      </c>
      <c r="AP313" s="30" t="s">
        <v>201</v>
      </c>
      <c r="AQ313" s="30" t="s">
        <v>202</v>
      </c>
      <c r="AR313" s="30" t="s">
        <v>97</v>
      </c>
      <c r="AS313" s="30" t="s">
        <v>112</v>
      </c>
      <c r="AT313" s="30" t="s">
        <v>99</v>
      </c>
      <c r="AU313" s="30" t="s">
        <v>100</v>
      </c>
      <c r="AV313" s="30" t="s">
        <v>101</v>
      </c>
      <c r="AW313" s="30" t="s">
        <v>102</v>
      </c>
      <c r="AX313" s="34" t="s">
        <v>86</v>
      </c>
      <c r="AY313" s="34" t="s">
        <v>149</v>
      </c>
      <c r="AZ313" s="34"/>
      <c r="BA313" s="34"/>
      <c r="BB313" s="34"/>
      <c r="BC313" s="34">
        <v>0</v>
      </c>
      <c r="BD313" s="34"/>
      <c r="BE313" s="34"/>
      <c r="BF313" s="34" t="b">
        <v>0</v>
      </c>
      <c r="BG313" s="34"/>
      <c r="BH313" s="34"/>
      <c r="BI313" s="34"/>
      <c r="BJ313" s="34"/>
      <c r="BK313" s="34"/>
      <c r="BL313" s="34"/>
      <c r="BM313" s="34" t="s">
        <v>168</v>
      </c>
      <c r="BN313" s="34"/>
      <c r="BO313" s="35"/>
      <c r="BP313" s="35"/>
      <c r="BQ313" s="35" t="s">
        <v>108</v>
      </c>
      <c r="BR313" s="36" t="e">
        <f>VLOOKUP(BQ313, Cat_Indicadores!B:C, 2, FALSE)</f>
        <v>#N/A</v>
      </c>
      <c r="BS313" s="35" t="s">
        <v>5592</v>
      </c>
      <c r="BT313" s="35"/>
    </row>
    <row r="314" spans="1:72">
      <c r="A314" s="29" t="s">
        <v>1307</v>
      </c>
      <c r="B314" s="30" t="s">
        <v>1308</v>
      </c>
      <c r="C314" s="31">
        <v>46254.780405092592</v>
      </c>
      <c r="D314" s="30">
        <v>92</v>
      </c>
      <c r="E314" s="30" t="s">
        <v>74</v>
      </c>
      <c r="F314" s="30" t="s">
        <v>75</v>
      </c>
      <c r="G314" s="30" t="s">
        <v>133</v>
      </c>
      <c r="H314" s="30" t="s">
        <v>77</v>
      </c>
      <c r="I314" s="30" t="s">
        <v>78</v>
      </c>
      <c r="J314" s="30" t="s">
        <v>79</v>
      </c>
      <c r="K314" s="32">
        <v>800</v>
      </c>
      <c r="L314" s="32" t="s">
        <v>80</v>
      </c>
      <c r="M314" s="30" t="s">
        <v>833</v>
      </c>
      <c r="N314" s="30" t="s">
        <v>833</v>
      </c>
      <c r="O314" s="30" t="s">
        <v>83</v>
      </c>
      <c r="P314" s="33">
        <v>46228</v>
      </c>
      <c r="Q314" s="33">
        <v>46228</v>
      </c>
      <c r="R314" s="32">
        <v>1</v>
      </c>
      <c r="S314" s="30" t="s">
        <v>264</v>
      </c>
      <c r="T314" s="30" t="s">
        <v>265</v>
      </c>
      <c r="U314" s="30" t="s">
        <v>207</v>
      </c>
      <c r="V314" s="30" t="s">
        <v>87</v>
      </c>
      <c r="W314" s="30" t="s">
        <v>88</v>
      </c>
      <c r="X314" s="30" t="s">
        <v>197</v>
      </c>
      <c r="Y314" s="30" t="s">
        <v>1063</v>
      </c>
      <c r="AB314" s="30" t="b">
        <v>0</v>
      </c>
      <c r="AC314" s="30"/>
      <c r="AD314" s="30" t="b">
        <v>0</v>
      </c>
      <c r="AF314" s="30" t="b">
        <v>0</v>
      </c>
      <c r="AH314" s="32" t="s">
        <v>91</v>
      </c>
      <c r="AI314" s="32"/>
      <c r="AJ314" s="32"/>
      <c r="AK314" s="32"/>
      <c r="AL314" s="30" t="s">
        <v>92</v>
      </c>
      <c r="AM314" s="30" t="s">
        <v>251</v>
      </c>
      <c r="AN314" s="30" t="s">
        <v>199</v>
      </c>
      <c r="AO314" s="30" t="s">
        <v>200</v>
      </c>
      <c r="AP314" s="30" t="s">
        <v>201</v>
      </c>
      <c r="AQ314" s="30" t="s">
        <v>202</v>
      </c>
      <c r="AR314" s="30" t="s">
        <v>97</v>
      </c>
      <c r="AS314" s="30" t="s">
        <v>98</v>
      </c>
      <c r="AT314" s="30" t="s">
        <v>226</v>
      </c>
      <c r="AU314" s="30" t="s">
        <v>204</v>
      </c>
      <c r="AV314" s="30" t="s">
        <v>227</v>
      </c>
      <c r="AW314" s="30" t="s">
        <v>206</v>
      </c>
      <c r="AX314" s="34" t="s">
        <v>783</v>
      </c>
      <c r="AY314" s="34" t="s">
        <v>167</v>
      </c>
      <c r="AZ314" s="34"/>
      <c r="BA314" s="34"/>
      <c r="BB314" s="34"/>
      <c r="BC314" s="34">
        <v>0</v>
      </c>
      <c r="BD314" s="34"/>
      <c r="BE314" s="34"/>
      <c r="BF314" s="34" t="b">
        <v>0</v>
      </c>
      <c r="BG314" s="34"/>
      <c r="BH314" s="34"/>
      <c r="BI314" s="34"/>
      <c r="BJ314" s="34"/>
      <c r="BK314" s="34"/>
      <c r="BL314" s="34" t="s">
        <v>208</v>
      </c>
      <c r="BM314" s="34" t="s">
        <v>106</v>
      </c>
      <c r="BN314" s="34" t="s">
        <v>107</v>
      </c>
      <c r="BO314" s="35"/>
      <c r="BP314" s="35"/>
      <c r="BQ314" s="35" t="s">
        <v>108</v>
      </c>
      <c r="BR314" s="36" t="e">
        <f>VLOOKUP(BQ314, Cat_Indicadores!B:C, 2, FALSE)</f>
        <v>#N/A</v>
      </c>
      <c r="BS314" s="35" t="s">
        <v>5592</v>
      </c>
      <c r="BT314" s="35"/>
    </row>
    <row r="315" spans="1:72">
      <c r="A315" s="29" t="s">
        <v>1309</v>
      </c>
      <c r="B315" s="30" t="s">
        <v>1310</v>
      </c>
      <c r="C315" s="31">
        <v>46255.471504629626</v>
      </c>
      <c r="D315" s="30">
        <v>92</v>
      </c>
      <c r="E315" s="30" t="s">
        <v>74</v>
      </c>
      <c r="F315" s="30" t="s">
        <v>75</v>
      </c>
      <c r="G315" s="30" t="s">
        <v>133</v>
      </c>
      <c r="H315" s="30" t="s">
        <v>77</v>
      </c>
      <c r="I315" s="30" t="s">
        <v>78</v>
      </c>
      <c r="J315" s="30" t="s">
        <v>79</v>
      </c>
      <c r="K315" s="32">
        <v>800</v>
      </c>
      <c r="L315" s="32" t="s">
        <v>211</v>
      </c>
      <c r="M315" s="30" t="s">
        <v>555</v>
      </c>
      <c r="N315" s="30" t="s">
        <v>556</v>
      </c>
      <c r="O315" s="30" t="s">
        <v>83</v>
      </c>
      <c r="P315" s="33">
        <v>46207</v>
      </c>
      <c r="Q315" s="33">
        <v>46207</v>
      </c>
      <c r="R315" s="32">
        <v>1</v>
      </c>
      <c r="S315" s="30" t="s">
        <v>249</v>
      </c>
      <c r="T315" s="30" t="s">
        <v>259</v>
      </c>
      <c r="U315" s="30" t="s">
        <v>86</v>
      </c>
      <c r="V315" s="30" t="s">
        <v>87</v>
      </c>
      <c r="W315" s="30" t="s">
        <v>88</v>
      </c>
      <c r="X315" s="30" t="s">
        <v>197</v>
      </c>
      <c r="Y315" s="30" t="s">
        <v>1282</v>
      </c>
      <c r="AB315" s="30" t="b">
        <v>0</v>
      </c>
      <c r="AC315" s="30"/>
      <c r="AD315" s="30" t="b">
        <v>0</v>
      </c>
      <c r="AF315" s="30" t="b">
        <v>0</v>
      </c>
      <c r="AH315" s="32" t="s">
        <v>91</v>
      </c>
      <c r="AI315" s="32"/>
      <c r="AJ315" s="32"/>
      <c r="AK315" s="32"/>
      <c r="AL315" s="30" t="s">
        <v>92</v>
      </c>
      <c r="AM315" s="30" t="s">
        <v>93</v>
      </c>
      <c r="AN315" s="30" t="s">
        <v>199</v>
      </c>
      <c r="AO315" s="30" t="s">
        <v>200</v>
      </c>
      <c r="AP315" s="30" t="s">
        <v>201</v>
      </c>
      <c r="AQ315" s="30" t="s">
        <v>202</v>
      </c>
      <c r="AR315" s="30" t="s">
        <v>145</v>
      </c>
      <c r="AT315" s="30" t="s">
        <v>99</v>
      </c>
      <c r="AU315" s="30" t="s">
        <v>100</v>
      </c>
      <c r="AV315" s="30" t="s">
        <v>101</v>
      </c>
      <c r="AW315" s="30" t="s">
        <v>102</v>
      </c>
      <c r="AX315" s="34" t="s">
        <v>86</v>
      </c>
      <c r="AY315" s="34" t="s">
        <v>149</v>
      </c>
      <c r="AZ315" s="34" t="s">
        <v>149</v>
      </c>
      <c r="BA315" s="34"/>
      <c r="BB315" s="34"/>
      <c r="BC315" s="34">
        <v>0</v>
      </c>
      <c r="BD315" s="34"/>
      <c r="BE315" s="34"/>
      <c r="BF315" s="34" t="b">
        <v>0</v>
      </c>
      <c r="BG315" s="34"/>
      <c r="BH315" s="34"/>
      <c r="BI315" s="34"/>
      <c r="BJ315" s="34"/>
      <c r="BK315" s="34"/>
      <c r="BL315" s="34"/>
      <c r="BM315" s="34" t="s">
        <v>168</v>
      </c>
      <c r="BN315" s="34"/>
      <c r="BO315" s="35"/>
      <c r="BP315" s="35"/>
      <c r="BQ315" s="35" t="s">
        <v>108</v>
      </c>
      <c r="BR315" s="36" t="e">
        <f>VLOOKUP(BQ315, Cat_Indicadores!B:C, 2, FALSE)</f>
        <v>#N/A</v>
      </c>
      <c r="BS315" s="35" t="s">
        <v>5592</v>
      </c>
      <c r="BT315" s="35"/>
    </row>
    <row r="316" spans="1:72">
      <c r="A316" s="29" t="s">
        <v>1311</v>
      </c>
      <c r="B316" s="30" t="s">
        <v>1312</v>
      </c>
      <c r="C316" s="31">
        <v>46255.474224537036</v>
      </c>
      <c r="D316" s="30">
        <v>92</v>
      </c>
      <c r="E316" s="30" t="s">
        <v>74</v>
      </c>
      <c r="F316" s="30" t="s">
        <v>75</v>
      </c>
      <c r="G316" s="30" t="s">
        <v>133</v>
      </c>
      <c r="H316" s="30" t="s">
        <v>77</v>
      </c>
      <c r="I316" s="30" t="s">
        <v>78</v>
      </c>
      <c r="J316" s="30" t="s">
        <v>79</v>
      </c>
      <c r="K316" s="32">
        <v>800</v>
      </c>
      <c r="L316" s="32" t="s">
        <v>211</v>
      </c>
      <c r="M316" s="30" t="s">
        <v>1313</v>
      </c>
      <c r="N316" s="30" t="s">
        <v>402</v>
      </c>
      <c r="O316" s="30" t="s">
        <v>83</v>
      </c>
      <c r="P316" s="33">
        <v>46211</v>
      </c>
      <c r="Q316" s="33">
        <v>46211</v>
      </c>
      <c r="R316" s="32">
        <v>1</v>
      </c>
      <c r="S316" s="30" t="s">
        <v>84</v>
      </c>
      <c r="T316" s="30" t="s">
        <v>337</v>
      </c>
      <c r="U316" s="30" t="s">
        <v>338</v>
      </c>
      <c r="V316" s="30" t="s">
        <v>87</v>
      </c>
      <c r="W316" s="30" t="s">
        <v>88</v>
      </c>
      <c r="X316" s="30" t="s">
        <v>197</v>
      </c>
      <c r="Y316" s="30" t="s">
        <v>1288</v>
      </c>
      <c r="AB316" s="30" t="b">
        <v>0</v>
      </c>
      <c r="AC316" s="30"/>
      <c r="AD316" s="30" t="b">
        <v>0</v>
      </c>
      <c r="AF316" s="30" t="b">
        <v>0</v>
      </c>
      <c r="AH316" s="32" t="s">
        <v>91</v>
      </c>
      <c r="AI316" s="32"/>
      <c r="AJ316" s="32"/>
      <c r="AK316" s="32"/>
      <c r="AL316" s="30" t="s">
        <v>92</v>
      </c>
      <c r="AM316" s="30" t="s">
        <v>93</v>
      </c>
      <c r="AN316" s="30" t="s">
        <v>199</v>
      </c>
      <c r="AO316" s="30" t="s">
        <v>200</v>
      </c>
      <c r="AP316" s="30" t="s">
        <v>201</v>
      </c>
      <c r="AQ316" s="30" t="s">
        <v>202</v>
      </c>
      <c r="AR316" s="30" t="s">
        <v>145</v>
      </c>
      <c r="AT316" s="30" t="s">
        <v>99</v>
      </c>
      <c r="AU316" s="30" t="s">
        <v>100</v>
      </c>
      <c r="AV316" s="30" t="s">
        <v>101</v>
      </c>
      <c r="AW316" s="30" t="s">
        <v>102</v>
      </c>
      <c r="AX316" s="34" t="s">
        <v>338</v>
      </c>
      <c r="AY316" s="34" t="s">
        <v>149</v>
      </c>
      <c r="AZ316" s="34" t="s">
        <v>149</v>
      </c>
      <c r="BA316" s="34"/>
      <c r="BB316" s="34"/>
      <c r="BC316" s="34">
        <v>0</v>
      </c>
      <c r="BD316" s="34"/>
      <c r="BE316" s="34"/>
      <c r="BF316" s="34" t="b">
        <v>0</v>
      </c>
      <c r="BG316" s="34"/>
      <c r="BH316" s="34"/>
      <c r="BI316" s="34"/>
      <c r="BJ316" s="34"/>
      <c r="BK316" s="34"/>
      <c r="BL316" s="34"/>
      <c r="BM316" s="34" t="s">
        <v>168</v>
      </c>
      <c r="BN316" s="34"/>
      <c r="BO316" s="35"/>
      <c r="BP316" s="35"/>
      <c r="BQ316" s="35" t="s">
        <v>108</v>
      </c>
      <c r="BR316" s="36" t="e">
        <f>VLOOKUP(BQ316, Cat_Indicadores!B:C, 2, FALSE)</f>
        <v>#N/A</v>
      </c>
      <c r="BS316" s="35" t="s">
        <v>5592</v>
      </c>
      <c r="BT316" s="35"/>
    </row>
    <row r="317" spans="1:72">
      <c r="A317" s="29" t="s">
        <v>1314</v>
      </c>
      <c r="B317" s="30" t="s">
        <v>1315</v>
      </c>
      <c r="C317" s="31">
        <v>46255.477164351854</v>
      </c>
      <c r="D317" s="30">
        <v>92</v>
      </c>
      <c r="E317" s="30" t="s">
        <v>74</v>
      </c>
      <c r="F317" s="30" t="s">
        <v>75</v>
      </c>
      <c r="G317" s="30" t="s">
        <v>133</v>
      </c>
      <c r="H317" s="30" t="s">
        <v>77</v>
      </c>
      <c r="I317" s="30" t="s">
        <v>78</v>
      </c>
      <c r="J317" s="30" t="s">
        <v>79</v>
      </c>
      <c r="K317" s="32">
        <v>800</v>
      </c>
      <c r="L317" s="32" t="s">
        <v>211</v>
      </c>
      <c r="M317" s="30" t="s">
        <v>1305</v>
      </c>
      <c r="N317" s="30" t="s">
        <v>1306</v>
      </c>
      <c r="O317" s="30" t="s">
        <v>83</v>
      </c>
      <c r="P317" s="33">
        <v>46229</v>
      </c>
      <c r="Q317" s="33">
        <v>46229</v>
      </c>
      <c r="R317" s="32">
        <v>1</v>
      </c>
      <c r="S317" s="30" t="s">
        <v>243</v>
      </c>
      <c r="T317" s="30" t="s">
        <v>398</v>
      </c>
      <c r="U317" s="30" t="s">
        <v>86</v>
      </c>
      <c r="V317" s="30" t="s">
        <v>87</v>
      </c>
      <c r="W317" s="30" t="s">
        <v>88</v>
      </c>
      <c r="X317" s="30" t="s">
        <v>197</v>
      </c>
      <c r="Y317" s="30" t="s">
        <v>1288</v>
      </c>
      <c r="AB317" s="30" t="b">
        <v>0</v>
      </c>
      <c r="AC317" s="30"/>
      <c r="AD317" s="30" t="b">
        <v>0</v>
      </c>
      <c r="AF317" s="30" t="b">
        <v>0</v>
      </c>
      <c r="AH317" s="32" t="s">
        <v>91</v>
      </c>
      <c r="AI317" s="32"/>
      <c r="AJ317" s="32"/>
      <c r="AK317" s="32"/>
      <c r="AL317" s="30" t="s">
        <v>92</v>
      </c>
      <c r="AM317" s="30" t="s">
        <v>93</v>
      </c>
      <c r="AN317" s="30" t="s">
        <v>199</v>
      </c>
      <c r="AO317" s="30" t="s">
        <v>200</v>
      </c>
      <c r="AP317" s="30" t="s">
        <v>201</v>
      </c>
      <c r="AQ317" s="30" t="s">
        <v>202</v>
      </c>
      <c r="AR317" s="30" t="s">
        <v>97</v>
      </c>
      <c r="AS317" s="30" t="s">
        <v>112</v>
      </c>
      <c r="AT317" s="30" t="s">
        <v>99</v>
      </c>
      <c r="AU317" s="30" t="s">
        <v>100</v>
      </c>
      <c r="AV317" s="30" t="s">
        <v>101</v>
      </c>
      <c r="AW317" s="30" t="s">
        <v>102</v>
      </c>
      <c r="AX317" s="34" t="s">
        <v>86</v>
      </c>
      <c r="AY317" s="34" t="s">
        <v>149</v>
      </c>
      <c r="AZ317" s="34" t="s">
        <v>149</v>
      </c>
      <c r="BA317" s="34"/>
      <c r="BB317" s="34"/>
      <c r="BC317" s="34">
        <v>0</v>
      </c>
      <c r="BD317" s="34"/>
      <c r="BE317" s="34"/>
      <c r="BF317" s="34" t="b">
        <v>0</v>
      </c>
      <c r="BG317" s="34"/>
      <c r="BH317" s="34"/>
      <c r="BI317" s="34"/>
      <c r="BJ317" s="34"/>
      <c r="BK317" s="34"/>
      <c r="BL317" s="34"/>
      <c r="BM317" s="34" t="s">
        <v>168</v>
      </c>
      <c r="BN317" s="34"/>
      <c r="BO317" s="35"/>
      <c r="BP317" s="35"/>
      <c r="BQ317" s="35" t="s">
        <v>108</v>
      </c>
      <c r="BR317" s="36" t="e">
        <f>VLOOKUP(BQ317, Cat_Indicadores!B:C, 2, FALSE)</f>
        <v>#N/A</v>
      </c>
      <c r="BS317" s="35" t="s">
        <v>5592</v>
      </c>
      <c r="BT317" s="35"/>
    </row>
    <row r="318" spans="1:72">
      <c r="A318" s="29" t="s">
        <v>1316</v>
      </c>
      <c r="B318" s="30" t="s">
        <v>1317</v>
      </c>
      <c r="C318" s="31">
        <v>46255.481238425928</v>
      </c>
      <c r="D318" s="30">
        <v>92</v>
      </c>
      <c r="E318" s="30" t="s">
        <v>74</v>
      </c>
      <c r="F318" s="30" t="s">
        <v>75</v>
      </c>
      <c r="G318" s="30" t="s">
        <v>133</v>
      </c>
      <c r="H318" s="30" t="s">
        <v>77</v>
      </c>
      <c r="I318" s="30" t="s">
        <v>78</v>
      </c>
      <c r="J318" s="30" t="s">
        <v>79</v>
      </c>
      <c r="K318" s="32">
        <v>800</v>
      </c>
      <c r="L318" s="32" t="s">
        <v>211</v>
      </c>
      <c r="M318" s="30" t="s">
        <v>1318</v>
      </c>
      <c r="N318" s="30" t="s">
        <v>1319</v>
      </c>
      <c r="O318" s="30" t="s">
        <v>661</v>
      </c>
      <c r="P318" s="33">
        <v>46230</v>
      </c>
      <c r="Q318" s="33">
        <v>46233</v>
      </c>
      <c r="R318" s="32">
        <v>4</v>
      </c>
      <c r="S318" s="30" t="s">
        <v>322</v>
      </c>
      <c r="T318" s="30" t="s">
        <v>890</v>
      </c>
      <c r="U318" s="30" t="s">
        <v>86</v>
      </c>
      <c r="V318" s="30" t="s">
        <v>87</v>
      </c>
      <c r="W318" s="30" t="s">
        <v>88</v>
      </c>
      <c r="X318" s="30" t="s">
        <v>197</v>
      </c>
      <c r="Y318" s="30" t="s">
        <v>1288</v>
      </c>
      <c r="AB318" s="30" t="b">
        <v>0</v>
      </c>
      <c r="AC318" s="30"/>
      <c r="AD318" s="30" t="b">
        <v>1</v>
      </c>
      <c r="AE318" s="30">
        <v>3</v>
      </c>
      <c r="AF318" s="30" t="b">
        <v>0</v>
      </c>
      <c r="AH318" s="32" t="s">
        <v>91</v>
      </c>
      <c r="AI318" s="32"/>
      <c r="AJ318" s="32"/>
      <c r="AK318" s="32"/>
      <c r="AL318" s="30" t="s">
        <v>92</v>
      </c>
      <c r="AM318" s="30" t="s">
        <v>93</v>
      </c>
      <c r="AN318" s="30" t="s">
        <v>199</v>
      </c>
      <c r="AO318" s="30" t="s">
        <v>200</v>
      </c>
      <c r="AP318" s="30" t="s">
        <v>201</v>
      </c>
      <c r="AQ318" s="30" t="s">
        <v>202</v>
      </c>
      <c r="AR318" s="30" t="s">
        <v>97</v>
      </c>
      <c r="AS318" s="30" t="s">
        <v>112</v>
      </c>
      <c r="AT318" s="30" t="s">
        <v>99</v>
      </c>
      <c r="AU318" s="30" t="s">
        <v>100</v>
      </c>
      <c r="AV318" s="30" t="s">
        <v>101</v>
      </c>
      <c r="AW318" s="30" t="s">
        <v>102</v>
      </c>
      <c r="AX318" s="34" t="s">
        <v>777</v>
      </c>
      <c r="AY318" s="34" t="s">
        <v>149</v>
      </c>
      <c r="AZ318" s="34"/>
      <c r="BA318" s="34"/>
      <c r="BB318" s="34"/>
      <c r="BC318" s="34">
        <v>0</v>
      </c>
      <c r="BD318" s="34"/>
      <c r="BE318" s="34"/>
      <c r="BF318" s="34" t="b">
        <v>0</v>
      </c>
      <c r="BG318" s="34"/>
      <c r="BH318" s="34"/>
      <c r="BI318" s="34"/>
      <c r="BJ318" s="34"/>
      <c r="BK318" s="34"/>
      <c r="BL318" s="34"/>
      <c r="BM318" s="34" t="s">
        <v>168</v>
      </c>
      <c r="BN318" s="34"/>
      <c r="BO318" s="35"/>
      <c r="BP318" s="35"/>
      <c r="BQ318" s="35" t="s">
        <v>108</v>
      </c>
      <c r="BR318" s="36" t="e">
        <f>VLOOKUP(BQ318, Cat_Indicadores!B:C, 2, FALSE)</f>
        <v>#N/A</v>
      </c>
      <c r="BS318" s="35" t="s">
        <v>5592</v>
      </c>
      <c r="BT318" s="35"/>
    </row>
    <row r="319" spans="1:72">
      <c r="A319" s="29" t="s">
        <v>1320</v>
      </c>
      <c r="B319" s="30" t="s">
        <v>1321</v>
      </c>
      <c r="C319" s="31">
        <v>46255.485856481479</v>
      </c>
      <c r="D319" s="30">
        <v>92</v>
      </c>
      <c r="E319" s="30" t="s">
        <v>74</v>
      </c>
      <c r="F319" s="30" t="s">
        <v>75</v>
      </c>
      <c r="G319" s="30" t="s">
        <v>133</v>
      </c>
      <c r="H319" s="30" t="s">
        <v>77</v>
      </c>
      <c r="I319" s="30" t="s">
        <v>78</v>
      </c>
      <c r="J319" s="30" t="s">
        <v>79</v>
      </c>
      <c r="K319" s="32">
        <v>800</v>
      </c>
      <c r="L319" s="32" t="s">
        <v>211</v>
      </c>
      <c r="M319" s="30" t="s">
        <v>1322</v>
      </c>
      <c r="N319" s="30" t="s">
        <v>402</v>
      </c>
      <c r="O319" s="30" t="s">
        <v>83</v>
      </c>
      <c r="P319" s="33">
        <v>46206</v>
      </c>
      <c r="Q319" s="33">
        <v>46206</v>
      </c>
      <c r="R319" s="32">
        <v>1</v>
      </c>
      <c r="S319" s="30" t="s">
        <v>84</v>
      </c>
      <c r="T319" s="30" t="s">
        <v>337</v>
      </c>
      <c r="U319" s="30" t="s">
        <v>349</v>
      </c>
      <c r="V319" s="30" t="s">
        <v>87</v>
      </c>
      <c r="W319" s="30" t="s">
        <v>88</v>
      </c>
      <c r="X319" s="30" t="s">
        <v>197</v>
      </c>
      <c r="Y319" s="30" t="s">
        <v>1282</v>
      </c>
      <c r="AB319" s="30" t="b">
        <v>0</v>
      </c>
      <c r="AC319" s="30"/>
      <c r="AD319" s="30" t="b">
        <v>0</v>
      </c>
      <c r="AF319" s="30" t="b">
        <v>0</v>
      </c>
      <c r="AH319" s="32" t="s">
        <v>91</v>
      </c>
      <c r="AI319" s="32"/>
      <c r="AJ319" s="32"/>
      <c r="AK319" s="32"/>
      <c r="AL319" s="30" t="s">
        <v>92</v>
      </c>
      <c r="AM319" s="30" t="s">
        <v>93</v>
      </c>
      <c r="AN319" s="30" t="s">
        <v>199</v>
      </c>
      <c r="AO319" s="30" t="s">
        <v>200</v>
      </c>
      <c r="AP319" s="30" t="s">
        <v>201</v>
      </c>
      <c r="AQ319" s="30" t="s">
        <v>202</v>
      </c>
      <c r="AR319" s="30" t="s">
        <v>97</v>
      </c>
      <c r="AS319" s="30" t="s">
        <v>112</v>
      </c>
      <c r="AT319" s="30" t="s">
        <v>99</v>
      </c>
      <c r="AU319" s="30" t="s">
        <v>100</v>
      </c>
      <c r="AV319" s="30" t="s">
        <v>101</v>
      </c>
      <c r="AW319" s="30" t="s">
        <v>102</v>
      </c>
      <c r="AX319" s="34" t="s">
        <v>349</v>
      </c>
      <c r="AY319" s="34" t="s">
        <v>149</v>
      </c>
      <c r="AZ319" s="34"/>
      <c r="BA319" s="34"/>
      <c r="BB319" s="34"/>
      <c r="BC319" s="34">
        <v>0</v>
      </c>
      <c r="BD319" s="34"/>
      <c r="BE319" s="34"/>
      <c r="BF319" s="34" t="b">
        <v>0</v>
      </c>
      <c r="BG319" s="34"/>
      <c r="BH319" s="34"/>
      <c r="BI319" s="34"/>
      <c r="BJ319" s="34"/>
      <c r="BK319" s="34"/>
      <c r="BL319" s="34"/>
      <c r="BM319" s="34" t="s">
        <v>168</v>
      </c>
      <c r="BN319" s="34"/>
      <c r="BO319" s="35"/>
      <c r="BP319" s="35"/>
      <c r="BQ319" s="35" t="s">
        <v>108</v>
      </c>
      <c r="BR319" s="36" t="e">
        <f>VLOOKUP(BQ319, Cat_Indicadores!B:C, 2, FALSE)</f>
        <v>#N/A</v>
      </c>
      <c r="BS319" s="35" t="s">
        <v>5592</v>
      </c>
      <c r="BT319" s="35"/>
    </row>
    <row r="320" spans="1:72">
      <c r="A320" s="29" t="s">
        <v>1323</v>
      </c>
      <c r="B320" s="30" t="s">
        <v>1324</v>
      </c>
      <c r="C320" s="31">
        <v>46255.489814814813</v>
      </c>
      <c r="D320" s="30">
        <v>92</v>
      </c>
      <c r="E320" s="30" t="s">
        <v>74</v>
      </c>
      <c r="F320" s="30" t="s">
        <v>75</v>
      </c>
      <c r="G320" s="30" t="s">
        <v>133</v>
      </c>
      <c r="H320" s="30" t="s">
        <v>77</v>
      </c>
      <c r="I320" s="30" t="s">
        <v>78</v>
      </c>
      <c r="J320" s="30" t="s">
        <v>79</v>
      </c>
      <c r="K320" s="32">
        <v>800</v>
      </c>
      <c r="L320" s="32" t="s">
        <v>211</v>
      </c>
      <c r="M320" s="30" t="s">
        <v>1325</v>
      </c>
      <c r="N320" s="30" t="s">
        <v>402</v>
      </c>
      <c r="O320" s="30" t="s">
        <v>83</v>
      </c>
      <c r="P320" s="33">
        <v>46217</v>
      </c>
      <c r="Q320" s="33">
        <v>46217</v>
      </c>
      <c r="R320" s="32">
        <v>1</v>
      </c>
      <c r="S320" s="30" t="s">
        <v>84</v>
      </c>
      <c r="T320" s="30" t="s">
        <v>337</v>
      </c>
      <c r="U320" s="30" t="s">
        <v>338</v>
      </c>
      <c r="V320" s="30" t="s">
        <v>87</v>
      </c>
      <c r="W320" s="30" t="s">
        <v>88</v>
      </c>
      <c r="X320" s="30" t="s">
        <v>197</v>
      </c>
      <c r="Y320" s="30" t="s">
        <v>1282</v>
      </c>
      <c r="AB320" s="30" t="b">
        <v>0</v>
      </c>
      <c r="AC320" s="30"/>
      <c r="AD320" s="30" t="b">
        <v>0</v>
      </c>
      <c r="AF320" s="30" t="b">
        <v>0</v>
      </c>
      <c r="AH320" s="32" t="s">
        <v>91</v>
      </c>
      <c r="AI320" s="32"/>
      <c r="AJ320" s="32"/>
      <c r="AK320" s="32"/>
      <c r="AL320" s="30" t="s">
        <v>92</v>
      </c>
      <c r="AM320" s="30" t="s">
        <v>93</v>
      </c>
      <c r="AN320" s="30" t="s">
        <v>199</v>
      </c>
      <c r="AO320" s="30" t="s">
        <v>200</v>
      </c>
      <c r="AP320" s="30" t="s">
        <v>201</v>
      </c>
      <c r="AQ320" s="30" t="s">
        <v>202</v>
      </c>
      <c r="AR320" s="30" t="s">
        <v>145</v>
      </c>
      <c r="AT320" s="30" t="s">
        <v>99</v>
      </c>
      <c r="AU320" s="30" t="s">
        <v>100</v>
      </c>
      <c r="AV320" s="30" t="s">
        <v>101</v>
      </c>
      <c r="AW320" s="30" t="s">
        <v>102</v>
      </c>
      <c r="AX320" s="34" t="s">
        <v>338</v>
      </c>
      <c r="AY320" s="34" t="s">
        <v>149</v>
      </c>
      <c r="AZ320" s="34"/>
      <c r="BA320" s="34"/>
      <c r="BB320" s="34"/>
      <c r="BC320" s="34">
        <v>0</v>
      </c>
      <c r="BD320" s="34"/>
      <c r="BE320" s="34"/>
      <c r="BF320" s="34" t="b">
        <v>0</v>
      </c>
      <c r="BG320" s="34"/>
      <c r="BH320" s="34"/>
      <c r="BI320" s="34"/>
      <c r="BJ320" s="34"/>
      <c r="BK320" s="34"/>
      <c r="BL320" s="34"/>
      <c r="BM320" s="34" t="s">
        <v>168</v>
      </c>
      <c r="BN320" s="34"/>
      <c r="BO320" s="35"/>
      <c r="BP320" s="35"/>
      <c r="BQ320" s="35" t="s">
        <v>108</v>
      </c>
      <c r="BR320" s="36" t="e">
        <f>VLOOKUP(BQ320, Cat_Indicadores!B:C, 2, FALSE)</f>
        <v>#N/A</v>
      </c>
      <c r="BS320" s="35" t="s">
        <v>5592</v>
      </c>
      <c r="BT320" s="35"/>
    </row>
    <row r="321" spans="1:72">
      <c r="A321" s="29" t="s">
        <v>1326</v>
      </c>
      <c r="B321" s="30" t="s">
        <v>1327</v>
      </c>
      <c r="C321" s="31">
        <v>46255.4921875</v>
      </c>
      <c r="D321" s="30">
        <v>92</v>
      </c>
      <c r="E321" s="30" t="s">
        <v>74</v>
      </c>
      <c r="F321" s="30" t="s">
        <v>75</v>
      </c>
      <c r="G321" s="30" t="s">
        <v>133</v>
      </c>
      <c r="H321" s="30" t="s">
        <v>77</v>
      </c>
      <c r="I321" s="30" t="s">
        <v>78</v>
      </c>
      <c r="J321" s="30" t="s">
        <v>79</v>
      </c>
      <c r="K321" s="32">
        <v>800</v>
      </c>
      <c r="L321" s="32" t="s">
        <v>211</v>
      </c>
      <c r="M321" s="30" t="s">
        <v>1328</v>
      </c>
      <c r="N321" s="30" t="s">
        <v>1329</v>
      </c>
      <c r="O321" s="30" t="s">
        <v>83</v>
      </c>
      <c r="P321" s="33">
        <v>46228</v>
      </c>
      <c r="Q321" s="33">
        <v>46228</v>
      </c>
      <c r="R321" s="32">
        <v>1</v>
      </c>
      <c r="S321" s="30" t="s">
        <v>322</v>
      </c>
      <c r="T321" s="30" t="s">
        <v>1330</v>
      </c>
      <c r="U321" s="30" t="s">
        <v>86</v>
      </c>
      <c r="V321" s="30" t="s">
        <v>87</v>
      </c>
      <c r="W321" s="30" t="s">
        <v>88</v>
      </c>
      <c r="X321" s="30" t="s">
        <v>197</v>
      </c>
      <c r="Y321" s="30" t="s">
        <v>1275</v>
      </c>
      <c r="AB321" s="30" t="b">
        <v>0</v>
      </c>
      <c r="AC321" s="30"/>
      <c r="AD321" s="30" t="b">
        <v>0</v>
      </c>
      <c r="AF321" s="30" t="b">
        <v>0</v>
      </c>
      <c r="AH321" s="32" t="s">
        <v>91</v>
      </c>
      <c r="AI321" s="32"/>
      <c r="AJ321" s="32"/>
      <c r="AK321" s="32"/>
      <c r="AL321" s="30" t="s">
        <v>92</v>
      </c>
      <c r="AM321" s="30" t="s">
        <v>93</v>
      </c>
      <c r="AN321" s="30" t="s">
        <v>199</v>
      </c>
      <c r="AO321" s="30" t="s">
        <v>200</v>
      </c>
      <c r="AP321" s="30" t="s">
        <v>201</v>
      </c>
      <c r="AQ321" s="30" t="s">
        <v>202</v>
      </c>
      <c r="AR321" s="30" t="s">
        <v>145</v>
      </c>
      <c r="AT321" s="30" t="s">
        <v>99</v>
      </c>
      <c r="AU321" s="30" t="s">
        <v>100</v>
      </c>
      <c r="AV321" s="30" t="s">
        <v>101</v>
      </c>
      <c r="AW321" s="30" t="s">
        <v>102</v>
      </c>
      <c r="AX321" s="34" t="s">
        <v>86</v>
      </c>
      <c r="AY321" s="34" t="s">
        <v>149</v>
      </c>
      <c r="AZ321" s="34"/>
      <c r="BA321" s="34"/>
      <c r="BB321" s="34"/>
      <c r="BC321" s="34">
        <v>0</v>
      </c>
      <c r="BD321" s="34"/>
      <c r="BE321" s="34"/>
      <c r="BF321" s="34" t="b">
        <v>0</v>
      </c>
      <c r="BG321" s="34"/>
      <c r="BH321" s="34"/>
      <c r="BI321" s="34"/>
      <c r="BJ321" s="34"/>
      <c r="BK321" s="34"/>
      <c r="BL321" s="34"/>
      <c r="BM321" s="34" t="s">
        <v>168</v>
      </c>
      <c r="BN321" s="34"/>
      <c r="BO321" s="35"/>
      <c r="BP321" s="35"/>
      <c r="BQ321" s="35" t="s">
        <v>108</v>
      </c>
      <c r="BR321" s="36" t="e">
        <f>VLOOKUP(BQ321, Cat_Indicadores!B:C, 2, FALSE)</f>
        <v>#N/A</v>
      </c>
      <c r="BS321" s="35" t="s">
        <v>5592</v>
      </c>
      <c r="BT321" s="35"/>
    </row>
    <row r="322" spans="1:72">
      <c r="A322" s="29" t="s">
        <v>1331</v>
      </c>
      <c r="B322" s="30" t="s">
        <v>1332</v>
      </c>
      <c r="C322" s="31">
        <v>46255.501620370371</v>
      </c>
      <c r="D322" s="30">
        <v>92</v>
      </c>
      <c r="E322" s="30" t="s">
        <v>74</v>
      </c>
      <c r="F322" s="30" t="s">
        <v>75</v>
      </c>
      <c r="G322" s="30" t="s">
        <v>133</v>
      </c>
      <c r="H322" s="30" t="s">
        <v>77</v>
      </c>
      <c r="I322" s="30" t="s">
        <v>78</v>
      </c>
      <c r="J322" s="30" t="s">
        <v>79</v>
      </c>
      <c r="K322" s="32">
        <v>800</v>
      </c>
      <c r="L322" s="32" t="s">
        <v>211</v>
      </c>
      <c r="M322" s="30" t="s">
        <v>1325</v>
      </c>
      <c r="N322" s="30" t="s">
        <v>402</v>
      </c>
      <c r="O322" s="30" t="s">
        <v>83</v>
      </c>
      <c r="P322" s="33">
        <v>46218</v>
      </c>
      <c r="Q322" s="33">
        <v>46218</v>
      </c>
      <c r="R322" s="32">
        <v>1</v>
      </c>
      <c r="S322" s="30" t="s">
        <v>84</v>
      </c>
      <c r="T322" s="30" t="s">
        <v>337</v>
      </c>
      <c r="U322" s="30" t="s">
        <v>338</v>
      </c>
      <c r="V322" s="30" t="s">
        <v>87</v>
      </c>
      <c r="W322" s="30" t="s">
        <v>88</v>
      </c>
      <c r="X322" s="30" t="s">
        <v>197</v>
      </c>
      <c r="Y322" s="30" t="s">
        <v>1282</v>
      </c>
      <c r="AB322" s="30" t="b">
        <v>0</v>
      </c>
      <c r="AC322" s="30"/>
      <c r="AD322" s="30" t="b">
        <v>0</v>
      </c>
      <c r="AF322" s="30" t="b">
        <v>0</v>
      </c>
      <c r="AH322" s="32" t="s">
        <v>91</v>
      </c>
      <c r="AI322" s="32"/>
      <c r="AJ322" s="32"/>
      <c r="AK322" s="32"/>
      <c r="AL322" s="30" t="s">
        <v>92</v>
      </c>
      <c r="AM322" s="30" t="s">
        <v>93</v>
      </c>
      <c r="AN322" s="30" t="s">
        <v>199</v>
      </c>
      <c r="AO322" s="30" t="s">
        <v>200</v>
      </c>
      <c r="AP322" s="30" t="s">
        <v>201</v>
      </c>
      <c r="AQ322" s="30" t="s">
        <v>202</v>
      </c>
      <c r="AR322" s="30" t="s">
        <v>145</v>
      </c>
      <c r="AT322" s="30" t="s">
        <v>99</v>
      </c>
      <c r="AU322" s="30" t="s">
        <v>100</v>
      </c>
      <c r="AV322" s="30" t="s">
        <v>101</v>
      </c>
      <c r="AW322" s="30" t="s">
        <v>102</v>
      </c>
      <c r="AX322" s="34" t="s">
        <v>338</v>
      </c>
      <c r="AY322" s="34" t="s">
        <v>149</v>
      </c>
      <c r="AZ322" s="34"/>
      <c r="BA322" s="34"/>
      <c r="BB322" s="34"/>
      <c r="BC322" s="34">
        <v>0</v>
      </c>
      <c r="BD322" s="34"/>
      <c r="BE322" s="34"/>
      <c r="BF322" s="34" t="b">
        <v>0</v>
      </c>
      <c r="BG322" s="34"/>
      <c r="BH322" s="34"/>
      <c r="BI322" s="34"/>
      <c r="BJ322" s="34"/>
      <c r="BK322" s="34"/>
      <c r="BL322" s="34"/>
      <c r="BM322" s="34" t="s">
        <v>168</v>
      </c>
      <c r="BN322" s="34"/>
      <c r="BO322" s="35"/>
      <c r="BP322" s="35"/>
      <c r="BQ322" s="35" t="s">
        <v>108</v>
      </c>
      <c r="BR322" s="36" t="e">
        <f>VLOOKUP(BQ322, Cat_Indicadores!B:C, 2, FALSE)</f>
        <v>#N/A</v>
      </c>
      <c r="BS322" s="35" t="s">
        <v>5592</v>
      </c>
      <c r="BT322" s="35"/>
    </row>
    <row r="323" spans="1:72">
      <c r="A323" s="29" t="s">
        <v>1333</v>
      </c>
      <c r="B323" s="30" t="s">
        <v>1334</v>
      </c>
      <c r="C323" s="31">
        <v>46255.506527777776</v>
      </c>
      <c r="D323" s="30">
        <v>92</v>
      </c>
      <c r="E323" s="30" t="s">
        <v>74</v>
      </c>
      <c r="F323" s="30" t="s">
        <v>75</v>
      </c>
      <c r="G323" s="30" t="s">
        <v>133</v>
      </c>
      <c r="H323" s="30" t="s">
        <v>77</v>
      </c>
      <c r="I323" s="30" t="s">
        <v>78</v>
      </c>
      <c r="J323" s="30" t="s">
        <v>79</v>
      </c>
      <c r="K323" s="32">
        <v>800</v>
      </c>
      <c r="L323" s="32" t="s">
        <v>211</v>
      </c>
      <c r="M323" s="30" t="s">
        <v>1325</v>
      </c>
      <c r="N323" s="30" t="s">
        <v>402</v>
      </c>
      <c r="O323" s="30" t="s">
        <v>83</v>
      </c>
      <c r="P323" s="33">
        <v>46219</v>
      </c>
      <c r="Q323" s="33">
        <v>46219</v>
      </c>
      <c r="R323" s="32">
        <v>1</v>
      </c>
      <c r="S323" s="30" t="s">
        <v>84</v>
      </c>
      <c r="T323" s="30" t="s">
        <v>337</v>
      </c>
      <c r="U323" s="30" t="s">
        <v>338</v>
      </c>
      <c r="V323" s="30" t="s">
        <v>87</v>
      </c>
      <c r="W323" s="30" t="s">
        <v>88</v>
      </c>
      <c r="X323" s="30" t="s">
        <v>197</v>
      </c>
      <c r="Y323" s="30" t="s">
        <v>1282</v>
      </c>
      <c r="AB323" s="30" t="b">
        <v>0</v>
      </c>
      <c r="AC323" s="30"/>
      <c r="AD323" s="30" t="b">
        <v>0</v>
      </c>
      <c r="AF323" s="30" t="b">
        <v>0</v>
      </c>
      <c r="AH323" s="32" t="s">
        <v>91</v>
      </c>
      <c r="AI323" s="32"/>
      <c r="AJ323" s="32"/>
      <c r="AK323" s="32"/>
      <c r="AL323" s="30" t="s">
        <v>92</v>
      </c>
      <c r="AM323" s="30" t="s">
        <v>93</v>
      </c>
      <c r="AN323" s="30" t="s">
        <v>199</v>
      </c>
      <c r="AO323" s="30" t="s">
        <v>200</v>
      </c>
      <c r="AP323" s="30" t="s">
        <v>201</v>
      </c>
      <c r="AQ323" s="30" t="s">
        <v>202</v>
      </c>
      <c r="AR323" s="30" t="s">
        <v>145</v>
      </c>
      <c r="AT323" s="30" t="s">
        <v>99</v>
      </c>
      <c r="AU323" s="30" t="s">
        <v>100</v>
      </c>
      <c r="AV323" s="30" t="s">
        <v>101</v>
      </c>
      <c r="AW323" s="30" t="s">
        <v>102</v>
      </c>
      <c r="AX323" s="34" t="s">
        <v>338</v>
      </c>
      <c r="AY323" s="34" t="s">
        <v>149</v>
      </c>
      <c r="AZ323" s="34"/>
      <c r="BA323" s="34"/>
      <c r="BB323" s="34"/>
      <c r="BC323" s="34">
        <v>0</v>
      </c>
      <c r="BD323" s="34"/>
      <c r="BE323" s="34"/>
      <c r="BF323" s="34" t="b">
        <v>0</v>
      </c>
      <c r="BG323" s="34"/>
      <c r="BH323" s="34"/>
      <c r="BI323" s="34"/>
      <c r="BJ323" s="34"/>
      <c r="BK323" s="34"/>
      <c r="BL323" s="34"/>
      <c r="BM323" s="34" t="s">
        <v>168</v>
      </c>
      <c r="BN323" s="34"/>
      <c r="BO323" s="35"/>
      <c r="BP323" s="35"/>
      <c r="BQ323" s="35" t="s">
        <v>108</v>
      </c>
      <c r="BR323" s="36" t="e">
        <f>VLOOKUP(BQ323, Cat_Indicadores!B:C, 2, FALSE)</f>
        <v>#N/A</v>
      </c>
      <c r="BS323" s="35" t="s">
        <v>5592</v>
      </c>
      <c r="BT323" s="35"/>
    </row>
    <row r="324" spans="1:72">
      <c r="A324" s="29" t="s">
        <v>1335</v>
      </c>
      <c r="B324" s="30" t="s">
        <v>1336</v>
      </c>
      <c r="C324" s="31">
        <v>46255.508101851854</v>
      </c>
      <c r="D324" s="30">
        <v>92</v>
      </c>
      <c r="E324" s="30" t="s">
        <v>74</v>
      </c>
      <c r="F324" s="30" t="s">
        <v>75</v>
      </c>
      <c r="G324" s="30" t="s">
        <v>133</v>
      </c>
      <c r="H324" s="30" t="s">
        <v>77</v>
      </c>
      <c r="I324" s="30" t="s">
        <v>78</v>
      </c>
      <c r="J324" s="30" t="s">
        <v>79</v>
      </c>
      <c r="K324" s="32">
        <v>800</v>
      </c>
      <c r="L324" s="32" t="s">
        <v>211</v>
      </c>
      <c r="M324" s="30" t="s">
        <v>1337</v>
      </c>
      <c r="N324" s="30" t="s">
        <v>402</v>
      </c>
      <c r="O324" s="30" t="s">
        <v>83</v>
      </c>
      <c r="P324" s="33">
        <v>46221</v>
      </c>
      <c r="Q324" s="33">
        <v>46221</v>
      </c>
      <c r="R324" s="32">
        <v>1</v>
      </c>
      <c r="S324" s="30" t="s">
        <v>84</v>
      </c>
      <c r="T324" s="30" t="s">
        <v>337</v>
      </c>
      <c r="U324" s="30" t="s">
        <v>338</v>
      </c>
      <c r="V324" s="30" t="s">
        <v>87</v>
      </c>
      <c r="W324" s="30" t="s">
        <v>88</v>
      </c>
      <c r="X324" s="30" t="s">
        <v>197</v>
      </c>
      <c r="Y324" s="30" t="s">
        <v>1288</v>
      </c>
      <c r="AB324" s="30" t="b">
        <v>0</v>
      </c>
      <c r="AC324" s="30"/>
      <c r="AD324" s="30" t="b">
        <v>0</v>
      </c>
      <c r="AF324" s="30" t="b">
        <v>0</v>
      </c>
      <c r="AH324" s="32" t="s">
        <v>91</v>
      </c>
      <c r="AI324" s="32"/>
      <c r="AJ324" s="32"/>
      <c r="AK324" s="32"/>
      <c r="AL324" s="30" t="s">
        <v>92</v>
      </c>
      <c r="AM324" s="30" t="s">
        <v>93</v>
      </c>
      <c r="AN324" s="30" t="s">
        <v>199</v>
      </c>
      <c r="AO324" s="30" t="s">
        <v>200</v>
      </c>
      <c r="AP324" s="30" t="s">
        <v>201</v>
      </c>
      <c r="AQ324" s="30" t="s">
        <v>202</v>
      </c>
      <c r="AR324" s="30" t="s">
        <v>97</v>
      </c>
      <c r="AS324" s="30" t="s">
        <v>112</v>
      </c>
      <c r="AT324" s="30" t="s">
        <v>99</v>
      </c>
      <c r="AU324" s="30" t="s">
        <v>100</v>
      </c>
      <c r="AV324" s="30" t="s">
        <v>101</v>
      </c>
      <c r="AW324" s="30" t="s">
        <v>102</v>
      </c>
      <c r="AX324" s="34" t="s">
        <v>338</v>
      </c>
      <c r="AY324" s="34" t="s">
        <v>149</v>
      </c>
      <c r="AZ324" s="34"/>
      <c r="BA324" s="34"/>
      <c r="BB324" s="34"/>
      <c r="BC324" s="34">
        <v>0</v>
      </c>
      <c r="BD324" s="34"/>
      <c r="BE324" s="34"/>
      <c r="BF324" s="34" t="b">
        <v>0</v>
      </c>
      <c r="BG324" s="34"/>
      <c r="BH324" s="34"/>
      <c r="BI324" s="34"/>
      <c r="BJ324" s="34"/>
      <c r="BK324" s="34"/>
      <c r="BL324" s="34"/>
      <c r="BM324" s="34" t="s">
        <v>168</v>
      </c>
      <c r="BN324" s="34"/>
      <c r="BO324" s="35"/>
      <c r="BP324" s="35"/>
      <c r="BQ324" s="35" t="s">
        <v>108</v>
      </c>
      <c r="BR324" s="36" t="e">
        <f>VLOOKUP(BQ324, Cat_Indicadores!B:C, 2, FALSE)</f>
        <v>#N/A</v>
      </c>
      <c r="BS324" s="35" t="s">
        <v>5592</v>
      </c>
      <c r="BT324" s="35"/>
    </row>
    <row r="325" spans="1:72">
      <c r="A325" s="29" t="s">
        <v>1338</v>
      </c>
      <c r="B325" s="30" t="s">
        <v>1339</v>
      </c>
      <c r="C325" s="31">
        <v>46255.516226851854</v>
      </c>
      <c r="D325" s="30">
        <v>92</v>
      </c>
      <c r="E325" s="30" t="s">
        <v>74</v>
      </c>
      <c r="F325" s="30" t="s">
        <v>75</v>
      </c>
      <c r="G325" s="30" t="s">
        <v>133</v>
      </c>
      <c r="H325" s="30" t="s">
        <v>77</v>
      </c>
      <c r="I325" s="30" t="s">
        <v>78</v>
      </c>
      <c r="J325" s="30" t="s">
        <v>79</v>
      </c>
      <c r="K325" s="32">
        <v>800</v>
      </c>
      <c r="L325" s="32" t="s">
        <v>211</v>
      </c>
      <c r="M325" s="30" t="s">
        <v>1340</v>
      </c>
      <c r="N325" s="30" t="s">
        <v>402</v>
      </c>
      <c r="O325" s="30" t="s">
        <v>83</v>
      </c>
      <c r="P325" s="33">
        <v>46221</v>
      </c>
      <c r="Q325" s="33">
        <v>46221</v>
      </c>
      <c r="R325" s="32">
        <v>1</v>
      </c>
      <c r="S325" s="30" t="s">
        <v>84</v>
      </c>
      <c r="T325" s="30" t="s">
        <v>337</v>
      </c>
      <c r="U325" s="30" t="s">
        <v>338</v>
      </c>
      <c r="V325" s="30" t="s">
        <v>87</v>
      </c>
      <c r="W325" s="30" t="s">
        <v>88</v>
      </c>
      <c r="X325" s="30" t="s">
        <v>197</v>
      </c>
      <c r="Y325" s="30" t="s">
        <v>1275</v>
      </c>
      <c r="AB325" s="30" t="b">
        <v>0</v>
      </c>
      <c r="AC325" s="30"/>
      <c r="AD325" s="30" t="b">
        <v>0</v>
      </c>
      <c r="AF325" s="30" t="b">
        <v>0</v>
      </c>
      <c r="AH325" s="32" t="s">
        <v>91</v>
      </c>
      <c r="AI325" s="32"/>
      <c r="AJ325" s="32"/>
      <c r="AK325" s="32"/>
      <c r="AL325" s="30" t="s">
        <v>92</v>
      </c>
      <c r="AM325" s="30" t="s">
        <v>93</v>
      </c>
      <c r="AN325" s="30" t="s">
        <v>199</v>
      </c>
      <c r="AO325" s="30" t="s">
        <v>200</v>
      </c>
      <c r="AP325" s="30" t="s">
        <v>201</v>
      </c>
      <c r="AQ325" s="30" t="s">
        <v>202</v>
      </c>
      <c r="AR325" s="30" t="s">
        <v>145</v>
      </c>
      <c r="AT325" s="30" t="s">
        <v>99</v>
      </c>
      <c r="AU325" s="30" t="s">
        <v>100</v>
      </c>
      <c r="AV325" s="30" t="s">
        <v>101</v>
      </c>
      <c r="AW325" s="30" t="s">
        <v>102</v>
      </c>
      <c r="AX325" s="34" t="s">
        <v>338</v>
      </c>
      <c r="AY325" s="34" t="s">
        <v>149</v>
      </c>
      <c r="AZ325" s="34"/>
      <c r="BA325" s="34"/>
      <c r="BB325" s="34"/>
      <c r="BC325" s="34">
        <v>0</v>
      </c>
      <c r="BD325" s="34"/>
      <c r="BE325" s="34"/>
      <c r="BF325" s="34" t="b">
        <v>0</v>
      </c>
      <c r="BG325" s="34"/>
      <c r="BH325" s="34"/>
      <c r="BI325" s="34"/>
      <c r="BJ325" s="34"/>
      <c r="BK325" s="34"/>
      <c r="BL325" s="34"/>
      <c r="BM325" s="34" t="s">
        <v>168</v>
      </c>
      <c r="BN325" s="34"/>
      <c r="BO325" s="35"/>
      <c r="BP325" s="35"/>
      <c r="BQ325" s="35" t="s">
        <v>108</v>
      </c>
      <c r="BR325" s="36" t="e">
        <f>VLOOKUP(BQ325, Cat_Indicadores!B:C, 2, FALSE)</f>
        <v>#N/A</v>
      </c>
      <c r="BS325" s="35" t="s">
        <v>5592</v>
      </c>
      <c r="BT325" s="35"/>
    </row>
    <row r="326" spans="1:72">
      <c r="A326" s="29" t="s">
        <v>1341</v>
      </c>
      <c r="B326" s="30" t="s">
        <v>1342</v>
      </c>
      <c r="C326" s="31">
        <v>46255.526018518518</v>
      </c>
      <c r="D326" s="30">
        <v>92</v>
      </c>
      <c r="E326" s="30" t="s">
        <v>74</v>
      </c>
      <c r="F326" s="30" t="s">
        <v>75</v>
      </c>
      <c r="G326" s="30" t="s">
        <v>133</v>
      </c>
      <c r="H326" s="30" t="s">
        <v>77</v>
      </c>
      <c r="I326" s="30" t="s">
        <v>78</v>
      </c>
      <c r="J326" s="30" t="s">
        <v>79</v>
      </c>
      <c r="K326" s="32">
        <v>800</v>
      </c>
      <c r="L326" s="32" t="s">
        <v>211</v>
      </c>
      <c r="M326" s="30" t="s">
        <v>1340</v>
      </c>
      <c r="N326" s="30" t="s">
        <v>402</v>
      </c>
      <c r="O326" s="30" t="s">
        <v>83</v>
      </c>
      <c r="P326" s="33">
        <v>46228</v>
      </c>
      <c r="Q326" s="33">
        <v>46228</v>
      </c>
      <c r="R326" s="32">
        <v>1</v>
      </c>
      <c r="S326" s="30" t="s">
        <v>84</v>
      </c>
      <c r="T326" s="30" t="s">
        <v>337</v>
      </c>
      <c r="U326" s="30" t="s">
        <v>338</v>
      </c>
      <c r="V326" s="30" t="s">
        <v>87</v>
      </c>
      <c r="W326" s="30" t="s">
        <v>88</v>
      </c>
      <c r="X326" s="30" t="s">
        <v>197</v>
      </c>
      <c r="Y326" s="30" t="s">
        <v>1275</v>
      </c>
      <c r="AB326" s="30" t="b">
        <v>0</v>
      </c>
      <c r="AC326" s="30"/>
      <c r="AD326" s="30" t="b">
        <v>0</v>
      </c>
      <c r="AF326" s="30" t="b">
        <v>0</v>
      </c>
      <c r="AH326" s="32" t="s">
        <v>91</v>
      </c>
      <c r="AI326" s="32"/>
      <c r="AJ326" s="32"/>
      <c r="AK326" s="32"/>
      <c r="AL326" s="30" t="s">
        <v>92</v>
      </c>
      <c r="AM326" s="30" t="s">
        <v>93</v>
      </c>
      <c r="AN326" s="30" t="s">
        <v>199</v>
      </c>
      <c r="AO326" s="30" t="s">
        <v>200</v>
      </c>
      <c r="AP326" s="30" t="s">
        <v>201</v>
      </c>
      <c r="AQ326" s="30" t="s">
        <v>202</v>
      </c>
      <c r="AR326" s="30" t="s">
        <v>97</v>
      </c>
      <c r="AS326" s="30" t="s">
        <v>112</v>
      </c>
      <c r="AT326" s="30" t="s">
        <v>99</v>
      </c>
      <c r="AU326" s="30" t="s">
        <v>100</v>
      </c>
      <c r="AV326" s="30" t="s">
        <v>101</v>
      </c>
      <c r="AW326" s="30" t="s">
        <v>102</v>
      </c>
      <c r="AX326" s="34" t="s">
        <v>338</v>
      </c>
      <c r="AY326" s="34" t="s">
        <v>149</v>
      </c>
      <c r="AZ326" s="34"/>
      <c r="BA326" s="34"/>
      <c r="BB326" s="34"/>
      <c r="BC326" s="34">
        <v>0</v>
      </c>
      <c r="BD326" s="34"/>
      <c r="BE326" s="34"/>
      <c r="BF326" s="34" t="b">
        <v>0</v>
      </c>
      <c r="BG326" s="34"/>
      <c r="BH326" s="34"/>
      <c r="BI326" s="34"/>
      <c r="BJ326" s="34"/>
      <c r="BK326" s="34"/>
      <c r="BL326" s="34"/>
      <c r="BM326" s="34" t="s">
        <v>168</v>
      </c>
      <c r="BN326" s="34"/>
      <c r="BO326" s="35"/>
      <c r="BP326" s="35"/>
      <c r="BQ326" s="35" t="s">
        <v>108</v>
      </c>
      <c r="BR326" s="36" t="e">
        <f>VLOOKUP(BQ326, Cat_Indicadores!B:C, 2, FALSE)</f>
        <v>#N/A</v>
      </c>
      <c r="BS326" s="35" t="s">
        <v>5592</v>
      </c>
      <c r="BT326" s="35"/>
    </row>
    <row r="327" spans="1:72">
      <c r="A327" s="29" t="s">
        <v>1343</v>
      </c>
      <c r="B327" s="30" t="s">
        <v>1344</v>
      </c>
      <c r="C327" s="31">
        <v>46261.415694444448</v>
      </c>
      <c r="D327" s="30">
        <v>88</v>
      </c>
      <c r="E327" s="30" t="s">
        <v>1345</v>
      </c>
      <c r="F327" s="30" t="s">
        <v>1346</v>
      </c>
      <c r="G327" s="30" t="s">
        <v>1347</v>
      </c>
      <c r="H327" s="30" t="s">
        <v>77</v>
      </c>
      <c r="I327" s="30" t="s">
        <v>1348</v>
      </c>
      <c r="J327" s="30" t="s">
        <v>1349</v>
      </c>
      <c r="K327" s="32">
        <v>92</v>
      </c>
      <c r="L327" s="32" t="s">
        <v>80</v>
      </c>
      <c r="M327" s="30" t="s">
        <v>1350</v>
      </c>
      <c r="N327" s="30" t="s">
        <v>1351</v>
      </c>
      <c r="O327" s="30" t="s">
        <v>83</v>
      </c>
      <c r="P327" s="33">
        <v>46072</v>
      </c>
      <c r="Q327" s="33">
        <v>46072</v>
      </c>
      <c r="R327" s="32">
        <v>1</v>
      </c>
      <c r="S327" s="30" t="s">
        <v>84</v>
      </c>
      <c r="T327" s="30" t="s">
        <v>136</v>
      </c>
      <c r="U327" s="30" t="s">
        <v>1352</v>
      </c>
      <c r="V327" s="30" t="s">
        <v>1040</v>
      </c>
      <c r="W327" s="30" t="s">
        <v>88</v>
      </c>
      <c r="X327" s="30" t="s">
        <v>89</v>
      </c>
      <c r="Z327" s="30" t="s">
        <v>1353</v>
      </c>
      <c r="AB327" s="30" t="b">
        <v>0</v>
      </c>
      <c r="AC327" s="30"/>
      <c r="AD327" s="30" t="b">
        <v>0</v>
      </c>
      <c r="AF327" s="30" t="b">
        <v>0</v>
      </c>
      <c r="AH327" s="32" t="s">
        <v>91</v>
      </c>
      <c r="AI327" s="32"/>
      <c r="AJ327" s="32"/>
      <c r="AK327" s="32"/>
      <c r="AL327" s="30" t="s">
        <v>1354</v>
      </c>
      <c r="AM327" s="30" t="s">
        <v>755</v>
      </c>
      <c r="AN327" s="30" t="s">
        <v>199</v>
      </c>
      <c r="AO327" s="30" t="s">
        <v>200</v>
      </c>
      <c r="AP327" s="30" t="s">
        <v>201</v>
      </c>
      <c r="AQ327" s="30" t="s">
        <v>202</v>
      </c>
      <c r="AR327" s="30" t="s">
        <v>691</v>
      </c>
      <c r="AS327" s="30" t="s">
        <v>98</v>
      </c>
      <c r="AT327" s="30" t="s">
        <v>99</v>
      </c>
      <c r="AU327" s="30" t="s">
        <v>100</v>
      </c>
      <c r="AV327" s="30" t="s">
        <v>101</v>
      </c>
      <c r="AW327" s="30" t="s">
        <v>102</v>
      </c>
      <c r="AX327" s="34" t="s">
        <v>1355</v>
      </c>
      <c r="AY327" s="34" t="s">
        <v>279</v>
      </c>
      <c r="AZ327" s="34"/>
      <c r="BA327" s="34"/>
      <c r="BB327" s="34">
        <v>1</v>
      </c>
      <c r="BC327" s="34">
        <v>1</v>
      </c>
      <c r="BD327" s="34" t="s">
        <v>185</v>
      </c>
      <c r="BE327" s="34" t="s">
        <v>1356</v>
      </c>
      <c r="BF327" s="34" t="b">
        <v>0</v>
      </c>
      <c r="BG327" s="34"/>
      <c r="BH327" s="34">
        <v>0</v>
      </c>
      <c r="BI327" s="34"/>
      <c r="BJ327" s="34"/>
      <c r="BK327" s="34"/>
      <c r="BL327" s="34"/>
      <c r="BM327" s="34" t="s">
        <v>168</v>
      </c>
      <c r="BN327" s="34"/>
      <c r="BO327" s="35"/>
      <c r="BP327" s="35"/>
      <c r="BQ327" s="35" t="s">
        <v>108</v>
      </c>
      <c r="BR327" s="36" t="e">
        <f>VLOOKUP(BQ327, Cat_Indicadores!B:C, 2, FALSE)</f>
        <v>#N/A</v>
      </c>
      <c r="BS327" s="35" t="s">
        <v>5592</v>
      </c>
      <c r="BT327" s="35"/>
    </row>
    <row r="328" spans="1:72">
      <c r="A328" s="29" t="s">
        <v>1357</v>
      </c>
      <c r="B328" s="30" t="s">
        <v>1358</v>
      </c>
      <c r="C328" s="31">
        <v>46261.435925925929</v>
      </c>
      <c r="D328" s="30">
        <v>87</v>
      </c>
      <c r="E328" s="30" t="s">
        <v>1345</v>
      </c>
      <c r="F328" s="30" t="s">
        <v>1346</v>
      </c>
      <c r="G328" s="30" t="s">
        <v>1359</v>
      </c>
      <c r="H328" s="30" t="s">
        <v>77</v>
      </c>
      <c r="I328" s="30" t="s">
        <v>1348</v>
      </c>
      <c r="J328" s="30" t="s">
        <v>1360</v>
      </c>
      <c r="K328" s="32">
        <v>4</v>
      </c>
      <c r="L328" s="32" t="s">
        <v>80</v>
      </c>
      <c r="M328" s="30" t="s">
        <v>1361</v>
      </c>
      <c r="N328" s="30" t="s">
        <v>1362</v>
      </c>
      <c r="O328" s="30" t="s">
        <v>581</v>
      </c>
      <c r="P328" s="33">
        <v>46085</v>
      </c>
      <c r="Q328" s="33">
        <v>46106</v>
      </c>
      <c r="R328" s="32">
        <v>4</v>
      </c>
      <c r="S328" s="30" t="s">
        <v>264</v>
      </c>
      <c r="T328" s="30" t="s">
        <v>772</v>
      </c>
      <c r="U328" s="30" t="s">
        <v>1363</v>
      </c>
      <c r="V328" s="30" t="s">
        <v>87</v>
      </c>
      <c r="W328" s="30" t="s">
        <v>88</v>
      </c>
      <c r="X328" s="30" t="s">
        <v>197</v>
      </c>
      <c r="Y328" s="30" t="s">
        <v>1275</v>
      </c>
      <c r="AB328" s="30" t="b">
        <v>0</v>
      </c>
      <c r="AC328" s="30"/>
      <c r="AD328" s="30" t="b">
        <v>1</v>
      </c>
      <c r="AE328" s="30">
        <v>1</v>
      </c>
      <c r="AF328" s="30" t="b">
        <v>0</v>
      </c>
      <c r="AH328" s="32" t="s">
        <v>91</v>
      </c>
      <c r="AI328" s="32"/>
      <c r="AJ328" s="32"/>
      <c r="AK328" s="32"/>
      <c r="AL328" s="30" t="s">
        <v>1354</v>
      </c>
      <c r="AM328" s="30" t="s">
        <v>198</v>
      </c>
      <c r="AN328" s="30" t="s">
        <v>199</v>
      </c>
      <c r="AO328" s="30" t="s">
        <v>200</v>
      </c>
      <c r="AP328" s="30" t="s">
        <v>201</v>
      </c>
      <c r="AQ328" s="30" t="s">
        <v>202</v>
      </c>
      <c r="AR328" s="30" t="s">
        <v>691</v>
      </c>
      <c r="AT328" s="30" t="s">
        <v>217</v>
      </c>
      <c r="AU328" s="30" t="s">
        <v>252</v>
      </c>
      <c r="AV328" s="30" t="s">
        <v>1364</v>
      </c>
      <c r="AW328" s="30" t="s">
        <v>254</v>
      </c>
      <c r="AX328" s="34" t="s">
        <v>1363</v>
      </c>
      <c r="AY328" s="34" t="s">
        <v>778</v>
      </c>
      <c r="AZ328" s="34"/>
      <c r="BA328" s="34"/>
      <c r="BB328" s="34">
        <v>10</v>
      </c>
      <c r="BC328" s="34">
        <v>13</v>
      </c>
      <c r="BD328" s="34" t="s">
        <v>1365</v>
      </c>
      <c r="BE328" s="34" t="s">
        <v>1366</v>
      </c>
      <c r="BF328" s="34" t="b">
        <v>1</v>
      </c>
      <c r="BG328" s="34" t="s">
        <v>1042</v>
      </c>
      <c r="BH328" s="34">
        <v>17980.009999999998</v>
      </c>
      <c r="BI328" s="34"/>
      <c r="BJ328" s="34"/>
      <c r="BK328" s="34"/>
      <c r="BL328" s="34"/>
      <c r="BM328" s="34" t="s">
        <v>168</v>
      </c>
      <c r="BN328" s="34"/>
      <c r="BO328" s="35"/>
      <c r="BP328" s="35"/>
      <c r="BQ328" s="35" t="s">
        <v>108</v>
      </c>
      <c r="BR328" s="36" t="e">
        <f>VLOOKUP(BQ328, Cat_Indicadores!B:C, 2, FALSE)</f>
        <v>#N/A</v>
      </c>
      <c r="BS328" s="35" t="s">
        <v>5592</v>
      </c>
      <c r="BT328" s="35"/>
    </row>
    <row r="329" spans="1:72">
      <c r="A329" s="29" t="s">
        <v>1367</v>
      </c>
      <c r="B329" s="30" t="s">
        <v>1368</v>
      </c>
      <c r="C329" s="31">
        <v>46261.57540509259</v>
      </c>
      <c r="D329" s="30">
        <v>88</v>
      </c>
      <c r="E329" s="30" t="s">
        <v>1345</v>
      </c>
      <c r="F329" s="30" t="s">
        <v>1346</v>
      </c>
      <c r="G329" s="30" t="s">
        <v>1347</v>
      </c>
      <c r="H329" s="30" t="s">
        <v>77</v>
      </c>
      <c r="I329" s="30" t="s">
        <v>1348</v>
      </c>
      <c r="J329" s="30" t="s">
        <v>1349</v>
      </c>
      <c r="K329" s="32">
        <v>92</v>
      </c>
      <c r="L329" s="32" t="s">
        <v>80</v>
      </c>
      <c r="M329" s="30" t="s">
        <v>1369</v>
      </c>
      <c r="N329" s="30" t="s">
        <v>1370</v>
      </c>
      <c r="O329" s="30" t="s">
        <v>1371</v>
      </c>
      <c r="P329" s="33">
        <v>46135</v>
      </c>
      <c r="Q329" s="33">
        <v>46136</v>
      </c>
      <c r="R329" s="32">
        <v>6</v>
      </c>
      <c r="S329" s="30" t="s">
        <v>378</v>
      </c>
      <c r="T329" s="30" t="s">
        <v>1372</v>
      </c>
      <c r="U329" s="30" t="s">
        <v>1373</v>
      </c>
      <c r="V329" s="30" t="s">
        <v>87</v>
      </c>
      <c r="W329" s="30" t="s">
        <v>1374</v>
      </c>
      <c r="X329" s="30" t="s">
        <v>197</v>
      </c>
      <c r="Y329" s="30" t="s">
        <v>1282</v>
      </c>
      <c r="AB329" s="30" t="b">
        <v>0</v>
      </c>
      <c r="AC329" s="30"/>
      <c r="AD329" s="30" t="b">
        <v>1</v>
      </c>
      <c r="AE329" s="30">
        <v>14</v>
      </c>
      <c r="AF329" s="30" t="b">
        <v>0</v>
      </c>
      <c r="AH329" s="32" t="s">
        <v>91</v>
      </c>
      <c r="AI329" s="32"/>
      <c r="AJ329" s="32"/>
      <c r="AK329" s="32"/>
      <c r="AL329" s="30" t="s">
        <v>1354</v>
      </c>
      <c r="AM329" s="30" t="s">
        <v>1375</v>
      </c>
      <c r="AN329" s="30" t="s">
        <v>94</v>
      </c>
      <c r="AO329" s="30" t="s">
        <v>142</v>
      </c>
      <c r="AP329" s="30" t="s">
        <v>143</v>
      </c>
      <c r="AQ329" s="30" t="s">
        <v>144</v>
      </c>
      <c r="AR329" s="30" t="s">
        <v>691</v>
      </c>
      <c r="AT329" s="30" t="s">
        <v>99</v>
      </c>
      <c r="AU329" s="30" t="s">
        <v>100</v>
      </c>
      <c r="AV329" s="30" t="s">
        <v>665</v>
      </c>
      <c r="AW329" s="30" t="s">
        <v>102</v>
      </c>
      <c r="AX329" s="34" t="s">
        <v>1376</v>
      </c>
      <c r="AY329" s="34" t="s">
        <v>778</v>
      </c>
      <c r="AZ329" s="34"/>
      <c r="BA329" s="34"/>
      <c r="BB329" s="34">
        <v>10</v>
      </c>
      <c r="BC329" s="34">
        <v>14</v>
      </c>
      <c r="BD329" s="34" t="s">
        <v>1365</v>
      </c>
      <c r="BE329" s="34" t="s">
        <v>1377</v>
      </c>
      <c r="BF329" s="34" t="b">
        <v>1</v>
      </c>
      <c r="BG329" s="34" t="s">
        <v>1042</v>
      </c>
      <c r="BH329" s="34">
        <v>17400</v>
      </c>
      <c r="BI329" s="34"/>
      <c r="BJ329" s="34"/>
      <c r="BK329" s="34"/>
      <c r="BL329" s="34"/>
      <c r="BM329" s="34" t="s">
        <v>168</v>
      </c>
      <c r="BN329" s="34"/>
      <c r="BO329" s="35"/>
      <c r="BP329" s="35"/>
      <c r="BQ329" s="35" t="s">
        <v>108</v>
      </c>
      <c r="BR329" s="36" t="e">
        <f>VLOOKUP(BQ329, Cat_Indicadores!B:C, 2, FALSE)</f>
        <v>#N/A</v>
      </c>
      <c r="BS329" s="35" t="s">
        <v>5592</v>
      </c>
      <c r="BT329" s="35"/>
    </row>
    <row r="330" spans="1:72">
      <c r="A330" s="29" t="s">
        <v>1378</v>
      </c>
      <c r="B330" s="30" t="s">
        <v>1379</v>
      </c>
      <c r="C330" s="31">
        <v>46261.637418981481</v>
      </c>
      <c r="D330" s="30">
        <v>88</v>
      </c>
      <c r="E330" s="30" t="s">
        <v>1345</v>
      </c>
      <c r="F330" s="30" t="s">
        <v>1346</v>
      </c>
      <c r="G330" s="30" t="s">
        <v>1347</v>
      </c>
      <c r="H330" s="30" t="s">
        <v>77</v>
      </c>
      <c r="I330" s="30" t="s">
        <v>1348</v>
      </c>
      <c r="J330" s="30" t="s">
        <v>1349</v>
      </c>
      <c r="K330" s="32">
        <v>92</v>
      </c>
      <c r="L330" s="32" t="s">
        <v>80</v>
      </c>
      <c r="M330" s="30" t="s">
        <v>1380</v>
      </c>
      <c r="N330" s="30" t="s">
        <v>1381</v>
      </c>
      <c r="O330" s="30" t="s">
        <v>581</v>
      </c>
      <c r="P330" s="33">
        <v>46191</v>
      </c>
      <c r="Q330" s="33">
        <v>46206</v>
      </c>
      <c r="R330" s="32">
        <v>10</v>
      </c>
      <c r="S330" s="30" t="s">
        <v>194</v>
      </c>
      <c r="T330" s="30" t="s">
        <v>1382</v>
      </c>
      <c r="U330" s="30" t="s">
        <v>1383</v>
      </c>
      <c r="V330" s="30" t="s">
        <v>87</v>
      </c>
      <c r="W330" s="30" t="s">
        <v>88</v>
      </c>
      <c r="X330" s="30" t="s">
        <v>197</v>
      </c>
      <c r="Y330" s="30" t="s">
        <v>1384</v>
      </c>
      <c r="AB330" s="30" t="b">
        <v>0</v>
      </c>
      <c r="AC330" s="30"/>
      <c r="AD330" s="30" t="b">
        <v>1</v>
      </c>
      <c r="AE330" s="30">
        <v>1</v>
      </c>
      <c r="AF330" s="30" t="b">
        <v>0</v>
      </c>
      <c r="AH330" s="32" t="s">
        <v>91</v>
      </c>
      <c r="AI330" s="32"/>
      <c r="AJ330" s="32"/>
      <c r="AK330" s="32"/>
      <c r="AL330" s="30" t="s">
        <v>1354</v>
      </c>
      <c r="AM330" s="30" t="s">
        <v>1385</v>
      </c>
      <c r="AN330" s="30" t="s">
        <v>199</v>
      </c>
      <c r="AO330" s="30" t="s">
        <v>200</v>
      </c>
      <c r="AP330" s="30" t="s">
        <v>201</v>
      </c>
      <c r="AQ330" s="30" t="s">
        <v>202</v>
      </c>
      <c r="AR330" s="30" t="s">
        <v>97</v>
      </c>
      <c r="AS330" s="30" t="s">
        <v>679</v>
      </c>
      <c r="AT330" s="30" t="s">
        <v>99</v>
      </c>
      <c r="AU330" s="30" t="s">
        <v>100</v>
      </c>
      <c r="AV330" s="30" t="s">
        <v>665</v>
      </c>
      <c r="AW330" s="30" t="s">
        <v>102</v>
      </c>
      <c r="AX330" s="34" t="s">
        <v>137</v>
      </c>
      <c r="AY330" s="34" t="s">
        <v>778</v>
      </c>
      <c r="AZ330" s="34"/>
      <c r="BA330" s="34"/>
      <c r="BB330" s="34">
        <v>10</v>
      </c>
      <c r="BC330" s="34">
        <v>13</v>
      </c>
      <c r="BD330" s="34" t="s">
        <v>185</v>
      </c>
      <c r="BE330" s="34" t="s">
        <v>1386</v>
      </c>
      <c r="BF330" s="34" t="b">
        <v>1</v>
      </c>
      <c r="BG330" s="34" t="s">
        <v>1042</v>
      </c>
      <c r="BH330" s="34">
        <v>50000</v>
      </c>
      <c r="BI330" s="34"/>
      <c r="BJ330" s="34"/>
      <c r="BK330" s="34"/>
      <c r="BL330" s="34"/>
      <c r="BM330" s="34" t="s">
        <v>168</v>
      </c>
      <c r="BN330" s="34"/>
      <c r="BO330" s="35"/>
      <c r="BP330" s="35"/>
      <c r="BQ330" s="35" t="s">
        <v>108</v>
      </c>
      <c r="BR330" s="36" t="e">
        <f>VLOOKUP(BQ330, Cat_Indicadores!B:C, 2, FALSE)</f>
        <v>#N/A</v>
      </c>
      <c r="BS330" s="35" t="s">
        <v>5592</v>
      </c>
      <c r="BT330" s="35"/>
    </row>
    <row r="331" spans="1:72">
      <c r="A331" s="29" t="s">
        <v>1387</v>
      </c>
      <c r="B331" s="30" t="s">
        <v>1388</v>
      </c>
      <c r="C331" s="31">
        <v>46262.423541666663</v>
      </c>
      <c r="D331" s="30">
        <v>13</v>
      </c>
      <c r="E331" s="30" t="s">
        <v>1389</v>
      </c>
      <c r="F331" s="30" t="s">
        <v>1390</v>
      </c>
      <c r="G331" s="30" t="s">
        <v>1391</v>
      </c>
      <c r="H331" s="30" t="s">
        <v>1392</v>
      </c>
      <c r="I331" s="30" t="s">
        <v>1393</v>
      </c>
      <c r="J331" s="30" t="s">
        <v>1394</v>
      </c>
      <c r="K331" s="32">
        <v>105000</v>
      </c>
      <c r="L331" s="32" t="s">
        <v>80</v>
      </c>
      <c r="M331" s="30" t="s">
        <v>1395</v>
      </c>
      <c r="N331" s="30" t="s">
        <v>1396</v>
      </c>
      <c r="O331" s="30" t="s">
        <v>661</v>
      </c>
      <c r="P331" s="33">
        <v>46023</v>
      </c>
      <c r="Q331" s="33">
        <v>46203</v>
      </c>
      <c r="R331" s="32">
        <v>1</v>
      </c>
      <c r="S331" s="30" t="s">
        <v>463</v>
      </c>
      <c r="T331" s="30" t="s">
        <v>1397</v>
      </c>
      <c r="U331" s="30" t="s">
        <v>338</v>
      </c>
      <c r="V331" s="30" t="s">
        <v>87</v>
      </c>
      <c r="W331" s="30" t="s">
        <v>1041</v>
      </c>
      <c r="X331" s="30" t="s">
        <v>1398</v>
      </c>
      <c r="Y331" s="30" t="s">
        <v>1399</v>
      </c>
      <c r="AB331" s="30" t="b">
        <v>1</v>
      </c>
      <c r="AC331" s="30">
        <v>100</v>
      </c>
      <c r="AD331" s="30" t="b">
        <v>0</v>
      </c>
      <c r="AF331" s="30" t="b">
        <v>0</v>
      </c>
      <c r="AH331" s="32" t="s">
        <v>963</v>
      </c>
      <c r="AI331" s="32">
        <v>25</v>
      </c>
      <c r="AJ331" s="32">
        <v>100</v>
      </c>
      <c r="AK331" s="32" t="s">
        <v>1400</v>
      </c>
      <c r="AL331" s="30" t="s">
        <v>1401</v>
      </c>
      <c r="AM331" s="30" t="s">
        <v>93</v>
      </c>
      <c r="AN331" s="30" t="s">
        <v>301</v>
      </c>
      <c r="AO331" s="30" t="s">
        <v>302</v>
      </c>
      <c r="AP331" s="30" t="s">
        <v>302</v>
      </c>
      <c r="AQ331" s="30" t="s">
        <v>302</v>
      </c>
      <c r="AR331" s="30" t="s">
        <v>691</v>
      </c>
      <c r="AT331" s="30" t="s">
        <v>203</v>
      </c>
      <c r="AU331" s="30" t="s">
        <v>204</v>
      </c>
      <c r="AV331" s="30" t="s">
        <v>1402</v>
      </c>
      <c r="AW331" s="30" t="s">
        <v>206</v>
      </c>
      <c r="AX331" s="34" t="s">
        <v>338</v>
      </c>
      <c r="AY331" s="34" t="s">
        <v>167</v>
      </c>
      <c r="AZ331" s="34"/>
      <c r="BA331" s="34"/>
      <c r="BB331" s="34">
        <v>15</v>
      </c>
      <c r="BC331" s="34">
        <v>0</v>
      </c>
      <c r="BD331" s="34"/>
      <c r="BE331" s="34"/>
      <c r="BF331" s="34" t="b">
        <v>0</v>
      </c>
      <c r="BG331" s="34"/>
      <c r="BH331" s="34"/>
      <c r="BI331" s="34"/>
      <c r="BJ331" s="34"/>
      <c r="BK331" s="34"/>
      <c r="BL331" s="34"/>
      <c r="BM331" s="34" t="s">
        <v>168</v>
      </c>
      <c r="BN331" s="34"/>
      <c r="BO331" s="35"/>
      <c r="BP331" s="35"/>
      <c r="BQ331" s="35" t="s">
        <v>108</v>
      </c>
      <c r="BR331" s="36" t="e">
        <f>VLOOKUP(BQ331, Cat_Indicadores!B:C, 2, FALSE)</f>
        <v>#N/A</v>
      </c>
      <c r="BS331" s="35" t="s">
        <v>5592</v>
      </c>
      <c r="BT331" s="35"/>
    </row>
    <row r="332" spans="1:72">
      <c r="A332" s="29" t="s">
        <v>1403</v>
      </c>
      <c r="B332" s="30" t="s">
        <v>1404</v>
      </c>
      <c r="C332" s="31">
        <v>46262.532673611109</v>
      </c>
      <c r="D332" s="30">
        <v>38</v>
      </c>
      <c r="E332" s="30" t="s">
        <v>1405</v>
      </c>
      <c r="F332" s="30" t="s">
        <v>1406</v>
      </c>
      <c r="G332" s="30" t="s">
        <v>1407</v>
      </c>
      <c r="H332" s="30" t="s">
        <v>77</v>
      </c>
      <c r="I332" s="30" t="s">
        <v>1348</v>
      </c>
      <c r="J332" s="30" t="s">
        <v>1408</v>
      </c>
      <c r="K332" s="32">
        <v>1</v>
      </c>
      <c r="L332" s="32" t="s">
        <v>80</v>
      </c>
      <c r="M332" s="30" t="s">
        <v>1351</v>
      </c>
      <c r="N332" s="30" t="s">
        <v>1409</v>
      </c>
      <c r="O332" s="30" t="s">
        <v>83</v>
      </c>
      <c r="P332" s="33">
        <v>46248</v>
      </c>
      <c r="Q332" s="33">
        <v>46248</v>
      </c>
      <c r="R332" s="32">
        <v>1</v>
      </c>
      <c r="S332" s="30" t="s">
        <v>84</v>
      </c>
      <c r="T332" s="30" t="s">
        <v>136</v>
      </c>
      <c r="U332" s="30" t="s">
        <v>1410</v>
      </c>
      <c r="V332" s="30" t="s">
        <v>1040</v>
      </c>
      <c r="W332" s="30" t="s">
        <v>88</v>
      </c>
      <c r="X332" s="30" t="s">
        <v>197</v>
      </c>
      <c r="Y332" s="30" t="s">
        <v>1384</v>
      </c>
      <c r="AB332" s="30" t="b">
        <v>0</v>
      </c>
      <c r="AC332" s="30"/>
      <c r="AD332" s="30" t="b">
        <v>1</v>
      </c>
      <c r="AE332" s="30">
        <v>1</v>
      </c>
      <c r="AF332" s="30" t="b">
        <v>0</v>
      </c>
      <c r="AH332" s="32" t="s">
        <v>91</v>
      </c>
      <c r="AI332" s="32"/>
      <c r="AJ332" s="32"/>
      <c r="AK332" s="32"/>
      <c r="AL332" s="30" t="s">
        <v>1354</v>
      </c>
      <c r="AM332" s="30" t="s">
        <v>599</v>
      </c>
      <c r="AN332" s="30" t="s">
        <v>199</v>
      </c>
      <c r="AO332" s="30" t="s">
        <v>200</v>
      </c>
      <c r="AP332" s="30" t="s">
        <v>201</v>
      </c>
      <c r="AQ332" s="30" t="s">
        <v>202</v>
      </c>
      <c r="AR332" s="30" t="s">
        <v>691</v>
      </c>
      <c r="AT332" s="30" t="s">
        <v>99</v>
      </c>
      <c r="AU332" s="30" t="s">
        <v>100</v>
      </c>
      <c r="AV332" s="30" t="s">
        <v>101</v>
      </c>
      <c r="AW332" s="30" t="s">
        <v>102</v>
      </c>
      <c r="AX332" s="34" t="s">
        <v>1355</v>
      </c>
      <c r="AY332" s="34" t="s">
        <v>778</v>
      </c>
      <c r="AZ332" s="34"/>
      <c r="BA332" s="34"/>
      <c r="BB332" s="34">
        <v>9</v>
      </c>
      <c r="BC332" s="34">
        <v>1</v>
      </c>
      <c r="BD332" s="34" t="s">
        <v>185</v>
      </c>
      <c r="BE332" s="34" t="s">
        <v>1411</v>
      </c>
      <c r="BF332" s="34" t="b">
        <v>0</v>
      </c>
      <c r="BG332" s="34"/>
      <c r="BH332" s="34"/>
      <c r="BI332" s="34"/>
      <c r="BJ332" s="34"/>
      <c r="BK332" s="34"/>
      <c r="BL332" s="34"/>
      <c r="BM332" s="34" t="s">
        <v>168</v>
      </c>
      <c r="BN332" s="34"/>
      <c r="BO332" s="35"/>
      <c r="BP332" s="35"/>
      <c r="BQ332" s="35" t="s">
        <v>108</v>
      </c>
      <c r="BR332" s="36" t="e">
        <f>VLOOKUP(BQ332, Cat_Indicadores!B:C, 2, FALSE)</f>
        <v>#N/A</v>
      </c>
      <c r="BS332" s="35" t="s">
        <v>5592</v>
      </c>
      <c r="BT332" s="35"/>
    </row>
    <row r="333" spans="1:72">
      <c r="A333" s="29" t="s">
        <v>1412</v>
      </c>
      <c r="B333" s="30" t="s">
        <v>1413</v>
      </c>
      <c r="C333" s="31">
        <v>46262.569236111114</v>
      </c>
      <c r="D333" s="30">
        <v>89</v>
      </c>
      <c r="E333" s="30" t="s">
        <v>1345</v>
      </c>
      <c r="F333" s="30" t="s">
        <v>1346</v>
      </c>
      <c r="G333" s="30" t="s">
        <v>1414</v>
      </c>
      <c r="H333" s="30" t="s">
        <v>77</v>
      </c>
      <c r="I333" s="30" t="s">
        <v>1348</v>
      </c>
      <c r="J333" s="30" t="s">
        <v>1415</v>
      </c>
      <c r="K333" s="32">
        <v>2</v>
      </c>
      <c r="L333" s="32" t="s">
        <v>80</v>
      </c>
      <c r="M333" s="30" t="s">
        <v>1416</v>
      </c>
      <c r="N333" s="30" t="s">
        <v>1417</v>
      </c>
      <c r="O333" s="30" t="s">
        <v>1371</v>
      </c>
      <c r="P333" s="33">
        <v>46064</v>
      </c>
      <c r="Q333" s="33">
        <v>46068</v>
      </c>
      <c r="R333" s="32">
        <v>5</v>
      </c>
      <c r="S333" s="30" t="s">
        <v>194</v>
      </c>
      <c r="T333" s="30" t="s">
        <v>1382</v>
      </c>
      <c r="U333" s="30" t="s">
        <v>1069</v>
      </c>
      <c r="V333" s="30" t="s">
        <v>87</v>
      </c>
      <c r="W333" s="30" t="s">
        <v>88</v>
      </c>
      <c r="X333" s="30" t="s">
        <v>89</v>
      </c>
      <c r="Z333" s="30" t="s">
        <v>1418</v>
      </c>
      <c r="AB333" s="30" t="b">
        <v>0</v>
      </c>
      <c r="AC333" s="30"/>
      <c r="AD333" s="30" t="b">
        <v>1</v>
      </c>
      <c r="AE333" s="30">
        <v>1</v>
      </c>
      <c r="AF333" s="30" t="b">
        <v>0</v>
      </c>
      <c r="AH333" s="32" t="s">
        <v>91</v>
      </c>
      <c r="AI333" s="32"/>
      <c r="AJ333" s="32"/>
      <c r="AK333" s="32"/>
      <c r="AL333" s="30" t="s">
        <v>1354</v>
      </c>
      <c r="AM333" s="30" t="s">
        <v>1385</v>
      </c>
      <c r="AN333" s="30" t="s">
        <v>199</v>
      </c>
      <c r="AO333" s="30" t="s">
        <v>200</v>
      </c>
      <c r="AP333" s="30" t="s">
        <v>201</v>
      </c>
      <c r="AQ333" s="30" t="s">
        <v>202</v>
      </c>
      <c r="AR333" s="30" t="s">
        <v>691</v>
      </c>
      <c r="AT333" s="30" t="s">
        <v>217</v>
      </c>
      <c r="AU333" s="30" t="s">
        <v>252</v>
      </c>
      <c r="AV333" s="30" t="s">
        <v>253</v>
      </c>
      <c r="AW333" s="30" t="s">
        <v>254</v>
      </c>
      <c r="AX333" s="34" t="s">
        <v>1069</v>
      </c>
      <c r="AY333" s="34" t="s">
        <v>103</v>
      </c>
      <c r="AZ333" s="34"/>
      <c r="BA333" s="34"/>
      <c r="BB333" s="34">
        <v>17</v>
      </c>
      <c r="BC333" s="34">
        <v>7</v>
      </c>
      <c r="BD333" s="34" t="s">
        <v>1365</v>
      </c>
      <c r="BE333" s="34" t="s">
        <v>1419</v>
      </c>
      <c r="BF333" s="34" t="b">
        <v>1</v>
      </c>
      <c r="BG333" s="34" t="s">
        <v>1042</v>
      </c>
      <c r="BH333" s="34">
        <v>84100</v>
      </c>
      <c r="BI333" s="34"/>
      <c r="BJ333" s="34"/>
      <c r="BK333" s="34"/>
      <c r="BL333" s="34"/>
      <c r="BM333" s="34" t="s">
        <v>168</v>
      </c>
      <c r="BN333" s="34"/>
      <c r="BO333" s="35"/>
      <c r="BP333" s="35"/>
      <c r="BQ333" s="35" t="s">
        <v>108</v>
      </c>
      <c r="BR333" s="36" t="e">
        <f>VLOOKUP(BQ333, Cat_Indicadores!B:C, 2, FALSE)</f>
        <v>#N/A</v>
      </c>
      <c r="BS333" s="35" t="s">
        <v>5592</v>
      </c>
      <c r="BT333" s="35"/>
    </row>
    <row r="334" spans="1:72">
      <c r="A334" s="29" t="s">
        <v>1420</v>
      </c>
      <c r="B334" s="30" t="s">
        <v>1421</v>
      </c>
      <c r="C334" s="31">
        <v>46262.621817129628</v>
      </c>
      <c r="D334" s="30">
        <v>89</v>
      </c>
      <c r="E334" s="30" t="s">
        <v>1345</v>
      </c>
      <c r="F334" s="30" t="s">
        <v>1346</v>
      </c>
      <c r="G334" s="30" t="s">
        <v>1414</v>
      </c>
      <c r="H334" s="30" t="s">
        <v>77</v>
      </c>
      <c r="I334" s="30" t="s">
        <v>1348</v>
      </c>
      <c r="J334" s="30" t="s">
        <v>1415</v>
      </c>
      <c r="K334" s="32">
        <v>2</v>
      </c>
      <c r="L334" s="32" t="s">
        <v>80</v>
      </c>
      <c r="M334" s="30" t="s">
        <v>1422</v>
      </c>
      <c r="N334" s="30" t="s">
        <v>1423</v>
      </c>
      <c r="O334" s="30" t="s">
        <v>1371</v>
      </c>
      <c r="P334" s="33">
        <v>46231</v>
      </c>
      <c r="Q334" s="33">
        <v>46232</v>
      </c>
      <c r="R334" s="32">
        <v>2</v>
      </c>
      <c r="S334" s="30" t="s">
        <v>264</v>
      </c>
      <c r="T334" s="30" t="s">
        <v>265</v>
      </c>
      <c r="U334" s="30" t="s">
        <v>184</v>
      </c>
      <c r="V334" s="30" t="s">
        <v>87</v>
      </c>
      <c r="W334" s="30" t="s">
        <v>88</v>
      </c>
      <c r="X334" s="30" t="s">
        <v>89</v>
      </c>
      <c r="Z334" s="30" t="s">
        <v>1424</v>
      </c>
      <c r="AB334" s="30" t="b">
        <v>0</v>
      </c>
      <c r="AC334" s="30"/>
      <c r="AD334" s="30" t="b">
        <v>0</v>
      </c>
      <c r="AF334" s="30" t="b">
        <v>0</v>
      </c>
      <c r="AH334" s="32" t="s">
        <v>91</v>
      </c>
      <c r="AI334" s="32"/>
      <c r="AJ334" s="32"/>
      <c r="AK334" s="32"/>
      <c r="AL334" s="30" t="s">
        <v>1354</v>
      </c>
      <c r="AM334" s="30" t="s">
        <v>141</v>
      </c>
      <c r="AN334" s="30" t="s">
        <v>199</v>
      </c>
      <c r="AO334" s="30" t="s">
        <v>200</v>
      </c>
      <c r="AP334" s="30" t="s">
        <v>201</v>
      </c>
      <c r="AQ334" s="30" t="s">
        <v>202</v>
      </c>
      <c r="AR334" s="30" t="s">
        <v>691</v>
      </c>
      <c r="AT334" s="30" t="s">
        <v>99</v>
      </c>
      <c r="AU334" s="30" t="s">
        <v>100</v>
      </c>
      <c r="AV334" s="30" t="s">
        <v>101</v>
      </c>
      <c r="AW334" s="30" t="s">
        <v>102</v>
      </c>
      <c r="AX334" s="34" t="s">
        <v>184</v>
      </c>
      <c r="AY334" s="34" t="s">
        <v>103</v>
      </c>
      <c r="AZ334" s="34"/>
      <c r="BA334" s="34"/>
      <c r="BB334" s="34">
        <v>17</v>
      </c>
      <c r="BC334" s="34">
        <v>3</v>
      </c>
      <c r="BD334" s="34" t="s">
        <v>1365</v>
      </c>
      <c r="BE334" s="34" t="s">
        <v>1425</v>
      </c>
      <c r="BF334" s="34" t="b">
        <v>1</v>
      </c>
      <c r="BG334" s="34" t="s">
        <v>1042</v>
      </c>
      <c r="BH334" s="34">
        <v>7000</v>
      </c>
      <c r="BI334" s="34"/>
      <c r="BJ334" s="34"/>
      <c r="BK334" s="34"/>
      <c r="BL334" s="34"/>
      <c r="BM334" s="34" t="s">
        <v>168</v>
      </c>
      <c r="BN334" s="34"/>
      <c r="BO334" s="35"/>
      <c r="BP334" s="35"/>
      <c r="BQ334" s="35" t="s">
        <v>108</v>
      </c>
      <c r="BR334" s="36" t="e">
        <f>VLOOKUP(BQ334, Cat_Indicadores!B:C, 2, FALSE)</f>
        <v>#N/A</v>
      </c>
      <c r="BS334" s="35" t="s">
        <v>5592</v>
      </c>
      <c r="BT334" s="35"/>
    </row>
    <row r="335" spans="1:72">
      <c r="A335" s="29" t="s">
        <v>1426</v>
      </c>
      <c r="B335" s="30" t="s">
        <v>1427</v>
      </c>
      <c r="C335" s="31">
        <v>46262.678148148145</v>
      </c>
      <c r="D335" s="30">
        <v>93</v>
      </c>
      <c r="E335" s="30" t="s">
        <v>74</v>
      </c>
      <c r="F335" s="30" t="s">
        <v>75</v>
      </c>
      <c r="G335" s="30" t="s">
        <v>595</v>
      </c>
      <c r="H335" s="30" t="s">
        <v>77</v>
      </c>
      <c r="I335" s="30" t="s">
        <v>78</v>
      </c>
      <c r="J335" s="30" t="s">
        <v>79</v>
      </c>
      <c r="K335" s="32">
        <v>10</v>
      </c>
      <c r="L335" s="32" t="s">
        <v>211</v>
      </c>
      <c r="M335" s="30" t="s">
        <v>1428</v>
      </c>
      <c r="N335" s="30" t="s">
        <v>1429</v>
      </c>
      <c r="O335" s="30" t="s">
        <v>83</v>
      </c>
      <c r="P335" s="33">
        <v>46258</v>
      </c>
      <c r="Q335" s="33">
        <v>46258</v>
      </c>
      <c r="R335" s="32">
        <v>1</v>
      </c>
      <c r="S335" s="30" t="s">
        <v>84</v>
      </c>
      <c r="T335" s="30" t="s">
        <v>136</v>
      </c>
      <c r="U335" s="30" t="s">
        <v>86</v>
      </c>
      <c r="V335" s="30" t="s">
        <v>87</v>
      </c>
      <c r="W335" s="30" t="s">
        <v>88</v>
      </c>
      <c r="X335" s="30" t="s">
        <v>89</v>
      </c>
      <c r="Z335" s="30" t="s">
        <v>1430</v>
      </c>
      <c r="AB335" s="30" t="b">
        <v>0</v>
      </c>
      <c r="AC335" s="30"/>
      <c r="AD335" s="30" t="b">
        <v>1</v>
      </c>
      <c r="AF335" s="30" t="b">
        <v>0</v>
      </c>
      <c r="AH335" s="32" t="s">
        <v>91</v>
      </c>
      <c r="AI335" s="32"/>
      <c r="AJ335" s="32"/>
      <c r="AK335" s="32"/>
      <c r="AL335" s="30" t="s">
        <v>92</v>
      </c>
      <c r="AM335" s="30" t="s">
        <v>664</v>
      </c>
      <c r="AN335" s="30" t="s">
        <v>94</v>
      </c>
      <c r="AO335" s="30" t="s">
        <v>142</v>
      </c>
      <c r="AP335" s="30" t="s">
        <v>143</v>
      </c>
      <c r="AQ335" s="30" t="s">
        <v>144</v>
      </c>
      <c r="AR335" s="30" t="s">
        <v>97</v>
      </c>
      <c r="AS335" s="30" t="s">
        <v>98</v>
      </c>
      <c r="AT335" s="30" t="s">
        <v>99</v>
      </c>
      <c r="AU335" s="30" t="s">
        <v>100</v>
      </c>
      <c r="AV335" s="30" t="s">
        <v>665</v>
      </c>
      <c r="AW335" s="30" t="s">
        <v>102</v>
      </c>
      <c r="AX335" s="34" t="s">
        <v>86</v>
      </c>
      <c r="AY335" s="34" t="s">
        <v>103</v>
      </c>
      <c r="AZ335" s="34"/>
      <c r="BA335" s="34"/>
      <c r="BB335" s="34"/>
      <c r="BC335" s="34">
        <v>0</v>
      </c>
      <c r="BD335" s="34"/>
      <c r="BE335" s="34"/>
      <c r="BF335" s="34" t="b">
        <v>1</v>
      </c>
      <c r="BG335" s="34" t="s">
        <v>104</v>
      </c>
      <c r="BH335" s="34"/>
      <c r="BI335" s="34"/>
      <c r="BJ335" s="34"/>
      <c r="BK335" s="34"/>
      <c r="BL335" s="34"/>
      <c r="BM335" s="34" t="s">
        <v>106</v>
      </c>
      <c r="BN335" s="34" t="s">
        <v>107</v>
      </c>
      <c r="BO335" s="35"/>
      <c r="BP335" s="35"/>
      <c r="BQ335" s="35" t="s">
        <v>108</v>
      </c>
      <c r="BR335" s="36" t="e">
        <f>VLOOKUP(BQ335, Cat_Indicadores!B:C, 2, FALSE)</f>
        <v>#N/A</v>
      </c>
      <c r="BS335" s="35" t="s">
        <v>5592</v>
      </c>
      <c r="BT335" s="35"/>
    </row>
    <row r="336" spans="1:72">
      <c r="A336" s="29" t="s">
        <v>1431</v>
      </c>
      <c r="B336" s="30" t="s">
        <v>1432</v>
      </c>
      <c r="C336" s="31">
        <v>46262.683275462965</v>
      </c>
      <c r="D336" s="30">
        <v>63</v>
      </c>
      <c r="E336" s="30" t="s">
        <v>1433</v>
      </c>
      <c r="F336" s="30" t="s">
        <v>1434</v>
      </c>
      <c r="G336" s="30" t="s">
        <v>1435</v>
      </c>
      <c r="H336" s="30" t="s">
        <v>1392</v>
      </c>
      <c r="I336" s="30" t="s">
        <v>1393</v>
      </c>
      <c r="J336" s="30" t="s">
        <v>1436</v>
      </c>
      <c r="K336" s="32">
        <v>1</v>
      </c>
      <c r="L336" s="32" t="s">
        <v>80</v>
      </c>
      <c r="M336" s="30" t="s">
        <v>1437</v>
      </c>
      <c r="N336" s="30" t="s">
        <v>1438</v>
      </c>
      <c r="O336" s="30" t="s">
        <v>581</v>
      </c>
      <c r="P336" s="33">
        <v>46191</v>
      </c>
      <c r="Q336" s="33">
        <v>46200</v>
      </c>
      <c r="R336" s="32">
        <v>4</v>
      </c>
      <c r="S336" s="30" t="s">
        <v>463</v>
      </c>
      <c r="T336" s="30" t="s">
        <v>1439</v>
      </c>
      <c r="U336" s="30" t="s">
        <v>735</v>
      </c>
      <c r="V336" s="30" t="s">
        <v>87</v>
      </c>
      <c r="W336" s="30" t="s">
        <v>1041</v>
      </c>
      <c r="X336" s="30" t="s">
        <v>197</v>
      </c>
      <c r="Y336" s="30" t="s">
        <v>1440</v>
      </c>
      <c r="AB336" s="30" t="b">
        <v>1</v>
      </c>
      <c r="AC336" s="30">
        <v>30000</v>
      </c>
      <c r="AD336" s="30" t="b">
        <v>1</v>
      </c>
      <c r="AE336" s="30">
        <v>1</v>
      </c>
      <c r="AF336" s="30" t="b">
        <v>0</v>
      </c>
      <c r="AH336" s="32" t="s">
        <v>963</v>
      </c>
      <c r="AI336" s="32">
        <v>1092</v>
      </c>
      <c r="AJ336" s="32"/>
      <c r="AK336" s="32"/>
      <c r="AL336" s="30" t="s">
        <v>1441</v>
      </c>
      <c r="AM336" s="30" t="s">
        <v>141</v>
      </c>
      <c r="AN336" s="30" t="s">
        <v>94</v>
      </c>
      <c r="AO336" s="30" t="s">
        <v>142</v>
      </c>
      <c r="AP336" s="30" t="s">
        <v>143</v>
      </c>
      <c r="AQ336" s="30" t="s">
        <v>144</v>
      </c>
      <c r="AR336" s="30" t="s">
        <v>691</v>
      </c>
      <c r="AT336" s="30" t="s">
        <v>275</v>
      </c>
      <c r="AU336" s="30" t="s">
        <v>582</v>
      </c>
      <c r="AV336" s="30" t="s">
        <v>583</v>
      </c>
      <c r="AW336" s="30" t="s">
        <v>584</v>
      </c>
      <c r="AX336" s="34" t="s">
        <v>86</v>
      </c>
      <c r="AY336" s="34" t="s">
        <v>149</v>
      </c>
      <c r="AZ336" s="34" t="s">
        <v>149</v>
      </c>
      <c r="BA336" s="34" t="s">
        <v>1442</v>
      </c>
      <c r="BB336" s="34"/>
      <c r="BC336" s="34">
        <v>0</v>
      </c>
      <c r="BD336" s="34"/>
      <c r="BE336" s="34"/>
      <c r="BF336" s="34" t="b">
        <v>0</v>
      </c>
      <c r="BG336" s="34"/>
      <c r="BH336" s="34"/>
      <c r="BI336" s="34"/>
      <c r="BJ336" s="34"/>
      <c r="BK336" s="34"/>
      <c r="BL336" s="34"/>
      <c r="BM336" s="34" t="s">
        <v>168</v>
      </c>
      <c r="BN336" s="34"/>
      <c r="BO336" s="35"/>
      <c r="BP336" s="35"/>
      <c r="BQ336" s="35" t="s">
        <v>108</v>
      </c>
      <c r="BR336" s="36" t="e">
        <f>VLOOKUP(BQ336, Cat_Indicadores!B:C, 2, FALSE)</f>
        <v>#N/A</v>
      </c>
      <c r="BS336" s="35" t="s">
        <v>5592</v>
      </c>
      <c r="BT336" s="35"/>
    </row>
    <row r="337" spans="1:72">
      <c r="A337" s="29" t="s">
        <v>1443</v>
      </c>
      <c r="B337" s="30" t="s">
        <v>1444</v>
      </c>
      <c r="C337" s="31">
        <v>46265.593738425923</v>
      </c>
      <c r="D337" s="30">
        <v>6</v>
      </c>
      <c r="E337" s="30" t="s">
        <v>1445</v>
      </c>
      <c r="F337" s="30" t="s">
        <v>1446</v>
      </c>
      <c r="G337" s="30" t="s">
        <v>1447</v>
      </c>
      <c r="H337" s="30" t="s">
        <v>77</v>
      </c>
      <c r="I337" s="30" t="s">
        <v>1448</v>
      </c>
      <c r="J337" s="30" t="s">
        <v>1449</v>
      </c>
      <c r="K337" s="32">
        <v>6000</v>
      </c>
      <c r="L337" s="32" t="s">
        <v>80</v>
      </c>
      <c r="M337" s="30" t="s">
        <v>1450</v>
      </c>
      <c r="N337" s="30" t="s">
        <v>1451</v>
      </c>
      <c r="O337" s="30" t="s">
        <v>581</v>
      </c>
      <c r="P337" s="33">
        <v>46244</v>
      </c>
      <c r="Q337" s="33">
        <v>46258</v>
      </c>
      <c r="R337" s="32">
        <v>3</v>
      </c>
      <c r="S337" s="30" t="s">
        <v>243</v>
      </c>
      <c r="T337" s="30" t="s">
        <v>740</v>
      </c>
      <c r="U337" s="30" t="s">
        <v>735</v>
      </c>
      <c r="V337" s="30" t="s">
        <v>87</v>
      </c>
      <c r="W337" s="30" t="s">
        <v>88</v>
      </c>
      <c r="X337" s="30" t="s">
        <v>197</v>
      </c>
      <c r="Y337" s="30" t="s">
        <v>1288</v>
      </c>
      <c r="AB337" s="30" t="b">
        <v>1</v>
      </c>
      <c r="AC337" s="30"/>
      <c r="AD337" s="30" t="b">
        <v>1</v>
      </c>
      <c r="AF337" s="30" t="b">
        <v>0</v>
      </c>
      <c r="AH337" s="32" t="s">
        <v>91</v>
      </c>
      <c r="AI337" s="32"/>
      <c r="AJ337" s="32"/>
      <c r="AK337" s="32"/>
      <c r="AL337" s="30" t="s">
        <v>1452</v>
      </c>
      <c r="AM337" s="30" t="s">
        <v>198</v>
      </c>
      <c r="AN337" s="30" t="s">
        <v>199</v>
      </c>
      <c r="AO337" s="30" t="s">
        <v>200</v>
      </c>
      <c r="AP337" s="30" t="s">
        <v>201</v>
      </c>
      <c r="AQ337" s="30" t="s">
        <v>202</v>
      </c>
      <c r="AR337" s="30" t="s">
        <v>691</v>
      </c>
      <c r="AT337" s="30" t="s">
        <v>99</v>
      </c>
      <c r="AU337" s="30" t="s">
        <v>146</v>
      </c>
      <c r="AV337" s="30" t="s">
        <v>839</v>
      </c>
      <c r="AW337" s="30" t="s">
        <v>102</v>
      </c>
      <c r="AX337" s="34" t="s">
        <v>86</v>
      </c>
      <c r="AY337" s="34" t="s">
        <v>279</v>
      </c>
      <c r="AZ337" s="34"/>
      <c r="BA337" s="34"/>
      <c r="BB337" s="34">
        <v>1</v>
      </c>
      <c r="BC337" s="34">
        <v>25</v>
      </c>
      <c r="BD337" s="34"/>
      <c r="BE337" s="34"/>
      <c r="BF337" s="34" t="b">
        <v>1</v>
      </c>
      <c r="BG337" s="34"/>
      <c r="BH337" s="34"/>
      <c r="BI337" s="34"/>
      <c r="BJ337" s="34"/>
      <c r="BK337" s="34"/>
      <c r="BL337" s="34" t="s">
        <v>1453</v>
      </c>
      <c r="BM337" s="34" t="s">
        <v>106</v>
      </c>
      <c r="BN337" s="34" t="s">
        <v>1015</v>
      </c>
      <c r="BO337" s="35"/>
      <c r="BP337" s="35"/>
      <c r="BQ337" s="35" t="s">
        <v>108</v>
      </c>
      <c r="BR337" s="36" t="e">
        <f>VLOOKUP(BQ337, Cat_Indicadores!B:C, 2, FALSE)</f>
        <v>#N/A</v>
      </c>
      <c r="BS337" s="35" t="s">
        <v>5592</v>
      </c>
      <c r="BT337" s="35"/>
    </row>
    <row r="338" spans="1:72">
      <c r="A338" s="29" t="s">
        <v>1454</v>
      </c>
      <c r="B338" s="30" t="s">
        <v>1455</v>
      </c>
      <c r="C338" s="31">
        <v>46269.433194444442</v>
      </c>
      <c r="D338" s="30">
        <v>92</v>
      </c>
      <c r="E338" s="30" t="s">
        <v>74</v>
      </c>
      <c r="F338" s="30" t="s">
        <v>75</v>
      </c>
      <c r="G338" s="30" t="s">
        <v>133</v>
      </c>
      <c r="H338" s="30" t="s">
        <v>77</v>
      </c>
      <c r="I338" s="30" t="s">
        <v>78</v>
      </c>
      <c r="J338" s="30" t="s">
        <v>79</v>
      </c>
      <c r="K338" s="32">
        <v>800</v>
      </c>
      <c r="L338" s="32" t="s">
        <v>211</v>
      </c>
      <c r="M338" s="30" t="s">
        <v>1456</v>
      </c>
      <c r="N338" s="30" t="s">
        <v>1457</v>
      </c>
      <c r="O338" s="30" t="s">
        <v>83</v>
      </c>
      <c r="P338" s="33">
        <v>46235</v>
      </c>
      <c r="Q338" s="33">
        <v>46235</v>
      </c>
      <c r="R338" s="32">
        <v>1</v>
      </c>
      <c r="S338" s="30" t="s">
        <v>84</v>
      </c>
      <c r="T338" s="30" t="s">
        <v>337</v>
      </c>
      <c r="U338" s="30" t="s">
        <v>86</v>
      </c>
      <c r="V338" s="30" t="s">
        <v>87</v>
      </c>
      <c r="W338" s="30" t="s">
        <v>88</v>
      </c>
      <c r="X338" s="30" t="s">
        <v>197</v>
      </c>
      <c r="Y338" s="30" t="s">
        <v>1288</v>
      </c>
      <c r="AB338" s="30" t="b">
        <v>0</v>
      </c>
      <c r="AC338" s="30"/>
      <c r="AD338" s="30" t="b">
        <v>0</v>
      </c>
      <c r="AF338" s="30" t="b">
        <v>0</v>
      </c>
      <c r="AH338" s="32" t="s">
        <v>91</v>
      </c>
      <c r="AI338" s="32"/>
      <c r="AJ338" s="32"/>
      <c r="AK338" s="32"/>
      <c r="AL338" s="30" t="s">
        <v>92</v>
      </c>
      <c r="AM338" s="30" t="s">
        <v>93</v>
      </c>
      <c r="AN338" s="30" t="s">
        <v>199</v>
      </c>
      <c r="AO338" s="30" t="s">
        <v>200</v>
      </c>
      <c r="AP338" s="30" t="s">
        <v>201</v>
      </c>
      <c r="AQ338" s="30" t="s">
        <v>202</v>
      </c>
      <c r="AR338" s="30" t="s">
        <v>145</v>
      </c>
      <c r="AT338" s="30" t="s">
        <v>99</v>
      </c>
      <c r="AU338" s="30" t="s">
        <v>100</v>
      </c>
      <c r="AV338" s="30" t="s">
        <v>101</v>
      </c>
      <c r="AW338" s="30" t="s">
        <v>102</v>
      </c>
      <c r="AX338" s="34" t="s">
        <v>86</v>
      </c>
      <c r="AY338" s="34" t="s">
        <v>149</v>
      </c>
      <c r="AZ338" s="34" t="s">
        <v>149</v>
      </c>
      <c r="BA338" s="34"/>
      <c r="BB338" s="34"/>
      <c r="BC338" s="34">
        <v>0</v>
      </c>
      <c r="BD338" s="34"/>
      <c r="BE338" s="34"/>
      <c r="BF338" s="34" t="b">
        <v>0</v>
      </c>
      <c r="BG338" s="34"/>
      <c r="BH338" s="34"/>
      <c r="BI338" s="34"/>
      <c r="BJ338" s="34"/>
      <c r="BK338" s="34"/>
      <c r="BL338" s="34"/>
      <c r="BM338" s="34" t="s">
        <v>168</v>
      </c>
      <c r="BN338" s="34"/>
      <c r="BO338" s="35"/>
      <c r="BP338" s="35"/>
      <c r="BQ338" s="35" t="s">
        <v>108</v>
      </c>
      <c r="BR338" s="36" t="e">
        <f>VLOOKUP(BQ338, Cat_Indicadores!B:C, 2, FALSE)</f>
        <v>#N/A</v>
      </c>
      <c r="BS338" s="35" t="s">
        <v>5592</v>
      </c>
      <c r="BT338" s="35"/>
    </row>
    <row r="339" spans="1:72">
      <c r="A339" s="29" t="s">
        <v>1458</v>
      </c>
      <c r="B339" s="30" t="s">
        <v>1459</v>
      </c>
      <c r="C339" s="31">
        <v>46269.445393518516</v>
      </c>
      <c r="D339" s="30">
        <v>92</v>
      </c>
      <c r="E339" s="30" t="s">
        <v>74</v>
      </c>
      <c r="F339" s="30" t="s">
        <v>75</v>
      </c>
      <c r="G339" s="30" t="s">
        <v>133</v>
      </c>
      <c r="H339" s="30" t="s">
        <v>77</v>
      </c>
      <c r="I339" s="30" t="s">
        <v>78</v>
      </c>
      <c r="J339" s="30" t="s">
        <v>79</v>
      </c>
      <c r="K339" s="32">
        <v>800</v>
      </c>
      <c r="L339" s="32" t="s">
        <v>211</v>
      </c>
      <c r="M339" s="30" t="s">
        <v>1460</v>
      </c>
      <c r="N339" s="30" t="s">
        <v>1461</v>
      </c>
      <c r="O339" s="30" t="s">
        <v>83</v>
      </c>
      <c r="P339" s="33">
        <v>46235</v>
      </c>
      <c r="Q339" s="33">
        <v>46235</v>
      </c>
      <c r="R339" s="32">
        <v>1</v>
      </c>
      <c r="S339" s="30" t="s">
        <v>84</v>
      </c>
      <c r="T339" s="30" t="s">
        <v>337</v>
      </c>
      <c r="U339" s="30" t="s">
        <v>86</v>
      </c>
      <c r="V339" s="30" t="s">
        <v>87</v>
      </c>
      <c r="W339" s="30" t="s">
        <v>88</v>
      </c>
      <c r="X339" s="30" t="s">
        <v>197</v>
      </c>
      <c r="Y339" s="30" t="s">
        <v>1288</v>
      </c>
      <c r="AB339" s="30" t="b">
        <v>0</v>
      </c>
      <c r="AC339" s="30"/>
      <c r="AD339" s="30" t="b">
        <v>0</v>
      </c>
      <c r="AF339" s="30" t="b">
        <v>0</v>
      </c>
      <c r="AH339" s="32" t="s">
        <v>91</v>
      </c>
      <c r="AI339" s="32"/>
      <c r="AJ339" s="32"/>
      <c r="AK339" s="32"/>
      <c r="AL339" s="30" t="s">
        <v>92</v>
      </c>
      <c r="AM339" s="30" t="s">
        <v>93</v>
      </c>
      <c r="AN339" s="30" t="s">
        <v>199</v>
      </c>
      <c r="AO339" s="30" t="s">
        <v>200</v>
      </c>
      <c r="AP339" s="30" t="s">
        <v>201</v>
      </c>
      <c r="AQ339" s="30" t="s">
        <v>202</v>
      </c>
      <c r="AR339" s="30" t="s">
        <v>145</v>
      </c>
      <c r="AT339" s="30" t="s">
        <v>99</v>
      </c>
      <c r="AU339" s="30" t="s">
        <v>100</v>
      </c>
      <c r="AV339" s="30" t="s">
        <v>101</v>
      </c>
      <c r="AW339" s="30" t="s">
        <v>102</v>
      </c>
      <c r="AX339" s="34" t="s">
        <v>86</v>
      </c>
      <c r="AY339" s="34" t="s">
        <v>149</v>
      </c>
      <c r="AZ339" s="34" t="s">
        <v>149</v>
      </c>
      <c r="BA339" s="34"/>
      <c r="BB339" s="34"/>
      <c r="BC339" s="34">
        <v>0</v>
      </c>
      <c r="BD339" s="34"/>
      <c r="BE339" s="34"/>
      <c r="BF339" s="34" t="b">
        <v>0</v>
      </c>
      <c r="BG339" s="34"/>
      <c r="BH339" s="34"/>
      <c r="BI339" s="34"/>
      <c r="BJ339" s="34"/>
      <c r="BK339" s="34"/>
      <c r="BL339" s="34"/>
      <c r="BM339" s="34" t="s">
        <v>168</v>
      </c>
      <c r="BN339" s="34"/>
      <c r="BO339" s="35"/>
      <c r="BP339" s="35"/>
      <c r="BQ339" s="35" t="s">
        <v>108</v>
      </c>
      <c r="BR339" s="36" t="e">
        <f>VLOOKUP(BQ339, Cat_Indicadores!B:C, 2, FALSE)</f>
        <v>#N/A</v>
      </c>
      <c r="BS339" s="35" t="s">
        <v>5592</v>
      </c>
      <c r="BT339" s="35"/>
    </row>
    <row r="340" spans="1:72">
      <c r="A340" s="29" t="s">
        <v>1462</v>
      </c>
      <c r="B340" s="30" t="s">
        <v>1463</v>
      </c>
      <c r="C340" s="31">
        <v>46269.452974537038</v>
      </c>
      <c r="D340" s="30">
        <v>92</v>
      </c>
      <c r="E340" s="30" t="s">
        <v>74</v>
      </c>
      <c r="F340" s="30" t="s">
        <v>75</v>
      </c>
      <c r="G340" s="30" t="s">
        <v>133</v>
      </c>
      <c r="H340" s="30" t="s">
        <v>77</v>
      </c>
      <c r="I340" s="30" t="s">
        <v>78</v>
      </c>
      <c r="J340" s="30" t="s">
        <v>79</v>
      </c>
      <c r="K340" s="32">
        <v>800</v>
      </c>
      <c r="L340" s="32" t="s">
        <v>211</v>
      </c>
      <c r="M340" s="30" t="s">
        <v>1460</v>
      </c>
      <c r="N340" s="30" t="s">
        <v>1461</v>
      </c>
      <c r="O340" s="30" t="s">
        <v>83</v>
      </c>
      <c r="P340" s="33">
        <v>46236</v>
      </c>
      <c r="Q340" s="33">
        <v>46236</v>
      </c>
      <c r="R340" s="32">
        <v>1</v>
      </c>
      <c r="S340" s="30" t="s">
        <v>84</v>
      </c>
      <c r="T340" s="30" t="s">
        <v>337</v>
      </c>
      <c r="U340" s="30" t="s">
        <v>86</v>
      </c>
      <c r="V340" s="30" t="s">
        <v>87</v>
      </c>
      <c r="W340" s="30" t="s">
        <v>88</v>
      </c>
      <c r="X340" s="30" t="s">
        <v>197</v>
      </c>
      <c r="Y340" s="30" t="s">
        <v>1288</v>
      </c>
      <c r="AB340" s="30" t="b">
        <v>0</v>
      </c>
      <c r="AC340" s="30"/>
      <c r="AD340" s="30" t="b">
        <v>0</v>
      </c>
      <c r="AF340" s="30" t="b">
        <v>0</v>
      </c>
      <c r="AH340" s="32" t="s">
        <v>91</v>
      </c>
      <c r="AI340" s="32"/>
      <c r="AJ340" s="32"/>
      <c r="AK340" s="32"/>
      <c r="AL340" s="30" t="s">
        <v>92</v>
      </c>
      <c r="AM340" s="30" t="s">
        <v>93</v>
      </c>
      <c r="AN340" s="30" t="s">
        <v>199</v>
      </c>
      <c r="AO340" s="30" t="s">
        <v>200</v>
      </c>
      <c r="AP340" s="30" t="s">
        <v>201</v>
      </c>
      <c r="AQ340" s="30" t="s">
        <v>202</v>
      </c>
      <c r="AR340" s="30" t="s">
        <v>145</v>
      </c>
      <c r="AT340" s="30" t="s">
        <v>99</v>
      </c>
      <c r="AU340" s="30" t="s">
        <v>100</v>
      </c>
      <c r="AV340" s="30" t="s">
        <v>101</v>
      </c>
      <c r="AW340" s="30" t="s">
        <v>102</v>
      </c>
      <c r="AX340" s="34" t="s">
        <v>86</v>
      </c>
      <c r="AY340" s="34" t="s">
        <v>149</v>
      </c>
      <c r="AZ340" s="34" t="s">
        <v>149</v>
      </c>
      <c r="BA340" s="34"/>
      <c r="BB340" s="34"/>
      <c r="BC340" s="34">
        <v>0</v>
      </c>
      <c r="BD340" s="34"/>
      <c r="BE340" s="34"/>
      <c r="BF340" s="34" t="b">
        <v>0</v>
      </c>
      <c r="BG340" s="34"/>
      <c r="BH340" s="34"/>
      <c r="BI340" s="34"/>
      <c r="BJ340" s="34"/>
      <c r="BK340" s="34"/>
      <c r="BL340" s="34"/>
      <c r="BM340" s="34" t="s">
        <v>168</v>
      </c>
      <c r="BN340" s="34"/>
      <c r="BO340" s="35"/>
      <c r="BP340" s="35"/>
      <c r="BQ340" s="35" t="s">
        <v>108</v>
      </c>
      <c r="BR340" s="36" t="e">
        <f>VLOOKUP(BQ340, Cat_Indicadores!B:C, 2, FALSE)</f>
        <v>#N/A</v>
      </c>
      <c r="BS340" s="35" t="s">
        <v>5592</v>
      </c>
      <c r="BT340" s="35"/>
    </row>
    <row r="341" spans="1:72">
      <c r="A341" s="29" t="s">
        <v>1464</v>
      </c>
      <c r="B341" s="30" t="s">
        <v>1465</v>
      </c>
      <c r="C341" s="31">
        <v>46269.459039351852</v>
      </c>
      <c r="D341" s="30">
        <v>92</v>
      </c>
      <c r="E341" s="30" t="s">
        <v>74</v>
      </c>
      <c r="F341" s="30" t="s">
        <v>75</v>
      </c>
      <c r="G341" s="30" t="s">
        <v>133</v>
      </c>
      <c r="H341" s="30" t="s">
        <v>77</v>
      </c>
      <c r="I341" s="30" t="s">
        <v>78</v>
      </c>
      <c r="J341" s="30" t="s">
        <v>79</v>
      </c>
      <c r="K341" s="32">
        <v>800</v>
      </c>
      <c r="L341" s="32" t="s">
        <v>211</v>
      </c>
      <c r="M341" s="30" t="s">
        <v>1466</v>
      </c>
      <c r="N341" s="30" t="s">
        <v>402</v>
      </c>
      <c r="O341" s="30" t="s">
        <v>83</v>
      </c>
      <c r="P341" s="33">
        <v>46238</v>
      </c>
      <c r="Q341" s="33">
        <v>46238</v>
      </c>
      <c r="R341" s="32">
        <v>1</v>
      </c>
      <c r="S341" s="30" t="s">
        <v>84</v>
      </c>
      <c r="T341" s="30" t="s">
        <v>337</v>
      </c>
      <c r="U341" s="30" t="s">
        <v>349</v>
      </c>
      <c r="V341" s="30" t="s">
        <v>87</v>
      </c>
      <c r="W341" s="30" t="s">
        <v>88</v>
      </c>
      <c r="X341" s="30" t="s">
        <v>197</v>
      </c>
      <c r="Y341" s="30" t="s">
        <v>1288</v>
      </c>
      <c r="AB341" s="30" t="b">
        <v>0</v>
      </c>
      <c r="AC341" s="30"/>
      <c r="AD341" s="30" t="b">
        <v>0</v>
      </c>
      <c r="AF341" s="30" t="b">
        <v>0</v>
      </c>
      <c r="AH341" s="32" t="s">
        <v>91</v>
      </c>
      <c r="AI341" s="32"/>
      <c r="AJ341" s="32"/>
      <c r="AK341" s="32"/>
      <c r="AL341" s="30" t="s">
        <v>92</v>
      </c>
      <c r="AM341" s="30" t="s">
        <v>93</v>
      </c>
      <c r="AN341" s="30" t="s">
        <v>199</v>
      </c>
      <c r="AO341" s="30" t="s">
        <v>200</v>
      </c>
      <c r="AP341" s="30" t="s">
        <v>201</v>
      </c>
      <c r="AQ341" s="30" t="s">
        <v>202</v>
      </c>
      <c r="AR341" s="30" t="s">
        <v>145</v>
      </c>
      <c r="AT341" s="30" t="s">
        <v>99</v>
      </c>
      <c r="AU341" s="30" t="s">
        <v>100</v>
      </c>
      <c r="AV341" s="30" t="s">
        <v>101</v>
      </c>
      <c r="AW341" s="30" t="s">
        <v>102</v>
      </c>
      <c r="AX341" s="34" t="s">
        <v>339</v>
      </c>
      <c r="AY341" s="34" t="s">
        <v>149</v>
      </c>
      <c r="AZ341" s="34" t="s">
        <v>149</v>
      </c>
      <c r="BA341" s="34"/>
      <c r="BB341" s="34"/>
      <c r="BC341" s="34">
        <v>0</v>
      </c>
      <c r="BD341" s="34"/>
      <c r="BE341" s="34"/>
      <c r="BF341" s="34" t="b">
        <v>0</v>
      </c>
      <c r="BG341" s="34"/>
      <c r="BH341" s="34"/>
      <c r="BI341" s="34"/>
      <c r="BJ341" s="34"/>
      <c r="BK341" s="34"/>
      <c r="BL341" s="34"/>
      <c r="BM341" s="34" t="s">
        <v>168</v>
      </c>
      <c r="BN341" s="34"/>
      <c r="BO341" s="35"/>
      <c r="BP341" s="35"/>
      <c r="BQ341" s="35" t="s">
        <v>108</v>
      </c>
      <c r="BR341" s="36" t="e">
        <f>VLOOKUP(BQ341, Cat_Indicadores!B:C, 2, FALSE)</f>
        <v>#N/A</v>
      </c>
      <c r="BS341" s="35" t="s">
        <v>5592</v>
      </c>
      <c r="BT341" s="35"/>
    </row>
    <row r="342" spans="1:72">
      <c r="A342" s="29" t="s">
        <v>1467</v>
      </c>
      <c r="B342" s="30" t="s">
        <v>1468</v>
      </c>
      <c r="C342" s="31">
        <v>46269.470046296294</v>
      </c>
      <c r="D342" s="30">
        <v>92</v>
      </c>
      <c r="E342" s="30" t="s">
        <v>74</v>
      </c>
      <c r="F342" s="30" t="s">
        <v>75</v>
      </c>
      <c r="G342" s="30" t="s">
        <v>133</v>
      </c>
      <c r="H342" s="30" t="s">
        <v>77</v>
      </c>
      <c r="I342" s="30" t="s">
        <v>78</v>
      </c>
      <c r="J342" s="30" t="s">
        <v>79</v>
      </c>
      <c r="K342" s="32">
        <v>800</v>
      </c>
      <c r="L342" s="32" t="s">
        <v>211</v>
      </c>
      <c r="M342" s="30" t="s">
        <v>1469</v>
      </c>
      <c r="N342" s="30" t="s">
        <v>1470</v>
      </c>
      <c r="O342" s="30" t="s">
        <v>83</v>
      </c>
      <c r="P342" s="33">
        <v>46240</v>
      </c>
      <c r="Q342" s="33">
        <v>46240</v>
      </c>
      <c r="R342" s="32">
        <v>1</v>
      </c>
      <c r="S342" s="30" t="s">
        <v>84</v>
      </c>
      <c r="T342" s="30" t="s">
        <v>337</v>
      </c>
      <c r="U342" s="30" t="s">
        <v>86</v>
      </c>
      <c r="V342" s="30" t="s">
        <v>87</v>
      </c>
      <c r="W342" s="30" t="s">
        <v>88</v>
      </c>
      <c r="X342" s="30" t="s">
        <v>197</v>
      </c>
      <c r="Y342" s="30" t="s">
        <v>1275</v>
      </c>
      <c r="AB342" s="30" t="b">
        <v>0</v>
      </c>
      <c r="AC342" s="30"/>
      <c r="AD342" s="30" t="b">
        <v>0</v>
      </c>
      <c r="AF342" s="30" t="b">
        <v>0</v>
      </c>
      <c r="AH342" s="32" t="s">
        <v>91</v>
      </c>
      <c r="AI342" s="32"/>
      <c r="AJ342" s="32"/>
      <c r="AK342" s="32"/>
      <c r="AL342" s="30" t="s">
        <v>92</v>
      </c>
      <c r="AM342" s="30" t="s">
        <v>93</v>
      </c>
      <c r="AN342" s="30" t="s">
        <v>199</v>
      </c>
      <c r="AO342" s="30" t="s">
        <v>200</v>
      </c>
      <c r="AP342" s="30" t="s">
        <v>201</v>
      </c>
      <c r="AQ342" s="30" t="s">
        <v>202</v>
      </c>
      <c r="AR342" s="30" t="s">
        <v>145</v>
      </c>
      <c r="AT342" s="30" t="s">
        <v>99</v>
      </c>
      <c r="AU342" s="30" t="s">
        <v>100</v>
      </c>
      <c r="AV342" s="30" t="s">
        <v>101</v>
      </c>
      <c r="AW342" s="30" t="s">
        <v>102</v>
      </c>
      <c r="AX342" s="34" t="s">
        <v>86</v>
      </c>
      <c r="AY342" s="34" t="s">
        <v>149</v>
      </c>
      <c r="AZ342" s="34" t="s">
        <v>149</v>
      </c>
      <c r="BA342" s="34"/>
      <c r="BB342" s="34"/>
      <c r="BC342" s="34">
        <v>0</v>
      </c>
      <c r="BD342" s="34"/>
      <c r="BE342" s="34"/>
      <c r="BF342" s="34" t="b">
        <v>0</v>
      </c>
      <c r="BG342" s="34"/>
      <c r="BH342" s="34"/>
      <c r="BI342" s="34"/>
      <c r="BJ342" s="34"/>
      <c r="BK342" s="34"/>
      <c r="BL342" s="34"/>
      <c r="BM342" s="34" t="s">
        <v>168</v>
      </c>
      <c r="BN342" s="34"/>
      <c r="BO342" s="35"/>
      <c r="BP342" s="35"/>
      <c r="BQ342" s="35" t="s">
        <v>108</v>
      </c>
      <c r="BR342" s="36" t="e">
        <f>VLOOKUP(BQ342, Cat_Indicadores!B:C, 2, FALSE)</f>
        <v>#N/A</v>
      </c>
      <c r="BS342" s="35" t="s">
        <v>5592</v>
      </c>
      <c r="BT342" s="35"/>
    </row>
    <row r="343" spans="1:72">
      <c r="A343" s="29" t="s">
        <v>1471</v>
      </c>
      <c r="B343" s="30" t="s">
        <v>1472</v>
      </c>
      <c r="C343" s="31">
        <v>46269.477696759262</v>
      </c>
      <c r="D343" s="30">
        <v>92</v>
      </c>
      <c r="E343" s="30" t="s">
        <v>74</v>
      </c>
      <c r="F343" s="30" t="s">
        <v>75</v>
      </c>
      <c r="G343" s="30" t="s">
        <v>133</v>
      </c>
      <c r="H343" s="30" t="s">
        <v>77</v>
      </c>
      <c r="I343" s="30" t="s">
        <v>78</v>
      </c>
      <c r="J343" s="30" t="s">
        <v>79</v>
      </c>
      <c r="K343" s="32">
        <v>800</v>
      </c>
      <c r="L343" s="32" t="s">
        <v>211</v>
      </c>
      <c r="M343" s="30" t="s">
        <v>1460</v>
      </c>
      <c r="N343" s="30" t="s">
        <v>1461</v>
      </c>
      <c r="O343" s="30" t="s">
        <v>83</v>
      </c>
      <c r="P343" s="33">
        <v>46242</v>
      </c>
      <c r="Q343" s="33">
        <v>46242</v>
      </c>
      <c r="R343" s="32">
        <v>1</v>
      </c>
      <c r="S343" s="30" t="s">
        <v>84</v>
      </c>
      <c r="T343" s="30" t="s">
        <v>337</v>
      </c>
      <c r="U343" s="30" t="s">
        <v>86</v>
      </c>
      <c r="V343" s="30" t="s">
        <v>87</v>
      </c>
      <c r="W343" s="30" t="s">
        <v>88</v>
      </c>
      <c r="X343" s="30" t="s">
        <v>197</v>
      </c>
      <c r="Y343" s="30" t="s">
        <v>1288</v>
      </c>
      <c r="AB343" s="30" t="b">
        <v>0</v>
      </c>
      <c r="AC343" s="30"/>
      <c r="AD343" s="30" t="b">
        <v>0</v>
      </c>
      <c r="AF343" s="30" t="b">
        <v>0</v>
      </c>
      <c r="AH343" s="32" t="s">
        <v>91</v>
      </c>
      <c r="AI343" s="32"/>
      <c r="AJ343" s="32"/>
      <c r="AK343" s="32"/>
      <c r="AL343" s="30" t="s">
        <v>92</v>
      </c>
      <c r="AM343" s="30" t="s">
        <v>93</v>
      </c>
      <c r="AN343" s="30" t="s">
        <v>199</v>
      </c>
      <c r="AO343" s="30" t="s">
        <v>200</v>
      </c>
      <c r="AP343" s="30" t="s">
        <v>201</v>
      </c>
      <c r="AQ343" s="30" t="s">
        <v>202</v>
      </c>
      <c r="AR343" s="30" t="s">
        <v>145</v>
      </c>
      <c r="AT343" s="30" t="s">
        <v>99</v>
      </c>
      <c r="AU343" s="30" t="s">
        <v>100</v>
      </c>
      <c r="AV343" s="30" t="s">
        <v>101</v>
      </c>
      <c r="AW343" s="30" t="s">
        <v>102</v>
      </c>
      <c r="AX343" s="34" t="s">
        <v>86</v>
      </c>
      <c r="AY343" s="34" t="s">
        <v>149</v>
      </c>
      <c r="AZ343" s="34" t="s">
        <v>149</v>
      </c>
      <c r="BA343" s="34"/>
      <c r="BB343" s="34"/>
      <c r="BC343" s="34">
        <v>0</v>
      </c>
      <c r="BD343" s="34"/>
      <c r="BE343" s="34"/>
      <c r="BF343" s="34" t="b">
        <v>0</v>
      </c>
      <c r="BG343" s="34"/>
      <c r="BH343" s="34"/>
      <c r="BI343" s="34"/>
      <c r="BJ343" s="34"/>
      <c r="BK343" s="34"/>
      <c r="BL343" s="34"/>
      <c r="BM343" s="34" t="s">
        <v>168</v>
      </c>
      <c r="BN343" s="34"/>
      <c r="BO343" s="35"/>
      <c r="BP343" s="35"/>
      <c r="BQ343" s="35" t="s">
        <v>108</v>
      </c>
      <c r="BR343" s="36" t="e">
        <f>VLOOKUP(BQ343, Cat_Indicadores!B:C, 2, FALSE)</f>
        <v>#N/A</v>
      </c>
      <c r="BS343" s="35" t="s">
        <v>5592</v>
      </c>
      <c r="BT343" s="35"/>
    </row>
    <row r="344" spans="1:72">
      <c r="A344" s="29" t="s">
        <v>1473</v>
      </c>
      <c r="B344" s="30" t="s">
        <v>1474</v>
      </c>
      <c r="C344" s="31">
        <v>46269.535532407404</v>
      </c>
      <c r="D344" s="30">
        <v>92</v>
      </c>
      <c r="E344" s="30" t="s">
        <v>74</v>
      </c>
      <c r="F344" s="30" t="s">
        <v>75</v>
      </c>
      <c r="G344" s="30" t="s">
        <v>133</v>
      </c>
      <c r="H344" s="30" t="s">
        <v>77</v>
      </c>
      <c r="I344" s="30" t="s">
        <v>78</v>
      </c>
      <c r="J344" s="30" t="s">
        <v>79</v>
      </c>
      <c r="K344" s="32">
        <v>800</v>
      </c>
      <c r="L344" s="32" t="s">
        <v>211</v>
      </c>
      <c r="M344" s="30" t="s">
        <v>1475</v>
      </c>
      <c r="N344" s="30" t="s">
        <v>1476</v>
      </c>
      <c r="O344" s="30" t="s">
        <v>83</v>
      </c>
      <c r="P344" s="33">
        <v>46252</v>
      </c>
      <c r="Q344" s="33">
        <v>46252</v>
      </c>
      <c r="R344" s="32">
        <v>1</v>
      </c>
      <c r="S344" s="30" t="s">
        <v>84</v>
      </c>
      <c r="T344" s="30" t="s">
        <v>337</v>
      </c>
      <c r="U344" s="30" t="s">
        <v>339</v>
      </c>
      <c r="V344" s="30" t="s">
        <v>87</v>
      </c>
      <c r="W344" s="30" t="s">
        <v>88</v>
      </c>
      <c r="X344" s="30" t="s">
        <v>197</v>
      </c>
      <c r="Y344" s="30" t="s">
        <v>1477</v>
      </c>
      <c r="AB344" s="30" t="b">
        <v>0</v>
      </c>
      <c r="AC344" s="30"/>
      <c r="AD344" s="30" t="b">
        <v>0</v>
      </c>
      <c r="AF344" s="30" t="b">
        <v>0</v>
      </c>
      <c r="AH344" s="32" t="s">
        <v>91</v>
      </c>
      <c r="AI344" s="32"/>
      <c r="AJ344" s="32"/>
      <c r="AK344" s="32"/>
      <c r="AL344" s="30" t="s">
        <v>92</v>
      </c>
      <c r="AM344" s="30" t="s">
        <v>93</v>
      </c>
      <c r="AN344" s="30" t="s">
        <v>199</v>
      </c>
      <c r="AO344" s="30" t="s">
        <v>200</v>
      </c>
      <c r="AP344" s="30" t="s">
        <v>201</v>
      </c>
      <c r="AQ344" s="30" t="s">
        <v>202</v>
      </c>
      <c r="AR344" s="30" t="s">
        <v>145</v>
      </c>
      <c r="AT344" s="30" t="s">
        <v>99</v>
      </c>
      <c r="AU344" s="30" t="s">
        <v>100</v>
      </c>
      <c r="AV344" s="30" t="s">
        <v>101</v>
      </c>
      <c r="AW344" s="30" t="s">
        <v>102</v>
      </c>
      <c r="AX344" s="34" t="s">
        <v>338</v>
      </c>
      <c r="AY344" s="34" t="s">
        <v>149</v>
      </c>
      <c r="AZ344" s="34" t="s">
        <v>149</v>
      </c>
      <c r="BA344" s="34"/>
      <c r="BB344" s="34"/>
      <c r="BC344" s="34">
        <v>0</v>
      </c>
      <c r="BD344" s="34"/>
      <c r="BE344" s="34"/>
      <c r="BF344" s="34" t="b">
        <v>0</v>
      </c>
      <c r="BG344" s="34"/>
      <c r="BH344" s="34"/>
      <c r="BI344" s="34"/>
      <c r="BJ344" s="34"/>
      <c r="BK344" s="34"/>
      <c r="BL344" s="34"/>
      <c r="BM344" s="34" t="s">
        <v>168</v>
      </c>
      <c r="BN344" s="34"/>
      <c r="BO344" s="35"/>
      <c r="BP344" s="35"/>
      <c r="BQ344" s="35" t="s">
        <v>108</v>
      </c>
      <c r="BR344" s="36" t="e">
        <f>VLOOKUP(BQ344, Cat_Indicadores!B:C, 2, FALSE)</f>
        <v>#N/A</v>
      </c>
      <c r="BS344" s="35" t="s">
        <v>5592</v>
      </c>
      <c r="BT344" s="35"/>
    </row>
    <row r="345" spans="1:72">
      <c r="A345" s="29" t="s">
        <v>1478</v>
      </c>
      <c r="B345" s="30" t="s">
        <v>1479</v>
      </c>
      <c r="C345" s="31">
        <v>46269.542592592596</v>
      </c>
      <c r="D345" s="30">
        <v>92</v>
      </c>
      <c r="E345" s="30" t="s">
        <v>74</v>
      </c>
      <c r="F345" s="30" t="s">
        <v>75</v>
      </c>
      <c r="G345" s="30" t="s">
        <v>133</v>
      </c>
      <c r="H345" s="30" t="s">
        <v>77</v>
      </c>
      <c r="I345" s="30" t="s">
        <v>78</v>
      </c>
      <c r="J345" s="30" t="s">
        <v>79</v>
      </c>
      <c r="K345" s="32">
        <v>800</v>
      </c>
      <c r="L345" s="32" t="s">
        <v>211</v>
      </c>
      <c r="M345" s="30" t="s">
        <v>1460</v>
      </c>
      <c r="N345" s="30" t="s">
        <v>1461</v>
      </c>
      <c r="O345" s="30" t="s">
        <v>83</v>
      </c>
      <c r="P345" s="33">
        <v>46243</v>
      </c>
      <c r="Q345" s="33">
        <v>46243</v>
      </c>
      <c r="R345" s="32">
        <v>1</v>
      </c>
      <c r="S345" s="30" t="s">
        <v>84</v>
      </c>
      <c r="T345" s="30" t="s">
        <v>337</v>
      </c>
      <c r="U345" s="30" t="s">
        <v>86</v>
      </c>
      <c r="V345" s="30" t="s">
        <v>87</v>
      </c>
      <c r="W345" s="30" t="s">
        <v>88</v>
      </c>
      <c r="X345" s="30" t="s">
        <v>197</v>
      </c>
      <c r="Y345" s="30" t="s">
        <v>1288</v>
      </c>
      <c r="AB345" s="30" t="b">
        <v>0</v>
      </c>
      <c r="AC345" s="30"/>
      <c r="AD345" s="30" t="b">
        <v>0</v>
      </c>
      <c r="AF345" s="30" t="b">
        <v>0</v>
      </c>
      <c r="AH345" s="32" t="s">
        <v>91</v>
      </c>
      <c r="AI345" s="32"/>
      <c r="AJ345" s="32"/>
      <c r="AK345" s="32"/>
      <c r="AL345" s="30" t="s">
        <v>92</v>
      </c>
      <c r="AM345" s="30" t="s">
        <v>93</v>
      </c>
      <c r="AN345" s="30" t="s">
        <v>199</v>
      </c>
      <c r="AO345" s="30" t="s">
        <v>200</v>
      </c>
      <c r="AP345" s="30" t="s">
        <v>201</v>
      </c>
      <c r="AQ345" s="30" t="s">
        <v>202</v>
      </c>
      <c r="AR345" s="30" t="s">
        <v>145</v>
      </c>
      <c r="AT345" s="30" t="s">
        <v>99</v>
      </c>
      <c r="AU345" s="30" t="s">
        <v>100</v>
      </c>
      <c r="AV345" s="30" t="s">
        <v>101</v>
      </c>
      <c r="AW345" s="30" t="s">
        <v>102</v>
      </c>
      <c r="AX345" s="34" t="s">
        <v>86</v>
      </c>
      <c r="AY345" s="34" t="s">
        <v>149</v>
      </c>
      <c r="AZ345" s="34" t="s">
        <v>149</v>
      </c>
      <c r="BA345" s="34"/>
      <c r="BB345" s="34"/>
      <c r="BC345" s="34">
        <v>0</v>
      </c>
      <c r="BD345" s="34"/>
      <c r="BE345" s="34"/>
      <c r="BF345" s="34" t="b">
        <v>0</v>
      </c>
      <c r="BG345" s="34"/>
      <c r="BH345" s="34"/>
      <c r="BI345" s="34"/>
      <c r="BJ345" s="34"/>
      <c r="BK345" s="34"/>
      <c r="BL345" s="34"/>
      <c r="BM345" s="34" t="s">
        <v>168</v>
      </c>
      <c r="BN345" s="34"/>
      <c r="BO345" s="35"/>
      <c r="BP345" s="35"/>
      <c r="BQ345" s="35" t="s">
        <v>108</v>
      </c>
      <c r="BR345" s="36" t="e">
        <f>VLOOKUP(BQ345, Cat_Indicadores!B:C, 2, FALSE)</f>
        <v>#N/A</v>
      </c>
      <c r="BS345" s="35" t="s">
        <v>5592</v>
      </c>
      <c r="BT345" s="35"/>
    </row>
    <row r="346" spans="1:72">
      <c r="A346" s="29" t="s">
        <v>1480</v>
      </c>
      <c r="B346" s="30" t="s">
        <v>1481</v>
      </c>
      <c r="C346" s="31">
        <v>46272.580752314818</v>
      </c>
      <c r="D346" s="30">
        <v>92</v>
      </c>
      <c r="E346" s="30" t="s">
        <v>74</v>
      </c>
      <c r="F346" s="30" t="s">
        <v>75</v>
      </c>
      <c r="G346" s="30" t="s">
        <v>133</v>
      </c>
      <c r="H346" s="30" t="s">
        <v>77</v>
      </c>
      <c r="I346" s="30" t="s">
        <v>78</v>
      </c>
      <c r="J346" s="30" t="s">
        <v>79</v>
      </c>
      <c r="K346" s="32">
        <v>800</v>
      </c>
      <c r="L346" s="32" t="s">
        <v>211</v>
      </c>
      <c r="M346" s="30" t="s">
        <v>1482</v>
      </c>
      <c r="N346" s="30" t="s">
        <v>1483</v>
      </c>
      <c r="O346" s="30" t="s">
        <v>661</v>
      </c>
      <c r="P346" s="33">
        <v>46176</v>
      </c>
      <c r="Q346" s="33">
        <v>46259</v>
      </c>
      <c r="R346" s="32">
        <v>1</v>
      </c>
      <c r="S346" s="30" t="s">
        <v>194</v>
      </c>
      <c r="T346" s="30" t="s">
        <v>307</v>
      </c>
      <c r="U346" s="30" t="s">
        <v>1039</v>
      </c>
      <c r="V346" s="30" t="s">
        <v>1040</v>
      </c>
      <c r="W346" s="30" t="s">
        <v>1041</v>
      </c>
      <c r="X346" s="30" t="s">
        <v>197</v>
      </c>
      <c r="Y346" s="30" t="s">
        <v>1046</v>
      </c>
      <c r="AB346" s="30" t="b">
        <v>0</v>
      </c>
      <c r="AC346" s="30"/>
      <c r="AD346" s="30" t="b">
        <v>1</v>
      </c>
      <c r="AE346" s="30">
        <v>0</v>
      </c>
      <c r="AF346" s="30" t="b">
        <v>0</v>
      </c>
      <c r="AH346" s="32" t="s">
        <v>91</v>
      </c>
      <c r="AI346" s="32"/>
      <c r="AJ346" s="32"/>
      <c r="AK346" s="32"/>
      <c r="AL346" s="30" t="s">
        <v>92</v>
      </c>
      <c r="AM346" s="30" t="s">
        <v>141</v>
      </c>
      <c r="AN346" s="30" t="s">
        <v>94</v>
      </c>
      <c r="AO346" s="30" t="s">
        <v>142</v>
      </c>
      <c r="AP346" s="30" t="s">
        <v>143</v>
      </c>
      <c r="AQ346" s="30" t="s">
        <v>232</v>
      </c>
      <c r="AR346" s="30" t="s">
        <v>97</v>
      </c>
      <c r="AS346" s="30" t="s">
        <v>98</v>
      </c>
      <c r="AT346" s="30" t="s">
        <v>217</v>
      </c>
      <c r="AU346" s="30" t="s">
        <v>218</v>
      </c>
      <c r="AV346" s="30" t="s">
        <v>1153</v>
      </c>
      <c r="AW346" s="30" t="s">
        <v>220</v>
      </c>
      <c r="AX346" s="34" t="s">
        <v>1039</v>
      </c>
      <c r="AY346" s="34" t="s">
        <v>778</v>
      </c>
      <c r="AZ346" s="34"/>
      <c r="BA346" s="34"/>
      <c r="BB346" s="34"/>
      <c r="BC346" s="34">
        <v>0</v>
      </c>
      <c r="BD346" s="34"/>
      <c r="BE346" s="34"/>
      <c r="BF346" s="34" t="b">
        <v>1</v>
      </c>
      <c r="BG346" s="34" t="s">
        <v>1042</v>
      </c>
      <c r="BH346" s="34"/>
      <c r="BI346" s="34"/>
      <c r="BJ346" s="34"/>
      <c r="BK346" s="34"/>
      <c r="BL346" s="34"/>
      <c r="BM346" s="34" t="s">
        <v>168</v>
      </c>
      <c r="BN346" s="34"/>
      <c r="BO346" s="35"/>
      <c r="BP346" s="35"/>
      <c r="BQ346" s="35" t="s">
        <v>108</v>
      </c>
      <c r="BR346" s="36" t="e">
        <f>VLOOKUP(BQ346, Cat_Indicadores!B:C, 2, FALSE)</f>
        <v>#N/A</v>
      </c>
      <c r="BS346" s="35" t="s">
        <v>5592</v>
      </c>
      <c r="BT346" s="35"/>
    </row>
    <row r="347" spans="1:72">
      <c r="A347" s="29" t="s">
        <v>1484</v>
      </c>
      <c r="B347" s="30" t="s">
        <v>1485</v>
      </c>
      <c r="C347" s="31">
        <v>46273.42114583333</v>
      </c>
      <c r="D347" s="30">
        <v>92</v>
      </c>
      <c r="E347" s="30" t="s">
        <v>74</v>
      </c>
      <c r="F347" s="30" t="s">
        <v>75</v>
      </c>
      <c r="G347" s="30" t="s">
        <v>133</v>
      </c>
      <c r="H347" s="30" t="s">
        <v>77</v>
      </c>
      <c r="I347" s="30" t="s">
        <v>78</v>
      </c>
      <c r="J347" s="30" t="s">
        <v>79</v>
      </c>
      <c r="K347" s="32">
        <v>800</v>
      </c>
      <c r="L347" s="32" t="s">
        <v>211</v>
      </c>
      <c r="M347" s="30" t="s">
        <v>1486</v>
      </c>
      <c r="N347" s="30" t="s">
        <v>1483</v>
      </c>
      <c r="O347" s="30" t="s">
        <v>661</v>
      </c>
      <c r="P347" s="33">
        <v>46176</v>
      </c>
      <c r="Q347" s="33">
        <v>46259</v>
      </c>
      <c r="R347" s="32">
        <v>1</v>
      </c>
      <c r="S347" s="30" t="s">
        <v>194</v>
      </c>
      <c r="T347" s="30" t="s">
        <v>307</v>
      </c>
      <c r="U347" s="30" t="s">
        <v>1039</v>
      </c>
      <c r="V347" s="30" t="s">
        <v>1040</v>
      </c>
      <c r="W347" s="30" t="s">
        <v>1041</v>
      </c>
      <c r="X347" s="30" t="s">
        <v>197</v>
      </c>
      <c r="Y347" s="30" t="s">
        <v>1046</v>
      </c>
      <c r="AB347" s="30" t="b">
        <v>0</v>
      </c>
      <c r="AC347" s="30"/>
      <c r="AD347" s="30" t="b">
        <v>1</v>
      </c>
      <c r="AF347" s="30" t="b">
        <v>0</v>
      </c>
      <c r="AH347" s="32" t="s">
        <v>91</v>
      </c>
      <c r="AI347" s="32"/>
      <c r="AJ347" s="32"/>
      <c r="AK347" s="32"/>
      <c r="AL347" s="30" t="s">
        <v>92</v>
      </c>
      <c r="AM347" s="30" t="s">
        <v>141</v>
      </c>
      <c r="AN347" s="30" t="s">
        <v>94</v>
      </c>
      <c r="AO347" s="30" t="s">
        <v>142</v>
      </c>
      <c r="AP347" s="30" t="s">
        <v>143</v>
      </c>
      <c r="AQ347" s="30" t="s">
        <v>232</v>
      </c>
      <c r="AR347" s="30" t="s">
        <v>97</v>
      </c>
      <c r="AS347" s="30" t="s">
        <v>98</v>
      </c>
      <c r="AT347" s="30" t="s">
        <v>217</v>
      </c>
      <c r="AU347" s="30" t="s">
        <v>218</v>
      </c>
      <c r="AV347" s="30" t="s">
        <v>1153</v>
      </c>
      <c r="AW347" s="30" t="s">
        <v>220</v>
      </c>
      <c r="AX347" s="34" t="s">
        <v>1039</v>
      </c>
      <c r="AY347" s="34" t="s">
        <v>778</v>
      </c>
      <c r="AZ347" s="34"/>
      <c r="BA347" s="34"/>
      <c r="BB347" s="34"/>
      <c r="BC347" s="34">
        <v>0</v>
      </c>
      <c r="BD347" s="34"/>
      <c r="BE347" s="34"/>
      <c r="BF347" s="34" t="b">
        <v>1</v>
      </c>
      <c r="BG347" s="34" t="s">
        <v>1042</v>
      </c>
      <c r="BH347" s="34"/>
      <c r="BI347" s="34"/>
      <c r="BJ347" s="34"/>
      <c r="BK347" s="34"/>
      <c r="BL347" s="34"/>
      <c r="BM347" s="34" t="s">
        <v>168</v>
      </c>
      <c r="BN347" s="34"/>
      <c r="BO347" s="35"/>
      <c r="BP347" s="35"/>
      <c r="BQ347" s="35" t="s">
        <v>108</v>
      </c>
      <c r="BR347" s="36" t="e">
        <f>VLOOKUP(BQ347, Cat_Indicadores!B:C, 2, FALSE)</f>
        <v>#N/A</v>
      </c>
      <c r="BS347" s="35" t="s">
        <v>5592</v>
      </c>
      <c r="BT347" s="35"/>
    </row>
    <row r="348" spans="1:72">
      <c r="A348" s="29" t="s">
        <v>1487</v>
      </c>
      <c r="B348" s="30" t="s">
        <v>1488</v>
      </c>
      <c r="C348" s="31">
        <v>46273.466365740744</v>
      </c>
      <c r="D348" s="30">
        <v>93</v>
      </c>
      <c r="E348" s="30" t="s">
        <v>74</v>
      </c>
      <c r="F348" s="30" t="s">
        <v>75</v>
      </c>
      <c r="G348" s="30" t="s">
        <v>595</v>
      </c>
      <c r="H348" s="30" t="s">
        <v>77</v>
      </c>
      <c r="I348" s="30" t="s">
        <v>78</v>
      </c>
      <c r="J348" s="30" t="s">
        <v>79</v>
      </c>
      <c r="K348" s="32">
        <v>10</v>
      </c>
      <c r="L348" s="32" t="s">
        <v>211</v>
      </c>
      <c r="M348" s="30" t="s">
        <v>1489</v>
      </c>
      <c r="N348" s="30" t="s">
        <v>1490</v>
      </c>
      <c r="O348" s="30" t="s">
        <v>661</v>
      </c>
      <c r="P348" s="33">
        <v>46241</v>
      </c>
      <c r="Q348" s="33">
        <v>46264</v>
      </c>
      <c r="R348" s="32">
        <v>1</v>
      </c>
      <c r="S348" s="30" t="s">
        <v>243</v>
      </c>
      <c r="T348" s="30" t="s">
        <v>662</v>
      </c>
      <c r="U348" s="30" t="s">
        <v>216</v>
      </c>
      <c r="V348" s="30" t="s">
        <v>87</v>
      </c>
      <c r="W348" s="30" t="s">
        <v>88</v>
      </c>
      <c r="X348" s="30" t="s">
        <v>89</v>
      </c>
      <c r="Z348" s="30" t="s">
        <v>1491</v>
      </c>
      <c r="AB348" s="30" t="b">
        <v>0</v>
      </c>
      <c r="AC348" s="30"/>
      <c r="AD348" s="30" t="b">
        <v>1</v>
      </c>
      <c r="AF348" s="30" t="b">
        <v>0</v>
      </c>
      <c r="AH348" s="32" t="s">
        <v>91</v>
      </c>
      <c r="AI348" s="32"/>
      <c r="AJ348" s="32"/>
      <c r="AK348" s="32"/>
      <c r="AL348" s="30" t="s">
        <v>92</v>
      </c>
      <c r="AM348" s="30" t="s">
        <v>664</v>
      </c>
      <c r="AN348" s="30" t="s">
        <v>94</v>
      </c>
      <c r="AO348" s="30" t="s">
        <v>142</v>
      </c>
      <c r="AP348" s="30" t="s">
        <v>143</v>
      </c>
      <c r="AQ348" s="30" t="s">
        <v>144</v>
      </c>
      <c r="AR348" s="30" t="s">
        <v>97</v>
      </c>
      <c r="AS348" s="30" t="s">
        <v>98</v>
      </c>
      <c r="AT348" s="30" t="s">
        <v>99</v>
      </c>
      <c r="AU348" s="30" t="s">
        <v>100</v>
      </c>
      <c r="AV348" s="30" t="s">
        <v>665</v>
      </c>
      <c r="AW348" s="30" t="s">
        <v>102</v>
      </c>
      <c r="AX348" s="34" t="s">
        <v>1159</v>
      </c>
      <c r="AY348" s="34" t="s">
        <v>167</v>
      </c>
      <c r="AZ348" s="34"/>
      <c r="BA348" s="34"/>
      <c r="BB348" s="34"/>
      <c r="BC348" s="34">
        <v>0</v>
      </c>
      <c r="BD348" s="34"/>
      <c r="BE348" s="34"/>
      <c r="BF348" s="34" t="b">
        <v>1</v>
      </c>
      <c r="BG348" s="34" t="s">
        <v>104</v>
      </c>
      <c r="BH348" s="34"/>
      <c r="BI348" s="34"/>
      <c r="BJ348" s="34"/>
      <c r="BK348" s="34"/>
      <c r="BL348" s="34"/>
      <c r="BM348" s="34" t="s">
        <v>106</v>
      </c>
      <c r="BN348" s="34" t="s">
        <v>107</v>
      </c>
      <c r="BO348" s="35"/>
      <c r="BP348" s="35"/>
      <c r="BQ348" s="35" t="s">
        <v>108</v>
      </c>
      <c r="BR348" s="36" t="e">
        <f>VLOOKUP(BQ348, Cat_Indicadores!B:C, 2, FALSE)</f>
        <v>#N/A</v>
      </c>
      <c r="BS348" s="35" t="s">
        <v>5592</v>
      </c>
      <c r="BT348" s="35"/>
    </row>
    <row r="349" spans="1:72">
      <c r="A349" s="29" t="s">
        <v>1492</v>
      </c>
      <c r="B349" s="30" t="s">
        <v>1493</v>
      </c>
      <c r="C349" s="31">
        <v>46273.478171296294</v>
      </c>
      <c r="D349" s="30">
        <v>93</v>
      </c>
      <c r="E349" s="30" t="s">
        <v>74</v>
      </c>
      <c r="F349" s="30" t="s">
        <v>75</v>
      </c>
      <c r="G349" s="30" t="s">
        <v>595</v>
      </c>
      <c r="H349" s="30" t="s">
        <v>77</v>
      </c>
      <c r="I349" s="30" t="s">
        <v>78</v>
      </c>
      <c r="J349" s="30" t="s">
        <v>79</v>
      </c>
      <c r="K349" s="32">
        <v>10</v>
      </c>
      <c r="L349" s="32" t="s">
        <v>211</v>
      </c>
      <c r="M349" s="30" t="s">
        <v>1494</v>
      </c>
      <c r="N349" s="30" t="s">
        <v>1495</v>
      </c>
      <c r="O349" s="30" t="s">
        <v>661</v>
      </c>
      <c r="P349" s="33">
        <v>46242</v>
      </c>
      <c r="Q349" s="33">
        <v>46264</v>
      </c>
      <c r="R349" s="32">
        <v>1</v>
      </c>
      <c r="S349" s="30" t="s">
        <v>243</v>
      </c>
      <c r="T349" s="30" t="s">
        <v>662</v>
      </c>
      <c r="U349" s="30" t="s">
        <v>216</v>
      </c>
      <c r="V349" s="30" t="s">
        <v>87</v>
      </c>
      <c r="W349" s="30" t="s">
        <v>88</v>
      </c>
      <c r="X349" s="30" t="s">
        <v>89</v>
      </c>
      <c r="Z349" s="30" t="s">
        <v>1430</v>
      </c>
      <c r="AB349" s="30" t="b">
        <v>0</v>
      </c>
      <c r="AC349" s="30"/>
      <c r="AD349" s="30" t="b">
        <v>1</v>
      </c>
      <c r="AF349" s="30" t="b">
        <v>0</v>
      </c>
      <c r="AH349" s="32" t="s">
        <v>91</v>
      </c>
      <c r="AI349" s="32"/>
      <c r="AJ349" s="32"/>
      <c r="AK349" s="32"/>
      <c r="AL349" s="30" t="s">
        <v>92</v>
      </c>
      <c r="AM349" s="30" t="s">
        <v>664</v>
      </c>
      <c r="AN349" s="30" t="s">
        <v>94</v>
      </c>
      <c r="AO349" s="30" t="s">
        <v>142</v>
      </c>
      <c r="AP349" s="30" t="s">
        <v>143</v>
      </c>
      <c r="AQ349" s="30" t="s">
        <v>144</v>
      </c>
      <c r="AR349" s="30" t="s">
        <v>97</v>
      </c>
      <c r="AS349" s="30" t="s">
        <v>98</v>
      </c>
      <c r="AT349" s="30" t="s">
        <v>99</v>
      </c>
      <c r="AU349" s="30" t="s">
        <v>100</v>
      </c>
      <c r="AV349" s="30" t="s">
        <v>665</v>
      </c>
      <c r="AW349" s="30" t="s">
        <v>102</v>
      </c>
      <c r="AX349" s="34" t="s">
        <v>1159</v>
      </c>
      <c r="AY349" s="34" t="s">
        <v>167</v>
      </c>
      <c r="AZ349" s="34"/>
      <c r="BA349" s="34"/>
      <c r="BB349" s="34"/>
      <c r="BC349" s="34">
        <v>0</v>
      </c>
      <c r="BD349" s="34"/>
      <c r="BE349" s="34"/>
      <c r="BF349" s="34" t="b">
        <v>1</v>
      </c>
      <c r="BG349" s="34" t="s">
        <v>104</v>
      </c>
      <c r="BH349" s="34"/>
      <c r="BI349" s="34"/>
      <c r="BJ349" s="34"/>
      <c r="BK349" s="34"/>
      <c r="BL349" s="34"/>
      <c r="BM349" s="34" t="s">
        <v>106</v>
      </c>
      <c r="BN349" s="34" t="s">
        <v>107</v>
      </c>
      <c r="BO349" s="35"/>
      <c r="BP349" s="35"/>
      <c r="BQ349" s="35" t="s">
        <v>108</v>
      </c>
      <c r="BR349" s="36" t="e">
        <f>VLOOKUP(BQ349, Cat_Indicadores!B:C, 2, FALSE)</f>
        <v>#N/A</v>
      </c>
      <c r="BS349" s="35" t="s">
        <v>5592</v>
      </c>
      <c r="BT349" s="35"/>
    </row>
    <row r="350" spans="1:72">
      <c r="A350" s="29" t="s">
        <v>1496</v>
      </c>
      <c r="B350" s="30" t="s">
        <v>1497</v>
      </c>
      <c r="C350" s="31">
        <v>46273.585428240738</v>
      </c>
      <c r="D350" s="30">
        <v>92</v>
      </c>
      <c r="E350" s="30" t="s">
        <v>74</v>
      </c>
      <c r="F350" s="30" t="s">
        <v>75</v>
      </c>
      <c r="G350" s="30" t="s">
        <v>133</v>
      </c>
      <c r="H350" s="30" t="s">
        <v>77</v>
      </c>
      <c r="I350" s="30" t="s">
        <v>78</v>
      </c>
      <c r="J350" s="30" t="s">
        <v>79</v>
      </c>
      <c r="K350" s="32">
        <v>800</v>
      </c>
      <c r="L350" s="32" t="s">
        <v>211</v>
      </c>
      <c r="M350" s="30" t="s">
        <v>1460</v>
      </c>
      <c r="N350" s="30" t="s">
        <v>1461</v>
      </c>
      <c r="O350" s="30" t="s">
        <v>83</v>
      </c>
      <c r="P350" s="33">
        <v>46249</v>
      </c>
      <c r="Q350" s="33">
        <v>46249</v>
      </c>
      <c r="R350" s="32">
        <v>1</v>
      </c>
      <c r="S350" s="30" t="s">
        <v>84</v>
      </c>
      <c r="T350" s="30" t="s">
        <v>337</v>
      </c>
      <c r="U350" s="30" t="s">
        <v>86</v>
      </c>
      <c r="V350" s="30" t="s">
        <v>87</v>
      </c>
      <c r="W350" s="30" t="s">
        <v>88</v>
      </c>
      <c r="X350" s="30" t="s">
        <v>197</v>
      </c>
      <c r="Y350" s="30" t="s">
        <v>1288</v>
      </c>
      <c r="AB350" s="30" t="b">
        <v>0</v>
      </c>
      <c r="AC350" s="30"/>
      <c r="AD350" s="30" t="b">
        <v>0</v>
      </c>
      <c r="AF350" s="30" t="b">
        <v>0</v>
      </c>
      <c r="AH350" s="32" t="s">
        <v>91</v>
      </c>
      <c r="AI350" s="32"/>
      <c r="AJ350" s="32"/>
      <c r="AK350" s="32"/>
      <c r="AL350" s="30" t="s">
        <v>92</v>
      </c>
      <c r="AM350" s="30" t="s">
        <v>93</v>
      </c>
      <c r="AN350" s="30" t="s">
        <v>199</v>
      </c>
      <c r="AO350" s="30" t="s">
        <v>200</v>
      </c>
      <c r="AP350" s="30" t="s">
        <v>201</v>
      </c>
      <c r="AQ350" s="30" t="s">
        <v>202</v>
      </c>
      <c r="AR350" s="30" t="s">
        <v>145</v>
      </c>
      <c r="AT350" s="30" t="s">
        <v>99</v>
      </c>
      <c r="AU350" s="30" t="s">
        <v>100</v>
      </c>
      <c r="AV350" s="30" t="s">
        <v>101</v>
      </c>
      <c r="AW350" s="30" t="s">
        <v>102</v>
      </c>
      <c r="AX350" s="34" t="s">
        <v>86</v>
      </c>
      <c r="AY350" s="34" t="s">
        <v>149</v>
      </c>
      <c r="AZ350" s="34"/>
      <c r="BA350" s="34"/>
      <c r="BB350" s="34"/>
      <c r="BC350" s="34">
        <v>0</v>
      </c>
      <c r="BD350" s="34"/>
      <c r="BE350" s="34"/>
      <c r="BF350" s="34" t="b">
        <v>0</v>
      </c>
      <c r="BG350" s="34"/>
      <c r="BH350" s="34"/>
      <c r="BI350" s="34"/>
      <c r="BJ350" s="34"/>
      <c r="BK350" s="34"/>
      <c r="BL350" s="34"/>
      <c r="BM350" s="34" t="s">
        <v>168</v>
      </c>
      <c r="BN350" s="34"/>
      <c r="BO350" s="35"/>
      <c r="BP350" s="35"/>
      <c r="BQ350" s="35" t="s">
        <v>108</v>
      </c>
      <c r="BR350" s="36" t="e">
        <f>VLOOKUP(BQ350, Cat_Indicadores!B:C, 2, FALSE)</f>
        <v>#N/A</v>
      </c>
      <c r="BS350" s="35" t="s">
        <v>5592</v>
      </c>
      <c r="BT350" s="35"/>
    </row>
    <row r="351" spans="1:72">
      <c r="A351" s="29" t="s">
        <v>1498</v>
      </c>
      <c r="B351" s="30" t="s">
        <v>1499</v>
      </c>
      <c r="C351" s="31">
        <v>46273.589236111111</v>
      </c>
      <c r="D351" s="30">
        <v>92</v>
      </c>
      <c r="E351" s="30" t="s">
        <v>74</v>
      </c>
      <c r="F351" s="30" t="s">
        <v>75</v>
      </c>
      <c r="G351" s="30" t="s">
        <v>133</v>
      </c>
      <c r="H351" s="30" t="s">
        <v>77</v>
      </c>
      <c r="I351" s="30" t="s">
        <v>78</v>
      </c>
      <c r="J351" s="30" t="s">
        <v>79</v>
      </c>
      <c r="K351" s="32">
        <v>800</v>
      </c>
      <c r="L351" s="32" t="s">
        <v>211</v>
      </c>
      <c r="M351" s="30" t="s">
        <v>1460</v>
      </c>
      <c r="N351" s="30" t="s">
        <v>1461</v>
      </c>
      <c r="O351" s="30" t="s">
        <v>83</v>
      </c>
      <c r="P351" s="33">
        <v>46250</v>
      </c>
      <c r="Q351" s="33">
        <v>46250</v>
      </c>
      <c r="R351" s="32">
        <v>1</v>
      </c>
      <c r="S351" s="30" t="s">
        <v>84</v>
      </c>
      <c r="T351" s="30" t="s">
        <v>337</v>
      </c>
      <c r="U351" s="30" t="s">
        <v>86</v>
      </c>
      <c r="V351" s="30" t="s">
        <v>87</v>
      </c>
      <c r="W351" s="30" t="s">
        <v>88</v>
      </c>
      <c r="X351" s="30" t="s">
        <v>197</v>
      </c>
      <c r="Y351" s="30" t="s">
        <v>1288</v>
      </c>
      <c r="AB351" s="30" t="b">
        <v>0</v>
      </c>
      <c r="AC351" s="30"/>
      <c r="AD351" s="30" t="b">
        <v>0</v>
      </c>
      <c r="AF351" s="30" t="b">
        <v>0</v>
      </c>
      <c r="AH351" s="32" t="s">
        <v>91</v>
      </c>
      <c r="AI351" s="32"/>
      <c r="AJ351" s="32"/>
      <c r="AK351" s="32"/>
      <c r="AL351" s="30" t="s">
        <v>92</v>
      </c>
      <c r="AM351" s="30" t="s">
        <v>93</v>
      </c>
      <c r="AN351" s="30" t="s">
        <v>199</v>
      </c>
      <c r="AO351" s="30" t="s">
        <v>200</v>
      </c>
      <c r="AP351" s="30" t="s">
        <v>201</v>
      </c>
      <c r="AQ351" s="30" t="s">
        <v>202</v>
      </c>
      <c r="AR351" s="30" t="s">
        <v>145</v>
      </c>
      <c r="AT351" s="30" t="s">
        <v>99</v>
      </c>
      <c r="AU351" s="30" t="s">
        <v>100</v>
      </c>
      <c r="AV351" s="30" t="s">
        <v>101</v>
      </c>
      <c r="AW351" s="30" t="s">
        <v>102</v>
      </c>
      <c r="AX351" s="34" t="s">
        <v>86</v>
      </c>
      <c r="AY351" s="34" t="s">
        <v>149</v>
      </c>
      <c r="AZ351" s="34"/>
      <c r="BA351" s="34"/>
      <c r="BB351" s="34"/>
      <c r="BC351" s="34">
        <v>0</v>
      </c>
      <c r="BD351" s="34"/>
      <c r="BE351" s="34"/>
      <c r="BF351" s="34" t="b">
        <v>0</v>
      </c>
      <c r="BG351" s="34"/>
      <c r="BH351" s="34"/>
      <c r="BI351" s="34"/>
      <c r="BJ351" s="34"/>
      <c r="BK351" s="34"/>
      <c r="BL351" s="34"/>
      <c r="BM351" s="34" t="s">
        <v>168</v>
      </c>
      <c r="BN351" s="34"/>
      <c r="BO351" s="35"/>
      <c r="BP351" s="35"/>
      <c r="BQ351" s="35" t="s">
        <v>108</v>
      </c>
      <c r="BR351" s="36" t="e">
        <f>VLOOKUP(BQ351, Cat_Indicadores!B:C, 2, FALSE)</f>
        <v>#N/A</v>
      </c>
      <c r="BS351" s="35" t="s">
        <v>5592</v>
      </c>
      <c r="BT351" s="35"/>
    </row>
    <row r="352" spans="1:72">
      <c r="A352" s="29" t="s">
        <v>1500</v>
      </c>
      <c r="B352" s="30" t="s">
        <v>1501</v>
      </c>
      <c r="C352" s="31">
        <v>46273.593541666669</v>
      </c>
      <c r="D352" s="30">
        <v>92</v>
      </c>
      <c r="E352" s="30" t="s">
        <v>74</v>
      </c>
      <c r="F352" s="30" t="s">
        <v>75</v>
      </c>
      <c r="G352" s="30" t="s">
        <v>133</v>
      </c>
      <c r="H352" s="30" t="s">
        <v>77</v>
      </c>
      <c r="I352" s="30" t="s">
        <v>78</v>
      </c>
      <c r="J352" s="30" t="s">
        <v>79</v>
      </c>
      <c r="K352" s="32">
        <v>800</v>
      </c>
      <c r="L352" s="32" t="s">
        <v>211</v>
      </c>
      <c r="M352" s="30" t="s">
        <v>1502</v>
      </c>
      <c r="N352" s="30" t="s">
        <v>1503</v>
      </c>
      <c r="O352" s="30" t="s">
        <v>83</v>
      </c>
      <c r="P352" s="33">
        <v>46250</v>
      </c>
      <c r="Q352" s="33">
        <v>46250</v>
      </c>
      <c r="R352" s="32">
        <v>1</v>
      </c>
      <c r="S352" s="30" t="s">
        <v>84</v>
      </c>
      <c r="T352" s="30" t="s">
        <v>337</v>
      </c>
      <c r="U352" s="30" t="s">
        <v>1504</v>
      </c>
      <c r="V352" s="30" t="s">
        <v>87</v>
      </c>
      <c r="W352" s="30" t="s">
        <v>88</v>
      </c>
      <c r="X352" s="30" t="s">
        <v>89</v>
      </c>
      <c r="Z352" s="30" t="s">
        <v>1505</v>
      </c>
      <c r="AB352" s="30" t="b">
        <v>0</v>
      </c>
      <c r="AC352" s="30"/>
      <c r="AD352" s="30" t="b">
        <v>0</v>
      </c>
      <c r="AF352" s="30" t="b">
        <v>0</v>
      </c>
      <c r="AH352" s="32" t="s">
        <v>91</v>
      </c>
      <c r="AI352" s="32"/>
      <c r="AJ352" s="32"/>
      <c r="AK352" s="32"/>
      <c r="AL352" s="30" t="s">
        <v>92</v>
      </c>
      <c r="AM352" s="30" t="s">
        <v>93</v>
      </c>
      <c r="AN352" s="30" t="s">
        <v>199</v>
      </c>
      <c r="AO352" s="30" t="s">
        <v>200</v>
      </c>
      <c r="AP352" s="30" t="s">
        <v>201</v>
      </c>
      <c r="AQ352" s="30" t="s">
        <v>202</v>
      </c>
      <c r="AR352" s="30" t="s">
        <v>145</v>
      </c>
      <c r="AT352" s="30" t="s">
        <v>99</v>
      </c>
      <c r="AU352" s="30" t="s">
        <v>100</v>
      </c>
      <c r="AV352" s="30" t="s">
        <v>101</v>
      </c>
      <c r="AW352" s="30" t="s">
        <v>102</v>
      </c>
      <c r="AX352" s="34" t="s">
        <v>1506</v>
      </c>
      <c r="AY352" s="34" t="s">
        <v>149</v>
      </c>
      <c r="AZ352" s="34"/>
      <c r="BA352" s="34"/>
      <c r="BB352" s="34"/>
      <c r="BC352" s="34">
        <v>0</v>
      </c>
      <c r="BD352" s="34"/>
      <c r="BE352" s="34"/>
      <c r="BF352" s="34" t="b">
        <v>0</v>
      </c>
      <c r="BG352" s="34"/>
      <c r="BH352" s="34"/>
      <c r="BI352" s="34"/>
      <c r="BJ352" s="34"/>
      <c r="BK352" s="34"/>
      <c r="BL352" s="34"/>
      <c r="BM352" s="34" t="s">
        <v>168</v>
      </c>
      <c r="BN352" s="34"/>
      <c r="BO352" s="35"/>
      <c r="BP352" s="35"/>
      <c r="BQ352" s="35" t="s">
        <v>108</v>
      </c>
      <c r="BR352" s="36" t="e">
        <f>VLOOKUP(BQ352, Cat_Indicadores!B:C, 2, FALSE)</f>
        <v>#N/A</v>
      </c>
      <c r="BS352" s="35" t="s">
        <v>5592</v>
      </c>
      <c r="BT352" s="35"/>
    </row>
    <row r="353" spans="1:72">
      <c r="A353" s="29" t="s">
        <v>1507</v>
      </c>
      <c r="B353" s="30" t="s">
        <v>1508</v>
      </c>
      <c r="C353" s="31">
        <v>46273.630173611113</v>
      </c>
      <c r="D353" s="30">
        <v>92</v>
      </c>
      <c r="E353" s="30" t="s">
        <v>74</v>
      </c>
      <c r="F353" s="30" t="s">
        <v>75</v>
      </c>
      <c r="G353" s="30" t="s">
        <v>133</v>
      </c>
      <c r="H353" s="30" t="s">
        <v>77</v>
      </c>
      <c r="I353" s="30" t="s">
        <v>78</v>
      </c>
      <c r="J353" s="30" t="s">
        <v>79</v>
      </c>
      <c r="K353" s="32">
        <v>800</v>
      </c>
      <c r="L353" s="32" t="s">
        <v>211</v>
      </c>
      <c r="M353" s="30" t="s">
        <v>1509</v>
      </c>
      <c r="N353" s="30" t="s">
        <v>1510</v>
      </c>
      <c r="O353" s="30" t="s">
        <v>83</v>
      </c>
      <c r="P353" s="33">
        <v>46254</v>
      </c>
      <c r="Q353" s="33">
        <v>46254</v>
      </c>
      <c r="R353" s="32">
        <v>1</v>
      </c>
      <c r="S353" s="30" t="s">
        <v>84</v>
      </c>
      <c r="T353" s="30" t="s">
        <v>337</v>
      </c>
      <c r="U353" s="30" t="s">
        <v>216</v>
      </c>
      <c r="V353" s="30" t="s">
        <v>87</v>
      </c>
      <c r="W353" s="30" t="s">
        <v>88</v>
      </c>
      <c r="X353" s="30" t="s">
        <v>197</v>
      </c>
      <c r="Y353" s="30" t="s">
        <v>1282</v>
      </c>
      <c r="AB353" s="30" t="b">
        <v>0</v>
      </c>
      <c r="AC353" s="30"/>
      <c r="AD353" s="30" t="b">
        <v>0</v>
      </c>
      <c r="AF353" s="30" t="b">
        <v>0</v>
      </c>
      <c r="AH353" s="32" t="s">
        <v>91</v>
      </c>
      <c r="AI353" s="32"/>
      <c r="AJ353" s="32"/>
      <c r="AK353" s="32"/>
      <c r="AL353" s="30" t="s">
        <v>92</v>
      </c>
      <c r="AM353" s="30" t="s">
        <v>93</v>
      </c>
      <c r="AN353" s="30" t="s">
        <v>199</v>
      </c>
      <c r="AO353" s="30" t="s">
        <v>200</v>
      </c>
      <c r="AP353" s="30" t="s">
        <v>201</v>
      </c>
      <c r="AQ353" s="30" t="s">
        <v>202</v>
      </c>
      <c r="AR353" s="30" t="s">
        <v>145</v>
      </c>
      <c r="AT353" s="30" t="s">
        <v>99</v>
      </c>
      <c r="AU353" s="30" t="s">
        <v>100</v>
      </c>
      <c r="AV353" s="30" t="s">
        <v>101</v>
      </c>
      <c r="AW353" s="30" t="s">
        <v>102</v>
      </c>
      <c r="AX353" s="34" t="s">
        <v>221</v>
      </c>
      <c r="AY353" s="34" t="s">
        <v>149</v>
      </c>
      <c r="AZ353" s="34"/>
      <c r="BA353" s="34"/>
      <c r="BB353" s="34"/>
      <c r="BC353" s="34">
        <v>0</v>
      </c>
      <c r="BD353" s="34"/>
      <c r="BE353" s="34"/>
      <c r="BF353" s="34" t="b">
        <v>0</v>
      </c>
      <c r="BG353" s="34"/>
      <c r="BH353" s="34"/>
      <c r="BI353" s="34"/>
      <c r="BJ353" s="34"/>
      <c r="BK353" s="34"/>
      <c r="BL353" s="34"/>
      <c r="BM353" s="34" t="s">
        <v>168</v>
      </c>
      <c r="BN353" s="34"/>
      <c r="BO353" s="35"/>
      <c r="BP353" s="35"/>
      <c r="BQ353" s="35" t="s">
        <v>108</v>
      </c>
      <c r="BR353" s="36" t="e">
        <f>VLOOKUP(BQ353, Cat_Indicadores!B:C, 2, FALSE)</f>
        <v>#N/A</v>
      </c>
      <c r="BS353" s="35" t="s">
        <v>5592</v>
      </c>
      <c r="BT353" s="35"/>
    </row>
    <row r="354" spans="1:72">
      <c r="A354" s="29" t="s">
        <v>1511</v>
      </c>
      <c r="B354" s="30" t="s">
        <v>1512</v>
      </c>
      <c r="C354" s="31">
        <v>46273.670914351853</v>
      </c>
      <c r="D354" s="30">
        <v>92</v>
      </c>
      <c r="E354" s="30" t="s">
        <v>74</v>
      </c>
      <c r="F354" s="30" t="s">
        <v>75</v>
      </c>
      <c r="G354" s="30" t="s">
        <v>133</v>
      </c>
      <c r="H354" s="30" t="s">
        <v>77</v>
      </c>
      <c r="I354" s="30" t="s">
        <v>78</v>
      </c>
      <c r="J354" s="30" t="s">
        <v>79</v>
      </c>
      <c r="K354" s="32">
        <v>800</v>
      </c>
      <c r="L354" s="32" t="s">
        <v>211</v>
      </c>
      <c r="M354" s="30" t="s">
        <v>1513</v>
      </c>
      <c r="N354" s="30" t="s">
        <v>1514</v>
      </c>
      <c r="O354" s="30" t="s">
        <v>83</v>
      </c>
      <c r="P354" s="33">
        <v>46255</v>
      </c>
      <c r="Q354" s="33">
        <v>46255</v>
      </c>
      <c r="R354" s="32">
        <v>1</v>
      </c>
      <c r="S354" s="30" t="s">
        <v>84</v>
      </c>
      <c r="T354" s="30" t="s">
        <v>337</v>
      </c>
      <c r="U354" s="30" t="s">
        <v>216</v>
      </c>
      <c r="V354" s="30" t="s">
        <v>87</v>
      </c>
      <c r="W354" s="30" t="s">
        <v>88</v>
      </c>
      <c r="X354" s="30" t="s">
        <v>197</v>
      </c>
      <c r="Y354" s="30" t="s">
        <v>1275</v>
      </c>
      <c r="AB354" s="30" t="b">
        <v>0</v>
      </c>
      <c r="AC354" s="30"/>
      <c r="AD354" s="30" t="b">
        <v>0</v>
      </c>
      <c r="AF354" s="30" t="b">
        <v>0</v>
      </c>
      <c r="AH354" s="32" t="s">
        <v>91</v>
      </c>
      <c r="AI354" s="32"/>
      <c r="AJ354" s="32"/>
      <c r="AK354" s="32"/>
      <c r="AL354" s="30" t="s">
        <v>92</v>
      </c>
      <c r="AM354" s="30" t="s">
        <v>93</v>
      </c>
      <c r="AN354" s="30" t="s">
        <v>199</v>
      </c>
      <c r="AO354" s="30" t="s">
        <v>200</v>
      </c>
      <c r="AP354" s="30" t="s">
        <v>201</v>
      </c>
      <c r="AQ354" s="30" t="s">
        <v>202</v>
      </c>
      <c r="AR354" s="30" t="s">
        <v>145</v>
      </c>
      <c r="AT354" s="30" t="s">
        <v>99</v>
      </c>
      <c r="AU354" s="30" t="s">
        <v>100</v>
      </c>
      <c r="AV354" s="30" t="s">
        <v>101</v>
      </c>
      <c r="AW354" s="30" t="s">
        <v>102</v>
      </c>
      <c r="AX354" s="34" t="s">
        <v>221</v>
      </c>
      <c r="AY354" s="34" t="s">
        <v>149</v>
      </c>
      <c r="AZ354" s="34"/>
      <c r="BA354" s="34"/>
      <c r="BB354" s="34"/>
      <c r="BC354" s="34">
        <v>0</v>
      </c>
      <c r="BD354" s="34"/>
      <c r="BE354" s="34"/>
      <c r="BF354" s="34" t="b">
        <v>0</v>
      </c>
      <c r="BG354" s="34"/>
      <c r="BH354" s="34"/>
      <c r="BI354" s="34"/>
      <c r="BJ354" s="34"/>
      <c r="BK354" s="34"/>
      <c r="BL354" s="34"/>
      <c r="BM354" s="34" t="s">
        <v>168</v>
      </c>
      <c r="BN354" s="34"/>
      <c r="BO354" s="35"/>
      <c r="BP354" s="35"/>
      <c r="BQ354" s="35" t="s">
        <v>108</v>
      </c>
      <c r="BR354" s="36" t="e">
        <f>VLOOKUP(BQ354, Cat_Indicadores!B:C, 2, FALSE)</f>
        <v>#N/A</v>
      </c>
      <c r="BS354" s="35" t="s">
        <v>5592</v>
      </c>
      <c r="BT354" s="35"/>
    </row>
    <row r="355" spans="1:72">
      <c r="A355" s="29" t="s">
        <v>1515</v>
      </c>
      <c r="B355" s="30" t="s">
        <v>1516</v>
      </c>
      <c r="C355" s="31">
        <v>46273.690798611111</v>
      </c>
      <c r="D355" s="30">
        <v>92</v>
      </c>
      <c r="E355" s="30" t="s">
        <v>74</v>
      </c>
      <c r="F355" s="30" t="s">
        <v>75</v>
      </c>
      <c r="G355" s="30" t="s">
        <v>133</v>
      </c>
      <c r="H355" s="30" t="s">
        <v>77</v>
      </c>
      <c r="I355" s="30" t="s">
        <v>78</v>
      </c>
      <c r="J355" s="30" t="s">
        <v>79</v>
      </c>
      <c r="K355" s="32">
        <v>800</v>
      </c>
      <c r="L355" s="32" t="s">
        <v>211</v>
      </c>
      <c r="M355" s="30" t="s">
        <v>1513</v>
      </c>
      <c r="N355" s="30" t="s">
        <v>1514</v>
      </c>
      <c r="O355" s="30" t="s">
        <v>83</v>
      </c>
      <c r="P355" s="33">
        <v>46255</v>
      </c>
      <c r="Q355" s="33">
        <v>46255</v>
      </c>
      <c r="R355" s="32">
        <v>1</v>
      </c>
      <c r="S355" s="30" t="s">
        <v>84</v>
      </c>
      <c r="T355" s="30" t="s">
        <v>337</v>
      </c>
      <c r="U355" s="30" t="s">
        <v>216</v>
      </c>
      <c r="V355" s="30" t="s">
        <v>87</v>
      </c>
      <c r="W355" s="30" t="s">
        <v>88</v>
      </c>
      <c r="X355" s="30" t="s">
        <v>197</v>
      </c>
      <c r="Y355" s="30" t="s">
        <v>1275</v>
      </c>
      <c r="AB355" s="30" t="b">
        <v>0</v>
      </c>
      <c r="AC355" s="30"/>
      <c r="AD355" s="30" t="b">
        <v>0</v>
      </c>
      <c r="AF355" s="30" t="b">
        <v>0</v>
      </c>
      <c r="AH355" s="32" t="s">
        <v>91</v>
      </c>
      <c r="AI355" s="32"/>
      <c r="AJ355" s="32"/>
      <c r="AK355" s="32"/>
      <c r="AL355" s="30" t="s">
        <v>92</v>
      </c>
      <c r="AM355" s="30" t="s">
        <v>93</v>
      </c>
      <c r="AN355" s="30" t="s">
        <v>199</v>
      </c>
      <c r="AO355" s="30" t="s">
        <v>200</v>
      </c>
      <c r="AP355" s="30" t="s">
        <v>201</v>
      </c>
      <c r="AQ355" s="30" t="s">
        <v>202</v>
      </c>
      <c r="AR355" s="30" t="s">
        <v>145</v>
      </c>
      <c r="AT355" s="30" t="s">
        <v>99</v>
      </c>
      <c r="AU355" s="30" t="s">
        <v>100</v>
      </c>
      <c r="AV355" s="30" t="s">
        <v>101</v>
      </c>
      <c r="AW355" s="30" t="s">
        <v>102</v>
      </c>
      <c r="AX355" s="34" t="s">
        <v>221</v>
      </c>
      <c r="AY355" s="34" t="s">
        <v>149</v>
      </c>
      <c r="AZ355" s="34"/>
      <c r="BA355" s="34"/>
      <c r="BB355" s="34"/>
      <c r="BC355" s="34">
        <v>0</v>
      </c>
      <c r="BD355" s="34"/>
      <c r="BE355" s="34"/>
      <c r="BF355" s="34" t="b">
        <v>0</v>
      </c>
      <c r="BG355" s="34"/>
      <c r="BH355" s="34"/>
      <c r="BI355" s="34"/>
      <c r="BJ355" s="34"/>
      <c r="BK355" s="34"/>
      <c r="BL355" s="34"/>
      <c r="BM355" s="34" t="s">
        <v>168</v>
      </c>
      <c r="BN355" s="34"/>
      <c r="BO355" s="35"/>
      <c r="BP355" s="35"/>
      <c r="BQ355" s="35" t="s">
        <v>108</v>
      </c>
      <c r="BR355" s="36" t="e">
        <f>VLOOKUP(BQ355, Cat_Indicadores!B:C, 2, FALSE)</f>
        <v>#N/A</v>
      </c>
      <c r="BS355" s="35" t="s">
        <v>5592</v>
      </c>
      <c r="BT355" s="35"/>
    </row>
    <row r="356" spans="1:72">
      <c r="A356" s="29" t="s">
        <v>1517</v>
      </c>
      <c r="B356" s="30" t="s">
        <v>1518</v>
      </c>
      <c r="C356" s="31">
        <v>46273.707303240742</v>
      </c>
      <c r="D356" s="30">
        <v>92</v>
      </c>
      <c r="E356" s="30" t="s">
        <v>74</v>
      </c>
      <c r="F356" s="30" t="s">
        <v>75</v>
      </c>
      <c r="G356" s="30" t="s">
        <v>133</v>
      </c>
      <c r="H356" s="30" t="s">
        <v>77</v>
      </c>
      <c r="I356" s="30" t="s">
        <v>78</v>
      </c>
      <c r="J356" s="30" t="s">
        <v>79</v>
      </c>
      <c r="K356" s="32">
        <v>800</v>
      </c>
      <c r="L356" s="32" t="s">
        <v>211</v>
      </c>
      <c r="M356" s="30" t="s">
        <v>1513</v>
      </c>
      <c r="N356" s="30" t="s">
        <v>1514</v>
      </c>
      <c r="O356" s="30" t="s">
        <v>83</v>
      </c>
      <c r="P356" s="33">
        <v>46256</v>
      </c>
      <c r="Q356" s="33">
        <v>46256</v>
      </c>
      <c r="R356" s="32">
        <v>1</v>
      </c>
      <c r="S356" s="30" t="s">
        <v>84</v>
      </c>
      <c r="T356" s="30" t="s">
        <v>337</v>
      </c>
      <c r="U356" s="30" t="s">
        <v>216</v>
      </c>
      <c r="V356" s="30" t="s">
        <v>87</v>
      </c>
      <c r="W356" s="30" t="s">
        <v>88</v>
      </c>
      <c r="X356" s="30" t="s">
        <v>197</v>
      </c>
      <c r="Y356" s="30" t="s">
        <v>1275</v>
      </c>
      <c r="AB356" s="30" t="b">
        <v>0</v>
      </c>
      <c r="AC356" s="30"/>
      <c r="AD356" s="30" t="b">
        <v>0</v>
      </c>
      <c r="AF356" s="30" t="b">
        <v>0</v>
      </c>
      <c r="AH356" s="32" t="s">
        <v>91</v>
      </c>
      <c r="AI356" s="32"/>
      <c r="AJ356" s="32"/>
      <c r="AK356" s="32"/>
      <c r="AL356" s="30" t="s">
        <v>92</v>
      </c>
      <c r="AM356" s="30" t="s">
        <v>93</v>
      </c>
      <c r="AN356" s="30" t="s">
        <v>199</v>
      </c>
      <c r="AO356" s="30" t="s">
        <v>200</v>
      </c>
      <c r="AP356" s="30" t="s">
        <v>201</v>
      </c>
      <c r="AQ356" s="30" t="s">
        <v>202</v>
      </c>
      <c r="AR356" s="30" t="s">
        <v>145</v>
      </c>
      <c r="AT356" s="30" t="s">
        <v>99</v>
      </c>
      <c r="AU356" s="30" t="s">
        <v>100</v>
      </c>
      <c r="AV356" s="30" t="s">
        <v>101</v>
      </c>
      <c r="AW356" s="30" t="s">
        <v>102</v>
      </c>
      <c r="AX356" s="34" t="s">
        <v>221</v>
      </c>
      <c r="AY356" s="34" t="s">
        <v>149</v>
      </c>
      <c r="AZ356" s="34"/>
      <c r="BA356" s="34"/>
      <c r="BB356" s="34"/>
      <c r="BC356" s="34">
        <v>0</v>
      </c>
      <c r="BD356" s="34"/>
      <c r="BE356" s="34"/>
      <c r="BF356" s="34" t="b">
        <v>0</v>
      </c>
      <c r="BG356" s="34"/>
      <c r="BH356" s="34"/>
      <c r="BI356" s="34"/>
      <c r="BJ356" s="34"/>
      <c r="BK356" s="34"/>
      <c r="BL356" s="34"/>
      <c r="BM356" s="34" t="s">
        <v>168</v>
      </c>
      <c r="BN356" s="34"/>
      <c r="BO356" s="35"/>
      <c r="BP356" s="35"/>
      <c r="BQ356" s="35" t="s">
        <v>108</v>
      </c>
      <c r="BR356" s="36" t="e">
        <f>VLOOKUP(BQ356, Cat_Indicadores!B:C, 2, FALSE)</f>
        <v>#N/A</v>
      </c>
      <c r="BS356" s="35" t="s">
        <v>5592</v>
      </c>
      <c r="BT356" s="35"/>
    </row>
    <row r="357" spans="1:72">
      <c r="A357" s="29" t="s">
        <v>1519</v>
      </c>
      <c r="B357" s="30" t="s">
        <v>1520</v>
      </c>
      <c r="C357" s="31">
        <v>46274.486550925925</v>
      </c>
      <c r="D357" s="30">
        <v>92</v>
      </c>
      <c r="E357" s="30" t="s">
        <v>74</v>
      </c>
      <c r="F357" s="30" t="s">
        <v>75</v>
      </c>
      <c r="G357" s="30" t="s">
        <v>133</v>
      </c>
      <c r="H357" s="30" t="s">
        <v>77</v>
      </c>
      <c r="I357" s="30" t="s">
        <v>78</v>
      </c>
      <c r="J357" s="30" t="s">
        <v>79</v>
      </c>
      <c r="K357" s="32">
        <v>800</v>
      </c>
      <c r="L357" s="32" t="s">
        <v>211</v>
      </c>
      <c r="M357" s="30" t="s">
        <v>1460</v>
      </c>
      <c r="N357" s="30" t="s">
        <v>1461</v>
      </c>
      <c r="O357" s="30" t="s">
        <v>83</v>
      </c>
      <c r="P357" s="33">
        <v>46256</v>
      </c>
      <c r="Q357" s="33">
        <v>46256</v>
      </c>
      <c r="R357" s="32">
        <v>1</v>
      </c>
      <c r="S357" s="30" t="s">
        <v>84</v>
      </c>
      <c r="T357" s="30" t="s">
        <v>337</v>
      </c>
      <c r="U357" s="30" t="s">
        <v>86</v>
      </c>
      <c r="V357" s="30" t="s">
        <v>87</v>
      </c>
      <c r="W357" s="30" t="s">
        <v>88</v>
      </c>
      <c r="X357" s="30" t="s">
        <v>197</v>
      </c>
      <c r="Y357" s="30" t="s">
        <v>1288</v>
      </c>
      <c r="AB357" s="30" t="b">
        <v>0</v>
      </c>
      <c r="AC357" s="30"/>
      <c r="AD357" s="30" t="b">
        <v>0</v>
      </c>
      <c r="AF357" s="30" t="b">
        <v>0</v>
      </c>
      <c r="AH357" s="32" t="s">
        <v>91</v>
      </c>
      <c r="AI357" s="32"/>
      <c r="AJ357" s="32"/>
      <c r="AK357" s="32"/>
      <c r="AL357" s="30" t="s">
        <v>92</v>
      </c>
      <c r="AM357" s="30" t="s">
        <v>93</v>
      </c>
      <c r="AN357" s="30" t="s">
        <v>199</v>
      </c>
      <c r="AO357" s="30" t="s">
        <v>200</v>
      </c>
      <c r="AP357" s="30" t="s">
        <v>201</v>
      </c>
      <c r="AQ357" s="30" t="s">
        <v>202</v>
      </c>
      <c r="AR357" s="30" t="s">
        <v>145</v>
      </c>
      <c r="AT357" s="30" t="s">
        <v>99</v>
      </c>
      <c r="AU357" s="30" t="s">
        <v>100</v>
      </c>
      <c r="AV357" s="30" t="s">
        <v>101</v>
      </c>
      <c r="AW357" s="30" t="s">
        <v>102</v>
      </c>
      <c r="AX357" s="34" t="s">
        <v>86</v>
      </c>
      <c r="AY357" s="34" t="s">
        <v>149</v>
      </c>
      <c r="AZ357" s="34" t="s">
        <v>149</v>
      </c>
      <c r="BA357" s="34"/>
      <c r="BB357" s="34"/>
      <c r="BC357" s="34">
        <v>0</v>
      </c>
      <c r="BD357" s="34"/>
      <c r="BE357" s="34"/>
      <c r="BF357" s="34" t="b">
        <v>0</v>
      </c>
      <c r="BG357" s="34"/>
      <c r="BH357" s="34"/>
      <c r="BI357" s="34"/>
      <c r="BJ357" s="34"/>
      <c r="BK357" s="34"/>
      <c r="BL357" s="34"/>
      <c r="BM357" s="34" t="s">
        <v>168</v>
      </c>
      <c r="BN357" s="34"/>
      <c r="BO357" s="35"/>
      <c r="BP357" s="35"/>
      <c r="BQ357" s="35" t="s">
        <v>108</v>
      </c>
      <c r="BR357" s="36" t="e">
        <f>VLOOKUP(BQ357, Cat_Indicadores!B:C, 2, FALSE)</f>
        <v>#N/A</v>
      </c>
      <c r="BS357" s="35" t="s">
        <v>5592</v>
      </c>
      <c r="BT357" s="35"/>
    </row>
    <row r="358" spans="1:72">
      <c r="A358" s="29" t="s">
        <v>1521</v>
      </c>
      <c r="B358" s="30" t="s">
        <v>1522</v>
      </c>
      <c r="C358" s="31">
        <v>46274.510613425926</v>
      </c>
      <c r="D358" s="30">
        <v>92</v>
      </c>
      <c r="E358" s="30" t="s">
        <v>74</v>
      </c>
      <c r="F358" s="30" t="s">
        <v>75</v>
      </c>
      <c r="G358" s="30" t="s">
        <v>133</v>
      </c>
      <c r="H358" s="30" t="s">
        <v>77</v>
      </c>
      <c r="I358" s="30" t="s">
        <v>78</v>
      </c>
      <c r="J358" s="30" t="s">
        <v>79</v>
      </c>
      <c r="K358" s="32">
        <v>800</v>
      </c>
      <c r="L358" s="32" t="s">
        <v>211</v>
      </c>
      <c r="M358" s="30" t="s">
        <v>1513</v>
      </c>
      <c r="N358" s="30" t="s">
        <v>1514</v>
      </c>
      <c r="O358" s="30" t="s">
        <v>83</v>
      </c>
      <c r="P358" s="33">
        <v>46257</v>
      </c>
      <c r="Q358" s="33">
        <v>46257</v>
      </c>
      <c r="R358" s="32">
        <v>1</v>
      </c>
      <c r="S358" s="30" t="s">
        <v>84</v>
      </c>
      <c r="T358" s="30" t="s">
        <v>337</v>
      </c>
      <c r="U358" s="30" t="s">
        <v>216</v>
      </c>
      <c r="V358" s="30" t="s">
        <v>87</v>
      </c>
      <c r="W358" s="30" t="s">
        <v>88</v>
      </c>
      <c r="X358" s="30" t="s">
        <v>197</v>
      </c>
      <c r="Y358" s="30" t="s">
        <v>1275</v>
      </c>
      <c r="AB358" s="30" t="b">
        <v>0</v>
      </c>
      <c r="AC358" s="30"/>
      <c r="AD358" s="30" t="b">
        <v>0</v>
      </c>
      <c r="AF358" s="30" t="b">
        <v>0</v>
      </c>
      <c r="AH358" s="32" t="s">
        <v>91</v>
      </c>
      <c r="AI358" s="32"/>
      <c r="AJ358" s="32"/>
      <c r="AK358" s="32"/>
      <c r="AL358" s="30" t="s">
        <v>92</v>
      </c>
      <c r="AM358" s="30" t="s">
        <v>93</v>
      </c>
      <c r="AN358" s="30" t="s">
        <v>199</v>
      </c>
      <c r="AO358" s="30" t="s">
        <v>200</v>
      </c>
      <c r="AP358" s="30" t="s">
        <v>201</v>
      </c>
      <c r="AQ358" s="30" t="s">
        <v>202</v>
      </c>
      <c r="AR358" s="30" t="s">
        <v>145</v>
      </c>
      <c r="AT358" s="30" t="s">
        <v>99</v>
      </c>
      <c r="AU358" s="30" t="s">
        <v>100</v>
      </c>
      <c r="AV358" s="30" t="s">
        <v>101</v>
      </c>
      <c r="AW358" s="30" t="s">
        <v>102</v>
      </c>
      <c r="AX358" s="34" t="s">
        <v>221</v>
      </c>
      <c r="AY358" s="34" t="s">
        <v>149</v>
      </c>
      <c r="AZ358" s="34"/>
      <c r="BA358" s="34"/>
      <c r="BB358" s="34"/>
      <c r="BC358" s="34">
        <v>0</v>
      </c>
      <c r="BD358" s="34"/>
      <c r="BE358" s="34"/>
      <c r="BF358" s="34" t="b">
        <v>0</v>
      </c>
      <c r="BG358" s="34"/>
      <c r="BH358" s="34"/>
      <c r="BI358" s="34"/>
      <c r="BJ358" s="34"/>
      <c r="BK358" s="34"/>
      <c r="BL358" s="34"/>
      <c r="BM358" s="34" t="s">
        <v>168</v>
      </c>
      <c r="BN358" s="34"/>
      <c r="BO358" s="35"/>
      <c r="BP358" s="35"/>
      <c r="BQ358" s="35" t="s">
        <v>108</v>
      </c>
      <c r="BR358" s="36" t="e">
        <f>VLOOKUP(BQ358, Cat_Indicadores!B:C, 2, FALSE)</f>
        <v>#N/A</v>
      </c>
      <c r="BS358" s="35" t="s">
        <v>5592</v>
      </c>
      <c r="BT358" s="35"/>
    </row>
    <row r="359" spans="1:72">
      <c r="A359" s="29" t="s">
        <v>1523</v>
      </c>
      <c r="B359" s="30" t="s">
        <v>1524</v>
      </c>
      <c r="C359" s="31">
        <v>46274.533807870372</v>
      </c>
      <c r="D359" s="30">
        <v>92</v>
      </c>
      <c r="E359" s="30" t="s">
        <v>74</v>
      </c>
      <c r="F359" s="30" t="s">
        <v>75</v>
      </c>
      <c r="G359" s="30" t="s">
        <v>133</v>
      </c>
      <c r="H359" s="30" t="s">
        <v>77</v>
      </c>
      <c r="I359" s="30" t="s">
        <v>78</v>
      </c>
      <c r="J359" s="30" t="s">
        <v>79</v>
      </c>
      <c r="K359" s="32">
        <v>800</v>
      </c>
      <c r="L359" s="32" t="s">
        <v>211</v>
      </c>
      <c r="M359" s="30" t="s">
        <v>1460</v>
      </c>
      <c r="N359" s="30" t="s">
        <v>1461</v>
      </c>
      <c r="O359" s="30" t="s">
        <v>83</v>
      </c>
      <c r="P359" s="33">
        <v>46257</v>
      </c>
      <c r="Q359" s="33">
        <v>46257</v>
      </c>
      <c r="R359" s="32">
        <v>1</v>
      </c>
      <c r="S359" s="30" t="s">
        <v>84</v>
      </c>
      <c r="T359" s="30" t="s">
        <v>337</v>
      </c>
      <c r="U359" s="30" t="s">
        <v>86</v>
      </c>
      <c r="V359" s="30" t="s">
        <v>87</v>
      </c>
      <c r="W359" s="30" t="s">
        <v>88</v>
      </c>
      <c r="X359" s="30" t="s">
        <v>197</v>
      </c>
      <c r="Y359" s="30" t="s">
        <v>1288</v>
      </c>
      <c r="AB359" s="30" t="b">
        <v>0</v>
      </c>
      <c r="AC359" s="30"/>
      <c r="AD359" s="30" t="b">
        <v>0</v>
      </c>
      <c r="AF359" s="30" t="b">
        <v>0</v>
      </c>
      <c r="AH359" s="32" t="s">
        <v>91</v>
      </c>
      <c r="AI359" s="32"/>
      <c r="AJ359" s="32"/>
      <c r="AK359" s="32"/>
      <c r="AL359" s="30" t="s">
        <v>92</v>
      </c>
      <c r="AM359" s="30" t="s">
        <v>93</v>
      </c>
      <c r="AN359" s="30" t="s">
        <v>199</v>
      </c>
      <c r="AO359" s="30" t="s">
        <v>200</v>
      </c>
      <c r="AP359" s="30" t="s">
        <v>201</v>
      </c>
      <c r="AQ359" s="30" t="s">
        <v>202</v>
      </c>
      <c r="AR359" s="30" t="s">
        <v>145</v>
      </c>
      <c r="AT359" s="30" t="s">
        <v>99</v>
      </c>
      <c r="AU359" s="30" t="s">
        <v>100</v>
      </c>
      <c r="AV359" s="30" t="s">
        <v>101</v>
      </c>
      <c r="AW359" s="30" t="s">
        <v>102</v>
      </c>
      <c r="AX359" s="34" t="s">
        <v>86</v>
      </c>
      <c r="AY359" s="34" t="s">
        <v>149</v>
      </c>
      <c r="AZ359" s="34" t="s">
        <v>149</v>
      </c>
      <c r="BA359" s="34"/>
      <c r="BB359" s="34"/>
      <c r="BC359" s="34">
        <v>0</v>
      </c>
      <c r="BD359" s="34"/>
      <c r="BE359" s="34"/>
      <c r="BF359" s="34" t="b">
        <v>0</v>
      </c>
      <c r="BG359" s="34"/>
      <c r="BH359" s="34"/>
      <c r="BI359" s="34"/>
      <c r="BJ359" s="34"/>
      <c r="BK359" s="34"/>
      <c r="BL359" s="34"/>
      <c r="BM359" s="34" t="s">
        <v>168</v>
      </c>
      <c r="BN359" s="34"/>
      <c r="BO359" s="35"/>
      <c r="BP359" s="35"/>
      <c r="BQ359" s="35" t="s">
        <v>108</v>
      </c>
      <c r="BR359" s="36" t="e">
        <f>VLOOKUP(BQ359, Cat_Indicadores!B:C, 2, FALSE)</f>
        <v>#N/A</v>
      </c>
      <c r="BS359" s="35" t="s">
        <v>5592</v>
      </c>
      <c r="BT359" s="35"/>
    </row>
    <row r="360" spans="1:72">
      <c r="A360" s="29" t="s">
        <v>1525</v>
      </c>
      <c r="B360" s="30" t="s">
        <v>1526</v>
      </c>
      <c r="C360" s="31">
        <v>46274.629247685189</v>
      </c>
      <c r="D360" s="30">
        <v>92</v>
      </c>
      <c r="E360" s="30" t="s">
        <v>74</v>
      </c>
      <c r="F360" s="30" t="s">
        <v>75</v>
      </c>
      <c r="G360" s="30" t="s">
        <v>133</v>
      </c>
      <c r="H360" s="30" t="s">
        <v>77</v>
      </c>
      <c r="I360" s="30" t="s">
        <v>78</v>
      </c>
      <c r="J360" s="30" t="s">
        <v>79</v>
      </c>
      <c r="K360" s="32">
        <v>800</v>
      </c>
      <c r="L360" s="32" t="s">
        <v>211</v>
      </c>
      <c r="M360" s="30" t="s">
        <v>1527</v>
      </c>
      <c r="N360" s="30" t="s">
        <v>1528</v>
      </c>
      <c r="O360" s="30" t="s">
        <v>83</v>
      </c>
      <c r="P360" s="33">
        <v>46259</v>
      </c>
      <c r="Q360" s="33">
        <v>46259</v>
      </c>
      <c r="R360" s="32">
        <v>1</v>
      </c>
      <c r="S360" s="30" t="s">
        <v>84</v>
      </c>
      <c r="T360" s="30" t="s">
        <v>337</v>
      </c>
      <c r="U360" s="30" t="s">
        <v>338</v>
      </c>
      <c r="V360" s="30" t="s">
        <v>87</v>
      </c>
      <c r="W360" s="30" t="s">
        <v>88</v>
      </c>
      <c r="X360" s="30" t="s">
        <v>197</v>
      </c>
      <c r="Y360" s="30" t="s">
        <v>1282</v>
      </c>
      <c r="AB360" s="30" t="b">
        <v>0</v>
      </c>
      <c r="AC360" s="30"/>
      <c r="AD360" s="30" t="b">
        <v>0</v>
      </c>
      <c r="AF360" s="30" t="b">
        <v>0</v>
      </c>
      <c r="AH360" s="32" t="s">
        <v>91</v>
      </c>
      <c r="AI360" s="32"/>
      <c r="AJ360" s="32"/>
      <c r="AK360" s="32"/>
      <c r="AL360" s="30" t="s">
        <v>92</v>
      </c>
      <c r="AM360" s="30" t="s">
        <v>93</v>
      </c>
      <c r="AN360" s="30" t="s">
        <v>199</v>
      </c>
      <c r="AO360" s="30" t="s">
        <v>200</v>
      </c>
      <c r="AP360" s="30" t="s">
        <v>201</v>
      </c>
      <c r="AQ360" s="30" t="s">
        <v>202</v>
      </c>
      <c r="AR360" s="30" t="s">
        <v>145</v>
      </c>
      <c r="AT360" s="30" t="s">
        <v>99</v>
      </c>
      <c r="AU360" s="30" t="s">
        <v>100</v>
      </c>
      <c r="AV360" s="30" t="s">
        <v>101</v>
      </c>
      <c r="AW360" s="30" t="s">
        <v>102</v>
      </c>
      <c r="AX360" s="34" t="s">
        <v>338</v>
      </c>
      <c r="AY360" s="34" t="s">
        <v>149</v>
      </c>
      <c r="AZ360" s="34" t="s">
        <v>149</v>
      </c>
      <c r="BA360" s="34"/>
      <c r="BB360" s="34"/>
      <c r="BC360" s="34">
        <v>0</v>
      </c>
      <c r="BD360" s="34"/>
      <c r="BE360" s="34"/>
      <c r="BF360" s="34" t="b">
        <v>0</v>
      </c>
      <c r="BG360" s="34"/>
      <c r="BH360" s="34"/>
      <c r="BI360" s="34"/>
      <c r="BJ360" s="34"/>
      <c r="BK360" s="34"/>
      <c r="BL360" s="34"/>
      <c r="BM360" s="34" t="s">
        <v>168</v>
      </c>
      <c r="BN360" s="34"/>
      <c r="BO360" s="35"/>
      <c r="BP360" s="35"/>
      <c r="BQ360" s="35" t="s">
        <v>108</v>
      </c>
      <c r="BR360" s="36" t="e">
        <f>VLOOKUP(BQ360, Cat_Indicadores!B:C, 2, FALSE)</f>
        <v>#N/A</v>
      </c>
      <c r="BS360" s="35" t="s">
        <v>5592</v>
      </c>
      <c r="BT360" s="35"/>
    </row>
    <row r="361" spans="1:72">
      <c r="A361" s="29" t="s">
        <v>1529</v>
      </c>
      <c r="B361" s="30" t="s">
        <v>1530</v>
      </c>
      <c r="C361" s="31">
        <v>46274.652557870373</v>
      </c>
      <c r="D361" s="30">
        <v>92</v>
      </c>
      <c r="E361" s="30" t="s">
        <v>74</v>
      </c>
      <c r="F361" s="30" t="s">
        <v>75</v>
      </c>
      <c r="G361" s="30" t="s">
        <v>133</v>
      </c>
      <c r="H361" s="30" t="s">
        <v>77</v>
      </c>
      <c r="I361" s="30" t="s">
        <v>78</v>
      </c>
      <c r="J361" s="30" t="s">
        <v>79</v>
      </c>
      <c r="K361" s="32">
        <v>800</v>
      </c>
      <c r="L361" s="32" t="s">
        <v>211</v>
      </c>
      <c r="M361" s="30" t="s">
        <v>1531</v>
      </c>
      <c r="N361" s="30" t="s">
        <v>1532</v>
      </c>
      <c r="O361" s="30" t="s">
        <v>83</v>
      </c>
      <c r="P361" s="33">
        <v>46260</v>
      </c>
      <c r="Q361" s="33">
        <v>46260</v>
      </c>
      <c r="R361" s="32">
        <v>1</v>
      </c>
      <c r="S361" s="30" t="s">
        <v>84</v>
      </c>
      <c r="T361" s="30" t="s">
        <v>337</v>
      </c>
      <c r="U361" s="30" t="s">
        <v>160</v>
      </c>
      <c r="V361" s="30" t="s">
        <v>87</v>
      </c>
      <c r="W361" s="30" t="s">
        <v>88</v>
      </c>
      <c r="X361" s="30" t="s">
        <v>197</v>
      </c>
      <c r="Y361" s="30" t="s">
        <v>1288</v>
      </c>
      <c r="AB361" s="30" t="b">
        <v>0</v>
      </c>
      <c r="AC361" s="30"/>
      <c r="AD361" s="30" t="b">
        <v>0</v>
      </c>
      <c r="AF361" s="30" t="b">
        <v>0</v>
      </c>
      <c r="AH361" s="32" t="s">
        <v>91</v>
      </c>
      <c r="AI361" s="32"/>
      <c r="AJ361" s="32"/>
      <c r="AK361" s="32"/>
      <c r="AL361" s="30" t="s">
        <v>92</v>
      </c>
      <c r="AM361" s="30" t="s">
        <v>93</v>
      </c>
      <c r="AN361" s="30" t="s">
        <v>199</v>
      </c>
      <c r="AO361" s="30" t="s">
        <v>200</v>
      </c>
      <c r="AP361" s="30" t="s">
        <v>201</v>
      </c>
      <c r="AQ361" s="30" t="s">
        <v>202</v>
      </c>
      <c r="AR361" s="30" t="s">
        <v>145</v>
      </c>
      <c r="AT361" s="30" t="s">
        <v>99</v>
      </c>
      <c r="AU361" s="30" t="s">
        <v>100</v>
      </c>
      <c r="AV361" s="30" t="s">
        <v>101</v>
      </c>
      <c r="AW361" s="30" t="s">
        <v>102</v>
      </c>
      <c r="AX361" s="34" t="s">
        <v>160</v>
      </c>
      <c r="AY361" s="34" t="s">
        <v>149</v>
      </c>
      <c r="AZ361" s="34" t="s">
        <v>149</v>
      </c>
      <c r="BA361" s="34"/>
      <c r="BB361" s="34"/>
      <c r="BC361" s="34">
        <v>0</v>
      </c>
      <c r="BD361" s="34"/>
      <c r="BE361" s="34"/>
      <c r="BF361" s="34" t="b">
        <v>0</v>
      </c>
      <c r="BG361" s="34"/>
      <c r="BH361" s="34"/>
      <c r="BI361" s="34"/>
      <c r="BJ361" s="34"/>
      <c r="BK361" s="34"/>
      <c r="BL361" s="34"/>
      <c r="BM361" s="34" t="s">
        <v>168</v>
      </c>
      <c r="BN361" s="34"/>
      <c r="BO361" s="35"/>
      <c r="BP361" s="35"/>
      <c r="BQ361" s="35" t="s">
        <v>108</v>
      </c>
      <c r="BR361" s="36" t="e">
        <f>VLOOKUP(BQ361, Cat_Indicadores!B:C, 2, FALSE)</f>
        <v>#N/A</v>
      </c>
      <c r="BS361" s="35" t="s">
        <v>5592</v>
      </c>
      <c r="BT361" s="35"/>
    </row>
    <row r="362" spans="1:72">
      <c r="A362" s="29" t="s">
        <v>1533</v>
      </c>
      <c r="B362" s="30" t="s">
        <v>1534</v>
      </c>
      <c r="C362" s="31">
        <v>46274.663425925923</v>
      </c>
      <c r="D362" s="30">
        <v>92</v>
      </c>
      <c r="E362" s="30" t="s">
        <v>74</v>
      </c>
      <c r="F362" s="30" t="s">
        <v>75</v>
      </c>
      <c r="G362" s="30" t="s">
        <v>133</v>
      </c>
      <c r="H362" s="30" t="s">
        <v>77</v>
      </c>
      <c r="I362" s="30" t="s">
        <v>78</v>
      </c>
      <c r="J362" s="30" t="s">
        <v>79</v>
      </c>
      <c r="K362" s="32">
        <v>800</v>
      </c>
      <c r="L362" s="32" t="s">
        <v>211</v>
      </c>
      <c r="M362" s="30" t="s">
        <v>1535</v>
      </c>
      <c r="N362" s="30" t="s">
        <v>1536</v>
      </c>
      <c r="O362" s="30" t="s">
        <v>83</v>
      </c>
      <c r="P362" s="33">
        <v>46262</v>
      </c>
      <c r="Q362" s="33">
        <v>46262</v>
      </c>
      <c r="R362" s="32">
        <v>1</v>
      </c>
      <c r="S362" s="30" t="s">
        <v>84</v>
      </c>
      <c r="T362" s="30" t="s">
        <v>337</v>
      </c>
      <c r="U362" s="30" t="s">
        <v>86</v>
      </c>
      <c r="V362" s="30" t="s">
        <v>87</v>
      </c>
      <c r="W362" s="30" t="s">
        <v>88</v>
      </c>
      <c r="X362" s="30" t="s">
        <v>197</v>
      </c>
      <c r="Y362" s="30" t="s">
        <v>1270</v>
      </c>
      <c r="AB362" s="30" t="b">
        <v>0</v>
      </c>
      <c r="AC362" s="30"/>
      <c r="AD362" s="30" t="b">
        <v>0</v>
      </c>
      <c r="AF362" s="30" t="b">
        <v>0</v>
      </c>
      <c r="AH362" s="32" t="s">
        <v>91</v>
      </c>
      <c r="AI362" s="32"/>
      <c r="AJ362" s="32"/>
      <c r="AK362" s="32"/>
      <c r="AL362" s="30" t="s">
        <v>92</v>
      </c>
      <c r="AM362" s="30" t="s">
        <v>93</v>
      </c>
      <c r="AN362" s="30" t="s">
        <v>199</v>
      </c>
      <c r="AO362" s="30" t="s">
        <v>200</v>
      </c>
      <c r="AP362" s="30" t="s">
        <v>201</v>
      </c>
      <c r="AQ362" s="30" t="s">
        <v>202</v>
      </c>
      <c r="AR362" s="30" t="s">
        <v>145</v>
      </c>
      <c r="AT362" s="30" t="s">
        <v>99</v>
      </c>
      <c r="AU362" s="30" t="s">
        <v>100</v>
      </c>
      <c r="AV362" s="30" t="s">
        <v>101</v>
      </c>
      <c r="AW362" s="30" t="s">
        <v>102</v>
      </c>
      <c r="AX362" s="34" t="s">
        <v>86</v>
      </c>
      <c r="AY362" s="34" t="s">
        <v>149</v>
      </c>
      <c r="AZ362" s="34" t="s">
        <v>149</v>
      </c>
      <c r="BA362" s="34"/>
      <c r="BB362" s="34"/>
      <c r="BC362" s="34">
        <v>0</v>
      </c>
      <c r="BD362" s="34"/>
      <c r="BE362" s="34"/>
      <c r="BF362" s="34" t="b">
        <v>0</v>
      </c>
      <c r="BG362" s="34"/>
      <c r="BH362" s="34"/>
      <c r="BI362" s="34"/>
      <c r="BJ362" s="34"/>
      <c r="BK362" s="34"/>
      <c r="BL362" s="34"/>
      <c r="BM362" s="34" t="s">
        <v>168</v>
      </c>
      <c r="BN362" s="34"/>
      <c r="BO362" s="35"/>
      <c r="BP362" s="35"/>
      <c r="BQ362" s="35" t="s">
        <v>108</v>
      </c>
      <c r="BR362" s="36" t="e">
        <f>VLOOKUP(BQ362, Cat_Indicadores!B:C, 2, FALSE)</f>
        <v>#N/A</v>
      </c>
      <c r="BS362" s="35" t="s">
        <v>5592</v>
      </c>
      <c r="BT362" s="35"/>
    </row>
    <row r="363" spans="1:72">
      <c r="A363" s="29" t="s">
        <v>1537</v>
      </c>
      <c r="B363" s="30" t="s">
        <v>1538</v>
      </c>
      <c r="C363" s="31">
        <v>46275.601782407408</v>
      </c>
      <c r="D363" s="30">
        <v>92</v>
      </c>
      <c r="E363" s="30" t="s">
        <v>74</v>
      </c>
      <c r="F363" s="30" t="s">
        <v>75</v>
      </c>
      <c r="G363" s="30" t="s">
        <v>133</v>
      </c>
      <c r="H363" s="30" t="s">
        <v>77</v>
      </c>
      <c r="I363" s="30" t="s">
        <v>78</v>
      </c>
      <c r="J363" s="30" t="s">
        <v>79</v>
      </c>
      <c r="K363" s="32">
        <v>800</v>
      </c>
      <c r="L363" s="32" t="s">
        <v>211</v>
      </c>
      <c r="M363" s="30" t="s">
        <v>1539</v>
      </c>
      <c r="N363" s="30" t="s">
        <v>1540</v>
      </c>
      <c r="O363" s="30" t="s">
        <v>83</v>
      </c>
      <c r="P363" s="33">
        <v>46263</v>
      </c>
      <c r="Q363" s="33">
        <v>46263</v>
      </c>
      <c r="R363" s="32">
        <v>1</v>
      </c>
      <c r="S363" s="30" t="s">
        <v>84</v>
      </c>
      <c r="T363" s="30" t="s">
        <v>337</v>
      </c>
      <c r="U363" s="30" t="s">
        <v>216</v>
      </c>
      <c r="V363" s="30" t="s">
        <v>87</v>
      </c>
      <c r="W363" s="30" t="s">
        <v>88</v>
      </c>
      <c r="X363" s="30" t="s">
        <v>197</v>
      </c>
      <c r="Y363" s="30" t="s">
        <v>1270</v>
      </c>
      <c r="AB363" s="30" t="b">
        <v>0</v>
      </c>
      <c r="AC363" s="30"/>
      <c r="AD363" s="30" t="b">
        <v>0</v>
      </c>
      <c r="AF363" s="30" t="b">
        <v>0</v>
      </c>
      <c r="AH363" s="32" t="s">
        <v>91</v>
      </c>
      <c r="AI363" s="32"/>
      <c r="AJ363" s="32"/>
      <c r="AK363" s="32"/>
      <c r="AL363" s="30" t="s">
        <v>92</v>
      </c>
      <c r="AM363" s="30" t="s">
        <v>93</v>
      </c>
      <c r="AN363" s="30" t="s">
        <v>199</v>
      </c>
      <c r="AO363" s="30" t="s">
        <v>200</v>
      </c>
      <c r="AP363" s="30" t="s">
        <v>201</v>
      </c>
      <c r="AQ363" s="30" t="s">
        <v>202</v>
      </c>
      <c r="AR363" s="30" t="s">
        <v>145</v>
      </c>
      <c r="AT363" s="30" t="s">
        <v>99</v>
      </c>
      <c r="AU363" s="30" t="s">
        <v>100</v>
      </c>
      <c r="AV363" s="30" t="s">
        <v>101</v>
      </c>
      <c r="AW363" s="30" t="s">
        <v>102</v>
      </c>
      <c r="AX363" s="34" t="s">
        <v>598</v>
      </c>
      <c r="AY363" s="34" t="s">
        <v>149</v>
      </c>
      <c r="AZ363" s="34" t="s">
        <v>149</v>
      </c>
      <c r="BA363" s="34"/>
      <c r="BB363" s="34"/>
      <c r="BC363" s="34">
        <v>0</v>
      </c>
      <c r="BD363" s="34"/>
      <c r="BE363" s="34"/>
      <c r="BF363" s="34" t="b">
        <v>0</v>
      </c>
      <c r="BG363" s="34"/>
      <c r="BH363" s="34"/>
      <c r="BI363" s="34"/>
      <c r="BJ363" s="34"/>
      <c r="BK363" s="34"/>
      <c r="BL363" s="34"/>
      <c r="BM363" s="34" t="s">
        <v>168</v>
      </c>
      <c r="BN363" s="34"/>
      <c r="BO363" s="35"/>
      <c r="BP363" s="35"/>
      <c r="BQ363" s="35" t="s">
        <v>108</v>
      </c>
      <c r="BR363" s="36" t="e">
        <f>VLOOKUP(BQ363, Cat_Indicadores!B:C, 2, FALSE)</f>
        <v>#N/A</v>
      </c>
      <c r="BS363" s="35" t="s">
        <v>5592</v>
      </c>
      <c r="BT363" s="35"/>
    </row>
    <row r="364" spans="1:72">
      <c r="A364" s="29" t="s">
        <v>1541</v>
      </c>
      <c r="B364" s="30" t="s">
        <v>1542</v>
      </c>
      <c r="C364" s="31">
        <v>46275.604907407411</v>
      </c>
      <c r="D364" s="30">
        <v>92</v>
      </c>
      <c r="E364" s="30" t="s">
        <v>74</v>
      </c>
      <c r="F364" s="30" t="s">
        <v>75</v>
      </c>
      <c r="G364" s="30" t="s">
        <v>133</v>
      </c>
      <c r="H364" s="30" t="s">
        <v>77</v>
      </c>
      <c r="I364" s="30" t="s">
        <v>78</v>
      </c>
      <c r="J364" s="30" t="s">
        <v>79</v>
      </c>
      <c r="K364" s="32">
        <v>800</v>
      </c>
      <c r="L364" s="32" t="s">
        <v>211</v>
      </c>
      <c r="M364" s="30" t="s">
        <v>1543</v>
      </c>
      <c r="N364" s="30" t="s">
        <v>1544</v>
      </c>
      <c r="O364" s="30" t="s">
        <v>83</v>
      </c>
      <c r="P364" s="33">
        <v>46264</v>
      </c>
      <c r="Q364" s="33">
        <v>46264</v>
      </c>
      <c r="R364" s="32">
        <v>1</v>
      </c>
      <c r="S364" s="30" t="s">
        <v>84</v>
      </c>
      <c r="T364" s="30" t="s">
        <v>337</v>
      </c>
      <c r="U364" s="30" t="s">
        <v>86</v>
      </c>
      <c r="V364" s="30" t="s">
        <v>87</v>
      </c>
      <c r="W364" s="30" t="s">
        <v>88</v>
      </c>
      <c r="X364" s="30" t="s">
        <v>197</v>
      </c>
      <c r="Y364" s="30" t="s">
        <v>1275</v>
      </c>
      <c r="AB364" s="30" t="b">
        <v>0</v>
      </c>
      <c r="AC364" s="30"/>
      <c r="AD364" s="30" t="b">
        <v>0</v>
      </c>
      <c r="AF364" s="30" t="b">
        <v>0</v>
      </c>
      <c r="AH364" s="32" t="s">
        <v>91</v>
      </c>
      <c r="AI364" s="32"/>
      <c r="AJ364" s="32"/>
      <c r="AK364" s="32"/>
      <c r="AL364" s="30" t="s">
        <v>92</v>
      </c>
      <c r="AM364" s="30" t="s">
        <v>93</v>
      </c>
      <c r="AN364" s="30" t="s">
        <v>199</v>
      </c>
      <c r="AO364" s="30" t="s">
        <v>200</v>
      </c>
      <c r="AP364" s="30" t="s">
        <v>201</v>
      </c>
      <c r="AQ364" s="30" t="s">
        <v>202</v>
      </c>
      <c r="AR364" s="30" t="s">
        <v>145</v>
      </c>
      <c r="AT364" s="30" t="s">
        <v>99</v>
      </c>
      <c r="AU364" s="30" t="s">
        <v>100</v>
      </c>
      <c r="AV364" s="30" t="s">
        <v>101</v>
      </c>
      <c r="AW364" s="30" t="s">
        <v>102</v>
      </c>
      <c r="AX364" s="34" t="s">
        <v>86</v>
      </c>
      <c r="AY364" s="34" t="s">
        <v>149</v>
      </c>
      <c r="AZ364" s="34" t="s">
        <v>149</v>
      </c>
      <c r="BA364" s="34"/>
      <c r="BB364" s="34"/>
      <c r="BC364" s="34">
        <v>0</v>
      </c>
      <c r="BD364" s="34"/>
      <c r="BE364" s="34"/>
      <c r="BF364" s="34" t="b">
        <v>0</v>
      </c>
      <c r="BG364" s="34"/>
      <c r="BH364" s="34"/>
      <c r="BI364" s="34"/>
      <c r="BJ364" s="34"/>
      <c r="BK364" s="34"/>
      <c r="BL364" s="34"/>
      <c r="BM364" s="34" t="s">
        <v>168</v>
      </c>
      <c r="BN364" s="34"/>
      <c r="BO364" s="35"/>
      <c r="BP364" s="35"/>
      <c r="BQ364" s="35" t="s">
        <v>108</v>
      </c>
      <c r="BR364" s="36" t="e">
        <f>VLOOKUP(BQ364, Cat_Indicadores!B:C, 2, FALSE)</f>
        <v>#N/A</v>
      </c>
      <c r="BS364" s="35" t="s">
        <v>5592</v>
      </c>
      <c r="BT364" s="35"/>
    </row>
    <row r="365" spans="1:72">
      <c r="A365" s="29" t="s">
        <v>1545</v>
      </c>
      <c r="B365" s="30" t="s">
        <v>1546</v>
      </c>
      <c r="C365" s="31">
        <v>46275.608865740738</v>
      </c>
      <c r="D365" s="30">
        <v>92</v>
      </c>
      <c r="E365" s="30" t="s">
        <v>74</v>
      </c>
      <c r="F365" s="30" t="s">
        <v>75</v>
      </c>
      <c r="G365" s="30" t="s">
        <v>133</v>
      </c>
      <c r="H365" s="30" t="s">
        <v>77</v>
      </c>
      <c r="I365" s="30" t="s">
        <v>78</v>
      </c>
      <c r="J365" s="30" t="s">
        <v>79</v>
      </c>
      <c r="K365" s="32">
        <v>800</v>
      </c>
      <c r="L365" s="32" t="s">
        <v>211</v>
      </c>
      <c r="M365" s="30" t="s">
        <v>1547</v>
      </c>
      <c r="N365" s="30" t="s">
        <v>1548</v>
      </c>
      <c r="O365" s="30" t="s">
        <v>83</v>
      </c>
      <c r="P365" s="33">
        <v>46264</v>
      </c>
      <c r="Q365" s="33">
        <v>46264</v>
      </c>
      <c r="R365" s="32">
        <v>1</v>
      </c>
      <c r="S365" s="30" t="s">
        <v>84</v>
      </c>
      <c r="T365" s="30" t="s">
        <v>337</v>
      </c>
      <c r="U365" s="30" t="s">
        <v>184</v>
      </c>
      <c r="V365" s="30" t="s">
        <v>87</v>
      </c>
      <c r="W365" s="30" t="s">
        <v>88</v>
      </c>
      <c r="X365" s="30" t="s">
        <v>197</v>
      </c>
      <c r="Y365" s="30" t="s">
        <v>1275</v>
      </c>
      <c r="AB365" s="30" t="b">
        <v>0</v>
      </c>
      <c r="AC365" s="30"/>
      <c r="AD365" s="30" t="b">
        <v>0</v>
      </c>
      <c r="AF365" s="30" t="b">
        <v>0</v>
      </c>
      <c r="AH365" s="32" t="s">
        <v>91</v>
      </c>
      <c r="AI365" s="32"/>
      <c r="AJ365" s="32"/>
      <c r="AK365" s="32"/>
      <c r="AL365" s="30" t="s">
        <v>92</v>
      </c>
      <c r="AM365" s="30" t="s">
        <v>93</v>
      </c>
      <c r="AN365" s="30" t="s">
        <v>199</v>
      </c>
      <c r="AO365" s="30" t="s">
        <v>200</v>
      </c>
      <c r="AP365" s="30" t="s">
        <v>201</v>
      </c>
      <c r="AQ365" s="30" t="s">
        <v>202</v>
      </c>
      <c r="AR365" s="30" t="s">
        <v>145</v>
      </c>
      <c r="AT365" s="30" t="s">
        <v>99</v>
      </c>
      <c r="AU365" s="30" t="s">
        <v>100</v>
      </c>
      <c r="AV365" s="30" t="s">
        <v>101</v>
      </c>
      <c r="AW365" s="30" t="s">
        <v>102</v>
      </c>
      <c r="AX365" s="34" t="s">
        <v>184</v>
      </c>
      <c r="AY365" s="34" t="s">
        <v>149</v>
      </c>
      <c r="AZ365" s="34" t="s">
        <v>149</v>
      </c>
      <c r="BA365" s="34"/>
      <c r="BB365" s="34"/>
      <c r="BC365" s="34">
        <v>0</v>
      </c>
      <c r="BD365" s="34"/>
      <c r="BE365" s="34"/>
      <c r="BF365" s="34" t="b">
        <v>0</v>
      </c>
      <c r="BG365" s="34"/>
      <c r="BH365" s="34"/>
      <c r="BI365" s="34"/>
      <c r="BJ365" s="34"/>
      <c r="BK365" s="34"/>
      <c r="BL365" s="34"/>
      <c r="BM365" s="34" t="s">
        <v>168</v>
      </c>
      <c r="BN365" s="34"/>
      <c r="BO365" s="35"/>
      <c r="BP365" s="35"/>
      <c r="BQ365" s="35" t="s">
        <v>108</v>
      </c>
      <c r="BR365" s="36" t="e">
        <f>VLOOKUP(BQ365, Cat_Indicadores!B:C, 2, FALSE)</f>
        <v>#N/A</v>
      </c>
      <c r="BS365" s="35" t="s">
        <v>5592</v>
      </c>
      <c r="BT365" s="35"/>
    </row>
    <row r="366" spans="1:72">
      <c r="A366" s="29" t="s">
        <v>1549</v>
      </c>
      <c r="B366" s="30" t="s">
        <v>1550</v>
      </c>
      <c r="C366" s="31">
        <v>46275.614687499998</v>
      </c>
      <c r="D366" s="30">
        <v>92</v>
      </c>
      <c r="E366" s="30" t="s">
        <v>74</v>
      </c>
      <c r="F366" s="30" t="s">
        <v>75</v>
      </c>
      <c r="G366" s="30" t="s">
        <v>133</v>
      </c>
      <c r="H366" s="30" t="s">
        <v>77</v>
      </c>
      <c r="I366" s="30" t="s">
        <v>78</v>
      </c>
      <c r="J366" s="30" t="s">
        <v>79</v>
      </c>
      <c r="K366" s="32">
        <v>800</v>
      </c>
      <c r="L366" s="32" t="s">
        <v>211</v>
      </c>
      <c r="M366" s="30" t="s">
        <v>1551</v>
      </c>
      <c r="N366" s="30" t="s">
        <v>1552</v>
      </c>
      <c r="O366" s="30" t="s">
        <v>83</v>
      </c>
      <c r="P366" s="33">
        <v>46260</v>
      </c>
      <c r="Q366" s="33">
        <v>46260</v>
      </c>
      <c r="R366" s="32">
        <v>1</v>
      </c>
      <c r="S366" s="30" t="s">
        <v>84</v>
      </c>
      <c r="T366" s="30" t="s">
        <v>337</v>
      </c>
      <c r="U366" s="30" t="s">
        <v>160</v>
      </c>
      <c r="V366" s="30" t="s">
        <v>87</v>
      </c>
      <c r="W366" s="30" t="s">
        <v>88</v>
      </c>
      <c r="X366" s="30" t="s">
        <v>197</v>
      </c>
      <c r="Y366" s="30" t="s">
        <v>1275</v>
      </c>
      <c r="AB366" s="30" t="b">
        <v>0</v>
      </c>
      <c r="AC366" s="30"/>
      <c r="AD366" s="30" t="b">
        <v>0</v>
      </c>
      <c r="AF366" s="30" t="b">
        <v>0</v>
      </c>
      <c r="AH366" s="32" t="s">
        <v>91</v>
      </c>
      <c r="AI366" s="32"/>
      <c r="AJ366" s="32"/>
      <c r="AK366" s="32"/>
      <c r="AL366" s="30" t="s">
        <v>92</v>
      </c>
      <c r="AM366" s="30" t="s">
        <v>93</v>
      </c>
      <c r="AN366" s="30" t="s">
        <v>199</v>
      </c>
      <c r="AO366" s="30" t="s">
        <v>200</v>
      </c>
      <c r="AP366" s="30" t="s">
        <v>201</v>
      </c>
      <c r="AQ366" s="30" t="s">
        <v>202</v>
      </c>
      <c r="AR366" s="30" t="s">
        <v>145</v>
      </c>
      <c r="AT366" s="30" t="s">
        <v>99</v>
      </c>
      <c r="AU366" s="30" t="s">
        <v>100</v>
      </c>
      <c r="AV366" s="30" t="s">
        <v>101</v>
      </c>
      <c r="AW366" s="30" t="s">
        <v>102</v>
      </c>
      <c r="AX366" s="34" t="s">
        <v>160</v>
      </c>
      <c r="AY366" s="34" t="s">
        <v>149</v>
      </c>
      <c r="AZ366" s="34" t="s">
        <v>149</v>
      </c>
      <c r="BA366" s="34"/>
      <c r="BB366" s="34"/>
      <c r="BC366" s="34">
        <v>0</v>
      </c>
      <c r="BD366" s="34"/>
      <c r="BE366" s="34"/>
      <c r="BF366" s="34" t="b">
        <v>0</v>
      </c>
      <c r="BG366" s="34"/>
      <c r="BH366" s="34"/>
      <c r="BI366" s="34"/>
      <c r="BJ366" s="34"/>
      <c r="BK366" s="34"/>
      <c r="BL366" s="34"/>
      <c r="BM366" s="34" t="s">
        <v>168</v>
      </c>
      <c r="BN366" s="34"/>
      <c r="BO366" s="35"/>
      <c r="BP366" s="35"/>
      <c r="BQ366" s="35" t="s">
        <v>108</v>
      </c>
      <c r="BR366" s="36" t="e">
        <f>VLOOKUP(BQ366, Cat_Indicadores!B:C, 2, FALSE)</f>
        <v>#N/A</v>
      </c>
      <c r="BS366" s="35" t="s">
        <v>5592</v>
      </c>
      <c r="BT366" s="35"/>
    </row>
    <row r="367" spans="1:72">
      <c r="A367" s="29" t="s">
        <v>1553</v>
      </c>
      <c r="B367" s="30" t="s">
        <v>1554</v>
      </c>
      <c r="C367" s="31">
        <v>46276.420532407406</v>
      </c>
      <c r="D367" s="30">
        <v>92</v>
      </c>
      <c r="E367" s="30" t="s">
        <v>74</v>
      </c>
      <c r="F367" s="30" t="s">
        <v>75</v>
      </c>
      <c r="G367" s="30" t="s">
        <v>133</v>
      </c>
      <c r="H367" s="30" t="s">
        <v>77</v>
      </c>
      <c r="I367" s="30" t="s">
        <v>78</v>
      </c>
      <c r="J367" s="30" t="s">
        <v>79</v>
      </c>
      <c r="K367" s="32">
        <v>800</v>
      </c>
      <c r="L367" s="32" t="s">
        <v>211</v>
      </c>
      <c r="M367" s="30" t="s">
        <v>1551</v>
      </c>
      <c r="N367" s="30" t="s">
        <v>1552</v>
      </c>
      <c r="O367" s="30" t="s">
        <v>83</v>
      </c>
      <c r="P367" s="33">
        <v>46253</v>
      </c>
      <c r="Q367" s="33">
        <v>46253</v>
      </c>
      <c r="R367" s="32">
        <v>1</v>
      </c>
      <c r="S367" s="30" t="s">
        <v>84</v>
      </c>
      <c r="T367" s="30" t="s">
        <v>337</v>
      </c>
      <c r="U367" s="30" t="s">
        <v>160</v>
      </c>
      <c r="V367" s="30" t="s">
        <v>87</v>
      </c>
      <c r="W367" s="30" t="s">
        <v>88</v>
      </c>
      <c r="X367" s="30" t="s">
        <v>197</v>
      </c>
      <c r="Y367" s="30" t="s">
        <v>1477</v>
      </c>
      <c r="AB367" s="30" t="b">
        <v>0</v>
      </c>
      <c r="AC367" s="30"/>
      <c r="AD367" s="30" t="b">
        <v>0</v>
      </c>
      <c r="AF367" s="30" t="b">
        <v>0</v>
      </c>
      <c r="AH367" s="32" t="s">
        <v>91</v>
      </c>
      <c r="AI367" s="32"/>
      <c r="AJ367" s="32"/>
      <c r="AK367" s="32"/>
      <c r="AL367" s="30" t="s">
        <v>92</v>
      </c>
      <c r="AM367" s="30" t="s">
        <v>93</v>
      </c>
      <c r="AN367" s="30" t="s">
        <v>199</v>
      </c>
      <c r="AO367" s="30" t="s">
        <v>200</v>
      </c>
      <c r="AP367" s="30" t="s">
        <v>201</v>
      </c>
      <c r="AQ367" s="30" t="s">
        <v>202</v>
      </c>
      <c r="AR367" s="30" t="s">
        <v>145</v>
      </c>
      <c r="AT367" s="30" t="s">
        <v>99</v>
      </c>
      <c r="AU367" s="30" t="s">
        <v>100</v>
      </c>
      <c r="AV367" s="30" t="s">
        <v>101</v>
      </c>
      <c r="AW367" s="30" t="s">
        <v>102</v>
      </c>
      <c r="AX367" s="34" t="s">
        <v>160</v>
      </c>
      <c r="AY367" s="34" t="s">
        <v>149</v>
      </c>
      <c r="AZ367" s="34" t="s">
        <v>149</v>
      </c>
      <c r="BA367" s="34"/>
      <c r="BB367" s="34"/>
      <c r="BC367" s="34">
        <v>0</v>
      </c>
      <c r="BD367" s="34"/>
      <c r="BE367" s="34"/>
      <c r="BF367" s="34" t="b">
        <v>0</v>
      </c>
      <c r="BG367" s="34"/>
      <c r="BH367" s="34"/>
      <c r="BI367" s="34"/>
      <c r="BJ367" s="34"/>
      <c r="BK367" s="34"/>
      <c r="BL367" s="34"/>
      <c r="BM367" s="34" t="s">
        <v>168</v>
      </c>
      <c r="BN367" s="34"/>
      <c r="BO367" s="35"/>
      <c r="BP367" s="35"/>
      <c r="BQ367" s="35" t="s">
        <v>108</v>
      </c>
      <c r="BR367" s="36" t="e">
        <f>VLOOKUP(BQ367, Cat_Indicadores!B:C, 2, FALSE)</f>
        <v>#N/A</v>
      </c>
      <c r="BS367" s="35" t="s">
        <v>5592</v>
      </c>
      <c r="BT367" s="35"/>
    </row>
    <row r="368" spans="1:72">
      <c r="A368" s="29" t="s">
        <v>1555</v>
      </c>
      <c r="B368" s="30" t="s">
        <v>1556</v>
      </c>
      <c r="C368" s="31">
        <v>46276.445555555554</v>
      </c>
      <c r="D368" s="30">
        <v>92</v>
      </c>
      <c r="E368" s="30" t="s">
        <v>74</v>
      </c>
      <c r="F368" s="30" t="s">
        <v>75</v>
      </c>
      <c r="G368" s="30" t="s">
        <v>133</v>
      </c>
      <c r="H368" s="30" t="s">
        <v>77</v>
      </c>
      <c r="I368" s="30" t="s">
        <v>78</v>
      </c>
      <c r="J368" s="30" t="s">
        <v>79</v>
      </c>
      <c r="K368" s="32">
        <v>800</v>
      </c>
      <c r="L368" s="32" t="s">
        <v>211</v>
      </c>
      <c r="M368" s="30" t="s">
        <v>1557</v>
      </c>
      <c r="N368" s="30" t="s">
        <v>1558</v>
      </c>
      <c r="O368" s="30" t="s">
        <v>83</v>
      </c>
      <c r="P368" s="33">
        <v>46254</v>
      </c>
      <c r="Q368" s="33">
        <v>46254</v>
      </c>
      <c r="R368" s="32">
        <v>1</v>
      </c>
      <c r="S368" s="30" t="s">
        <v>84</v>
      </c>
      <c r="T368" s="30" t="s">
        <v>337</v>
      </c>
      <c r="U368" s="30" t="s">
        <v>184</v>
      </c>
      <c r="V368" s="30" t="s">
        <v>87</v>
      </c>
      <c r="W368" s="30" t="s">
        <v>88</v>
      </c>
      <c r="X368" s="30" t="s">
        <v>197</v>
      </c>
      <c r="Y368" s="30" t="s">
        <v>1275</v>
      </c>
      <c r="AB368" s="30" t="b">
        <v>0</v>
      </c>
      <c r="AC368" s="30"/>
      <c r="AD368" s="30" t="b">
        <v>0</v>
      </c>
      <c r="AF368" s="30" t="b">
        <v>0</v>
      </c>
      <c r="AH368" s="32" t="s">
        <v>91</v>
      </c>
      <c r="AI368" s="32"/>
      <c r="AJ368" s="32"/>
      <c r="AK368" s="32"/>
      <c r="AL368" s="30" t="s">
        <v>92</v>
      </c>
      <c r="AM368" s="30" t="s">
        <v>93</v>
      </c>
      <c r="AN368" s="30" t="s">
        <v>199</v>
      </c>
      <c r="AO368" s="30" t="s">
        <v>200</v>
      </c>
      <c r="AP368" s="30" t="s">
        <v>201</v>
      </c>
      <c r="AQ368" s="30" t="s">
        <v>202</v>
      </c>
      <c r="AR368" s="30" t="s">
        <v>145</v>
      </c>
      <c r="AT368" s="30" t="s">
        <v>99</v>
      </c>
      <c r="AU368" s="30" t="s">
        <v>100</v>
      </c>
      <c r="AV368" s="30" t="s">
        <v>101</v>
      </c>
      <c r="AW368" s="30" t="s">
        <v>102</v>
      </c>
      <c r="AX368" s="34" t="s">
        <v>184</v>
      </c>
      <c r="AY368" s="34" t="s">
        <v>149</v>
      </c>
      <c r="AZ368" s="34" t="s">
        <v>149</v>
      </c>
      <c r="BA368" s="34"/>
      <c r="BB368" s="34"/>
      <c r="BC368" s="34">
        <v>0</v>
      </c>
      <c r="BD368" s="34"/>
      <c r="BE368" s="34"/>
      <c r="BF368" s="34" t="b">
        <v>0</v>
      </c>
      <c r="BG368" s="34"/>
      <c r="BH368" s="34"/>
      <c r="BI368" s="34"/>
      <c r="BJ368" s="34"/>
      <c r="BK368" s="34"/>
      <c r="BL368" s="34"/>
      <c r="BM368" s="34" t="s">
        <v>168</v>
      </c>
      <c r="BN368" s="34"/>
      <c r="BO368" s="35"/>
      <c r="BP368" s="35"/>
      <c r="BQ368" s="35" t="s">
        <v>108</v>
      </c>
      <c r="BR368" s="36" t="e">
        <f>VLOOKUP(BQ368, Cat_Indicadores!B:C, 2, FALSE)</f>
        <v>#N/A</v>
      </c>
      <c r="BS368" s="35" t="s">
        <v>5592</v>
      </c>
      <c r="BT368" s="35"/>
    </row>
    <row r="369" spans="1:72">
      <c r="A369" s="29" t="s">
        <v>1559</v>
      </c>
      <c r="B369" s="30" t="s">
        <v>1560</v>
      </c>
      <c r="C369" s="31">
        <v>46276.471504629626</v>
      </c>
      <c r="D369" s="30">
        <v>92</v>
      </c>
      <c r="E369" s="30" t="s">
        <v>74</v>
      </c>
      <c r="F369" s="30" t="s">
        <v>75</v>
      </c>
      <c r="G369" s="30" t="s">
        <v>133</v>
      </c>
      <c r="H369" s="30" t="s">
        <v>77</v>
      </c>
      <c r="I369" s="30" t="s">
        <v>78</v>
      </c>
      <c r="J369" s="30" t="s">
        <v>79</v>
      </c>
      <c r="K369" s="32">
        <v>800</v>
      </c>
      <c r="L369" s="32" t="s">
        <v>211</v>
      </c>
      <c r="M369" s="30" t="s">
        <v>1527</v>
      </c>
      <c r="N369" s="30" t="s">
        <v>402</v>
      </c>
      <c r="O369" s="30" t="s">
        <v>83</v>
      </c>
      <c r="P369" s="33">
        <v>46259</v>
      </c>
      <c r="Q369" s="33">
        <v>46259</v>
      </c>
      <c r="R369" s="32">
        <v>1</v>
      </c>
      <c r="S369" s="30" t="s">
        <v>84</v>
      </c>
      <c r="T369" s="30" t="s">
        <v>337</v>
      </c>
      <c r="U369" s="30" t="s">
        <v>338</v>
      </c>
      <c r="V369" s="30" t="s">
        <v>87</v>
      </c>
      <c r="W369" s="30" t="s">
        <v>88</v>
      </c>
      <c r="X369" s="30" t="s">
        <v>197</v>
      </c>
      <c r="Y369" s="30" t="s">
        <v>1282</v>
      </c>
      <c r="AB369" s="30" t="b">
        <v>0</v>
      </c>
      <c r="AC369" s="30"/>
      <c r="AD369" s="30" t="b">
        <v>0</v>
      </c>
      <c r="AF369" s="30" t="b">
        <v>0</v>
      </c>
      <c r="AH369" s="32" t="s">
        <v>91</v>
      </c>
      <c r="AI369" s="32"/>
      <c r="AJ369" s="32"/>
      <c r="AK369" s="32"/>
      <c r="AL369" s="30" t="s">
        <v>92</v>
      </c>
      <c r="AM369" s="30" t="s">
        <v>93</v>
      </c>
      <c r="AN369" s="30" t="s">
        <v>199</v>
      </c>
      <c r="AO369" s="30" t="s">
        <v>200</v>
      </c>
      <c r="AP369" s="30" t="s">
        <v>201</v>
      </c>
      <c r="AQ369" s="30" t="s">
        <v>202</v>
      </c>
      <c r="AR369" s="30" t="s">
        <v>145</v>
      </c>
      <c r="AT369" s="30" t="s">
        <v>99</v>
      </c>
      <c r="AU369" s="30" t="s">
        <v>100</v>
      </c>
      <c r="AV369" s="30" t="s">
        <v>101</v>
      </c>
      <c r="AW369" s="30" t="s">
        <v>102</v>
      </c>
      <c r="AX369" s="34" t="s">
        <v>338</v>
      </c>
      <c r="AY369" s="34" t="s">
        <v>149</v>
      </c>
      <c r="AZ369" s="34" t="s">
        <v>149</v>
      </c>
      <c r="BA369" s="34"/>
      <c r="BB369" s="34"/>
      <c r="BC369" s="34">
        <v>0</v>
      </c>
      <c r="BD369" s="34"/>
      <c r="BE369" s="34"/>
      <c r="BF369" s="34" t="b">
        <v>0</v>
      </c>
      <c r="BG369" s="34"/>
      <c r="BH369" s="34"/>
      <c r="BI369" s="34"/>
      <c r="BJ369" s="34"/>
      <c r="BK369" s="34"/>
      <c r="BL369" s="34"/>
      <c r="BM369" s="34" t="s">
        <v>168</v>
      </c>
      <c r="BN369" s="34"/>
      <c r="BO369" s="35"/>
      <c r="BP369" s="35"/>
      <c r="BQ369" s="35" t="s">
        <v>108</v>
      </c>
      <c r="BR369" s="36" t="e">
        <f>VLOOKUP(BQ369, Cat_Indicadores!B:C, 2, FALSE)</f>
        <v>#N/A</v>
      </c>
      <c r="BS369" s="35" t="s">
        <v>5592</v>
      </c>
      <c r="BT369" s="35"/>
    </row>
    <row r="370" spans="1:72">
      <c r="A370" s="29" t="s">
        <v>1561</v>
      </c>
      <c r="B370" s="30" t="s">
        <v>1562</v>
      </c>
      <c r="C370" s="31">
        <v>46276.508148148147</v>
      </c>
      <c r="D370" s="30">
        <v>92</v>
      </c>
      <c r="E370" s="30" t="s">
        <v>74</v>
      </c>
      <c r="F370" s="30" t="s">
        <v>75</v>
      </c>
      <c r="G370" s="30" t="s">
        <v>133</v>
      </c>
      <c r="H370" s="30" t="s">
        <v>77</v>
      </c>
      <c r="I370" s="30" t="s">
        <v>78</v>
      </c>
      <c r="J370" s="30" t="s">
        <v>79</v>
      </c>
      <c r="K370" s="32">
        <v>800</v>
      </c>
      <c r="L370" s="32" t="s">
        <v>211</v>
      </c>
      <c r="M370" s="30" t="s">
        <v>1527</v>
      </c>
      <c r="N370" s="30" t="s">
        <v>402</v>
      </c>
      <c r="O370" s="30" t="s">
        <v>83</v>
      </c>
      <c r="P370" s="33">
        <v>46262</v>
      </c>
      <c r="Q370" s="33">
        <v>46262</v>
      </c>
      <c r="R370" s="32">
        <v>1</v>
      </c>
      <c r="S370" s="30" t="s">
        <v>84</v>
      </c>
      <c r="T370" s="30" t="s">
        <v>337</v>
      </c>
      <c r="U370" s="30" t="s">
        <v>338</v>
      </c>
      <c r="V370" s="30" t="s">
        <v>87</v>
      </c>
      <c r="W370" s="30" t="s">
        <v>88</v>
      </c>
      <c r="X370" s="30" t="s">
        <v>197</v>
      </c>
      <c r="Y370" s="30" t="s">
        <v>1282</v>
      </c>
      <c r="AB370" s="30" t="b">
        <v>0</v>
      </c>
      <c r="AC370" s="30"/>
      <c r="AD370" s="30" t="b">
        <v>0</v>
      </c>
      <c r="AF370" s="30" t="b">
        <v>0</v>
      </c>
      <c r="AH370" s="32" t="s">
        <v>91</v>
      </c>
      <c r="AI370" s="32"/>
      <c r="AJ370" s="32"/>
      <c r="AK370" s="32"/>
      <c r="AL370" s="30" t="s">
        <v>92</v>
      </c>
      <c r="AM370" s="30" t="s">
        <v>93</v>
      </c>
      <c r="AN370" s="30" t="s">
        <v>199</v>
      </c>
      <c r="AO370" s="30" t="s">
        <v>200</v>
      </c>
      <c r="AP370" s="30" t="s">
        <v>201</v>
      </c>
      <c r="AQ370" s="30" t="s">
        <v>202</v>
      </c>
      <c r="AR370" s="30" t="s">
        <v>145</v>
      </c>
      <c r="AT370" s="30" t="s">
        <v>99</v>
      </c>
      <c r="AU370" s="30" t="s">
        <v>100</v>
      </c>
      <c r="AV370" s="30" t="s">
        <v>101</v>
      </c>
      <c r="AW370" s="30" t="s">
        <v>102</v>
      </c>
      <c r="AX370" s="34" t="s">
        <v>338</v>
      </c>
      <c r="AY370" s="34" t="s">
        <v>149</v>
      </c>
      <c r="AZ370" s="34" t="s">
        <v>149</v>
      </c>
      <c r="BA370" s="34"/>
      <c r="BB370" s="34"/>
      <c r="BC370" s="34">
        <v>0</v>
      </c>
      <c r="BD370" s="34"/>
      <c r="BE370" s="34"/>
      <c r="BF370" s="34" t="b">
        <v>0</v>
      </c>
      <c r="BG370" s="34"/>
      <c r="BH370" s="34"/>
      <c r="BI370" s="34"/>
      <c r="BJ370" s="34"/>
      <c r="BK370" s="34"/>
      <c r="BL370" s="34"/>
      <c r="BM370" s="34" t="s">
        <v>168</v>
      </c>
      <c r="BN370" s="34"/>
      <c r="BO370" s="35"/>
      <c r="BP370" s="35"/>
      <c r="BQ370" s="35" t="s">
        <v>108</v>
      </c>
      <c r="BR370" s="36" t="e">
        <f>VLOOKUP(BQ370, Cat_Indicadores!B:C, 2, FALSE)</f>
        <v>#N/A</v>
      </c>
      <c r="BS370" s="35" t="s">
        <v>5592</v>
      </c>
      <c r="BT370" s="35"/>
    </row>
    <row r="371" spans="1:72">
      <c r="A371" s="29" t="s">
        <v>1563</v>
      </c>
      <c r="B371" s="30" t="s">
        <v>1564</v>
      </c>
      <c r="C371" s="31">
        <v>46276.511770833335</v>
      </c>
      <c r="D371" s="30">
        <v>92</v>
      </c>
      <c r="E371" s="30" t="s">
        <v>74</v>
      </c>
      <c r="F371" s="30" t="s">
        <v>75</v>
      </c>
      <c r="G371" s="30" t="s">
        <v>133</v>
      </c>
      <c r="H371" s="30" t="s">
        <v>77</v>
      </c>
      <c r="I371" s="30" t="s">
        <v>78</v>
      </c>
      <c r="J371" s="30" t="s">
        <v>79</v>
      </c>
      <c r="K371" s="32">
        <v>800</v>
      </c>
      <c r="L371" s="32" t="s">
        <v>211</v>
      </c>
      <c r="M371" s="30" t="s">
        <v>1527</v>
      </c>
      <c r="N371" s="30" t="s">
        <v>402</v>
      </c>
      <c r="O371" s="30" t="s">
        <v>83</v>
      </c>
      <c r="P371" s="33">
        <v>46261</v>
      </c>
      <c r="Q371" s="33">
        <v>46261</v>
      </c>
      <c r="R371" s="32">
        <v>1</v>
      </c>
      <c r="S371" s="30" t="s">
        <v>84</v>
      </c>
      <c r="T371" s="30" t="s">
        <v>337</v>
      </c>
      <c r="U371" s="30" t="s">
        <v>338</v>
      </c>
      <c r="V371" s="30" t="s">
        <v>87</v>
      </c>
      <c r="W371" s="30" t="s">
        <v>88</v>
      </c>
      <c r="X371" s="30" t="s">
        <v>197</v>
      </c>
      <c r="Y371" s="30" t="s">
        <v>1282</v>
      </c>
      <c r="AB371" s="30" t="b">
        <v>0</v>
      </c>
      <c r="AC371" s="30"/>
      <c r="AD371" s="30" t="b">
        <v>0</v>
      </c>
      <c r="AF371" s="30" t="b">
        <v>0</v>
      </c>
      <c r="AH371" s="32" t="s">
        <v>91</v>
      </c>
      <c r="AI371" s="32"/>
      <c r="AJ371" s="32"/>
      <c r="AK371" s="32"/>
      <c r="AL371" s="30" t="s">
        <v>92</v>
      </c>
      <c r="AM371" s="30" t="s">
        <v>93</v>
      </c>
      <c r="AN371" s="30" t="s">
        <v>199</v>
      </c>
      <c r="AO371" s="30" t="s">
        <v>200</v>
      </c>
      <c r="AP371" s="30" t="s">
        <v>201</v>
      </c>
      <c r="AQ371" s="30" t="s">
        <v>202</v>
      </c>
      <c r="AR371" s="30" t="s">
        <v>145</v>
      </c>
      <c r="AT371" s="30" t="s">
        <v>99</v>
      </c>
      <c r="AU371" s="30" t="s">
        <v>100</v>
      </c>
      <c r="AV371" s="30" t="s">
        <v>101</v>
      </c>
      <c r="AW371" s="30" t="s">
        <v>102</v>
      </c>
      <c r="AX371" s="34" t="s">
        <v>338</v>
      </c>
      <c r="AY371" s="34" t="s">
        <v>149</v>
      </c>
      <c r="AZ371" s="34" t="s">
        <v>149</v>
      </c>
      <c r="BA371" s="34"/>
      <c r="BB371" s="34"/>
      <c r="BC371" s="34">
        <v>0</v>
      </c>
      <c r="BD371" s="34"/>
      <c r="BE371" s="34"/>
      <c r="BF371" s="34" t="b">
        <v>0</v>
      </c>
      <c r="BG371" s="34"/>
      <c r="BH371" s="34"/>
      <c r="BI371" s="34"/>
      <c r="BJ371" s="34"/>
      <c r="BK371" s="34"/>
      <c r="BL371" s="34"/>
      <c r="BM371" s="34" t="s">
        <v>168</v>
      </c>
      <c r="BN371" s="34"/>
      <c r="BO371" s="35"/>
      <c r="BP371" s="35"/>
      <c r="BQ371" s="35" t="s">
        <v>108</v>
      </c>
      <c r="BR371" s="36" t="e">
        <f>VLOOKUP(BQ371, Cat_Indicadores!B:C, 2, FALSE)</f>
        <v>#N/A</v>
      </c>
      <c r="BS371" s="35" t="s">
        <v>5592</v>
      </c>
      <c r="BT371" s="35"/>
    </row>
    <row r="372" spans="1:72">
      <c r="A372" s="29" t="s">
        <v>1565</v>
      </c>
      <c r="B372" s="30" t="s">
        <v>1566</v>
      </c>
      <c r="C372" s="31">
        <v>46276.5153125</v>
      </c>
      <c r="D372" s="30">
        <v>92</v>
      </c>
      <c r="E372" s="30" t="s">
        <v>74</v>
      </c>
      <c r="F372" s="30" t="s">
        <v>75</v>
      </c>
      <c r="G372" s="30" t="s">
        <v>133</v>
      </c>
      <c r="H372" s="30" t="s">
        <v>77</v>
      </c>
      <c r="I372" s="30" t="s">
        <v>78</v>
      </c>
      <c r="J372" s="30" t="s">
        <v>79</v>
      </c>
      <c r="K372" s="32">
        <v>800</v>
      </c>
      <c r="L372" s="32" t="s">
        <v>211</v>
      </c>
      <c r="M372" s="30" t="s">
        <v>1527</v>
      </c>
      <c r="N372" s="30" t="s">
        <v>402</v>
      </c>
      <c r="O372" s="30" t="s">
        <v>83</v>
      </c>
      <c r="P372" s="33">
        <v>46261</v>
      </c>
      <c r="Q372" s="33">
        <v>46261</v>
      </c>
      <c r="R372" s="32">
        <v>1</v>
      </c>
      <c r="S372" s="30" t="s">
        <v>84</v>
      </c>
      <c r="T372" s="30" t="s">
        <v>337</v>
      </c>
      <c r="U372" s="30" t="s">
        <v>338</v>
      </c>
      <c r="V372" s="30" t="s">
        <v>87</v>
      </c>
      <c r="W372" s="30" t="s">
        <v>88</v>
      </c>
      <c r="X372" s="30" t="s">
        <v>197</v>
      </c>
      <c r="Y372" s="30" t="s">
        <v>1282</v>
      </c>
      <c r="AB372" s="30" t="b">
        <v>0</v>
      </c>
      <c r="AC372" s="30"/>
      <c r="AD372" s="30" t="b">
        <v>0</v>
      </c>
      <c r="AF372" s="30" t="b">
        <v>0</v>
      </c>
      <c r="AH372" s="32" t="s">
        <v>91</v>
      </c>
      <c r="AI372" s="32"/>
      <c r="AJ372" s="32"/>
      <c r="AK372" s="32"/>
      <c r="AL372" s="30" t="s">
        <v>92</v>
      </c>
      <c r="AM372" s="30" t="s">
        <v>93</v>
      </c>
      <c r="AN372" s="30" t="s">
        <v>199</v>
      </c>
      <c r="AO372" s="30" t="s">
        <v>200</v>
      </c>
      <c r="AP372" s="30" t="s">
        <v>201</v>
      </c>
      <c r="AQ372" s="30" t="s">
        <v>202</v>
      </c>
      <c r="AR372" s="30" t="s">
        <v>145</v>
      </c>
      <c r="AT372" s="30" t="s">
        <v>99</v>
      </c>
      <c r="AU372" s="30" t="s">
        <v>100</v>
      </c>
      <c r="AV372" s="30" t="s">
        <v>101</v>
      </c>
      <c r="AW372" s="30" t="s">
        <v>102</v>
      </c>
      <c r="AX372" s="34" t="s">
        <v>338</v>
      </c>
      <c r="AY372" s="34" t="s">
        <v>149</v>
      </c>
      <c r="AZ372" s="34" t="s">
        <v>149</v>
      </c>
      <c r="BA372" s="34"/>
      <c r="BB372" s="34"/>
      <c r="BC372" s="34">
        <v>0</v>
      </c>
      <c r="BD372" s="34"/>
      <c r="BE372" s="34"/>
      <c r="BF372" s="34" t="b">
        <v>0</v>
      </c>
      <c r="BG372" s="34"/>
      <c r="BH372" s="34"/>
      <c r="BI372" s="34"/>
      <c r="BJ372" s="34"/>
      <c r="BK372" s="34"/>
      <c r="BL372" s="34"/>
      <c r="BM372" s="34" t="s">
        <v>168</v>
      </c>
      <c r="BN372" s="34"/>
      <c r="BO372" s="35"/>
      <c r="BP372" s="35"/>
      <c r="BQ372" s="35" t="s">
        <v>108</v>
      </c>
      <c r="BR372" s="36" t="e">
        <f>VLOOKUP(BQ372, Cat_Indicadores!B:C, 2, FALSE)</f>
        <v>#N/A</v>
      </c>
      <c r="BS372" s="35" t="s">
        <v>5592</v>
      </c>
      <c r="BT372" s="35"/>
    </row>
    <row r="373" spans="1:72">
      <c r="A373" s="29" t="s">
        <v>1567</v>
      </c>
      <c r="B373" s="30" t="s">
        <v>1568</v>
      </c>
      <c r="C373" s="31">
        <v>46276.520115740743</v>
      </c>
      <c r="D373" s="30">
        <v>92</v>
      </c>
      <c r="E373" s="30" t="s">
        <v>74</v>
      </c>
      <c r="F373" s="30" t="s">
        <v>75</v>
      </c>
      <c r="G373" s="30" t="s">
        <v>133</v>
      </c>
      <c r="H373" s="30" t="s">
        <v>77</v>
      </c>
      <c r="I373" s="30" t="s">
        <v>78</v>
      </c>
      <c r="J373" s="30" t="s">
        <v>79</v>
      </c>
      <c r="K373" s="32">
        <v>800</v>
      </c>
      <c r="L373" s="32" t="s">
        <v>211</v>
      </c>
      <c r="M373" s="30" t="s">
        <v>1569</v>
      </c>
      <c r="N373" s="30" t="s">
        <v>402</v>
      </c>
      <c r="O373" s="30" t="s">
        <v>83</v>
      </c>
      <c r="P373" s="33">
        <v>46248</v>
      </c>
      <c r="Q373" s="33">
        <v>46248</v>
      </c>
      <c r="R373" s="32">
        <v>1</v>
      </c>
      <c r="S373" s="30" t="s">
        <v>84</v>
      </c>
      <c r="T373" s="30" t="s">
        <v>337</v>
      </c>
      <c r="U373" s="30" t="s">
        <v>338</v>
      </c>
      <c r="V373" s="30" t="s">
        <v>87</v>
      </c>
      <c r="W373" s="30" t="s">
        <v>88</v>
      </c>
      <c r="X373" s="30" t="s">
        <v>197</v>
      </c>
      <c r="Y373" s="30" t="s">
        <v>1275</v>
      </c>
      <c r="AB373" s="30" t="b">
        <v>0</v>
      </c>
      <c r="AC373" s="30"/>
      <c r="AD373" s="30" t="b">
        <v>0</v>
      </c>
      <c r="AF373" s="30" t="b">
        <v>0</v>
      </c>
      <c r="AH373" s="32" t="s">
        <v>91</v>
      </c>
      <c r="AI373" s="32"/>
      <c r="AJ373" s="32"/>
      <c r="AK373" s="32"/>
      <c r="AL373" s="30" t="s">
        <v>92</v>
      </c>
      <c r="AM373" s="30" t="s">
        <v>93</v>
      </c>
      <c r="AN373" s="30" t="s">
        <v>199</v>
      </c>
      <c r="AO373" s="30" t="s">
        <v>200</v>
      </c>
      <c r="AP373" s="30" t="s">
        <v>201</v>
      </c>
      <c r="AQ373" s="30" t="s">
        <v>202</v>
      </c>
      <c r="AR373" s="30" t="s">
        <v>145</v>
      </c>
      <c r="AT373" s="30" t="s">
        <v>99</v>
      </c>
      <c r="AU373" s="30" t="s">
        <v>100</v>
      </c>
      <c r="AV373" s="30" t="s">
        <v>101</v>
      </c>
      <c r="AW373" s="30" t="s">
        <v>102</v>
      </c>
      <c r="AX373" s="34" t="s">
        <v>338</v>
      </c>
      <c r="AY373" s="34" t="s">
        <v>149</v>
      </c>
      <c r="AZ373" s="34" t="s">
        <v>149</v>
      </c>
      <c r="BA373" s="34"/>
      <c r="BB373" s="34"/>
      <c r="BC373" s="34">
        <v>0</v>
      </c>
      <c r="BD373" s="34"/>
      <c r="BE373" s="34"/>
      <c r="BF373" s="34" t="b">
        <v>0</v>
      </c>
      <c r="BG373" s="34"/>
      <c r="BH373" s="34"/>
      <c r="BI373" s="34"/>
      <c r="BJ373" s="34"/>
      <c r="BK373" s="34"/>
      <c r="BL373" s="34"/>
      <c r="BM373" s="34" t="s">
        <v>168</v>
      </c>
      <c r="BN373" s="34"/>
      <c r="BO373" s="35"/>
      <c r="BP373" s="35"/>
      <c r="BQ373" s="35" t="s">
        <v>108</v>
      </c>
      <c r="BR373" s="36" t="e">
        <f>VLOOKUP(BQ373, Cat_Indicadores!B:C, 2, FALSE)</f>
        <v>#N/A</v>
      </c>
      <c r="BS373" s="35" t="s">
        <v>5592</v>
      </c>
      <c r="BT373" s="35"/>
    </row>
    <row r="374" spans="1:72">
      <c r="A374" s="29" t="s">
        <v>1570</v>
      </c>
      <c r="B374" s="30" t="s">
        <v>1571</v>
      </c>
      <c r="C374" s="31">
        <v>46276.527696759258</v>
      </c>
      <c r="D374" s="30">
        <v>92</v>
      </c>
      <c r="E374" s="30" t="s">
        <v>74</v>
      </c>
      <c r="F374" s="30" t="s">
        <v>75</v>
      </c>
      <c r="G374" s="30" t="s">
        <v>133</v>
      </c>
      <c r="H374" s="30" t="s">
        <v>77</v>
      </c>
      <c r="I374" s="30" t="s">
        <v>78</v>
      </c>
      <c r="J374" s="30" t="s">
        <v>79</v>
      </c>
      <c r="K374" s="32">
        <v>800</v>
      </c>
      <c r="L374" s="32" t="s">
        <v>211</v>
      </c>
      <c r="M374" s="30" t="s">
        <v>1572</v>
      </c>
      <c r="N374" s="30" t="s">
        <v>402</v>
      </c>
      <c r="O374" s="30" t="s">
        <v>83</v>
      </c>
      <c r="P374" s="33">
        <v>46252</v>
      </c>
      <c r="Q374" s="33">
        <v>46252</v>
      </c>
      <c r="R374" s="32">
        <v>1</v>
      </c>
      <c r="S374" s="30" t="s">
        <v>84</v>
      </c>
      <c r="T374" s="30" t="s">
        <v>337</v>
      </c>
      <c r="U374" s="30" t="s">
        <v>338</v>
      </c>
      <c r="V374" s="30" t="s">
        <v>87</v>
      </c>
      <c r="W374" s="30" t="s">
        <v>88</v>
      </c>
      <c r="X374" s="30" t="s">
        <v>197</v>
      </c>
      <c r="Y374" s="30" t="s">
        <v>1275</v>
      </c>
      <c r="AB374" s="30" t="b">
        <v>0</v>
      </c>
      <c r="AC374" s="30"/>
      <c r="AD374" s="30" t="b">
        <v>0</v>
      </c>
      <c r="AF374" s="30" t="b">
        <v>0</v>
      </c>
      <c r="AH374" s="32" t="s">
        <v>91</v>
      </c>
      <c r="AI374" s="32"/>
      <c r="AJ374" s="32"/>
      <c r="AK374" s="32"/>
      <c r="AL374" s="30" t="s">
        <v>92</v>
      </c>
      <c r="AM374" s="30" t="s">
        <v>93</v>
      </c>
      <c r="AN374" s="30" t="s">
        <v>199</v>
      </c>
      <c r="AO374" s="30" t="s">
        <v>200</v>
      </c>
      <c r="AP374" s="30" t="s">
        <v>201</v>
      </c>
      <c r="AQ374" s="30" t="s">
        <v>202</v>
      </c>
      <c r="AR374" s="30" t="s">
        <v>97</v>
      </c>
      <c r="AS374" s="30" t="s">
        <v>824</v>
      </c>
      <c r="AT374" s="30" t="s">
        <v>99</v>
      </c>
      <c r="AU374" s="30" t="s">
        <v>100</v>
      </c>
      <c r="AV374" s="30" t="s">
        <v>101</v>
      </c>
      <c r="AW374" s="30" t="s">
        <v>102</v>
      </c>
      <c r="AX374" s="34" t="s">
        <v>338</v>
      </c>
      <c r="AY374" s="34" t="s">
        <v>149</v>
      </c>
      <c r="AZ374" s="34" t="s">
        <v>149</v>
      </c>
      <c r="BA374" s="34"/>
      <c r="BB374" s="34"/>
      <c r="BC374" s="34">
        <v>0</v>
      </c>
      <c r="BD374" s="34"/>
      <c r="BE374" s="34"/>
      <c r="BF374" s="34" t="b">
        <v>0</v>
      </c>
      <c r="BG374" s="34"/>
      <c r="BH374" s="34"/>
      <c r="BI374" s="34"/>
      <c r="BJ374" s="34"/>
      <c r="BK374" s="34"/>
      <c r="BL374" s="34"/>
      <c r="BM374" s="34" t="s">
        <v>168</v>
      </c>
      <c r="BN374" s="34"/>
      <c r="BO374" s="35"/>
      <c r="BP374" s="35"/>
      <c r="BQ374" s="35" t="s">
        <v>108</v>
      </c>
      <c r="BR374" s="36" t="e">
        <f>VLOOKUP(BQ374, Cat_Indicadores!B:C, 2, FALSE)</f>
        <v>#N/A</v>
      </c>
      <c r="BS374" s="35" t="s">
        <v>5592</v>
      </c>
      <c r="BT374" s="35"/>
    </row>
    <row r="375" spans="1:72">
      <c r="A375" s="29"/>
      <c r="B375" s="30"/>
      <c r="C375" s="31"/>
      <c r="D375" s="30"/>
      <c r="E375" s="30"/>
      <c r="F375" s="30"/>
      <c r="G375" s="30"/>
      <c r="H375" s="30"/>
      <c r="I375" s="30"/>
      <c r="J375" s="30"/>
      <c r="K375" s="32"/>
      <c r="L375" s="32"/>
      <c r="M375" s="30"/>
      <c r="N375" s="30"/>
      <c r="O375" s="30"/>
      <c r="P375" s="33"/>
      <c r="Q375" s="33"/>
      <c r="R375" s="32"/>
      <c r="S375" s="30"/>
      <c r="T375" s="30"/>
      <c r="U375" s="30"/>
      <c r="V375" s="30"/>
      <c r="W375" s="30"/>
      <c r="X375" s="30"/>
      <c r="Y375" s="30"/>
      <c r="AB375" s="30"/>
      <c r="AC375" s="30"/>
      <c r="AD375" s="30"/>
      <c r="AF375" s="30"/>
      <c r="AH375" s="32"/>
      <c r="AI375" s="32"/>
      <c r="AJ375" s="32"/>
      <c r="AK375" s="32"/>
      <c r="AL375" s="30"/>
      <c r="AM375" s="30"/>
      <c r="AN375" s="30"/>
      <c r="AO375" s="30"/>
      <c r="AP375" s="30"/>
      <c r="AQ375" s="30"/>
      <c r="AR375" s="30"/>
      <c r="AT375" s="30"/>
      <c r="AU375" s="30"/>
      <c r="AV375" s="30"/>
      <c r="AW375" s="30"/>
      <c r="AX375" s="34"/>
      <c r="AY375" s="34"/>
      <c r="AZ375" s="34"/>
      <c r="BA375" s="34"/>
      <c r="BB375" s="34"/>
      <c r="BC375" s="34"/>
      <c r="BD375" s="34"/>
      <c r="BE375" s="34"/>
      <c r="BF375" s="34"/>
      <c r="BG375" s="34"/>
      <c r="BH375" s="34"/>
      <c r="BI375" s="34"/>
      <c r="BJ375" s="34"/>
      <c r="BK375" s="34"/>
      <c r="BL375" s="34"/>
      <c r="BM375" s="34"/>
      <c r="BN375" s="34"/>
      <c r="BO375" s="35"/>
      <c r="BP375" s="35"/>
      <c r="BQ375" s="35"/>
      <c r="BR375" s="36"/>
      <c r="BS375" s="35"/>
      <c r="BT375" s="35"/>
    </row>
    <row r="376" spans="1:72">
      <c r="A376" s="29" t="s">
        <v>1573</v>
      </c>
      <c r="B376" s="30" t="s">
        <v>1574</v>
      </c>
      <c r="C376" s="31">
        <v>46276.540856481479</v>
      </c>
      <c r="D376" s="30">
        <v>92</v>
      </c>
      <c r="E376" s="30" t="s">
        <v>74</v>
      </c>
      <c r="F376" s="30" t="s">
        <v>75</v>
      </c>
      <c r="G376" s="30" t="s">
        <v>133</v>
      </c>
      <c r="H376" s="30" t="s">
        <v>77</v>
      </c>
      <c r="I376" s="30" t="s">
        <v>78</v>
      </c>
      <c r="J376" s="30" t="s">
        <v>79</v>
      </c>
      <c r="K376" s="32">
        <v>800</v>
      </c>
      <c r="L376" s="32" t="s">
        <v>211</v>
      </c>
      <c r="M376" s="30" t="s">
        <v>1575</v>
      </c>
      <c r="N376" s="30" t="s">
        <v>402</v>
      </c>
      <c r="O376" s="30" t="s">
        <v>83</v>
      </c>
      <c r="P376" s="33">
        <v>46259</v>
      </c>
      <c r="Q376" s="33">
        <v>46259</v>
      </c>
      <c r="R376" s="32">
        <v>1</v>
      </c>
      <c r="S376" s="30" t="s">
        <v>84</v>
      </c>
      <c r="T376" s="30" t="s">
        <v>337</v>
      </c>
      <c r="U376" s="30" t="s">
        <v>338</v>
      </c>
      <c r="V376" s="30" t="s">
        <v>87</v>
      </c>
      <c r="W376" s="30" t="s">
        <v>88</v>
      </c>
      <c r="X376" s="30" t="s">
        <v>197</v>
      </c>
      <c r="Y376" s="30" t="s">
        <v>1275</v>
      </c>
      <c r="AB376" s="30" t="b">
        <v>0</v>
      </c>
      <c r="AC376" s="30"/>
      <c r="AD376" s="30" t="b">
        <v>0</v>
      </c>
      <c r="AF376" s="30" t="b">
        <v>0</v>
      </c>
      <c r="AH376" s="32" t="s">
        <v>91</v>
      </c>
      <c r="AI376" s="32"/>
      <c r="AJ376" s="32"/>
      <c r="AK376" s="32"/>
      <c r="AL376" s="30" t="s">
        <v>92</v>
      </c>
      <c r="AM376" s="30" t="s">
        <v>93</v>
      </c>
      <c r="AN376" s="30" t="s">
        <v>199</v>
      </c>
      <c r="AO376" s="30" t="s">
        <v>200</v>
      </c>
      <c r="AP376" s="30" t="s">
        <v>201</v>
      </c>
      <c r="AQ376" s="30" t="s">
        <v>202</v>
      </c>
      <c r="AR376" s="30" t="s">
        <v>145</v>
      </c>
      <c r="AT376" s="30" t="s">
        <v>99</v>
      </c>
      <c r="AU376" s="30" t="s">
        <v>100</v>
      </c>
      <c r="AV376" s="30" t="s">
        <v>101</v>
      </c>
      <c r="AW376" s="30" t="s">
        <v>102</v>
      </c>
      <c r="AX376" s="34" t="s">
        <v>338</v>
      </c>
      <c r="AY376" s="34" t="s">
        <v>149</v>
      </c>
      <c r="AZ376" s="34" t="s">
        <v>149</v>
      </c>
      <c r="BA376" s="34"/>
      <c r="BB376" s="34"/>
      <c r="BC376" s="34">
        <v>0</v>
      </c>
      <c r="BD376" s="34"/>
      <c r="BE376" s="34"/>
      <c r="BF376" s="34" t="b">
        <v>0</v>
      </c>
      <c r="BG376" s="34"/>
      <c r="BH376" s="34"/>
      <c r="BI376" s="34"/>
      <c r="BJ376" s="34"/>
      <c r="BK376" s="34"/>
      <c r="BL376" s="34"/>
      <c r="BM376" s="34" t="s">
        <v>168</v>
      </c>
      <c r="BN376" s="34"/>
      <c r="BO376" s="35"/>
      <c r="BP376" s="35"/>
      <c r="BQ376" s="35" t="s">
        <v>108</v>
      </c>
      <c r="BR376" s="36" t="e">
        <f>VLOOKUP(BQ376, Cat_Indicadores!B:C, 2, FALSE)</f>
        <v>#N/A</v>
      </c>
      <c r="BS376" s="35" t="s">
        <v>5592</v>
      </c>
      <c r="BT376" s="35"/>
    </row>
    <row r="377" spans="1:72">
      <c r="A377" s="29" t="s">
        <v>1576</v>
      </c>
      <c r="B377" s="30" t="s">
        <v>1577</v>
      </c>
      <c r="C377" s="31">
        <v>46276.581064814818</v>
      </c>
      <c r="D377" s="30">
        <v>92</v>
      </c>
      <c r="E377" s="30" t="s">
        <v>74</v>
      </c>
      <c r="F377" s="30" t="s">
        <v>75</v>
      </c>
      <c r="G377" s="30" t="s">
        <v>133</v>
      </c>
      <c r="H377" s="30" t="s">
        <v>77</v>
      </c>
      <c r="I377" s="30" t="s">
        <v>78</v>
      </c>
      <c r="J377" s="30" t="s">
        <v>79</v>
      </c>
      <c r="K377" s="32">
        <v>800</v>
      </c>
      <c r="L377" s="32" t="s">
        <v>80</v>
      </c>
      <c r="M377" s="30" t="s">
        <v>1502</v>
      </c>
      <c r="N377" s="30" t="s">
        <v>1503</v>
      </c>
      <c r="O377" s="30" t="s">
        <v>83</v>
      </c>
      <c r="P377" s="33">
        <v>46222</v>
      </c>
      <c r="Q377" s="33">
        <v>46222</v>
      </c>
      <c r="R377" s="32">
        <v>1</v>
      </c>
      <c r="S377" s="30" t="s">
        <v>723</v>
      </c>
      <c r="T377" s="30" t="s">
        <v>750</v>
      </c>
      <c r="U377" s="30" t="s">
        <v>1504</v>
      </c>
      <c r="V377" s="30" t="s">
        <v>87</v>
      </c>
      <c r="W377" s="30" t="s">
        <v>88</v>
      </c>
      <c r="X377" s="30" t="s">
        <v>89</v>
      </c>
      <c r="Z377" s="30" t="s">
        <v>1505</v>
      </c>
      <c r="AB377" s="30" t="b">
        <v>0</v>
      </c>
      <c r="AC377" s="30"/>
      <c r="AD377" s="30" t="b">
        <v>0</v>
      </c>
      <c r="AF377" s="30" t="b">
        <v>0</v>
      </c>
      <c r="AH377" s="32" t="s">
        <v>91</v>
      </c>
      <c r="AI377" s="32"/>
      <c r="AJ377" s="32"/>
      <c r="AK377" s="32"/>
      <c r="AL377" s="30" t="s">
        <v>92</v>
      </c>
      <c r="AM377" s="30" t="s">
        <v>93</v>
      </c>
      <c r="AN377" s="30" t="s">
        <v>199</v>
      </c>
      <c r="AO377" s="30" t="s">
        <v>200</v>
      </c>
      <c r="AP377" s="30" t="s">
        <v>201</v>
      </c>
      <c r="AQ377" s="30" t="s">
        <v>202</v>
      </c>
      <c r="AR377" s="30" t="s">
        <v>145</v>
      </c>
      <c r="AT377" s="30" t="s">
        <v>99</v>
      </c>
      <c r="AU377" s="30" t="s">
        <v>100</v>
      </c>
      <c r="AV377" s="30" t="s">
        <v>101</v>
      </c>
      <c r="AW377" s="30" t="s">
        <v>102</v>
      </c>
      <c r="AX377" s="34" t="s">
        <v>1506</v>
      </c>
      <c r="AY377" s="34" t="s">
        <v>149</v>
      </c>
      <c r="AZ377" s="34"/>
      <c r="BA377" s="34"/>
      <c r="BB377" s="34"/>
      <c r="BC377" s="34">
        <v>0</v>
      </c>
      <c r="BD377" s="34"/>
      <c r="BE377" s="34"/>
      <c r="BF377" s="34" t="b">
        <v>0</v>
      </c>
      <c r="BG377" s="34"/>
      <c r="BH377" s="34"/>
      <c r="BI377" s="34"/>
      <c r="BJ377" s="34"/>
      <c r="BK377" s="34"/>
      <c r="BL377" s="34"/>
      <c r="BM377" s="34" t="s">
        <v>168</v>
      </c>
      <c r="BN377" s="34"/>
      <c r="BO377" s="35"/>
      <c r="BP377" s="35"/>
      <c r="BQ377" s="35" t="s">
        <v>108</v>
      </c>
      <c r="BR377" s="36" t="e">
        <f>VLOOKUP(BQ377, Cat_Indicadores!B:C, 2, FALSE)</f>
        <v>#N/A</v>
      </c>
      <c r="BS377" s="35" t="s">
        <v>5592</v>
      </c>
      <c r="BT377" s="35"/>
    </row>
    <row r="378" spans="1:72">
      <c r="A378" s="29" t="s">
        <v>1578</v>
      </c>
      <c r="B378" s="30" t="s">
        <v>1579</v>
      </c>
      <c r="C378" s="31">
        <v>46276.586273148147</v>
      </c>
      <c r="D378" s="30">
        <v>92</v>
      </c>
      <c r="E378" s="30" t="s">
        <v>74</v>
      </c>
      <c r="F378" s="30" t="s">
        <v>75</v>
      </c>
      <c r="G378" s="30" t="s">
        <v>133</v>
      </c>
      <c r="H378" s="30" t="s">
        <v>77</v>
      </c>
      <c r="I378" s="30" t="s">
        <v>78</v>
      </c>
      <c r="J378" s="30" t="s">
        <v>79</v>
      </c>
      <c r="K378" s="32">
        <v>800</v>
      </c>
      <c r="L378" s="32" t="s">
        <v>211</v>
      </c>
      <c r="M378" s="30" t="s">
        <v>1580</v>
      </c>
      <c r="N378" s="30" t="s">
        <v>402</v>
      </c>
      <c r="O378" s="30" t="s">
        <v>83</v>
      </c>
      <c r="P378" s="33">
        <v>46240</v>
      </c>
      <c r="Q378" s="33">
        <v>46240</v>
      </c>
      <c r="R378" s="32">
        <v>1</v>
      </c>
      <c r="S378" s="30" t="s">
        <v>84</v>
      </c>
      <c r="T378" s="30" t="s">
        <v>337</v>
      </c>
      <c r="U378" s="30" t="s">
        <v>338</v>
      </c>
      <c r="V378" s="30" t="s">
        <v>87</v>
      </c>
      <c r="W378" s="30" t="s">
        <v>88</v>
      </c>
      <c r="X378" s="30" t="s">
        <v>197</v>
      </c>
      <c r="Y378" s="30" t="s">
        <v>1288</v>
      </c>
      <c r="AB378" s="30" t="b">
        <v>0</v>
      </c>
      <c r="AC378" s="30"/>
      <c r="AD378" s="30" t="b">
        <v>0</v>
      </c>
      <c r="AF378" s="30" t="b">
        <v>0</v>
      </c>
      <c r="AH378" s="32" t="s">
        <v>91</v>
      </c>
      <c r="AI378" s="32"/>
      <c r="AJ378" s="32"/>
      <c r="AK378" s="32"/>
      <c r="AL378" s="30" t="s">
        <v>92</v>
      </c>
      <c r="AM378" s="30" t="s">
        <v>93</v>
      </c>
      <c r="AN378" s="30" t="s">
        <v>199</v>
      </c>
      <c r="AO378" s="30" t="s">
        <v>200</v>
      </c>
      <c r="AP378" s="30" t="s">
        <v>201</v>
      </c>
      <c r="AQ378" s="30" t="s">
        <v>202</v>
      </c>
      <c r="AR378" s="30" t="s">
        <v>145</v>
      </c>
      <c r="AT378" s="30" t="s">
        <v>99</v>
      </c>
      <c r="AU378" s="30" t="s">
        <v>100</v>
      </c>
      <c r="AV378" s="30" t="s">
        <v>101</v>
      </c>
      <c r="AW378" s="30" t="s">
        <v>102</v>
      </c>
      <c r="AX378" s="34" t="s">
        <v>338</v>
      </c>
      <c r="AY378" s="34" t="s">
        <v>149</v>
      </c>
      <c r="AZ378" s="34" t="s">
        <v>149</v>
      </c>
      <c r="BA378" s="34"/>
      <c r="BB378" s="34"/>
      <c r="BC378" s="34">
        <v>0</v>
      </c>
      <c r="BD378" s="34"/>
      <c r="BE378" s="34"/>
      <c r="BF378" s="34" t="b">
        <v>0</v>
      </c>
      <c r="BG378" s="34"/>
      <c r="BH378" s="34"/>
      <c r="BI378" s="34"/>
      <c r="BJ378" s="34"/>
      <c r="BK378" s="34"/>
      <c r="BL378" s="34"/>
      <c r="BM378" s="34" t="s">
        <v>168</v>
      </c>
      <c r="BN378" s="34"/>
      <c r="BO378" s="35"/>
      <c r="BP378" s="35"/>
      <c r="BQ378" s="35" t="s">
        <v>108</v>
      </c>
      <c r="BR378" s="36" t="e">
        <f>VLOOKUP(BQ378, Cat_Indicadores!B:C, 2, FALSE)</f>
        <v>#N/A</v>
      </c>
      <c r="BS378" s="35" t="s">
        <v>5592</v>
      </c>
      <c r="BT378" s="35"/>
    </row>
    <row r="379" spans="1:72">
      <c r="A379" s="29" t="s">
        <v>1581</v>
      </c>
      <c r="B379" s="30" t="s">
        <v>1582</v>
      </c>
      <c r="C379" s="31">
        <v>46276.617777777778</v>
      </c>
      <c r="D379" s="30">
        <v>92</v>
      </c>
      <c r="E379" s="30" t="s">
        <v>74</v>
      </c>
      <c r="F379" s="30" t="s">
        <v>75</v>
      </c>
      <c r="G379" s="30" t="s">
        <v>133</v>
      </c>
      <c r="H379" s="30" t="s">
        <v>77</v>
      </c>
      <c r="I379" s="30" t="s">
        <v>78</v>
      </c>
      <c r="J379" s="30" t="s">
        <v>79</v>
      </c>
      <c r="K379" s="32">
        <v>800</v>
      </c>
      <c r="L379" s="32" t="s">
        <v>211</v>
      </c>
      <c r="M379" s="30" t="s">
        <v>1583</v>
      </c>
      <c r="N379" s="30" t="s">
        <v>402</v>
      </c>
      <c r="O379" s="30" t="s">
        <v>83</v>
      </c>
      <c r="P379" s="33">
        <v>46252</v>
      </c>
      <c r="Q379" s="33">
        <v>46252</v>
      </c>
      <c r="R379" s="32">
        <v>1</v>
      </c>
      <c r="S379" s="30" t="s">
        <v>84</v>
      </c>
      <c r="T379" s="30" t="s">
        <v>337</v>
      </c>
      <c r="U379" s="30" t="s">
        <v>338</v>
      </c>
      <c r="V379" s="30" t="s">
        <v>87</v>
      </c>
      <c r="W379" s="30" t="s">
        <v>88</v>
      </c>
      <c r="X379" s="30" t="s">
        <v>197</v>
      </c>
      <c r="Y379" s="30" t="s">
        <v>1288</v>
      </c>
      <c r="AB379" s="30" t="b">
        <v>0</v>
      </c>
      <c r="AC379" s="30"/>
      <c r="AD379" s="30" t="b">
        <v>0</v>
      </c>
      <c r="AF379" s="30" t="b">
        <v>0</v>
      </c>
      <c r="AH379" s="32" t="s">
        <v>91</v>
      </c>
      <c r="AI379" s="32"/>
      <c r="AJ379" s="32"/>
      <c r="AK379" s="32"/>
      <c r="AL379" s="30" t="s">
        <v>92</v>
      </c>
      <c r="AM379" s="30" t="s">
        <v>93</v>
      </c>
      <c r="AN379" s="30" t="s">
        <v>199</v>
      </c>
      <c r="AO379" s="30" t="s">
        <v>200</v>
      </c>
      <c r="AP379" s="30" t="s">
        <v>201</v>
      </c>
      <c r="AQ379" s="30" t="s">
        <v>202</v>
      </c>
      <c r="AR379" s="30" t="s">
        <v>145</v>
      </c>
      <c r="AT379" s="30" t="s">
        <v>99</v>
      </c>
      <c r="AU379" s="30" t="s">
        <v>100</v>
      </c>
      <c r="AV379" s="30" t="s">
        <v>101</v>
      </c>
      <c r="AW379" s="30" t="s">
        <v>102</v>
      </c>
      <c r="AX379" s="34" t="s">
        <v>338</v>
      </c>
      <c r="AY379" s="34" t="s">
        <v>149</v>
      </c>
      <c r="AZ379" s="34" t="s">
        <v>149</v>
      </c>
      <c r="BA379" s="34"/>
      <c r="BB379" s="34"/>
      <c r="BC379" s="34">
        <v>0</v>
      </c>
      <c r="BD379" s="34"/>
      <c r="BE379" s="34"/>
      <c r="BF379" s="34" t="b">
        <v>0</v>
      </c>
      <c r="BG379" s="34"/>
      <c r="BH379" s="34"/>
      <c r="BI379" s="34"/>
      <c r="BJ379" s="34"/>
      <c r="BK379" s="34"/>
      <c r="BL379" s="34"/>
      <c r="BM379" s="34" t="s">
        <v>168</v>
      </c>
      <c r="BN379" s="34"/>
      <c r="BO379" s="35"/>
      <c r="BP379" s="35"/>
      <c r="BQ379" s="35" t="s">
        <v>108</v>
      </c>
      <c r="BR379" s="36" t="e">
        <f>VLOOKUP(BQ379, Cat_Indicadores!B:C, 2, FALSE)</f>
        <v>#N/A</v>
      </c>
      <c r="BS379" s="35" t="s">
        <v>5592</v>
      </c>
      <c r="BT379" s="35"/>
    </row>
    <row r="380" spans="1:72">
      <c r="A380" s="29" t="s">
        <v>1584</v>
      </c>
      <c r="B380" s="30" t="s">
        <v>1585</v>
      </c>
      <c r="C380" s="31">
        <v>46276.621354166666</v>
      </c>
      <c r="D380" s="30">
        <v>92</v>
      </c>
      <c r="E380" s="30" t="s">
        <v>74</v>
      </c>
      <c r="F380" s="30" t="s">
        <v>75</v>
      </c>
      <c r="G380" s="30" t="s">
        <v>133</v>
      </c>
      <c r="H380" s="30" t="s">
        <v>77</v>
      </c>
      <c r="I380" s="30" t="s">
        <v>78</v>
      </c>
      <c r="J380" s="30" t="s">
        <v>79</v>
      </c>
      <c r="K380" s="32">
        <v>800</v>
      </c>
      <c r="L380" s="32" t="s">
        <v>211</v>
      </c>
      <c r="M380" s="30" t="s">
        <v>1586</v>
      </c>
      <c r="N380" s="30" t="s">
        <v>402</v>
      </c>
      <c r="O380" s="30" t="s">
        <v>83</v>
      </c>
      <c r="P380" s="33">
        <v>46260</v>
      </c>
      <c r="Q380" s="33">
        <v>46260</v>
      </c>
      <c r="R380" s="32">
        <v>1</v>
      </c>
      <c r="S380" s="30" t="s">
        <v>84</v>
      </c>
      <c r="T380" s="30" t="s">
        <v>337</v>
      </c>
      <c r="U380" s="30" t="s">
        <v>338</v>
      </c>
      <c r="V380" s="30" t="s">
        <v>87</v>
      </c>
      <c r="W380" s="30" t="s">
        <v>88</v>
      </c>
      <c r="X380" s="30" t="s">
        <v>197</v>
      </c>
      <c r="Y380" s="30" t="s">
        <v>1288</v>
      </c>
      <c r="AB380" s="30" t="b">
        <v>0</v>
      </c>
      <c r="AC380" s="30"/>
      <c r="AD380" s="30" t="b">
        <v>0</v>
      </c>
      <c r="AF380" s="30" t="b">
        <v>0</v>
      </c>
      <c r="AH380" s="32" t="s">
        <v>91</v>
      </c>
      <c r="AI380" s="32"/>
      <c r="AJ380" s="32"/>
      <c r="AK380" s="32"/>
      <c r="AL380" s="30" t="s">
        <v>92</v>
      </c>
      <c r="AM380" s="30" t="s">
        <v>93</v>
      </c>
      <c r="AN380" s="30" t="s">
        <v>199</v>
      </c>
      <c r="AO380" s="30" t="s">
        <v>200</v>
      </c>
      <c r="AP380" s="30" t="s">
        <v>201</v>
      </c>
      <c r="AQ380" s="30" t="s">
        <v>202</v>
      </c>
      <c r="AR380" s="30" t="s">
        <v>145</v>
      </c>
      <c r="AT380" s="30" t="s">
        <v>99</v>
      </c>
      <c r="AU380" s="30" t="s">
        <v>100</v>
      </c>
      <c r="AV380" s="30" t="s">
        <v>101</v>
      </c>
      <c r="AW380" s="30" t="s">
        <v>102</v>
      </c>
      <c r="AX380" s="34" t="s">
        <v>338</v>
      </c>
      <c r="AY380" s="34" t="s">
        <v>149</v>
      </c>
      <c r="AZ380" s="34" t="s">
        <v>149</v>
      </c>
      <c r="BA380" s="34"/>
      <c r="BB380" s="34"/>
      <c r="BC380" s="34">
        <v>0</v>
      </c>
      <c r="BD380" s="34"/>
      <c r="BE380" s="34"/>
      <c r="BF380" s="34" t="b">
        <v>0</v>
      </c>
      <c r="BG380" s="34"/>
      <c r="BH380" s="34"/>
      <c r="BI380" s="34"/>
      <c r="BJ380" s="34"/>
      <c r="BK380" s="34"/>
      <c r="BL380" s="34"/>
      <c r="BM380" s="34" t="s">
        <v>168</v>
      </c>
      <c r="BN380" s="34"/>
      <c r="BO380" s="35"/>
      <c r="BP380" s="35"/>
      <c r="BQ380" s="35" t="s">
        <v>108</v>
      </c>
      <c r="BR380" s="36" t="e">
        <f>VLOOKUP(BQ380, Cat_Indicadores!B:C, 2, FALSE)</f>
        <v>#N/A</v>
      </c>
      <c r="BS380" s="35" t="s">
        <v>5592</v>
      </c>
      <c r="BT380" s="35"/>
    </row>
    <row r="381" spans="1:72">
      <c r="A381" s="29" t="s">
        <v>1587</v>
      </c>
      <c r="B381" s="30" t="s">
        <v>1588</v>
      </c>
      <c r="C381" s="31">
        <v>46276.624421296299</v>
      </c>
      <c r="D381" s="30">
        <v>92</v>
      </c>
      <c r="E381" s="30" t="s">
        <v>74</v>
      </c>
      <c r="F381" s="30" t="s">
        <v>75</v>
      </c>
      <c r="G381" s="30" t="s">
        <v>133</v>
      </c>
      <c r="H381" s="30" t="s">
        <v>77</v>
      </c>
      <c r="I381" s="30" t="s">
        <v>78</v>
      </c>
      <c r="J381" s="30" t="s">
        <v>79</v>
      </c>
      <c r="K381" s="32">
        <v>800</v>
      </c>
      <c r="L381" s="32" t="s">
        <v>211</v>
      </c>
      <c r="M381" s="30" t="s">
        <v>1527</v>
      </c>
      <c r="N381" s="30" t="s">
        <v>402</v>
      </c>
      <c r="O381" s="30" t="s">
        <v>83</v>
      </c>
      <c r="P381" s="33">
        <v>46261</v>
      </c>
      <c r="Q381" s="33">
        <v>46261</v>
      </c>
      <c r="R381" s="32">
        <v>1</v>
      </c>
      <c r="S381" s="30" t="s">
        <v>84</v>
      </c>
      <c r="T381" s="30" t="s">
        <v>337</v>
      </c>
      <c r="U381" s="30" t="s">
        <v>338</v>
      </c>
      <c r="V381" s="30" t="s">
        <v>87</v>
      </c>
      <c r="W381" s="30" t="s">
        <v>88</v>
      </c>
      <c r="X381" s="30" t="s">
        <v>197</v>
      </c>
      <c r="Y381" s="30" t="s">
        <v>1282</v>
      </c>
      <c r="AB381" s="30" t="b">
        <v>0</v>
      </c>
      <c r="AC381" s="30"/>
      <c r="AD381" s="30" t="b">
        <v>0</v>
      </c>
      <c r="AF381" s="30" t="b">
        <v>0</v>
      </c>
      <c r="AH381" s="32" t="s">
        <v>91</v>
      </c>
      <c r="AI381" s="32"/>
      <c r="AJ381" s="32"/>
      <c r="AK381" s="32"/>
      <c r="AL381" s="30" t="s">
        <v>92</v>
      </c>
      <c r="AM381" s="30" t="s">
        <v>93</v>
      </c>
      <c r="AN381" s="30" t="s">
        <v>199</v>
      </c>
      <c r="AO381" s="30" t="s">
        <v>200</v>
      </c>
      <c r="AP381" s="30" t="s">
        <v>201</v>
      </c>
      <c r="AQ381" s="30" t="s">
        <v>202</v>
      </c>
      <c r="AR381" s="30" t="s">
        <v>145</v>
      </c>
      <c r="AT381" s="30" t="s">
        <v>99</v>
      </c>
      <c r="AU381" s="30" t="s">
        <v>100</v>
      </c>
      <c r="AV381" s="30" t="s">
        <v>101</v>
      </c>
      <c r="AW381" s="30" t="s">
        <v>102</v>
      </c>
      <c r="AX381" s="34" t="s">
        <v>338</v>
      </c>
      <c r="AY381" s="34" t="s">
        <v>149</v>
      </c>
      <c r="AZ381" s="34" t="s">
        <v>149</v>
      </c>
      <c r="BA381" s="34"/>
      <c r="BB381" s="34"/>
      <c r="BC381" s="34">
        <v>0</v>
      </c>
      <c r="BD381" s="34"/>
      <c r="BE381" s="34"/>
      <c r="BF381" s="34" t="b">
        <v>0</v>
      </c>
      <c r="BG381" s="34"/>
      <c r="BH381" s="34"/>
      <c r="BI381" s="34"/>
      <c r="BJ381" s="34"/>
      <c r="BK381" s="34"/>
      <c r="BL381" s="34"/>
      <c r="BM381" s="34" t="s">
        <v>168</v>
      </c>
      <c r="BN381" s="34"/>
      <c r="BO381" s="35"/>
      <c r="BP381" s="35"/>
      <c r="BQ381" s="35" t="s">
        <v>108</v>
      </c>
      <c r="BR381" s="36" t="e">
        <f>VLOOKUP(BQ381, Cat_Indicadores!B:C, 2, FALSE)</f>
        <v>#N/A</v>
      </c>
      <c r="BS381" s="35" t="s">
        <v>5592</v>
      </c>
      <c r="BT381" s="35"/>
    </row>
    <row r="382" spans="1:72">
      <c r="A382" s="29" t="s">
        <v>1589</v>
      </c>
      <c r="B382" s="30" t="s">
        <v>1590</v>
      </c>
      <c r="C382" s="31">
        <v>46276.627615740741</v>
      </c>
      <c r="D382" s="30">
        <v>92</v>
      </c>
      <c r="E382" s="30" t="s">
        <v>74</v>
      </c>
      <c r="F382" s="30" t="s">
        <v>75</v>
      </c>
      <c r="G382" s="30" t="s">
        <v>133</v>
      </c>
      <c r="H382" s="30" t="s">
        <v>77</v>
      </c>
      <c r="I382" s="30" t="s">
        <v>78</v>
      </c>
      <c r="J382" s="30" t="s">
        <v>79</v>
      </c>
      <c r="K382" s="32">
        <v>800</v>
      </c>
      <c r="L382" s="32" t="s">
        <v>211</v>
      </c>
      <c r="M382" s="30" t="s">
        <v>1527</v>
      </c>
      <c r="N382" s="30" t="s">
        <v>402</v>
      </c>
      <c r="O382" s="30" t="s">
        <v>83</v>
      </c>
      <c r="P382" s="33">
        <v>46262</v>
      </c>
      <c r="Q382" s="33">
        <v>46262</v>
      </c>
      <c r="R382" s="32">
        <v>1</v>
      </c>
      <c r="S382" s="30" t="s">
        <v>84</v>
      </c>
      <c r="T382" s="30" t="s">
        <v>337</v>
      </c>
      <c r="U382" s="30" t="s">
        <v>338</v>
      </c>
      <c r="V382" s="30" t="s">
        <v>87</v>
      </c>
      <c r="W382" s="30" t="s">
        <v>88</v>
      </c>
      <c r="X382" s="30" t="s">
        <v>197</v>
      </c>
      <c r="Y382" s="30" t="s">
        <v>1282</v>
      </c>
      <c r="AB382" s="30" t="b">
        <v>0</v>
      </c>
      <c r="AC382" s="30"/>
      <c r="AD382" s="30" t="b">
        <v>0</v>
      </c>
      <c r="AF382" s="30" t="b">
        <v>0</v>
      </c>
      <c r="AH382" s="32" t="s">
        <v>91</v>
      </c>
      <c r="AI382" s="32"/>
      <c r="AJ382" s="32"/>
      <c r="AK382" s="32"/>
      <c r="AL382" s="30" t="s">
        <v>92</v>
      </c>
      <c r="AM382" s="30" t="s">
        <v>93</v>
      </c>
      <c r="AN382" s="30" t="s">
        <v>199</v>
      </c>
      <c r="AO382" s="30" t="s">
        <v>200</v>
      </c>
      <c r="AP382" s="30" t="s">
        <v>201</v>
      </c>
      <c r="AQ382" s="30" t="s">
        <v>202</v>
      </c>
      <c r="AR382" s="30" t="s">
        <v>145</v>
      </c>
      <c r="AT382" s="30" t="s">
        <v>99</v>
      </c>
      <c r="AU382" s="30" t="s">
        <v>100</v>
      </c>
      <c r="AV382" s="30" t="s">
        <v>101</v>
      </c>
      <c r="AW382" s="30" t="s">
        <v>102</v>
      </c>
      <c r="AX382" s="34" t="s">
        <v>338</v>
      </c>
      <c r="AY382" s="34" t="s">
        <v>149</v>
      </c>
      <c r="AZ382" s="34" t="s">
        <v>149</v>
      </c>
      <c r="BA382" s="34"/>
      <c r="BB382" s="34"/>
      <c r="BC382" s="34">
        <v>0</v>
      </c>
      <c r="BD382" s="34"/>
      <c r="BE382" s="34"/>
      <c r="BF382" s="34" t="b">
        <v>0</v>
      </c>
      <c r="BG382" s="34"/>
      <c r="BH382" s="34"/>
      <c r="BI382" s="34"/>
      <c r="BJ382" s="34"/>
      <c r="BK382" s="34"/>
      <c r="BL382" s="34"/>
      <c r="BM382" s="34" t="s">
        <v>168</v>
      </c>
      <c r="BN382" s="34"/>
      <c r="BO382" s="35"/>
      <c r="BP382" s="35"/>
      <c r="BQ382" s="35" t="s">
        <v>108</v>
      </c>
      <c r="BR382" s="36" t="e">
        <f>VLOOKUP(BQ382, Cat_Indicadores!B:C, 2, FALSE)</f>
        <v>#N/A</v>
      </c>
      <c r="BS382" s="35" t="s">
        <v>5592</v>
      </c>
      <c r="BT382" s="35"/>
    </row>
    <row r="383" spans="1:72">
      <c r="A383" s="29" t="s">
        <v>1591</v>
      </c>
      <c r="B383" s="30" t="s">
        <v>1592</v>
      </c>
      <c r="C383" s="31">
        <v>46276.63108796296</v>
      </c>
      <c r="D383" s="30">
        <v>92</v>
      </c>
      <c r="E383" s="30" t="s">
        <v>74</v>
      </c>
      <c r="F383" s="30" t="s">
        <v>75</v>
      </c>
      <c r="G383" s="30" t="s">
        <v>133</v>
      </c>
      <c r="H383" s="30" t="s">
        <v>77</v>
      </c>
      <c r="I383" s="30" t="s">
        <v>78</v>
      </c>
      <c r="J383" s="30" t="s">
        <v>79</v>
      </c>
      <c r="K383" s="32">
        <v>800</v>
      </c>
      <c r="L383" s="32" t="s">
        <v>80</v>
      </c>
      <c r="M383" s="30" t="s">
        <v>401</v>
      </c>
      <c r="N383" s="30" t="s">
        <v>402</v>
      </c>
      <c r="O383" s="30" t="s">
        <v>83</v>
      </c>
      <c r="P383" s="33">
        <v>46247</v>
      </c>
      <c r="Q383" s="33">
        <v>46247</v>
      </c>
      <c r="R383" s="32">
        <v>1</v>
      </c>
      <c r="S383" s="30" t="s">
        <v>84</v>
      </c>
      <c r="T383" s="30" t="s">
        <v>337</v>
      </c>
      <c r="U383" s="30" t="s">
        <v>338</v>
      </c>
      <c r="V383" s="30" t="s">
        <v>87</v>
      </c>
      <c r="W383" s="30" t="s">
        <v>88</v>
      </c>
      <c r="X383" s="30" t="s">
        <v>197</v>
      </c>
      <c r="Y383" s="30" t="s">
        <v>1477</v>
      </c>
      <c r="AB383" s="30" t="b">
        <v>0</v>
      </c>
      <c r="AC383" s="30"/>
      <c r="AD383" s="30" t="b">
        <v>0</v>
      </c>
      <c r="AF383" s="30" t="b">
        <v>0</v>
      </c>
      <c r="AH383" s="32" t="s">
        <v>91</v>
      </c>
      <c r="AI383" s="32"/>
      <c r="AJ383" s="32"/>
      <c r="AK383" s="32"/>
      <c r="AL383" s="30" t="s">
        <v>92</v>
      </c>
      <c r="AM383" s="30" t="s">
        <v>93</v>
      </c>
      <c r="AN383" s="30" t="s">
        <v>199</v>
      </c>
      <c r="AO383" s="30" t="s">
        <v>200</v>
      </c>
      <c r="AP383" s="30" t="s">
        <v>201</v>
      </c>
      <c r="AQ383" s="30" t="s">
        <v>202</v>
      </c>
      <c r="AR383" s="30" t="s">
        <v>145</v>
      </c>
      <c r="AT383" s="30" t="s">
        <v>99</v>
      </c>
      <c r="AU383" s="30" t="s">
        <v>100</v>
      </c>
      <c r="AV383" s="30" t="s">
        <v>101</v>
      </c>
      <c r="AW383" s="30" t="s">
        <v>102</v>
      </c>
      <c r="AX383" s="34" t="s">
        <v>338</v>
      </c>
      <c r="AY383" s="34" t="s">
        <v>149</v>
      </c>
      <c r="AZ383" s="34"/>
      <c r="BA383" s="34"/>
      <c r="BB383" s="34"/>
      <c r="BC383" s="34">
        <v>0</v>
      </c>
      <c r="BD383" s="34"/>
      <c r="BE383" s="34"/>
      <c r="BF383" s="34" t="b">
        <v>0</v>
      </c>
      <c r="BG383" s="34"/>
      <c r="BH383" s="34"/>
      <c r="BI383" s="34"/>
      <c r="BJ383" s="34"/>
      <c r="BK383" s="34"/>
      <c r="BL383" s="34"/>
      <c r="BM383" s="34" t="s">
        <v>168</v>
      </c>
      <c r="BN383" s="34"/>
      <c r="BO383" s="35"/>
      <c r="BP383" s="35"/>
      <c r="BQ383" s="35" t="s">
        <v>108</v>
      </c>
      <c r="BR383" s="36" t="e">
        <f>VLOOKUP(BQ383, Cat_Indicadores!B:C, 2, FALSE)</f>
        <v>#N/A</v>
      </c>
      <c r="BS383" s="35" t="s">
        <v>5592</v>
      </c>
      <c r="BT383" s="35"/>
    </row>
    <row r="384" spans="1:72">
      <c r="A384" s="29" t="s">
        <v>1593</v>
      </c>
      <c r="B384" s="30" t="s">
        <v>1594</v>
      </c>
      <c r="C384" s="31">
        <v>46276.634467592594</v>
      </c>
      <c r="D384" s="30">
        <v>92</v>
      </c>
      <c r="E384" s="30" t="s">
        <v>74</v>
      </c>
      <c r="F384" s="30" t="s">
        <v>75</v>
      </c>
      <c r="G384" s="30" t="s">
        <v>133</v>
      </c>
      <c r="H384" s="30" t="s">
        <v>77</v>
      </c>
      <c r="I384" s="30" t="s">
        <v>78</v>
      </c>
      <c r="J384" s="30" t="s">
        <v>79</v>
      </c>
      <c r="K384" s="32">
        <v>800</v>
      </c>
      <c r="L384" s="32" t="s">
        <v>80</v>
      </c>
      <c r="M384" s="30" t="s">
        <v>401</v>
      </c>
      <c r="N384" s="30" t="s">
        <v>402</v>
      </c>
      <c r="O384" s="30" t="s">
        <v>83</v>
      </c>
      <c r="P384" s="33">
        <v>46260</v>
      </c>
      <c r="Q384" s="33">
        <v>46260</v>
      </c>
      <c r="R384" s="32">
        <v>1</v>
      </c>
      <c r="S384" s="30" t="s">
        <v>84</v>
      </c>
      <c r="T384" s="30" t="s">
        <v>337</v>
      </c>
      <c r="U384" s="30" t="s">
        <v>338</v>
      </c>
      <c r="V384" s="30" t="s">
        <v>87</v>
      </c>
      <c r="W384" s="30" t="s">
        <v>88</v>
      </c>
      <c r="X384" s="30" t="s">
        <v>197</v>
      </c>
      <c r="Y384" s="30" t="s">
        <v>1477</v>
      </c>
      <c r="AB384" s="30" t="b">
        <v>0</v>
      </c>
      <c r="AC384" s="30"/>
      <c r="AD384" s="30" t="b">
        <v>0</v>
      </c>
      <c r="AF384" s="30" t="b">
        <v>0</v>
      </c>
      <c r="AH384" s="32" t="s">
        <v>91</v>
      </c>
      <c r="AI384" s="32"/>
      <c r="AJ384" s="32"/>
      <c r="AK384" s="32"/>
      <c r="AL384" s="30" t="s">
        <v>92</v>
      </c>
      <c r="AM384" s="30" t="s">
        <v>93</v>
      </c>
      <c r="AN384" s="30" t="s">
        <v>199</v>
      </c>
      <c r="AO384" s="30" t="s">
        <v>200</v>
      </c>
      <c r="AP384" s="30" t="s">
        <v>201</v>
      </c>
      <c r="AQ384" s="30" t="s">
        <v>202</v>
      </c>
      <c r="AR384" s="30" t="s">
        <v>145</v>
      </c>
      <c r="AT384" s="30" t="s">
        <v>99</v>
      </c>
      <c r="AU384" s="30" t="s">
        <v>100</v>
      </c>
      <c r="AV384" s="30" t="s">
        <v>101</v>
      </c>
      <c r="AW384" s="30" t="s">
        <v>102</v>
      </c>
      <c r="AX384" s="34" t="s">
        <v>338</v>
      </c>
      <c r="AY384" s="34" t="s">
        <v>149</v>
      </c>
      <c r="AZ384" s="34"/>
      <c r="BA384" s="34"/>
      <c r="BB384" s="34"/>
      <c r="BC384" s="34">
        <v>0</v>
      </c>
      <c r="BD384" s="34"/>
      <c r="BE384" s="34"/>
      <c r="BF384" s="34" t="b">
        <v>0</v>
      </c>
      <c r="BG384" s="34"/>
      <c r="BH384" s="34"/>
      <c r="BI384" s="34"/>
      <c r="BJ384" s="34"/>
      <c r="BK384" s="34"/>
      <c r="BL384" s="34"/>
      <c r="BM384" s="34" t="s">
        <v>168</v>
      </c>
      <c r="BN384" s="34"/>
      <c r="BO384" s="35"/>
      <c r="BP384" s="35"/>
      <c r="BQ384" s="35" t="s">
        <v>108</v>
      </c>
      <c r="BR384" s="36" t="e">
        <f>VLOOKUP(BQ384, Cat_Indicadores!B:C, 2, FALSE)</f>
        <v>#N/A</v>
      </c>
      <c r="BS384" s="35" t="s">
        <v>5592</v>
      </c>
      <c r="BT384" s="35"/>
    </row>
    <row r="385" spans="1:72">
      <c r="A385" s="29" t="s">
        <v>1595</v>
      </c>
      <c r="B385" s="30" t="s">
        <v>1596</v>
      </c>
      <c r="C385" s="31">
        <v>46276.636817129627</v>
      </c>
      <c r="D385" s="30">
        <v>92</v>
      </c>
      <c r="E385" s="30" t="s">
        <v>74</v>
      </c>
      <c r="F385" s="30" t="s">
        <v>75</v>
      </c>
      <c r="G385" s="30" t="s">
        <v>133</v>
      </c>
      <c r="H385" s="30" t="s">
        <v>77</v>
      </c>
      <c r="I385" s="30" t="s">
        <v>78</v>
      </c>
      <c r="J385" s="30" t="s">
        <v>79</v>
      </c>
      <c r="K385" s="32">
        <v>800</v>
      </c>
      <c r="L385" s="32" t="s">
        <v>211</v>
      </c>
      <c r="M385" s="30" t="s">
        <v>401</v>
      </c>
      <c r="N385" s="30" t="s">
        <v>402</v>
      </c>
      <c r="O385" s="30" t="s">
        <v>83</v>
      </c>
      <c r="P385" s="33">
        <v>46240</v>
      </c>
      <c r="Q385" s="33">
        <v>46240</v>
      </c>
      <c r="R385" s="32">
        <v>1</v>
      </c>
      <c r="S385" s="30" t="s">
        <v>84</v>
      </c>
      <c r="T385" s="30" t="s">
        <v>337</v>
      </c>
      <c r="U385" s="30" t="s">
        <v>338</v>
      </c>
      <c r="V385" s="30" t="s">
        <v>87</v>
      </c>
      <c r="W385" s="30" t="s">
        <v>88</v>
      </c>
      <c r="X385" s="30" t="s">
        <v>197</v>
      </c>
      <c r="Y385" s="30" t="s">
        <v>1288</v>
      </c>
      <c r="AB385" s="30" t="b">
        <v>0</v>
      </c>
      <c r="AC385" s="30"/>
      <c r="AD385" s="30" t="b">
        <v>0</v>
      </c>
      <c r="AF385" s="30" t="b">
        <v>0</v>
      </c>
      <c r="AH385" s="32" t="s">
        <v>91</v>
      </c>
      <c r="AI385" s="32"/>
      <c r="AJ385" s="32"/>
      <c r="AK385" s="32"/>
      <c r="AL385" s="30" t="s">
        <v>92</v>
      </c>
      <c r="AM385" s="30" t="s">
        <v>93</v>
      </c>
      <c r="AN385" s="30" t="s">
        <v>199</v>
      </c>
      <c r="AO385" s="30" t="s">
        <v>200</v>
      </c>
      <c r="AP385" s="30" t="s">
        <v>201</v>
      </c>
      <c r="AQ385" s="30" t="s">
        <v>202</v>
      </c>
      <c r="AR385" s="30" t="s">
        <v>145</v>
      </c>
      <c r="AT385" s="30" t="s">
        <v>99</v>
      </c>
      <c r="AU385" s="30" t="s">
        <v>100</v>
      </c>
      <c r="AV385" s="30" t="s">
        <v>101</v>
      </c>
      <c r="AW385" s="30" t="s">
        <v>102</v>
      </c>
      <c r="AX385" s="34" t="s">
        <v>338</v>
      </c>
      <c r="AY385" s="34" t="s">
        <v>149</v>
      </c>
      <c r="AZ385" s="34" t="s">
        <v>149</v>
      </c>
      <c r="BA385" s="34"/>
      <c r="BB385" s="34"/>
      <c r="BC385" s="34">
        <v>0</v>
      </c>
      <c r="BD385" s="34"/>
      <c r="BE385" s="34"/>
      <c r="BF385" s="34" t="b">
        <v>0</v>
      </c>
      <c r="BG385" s="34"/>
      <c r="BH385" s="34"/>
      <c r="BI385" s="34"/>
      <c r="BJ385" s="34"/>
      <c r="BK385" s="34"/>
      <c r="BL385" s="34"/>
      <c r="BM385" s="34" t="s">
        <v>168</v>
      </c>
      <c r="BN385" s="34"/>
      <c r="BO385" s="35"/>
      <c r="BP385" s="35"/>
      <c r="BQ385" s="35" t="s">
        <v>108</v>
      </c>
      <c r="BR385" s="36" t="e">
        <f>VLOOKUP(BQ385, Cat_Indicadores!B:C, 2, FALSE)</f>
        <v>#N/A</v>
      </c>
      <c r="BS385" s="35" t="s">
        <v>5592</v>
      </c>
      <c r="BT385" s="35"/>
    </row>
    <row r="386" spans="1:72">
      <c r="A386" s="29" t="s">
        <v>1597</v>
      </c>
      <c r="B386" s="30" t="s">
        <v>1598</v>
      </c>
      <c r="C386" s="31">
        <v>46276.639131944445</v>
      </c>
      <c r="D386" s="30">
        <v>92</v>
      </c>
      <c r="E386" s="30" t="s">
        <v>74</v>
      </c>
      <c r="F386" s="30" t="s">
        <v>75</v>
      </c>
      <c r="G386" s="30" t="s">
        <v>133</v>
      </c>
      <c r="H386" s="30" t="s">
        <v>77</v>
      </c>
      <c r="I386" s="30" t="s">
        <v>78</v>
      </c>
      <c r="J386" s="30" t="s">
        <v>79</v>
      </c>
      <c r="K386" s="32">
        <v>800</v>
      </c>
      <c r="L386" s="32" t="s">
        <v>80</v>
      </c>
      <c r="M386" s="30" t="s">
        <v>401</v>
      </c>
      <c r="N386" s="30" t="s">
        <v>402</v>
      </c>
      <c r="O386" s="30" t="s">
        <v>83</v>
      </c>
      <c r="P386" s="33">
        <v>46240</v>
      </c>
      <c r="Q386" s="33">
        <v>46240</v>
      </c>
      <c r="R386" s="32">
        <v>1</v>
      </c>
      <c r="S386" s="30" t="s">
        <v>84</v>
      </c>
      <c r="T386" s="30" t="s">
        <v>337</v>
      </c>
      <c r="U386" s="30" t="s">
        <v>338</v>
      </c>
      <c r="V386" s="30" t="s">
        <v>87</v>
      </c>
      <c r="W386" s="30" t="s">
        <v>88</v>
      </c>
      <c r="X386" s="30" t="s">
        <v>197</v>
      </c>
      <c r="Y386" s="30" t="s">
        <v>1275</v>
      </c>
      <c r="AB386" s="30" t="b">
        <v>0</v>
      </c>
      <c r="AC386" s="30"/>
      <c r="AD386" s="30" t="b">
        <v>0</v>
      </c>
      <c r="AF386" s="30" t="b">
        <v>0</v>
      </c>
      <c r="AH386" s="32" t="s">
        <v>91</v>
      </c>
      <c r="AI386" s="32"/>
      <c r="AJ386" s="32"/>
      <c r="AK386" s="32"/>
      <c r="AL386" s="30" t="s">
        <v>92</v>
      </c>
      <c r="AM386" s="30" t="s">
        <v>93</v>
      </c>
      <c r="AN386" s="30" t="s">
        <v>199</v>
      </c>
      <c r="AO386" s="30" t="s">
        <v>200</v>
      </c>
      <c r="AP386" s="30" t="s">
        <v>201</v>
      </c>
      <c r="AQ386" s="30" t="s">
        <v>202</v>
      </c>
      <c r="AR386" s="30" t="s">
        <v>145</v>
      </c>
      <c r="AT386" s="30" t="s">
        <v>99</v>
      </c>
      <c r="AU386" s="30" t="s">
        <v>100</v>
      </c>
      <c r="AV386" s="30" t="s">
        <v>101</v>
      </c>
      <c r="AW386" s="30" t="s">
        <v>102</v>
      </c>
      <c r="AX386" s="34" t="s">
        <v>338</v>
      </c>
      <c r="AY386" s="34" t="s">
        <v>149</v>
      </c>
      <c r="AZ386" s="34" t="s">
        <v>149</v>
      </c>
      <c r="BA386" s="34"/>
      <c r="BB386" s="34"/>
      <c r="BC386" s="34">
        <v>0</v>
      </c>
      <c r="BD386" s="34"/>
      <c r="BE386" s="34"/>
      <c r="BF386" s="34" t="b">
        <v>0</v>
      </c>
      <c r="BG386" s="34"/>
      <c r="BH386" s="34"/>
      <c r="BI386" s="34"/>
      <c r="BJ386" s="34"/>
      <c r="BK386" s="34"/>
      <c r="BL386" s="34"/>
      <c r="BM386" s="34" t="s">
        <v>168</v>
      </c>
      <c r="BN386" s="34"/>
      <c r="BO386" s="35"/>
      <c r="BP386" s="35"/>
      <c r="BQ386" s="35" t="s">
        <v>108</v>
      </c>
      <c r="BR386" s="36" t="e">
        <f>VLOOKUP(BQ386, Cat_Indicadores!B:C, 2, FALSE)</f>
        <v>#N/A</v>
      </c>
      <c r="BS386" s="35" t="s">
        <v>5592</v>
      </c>
      <c r="BT386" s="35"/>
    </row>
    <row r="387" spans="1:72">
      <c r="A387" s="29" t="s">
        <v>1599</v>
      </c>
      <c r="B387" s="30" t="s">
        <v>1600</v>
      </c>
      <c r="C387" s="31">
        <v>46276.643935185188</v>
      </c>
      <c r="D387" s="30">
        <v>92</v>
      </c>
      <c r="E387" s="30" t="s">
        <v>74</v>
      </c>
      <c r="F387" s="30" t="s">
        <v>75</v>
      </c>
      <c r="G387" s="30" t="s">
        <v>133</v>
      </c>
      <c r="H387" s="30" t="s">
        <v>77</v>
      </c>
      <c r="I387" s="30" t="s">
        <v>78</v>
      </c>
      <c r="J387" s="30" t="s">
        <v>79</v>
      </c>
      <c r="K387" s="32">
        <v>800</v>
      </c>
      <c r="L387" s="32" t="s">
        <v>80</v>
      </c>
      <c r="M387" s="30" t="s">
        <v>401</v>
      </c>
      <c r="N387" s="30" t="s">
        <v>402</v>
      </c>
      <c r="O387" s="30" t="s">
        <v>83</v>
      </c>
      <c r="P387" s="33">
        <v>46246</v>
      </c>
      <c r="Q387" s="33">
        <v>46246</v>
      </c>
      <c r="R387" s="32">
        <v>1</v>
      </c>
      <c r="S387" s="30" t="s">
        <v>84</v>
      </c>
      <c r="T387" s="30" t="s">
        <v>337</v>
      </c>
      <c r="U387" s="30" t="s">
        <v>338</v>
      </c>
      <c r="V387" s="30" t="s">
        <v>87</v>
      </c>
      <c r="W387" s="30" t="s">
        <v>88</v>
      </c>
      <c r="X387" s="30" t="s">
        <v>197</v>
      </c>
      <c r="Y387" s="30" t="s">
        <v>1275</v>
      </c>
      <c r="AB387" s="30" t="b">
        <v>0</v>
      </c>
      <c r="AC387" s="30"/>
      <c r="AD387" s="30" t="b">
        <v>0</v>
      </c>
      <c r="AF387" s="30" t="b">
        <v>0</v>
      </c>
      <c r="AH387" s="32" t="s">
        <v>91</v>
      </c>
      <c r="AI387" s="32"/>
      <c r="AJ387" s="32"/>
      <c r="AK387" s="32"/>
      <c r="AL387" s="30" t="s">
        <v>92</v>
      </c>
      <c r="AM387" s="30" t="s">
        <v>93</v>
      </c>
      <c r="AN387" s="30" t="s">
        <v>199</v>
      </c>
      <c r="AO387" s="30" t="s">
        <v>200</v>
      </c>
      <c r="AP387" s="30" t="s">
        <v>201</v>
      </c>
      <c r="AQ387" s="30" t="s">
        <v>202</v>
      </c>
      <c r="AR387" s="30" t="s">
        <v>145</v>
      </c>
      <c r="AT387" s="30" t="s">
        <v>99</v>
      </c>
      <c r="AU387" s="30" t="s">
        <v>100</v>
      </c>
      <c r="AV387" s="30" t="s">
        <v>101</v>
      </c>
      <c r="AW387" s="30" t="s">
        <v>102</v>
      </c>
      <c r="AX387" s="34" t="s">
        <v>338</v>
      </c>
      <c r="AY387" s="34" t="s">
        <v>149</v>
      </c>
      <c r="AZ387" s="34" t="s">
        <v>149</v>
      </c>
      <c r="BA387" s="34"/>
      <c r="BB387" s="34"/>
      <c r="BC387" s="34">
        <v>0</v>
      </c>
      <c r="BD387" s="34"/>
      <c r="BE387" s="34"/>
      <c r="BF387" s="34" t="b">
        <v>0</v>
      </c>
      <c r="BG387" s="34"/>
      <c r="BH387" s="34"/>
      <c r="BI387" s="34"/>
      <c r="BJ387" s="34"/>
      <c r="BK387" s="34"/>
      <c r="BL387" s="34"/>
      <c r="BM387" s="34" t="s">
        <v>168</v>
      </c>
      <c r="BN387" s="34"/>
      <c r="BO387" s="35"/>
      <c r="BP387" s="35"/>
      <c r="BQ387" s="35" t="s">
        <v>108</v>
      </c>
      <c r="BR387" s="36" t="e">
        <f>VLOOKUP(BQ387, Cat_Indicadores!B:C, 2, FALSE)</f>
        <v>#N/A</v>
      </c>
      <c r="BS387" s="35" t="s">
        <v>5592</v>
      </c>
      <c r="BT387" s="35"/>
    </row>
    <row r="388" spans="1:72">
      <c r="A388" s="29" t="s">
        <v>1601</v>
      </c>
      <c r="B388" s="30" t="s">
        <v>1602</v>
      </c>
      <c r="C388" s="31">
        <v>46276.64644675926</v>
      </c>
      <c r="D388" s="30">
        <v>92</v>
      </c>
      <c r="E388" s="30" t="s">
        <v>74</v>
      </c>
      <c r="F388" s="30" t="s">
        <v>75</v>
      </c>
      <c r="G388" s="30" t="s">
        <v>133</v>
      </c>
      <c r="H388" s="30" t="s">
        <v>77</v>
      </c>
      <c r="I388" s="30" t="s">
        <v>78</v>
      </c>
      <c r="J388" s="30" t="s">
        <v>79</v>
      </c>
      <c r="K388" s="32">
        <v>800</v>
      </c>
      <c r="L388" s="32" t="s">
        <v>80</v>
      </c>
      <c r="M388" s="30" t="s">
        <v>401</v>
      </c>
      <c r="N388" s="30" t="s">
        <v>402</v>
      </c>
      <c r="O388" s="30" t="s">
        <v>83</v>
      </c>
      <c r="P388" s="33">
        <v>46247</v>
      </c>
      <c r="Q388" s="33">
        <v>46247</v>
      </c>
      <c r="R388" s="32">
        <v>1</v>
      </c>
      <c r="S388" s="30" t="s">
        <v>84</v>
      </c>
      <c r="T388" s="30" t="s">
        <v>337</v>
      </c>
      <c r="U388" s="30" t="s">
        <v>338</v>
      </c>
      <c r="V388" s="30" t="s">
        <v>87</v>
      </c>
      <c r="W388" s="30" t="s">
        <v>88</v>
      </c>
      <c r="X388" s="30" t="s">
        <v>197</v>
      </c>
      <c r="Y388" s="30" t="s">
        <v>1275</v>
      </c>
      <c r="AB388" s="30" t="b">
        <v>0</v>
      </c>
      <c r="AC388" s="30"/>
      <c r="AD388" s="30" t="b">
        <v>0</v>
      </c>
      <c r="AF388" s="30" t="b">
        <v>0</v>
      </c>
      <c r="AH388" s="32" t="s">
        <v>91</v>
      </c>
      <c r="AI388" s="32"/>
      <c r="AJ388" s="32"/>
      <c r="AK388" s="32"/>
      <c r="AL388" s="30" t="s">
        <v>92</v>
      </c>
      <c r="AM388" s="30" t="s">
        <v>93</v>
      </c>
      <c r="AN388" s="30" t="s">
        <v>199</v>
      </c>
      <c r="AO388" s="30" t="s">
        <v>200</v>
      </c>
      <c r="AP388" s="30" t="s">
        <v>201</v>
      </c>
      <c r="AQ388" s="30" t="s">
        <v>202</v>
      </c>
      <c r="AR388" s="30" t="s">
        <v>145</v>
      </c>
      <c r="AT388" s="30" t="s">
        <v>99</v>
      </c>
      <c r="AU388" s="30" t="s">
        <v>100</v>
      </c>
      <c r="AV388" s="30" t="s">
        <v>101</v>
      </c>
      <c r="AW388" s="30" t="s">
        <v>102</v>
      </c>
      <c r="AX388" s="34" t="s">
        <v>338</v>
      </c>
      <c r="AY388" s="34" t="s">
        <v>149</v>
      </c>
      <c r="AZ388" s="34" t="s">
        <v>149</v>
      </c>
      <c r="BA388" s="34"/>
      <c r="BB388" s="34"/>
      <c r="BC388" s="34">
        <v>0</v>
      </c>
      <c r="BD388" s="34"/>
      <c r="BE388" s="34"/>
      <c r="BF388" s="34" t="b">
        <v>0</v>
      </c>
      <c r="BG388" s="34"/>
      <c r="BH388" s="34"/>
      <c r="BI388" s="34"/>
      <c r="BJ388" s="34"/>
      <c r="BK388" s="34"/>
      <c r="BL388" s="34"/>
      <c r="BM388" s="34" t="s">
        <v>168</v>
      </c>
      <c r="BN388" s="34"/>
      <c r="BO388" s="35"/>
      <c r="BP388" s="35"/>
      <c r="BQ388" s="35" t="s">
        <v>108</v>
      </c>
      <c r="BR388" s="36" t="e">
        <f>VLOOKUP(BQ388, Cat_Indicadores!B:C, 2, FALSE)</f>
        <v>#N/A</v>
      </c>
      <c r="BS388" s="35" t="s">
        <v>5592</v>
      </c>
      <c r="BT388" s="35"/>
    </row>
    <row r="389" spans="1:72">
      <c r="A389" s="29" t="s">
        <v>1603</v>
      </c>
      <c r="B389" s="30" t="s">
        <v>1604</v>
      </c>
      <c r="C389" s="31">
        <v>46276.673043981478</v>
      </c>
      <c r="D389" s="30">
        <v>92</v>
      </c>
      <c r="E389" s="30" t="s">
        <v>74</v>
      </c>
      <c r="F389" s="30" t="s">
        <v>75</v>
      </c>
      <c r="G389" s="30" t="s">
        <v>133</v>
      </c>
      <c r="H389" s="30" t="s">
        <v>77</v>
      </c>
      <c r="I389" s="30" t="s">
        <v>78</v>
      </c>
      <c r="J389" s="30" t="s">
        <v>79</v>
      </c>
      <c r="K389" s="32">
        <v>800</v>
      </c>
      <c r="L389" s="32" t="s">
        <v>80</v>
      </c>
      <c r="M389" s="30" t="s">
        <v>401</v>
      </c>
      <c r="N389" s="30" t="s">
        <v>402</v>
      </c>
      <c r="O389" s="30" t="s">
        <v>83</v>
      </c>
      <c r="P389" s="33">
        <v>46276</v>
      </c>
      <c r="Q389" s="33">
        <v>46276</v>
      </c>
      <c r="R389" s="32">
        <v>1</v>
      </c>
      <c r="S389" s="30" t="s">
        <v>84</v>
      </c>
      <c r="T389" s="30" t="s">
        <v>337</v>
      </c>
      <c r="U389" s="30" t="s">
        <v>338</v>
      </c>
      <c r="V389" s="30" t="s">
        <v>87</v>
      </c>
      <c r="W389" s="30" t="s">
        <v>88</v>
      </c>
      <c r="X389" s="30" t="s">
        <v>197</v>
      </c>
      <c r="Y389" s="30" t="s">
        <v>1270</v>
      </c>
      <c r="AB389" s="30" t="b">
        <v>0</v>
      </c>
      <c r="AC389" s="30"/>
      <c r="AD389" s="30" t="b">
        <v>0</v>
      </c>
      <c r="AF389" s="30" t="b">
        <v>0</v>
      </c>
      <c r="AH389" s="32" t="s">
        <v>91</v>
      </c>
      <c r="AI389" s="32"/>
      <c r="AJ389" s="32"/>
      <c r="AK389" s="32"/>
      <c r="AL389" s="30" t="s">
        <v>92</v>
      </c>
      <c r="AM389" s="30" t="s">
        <v>93</v>
      </c>
      <c r="AN389" s="30" t="s">
        <v>199</v>
      </c>
      <c r="AO389" s="30" t="s">
        <v>200</v>
      </c>
      <c r="AP389" s="30" t="s">
        <v>201</v>
      </c>
      <c r="AQ389" s="30" t="s">
        <v>202</v>
      </c>
      <c r="AR389" s="30" t="s">
        <v>145</v>
      </c>
      <c r="AT389" s="30" t="s">
        <v>99</v>
      </c>
      <c r="AU389" s="30" t="s">
        <v>100</v>
      </c>
      <c r="AV389" s="30" t="s">
        <v>101</v>
      </c>
      <c r="AW389" s="30" t="s">
        <v>102</v>
      </c>
      <c r="AX389" s="34" t="s">
        <v>338</v>
      </c>
      <c r="AY389" s="34" t="s">
        <v>149</v>
      </c>
      <c r="AZ389" s="34" t="s">
        <v>149</v>
      </c>
      <c r="BA389" s="34"/>
      <c r="BB389" s="34"/>
      <c r="BC389" s="34">
        <v>0</v>
      </c>
      <c r="BD389" s="34"/>
      <c r="BE389" s="34"/>
      <c r="BF389" s="34" t="b">
        <v>0</v>
      </c>
      <c r="BG389" s="34"/>
      <c r="BH389" s="34"/>
      <c r="BI389" s="34"/>
      <c r="BJ389" s="34"/>
      <c r="BK389" s="34"/>
      <c r="BL389" s="34"/>
      <c r="BM389" s="34" t="s">
        <v>168</v>
      </c>
      <c r="BN389" s="34"/>
      <c r="BO389" s="35"/>
      <c r="BP389" s="35"/>
      <c r="BQ389" s="35" t="s">
        <v>108</v>
      </c>
      <c r="BR389" s="36" t="e">
        <f>VLOOKUP(BQ389, Cat_Indicadores!B:C, 2, FALSE)</f>
        <v>#N/A</v>
      </c>
      <c r="BS389" s="35" t="s">
        <v>5592</v>
      </c>
      <c r="BT389" s="35"/>
    </row>
    <row r="390" spans="1:72">
      <c r="A390" s="29" t="s">
        <v>1605</v>
      </c>
      <c r="B390" s="30" t="s">
        <v>1606</v>
      </c>
      <c r="C390" s="31">
        <v>46279.433738425927</v>
      </c>
      <c r="D390" s="30">
        <v>92</v>
      </c>
      <c r="E390" s="30" t="s">
        <v>74</v>
      </c>
      <c r="F390" s="30" t="s">
        <v>75</v>
      </c>
      <c r="G390" s="30" t="s">
        <v>133</v>
      </c>
      <c r="H390" s="30" t="s">
        <v>77</v>
      </c>
      <c r="I390" s="30" t="s">
        <v>78</v>
      </c>
      <c r="J390" s="30" t="s">
        <v>79</v>
      </c>
      <c r="K390" s="32">
        <v>800</v>
      </c>
      <c r="L390" s="32" t="s">
        <v>80</v>
      </c>
      <c r="M390" s="30" t="s">
        <v>1607</v>
      </c>
      <c r="N390" s="30" t="s">
        <v>1608</v>
      </c>
      <c r="O390" s="30" t="s">
        <v>83</v>
      </c>
      <c r="P390" s="33">
        <v>46235</v>
      </c>
      <c r="Q390" s="33">
        <v>46235</v>
      </c>
      <c r="R390" s="32">
        <v>1</v>
      </c>
      <c r="S390" s="30" t="s">
        <v>243</v>
      </c>
      <c r="T390" s="30" t="s">
        <v>244</v>
      </c>
      <c r="U390" s="30" t="s">
        <v>160</v>
      </c>
      <c r="V390" s="30" t="s">
        <v>87</v>
      </c>
      <c r="W390" s="30" t="s">
        <v>88</v>
      </c>
      <c r="X390" s="30" t="s">
        <v>197</v>
      </c>
      <c r="Y390" s="30" t="s">
        <v>1046</v>
      </c>
      <c r="AB390" s="30" t="b">
        <v>0</v>
      </c>
      <c r="AC390" s="30"/>
      <c r="AD390" s="30" t="b">
        <v>0</v>
      </c>
      <c r="AF390" s="30" t="b">
        <v>0</v>
      </c>
      <c r="AH390" s="32" t="s">
        <v>91</v>
      </c>
      <c r="AI390" s="32"/>
      <c r="AJ390" s="32"/>
      <c r="AK390" s="32"/>
      <c r="AL390" s="30" t="s">
        <v>92</v>
      </c>
      <c r="AM390" s="30" t="s">
        <v>93</v>
      </c>
      <c r="AN390" s="30" t="s">
        <v>199</v>
      </c>
      <c r="AO390" s="30" t="s">
        <v>200</v>
      </c>
      <c r="AP390" s="30" t="s">
        <v>201</v>
      </c>
      <c r="AQ390" s="30" t="s">
        <v>202</v>
      </c>
      <c r="AR390" s="30" t="s">
        <v>145</v>
      </c>
      <c r="AT390" s="30" t="s">
        <v>99</v>
      </c>
      <c r="AU390" s="30" t="s">
        <v>100</v>
      </c>
      <c r="AV390" s="30" t="s">
        <v>101</v>
      </c>
      <c r="AW390" s="30" t="s">
        <v>102</v>
      </c>
      <c r="AX390" s="34" t="s">
        <v>160</v>
      </c>
      <c r="AY390" s="34" t="s">
        <v>103</v>
      </c>
      <c r="AZ390" s="34"/>
      <c r="BA390" s="34"/>
      <c r="BB390" s="34"/>
      <c r="BC390" s="34">
        <v>0</v>
      </c>
      <c r="BD390" s="34"/>
      <c r="BE390" s="34"/>
      <c r="BF390" s="34" t="b">
        <v>0</v>
      </c>
      <c r="BG390" s="34"/>
      <c r="BH390" s="34"/>
      <c r="BI390" s="34"/>
      <c r="BJ390" s="34"/>
      <c r="BK390" s="34"/>
      <c r="BL390" s="34"/>
      <c r="BM390" s="34" t="s">
        <v>168</v>
      </c>
      <c r="BN390" s="34"/>
      <c r="BO390" s="35"/>
      <c r="BP390" s="35"/>
      <c r="BQ390" s="35" t="s">
        <v>108</v>
      </c>
      <c r="BR390" s="36" t="e">
        <f>VLOOKUP(BQ390, Cat_Indicadores!B:C, 2, FALSE)</f>
        <v>#N/A</v>
      </c>
      <c r="BS390" s="35" t="s">
        <v>5592</v>
      </c>
      <c r="BT390" s="35"/>
    </row>
    <row r="391" spans="1:72">
      <c r="A391" s="29" t="s">
        <v>1609</v>
      </c>
      <c r="B391" s="30" t="s">
        <v>1610</v>
      </c>
      <c r="C391" s="31">
        <v>46279.446932870371</v>
      </c>
      <c r="D391" s="30">
        <v>92</v>
      </c>
      <c r="E391" s="30" t="s">
        <v>74</v>
      </c>
      <c r="F391" s="30" t="s">
        <v>75</v>
      </c>
      <c r="G391" s="30" t="s">
        <v>133</v>
      </c>
      <c r="H391" s="30" t="s">
        <v>77</v>
      </c>
      <c r="I391" s="30" t="s">
        <v>78</v>
      </c>
      <c r="J391" s="30" t="s">
        <v>79</v>
      </c>
      <c r="K391" s="32">
        <v>800</v>
      </c>
      <c r="L391" s="32" t="s">
        <v>80</v>
      </c>
      <c r="M391" s="30" t="s">
        <v>1611</v>
      </c>
      <c r="N391" s="30" t="s">
        <v>1612</v>
      </c>
      <c r="O391" s="30" t="s">
        <v>83</v>
      </c>
      <c r="P391" s="33">
        <v>46236</v>
      </c>
      <c r="Q391" s="33">
        <v>46236</v>
      </c>
      <c r="R391" s="32">
        <v>1</v>
      </c>
      <c r="S391" s="30" t="s">
        <v>463</v>
      </c>
      <c r="T391" s="30" t="s">
        <v>464</v>
      </c>
      <c r="U391" s="30" t="s">
        <v>160</v>
      </c>
      <c r="V391" s="30" t="s">
        <v>87</v>
      </c>
      <c r="W391" s="30" t="s">
        <v>88</v>
      </c>
      <c r="X391" s="30" t="s">
        <v>197</v>
      </c>
      <c r="Y391" s="30" t="s">
        <v>1046</v>
      </c>
      <c r="AB391" s="30" t="b">
        <v>0</v>
      </c>
      <c r="AC391" s="30"/>
      <c r="AD391" s="30" t="b">
        <v>0</v>
      </c>
      <c r="AF391" s="30" t="b">
        <v>0</v>
      </c>
      <c r="AH391" s="32" t="s">
        <v>91</v>
      </c>
      <c r="AI391" s="32"/>
      <c r="AJ391" s="32"/>
      <c r="AK391" s="32"/>
      <c r="AL391" s="30" t="s">
        <v>92</v>
      </c>
      <c r="AM391" s="30" t="s">
        <v>93</v>
      </c>
      <c r="AN391" s="30" t="s">
        <v>199</v>
      </c>
      <c r="AO391" s="30" t="s">
        <v>200</v>
      </c>
      <c r="AP391" s="30" t="s">
        <v>201</v>
      </c>
      <c r="AQ391" s="30" t="s">
        <v>202</v>
      </c>
      <c r="AR391" s="30" t="s">
        <v>145</v>
      </c>
      <c r="AT391" s="30" t="s">
        <v>99</v>
      </c>
      <c r="AU391" s="30" t="s">
        <v>100</v>
      </c>
      <c r="AV391" s="30" t="s">
        <v>101</v>
      </c>
      <c r="AW391" s="30" t="s">
        <v>102</v>
      </c>
      <c r="AX391" s="34" t="s">
        <v>160</v>
      </c>
      <c r="AY391" s="34" t="s">
        <v>103</v>
      </c>
      <c r="AZ391" s="34"/>
      <c r="BA391" s="34"/>
      <c r="BB391" s="34"/>
      <c r="BC391" s="34">
        <v>0</v>
      </c>
      <c r="BD391" s="34"/>
      <c r="BE391" s="34"/>
      <c r="BF391" s="34" t="b">
        <v>0</v>
      </c>
      <c r="BG391" s="34"/>
      <c r="BH391" s="34"/>
      <c r="BI391" s="34"/>
      <c r="BJ391" s="34"/>
      <c r="BK391" s="34"/>
      <c r="BL391" s="34"/>
      <c r="BM391" s="34" t="s">
        <v>168</v>
      </c>
      <c r="BN391" s="34"/>
      <c r="BO391" s="35"/>
      <c r="BP391" s="35"/>
      <c r="BQ391" s="35" t="s">
        <v>108</v>
      </c>
      <c r="BR391" s="36" t="e">
        <f>VLOOKUP(BQ391, Cat_Indicadores!B:C, 2, FALSE)</f>
        <v>#N/A</v>
      </c>
      <c r="BS391" s="35" t="s">
        <v>5592</v>
      </c>
      <c r="BT391" s="35"/>
    </row>
    <row r="392" spans="1:72">
      <c r="A392" s="29" t="s">
        <v>1613</v>
      </c>
      <c r="B392" s="30" t="s">
        <v>1614</v>
      </c>
      <c r="C392" s="31">
        <v>46279.452650462961</v>
      </c>
      <c r="D392" s="30">
        <v>92</v>
      </c>
      <c r="E392" s="30" t="s">
        <v>74</v>
      </c>
      <c r="F392" s="30" t="s">
        <v>75</v>
      </c>
      <c r="G392" s="30" t="s">
        <v>133</v>
      </c>
      <c r="H392" s="30" t="s">
        <v>77</v>
      </c>
      <c r="I392" s="30" t="s">
        <v>78</v>
      </c>
      <c r="J392" s="30" t="s">
        <v>79</v>
      </c>
      <c r="K392" s="32">
        <v>800</v>
      </c>
      <c r="L392" s="32" t="s">
        <v>80</v>
      </c>
      <c r="M392" s="30" t="s">
        <v>1615</v>
      </c>
      <c r="N392" s="30" t="s">
        <v>1616</v>
      </c>
      <c r="O392" s="30" t="s">
        <v>83</v>
      </c>
      <c r="P392" s="33">
        <v>46236</v>
      </c>
      <c r="Q392" s="33">
        <v>46236</v>
      </c>
      <c r="R392" s="32">
        <v>1</v>
      </c>
      <c r="S392" s="30" t="s">
        <v>463</v>
      </c>
      <c r="T392" s="30" t="s">
        <v>464</v>
      </c>
      <c r="U392" s="30" t="s">
        <v>160</v>
      </c>
      <c r="V392" s="30" t="s">
        <v>87</v>
      </c>
      <c r="W392" s="30" t="s">
        <v>88</v>
      </c>
      <c r="X392" s="30" t="s">
        <v>197</v>
      </c>
      <c r="Y392" s="30" t="s">
        <v>1046</v>
      </c>
      <c r="AB392" s="30" t="b">
        <v>0</v>
      </c>
      <c r="AC392" s="30"/>
      <c r="AD392" s="30" t="b">
        <v>0</v>
      </c>
      <c r="AF392" s="30" t="b">
        <v>0</v>
      </c>
      <c r="AH392" s="32" t="s">
        <v>91</v>
      </c>
      <c r="AI392" s="32"/>
      <c r="AJ392" s="32"/>
      <c r="AK392" s="32"/>
      <c r="AL392" s="30" t="s">
        <v>92</v>
      </c>
      <c r="AM392" s="30" t="s">
        <v>93</v>
      </c>
      <c r="AN392" s="30" t="s">
        <v>199</v>
      </c>
      <c r="AO392" s="30" t="s">
        <v>200</v>
      </c>
      <c r="AP392" s="30" t="s">
        <v>201</v>
      </c>
      <c r="AQ392" s="30" t="s">
        <v>202</v>
      </c>
      <c r="AR392" s="30" t="s">
        <v>145</v>
      </c>
      <c r="AT392" s="30" t="s">
        <v>99</v>
      </c>
      <c r="AU392" s="30" t="s">
        <v>100</v>
      </c>
      <c r="AV392" s="30" t="s">
        <v>101</v>
      </c>
      <c r="AW392" s="30" t="s">
        <v>102</v>
      </c>
      <c r="AX392" s="34" t="s">
        <v>160</v>
      </c>
      <c r="AY392" s="34" t="s">
        <v>103</v>
      </c>
      <c r="AZ392" s="34"/>
      <c r="BA392" s="34"/>
      <c r="BB392" s="34"/>
      <c r="BC392" s="34">
        <v>0</v>
      </c>
      <c r="BD392" s="34"/>
      <c r="BE392" s="34"/>
      <c r="BF392" s="34" t="b">
        <v>0</v>
      </c>
      <c r="BG392" s="34"/>
      <c r="BH392" s="34"/>
      <c r="BI392" s="34"/>
      <c r="BJ392" s="34"/>
      <c r="BK392" s="34"/>
      <c r="BL392" s="34"/>
      <c r="BM392" s="34" t="s">
        <v>168</v>
      </c>
      <c r="BN392" s="34"/>
      <c r="BO392" s="35"/>
      <c r="BP392" s="35"/>
      <c r="BQ392" s="35" t="s">
        <v>108</v>
      </c>
      <c r="BR392" s="36" t="e">
        <f>VLOOKUP(BQ392, Cat_Indicadores!B:C, 2, FALSE)</f>
        <v>#N/A</v>
      </c>
      <c r="BS392" s="35" t="s">
        <v>5592</v>
      </c>
      <c r="BT392" s="35"/>
    </row>
    <row r="393" spans="1:72">
      <c r="A393" s="29" t="s">
        <v>1617</v>
      </c>
      <c r="B393" s="30" t="s">
        <v>1618</v>
      </c>
      <c r="C393" s="31">
        <v>46279.459965277776</v>
      </c>
      <c r="D393" s="30">
        <v>92</v>
      </c>
      <c r="E393" s="30" t="s">
        <v>74</v>
      </c>
      <c r="F393" s="30" t="s">
        <v>75</v>
      </c>
      <c r="G393" s="30" t="s">
        <v>133</v>
      </c>
      <c r="H393" s="30" t="s">
        <v>77</v>
      </c>
      <c r="I393" s="30" t="s">
        <v>78</v>
      </c>
      <c r="J393" s="30" t="s">
        <v>79</v>
      </c>
      <c r="K393" s="32">
        <v>800</v>
      </c>
      <c r="L393" s="32" t="s">
        <v>80</v>
      </c>
      <c r="M393" s="30" t="s">
        <v>1619</v>
      </c>
      <c r="N393" s="30" t="s">
        <v>1620</v>
      </c>
      <c r="O393" s="30" t="s">
        <v>83</v>
      </c>
      <c r="P393" s="33">
        <v>46236</v>
      </c>
      <c r="Q393" s="33">
        <v>46236</v>
      </c>
      <c r="R393" s="32">
        <v>1</v>
      </c>
      <c r="S393" s="30" t="s">
        <v>463</v>
      </c>
      <c r="T393" s="30" t="s">
        <v>464</v>
      </c>
      <c r="U393" s="30" t="s">
        <v>160</v>
      </c>
      <c r="V393" s="30" t="s">
        <v>87</v>
      </c>
      <c r="W393" s="30" t="s">
        <v>88</v>
      </c>
      <c r="X393" s="30" t="s">
        <v>197</v>
      </c>
      <c r="Y393" s="30" t="s">
        <v>1046</v>
      </c>
      <c r="AB393" s="30" t="b">
        <v>0</v>
      </c>
      <c r="AC393" s="30"/>
      <c r="AD393" s="30" t="b">
        <v>0</v>
      </c>
      <c r="AF393" s="30" t="b">
        <v>0</v>
      </c>
      <c r="AH393" s="32" t="s">
        <v>91</v>
      </c>
      <c r="AI393" s="32"/>
      <c r="AJ393" s="32"/>
      <c r="AK393" s="32"/>
      <c r="AL393" s="30" t="s">
        <v>92</v>
      </c>
      <c r="AM393" s="30" t="s">
        <v>93</v>
      </c>
      <c r="AN393" s="30" t="s">
        <v>199</v>
      </c>
      <c r="AO393" s="30" t="s">
        <v>200</v>
      </c>
      <c r="AP393" s="30" t="s">
        <v>201</v>
      </c>
      <c r="AQ393" s="30" t="s">
        <v>202</v>
      </c>
      <c r="AR393" s="30" t="s">
        <v>145</v>
      </c>
      <c r="AT393" s="30" t="s">
        <v>99</v>
      </c>
      <c r="AU393" s="30" t="s">
        <v>100</v>
      </c>
      <c r="AV393" s="30" t="s">
        <v>101</v>
      </c>
      <c r="AW393" s="30" t="s">
        <v>102</v>
      </c>
      <c r="AX393" s="34" t="s">
        <v>160</v>
      </c>
      <c r="AY393" s="34" t="s">
        <v>103</v>
      </c>
      <c r="AZ393" s="34"/>
      <c r="BA393" s="34"/>
      <c r="BB393" s="34"/>
      <c r="BC393" s="34">
        <v>0</v>
      </c>
      <c r="BD393" s="34"/>
      <c r="BE393" s="34"/>
      <c r="BF393" s="34" t="b">
        <v>0</v>
      </c>
      <c r="BG393" s="34"/>
      <c r="BH393" s="34"/>
      <c r="BI393" s="34"/>
      <c r="BJ393" s="34"/>
      <c r="BK393" s="34"/>
      <c r="BL393" s="34"/>
      <c r="BM393" s="34" t="s">
        <v>168</v>
      </c>
      <c r="BN393" s="34"/>
      <c r="BO393" s="35"/>
      <c r="BP393" s="35"/>
      <c r="BQ393" s="35" t="s">
        <v>108</v>
      </c>
      <c r="BR393" s="36" t="e">
        <f>VLOOKUP(BQ393, Cat_Indicadores!B:C, 2, FALSE)</f>
        <v>#N/A</v>
      </c>
      <c r="BS393" s="35" t="s">
        <v>5592</v>
      </c>
      <c r="BT393" s="35"/>
    </row>
    <row r="394" spans="1:72">
      <c r="A394" s="29" t="s">
        <v>1621</v>
      </c>
      <c r="B394" s="30" t="s">
        <v>1622</v>
      </c>
      <c r="C394" s="31">
        <v>46279.471006944441</v>
      </c>
      <c r="D394" s="30">
        <v>92</v>
      </c>
      <c r="E394" s="30" t="s">
        <v>74</v>
      </c>
      <c r="F394" s="30" t="s">
        <v>75</v>
      </c>
      <c r="G394" s="30" t="s">
        <v>133</v>
      </c>
      <c r="H394" s="30" t="s">
        <v>77</v>
      </c>
      <c r="I394" s="30" t="s">
        <v>78</v>
      </c>
      <c r="J394" s="30" t="s">
        <v>79</v>
      </c>
      <c r="K394" s="32">
        <v>800</v>
      </c>
      <c r="L394" s="32" t="s">
        <v>80</v>
      </c>
      <c r="M394" s="30" t="s">
        <v>1619</v>
      </c>
      <c r="N394" s="30" t="s">
        <v>1620</v>
      </c>
      <c r="O394" s="30" t="s">
        <v>83</v>
      </c>
      <c r="P394" s="33">
        <v>46236</v>
      </c>
      <c r="Q394" s="33">
        <v>46236</v>
      </c>
      <c r="R394" s="32">
        <v>1</v>
      </c>
      <c r="S394" s="30" t="s">
        <v>463</v>
      </c>
      <c r="T394" s="30" t="s">
        <v>464</v>
      </c>
      <c r="U394" s="30" t="s">
        <v>160</v>
      </c>
      <c r="V394" s="30" t="s">
        <v>87</v>
      </c>
      <c r="W394" s="30" t="s">
        <v>88</v>
      </c>
      <c r="X394" s="30" t="s">
        <v>197</v>
      </c>
      <c r="Y394" s="30" t="s">
        <v>1046</v>
      </c>
      <c r="AB394" s="30" t="b">
        <v>0</v>
      </c>
      <c r="AC394" s="30"/>
      <c r="AD394" s="30" t="b">
        <v>0</v>
      </c>
      <c r="AF394" s="30" t="b">
        <v>0</v>
      </c>
      <c r="AH394" s="32" t="s">
        <v>91</v>
      </c>
      <c r="AI394" s="32"/>
      <c r="AJ394" s="32"/>
      <c r="AK394" s="32"/>
      <c r="AL394" s="30" t="s">
        <v>92</v>
      </c>
      <c r="AM394" s="30" t="s">
        <v>93</v>
      </c>
      <c r="AN394" s="30" t="s">
        <v>199</v>
      </c>
      <c r="AO394" s="30" t="s">
        <v>200</v>
      </c>
      <c r="AP394" s="30" t="s">
        <v>201</v>
      </c>
      <c r="AQ394" s="30" t="s">
        <v>202</v>
      </c>
      <c r="AR394" s="30" t="s">
        <v>145</v>
      </c>
      <c r="AT394" s="30" t="s">
        <v>99</v>
      </c>
      <c r="AU394" s="30" t="s">
        <v>100</v>
      </c>
      <c r="AV394" s="30" t="s">
        <v>101</v>
      </c>
      <c r="AW394" s="30" t="s">
        <v>102</v>
      </c>
      <c r="AX394" s="34" t="s">
        <v>160</v>
      </c>
      <c r="AY394" s="34" t="s">
        <v>103</v>
      </c>
      <c r="AZ394" s="34"/>
      <c r="BA394" s="34"/>
      <c r="BB394" s="34"/>
      <c r="BC394" s="34">
        <v>0</v>
      </c>
      <c r="BD394" s="34"/>
      <c r="BE394" s="34"/>
      <c r="BF394" s="34" t="b">
        <v>0</v>
      </c>
      <c r="BG394" s="34"/>
      <c r="BH394" s="34"/>
      <c r="BI394" s="34"/>
      <c r="BJ394" s="34"/>
      <c r="BK394" s="34"/>
      <c r="BL394" s="34"/>
      <c r="BM394" s="34" t="s">
        <v>168</v>
      </c>
      <c r="BN394" s="34"/>
      <c r="BO394" s="35"/>
      <c r="BP394" s="35"/>
      <c r="BQ394" s="35" t="s">
        <v>108</v>
      </c>
      <c r="BR394" s="36" t="e">
        <f>VLOOKUP(BQ394, Cat_Indicadores!B:C, 2, FALSE)</f>
        <v>#N/A</v>
      </c>
      <c r="BS394" s="35" t="s">
        <v>5592</v>
      </c>
      <c r="BT394" s="35"/>
    </row>
    <row r="395" spans="1:72">
      <c r="A395" s="29" t="s">
        <v>1623</v>
      </c>
      <c r="B395" s="30" t="s">
        <v>1624</v>
      </c>
      <c r="C395" s="31">
        <v>46279.478773148148</v>
      </c>
      <c r="D395" s="30">
        <v>92</v>
      </c>
      <c r="E395" s="30" t="s">
        <v>74</v>
      </c>
      <c r="F395" s="30" t="s">
        <v>75</v>
      </c>
      <c r="G395" s="30" t="s">
        <v>133</v>
      </c>
      <c r="H395" s="30" t="s">
        <v>77</v>
      </c>
      <c r="I395" s="30" t="s">
        <v>78</v>
      </c>
      <c r="J395" s="30" t="s">
        <v>79</v>
      </c>
      <c r="K395" s="32">
        <v>800</v>
      </c>
      <c r="L395" s="32" t="s">
        <v>80</v>
      </c>
      <c r="M395" s="30" t="s">
        <v>1625</v>
      </c>
      <c r="N395" s="30" t="s">
        <v>1626</v>
      </c>
      <c r="O395" s="30" t="s">
        <v>83</v>
      </c>
      <c r="P395" s="33">
        <v>46242</v>
      </c>
      <c r="Q395" s="33">
        <v>46242</v>
      </c>
      <c r="R395" s="32">
        <v>1</v>
      </c>
      <c r="S395" s="30" t="s">
        <v>249</v>
      </c>
      <c r="T395" s="30" t="s">
        <v>250</v>
      </c>
      <c r="U395" s="30" t="s">
        <v>160</v>
      </c>
      <c r="V395" s="30" t="s">
        <v>87</v>
      </c>
      <c r="W395" s="30" t="s">
        <v>88</v>
      </c>
      <c r="X395" s="30" t="s">
        <v>197</v>
      </c>
      <c r="Y395" s="30" t="s">
        <v>1046</v>
      </c>
      <c r="AB395" s="30" t="b">
        <v>0</v>
      </c>
      <c r="AC395" s="30"/>
      <c r="AD395" s="30" t="b">
        <v>0</v>
      </c>
      <c r="AF395" s="30" t="b">
        <v>0</v>
      </c>
      <c r="AH395" s="32" t="s">
        <v>91</v>
      </c>
      <c r="AI395" s="32"/>
      <c r="AJ395" s="32"/>
      <c r="AK395" s="32"/>
      <c r="AL395" s="30" t="s">
        <v>92</v>
      </c>
      <c r="AM395" s="30" t="s">
        <v>93</v>
      </c>
      <c r="AN395" s="30" t="s">
        <v>199</v>
      </c>
      <c r="AO395" s="30" t="s">
        <v>200</v>
      </c>
      <c r="AP395" s="30" t="s">
        <v>201</v>
      </c>
      <c r="AQ395" s="30" t="s">
        <v>202</v>
      </c>
      <c r="AR395" s="30" t="s">
        <v>145</v>
      </c>
      <c r="AT395" s="30" t="s">
        <v>99</v>
      </c>
      <c r="AU395" s="30" t="s">
        <v>100</v>
      </c>
      <c r="AV395" s="30" t="s">
        <v>101</v>
      </c>
      <c r="AW395" s="30" t="s">
        <v>102</v>
      </c>
      <c r="AX395" s="34" t="s">
        <v>160</v>
      </c>
      <c r="AY395" s="34" t="s">
        <v>103</v>
      </c>
      <c r="AZ395" s="34"/>
      <c r="BA395" s="34"/>
      <c r="BB395" s="34"/>
      <c r="BC395" s="34">
        <v>0</v>
      </c>
      <c r="BD395" s="34"/>
      <c r="BE395" s="34"/>
      <c r="BF395" s="34" t="b">
        <v>0</v>
      </c>
      <c r="BG395" s="34"/>
      <c r="BH395" s="34"/>
      <c r="BI395" s="34"/>
      <c r="BJ395" s="34"/>
      <c r="BK395" s="34"/>
      <c r="BL395" s="34"/>
      <c r="BM395" s="34" t="s">
        <v>168</v>
      </c>
      <c r="BN395" s="34"/>
      <c r="BO395" s="35"/>
      <c r="BP395" s="35"/>
      <c r="BQ395" s="35" t="s">
        <v>108</v>
      </c>
      <c r="BR395" s="36" t="e">
        <f>VLOOKUP(BQ395, Cat_Indicadores!B:C, 2, FALSE)</f>
        <v>#N/A</v>
      </c>
      <c r="BS395" s="35" t="s">
        <v>5592</v>
      </c>
      <c r="BT395" s="35"/>
    </row>
    <row r="396" spans="1:72">
      <c r="A396" s="29" t="s">
        <v>1627</v>
      </c>
      <c r="B396" s="30" t="s">
        <v>1628</v>
      </c>
      <c r="C396" s="31">
        <v>46279.482083333336</v>
      </c>
      <c r="D396" s="30">
        <v>92</v>
      </c>
      <c r="E396" s="30" t="s">
        <v>74</v>
      </c>
      <c r="F396" s="30" t="s">
        <v>75</v>
      </c>
      <c r="G396" s="30" t="s">
        <v>133</v>
      </c>
      <c r="H396" s="30" t="s">
        <v>77</v>
      </c>
      <c r="I396" s="30" t="s">
        <v>78</v>
      </c>
      <c r="J396" s="30" t="s">
        <v>79</v>
      </c>
      <c r="K396" s="32">
        <v>800</v>
      </c>
      <c r="L396" s="32" t="s">
        <v>80</v>
      </c>
      <c r="M396" s="30" t="s">
        <v>1629</v>
      </c>
      <c r="N396" s="30" t="s">
        <v>1630</v>
      </c>
      <c r="O396" s="30" t="s">
        <v>83</v>
      </c>
      <c r="P396" s="33">
        <v>46242</v>
      </c>
      <c r="Q396" s="33">
        <v>46242</v>
      </c>
      <c r="R396" s="32">
        <v>1</v>
      </c>
      <c r="S396" s="30" t="s">
        <v>249</v>
      </c>
      <c r="T396" s="30" t="s">
        <v>250</v>
      </c>
      <c r="U396" s="30" t="s">
        <v>221</v>
      </c>
      <c r="V396" s="30" t="s">
        <v>87</v>
      </c>
      <c r="W396" s="30" t="s">
        <v>88</v>
      </c>
      <c r="X396" s="30" t="s">
        <v>197</v>
      </c>
      <c r="Y396" s="30" t="s">
        <v>1046</v>
      </c>
      <c r="AB396" s="30" t="b">
        <v>0</v>
      </c>
      <c r="AC396" s="30"/>
      <c r="AD396" s="30" t="b">
        <v>0</v>
      </c>
      <c r="AF396" s="30" t="b">
        <v>0</v>
      </c>
      <c r="AH396" s="32" t="s">
        <v>91</v>
      </c>
      <c r="AI396" s="32"/>
      <c r="AJ396" s="32"/>
      <c r="AK396" s="32"/>
      <c r="AL396" s="30" t="s">
        <v>92</v>
      </c>
      <c r="AM396" s="30" t="s">
        <v>93</v>
      </c>
      <c r="AN396" s="30" t="s">
        <v>199</v>
      </c>
      <c r="AO396" s="30" t="s">
        <v>200</v>
      </c>
      <c r="AP396" s="30" t="s">
        <v>201</v>
      </c>
      <c r="AQ396" s="30" t="s">
        <v>202</v>
      </c>
      <c r="AR396" s="30" t="s">
        <v>145</v>
      </c>
      <c r="AT396" s="30" t="s">
        <v>99</v>
      </c>
      <c r="AU396" s="30" t="s">
        <v>100</v>
      </c>
      <c r="AV396" s="30" t="s">
        <v>101</v>
      </c>
      <c r="AW396" s="30" t="s">
        <v>102</v>
      </c>
      <c r="AX396" s="34" t="s">
        <v>598</v>
      </c>
      <c r="AY396" s="34" t="s">
        <v>279</v>
      </c>
      <c r="AZ396" s="34"/>
      <c r="BA396" s="34"/>
      <c r="BB396" s="34"/>
      <c r="BC396" s="34">
        <v>0</v>
      </c>
      <c r="BD396" s="34"/>
      <c r="BE396" s="34"/>
      <c r="BF396" s="34" t="b">
        <v>0</v>
      </c>
      <c r="BG396" s="34"/>
      <c r="BH396" s="34"/>
      <c r="BI396" s="34"/>
      <c r="BJ396" s="34"/>
      <c r="BK396" s="34"/>
      <c r="BL396" s="34"/>
      <c r="BM396" s="34" t="s">
        <v>168</v>
      </c>
      <c r="BN396" s="34"/>
      <c r="BO396" s="35"/>
      <c r="BP396" s="35"/>
      <c r="BQ396" s="35" t="s">
        <v>108</v>
      </c>
      <c r="BR396" s="36" t="e">
        <f>VLOOKUP(BQ396, Cat_Indicadores!B:C, 2, FALSE)</f>
        <v>#N/A</v>
      </c>
      <c r="BS396" s="35" t="s">
        <v>5592</v>
      </c>
      <c r="BT396" s="35"/>
    </row>
    <row r="397" spans="1:72">
      <c r="A397" s="29" t="s">
        <v>1631</v>
      </c>
      <c r="B397" s="30" t="s">
        <v>1632</v>
      </c>
      <c r="C397" s="31">
        <v>46279.512499999997</v>
      </c>
      <c r="D397" s="30">
        <v>92</v>
      </c>
      <c r="E397" s="30" t="s">
        <v>74</v>
      </c>
      <c r="F397" s="30" t="s">
        <v>75</v>
      </c>
      <c r="G397" s="30" t="s">
        <v>133</v>
      </c>
      <c r="H397" s="30" t="s">
        <v>77</v>
      </c>
      <c r="I397" s="30" t="s">
        <v>78</v>
      </c>
      <c r="J397" s="30" t="s">
        <v>79</v>
      </c>
      <c r="K397" s="32">
        <v>800</v>
      </c>
      <c r="L397" s="32" t="s">
        <v>80</v>
      </c>
      <c r="M397" s="30" t="s">
        <v>1633</v>
      </c>
      <c r="N397" s="30" t="s">
        <v>1634</v>
      </c>
      <c r="O397" s="30" t="s">
        <v>83</v>
      </c>
      <c r="P397" s="33">
        <v>46242</v>
      </c>
      <c r="Q397" s="33">
        <v>46242</v>
      </c>
      <c r="R397" s="32">
        <v>1</v>
      </c>
      <c r="S397" s="30" t="s">
        <v>243</v>
      </c>
      <c r="T397" s="30" t="s">
        <v>398</v>
      </c>
      <c r="U397" s="30" t="s">
        <v>367</v>
      </c>
      <c r="V397" s="30" t="s">
        <v>87</v>
      </c>
      <c r="W397" s="30" t="s">
        <v>88</v>
      </c>
      <c r="X397" s="30" t="s">
        <v>197</v>
      </c>
      <c r="Y397" s="30" t="s">
        <v>1046</v>
      </c>
      <c r="AB397" s="30" t="b">
        <v>0</v>
      </c>
      <c r="AC397" s="30"/>
      <c r="AD397" s="30" t="b">
        <v>0</v>
      </c>
      <c r="AF397" s="30" t="b">
        <v>0</v>
      </c>
      <c r="AH397" s="32" t="s">
        <v>91</v>
      </c>
      <c r="AI397" s="32"/>
      <c r="AJ397" s="32"/>
      <c r="AK397" s="32"/>
      <c r="AL397" s="30" t="s">
        <v>92</v>
      </c>
      <c r="AM397" s="30" t="s">
        <v>93</v>
      </c>
      <c r="AN397" s="30" t="s">
        <v>199</v>
      </c>
      <c r="AO397" s="30" t="s">
        <v>200</v>
      </c>
      <c r="AP397" s="30" t="s">
        <v>201</v>
      </c>
      <c r="AQ397" s="30" t="s">
        <v>202</v>
      </c>
      <c r="AR397" s="30" t="s">
        <v>145</v>
      </c>
      <c r="AT397" s="30" t="s">
        <v>99</v>
      </c>
      <c r="AU397" s="30" t="s">
        <v>100</v>
      </c>
      <c r="AV397" s="30" t="s">
        <v>101</v>
      </c>
      <c r="AW397" s="30" t="s">
        <v>102</v>
      </c>
      <c r="AX397" s="34" t="s">
        <v>598</v>
      </c>
      <c r="AY397" s="34" t="s">
        <v>279</v>
      </c>
      <c r="AZ397" s="34"/>
      <c r="BA397" s="34"/>
      <c r="BB397" s="34"/>
      <c r="BC397" s="34">
        <v>0</v>
      </c>
      <c r="BD397" s="34"/>
      <c r="BE397" s="34"/>
      <c r="BF397" s="34" t="b">
        <v>0</v>
      </c>
      <c r="BG397" s="34"/>
      <c r="BH397" s="34"/>
      <c r="BI397" s="34"/>
      <c r="BJ397" s="34"/>
      <c r="BK397" s="34"/>
      <c r="BL397" s="34"/>
      <c r="BM397" s="34" t="s">
        <v>168</v>
      </c>
      <c r="BN397" s="34"/>
      <c r="BO397" s="35"/>
      <c r="BP397" s="35"/>
      <c r="BQ397" s="35" t="s">
        <v>108</v>
      </c>
      <c r="BR397" s="36" t="e">
        <f>VLOOKUP(BQ397, Cat_Indicadores!B:C, 2, FALSE)</f>
        <v>#N/A</v>
      </c>
      <c r="BS397" s="35" t="s">
        <v>5592</v>
      </c>
      <c r="BT397" s="35"/>
    </row>
    <row r="398" spans="1:72">
      <c r="A398" s="29" t="s">
        <v>1635</v>
      </c>
      <c r="B398" s="30" t="s">
        <v>1636</v>
      </c>
      <c r="C398" s="31">
        <v>46279.519849537035</v>
      </c>
      <c r="D398" s="30">
        <v>92</v>
      </c>
      <c r="E398" s="30" t="s">
        <v>74</v>
      </c>
      <c r="F398" s="30" t="s">
        <v>75</v>
      </c>
      <c r="G398" s="30" t="s">
        <v>133</v>
      </c>
      <c r="H398" s="30" t="s">
        <v>77</v>
      </c>
      <c r="I398" s="30" t="s">
        <v>78</v>
      </c>
      <c r="J398" s="30" t="s">
        <v>79</v>
      </c>
      <c r="K398" s="32">
        <v>800</v>
      </c>
      <c r="L398" s="32" t="s">
        <v>80</v>
      </c>
      <c r="M398" s="30" t="s">
        <v>1637</v>
      </c>
      <c r="N398" s="30" t="s">
        <v>1638</v>
      </c>
      <c r="O398" s="30" t="s">
        <v>83</v>
      </c>
      <c r="P398" s="33">
        <v>46260</v>
      </c>
      <c r="Q398" s="33">
        <v>46260</v>
      </c>
      <c r="R398" s="32">
        <v>1</v>
      </c>
      <c r="S398" s="30" t="s">
        <v>243</v>
      </c>
      <c r="T398" s="30" t="s">
        <v>244</v>
      </c>
      <c r="U398" s="30" t="s">
        <v>216</v>
      </c>
      <c r="V398" s="30" t="s">
        <v>87</v>
      </c>
      <c r="W398" s="30" t="s">
        <v>88</v>
      </c>
      <c r="X398" s="30" t="s">
        <v>197</v>
      </c>
      <c r="Y398" s="30" t="s">
        <v>1046</v>
      </c>
      <c r="AB398" s="30" t="b">
        <v>0</v>
      </c>
      <c r="AC398" s="30"/>
      <c r="AD398" s="30" t="b">
        <v>0</v>
      </c>
      <c r="AF398" s="30" t="b">
        <v>0</v>
      </c>
      <c r="AH398" s="32" t="s">
        <v>91</v>
      </c>
      <c r="AI398" s="32"/>
      <c r="AJ398" s="32"/>
      <c r="AK398" s="32"/>
      <c r="AL398" s="30" t="s">
        <v>92</v>
      </c>
      <c r="AM398" s="30" t="s">
        <v>93</v>
      </c>
      <c r="AN398" s="30" t="s">
        <v>199</v>
      </c>
      <c r="AO398" s="30" t="s">
        <v>200</v>
      </c>
      <c r="AP398" s="30" t="s">
        <v>201</v>
      </c>
      <c r="AQ398" s="30" t="s">
        <v>202</v>
      </c>
      <c r="AR398" s="30" t="s">
        <v>145</v>
      </c>
      <c r="AT398" s="30" t="s">
        <v>99</v>
      </c>
      <c r="AU398" s="30" t="s">
        <v>100</v>
      </c>
      <c r="AV398" s="30" t="s">
        <v>101</v>
      </c>
      <c r="AW398" s="30" t="s">
        <v>102</v>
      </c>
      <c r="AX398" s="34" t="s">
        <v>598</v>
      </c>
      <c r="AY398" s="34" t="s">
        <v>279</v>
      </c>
      <c r="AZ398" s="34"/>
      <c r="BA398" s="34"/>
      <c r="BB398" s="34"/>
      <c r="BC398" s="34">
        <v>0</v>
      </c>
      <c r="BD398" s="34"/>
      <c r="BE398" s="34"/>
      <c r="BF398" s="34" t="b">
        <v>0</v>
      </c>
      <c r="BG398" s="34"/>
      <c r="BH398" s="34"/>
      <c r="BI398" s="34"/>
      <c r="BJ398" s="34"/>
      <c r="BK398" s="34"/>
      <c r="BL398" s="34"/>
      <c r="BM398" s="34" t="s">
        <v>168</v>
      </c>
      <c r="BN398" s="34"/>
      <c r="BO398" s="35"/>
      <c r="BP398" s="35"/>
      <c r="BQ398" s="35" t="s">
        <v>108</v>
      </c>
      <c r="BR398" s="36" t="e">
        <f>VLOOKUP(BQ398, Cat_Indicadores!B:C, 2, FALSE)</f>
        <v>#N/A</v>
      </c>
      <c r="BS398" s="35" t="s">
        <v>5592</v>
      </c>
      <c r="BT398" s="35"/>
    </row>
    <row r="399" spans="1:72">
      <c r="A399" s="29" t="s">
        <v>1639</v>
      </c>
      <c r="B399" s="30" t="s">
        <v>1640</v>
      </c>
      <c r="C399" s="31">
        <v>46279.522731481484</v>
      </c>
      <c r="D399" s="30">
        <v>92</v>
      </c>
      <c r="E399" s="30" t="s">
        <v>74</v>
      </c>
      <c r="F399" s="30" t="s">
        <v>75</v>
      </c>
      <c r="G399" s="30" t="s">
        <v>133</v>
      </c>
      <c r="H399" s="30" t="s">
        <v>77</v>
      </c>
      <c r="I399" s="30" t="s">
        <v>78</v>
      </c>
      <c r="J399" s="30" t="s">
        <v>79</v>
      </c>
      <c r="K399" s="32">
        <v>800</v>
      </c>
      <c r="L399" s="32" t="s">
        <v>80</v>
      </c>
      <c r="M399" s="30" t="s">
        <v>1641</v>
      </c>
      <c r="N399" s="30" t="s">
        <v>1641</v>
      </c>
      <c r="O399" s="30" t="s">
        <v>83</v>
      </c>
      <c r="P399" s="33">
        <v>46260</v>
      </c>
      <c r="Q399" s="33">
        <v>46260</v>
      </c>
      <c r="R399" s="32">
        <v>1</v>
      </c>
      <c r="S399" s="30" t="s">
        <v>243</v>
      </c>
      <c r="T399" s="30" t="s">
        <v>244</v>
      </c>
      <c r="U399" s="30" t="s">
        <v>216</v>
      </c>
      <c r="V399" s="30" t="s">
        <v>87</v>
      </c>
      <c r="W399" s="30" t="s">
        <v>88</v>
      </c>
      <c r="X399" s="30" t="s">
        <v>197</v>
      </c>
      <c r="Y399" s="30" t="s">
        <v>1046</v>
      </c>
      <c r="AB399" s="30" t="b">
        <v>0</v>
      </c>
      <c r="AC399" s="30"/>
      <c r="AD399" s="30" t="b">
        <v>0</v>
      </c>
      <c r="AF399" s="30" t="b">
        <v>0</v>
      </c>
      <c r="AH399" s="32" t="s">
        <v>91</v>
      </c>
      <c r="AI399" s="32"/>
      <c r="AJ399" s="32"/>
      <c r="AK399" s="32"/>
      <c r="AL399" s="30" t="s">
        <v>92</v>
      </c>
      <c r="AM399" s="30" t="s">
        <v>93</v>
      </c>
      <c r="AN399" s="30" t="s">
        <v>199</v>
      </c>
      <c r="AO399" s="30" t="s">
        <v>200</v>
      </c>
      <c r="AP399" s="30" t="s">
        <v>201</v>
      </c>
      <c r="AQ399" s="30" t="s">
        <v>202</v>
      </c>
      <c r="AR399" s="30" t="s">
        <v>145</v>
      </c>
      <c r="AT399" s="30" t="s">
        <v>99</v>
      </c>
      <c r="AU399" s="30" t="s">
        <v>100</v>
      </c>
      <c r="AV399" s="30" t="s">
        <v>101</v>
      </c>
      <c r="AW399" s="30" t="s">
        <v>102</v>
      </c>
      <c r="AX399" s="34" t="s">
        <v>598</v>
      </c>
      <c r="AY399" s="34" t="s">
        <v>279</v>
      </c>
      <c r="AZ399" s="34"/>
      <c r="BA399" s="34"/>
      <c r="BB399" s="34"/>
      <c r="BC399" s="34">
        <v>0</v>
      </c>
      <c r="BD399" s="34"/>
      <c r="BE399" s="34"/>
      <c r="BF399" s="34" t="b">
        <v>0</v>
      </c>
      <c r="BG399" s="34"/>
      <c r="BH399" s="34"/>
      <c r="BI399" s="34"/>
      <c r="BJ399" s="34"/>
      <c r="BK399" s="34"/>
      <c r="BL399" s="34"/>
      <c r="BM399" s="34" t="s">
        <v>168</v>
      </c>
      <c r="BN399" s="34"/>
      <c r="BO399" s="35"/>
      <c r="BP399" s="35"/>
      <c r="BQ399" s="35" t="s">
        <v>108</v>
      </c>
      <c r="BR399" s="36" t="e">
        <f>VLOOKUP(BQ399, Cat_Indicadores!B:C, 2, FALSE)</f>
        <v>#N/A</v>
      </c>
      <c r="BS399" s="35" t="s">
        <v>5592</v>
      </c>
      <c r="BT399" s="35"/>
    </row>
    <row r="400" spans="1:72">
      <c r="A400" s="29" t="s">
        <v>1642</v>
      </c>
      <c r="B400" s="30" t="s">
        <v>1643</v>
      </c>
      <c r="C400" s="31">
        <v>46279.528055555558</v>
      </c>
      <c r="D400" s="30">
        <v>92</v>
      </c>
      <c r="E400" s="30" t="s">
        <v>74</v>
      </c>
      <c r="F400" s="30" t="s">
        <v>75</v>
      </c>
      <c r="G400" s="30" t="s">
        <v>133</v>
      </c>
      <c r="H400" s="30" t="s">
        <v>77</v>
      </c>
      <c r="I400" s="30" t="s">
        <v>78</v>
      </c>
      <c r="J400" s="30" t="s">
        <v>79</v>
      </c>
      <c r="K400" s="32">
        <v>800</v>
      </c>
      <c r="L400" s="32" t="s">
        <v>80</v>
      </c>
      <c r="M400" s="30" t="s">
        <v>1644</v>
      </c>
      <c r="N400" s="30" t="s">
        <v>1644</v>
      </c>
      <c r="O400" s="30" t="s">
        <v>83</v>
      </c>
      <c r="P400" s="33">
        <v>46256</v>
      </c>
      <c r="Q400" s="33">
        <v>46256</v>
      </c>
      <c r="R400" s="32">
        <v>1</v>
      </c>
      <c r="S400" s="30" t="s">
        <v>243</v>
      </c>
      <c r="T400" s="30" t="s">
        <v>328</v>
      </c>
      <c r="U400" s="30" t="s">
        <v>367</v>
      </c>
      <c r="V400" s="30" t="s">
        <v>87</v>
      </c>
      <c r="W400" s="30" t="s">
        <v>88</v>
      </c>
      <c r="X400" s="30" t="s">
        <v>197</v>
      </c>
      <c r="Y400" s="30" t="s">
        <v>1046</v>
      </c>
      <c r="AB400" s="30" t="b">
        <v>0</v>
      </c>
      <c r="AC400" s="30"/>
      <c r="AD400" s="30" t="b">
        <v>0</v>
      </c>
      <c r="AF400" s="30" t="b">
        <v>0</v>
      </c>
      <c r="AH400" s="32" t="s">
        <v>91</v>
      </c>
      <c r="AI400" s="32"/>
      <c r="AJ400" s="32"/>
      <c r="AK400" s="32"/>
      <c r="AL400" s="30" t="s">
        <v>92</v>
      </c>
      <c r="AM400" s="30" t="s">
        <v>93</v>
      </c>
      <c r="AN400" s="30" t="s">
        <v>199</v>
      </c>
      <c r="AO400" s="30" t="s">
        <v>200</v>
      </c>
      <c r="AP400" s="30" t="s">
        <v>201</v>
      </c>
      <c r="AQ400" s="30" t="s">
        <v>202</v>
      </c>
      <c r="AR400" s="30" t="s">
        <v>145</v>
      </c>
      <c r="AT400" s="30" t="s">
        <v>99</v>
      </c>
      <c r="AU400" s="30" t="s">
        <v>100</v>
      </c>
      <c r="AV400" s="30" t="s">
        <v>101</v>
      </c>
      <c r="AW400" s="30" t="s">
        <v>102</v>
      </c>
      <c r="AX400" s="34" t="s">
        <v>598</v>
      </c>
      <c r="AY400" s="34" t="s">
        <v>279</v>
      </c>
      <c r="AZ400" s="34"/>
      <c r="BA400" s="34"/>
      <c r="BB400" s="34"/>
      <c r="BC400" s="34">
        <v>0</v>
      </c>
      <c r="BD400" s="34"/>
      <c r="BE400" s="34"/>
      <c r="BF400" s="34" t="b">
        <v>0</v>
      </c>
      <c r="BG400" s="34"/>
      <c r="BH400" s="34"/>
      <c r="BI400" s="34"/>
      <c r="BJ400" s="34"/>
      <c r="BK400" s="34"/>
      <c r="BL400" s="34"/>
      <c r="BM400" s="34" t="s">
        <v>168</v>
      </c>
      <c r="BN400" s="34"/>
      <c r="BO400" s="35"/>
      <c r="BP400" s="35"/>
      <c r="BQ400" s="35" t="s">
        <v>108</v>
      </c>
      <c r="BR400" s="36" t="e">
        <f>VLOOKUP(BQ400, Cat_Indicadores!B:C, 2, FALSE)</f>
        <v>#N/A</v>
      </c>
      <c r="BS400" s="35" t="s">
        <v>5592</v>
      </c>
      <c r="BT400" s="35"/>
    </row>
    <row r="401" spans="1:72">
      <c r="A401" s="29" t="s">
        <v>1645</v>
      </c>
      <c r="B401" s="30" t="s">
        <v>1646</v>
      </c>
      <c r="C401" s="31">
        <v>46279.53534722222</v>
      </c>
      <c r="D401" s="30">
        <v>92</v>
      </c>
      <c r="E401" s="30" t="s">
        <v>74</v>
      </c>
      <c r="F401" s="30" t="s">
        <v>75</v>
      </c>
      <c r="G401" s="30" t="s">
        <v>133</v>
      </c>
      <c r="H401" s="30" t="s">
        <v>77</v>
      </c>
      <c r="I401" s="30" t="s">
        <v>78</v>
      </c>
      <c r="J401" s="30" t="s">
        <v>79</v>
      </c>
      <c r="K401" s="32">
        <v>800</v>
      </c>
      <c r="L401" s="32" t="s">
        <v>80</v>
      </c>
      <c r="M401" s="30" t="s">
        <v>1647</v>
      </c>
      <c r="N401" s="30" t="s">
        <v>1648</v>
      </c>
      <c r="O401" s="30" t="s">
        <v>83</v>
      </c>
      <c r="P401" s="33">
        <v>46250</v>
      </c>
      <c r="Q401" s="33">
        <v>46250</v>
      </c>
      <c r="R401" s="32">
        <v>1</v>
      </c>
      <c r="S401" s="30" t="s">
        <v>214</v>
      </c>
      <c r="T401" s="30" t="s">
        <v>1649</v>
      </c>
      <c r="U401" s="30" t="s">
        <v>221</v>
      </c>
      <c r="V401" s="30" t="s">
        <v>87</v>
      </c>
      <c r="W401" s="30" t="s">
        <v>88</v>
      </c>
      <c r="X401" s="30" t="s">
        <v>197</v>
      </c>
      <c r="Y401" s="30" t="s">
        <v>1046</v>
      </c>
      <c r="AB401" s="30" t="b">
        <v>0</v>
      </c>
      <c r="AC401" s="30"/>
      <c r="AD401" s="30" t="b">
        <v>0</v>
      </c>
      <c r="AF401" s="30" t="b">
        <v>0</v>
      </c>
      <c r="AH401" s="32" t="s">
        <v>91</v>
      </c>
      <c r="AI401" s="32"/>
      <c r="AJ401" s="32"/>
      <c r="AK401" s="32"/>
      <c r="AL401" s="30" t="s">
        <v>92</v>
      </c>
      <c r="AM401" s="30" t="s">
        <v>93</v>
      </c>
      <c r="AN401" s="30" t="s">
        <v>199</v>
      </c>
      <c r="AO401" s="30" t="s">
        <v>200</v>
      </c>
      <c r="AP401" s="30" t="s">
        <v>201</v>
      </c>
      <c r="AQ401" s="30" t="s">
        <v>202</v>
      </c>
      <c r="AR401" s="30" t="s">
        <v>145</v>
      </c>
      <c r="AT401" s="30" t="s">
        <v>99</v>
      </c>
      <c r="AU401" s="30" t="s">
        <v>100</v>
      </c>
      <c r="AV401" s="30" t="s">
        <v>101</v>
      </c>
      <c r="AW401" s="30" t="s">
        <v>102</v>
      </c>
      <c r="AX401" s="34" t="s">
        <v>598</v>
      </c>
      <c r="AY401" s="34" t="s">
        <v>279</v>
      </c>
      <c r="AZ401" s="34"/>
      <c r="BA401" s="34"/>
      <c r="BB401" s="34"/>
      <c r="BC401" s="34">
        <v>0</v>
      </c>
      <c r="BD401" s="34"/>
      <c r="BE401" s="34"/>
      <c r="BF401" s="34" t="b">
        <v>0</v>
      </c>
      <c r="BG401" s="34"/>
      <c r="BH401" s="34"/>
      <c r="BI401" s="34"/>
      <c r="BJ401" s="34"/>
      <c r="BK401" s="34"/>
      <c r="BL401" s="34"/>
      <c r="BM401" s="34" t="s">
        <v>168</v>
      </c>
      <c r="BN401" s="34"/>
      <c r="BO401" s="35"/>
      <c r="BP401" s="35"/>
      <c r="BQ401" s="35" t="s">
        <v>108</v>
      </c>
      <c r="BR401" s="36" t="e">
        <f>VLOOKUP(BQ401, Cat_Indicadores!B:C, 2, FALSE)</f>
        <v>#N/A</v>
      </c>
      <c r="BS401" s="35" t="s">
        <v>5592</v>
      </c>
      <c r="BT401" s="35"/>
    </row>
    <row r="402" spans="1:72">
      <c r="A402" s="29" t="s">
        <v>1650</v>
      </c>
      <c r="B402" s="30" t="s">
        <v>1651</v>
      </c>
      <c r="C402" s="31">
        <v>46279.585636574076</v>
      </c>
      <c r="D402" s="30">
        <v>92</v>
      </c>
      <c r="E402" s="30" t="s">
        <v>74</v>
      </c>
      <c r="F402" s="30" t="s">
        <v>75</v>
      </c>
      <c r="G402" s="30" t="s">
        <v>133</v>
      </c>
      <c r="H402" s="30" t="s">
        <v>77</v>
      </c>
      <c r="I402" s="30" t="s">
        <v>78</v>
      </c>
      <c r="J402" s="30" t="s">
        <v>79</v>
      </c>
      <c r="K402" s="32">
        <v>800</v>
      </c>
      <c r="L402" s="32" t="s">
        <v>80</v>
      </c>
      <c r="M402" s="30" t="s">
        <v>1652</v>
      </c>
      <c r="N402" s="30" t="s">
        <v>1653</v>
      </c>
      <c r="O402" s="30" t="s">
        <v>83</v>
      </c>
      <c r="P402" s="33">
        <v>46249</v>
      </c>
      <c r="Q402" s="33">
        <v>46249</v>
      </c>
      <c r="R402" s="32">
        <v>1</v>
      </c>
      <c r="S402" s="30" t="s">
        <v>249</v>
      </c>
      <c r="T402" s="30" t="s">
        <v>313</v>
      </c>
      <c r="U402" s="30" t="s">
        <v>221</v>
      </c>
      <c r="V402" s="30" t="s">
        <v>87</v>
      </c>
      <c r="W402" s="30" t="s">
        <v>88</v>
      </c>
      <c r="X402" s="30" t="s">
        <v>197</v>
      </c>
      <c r="Y402" s="30" t="s">
        <v>1046</v>
      </c>
      <c r="AB402" s="30" t="b">
        <v>0</v>
      </c>
      <c r="AC402" s="30"/>
      <c r="AD402" s="30" t="b">
        <v>0</v>
      </c>
      <c r="AF402" s="30" t="b">
        <v>0</v>
      </c>
      <c r="AH402" s="32" t="s">
        <v>91</v>
      </c>
      <c r="AI402" s="32"/>
      <c r="AJ402" s="32"/>
      <c r="AK402" s="32"/>
      <c r="AL402" s="30" t="s">
        <v>92</v>
      </c>
      <c r="AM402" s="30" t="s">
        <v>93</v>
      </c>
      <c r="AN402" s="30" t="s">
        <v>199</v>
      </c>
      <c r="AO402" s="30" t="s">
        <v>200</v>
      </c>
      <c r="AP402" s="30" t="s">
        <v>201</v>
      </c>
      <c r="AQ402" s="30" t="s">
        <v>202</v>
      </c>
      <c r="AR402" s="30" t="s">
        <v>145</v>
      </c>
      <c r="AT402" s="30" t="s">
        <v>99</v>
      </c>
      <c r="AU402" s="30" t="s">
        <v>100</v>
      </c>
      <c r="AV402" s="30" t="s">
        <v>101</v>
      </c>
      <c r="AW402" s="30" t="s">
        <v>102</v>
      </c>
      <c r="AX402" s="34" t="s">
        <v>598</v>
      </c>
      <c r="AY402" s="34" t="s">
        <v>279</v>
      </c>
      <c r="AZ402" s="34"/>
      <c r="BA402" s="34"/>
      <c r="BB402" s="34"/>
      <c r="BC402" s="34">
        <v>0</v>
      </c>
      <c r="BD402" s="34"/>
      <c r="BE402" s="34"/>
      <c r="BF402" s="34" t="b">
        <v>0</v>
      </c>
      <c r="BG402" s="34"/>
      <c r="BH402" s="34"/>
      <c r="BI402" s="34"/>
      <c r="BJ402" s="34"/>
      <c r="BK402" s="34"/>
      <c r="BL402" s="34"/>
      <c r="BM402" s="34" t="s">
        <v>168</v>
      </c>
      <c r="BN402" s="34"/>
      <c r="BO402" s="35"/>
      <c r="BP402" s="35"/>
      <c r="BQ402" s="35" t="s">
        <v>108</v>
      </c>
      <c r="BR402" s="36" t="e">
        <f>VLOOKUP(BQ402, Cat_Indicadores!B:C, 2, FALSE)</f>
        <v>#N/A</v>
      </c>
      <c r="BS402" s="35" t="s">
        <v>5592</v>
      </c>
      <c r="BT402" s="35"/>
    </row>
    <row r="403" spans="1:72">
      <c r="A403" s="29" t="s">
        <v>1654</v>
      </c>
      <c r="B403" s="30" t="s">
        <v>1655</v>
      </c>
      <c r="C403" s="31">
        <v>46279.649236111109</v>
      </c>
      <c r="D403" s="30">
        <v>92</v>
      </c>
      <c r="E403" s="30" t="s">
        <v>74</v>
      </c>
      <c r="F403" s="30" t="s">
        <v>75</v>
      </c>
      <c r="G403" s="30" t="s">
        <v>133</v>
      </c>
      <c r="H403" s="30" t="s">
        <v>77</v>
      </c>
      <c r="I403" s="30" t="s">
        <v>78</v>
      </c>
      <c r="J403" s="30" t="s">
        <v>79</v>
      </c>
      <c r="K403" s="32">
        <v>800</v>
      </c>
      <c r="L403" s="32" t="s">
        <v>80</v>
      </c>
      <c r="M403" s="30" t="s">
        <v>1633</v>
      </c>
      <c r="N403" s="30" t="s">
        <v>1634</v>
      </c>
      <c r="O403" s="30" t="s">
        <v>83</v>
      </c>
      <c r="P403" s="33">
        <v>46242</v>
      </c>
      <c r="Q403" s="33">
        <v>46242</v>
      </c>
      <c r="R403" s="32">
        <v>1</v>
      </c>
      <c r="S403" s="30" t="s">
        <v>243</v>
      </c>
      <c r="T403" s="30" t="s">
        <v>398</v>
      </c>
      <c r="U403" s="30" t="s">
        <v>367</v>
      </c>
      <c r="V403" s="30" t="s">
        <v>87</v>
      </c>
      <c r="W403" s="30" t="s">
        <v>88</v>
      </c>
      <c r="X403" s="30" t="s">
        <v>197</v>
      </c>
      <c r="Y403" s="30" t="s">
        <v>1046</v>
      </c>
      <c r="AB403" s="30" t="b">
        <v>0</v>
      </c>
      <c r="AC403" s="30"/>
      <c r="AD403" s="30" t="b">
        <v>0</v>
      </c>
      <c r="AF403" s="30" t="b">
        <v>0</v>
      </c>
      <c r="AH403" s="32" t="s">
        <v>91</v>
      </c>
      <c r="AI403" s="32"/>
      <c r="AJ403" s="32"/>
      <c r="AK403" s="32"/>
      <c r="AL403" s="30" t="s">
        <v>92</v>
      </c>
      <c r="AM403" s="30" t="s">
        <v>93</v>
      </c>
      <c r="AN403" s="30" t="s">
        <v>199</v>
      </c>
      <c r="AO403" s="30" t="s">
        <v>200</v>
      </c>
      <c r="AP403" s="30" t="s">
        <v>201</v>
      </c>
      <c r="AQ403" s="30" t="s">
        <v>202</v>
      </c>
      <c r="AR403" s="30" t="s">
        <v>145</v>
      </c>
      <c r="AT403" s="30" t="s">
        <v>99</v>
      </c>
      <c r="AU403" s="30" t="s">
        <v>100</v>
      </c>
      <c r="AV403" s="30" t="s">
        <v>101</v>
      </c>
      <c r="AW403" s="30" t="s">
        <v>102</v>
      </c>
      <c r="AX403" s="34" t="s">
        <v>598</v>
      </c>
      <c r="AY403" s="34" t="s">
        <v>279</v>
      </c>
      <c r="AZ403" s="34"/>
      <c r="BA403" s="34"/>
      <c r="BB403" s="34"/>
      <c r="BC403" s="34">
        <v>0</v>
      </c>
      <c r="BD403" s="34"/>
      <c r="BE403" s="34"/>
      <c r="BF403" s="34" t="b">
        <v>0</v>
      </c>
      <c r="BG403" s="34"/>
      <c r="BH403" s="34"/>
      <c r="BI403" s="34"/>
      <c r="BJ403" s="34"/>
      <c r="BK403" s="34"/>
      <c r="BL403" s="34"/>
      <c r="BM403" s="34" t="s">
        <v>168</v>
      </c>
      <c r="BN403" s="34"/>
      <c r="BO403" s="35"/>
      <c r="BP403" s="35"/>
      <c r="BQ403" s="35" t="s">
        <v>108</v>
      </c>
      <c r="BR403" s="36" t="e">
        <f>VLOOKUP(BQ403, Cat_Indicadores!B:C, 2, FALSE)</f>
        <v>#N/A</v>
      </c>
      <c r="BS403" s="35" t="s">
        <v>5592</v>
      </c>
      <c r="BT403" s="35"/>
    </row>
    <row r="404" spans="1:72">
      <c r="A404" s="29" t="s">
        <v>1656</v>
      </c>
      <c r="B404" s="30" t="s">
        <v>1657</v>
      </c>
      <c r="C404" s="31">
        <v>46280.65996527778</v>
      </c>
      <c r="D404" s="30">
        <v>92</v>
      </c>
      <c r="E404" s="30" t="s">
        <v>74</v>
      </c>
      <c r="F404" s="30" t="s">
        <v>75</v>
      </c>
      <c r="G404" s="30" t="s">
        <v>133</v>
      </c>
      <c r="H404" s="30" t="s">
        <v>77</v>
      </c>
      <c r="I404" s="30" t="s">
        <v>78</v>
      </c>
      <c r="J404" s="30" t="s">
        <v>79</v>
      </c>
      <c r="K404" s="32">
        <v>800</v>
      </c>
      <c r="L404" s="32" t="s">
        <v>80</v>
      </c>
      <c r="M404" s="30" t="s">
        <v>1658</v>
      </c>
      <c r="N404" s="30" t="s">
        <v>1659</v>
      </c>
      <c r="O404" s="30" t="s">
        <v>83</v>
      </c>
      <c r="P404" s="33">
        <v>46240</v>
      </c>
      <c r="Q404" s="33">
        <v>46240</v>
      </c>
      <c r="R404" s="32">
        <v>1</v>
      </c>
      <c r="S404" s="30" t="s">
        <v>84</v>
      </c>
      <c r="T404" s="30" t="s">
        <v>337</v>
      </c>
      <c r="U404" s="30" t="s">
        <v>160</v>
      </c>
      <c r="V404" s="30" t="s">
        <v>87</v>
      </c>
      <c r="W404" s="30" t="s">
        <v>88</v>
      </c>
      <c r="X404" s="30" t="s">
        <v>197</v>
      </c>
      <c r="Y404" s="30" t="s">
        <v>1070</v>
      </c>
      <c r="AB404" s="30" t="b">
        <v>0</v>
      </c>
      <c r="AC404" s="30"/>
      <c r="AD404" s="30" t="b">
        <v>0</v>
      </c>
      <c r="AF404" s="30" t="b">
        <v>0</v>
      </c>
      <c r="AH404" s="32" t="s">
        <v>91</v>
      </c>
      <c r="AI404" s="32"/>
      <c r="AJ404" s="32"/>
      <c r="AK404" s="32"/>
      <c r="AL404" s="30" t="s">
        <v>92</v>
      </c>
      <c r="AM404" s="30" t="s">
        <v>93</v>
      </c>
      <c r="AN404" s="30" t="s">
        <v>94</v>
      </c>
      <c r="AO404" s="30" t="s">
        <v>95</v>
      </c>
      <c r="AP404" s="30" t="s">
        <v>589</v>
      </c>
      <c r="AQ404" s="30" t="s">
        <v>589</v>
      </c>
      <c r="AR404" s="30" t="s">
        <v>145</v>
      </c>
      <c r="AT404" s="30" t="s">
        <v>99</v>
      </c>
      <c r="AU404" s="30" t="s">
        <v>100</v>
      </c>
      <c r="AV404" s="30" t="s">
        <v>101</v>
      </c>
      <c r="AW404" s="30" t="s">
        <v>102</v>
      </c>
      <c r="AX404" s="34" t="s">
        <v>160</v>
      </c>
      <c r="AY404" s="34" t="s">
        <v>103</v>
      </c>
      <c r="AZ404" s="34"/>
      <c r="BA404" s="34"/>
      <c r="BB404" s="34"/>
      <c r="BC404" s="34">
        <v>0</v>
      </c>
      <c r="BD404" s="34"/>
      <c r="BE404" s="34"/>
      <c r="BF404" s="34" t="b">
        <v>0</v>
      </c>
      <c r="BG404" s="34"/>
      <c r="BH404" s="34"/>
      <c r="BI404" s="34"/>
      <c r="BJ404" s="34"/>
      <c r="BK404" s="34"/>
      <c r="BL404" s="34"/>
      <c r="BM404" s="34" t="s">
        <v>168</v>
      </c>
      <c r="BN404" s="34"/>
      <c r="BO404" s="35"/>
      <c r="BP404" s="35"/>
      <c r="BQ404" s="35" t="s">
        <v>108</v>
      </c>
      <c r="BR404" s="36" t="e">
        <f>VLOOKUP(BQ404, Cat_Indicadores!B:C, 2, FALSE)</f>
        <v>#N/A</v>
      </c>
      <c r="BS404" s="35" t="s">
        <v>5592</v>
      </c>
      <c r="BT404" s="35"/>
    </row>
    <row r="405" spans="1:72">
      <c r="A405" s="29" t="s">
        <v>1660</v>
      </c>
      <c r="B405" s="30" t="s">
        <v>1661</v>
      </c>
      <c r="C405" s="31">
        <v>46280.664351851854</v>
      </c>
      <c r="D405" s="30">
        <v>92</v>
      </c>
      <c r="E405" s="30" t="s">
        <v>74</v>
      </c>
      <c r="F405" s="30" t="s">
        <v>75</v>
      </c>
      <c r="G405" s="30" t="s">
        <v>133</v>
      </c>
      <c r="H405" s="30" t="s">
        <v>77</v>
      </c>
      <c r="I405" s="30" t="s">
        <v>78</v>
      </c>
      <c r="J405" s="30" t="s">
        <v>79</v>
      </c>
      <c r="K405" s="32">
        <v>800</v>
      </c>
      <c r="L405" s="32" t="s">
        <v>80</v>
      </c>
      <c r="M405" s="30" t="s">
        <v>1662</v>
      </c>
      <c r="N405" s="30" t="s">
        <v>1663</v>
      </c>
      <c r="O405" s="30" t="s">
        <v>83</v>
      </c>
      <c r="P405" s="33">
        <v>46247</v>
      </c>
      <c r="Q405" s="33">
        <v>46247</v>
      </c>
      <c r="R405" s="32">
        <v>1</v>
      </c>
      <c r="S405" s="30" t="s">
        <v>84</v>
      </c>
      <c r="T405" s="30" t="s">
        <v>337</v>
      </c>
      <c r="U405" s="30" t="s">
        <v>160</v>
      </c>
      <c r="V405" s="30" t="s">
        <v>87</v>
      </c>
      <c r="W405" s="30" t="s">
        <v>88</v>
      </c>
      <c r="X405" s="30" t="s">
        <v>197</v>
      </c>
      <c r="Y405" s="30" t="s">
        <v>1070</v>
      </c>
      <c r="AB405" s="30" t="b">
        <v>0</v>
      </c>
      <c r="AC405" s="30"/>
      <c r="AD405" s="30" t="b">
        <v>0</v>
      </c>
      <c r="AF405" s="30" t="b">
        <v>0</v>
      </c>
      <c r="AH405" s="32" t="s">
        <v>91</v>
      </c>
      <c r="AI405" s="32"/>
      <c r="AJ405" s="32"/>
      <c r="AK405" s="32"/>
      <c r="AL405" s="30" t="s">
        <v>92</v>
      </c>
      <c r="AM405" s="30" t="s">
        <v>93</v>
      </c>
      <c r="AN405" s="30" t="s">
        <v>94</v>
      </c>
      <c r="AO405" s="30" t="s">
        <v>95</v>
      </c>
      <c r="AP405" s="30" t="s">
        <v>589</v>
      </c>
      <c r="AQ405" s="30" t="s">
        <v>589</v>
      </c>
      <c r="AR405" s="30" t="s">
        <v>145</v>
      </c>
      <c r="AT405" s="30" t="s">
        <v>99</v>
      </c>
      <c r="AU405" s="30" t="s">
        <v>100</v>
      </c>
      <c r="AV405" s="30" t="s">
        <v>101</v>
      </c>
      <c r="AW405" s="30" t="s">
        <v>102</v>
      </c>
      <c r="AX405" s="34" t="s">
        <v>160</v>
      </c>
      <c r="AY405" s="34" t="s">
        <v>103</v>
      </c>
      <c r="AZ405" s="34"/>
      <c r="BA405" s="34"/>
      <c r="BB405" s="34"/>
      <c r="BC405" s="34">
        <v>0</v>
      </c>
      <c r="BD405" s="34"/>
      <c r="BE405" s="34"/>
      <c r="BF405" s="34" t="b">
        <v>0</v>
      </c>
      <c r="BG405" s="34"/>
      <c r="BH405" s="34"/>
      <c r="BI405" s="34"/>
      <c r="BJ405" s="34"/>
      <c r="BK405" s="34"/>
      <c r="BL405" s="34"/>
      <c r="BM405" s="34" t="s">
        <v>168</v>
      </c>
      <c r="BN405" s="34"/>
      <c r="BO405" s="35"/>
      <c r="BP405" s="35"/>
      <c r="BQ405" s="35" t="s">
        <v>108</v>
      </c>
      <c r="BR405" s="36" t="e">
        <f>VLOOKUP(BQ405, Cat_Indicadores!B:C, 2, FALSE)</f>
        <v>#N/A</v>
      </c>
      <c r="BS405" s="35" t="s">
        <v>5592</v>
      </c>
      <c r="BT405" s="35"/>
    </row>
    <row r="406" spans="1:72">
      <c r="A406" s="29" t="s">
        <v>1664</v>
      </c>
      <c r="B406" s="30" t="s">
        <v>1665</v>
      </c>
      <c r="C406" s="31">
        <v>46280.666365740741</v>
      </c>
      <c r="D406" s="30">
        <v>92</v>
      </c>
      <c r="E406" s="30" t="s">
        <v>74</v>
      </c>
      <c r="F406" s="30" t="s">
        <v>75</v>
      </c>
      <c r="G406" s="30" t="s">
        <v>133</v>
      </c>
      <c r="H406" s="30" t="s">
        <v>77</v>
      </c>
      <c r="I406" s="30" t="s">
        <v>78</v>
      </c>
      <c r="J406" s="30" t="s">
        <v>79</v>
      </c>
      <c r="K406" s="32">
        <v>800</v>
      </c>
      <c r="L406" s="32" t="s">
        <v>80</v>
      </c>
      <c r="M406" s="30" t="s">
        <v>1666</v>
      </c>
      <c r="N406" s="30" t="s">
        <v>1667</v>
      </c>
      <c r="O406" s="30" t="s">
        <v>83</v>
      </c>
      <c r="P406" s="33">
        <v>46254</v>
      </c>
      <c r="Q406" s="33">
        <v>46254</v>
      </c>
      <c r="R406" s="32">
        <v>1</v>
      </c>
      <c r="S406" s="30" t="s">
        <v>84</v>
      </c>
      <c r="T406" s="30" t="s">
        <v>337</v>
      </c>
      <c r="U406" s="30" t="s">
        <v>160</v>
      </c>
      <c r="V406" s="30" t="s">
        <v>87</v>
      </c>
      <c r="W406" s="30" t="s">
        <v>88</v>
      </c>
      <c r="X406" s="30" t="s">
        <v>197</v>
      </c>
      <c r="Y406" s="30" t="s">
        <v>1070</v>
      </c>
      <c r="AB406" s="30" t="b">
        <v>0</v>
      </c>
      <c r="AC406" s="30"/>
      <c r="AD406" s="30" t="b">
        <v>0</v>
      </c>
      <c r="AF406" s="30" t="b">
        <v>0</v>
      </c>
      <c r="AH406" s="32" t="s">
        <v>91</v>
      </c>
      <c r="AI406" s="32"/>
      <c r="AJ406" s="32"/>
      <c r="AK406" s="32"/>
      <c r="AL406" s="30" t="s">
        <v>92</v>
      </c>
      <c r="AM406" s="30" t="s">
        <v>93</v>
      </c>
      <c r="AN406" s="30" t="s">
        <v>94</v>
      </c>
      <c r="AO406" s="30" t="s">
        <v>95</v>
      </c>
      <c r="AP406" s="30" t="s">
        <v>589</v>
      </c>
      <c r="AQ406" s="30" t="s">
        <v>589</v>
      </c>
      <c r="AR406" s="30" t="s">
        <v>145</v>
      </c>
      <c r="AT406" s="30" t="s">
        <v>99</v>
      </c>
      <c r="AU406" s="30" t="s">
        <v>100</v>
      </c>
      <c r="AV406" s="30" t="s">
        <v>101</v>
      </c>
      <c r="AW406" s="30" t="s">
        <v>102</v>
      </c>
      <c r="AX406" s="34" t="s">
        <v>160</v>
      </c>
      <c r="AY406" s="34" t="s">
        <v>103</v>
      </c>
      <c r="AZ406" s="34"/>
      <c r="BA406" s="34"/>
      <c r="BB406" s="34"/>
      <c r="BC406" s="34">
        <v>0</v>
      </c>
      <c r="BD406" s="34"/>
      <c r="BE406" s="34"/>
      <c r="BF406" s="34" t="b">
        <v>0</v>
      </c>
      <c r="BG406" s="34"/>
      <c r="BH406" s="34"/>
      <c r="BI406" s="34"/>
      <c r="BJ406" s="34"/>
      <c r="BK406" s="34"/>
      <c r="BL406" s="34"/>
      <c r="BM406" s="34" t="s">
        <v>168</v>
      </c>
      <c r="BN406" s="34"/>
      <c r="BO406" s="35"/>
      <c r="BP406" s="35"/>
      <c r="BQ406" s="35" t="s">
        <v>108</v>
      </c>
      <c r="BR406" s="36" t="e">
        <f>VLOOKUP(BQ406, Cat_Indicadores!B:C, 2, FALSE)</f>
        <v>#N/A</v>
      </c>
      <c r="BS406" s="35" t="s">
        <v>5592</v>
      </c>
      <c r="BT406" s="35"/>
    </row>
    <row r="407" spans="1:72">
      <c r="A407" s="29" t="s">
        <v>1668</v>
      </c>
      <c r="B407" s="30" t="s">
        <v>1669</v>
      </c>
      <c r="C407" s="31">
        <v>46280.673043981478</v>
      </c>
      <c r="D407" s="30">
        <v>92</v>
      </c>
      <c r="E407" s="30" t="s">
        <v>74</v>
      </c>
      <c r="F407" s="30" t="s">
        <v>75</v>
      </c>
      <c r="G407" s="30" t="s">
        <v>133</v>
      </c>
      <c r="H407" s="30" t="s">
        <v>77</v>
      </c>
      <c r="I407" s="30" t="s">
        <v>78</v>
      </c>
      <c r="J407" s="30" t="s">
        <v>79</v>
      </c>
      <c r="K407" s="32">
        <v>800</v>
      </c>
      <c r="L407" s="32" t="s">
        <v>80</v>
      </c>
      <c r="M407" s="30" t="s">
        <v>1670</v>
      </c>
      <c r="N407" s="30" t="s">
        <v>1671</v>
      </c>
      <c r="O407" s="30" t="s">
        <v>83</v>
      </c>
      <c r="P407" s="33">
        <v>46256</v>
      </c>
      <c r="Q407" s="33">
        <v>46256</v>
      </c>
      <c r="R407" s="32">
        <v>1</v>
      </c>
      <c r="S407" s="30" t="s">
        <v>84</v>
      </c>
      <c r="T407" s="30" t="s">
        <v>337</v>
      </c>
      <c r="U407" s="30" t="s">
        <v>160</v>
      </c>
      <c r="V407" s="30" t="s">
        <v>87</v>
      </c>
      <c r="W407" s="30" t="s">
        <v>88</v>
      </c>
      <c r="X407" s="30" t="s">
        <v>197</v>
      </c>
      <c r="Y407" s="30" t="s">
        <v>1070</v>
      </c>
      <c r="AB407" s="30" t="b">
        <v>0</v>
      </c>
      <c r="AC407" s="30"/>
      <c r="AD407" s="30" t="b">
        <v>0</v>
      </c>
      <c r="AF407" s="30" t="b">
        <v>0</v>
      </c>
      <c r="AH407" s="32" t="s">
        <v>91</v>
      </c>
      <c r="AI407" s="32"/>
      <c r="AJ407" s="32"/>
      <c r="AK407" s="32"/>
      <c r="AL407" s="30" t="s">
        <v>92</v>
      </c>
      <c r="AM407" s="30" t="s">
        <v>93</v>
      </c>
      <c r="AN407" s="30" t="s">
        <v>94</v>
      </c>
      <c r="AO407" s="30" t="s">
        <v>95</v>
      </c>
      <c r="AP407" s="30" t="s">
        <v>589</v>
      </c>
      <c r="AQ407" s="30" t="s">
        <v>589</v>
      </c>
      <c r="AR407" s="30" t="s">
        <v>145</v>
      </c>
      <c r="AT407" s="30" t="s">
        <v>99</v>
      </c>
      <c r="AU407" s="30" t="s">
        <v>100</v>
      </c>
      <c r="AV407" s="30" t="s">
        <v>101</v>
      </c>
      <c r="AW407" s="30" t="s">
        <v>102</v>
      </c>
      <c r="AX407" s="34" t="s">
        <v>221</v>
      </c>
      <c r="AY407" s="34" t="s">
        <v>103</v>
      </c>
      <c r="AZ407" s="34"/>
      <c r="BA407" s="34"/>
      <c r="BB407" s="34"/>
      <c r="BC407" s="34">
        <v>0</v>
      </c>
      <c r="BD407" s="34"/>
      <c r="BE407" s="34"/>
      <c r="BF407" s="34" t="b">
        <v>0</v>
      </c>
      <c r="BG407" s="34"/>
      <c r="BH407" s="34"/>
      <c r="BI407" s="34"/>
      <c r="BJ407" s="34"/>
      <c r="BK407" s="34"/>
      <c r="BL407" s="34" t="s">
        <v>166</v>
      </c>
      <c r="BM407" s="34" t="s">
        <v>106</v>
      </c>
      <c r="BN407" s="34" t="s">
        <v>107</v>
      </c>
      <c r="BO407" s="35"/>
      <c r="BP407" s="35"/>
      <c r="BQ407" s="35" t="s">
        <v>108</v>
      </c>
      <c r="BR407" s="36" t="e">
        <f>VLOOKUP(BQ407, Cat_Indicadores!B:C, 2, FALSE)</f>
        <v>#N/A</v>
      </c>
      <c r="BS407" s="35" t="s">
        <v>5592</v>
      </c>
      <c r="BT407" s="35"/>
    </row>
    <row r="408" spans="1:72">
      <c r="A408" s="29" t="s">
        <v>1672</v>
      </c>
      <c r="B408" s="30" t="s">
        <v>1673</v>
      </c>
      <c r="C408" s="31">
        <v>46280.677893518521</v>
      </c>
      <c r="D408" s="30">
        <v>92</v>
      </c>
      <c r="E408" s="30" t="s">
        <v>74</v>
      </c>
      <c r="F408" s="30" t="s">
        <v>75</v>
      </c>
      <c r="G408" s="30" t="s">
        <v>133</v>
      </c>
      <c r="H408" s="30" t="s">
        <v>77</v>
      </c>
      <c r="I408" s="30" t="s">
        <v>78</v>
      </c>
      <c r="J408" s="30" t="s">
        <v>79</v>
      </c>
      <c r="K408" s="32">
        <v>800</v>
      </c>
      <c r="L408" s="32" t="s">
        <v>80</v>
      </c>
      <c r="M408" s="30" t="s">
        <v>673</v>
      </c>
      <c r="N408" s="30" t="s">
        <v>674</v>
      </c>
      <c r="O408" s="30" t="s">
        <v>83</v>
      </c>
      <c r="P408" s="33">
        <v>46260</v>
      </c>
      <c r="Q408" s="33">
        <v>46260</v>
      </c>
      <c r="R408" s="32">
        <v>1</v>
      </c>
      <c r="S408" s="30" t="s">
        <v>84</v>
      </c>
      <c r="T408" s="30" t="s">
        <v>117</v>
      </c>
      <c r="U408" s="30" t="s">
        <v>338</v>
      </c>
      <c r="V408" s="30" t="s">
        <v>87</v>
      </c>
      <c r="W408" s="30" t="s">
        <v>88</v>
      </c>
      <c r="X408" s="30" t="s">
        <v>197</v>
      </c>
      <c r="Y408" s="30" t="s">
        <v>1046</v>
      </c>
      <c r="AB408" s="30" t="b">
        <v>0</v>
      </c>
      <c r="AC408" s="30"/>
      <c r="AD408" s="30" t="b">
        <v>0</v>
      </c>
      <c r="AF408" s="30" t="b">
        <v>0</v>
      </c>
      <c r="AH408" s="32" t="s">
        <v>91</v>
      </c>
      <c r="AI408" s="32"/>
      <c r="AJ408" s="32"/>
      <c r="AK408" s="32"/>
      <c r="AL408" s="30" t="s">
        <v>92</v>
      </c>
      <c r="AM408" s="30" t="s">
        <v>93</v>
      </c>
      <c r="AN408" s="30" t="s">
        <v>94</v>
      </c>
      <c r="AO408" s="30" t="s">
        <v>95</v>
      </c>
      <c r="AP408" s="30" t="s">
        <v>589</v>
      </c>
      <c r="AQ408" s="30" t="s">
        <v>589</v>
      </c>
      <c r="AR408" s="30" t="s">
        <v>145</v>
      </c>
      <c r="AT408" s="30" t="s">
        <v>99</v>
      </c>
      <c r="AU408" s="30" t="s">
        <v>100</v>
      </c>
      <c r="AV408" s="30" t="s">
        <v>101</v>
      </c>
      <c r="AW408" s="30" t="s">
        <v>102</v>
      </c>
      <c r="AX408" s="34" t="s">
        <v>338</v>
      </c>
      <c r="AY408" s="34" t="s">
        <v>103</v>
      </c>
      <c r="AZ408" s="34"/>
      <c r="BA408" s="34"/>
      <c r="BB408" s="34"/>
      <c r="BC408" s="34">
        <v>0</v>
      </c>
      <c r="BD408" s="34"/>
      <c r="BE408" s="34"/>
      <c r="BF408" s="34" t="b">
        <v>0</v>
      </c>
      <c r="BG408" s="34"/>
      <c r="BH408" s="34"/>
      <c r="BI408" s="34"/>
      <c r="BJ408" s="34"/>
      <c r="BK408" s="34"/>
      <c r="BL408" s="34"/>
      <c r="BM408" s="34" t="s">
        <v>168</v>
      </c>
      <c r="BN408" s="34"/>
      <c r="BO408" s="35"/>
      <c r="BP408" s="35"/>
      <c r="BQ408" s="35" t="s">
        <v>108</v>
      </c>
      <c r="BR408" s="36" t="e">
        <f>VLOOKUP(BQ408, Cat_Indicadores!B:C, 2, FALSE)</f>
        <v>#N/A</v>
      </c>
      <c r="BS408" s="35" t="s">
        <v>5592</v>
      </c>
      <c r="BT408" s="35"/>
    </row>
    <row r="409" spans="1:72">
      <c r="A409" s="29" t="s">
        <v>1674</v>
      </c>
      <c r="B409" s="30" t="s">
        <v>1675</v>
      </c>
      <c r="C409" s="31">
        <v>46280.687407407408</v>
      </c>
      <c r="D409" s="30">
        <v>92</v>
      </c>
      <c r="E409" s="30" t="s">
        <v>74</v>
      </c>
      <c r="F409" s="30" t="s">
        <v>75</v>
      </c>
      <c r="G409" s="30" t="s">
        <v>133</v>
      </c>
      <c r="H409" s="30" t="s">
        <v>77</v>
      </c>
      <c r="I409" s="30" t="s">
        <v>78</v>
      </c>
      <c r="J409" s="30" t="s">
        <v>79</v>
      </c>
      <c r="K409" s="32">
        <v>800</v>
      </c>
      <c r="L409" s="32" t="s">
        <v>211</v>
      </c>
      <c r="M409" s="30" t="s">
        <v>1676</v>
      </c>
      <c r="N409" s="30" t="s">
        <v>1677</v>
      </c>
      <c r="O409" s="30" t="s">
        <v>83</v>
      </c>
      <c r="P409" s="33">
        <v>46262</v>
      </c>
      <c r="Q409" s="33">
        <v>46262</v>
      </c>
      <c r="R409" s="32">
        <v>1</v>
      </c>
      <c r="S409" s="30" t="s">
        <v>84</v>
      </c>
      <c r="T409" s="30" t="s">
        <v>337</v>
      </c>
      <c r="U409" s="30" t="s">
        <v>216</v>
      </c>
      <c r="V409" s="30" t="s">
        <v>87</v>
      </c>
      <c r="W409" s="30" t="s">
        <v>88</v>
      </c>
      <c r="X409" s="30" t="s">
        <v>197</v>
      </c>
      <c r="Y409" s="30" t="s">
        <v>1070</v>
      </c>
      <c r="AB409" s="30" t="b">
        <v>0</v>
      </c>
      <c r="AC409" s="30"/>
      <c r="AD409" s="30" t="b">
        <v>0</v>
      </c>
      <c r="AF409" s="30" t="b">
        <v>0</v>
      </c>
      <c r="AH409" s="32" t="s">
        <v>91</v>
      </c>
      <c r="AI409" s="32"/>
      <c r="AJ409" s="32"/>
      <c r="AK409" s="32"/>
      <c r="AL409" s="30" t="s">
        <v>92</v>
      </c>
      <c r="AM409" s="30" t="s">
        <v>93</v>
      </c>
      <c r="AN409" s="30" t="s">
        <v>94</v>
      </c>
      <c r="AO409" s="30" t="s">
        <v>95</v>
      </c>
      <c r="AP409" s="30" t="s">
        <v>589</v>
      </c>
      <c r="AQ409" s="30" t="s">
        <v>589</v>
      </c>
      <c r="AR409" s="30" t="s">
        <v>145</v>
      </c>
      <c r="AT409" s="30" t="s">
        <v>99</v>
      </c>
      <c r="AU409" s="30" t="s">
        <v>100</v>
      </c>
      <c r="AV409" s="30" t="s">
        <v>101</v>
      </c>
      <c r="AW409" s="30" t="s">
        <v>102</v>
      </c>
      <c r="AX409" s="34" t="s">
        <v>221</v>
      </c>
      <c r="AY409" s="34" t="s">
        <v>103</v>
      </c>
      <c r="AZ409" s="34"/>
      <c r="BA409" s="34"/>
      <c r="BB409" s="34"/>
      <c r="BC409" s="34">
        <v>0</v>
      </c>
      <c r="BD409" s="34"/>
      <c r="BE409" s="34"/>
      <c r="BF409" s="34" t="b">
        <v>0</v>
      </c>
      <c r="BG409" s="34"/>
      <c r="BH409" s="34"/>
      <c r="BI409" s="34"/>
      <c r="BJ409" s="34"/>
      <c r="BK409" s="34"/>
      <c r="BL409" s="34" t="s">
        <v>166</v>
      </c>
      <c r="BM409" s="34" t="s">
        <v>106</v>
      </c>
      <c r="BN409" s="34" t="s">
        <v>107</v>
      </c>
      <c r="BO409" s="35"/>
      <c r="BP409" s="35"/>
      <c r="BQ409" s="35" t="s">
        <v>108</v>
      </c>
      <c r="BR409" s="36" t="e">
        <f>VLOOKUP(BQ409, Cat_Indicadores!B:C, 2, FALSE)</f>
        <v>#N/A</v>
      </c>
      <c r="BS409" s="35" t="s">
        <v>5592</v>
      </c>
      <c r="BT409" s="35"/>
    </row>
    <row r="410" spans="1:72">
      <c r="A410" s="29" t="s">
        <v>1678</v>
      </c>
      <c r="B410" s="30" t="s">
        <v>1679</v>
      </c>
      <c r="C410" s="31">
        <v>46280.693229166667</v>
      </c>
      <c r="D410" s="30">
        <v>92</v>
      </c>
      <c r="E410" s="30" t="s">
        <v>74</v>
      </c>
      <c r="F410" s="30" t="s">
        <v>75</v>
      </c>
      <c r="G410" s="30" t="s">
        <v>133</v>
      </c>
      <c r="H410" s="30" t="s">
        <v>77</v>
      </c>
      <c r="I410" s="30" t="s">
        <v>78</v>
      </c>
      <c r="J410" s="30" t="s">
        <v>79</v>
      </c>
      <c r="K410" s="32">
        <v>800</v>
      </c>
      <c r="L410" s="32" t="s">
        <v>80</v>
      </c>
      <c r="M410" s="30" t="s">
        <v>1680</v>
      </c>
      <c r="N410" s="30" t="s">
        <v>1681</v>
      </c>
      <c r="O410" s="30" t="s">
        <v>83</v>
      </c>
      <c r="P410" s="33">
        <v>46269</v>
      </c>
      <c r="Q410" s="33">
        <v>46269</v>
      </c>
      <c r="R410" s="32">
        <v>1</v>
      </c>
      <c r="S410" s="30" t="s">
        <v>194</v>
      </c>
      <c r="T410" s="30" t="s">
        <v>195</v>
      </c>
      <c r="U410" s="30" t="s">
        <v>1682</v>
      </c>
      <c r="V410" s="30" t="s">
        <v>87</v>
      </c>
      <c r="W410" s="30" t="s">
        <v>88</v>
      </c>
      <c r="X410" s="30" t="s">
        <v>197</v>
      </c>
      <c r="Y410" s="30" t="s">
        <v>1070</v>
      </c>
      <c r="AB410" s="30" t="b">
        <v>0</v>
      </c>
      <c r="AC410" s="30"/>
      <c r="AD410" s="30" t="b">
        <v>0</v>
      </c>
      <c r="AF410" s="30" t="b">
        <v>0</v>
      </c>
      <c r="AH410" s="32" t="s">
        <v>91</v>
      </c>
      <c r="AI410" s="32"/>
      <c r="AJ410" s="32"/>
      <c r="AK410" s="32"/>
      <c r="AL410" s="30" t="s">
        <v>92</v>
      </c>
      <c r="AM410" s="30" t="s">
        <v>93</v>
      </c>
      <c r="AN410" s="30" t="s">
        <v>94</v>
      </c>
      <c r="AO410" s="30" t="s">
        <v>95</v>
      </c>
      <c r="AP410" s="30" t="s">
        <v>95</v>
      </c>
      <c r="AQ410" s="30" t="s">
        <v>96</v>
      </c>
      <c r="AR410" s="30" t="s">
        <v>97</v>
      </c>
      <c r="AS410" s="30" t="s">
        <v>824</v>
      </c>
      <c r="AT410" s="30" t="s">
        <v>99</v>
      </c>
      <c r="AU410" s="30" t="s">
        <v>100</v>
      </c>
      <c r="AV410" s="30" t="s">
        <v>101</v>
      </c>
      <c r="AW410" s="30" t="s">
        <v>102</v>
      </c>
      <c r="AX410" s="34" t="s">
        <v>1682</v>
      </c>
      <c r="AY410" s="34" t="s">
        <v>149</v>
      </c>
      <c r="AZ410" s="34" t="s">
        <v>149</v>
      </c>
      <c r="BA410" s="34"/>
      <c r="BB410" s="34"/>
      <c r="BC410" s="34">
        <v>0</v>
      </c>
      <c r="BD410" s="34"/>
      <c r="BE410" s="34"/>
      <c r="BF410" s="34" t="b">
        <v>1</v>
      </c>
      <c r="BG410" s="34" t="s">
        <v>1042</v>
      </c>
      <c r="BH410" s="34"/>
      <c r="BI410" s="34"/>
      <c r="BJ410" s="34"/>
      <c r="BK410" s="34"/>
      <c r="BL410" s="34" t="s">
        <v>166</v>
      </c>
      <c r="BM410" s="34" t="s">
        <v>106</v>
      </c>
      <c r="BN410" s="34" t="s">
        <v>1683</v>
      </c>
      <c r="BO410" s="35"/>
      <c r="BP410" s="35"/>
      <c r="BQ410" s="35" t="s">
        <v>108</v>
      </c>
      <c r="BR410" s="36" t="e">
        <f>VLOOKUP(BQ410, Cat_Indicadores!B:C, 2, FALSE)</f>
        <v>#N/A</v>
      </c>
      <c r="BS410" s="35" t="s">
        <v>5592</v>
      </c>
      <c r="BT410" s="35"/>
    </row>
    <row r="411" spans="1:72">
      <c r="A411" s="29" t="s">
        <v>1684</v>
      </c>
      <c r="B411" s="30" t="s">
        <v>1685</v>
      </c>
      <c r="C411" s="31">
        <v>46282.432141203702</v>
      </c>
      <c r="D411" s="30">
        <v>92</v>
      </c>
      <c r="E411" s="30" t="s">
        <v>74</v>
      </c>
      <c r="F411" s="30" t="s">
        <v>75</v>
      </c>
      <c r="G411" s="30" t="s">
        <v>133</v>
      </c>
      <c r="H411" s="30" t="s">
        <v>77</v>
      </c>
      <c r="I411" s="30" t="s">
        <v>78</v>
      </c>
      <c r="J411" s="30" t="s">
        <v>79</v>
      </c>
      <c r="K411" s="32">
        <v>800</v>
      </c>
      <c r="L411" s="32" t="s">
        <v>80</v>
      </c>
      <c r="M411" s="30" t="s">
        <v>1087</v>
      </c>
      <c r="N411" s="30" t="s">
        <v>1686</v>
      </c>
      <c r="O411" s="30" t="s">
        <v>83</v>
      </c>
      <c r="P411" s="33">
        <v>46215</v>
      </c>
      <c r="Q411" s="33">
        <v>46215</v>
      </c>
      <c r="R411" s="32">
        <v>1</v>
      </c>
      <c r="S411" s="30" t="s">
        <v>84</v>
      </c>
      <c r="T411" s="30" t="s">
        <v>337</v>
      </c>
      <c r="U411" s="30" t="s">
        <v>338</v>
      </c>
      <c r="V411" s="30" t="s">
        <v>87</v>
      </c>
      <c r="W411" s="30" t="s">
        <v>88</v>
      </c>
      <c r="X411" s="30" t="s">
        <v>197</v>
      </c>
      <c r="Y411" s="30" t="s">
        <v>1063</v>
      </c>
      <c r="AB411" s="30" t="b">
        <v>0</v>
      </c>
      <c r="AC411" s="30"/>
      <c r="AD411" s="30" t="b">
        <v>0</v>
      </c>
      <c r="AF411" s="30" t="b">
        <v>0</v>
      </c>
      <c r="AH411" s="32" t="s">
        <v>91</v>
      </c>
      <c r="AI411" s="32"/>
      <c r="AJ411" s="32"/>
      <c r="AK411" s="32"/>
      <c r="AL411" s="30" t="s">
        <v>92</v>
      </c>
      <c r="AM411" s="30" t="s">
        <v>93</v>
      </c>
      <c r="AN411" s="30" t="s">
        <v>199</v>
      </c>
      <c r="AO411" s="30" t="s">
        <v>200</v>
      </c>
      <c r="AP411" s="30" t="s">
        <v>201</v>
      </c>
      <c r="AQ411" s="30" t="s">
        <v>202</v>
      </c>
      <c r="AR411" s="30" t="s">
        <v>145</v>
      </c>
      <c r="AT411" s="30" t="s">
        <v>99</v>
      </c>
      <c r="AU411" s="30" t="s">
        <v>146</v>
      </c>
      <c r="AV411" s="30" t="s">
        <v>233</v>
      </c>
      <c r="AW411" s="30" t="s">
        <v>102</v>
      </c>
      <c r="AX411" s="34" t="s">
        <v>338</v>
      </c>
      <c r="AY411" s="34" t="s">
        <v>167</v>
      </c>
      <c r="AZ411" s="34"/>
      <c r="BA411" s="34"/>
      <c r="BB411" s="34"/>
      <c r="BC411" s="34">
        <v>0</v>
      </c>
      <c r="BD411" s="34"/>
      <c r="BE411" s="34"/>
      <c r="BF411" s="34" t="b">
        <v>0</v>
      </c>
      <c r="BG411" s="34"/>
      <c r="BH411" s="34"/>
      <c r="BI411" s="34"/>
      <c r="BJ411" s="34"/>
      <c r="BK411" s="34"/>
      <c r="BL411" s="34"/>
      <c r="BM411" s="34" t="s">
        <v>168</v>
      </c>
      <c r="BN411" s="34"/>
      <c r="BO411" s="35"/>
      <c r="BP411" s="35"/>
      <c r="BQ411" s="35" t="s">
        <v>108</v>
      </c>
      <c r="BR411" s="36" t="e">
        <f>VLOOKUP(BQ411, Cat_Indicadores!B:C, 2, FALSE)</f>
        <v>#N/A</v>
      </c>
      <c r="BS411" s="35" t="s">
        <v>5592</v>
      </c>
      <c r="BT411" s="35"/>
    </row>
    <row r="412" spans="1:72">
      <c r="A412" s="29" t="s">
        <v>1687</v>
      </c>
      <c r="B412" s="30" t="s">
        <v>1688</v>
      </c>
      <c r="C412" s="31">
        <v>46282.44085648148</v>
      </c>
      <c r="D412" s="30">
        <v>92</v>
      </c>
      <c r="E412" s="30" t="s">
        <v>74</v>
      </c>
      <c r="F412" s="30" t="s">
        <v>75</v>
      </c>
      <c r="G412" s="30" t="s">
        <v>133</v>
      </c>
      <c r="H412" s="30" t="s">
        <v>77</v>
      </c>
      <c r="I412" s="30" t="s">
        <v>78</v>
      </c>
      <c r="J412" s="30" t="s">
        <v>79</v>
      </c>
      <c r="K412" s="32">
        <v>800</v>
      </c>
      <c r="L412" s="32" t="s">
        <v>80</v>
      </c>
      <c r="M412" s="30" t="s">
        <v>1087</v>
      </c>
      <c r="N412" s="30" t="s">
        <v>402</v>
      </c>
      <c r="O412" s="30" t="s">
        <v>83</v>
      </c>
      <c r="P412" s="33">
        <v>46222</v>
      </c>
      <c r="Q412" s="33">
        <v>46222</v>
      </c>
      <c r="R412" s="32">
        <v>1</v>
      </c>
      <c r="S412" s="30" t="s">
        <v>84</v>
      </c>
      <c r="T412" s="30" t="s">
        <v>337</v>
      </c>
      <c r="U412" s="30" t="s">
        <v>338</v>
      </c>
      <c r="V412" s="30" t="s">
        <v>87</v>
      </c>
      <c r="W412" s="30" t="s">
        <v>88</v>
      </c>
      <c r="X412" s="30" t="s">
        <v>197</v>
      </c>
      <c r="Y412" s="30" t="s">
        <v>1063</v>
      </c>
      <c r="AB412" s="30" t="b">
        <v>0</v>
      </c>
      <c r="AC412" s="30"/>
      <c r="AD412" s="30" t="b">
        <v>0</v>
      </c>
      <c r="AF412" s="30" t="b">
        <v>0</v>
      </c>
      <c r="AH412" s="32" t="s">
        <v>91</v>
      </c>
      <c r="AI412" s="32"/>
      <c r="AJ412" s="32"/>
      <c r="AK412" s="32"/>
      <c r="AL412" s="30" t="s">
        <v>92</v>
      </c>
      <c r="AM412" s="30" t="s">
        <v>93</v>
      </c>
      <c r="AN412" s="30" t="s">
        <v>199</v>
      </c>
      <c r="AO412" s="30" t="s">
        <v>200</v>
      </c>
      <c r="AP412" s="30" t="s">
        <v>201</v>
      </c>
      <c r="AQ412" s="30" t="s">
        <v>202</v>
      </c>
      <c r="AR412" s="30" t="s">
        <v>145</v>
      </c>
      <c r="AT412" s="30" t="s">
        <v>99</v>
      </c>
      <c r="AU412" s="30" t="s">
        <v>100</v>
      </c>
      <c r="AV412" s="30" t="s">
        <v>101</v>
      </c>
      <c r="AW412" s="30" t="s">
        <v>102</v>
      </c>
      <c r="AX412" s="34" t="s">
        <v>338</v>
      </c>
      <c r="AY412" s="34" t="s">
        <v>103</v>
      </c>
      <c r="AZ412" s="34"/>
      <c r="BA412" s="34"/>
      <c r="BB412" s="34"/>
      <c r="BC412" s="34">
        <v>0</v>
      </c>
      <c r="BD412" s="34"/>
      <c r="BE412" s="34"/>
      <c r="BF412" s="34" t="b">
        <v>0</v>
      </c>
      <c r="BG412" s="34"/>
      <c r="BH412" s="34"/>
      <c r="BI412" s="34"/>
      <c r="BJ412" s="34"/>
      <c r="BK412" s="34"/>
      <c r="BL412" s="34"/>
      <c r="BM412" s="34" t="s">
        <v>168</v>
      </c>
      <c r="BN412" s="34"/>
      <c r="BO412" s="35"/>
      <c r="BP412" s="35"/>
      <c r="BQ412" s="35" t="s">
        <v>108</v>
      </c>
      <c r="BR412" s="36" t="e">
        <f>VLOOKUP(BQ412, Cat_Indicadores!B:C, 2, FALSE)</f>
        <v>#N/A</v>
      </c>
      <c r="BS412" s="35" t="s">
        <v>5592</v>
      </c>
      <c r="BT412" s="35"/>
    </row>
    <row r="413" spans="1:72">
      <c r="A413" s="29" t="s">
        <v>1689</v>
      </c>
      <c r="B413" s="30" t="s">
        <v>1690</v>
      </c>
      <c r="C413" s="31">
        <v>46282.443888888891</v>
      </c>
      <c r="D413" s="30">
        <v>92</v>
      </c>
      <c r="E413" s="30" t="s">
        <v>74</v>
      </c>
      <c r="F413" s="30" t="s">
        <v>75</v>
      </c>
      <c r="G413" s="30" t="s">
        <v>133</v>
      </c>
      <c r="H413" s="30" t="s">
        <v>77</v>
      </c>
      <c r="I413" s="30" t="s">
        <v>78</v>
      </c>
      <c r="J413" s="30" t="s">
        <v>79</v>
      </c>
      <c r="K413" s="32">
        <v>800</v>
      </c>
      <c r="L413" s="32" t="s">
        <v>80</v>
      </c>
      <c r="M413" s="30" t="s">
        <v>401</v>
      </c>
      <c r="N413" s="30" t="s">
        <v>1691</v>
      </c>
      <c r="O413" s="30" t="s">
        <v>83</v>
      </c>
      <c r="P413" s="33">
        <v>46210</v>
      </c>
      <c r="Q413" s="33">
        <v>46210</v>
      </c>
      <c r="R413" s="32">
        <v>1</v>
      </c>
      <c r="S413" s="30" t="s">
        <v>84</v>
      </c>
      <c r="T413" s="30" t="s">
        <v>337</v>
      </c>
      <c r="U413" s="30" t="s">
        <v>338</v>
      </c>
      <c r="V413" s="30" t="s">
        <v>87</v>
      </c>
      <c r="W413" s="30" t="s">
        <v>88</v>
      </c>
      <c r="X413" s="30" t="s">
        <v>197</v>
      </c>
      <c r="Y413" s="30" t="s">
        <v>1063</v>
      </c>
      <c r="AB413" s="30" t="b">
        <v>0</v>
      </c>
      <c r="AC413" s="30"/>
      <c r="AD413" s="30" t="b">
        <v>0</v>
      </c>
      <c r="AF413" s="30" t="b">
        <v>0</v>
      </c>
      <c r="AH413" s="32" t="s">
        <v>91</v>
      </c>
      <c r="AI413" s="32"/>
      <c r="AJ413" s="32"/>
      <c r="AK413" s="32"/>
      <c r="AL413" s="30" t="s">
        <v>92</v>
      </c>
      <c r="AM413" s="30" t="s">
        <v>93</v>
      </c>
      <c r="AN413" s="30" t="s">
        <v>199</v>
      </c>
      <c r="AO413" s="30" t="s">
        <v>200</v>
      </c>
      <c r="AP413" s="30" t="s">
        <v>201</v>
      </c>
      <c r="AQ413" s="30" t="s">
        <v>202</v>
      </c>
      <c r="AR413" s="30" t="s">
        <v>145</v>
      </c>
      <c r="AT413" s="30" t="s">
        <v>99</v>
      </c>
      <c r="AU413" s="30" t="s">
        <v>100</v>
      </c>
      <c r="AV413" s="30" t="s">
        <v>101</v>
      </c>
      <c r="AW413" s="30" t="s">
        <v>102</v>
      </c>
      <c r="AX413" s="34" t="s">
        <v>338</v>
      </c>
      <c r="AY413" s="34" t="s">
        <v>103</v>
      </c>
      <c r="AZ413" s="34"/>
      <c r="BA413" s="34"/>
      <c r="BB413" s="34"/>
      <c r="BC413" s="34">
        <v>0</v>
      </c>
      <c r="BD413" s="34"/>
      <c r="BE413" s="34"/>
      <c r="BF413" s="34" t="b">
        <v>0</v>
      </c>
      <c r="BG413" s="34"/>
      <c r="BH413" s="34"/>
      <c r="BI413" s="34"/>
      <c r="BJ413" s="34"/>
      <c r="BK413" s="34"/>
      <c r="BL413" s="34"/>
      <c r="BM413" s="34" t="s">
        <v>168</v>
      </c>
      <c r="BN413" s="34"/>
      <c r="BO413" s="35"/>
      <c r="BP413" s="35"/>
      <c r="BQ413" s="35" t="s">
        <v>108</v>
      </c>
      <c r="BR413" s="36" t="e">
        <f>VLOOKUP(BQ413, Cat_Indicadores!B:C, 2, FALSE)</f>
        <v>#N/A</v>
      </c>
      <c r="BS413" s="35" t="s">
        <v>5592</v>
      </c>
      <c r="BT413" s="35"/>
    </row>
    <row r="414" spans="1:72">
      <c r="A414" s="29" t="s">
        <v>1692</v>
      </c>
      <c r="B414" s="30" t="s">
        <v>1693</v>
      </c>
      <c r="C414" s="31">
        <v>46282.450219907405</v>
      </c>
      <c r="D414" s="30">
        <v>94</v>
      </c>
      <c r="E414" s="30" t="s">
        <v>74</v>
      </c>
      <c r="F414" s="30" t="s">
        <v>75</v>
      </c>
      <c r="G414" s="30" t="s">
        <v>76</v>
      </c>
      <c r="H414" s="30" t="s">
        <v>77</v>
      </c>
      <c r="I414" s="30" t="s">
        <v>78</v>
      </c>
      <c r="J414" s="30" t="s">
        <v>79</v>
      </c>
      <c r="K414" s="32">
        <v>12</v>
      </c>
      <c r="L414" s="32" t="s">
        <v>211</v>
      </c>
      <c r="M414" s="30" t="s">
        <v>811</v>
      </c>
      <c r="N414" s="30" t="s">
        <v>812</v>
      </c>
      <c r="O414" s="30" t="s">
        <v>581</v>
      </c>
      <c r="P414" s="33">
        <v>46235</v>
      </c>
      <c r="Q414" s="33">
        <v>46263</v>
      </c>
      <c r="R414" s="32">
        <v>5</v>
      </c>
      <c r="S414" s="30" t="s">
        <v>84</v>
      </c>
      <c r="T414" s="30" t="s">
        <v>337</v>
      </c>
      <c r="U414" s="30" t="s">
        <v>86</v>
      </c>
      <c r="V414" s="30" t="s">
        <v>87</v>
      </c>
      <c r="W414" s="30" t="s">
        <v>88</v>
      </c>
      <c r="X414" s="30" t="s">
        <v>197</v>
      </c>
      <c r="Y414" s="30" t="s">
        <v>1063</v>
      </c>
      <c r="AB414" s="30" t="b">
        <v>0</v>
      </c>
      <c r="AC414" s="30"/>
      <c r="AD414" s="30" t="b">
        <v>0</v>
      </c>
      <c r="AF414" s="30" t="b">
        <v>0</v>
      </c>
      <c r="AH414" s="32" t="s">
        <v>91</v>
      </c>
      <c r="AI414" s="32"/>
      <c r="AJ414" s="32"/>
      <c r="AK414" s="32"/>
      <c r="AL414" s="30" t="s">
        <v>92</v>
      </c>
      <c r="AM414" s="30" t="s">
        <v>93</v>
      </c>
      <c r="AN414" s="30" t="s">
        <v>199</v>
      </c>
      <c r="AO414" s="30" t="s">
        <v>200</v>
      </c>
      <c r="AP414" s="30" t="s">
        <v>201</v>
      </c>
      <c r="AQ414" s="30" t="s">
        <v>202</v>
      </c>
      <c r="AR414" s="30" t="s">
        <v>145</v>
      </c>
      <c r="AT414" s="30" t="s">
        <v>226</v>
      </c>
      <c r="AU414" s="30" t="s">
        <v>204</v>
      </c>
      <c r="AV414" s="30" t="s">
        <v>227</v>
      </c>
      <c r="AW414" s="30" t="s">
        <v>206</v>
      </c>
      <c r="AX414" s="34" t="s">
        <v>86</v>
      </c>
      <c r="AY414" s="34" t="s">
        <v>149</v>
      </c>
      <c r="AZ414" s="34" t="s">
        <v>149</v>
      </c>
      <c r="BA414" s="34"/>
      <c r="BB414" s="34"/>
      <c r="BC414" s="34">
        <v>0</v>
      </c>
      <c r="BD414" s="34"/>
      <c r="BE414" s="34"/>
      <c r="BF414" s="34" t="b">
        <v>0</v>
      </c>
      <c r="BG414" s="34"/>
      <c r="BH414" s="34"/>
      <c r="BI414" s="34"/>
      <c r="BJ414" s="34"/>
      <c r="BK414" s="34"/>
      <c r="BL414" s="34" t="s">
        <v>1694</v>
      </c>
      <c r="BM414" s="34" t="s">
        <v>106</v>
      </c>
      <c r="BN414" s="34" t="s">
        <v>107</v>
      </c>
      <c r="BO414" s="35"/>
      <c r="BP414" s="35"/>
      <c r="BQ414" s="35" t="s">
        <v>108</v>
      </c>
      <c r="BR414" s="36" t="e">
        <f>VLOOKUP(BQ414, Cat_Indicadores!B:C, 2, FALSE)</f>
        <v>#N/A</v>
      </c>
      <c r="BS414" s="35" t="s">
        <v>5592</v>
      </c>
      <c r="BT414" s="35"/>
    </row>
    <row r="415" spans="1:72">
      <c r="A415" s="29" t="s">
        <v>1695</v>
      </c>
      <c r="B415" s="30" t="s">
        <v>1696</v>
      </c>
      <c r="C415" s="31">
        <v>46282.455185185187</v>
      </c>
      <c r="D415" s="30">
        <v>94</v>
      </c>
      <c r="E415" s="30" t="s">
        <v>74</v>
      </c>
      <c r="F415" s="30" t="s">
        <v>75</v>
      </c>
      <c r="G415" s="30" t="s">
        <v>76</v>
      </c>
      <c r="H415" s="30" t="s">
        <v>77</v>
      </c>
      <c r="I415" s="30" t="s">
        <v>78</v>
      </c>
      <c r="J415" s="30" t="s">
        <v>79</v>
      </c>
      <c r="K415" s="32">
        <v>12</v>
      </c>
      <c r="L415" s="32" t="s">
        <v>211</v>
      </c>
      <c r="M415" s="30" t="s">
        <v>815</v>
      </c>
      <c r="N415" s="30" t="s">
        <v>816</v>
      </c>
      <c r="O415" s="30" t="s">
        <v>581</v>
      </c>
      <c r="P415" s="33">
        <v>46239</v>
      </c>
      <c r="Q415" s="33">
        <v>46260</v>
      </c>
      <c r="R415" s="32">
        <v>4</v>
      </c>
      <c r="S415" s="30" t="s">
        <v>84</v>
      </c>
      <c r="T415" s="30" t="s">
        <v>337</v>
      </c>
      <c r="U415" s="30" t="s">
        <v>86</v>
      </c>
      <c r="V415" s="30" t="s">
        <v>87</v>
      </c>
      <c r="W415" s="30" t="s">
        <v>88</v>
      </c>
      <c r="X415" s="30" t="s">
        <v>197</v>
      </c>
      <c r="Y415" s="30" t="s">
        <v>1063</v>
      </c>
      <c r="AB415" s="30" t="b">
        <v>0</v>
      </c>
      <c r="AC415" s="30"/>
      <c r="AD415" s="30" t="b">
        <v>0</v>
      </c>
      <c r="AF415" s="30" t="b">
        <v>0</v>
      </c>
      <c r="AH415" s="32" t="s">
        <v>91</v>
      </c>
      <c r="AI415" s="32"/>
      <c r="AJ415" s="32"/>
      <c r="AK415" s="32"/>
      <c r="AL415" s="30" t="s">
        <v>92</v>
      </c>
      <c r="AM415" s="30" t="s">
        <v>93</v>
      </c>
      <c r="AN415" s="30" t="s">
        <v>199</v>
      </c>
      <c r="AO415" s="30" t="s">
        <v>200</v>
      </c>
      <c r="AP415" s="30" t="s">
        <v>201</v>
      </c>
      <c r="AQ415" s="30" t="s">
        <v>202</v>
      </c>
      <c r="AR415" s="30" t="s">
        <v>97</v>
      </c>
      <c r="AS415" s="30" t="s">
        <v>824</v>
      </c>
      <c r="AT415" s="30" t="s">
        <v>226</v>
      </c>
      <c r="AU415" s="30" t="s">
        <v>204</v>
      </c>
      <c r="AV415" s="30" t="s">
        <v>227</v>
      </c>
      <c r="AW415" s="30" t="s">
        <v>206</v>
      </c>
      <c r="AX415" s="34" t="s">
        <v>86</v>
      </c>
      <c r="AY415" s="34" t="s">
        <v>149</v>
      </c>
      <c r="AZ415" s="34" t="s">
        <v>149</v>
      </c>
      <c r="BA415" s="34"/>
      <c r="BB415" s="34"/>
      <c r="BC415" s="34">
        <v>0</v>
      </c>
      <c r="BD415" s="34"/>
      <c r="BE415" s="34"/>
      <c r="BF415" s="34" t="b">
        <v>0</v>
      </c>
      <c r="BG415" s="34"/>
      <c r="BH415" s="34"/>
      <c r="BI415" s="34"/>
      <c r="BJ415" s="34"/>
      <c r="BK415" s="34"/>
      <c r="BL415" s="34" t="s">
        <v>1697</v>
      </c>
      <c r="BM415" s="34" t="s">
        <v>106</v>
      </c>
      <c r="BN415" s="34" t="s">
        <v>107</v>
      </c>
      <c r="BO415" s="35"/>
      <c r="BP415" s="35"/>
      <c r="BQ415" s="35" t="s">
        <v>108</v>
      </c>
      <c r="BR415" s="36" t="e">
        <f>VLOOKUP(BQ415, Cat_Indicadores!B:C, 2, FALSE)</f>
        <v>#N/A</v>
      </c>
      <c r="BS415" s="35" t="s">
        <v>5592</v>
      </c>
      <c r="BT415" s="35"/>
    </row>
    <row r="416" spans="1:72">
      <c r="A416" s="29" t="s">
        <v>1698</v>
      </c>
      <c r="B416" s="30" t="s">
        <v>1699</v>
      </c>
      <c r="C416" s="31">
        <v>46282.460509259261</v>
      </c>
      <c r="D416" s="30">
        <v>94</v>
      </c>
      <c r="E416" s="30" t="s">
        <v>74</v>
      </c>
      <c r="F416" s="30" t="s">
        <v>75</v>
      </c>
      <c r="G416" s="30" t="s">
        <v>76</v>
      </c>
      <c r="H416" s="30" t="s">
        <v>77</v>
      </c>
      <c r="I416" s="30" t="s">
        <v>78</v>
      </c>
      <c r="J416" s="30" t="s">
        <v>79</v>
      </c>
      <c r="K416" s="32">
        <v>12</v>
      </c>
      <c r="L416" s="32" t="s">
        <v>211</v>
      </c>
      <c r="M416" s="30" t="s">
        <v>819</v>
      </c>
      <c r="N416" s="30" t="s">
        <v>820</v>
      </c>
      <c r="O416" s="30" t="s">
        <v>581</v>
      </c>
      <c r="P416" s="33">
        <v>46240</v>
      </c>
      <c r="Q416" s="33">
        <v>46261</v>
      </c>
      <c r="R416" s="32">
        <v>5</v>
      </c>
      <c r="S416" s="30" t="s">
        <v>84</v>
      </c>
      <c r="T416" s="30" t="s">
        <v>337</v>
      </c>
      <c r="U416" s="30" t="s">
        <v>86</v>
      </c>
      <c r="V416" s="30" t="s">
        <v>87</v>
      </c>
      <c r="W416" s="30" t="s">
        <v>88</v>
      </c>
      <c r="X416" s="30" t="s">
        <v>197</v>
      </c>
      <c r="Y416" s="30" t="s">
        <v>1063</v>
      </c>
      <c r="AB416" s="30" t="b">
        <v>0</v>
      </c>
      <c r="AC416" s="30"/>
      <c r="AD416" s="30" t="b">
        <v>0</v>
      </c>
      <c r="AF416" s="30" t="b">
        <v>0</v>
      </c>
      <c r="AH416" s="32" t="s">
        <v>91</v>
      </c>
      <c r="AI416" s="32"/>
      <c r="AJ416" s="32"/>
      <c r="AK416" s="32"/>
      <c r="AL416" s="30" t="s">
        <v>92</v>
      </c>
      <c r="AM416" s="30" t="s">
        <v>93</v>
      </c>
      <c r="AN416" s="30" t="s">
        <v>199</v>
      </c>
      <c r="AO416" s="30" t="s">
        <v>200</v>
      </c>
      <c r="AP416" s="30" t="s">
        <v>201</v>
      </c>
      <c r="AQ416" s="30" t="s">
        <v>202</v>
      </c>
      <c r="AR416" s="30" t="s">
        <v>145</v>
      </c>
      <c r="AT416" s="30" t="s">
        <v>99</v>
      </c>
      <c r="AU416" s="30" t="s">
        <v>100</v>
      </c>
      <c r="AV416" s="30" t="s">
        <v>101</v>
      </c>
      <c r="AW416" s="30" t="s">
        <v>102</v>
      </c>
      <c r="AX416" s="34" t="s">
        <v>86</v>
      </c>
      <c r="AY416" s="34" t="s">
        <v>149</v>
      </c>
      <c r="AZ416" s="34" t="s">
        <v>149</v>
      </c>
      <c r="BA416" s="34"/>
      <c r="BB416" s="34"/>
      <c r="BC416" s="34">
        <v>0</v>
      </c>
      <c r="BD416" s="34"/>
      <c r="BE416" s="34"/>
      <c r="BF416" s="34" t="b">
        <v>0</v>
      </c>
      <c r="BG416" s="34"/>
      <c r="BH416" s="34"/>
      <c r="BI416" s="34"/>
      <c r="BJ416" s="34"/>
      <c r="BK416" s="34"/>
      <c r="BL416" s="34" t="s">
        <v>1697</v>
      </c>
      <c r="BM416" s="34" t="s">
        <v>106</v>
      </c>
      <c r="BN416" s="34" t="s">
        <v>107</v>
      </c>
      <c r="BO416" s="35"/>
      <c r="BP416" s="35"/>
      <c r="BQ416" s="35" t="s">
        <v>108</v>
      </c>
      <c r="BR416" s="36" t="e">
        <f>VLOOKUP(BQ416, Cat_Indicadores!B:C, 2, FALSE)</f>
        <v>#N/A</v>
      </c>
      <c r="BS416" s="35" t="s">
        <v>5592</v>
      </c>
      <c r="BT416" s="35"/>
    </row>
    <row r="417" spans="1:72">
      <c r="A417" s="29" t="s">
        <v>1700</v>
      </c>
      <c r="B417" s="30" t="s">
        <v>1701</v>
      </c>
      <c r="C417" s="31">
        <v>46282.479953703703</v>
      </c>
      <c r="D417" s="30">
        <v>92</v>
      </c>
      <c r="E417" s="30" t="s">
        <v>74</v>
      </c>
      <c r="F417" s="30" t="s">
        <v>75</v>
      </c>
      <c r="G417" s="30" t="s">
        <v>133</v>
      </c>
      <c r="H417" s="30" t="s">
        <v>77</v>
      </c>
      <c r="I417" s="30" t="s">
        <v>78</v>
      </c>
      <c r="J417" s="30" t="s">
        <v>79</v>
      </c>
      <c r="K417" s="32">
        <v>800</v>
      </c>
      <c r="L417" s="32" t="s">
        <v>80</v>
      </c>
      <c r="M417" s="30" t="s">
        <v>1702</v>
      </c>
      <c r="N417" s="30" t="s">
        <v>1702</v>
      </c>
      <c r="O417" s="30" t="s">
        <v>581</v>
      </c>
      <c r="P417" s="33">
        <v>46240</v>
      </c>
      <c r="Q417" s="33">
        <v>46261</v>
      </c>
      <c r="R417" s="32">
        <v>4</v>
      </c>
      <c r="S417" s="30" t="s">
        <v>264</v>
      </c>
      <c r="T417" s="30" t="s">
        <v>265</v>
      </c>
      <c r="U417" s="30" t="s">
        <v>480</v>
      </c>
      <c r="V417" s="30" t="s">
        <v>87</v>
      </c>
      <c r="W417" s="30" t="s">
        <v>88</v>
      </c>
      <c r="X417" s="30" t="s">
        <v>197</v>
      </c>
      <c r="Y417" s="30" t="s">
        <v>1063</v>
      </c>
      <c r="AB417" s="30" t="b">
        <v>0</v>
      </c>
      <c r="AC417" s="30"/>
      <c r="AD417" s="30" t="b">
        <v>0</v>
      </c>
      <c r="AF417" s="30" t="b">
        <v>0</v>
      </c>
      <c r="AH417" s="32" t="s">
        <v>91</v>
      </c>
      <c r="AI417" s="32"/>
      <c r="AJ417" s="32"/>
      <c r="AK417" s="32"/>
      <c r="AL417" s="30" t="s">
        <v>92</v>
      </c>
      <c r="AM417" s="30" t="s">
        <v>251</v>
      </c>
      <c r="AN417" s="30" t="s">
        <v>199</v>
      </c>
      <c r="AO417" s="30" t="s">
        <v>200</v>
      </c>
      <c r="AP417" s="30" t="s">
        <v>201</v>
      </c>
      <c r="AQ417" s="30" t="s">
        <v>202</v>
      </c>
      <c r="AR417" s="30" t="s">
        <v>145</v>
      </c>
      <c r="AT417" s="30" t="s">
        <v>226</v>
      </c>
      <c r="AU417" s="30" t="s">
        <v>204</v>
      </c>
      <c r="AV417" s="30" t="s">
        <v>227</v>
      </c>
      <c r="AW417" s="30" t="s">
        <v>206</v>
      </c>
      <c r="AX417" s="34" t="s">
        <v>783</v>
      </c>
      <c r="AY417" s="34" t="s">
        <v>167</v>
      </c>
      <c r="AZ417" s="34"/>
      <c r="BA417" s="34"/>
      <c r="BB417" s="34"/>
      <c r="BC417" s="34">
        <v>0</v>
      </c>
      <c r="BD417" s="34"/>
      <c r="BE417" s="34"/>
      <c r="BF417" s="34" t="b">
        <v>0</v>
      </c>
      <c r="BG417" s="34"/>
      <c r="BH417" s="34"/>
      <c r="BI417" s="34"/>
      <c r="BJ417" s="34"/>
      <c r="BK417" s="34"/>
      <c r="BL417" s="34" t="s">
        <v>166</v>
      </c>
      <c r="BM417" s="34" t="s">
        <v>106</v>
      </c>
      <c r="BN417" s="34" t="s">
        <v>107</v>
      </c>
      <c r="BO417" s="35"/>
      <c r="BP417" s="35"/>
      <c r="BQ417" s="35" t="s">
        <v>108</v>
      </c>
      <c r="BR417" s="36" t="e">
        <f>VLOOKUP(BQ417, Cat_Indicadores!B:C, 2, FALSE)</f>
        <v>#N/A</v>
      </c>
      <c r="BS417" s="35" t="s">
        <v>5592</v>
      </c>
      <c r="BT417" s="35"/>
    </row>
    <row r="418" spans="1:72">
      <c r="A418" s="29" t="s">
        <v>1703</v>
      </c>
      <c r="B418" s="30" t="s">
        <v>1704</v>
      </c>
      <c r="C418" s="31">
        <v>46282.604513888888</v>
      </c>
      <c r="D418" s="30">
        <v>92</v>
      </c>
      <c r="E418" s="30" t="s">
        <v>74</v>
      </c>
      <c r="F418" s="30" t="s">
        <v>75</v>
      </c>
      <c r="G418" s="30" t="s">
        <v>133</v>
      </c>
      <c r="H418" s="30" t="s">
        <v>77</v>
      </c>
      <c r="I418" s="30" t="s">
        <v>78</v>
      </c>
      <c r="J418" s="30" t="s">
        <v>79</v>
      </c>
      <c r="K418" s="32">
        <v>800</v>
      </c>
      <c r="L418" s="32" t="s">
        <v>80</v>
      </c>
      <c r="M418" s="30" t="s">
        <v>401</v>
      </c>
      <c r="N418" s="30" t="s">
        <v>402</v>
      </c>
      <c r="O418" s="30" t="s">
        <v>83</v>
      </c>
      <c r="P418" s="33">
        <v>46236</v>
      </c>
      <c r="Q418" s="33">
        <v>46236</v>
      </c>
      <c r="R418" s="32">
        <v>1</v>
      </c>
      <c r="S418" s="30" t="s">
        <v>84</v>
      </c>
      <c r="T418" s="30" t="s">
        <v>337</v>
      </c>
      <c r="U418" s="30" t="s">
        <v>338</v>
      </c>
      <c r="V418" s="30" t="s">
        <v>87</v>
      </c>
      <c r="W418" s="30" t="s">
        <v>88</v>
      </c>
      <c r="X418" s="30" t="s">
        <v>197</v>
      </c>
      <c r="Y418" s="30" t="s">
        <v>1063</v>
      </c>
      <c r="AB418" s="30" t="b">
        <v>0</v>
      </c>
      <c r="AC418" s="30"/>
      <c r="AD418" s="30" t="b">
        <v>0</v>
      </c>
      <c r="AF418" s="30" t="b">
        <v>0</v>
      </c>
      <c r="AH418" s="32" t="s">
        <v>91</v>
      </c>
      <c r="AI418" s="32"/>
      <c r="AJ418" s="32"/>
      <c r="AK418" s="32"/>
      <c r="AL418" s="30" t="s">
        <v>92</v>
      </c>
      <c r="AM418" s="30" t="s">
        <v>93</v>
      </c>
      <c r="AN418" s="30" t="s">
        <v>199</v>
      </c>
      <c r="AO418" s="30" t="s">
        <v>200</v>
      </c>
      <c r="AP418" s="30" t="s">
        <v>201</v>
      </c>
      <c r="AQ418" s="30" t="s">
        <v>202</v>
      </c>
      <c r="AR418" s="30" t="s">
        <v>145</v>
      </c>
      <c r="AT418" s="30" t="s">
        <v>99</v>
      </c>
      <c r="AU418" s="30" t="s">
        <v>100</v>
      </c>
      <c r="AV418" s="30" t="s">
        <v>101</v>
      </c>
      <c r="AW418" s="30" t="s">
        <v>102</v>
      </c>
      <c r="AX418" s="34" t="s">
        <v>338</v>
      </c>
      <c r="AY418" s="34" t="s">
        <v>103</v>
      </c>
      <c r="AZ418" s="34"/>
      <c r="BA418" s="34"/>
      <c r="BB418" s="34"/>
      <c r="BC418" s="34">
        <v>0</v>
      </c>
      <c r="BD418" s="34"/>
      <c r="BE418" s="34"/>
      <c r="BF418" s="34" t="b">
        <v>0</v>
      </c>
      <c r="BG418" s="34"/>
      <c r="BH418" s="34"/>
      <c r="BI418" s="34"/>
      <c r="BJ418" s="34"/>
      <c r="BK418" s="34"/>
      <c r="BL418" s="34"/>
      <c r="BM418" s="34" t="s">
        <v>168</v>
      </c>
      <c r="BN418" s="34"/>
      <c r="BO418" s="35"/>
      <c r="BP418" s="35"/>
      <c r="BQ418" s="35" t="s">
        <v>108</v>
      </c>
      <c r="BR418" s="36" t="e">
        <f>VLOOKUP(BQ418, Cat_Indicadores!B:C, 2, FALSE)</f>
        <v>#N/A</v>
      </c>
      <c r="BS418" s="35" t="s">
        <v>5592</v>
      </c>
      <c r="BT418" s="35"/>
    </row>
    <row r="419" spans="1:72">
      <c r="A419" s="29" t="s">
        <v>1705</v>
      </c>
      <c r="B419" s="30" t="s">
        <v>1706</v>
      </c>
      <c r="C419" s="31">
        <v>46282.627210648148</v>
      </c>
      <c r="D419" s="30">
        <v>92</v>
      </c>
      <c r="E419" s="30" t="s">
        <v>74</v>
      </c>
      <c r="F419" s="30" t="s">
        <v>75</v>
      </c>
      <c r="G419" s="30" t="s">
        <v>133</v>
      </c>
      <c r="H419" s="30" t="s">
        <v>77</v>
      </c>
      <c r="I419" s="30" t="s">
        <v>78</v>
      </c>
      <c r="J419" s="30" t="s">
        <v>79</v>
      </c>
      <c r="K419" s="32">
        <v>800</v>
      </c>
      <c r="L419" s="32" t="s">
        <v>80</v>
      </c>
      <c r="M419" s="30" t="s">
        <v>401</v>
      </c>
      <c r="N419" s="30" t="s">
        <v>402</v>
      </c>
      <c r="O419" s="30" t="s">
        <v>83</v>
      </c>
      <c r="P419" s="33">
        <v>46235</v>
      </c>
      <c r="Q419" s="33">
        <v>46235</v>
      </c>
      <c r="R419" s="32">
        <v>1</v>
      </c>
      <c r="S419" s="30" t="s">
        <v>84</v>
      </c>
      <c r="T419" s="30" t="s">
        <v>337</v>
      </c>
      <c r="U419" s="30" t="s">
        <v>338</v>
      </c>
      <c r="V419" s="30" t="s">
        <v>87</v>
      </c>
      <c r="W419" s="30" t="s">
        <v>88</v>
      </c>
      <c r="X419" s="30" t="s">
        <v>197</v>
      </c>
      <c r="Y419" s="30" t="s">
        <v>1063</v>
      </c>
      <c r="AB419" s="30" t="b">
        <v>0</v>
      </c>
      <c r="AC419" s="30"/>
      <c r="AD419" s="30" t="b">
        <v>0</v>
      </c>
      <c r="AF419" s="30" t="b">
        <v>0</v>
      </c>
      <c r="AH419" s="32" t="s">
        <v>91</v>
      </c>
      <c r="AI419" s="32"/>
      <c r="AJ419" s="32"/>
      <c r="AK419" s="32"/>
      <c r="AL419" s="30" t="s">
        <v>92</v>
      </c>
      <c r="AM419" s="30" t="s">
        <v>93</v>
      </c>
      <c r="AN419" s="30" t="s">
        <v>199</v>
      </c>
      <c r="AO419" s="30" t="s">
        <v>200</v>
      </c>
      <c r="AP419" s="30" t="s">
        <v>201</v>
      </c>
      <c r="AQ419" s="30" t="s">
        <v>202</v>
      </c>
      <c r="AR419" s="30" t="s">
        <v>145</v>
      </c>
      <c r="AT419" s="30" t="s">
        <v>99</v>
      </c>
      <c r="AU419" s="30" t="s">
        <v>100</v>
      </c>
      <c r="AV419" s="30" t="s">
        <v>101</v>
      </c>
      <c r="AW419" s="30" t="s">
        <v>102</v>
      </c>
      <c r="AX419" s="34" t="s">
        <v>338</v>
      </c>
      <c r="AY419" s="34" t="s">
        <v>103</v>
      </c>
      <c r="AZ419" s="34"/>
      <c r="BA419" s="34"/>
      <c r="BB419" s="34"/>
      <c r="BC419" s="34">
        <v>0</v>
      </c>
      <c r="BD419" s="34"/>
      <c r="BE419" s="34"/>
      <c r="BF419" s="34" t="b">
        <v>0</v>
      </c>
      <c r="BG419" s="34"/>
      <c r="BH419" s="34"/>
      <c r="BI419" s="34"/>
      <c r="BJ419" s="34"/>
      <c r="BK419" s="34"/>
      <c r="BL419" s="34"/>
      <c r="BM419" s="34" t="s">
        <v>168</v>
      </c>
      <c r="BN419" s="34"/>
      <c r="BO419" s="35"/>
      <c r="BP419" s="35"/>
      <c r="BQ419" s="35" t="s">
        <v>108</v>
      </c>
      <c r="BR419" s="36" t="e">
        <f>VLOOKUP(BQ419, Cat_Indicadores!B:C, 2, FALSE)</f>
        <v>#N/A</v>
      </c>
      <c r="BS419" s="35" t="s">
        <v>5592</v>
      </c>
      <c r="BT419" s="35"/>
    </row>
    <row r="420" spans="1:72">
      <c r="A420" s="29" t="s">
        <v>1707</v>
      </c>
      <c r="B420" s="30" t="s">
        <v>1708</v>
      </c>
      <c r="C420" s="31">
        <v>46282.702604166669</v>
      </c>
      <c r="D420" s="30">
        <v>92</v>
      </c>
      <c r="E420" s="30" t="s">
        <v>74</v>
      </c>
      <c r="F420" s="30" t="s">
        <v>75</v>
      </c>
      <c r="G420" s="30" t="s">
        <v>133</v>
      </c>
      <c r="H420" s="30" t="s">
        <v>77</v>
      </c>
      <c r="I420" s="30" t="s">
        <v>78</v>
      </c>
      <c r="J420" s="30" t="s">
        <v>79</v>
      </c>
      <c r="K420" s="32">
        <v>800</v>
      </c>
      <c r="L420" s="32" t="s">
        <v>80</v>
      </c>
      <c r="M420" s="30" t="s">
        <v>401</v>
      </c>
      <c r="N420" s="30" t="s">
        <v>402</v>
      </c>
      <c r="O420" s="30" t="s">
        <v>83</v>
      </c>
      <c r="P420" s="33">
        <v>46243</v>
      </c>
      <c r="Q420" s="33">
        <v>46243</v>
      </c>
      <c r="R420" s="32">
        <v>1</v>
      </c>
      <c r="S420" s="30" t="s">
        <v>84</v>
      </c>
      <c r="T420" s="30" t="s">
        <v>337</v>
      </c>
      <c r="U420" s="30" t="s">
        <v>338</v>
      </c>
      <c r="V420" s="30" t="s">
        <v>87</v>
      </c>
      <c r="W420" s="30" t="s">
        <v>88</v>
      </c>
      <c r="X420" s="30" t="s">
        <v>197</v>
      </c>
      <c r="Y420" s="30" t="s">
        <v>1063</v>
      </c>
      <c r="AB420" s="30" t="b">
        <v>0</v>
      </c>
      <c r="AC420" s="30"/>
      <c r="AD420" s="30" t="b">
        <v>0</v>
      </c>
      <c r="AF420" s="30" t="b">
        <v>0</v>
      </c>
      <c r="AH420" s="32" t="s">
        <v>91</v>
      </c>
      <c r="AI420" s="32"/>
      <c r="AJ420" s="32"/>
      <c r="AK420" s="32"/>
      <c r="AL420" s="30" t="s">
        <v>92</v>
      </c>
      <c r="AM420" s="30" t="s">
        <v>93</v>
      </c>
      <c r="AN420" s="30" t="s">
        <v>199</v>
      </c>
      <c r="AO420" s="30" t="s">
        <v>200</v>
      </c>
      <c r="AP420" s="30" t="s">
        <v>201</v>
      </c>
      <c r="AQ420" s="30" t="s">
        <v>202</v>
      </c>
      <c r="AR420" s="30" t="s">
        <v>145</v>
      </c>
      <c r="AT420" s="30" t="s">
        <v>99</v>
      </c>
      <c r="AU420" s="30" t="s">
        <v>100</v>
      </c>
      <c r="AV420" s="30" t="s">
        <v>101</v>
      </c>
      <c r="AW420" s="30" t="s">
        <v>102</v>
      </c>
      <c r="AX420" s="34" t="s">
        <v>338</v>
      </c>
      <c r="AY420" s="34" t="s">
        <v>103</v>
      </c>
      <c r="AZ420" s="34"/>
      <c r="BA420" s="34"/>
      <c r="BB420" s="34"/>
      <c r="BC420" s="34">
        <v>0</v>
      </c>
      <c r="BD420" s="34"/>
      <c r="BE420" s="34"/>
      <c r="BF420" s="34" t="b">
        <v>0</v>
      </c>
      <c r="BG420" s="34"/>
      <c r="BH420" s="34"/>
      <c r="BI420" s="34"/>
      <c r="BJ420" s="34"/>
      <c r="BK420" s="34"/>
      <c r="BL420" s="34"/>
      <c r="BM420" s="34" t="s">
        <v>168</v>
      </c>
      <c r="BN420" s="34"/>
      <c r="BO420" s="35"/>
      <c r="BP420" s="35"/>
      <c r="BQ420" s="35" t="s">
        <v>108</v>
      </c>
      <c r="BR420" s="36" t="e">
        <f>VLOOKUP(BQ420, Cat_Indicadores!B:C, 2, FALSE)</f>
        <v>#N/A</v>
      </c>
      <c r="BS420" s="35" t="s">
        <v>5592</v>
      </c>
      <c r="BT420" s="35"/>
    </row>
    <row r="421" spans="1:72">
      <c r="A421" s="29" t="s">
        <v>1709</v>
      </c>
      <c r="B421" s="30" t="s">
        <v>1710</v>
      </c>
      <c r="C421" s="31">
        <v>46282.667372685188</v>
      </c>
      <c r="D421" s="30">
        <v>76</v>
      </c>
      <c r="E421" s="30" t="s">
        <v>1711</v>
      </c>
      <c r="F421" s="30" t="s">
        <v>1712</v>
      </c>
      <c r="G421" s="30" t="s">
        <v>1713</v>
      </c>
      <c r="H421" s="30" t="s">
        <v>1392</v>
      </c>
      <c r="I421" s="30" t="s">
        <v>1714</v>
      </c>
      <c r="J421" s="30" t="s">
        <v>1715</v>
      </c>
      <c r="K421" s="32">
        <v>3</v>
      </c>
      <c r="L421" s="32" t="s">
        <v>80</v>
      </c>
      <c r="M421" s="30" t="s">
        <v>1716</v>
      </c>
      <c r="N421" s="30" t="s">
        <v>1717</v>
      </c>
      <c r="O421" s="30" t="s">
        <v>1718</v>
      </c>
      <c r="P421" s="33">
        <v>46081</v>
      </c>
      <c r="Q421" s="33">
        <v>46118</v>
      </c>
      <c r="R421" s="32">
        <v>38</v>
      </c>
      <c r="S421" s="30" t="s">
        <v>243</v>
      </c>
      <c r="T421" s="30" t="s">
        <v>740</v>
      </c>
      <c r="U421" s="30" t="s">
        <v>367</v>
      </c>
      <c r="V421" s="30" t="s">
        <v>87</v>
      </c>
      <c r="W421" s="30" t="s">
        <v>88</v>
      </c>
      <c r="X421" s="30" t="s">
        <v>1719</v>
      </c>
      <c r="AB421" s="30" t="b">
        <v>0</v>
      </c>
      <c r="AC421" s="30"/>
      <c r="AD421" s="30" t="b">
        <v>1</v>
      </c>
      <c r="AE421" s="30">
        <v>2</v>
      </c>
      <c r="AF421" s="30" t="b">
        <v>0</v>
      </c>
      <c r="AH421" s="32" t="s">
        <v>91</v>
      </c>
      <c r="AI421" s="32"/>
      <c r="AJ421" s="32"/>
      <c r="AK421" s="32"/>
      <c r="AL421" s="30" t="s">
        <v>1720</v>
      </c>
      <c r="AM421" s="30" t="s">
        <v>294</v>
      </c>
      <c r="AN421" s="30" t="s">
        <v>199</v>
      </c>
      <c r="AO421" s="30" t="s">
        <v>200</v>
      </c>
      <c r="AP421" s="30" t="s">
        <v>201</v>
      </c>
      <c r="AQ421" s="30" t="s">
        <v>202</v>
      </c>
      <c r="AR421" s="30" t="s">
        <v>691</v>
      </c>
      <c r="AT421" s="30" t="s">
        <v>99</v>
      </c>
      <c r="AU421" s="30" t="s">
        <v>100</v>
      </c>
      <c r="AV421" s="30" t="s">
        <v>101</v>
      </c>
      <c r="AW421" s="30" t="s">
        <v>102</v>
      </c>
      <c r="AX421" s="34" t="s">
        <v>367</v>
      </c>
      <c r="AY421" s="34" t="s">
        <v>778</v>
      </c>
      <c r="AZ421" s="34"/>
      <c r="BA421" s="34"/>
      <c r="BB421" s="34">
        <v>11</v>
      </c>
      <c r="BC421" s="34">
        <v>1</v>
      </c>
      <c r="BD421" s="34" t="s">
        <v>1365</v>
      </c>
      <c r="BE421" s="34" t="s">
        <v>1721</v>
      </c>
      <c r="BF421" s="34" t="b">
        <v>0</v>
      </c>
      <c r="BG421" s="34"/>
      <c r="BH421" s="34"/>
      <c r="BI421" s="34"/>
      <c r="BJ421" s="34"/>
      <c r="BK421" s="34"/>
      <c r="BL421" s="34"/>
      <c r="BM421" s="34" t="s">
        <v>168</v>
      </c>
      <c r="BN421" s="34"/>
      <c r="BO421" s="35"/>
      <c r="BP421" s="35"/>
      <c r="BQ421" s="35" t="s">
        <v>108</v>
      </c>
      <c r="BR421" s="36" t="e">
        <f>VLOOKUP(BQ421, Cat_Indicadores!B:C, 2, FALSE)</f>
        <v>#N/A</v>
      </c>
      <c r="BS421" s="35" t="s">
        <v>5592</v>
      </c>
      <c r="BT421" s="35"/>
    </row>
    <row r="422" spans="1:72">
      <c r="A422" s="29" t="s">
        <v>1722</v>
      </c>
      <c r="B422" s="30" t="s">
        <v>1723</v>
      </c>
      <c r="C422" s="31">
        <v>46283.469930555555</v>
      </c>
      <c r="D422" s="30">
        <v>92</v>
      </c>
      <c r="E422" s="30" t="s">
        <v>74</v>
      </c>
      <c r="F422" s="30" t="s">
        <v>75</v>
      </c>
      <c r="G422" s="30" t="s">
        <v>133</v>
      </c>
      <c r="H422" s="30" t="s">
        <v>77</v>
      </c>
      <c r="I422" s="30" t="s">
        <v>78</v>
      </c>
      <c r="J422" s="30" t="s">
        <v>79</v>
      </c>
      <c r="K422" s="32">
        <v>800</v>
      </c>
      <c r="L422" s="32" t="s">
        <v>80</v>
      </c>
      <c r="M422" s="30" t="s">
        <v>401</v>
      </c>
      <c r="N422" s="30" t="s">
        <v>402</v>
      </c>
      <c r="O422" s="30" t="s">
        <v>83</v>
      </c>
      <c r="P422" s="33">
        <v>46246</v>
      </c>
      <c r="Q422" s="33">
        <v>46246</v>
      </c>
      <c r="R422" s="32">
        <v>1</v>
      </c>
      <c r="S422" s="30" t="s">
        <v>84</v>
      </c>
      <c r="T422" s="30" t="s">
        <v>337</v>
      </c>
      <c r="U422" s="30" t="s">
        <v>338</v>
      </c>
      <c r="V422" s="30" t="s">
        <v>87</v>
      </c>
      <c r="W422" s="30" t="s">
        <v>88</v>
      </c>
      <c r="X422" s="30" t="s">
        <v>197</v>
      </c>
      <c r="Y422" s="30" t="s">
        <v>1063</v>
      </c>
      <c r="AB422" s="30" t="b">
        <v>0</v>
      </c>
      <c r="AC422" s="30"/>
      <c r="AD422" s="30" t="b">
        <v>0</v>
      </c>
      <c r="AF422" s="30" t="b">
        <v>0</v>
      </c>
      <c r="AH422" s="32" t="s">
        <v>91</v>
      </c>
      <c r="AI422" s="32"/>
      <c r="AJ422" s="32"/>
      <c r="AK422" s="32"/>
      <c r="AL422" s="30" t="s">
        <v>92</v>
      </c>
      <c r="AM422" s="30" t="s">
        <v>93</v>
      </c>
      <c r="AN422" s="30" t="s">
        <v>199</v>
      </c>
      <c r="AO422" s="30" t="s">
        <v>200</v>
      </c>
      <c r="AP422" s="30" t="s">
        <v>201</v>
      </c>
      <c r="AQ422" s="30" t="s">
        <v>202</v>
      </c>
      <c r="AR422" s="30" t="s">
        <v>145</v>
      </c>
      <c r="AT422" s="30" t="s">
        <v>99</v>
      </c>
      <c r="AU422" s="30" t="s">
        <v>100</v>
      </c>
      <c r="AV422" s="30" t="s">
        <v>101</v>
      </c>
      <c r="AW422" s="30" t="s">
        <v>102</v>
      </c>
      <c r="AX422" s="34" t="s">
        <v>338</v>
      </c>
      <c r="AY422" s="34" t="s">
        <v>103</v>
      </c>
      <c r="AZ422" s="34"/>
      <c r="BA422" s="34"/>
      <c r="BB422" s="34"/>
      <c r="BC422" s="34">
        <v>0</v>
      </c>
      <c r="BD422" s="34"/>
      <c r="BE422" s="34"/>
      <c r="BF422" s="34" t="b">
        <v>0</v>
      </c>
      <c r="BG422" s="34"/>
      <c r="BH422" s="34"/>
      <c r="BI422" s="34"/>
      <c r="BJ422" s="34"/>
      <c r="BK422" s="34"/>
      <c r="BL422" s="34"/>
      <c r="BM422" s="34" t="s">
        <v>168</v>
      </c>
      <c r="BN422" s="34"/>
      <c r="BO422" s="35"/>
      <c r="BP422" s="35"/>
      <c r="BQ422" s="35" t="s">
        <v>108</v>
      </c>
      <c r="BR422" s="36" t="e">
        <f>VLOOKUP(BQ422, Cat_Indicadores!B:C, 2, FALSE)</f>
        <v>#N/A</v>
      </c>
      <c r="BS422" s="35" t="s">
        <v>5592</v>
      </c>
      <c r="BT422" s="35"/>
    </row>
    <row r="423" spans="1:72">
      <c r="A423" s="29" t="s">
        <v>1724</v>
      </c>
      <c r="B423" s="30" t="s">
        <v>1725</v>
      </c>
      <c r="C423" s="31">
        <v>46283.476759259262</v>
      </c>
      <c r="D423" s="30">
        <v>92</v>
      </c>
      <c r="E423" s="30" t="s">
        <v>74</v>
      </c>
      <c r="F423" s="30" t="s">
        <v>75</v>
      </c>
      <c r="G423" s="30" t="s">
        <v>133</v>
      </c>
      <c r="H423" s="30" t="s">
        <v>77</v>
      </c>
      <c r="I423" s="30" t="s">
        <v>78</v>
      </c>
      <c r="J423" s="30" t="s">
        <v>79</v>
      </c>
      <c r="K423" s="32">
        <v>800</v>
      </c>
      <c r="L423" s="32" t="s">
        <v>80</v>
      </c>
      <c r="M423" s="30" t="s">
        <v>1055</v>
      </c>
      <c r="N423" s="30" t="s">
        <v>1726</v>
      </c>
      <c r="O423" s="30" t="s">
        <v>83</v>
      </c>
      <c r="P423" s="33">
        <v>46247</v>
      </c>
      <c r="Q423" s="33">
        <v>46247</v>
      </c>
      <c r="R423" s="32">
        <v>1</v>
      </c>
      <c r="S423" s="30" t="s">
        <v>84</v>
      </c>
      <c r="T423" s="30" t="s">
        <v>337</v>
      </c>
      <c r="U423" s="30" t="s">
        <v>338</v>
      </c>
      <c r="V423" s="30" t="s">
        <v>87</v>
      </c>
      <c r="W423" s="30" t="s">
        <v>88</v>
      </c>
      <c r="X423" s="30" t="s">
        <v>197</v>
      </c>
      <c r="Y423" s="30" t="s">
        <v>1063</v>
      </c>
      <c r="AB423" s="30" t="b">
        <v>0</v>
      </c>
      <c r="AC423" s="30"/>
      <c r="AD423" s="30" t="b">
        <v>0</v>
      </c>
      <c r="AF423" s="30" t="b">
        <v>0</v>
      </c>
      <c r="AH423" s="32" t="s">
        <v>91</v>
      </c>
      <c r="AI423" s="32"/>
      <c r="AJ423" s="32"/>
      <c r="AK423" s="32"/>
      <c r="AL423" s="30" t="s">
        <v>92</v>
      </c>
      <c r="AM423" s="30" t="s">
        <v>93</v>
      </c>
      <c r="AN423" s="30" t="s">
        <v>199</v>
      </c>
      <c r="AO423" s="30" t="s">
        <v>200</v>
      </c>
      <c r="AP423" s="30" t="s">
        <v>201</v>
      </c>
      <c r="AQ423" s="30" t="s">
        <v>202</v>
      </c>
      <c r="AR423" s="30" t="s">
        <v>145</v>
      </c>
      <c r="AT423" s="30" t="s">
        <v>99</v>
      </c>
      <c r="AU423" s="30" t="s">
        <v>100</v>
      </c>
      <c r="AV423" s="30" t="s">
        <v>101</v>
      </c>
      <c r="AW423" s="30" t="s">
        <v>102</v>
      </c>
      <c r="AX423" s="34" t="s">
        <v>338</v>
      </c>
      <c r="AY423" s="34" t="s">
        <v>103</v>
      </c>
      <c r="AZ423" s="34"/>
      <c r="BA423" s="34"/>
      <c r="BB423" s="34"/>
      <c r="BC423" s="34">
        <v>0</v>
      </c>
      <c r="BD423" s="34"/>
      <c r="BE423" s="34"/>
      <c r="BF423" s="34" t="b">
        <v>0</v>
      </c>
      <c r="BG423" s="34"/>
      <c r="BH423" s="34"/>
      <c r="BI423" s="34"/>
      <c r="BJ423" s="34"/>
      <c r="BK423" s="34"/>
      <c r="BL423" s="34"/>
      <c r="BM423" s="34" t="s">
        <v>168</v>
      </c>
      <c r="BN423" s="34"/>
      <c r="BO423" s="35"/>
      <c r="BP423" s="35"/>
      <c r="BQ423" s="35" t="s">
        <v>108</v>
      </c>
      <c r="BR423" s="36" t="e">
        <f>VLOOKUP(BQ423, Cat_Indicadores!B:C, 2, FALSE)</f>
        <v>#N/A</v>
      </c>
      <c r="BS423" s="35" t="s">
        <v>5592</v>
      </c>
      <c r="BT423" s="35"/>
    </row>
    <row r="424" spans="1:72">
      <c r="A424" s="29" t="s">
        <v>1727</v>
      </c>
      <c r="B424" s="30" t="s">
        <v>1728</v>
      </c>
      <c r="C424" s="31">
        <v>46283.48128472222</v>
      </c>
      <c r="D424" s="30">
        <v>92</v>
      </c>
      <c r="E424" s="30" t="s">
        <v>74</v>
      </c>
      <c r="F424" s="30" t="s">
        <v>75</v>
      </c>
      <c r="G424" s="30" t="s">
        <v>133</v>
      </c>
      <c r="H424" s="30" t="s">
        <v>77</v>
      </c>
      <c r="I424" s="30" t="s">
        <v>78</v>
      </c>
      <c r="J424" s="30" t="s">
        <v>79</v>
      </c>
      <c r="K424" s="32">
        <v>800</v>
      </c>
      <c r="L424" s="32" t="s">
        <v>80</v>
      </c>
      <c r="M424" s="30" t="s">
        <v>1055</v>
      </c>
      <c r="N424" s="30" t="s">
        <v>402</v>
      </c>
      <c r="O424" s="30" t="s">
        <v>83</v>
      </c>
      <c r="P424" s="33">
        <v>46248</v>
      </c>
      <c r="Q424" s="33">
        <v>46248</v>
      </c>
      <c r="R424" s="32">
        <v>1</v>
      </c>
      <c r="S424" s="30" t="s">
        <v>84</v>
      </c>
      <c r="T424" s="30" t="s">
        <v>337</v>
      </c>
      <c r="U424" s="30" t="s">
        <v>338</v>
      </c>
      <c r="V424" s="30" t="s">
        <v>87</v>
      </c>
      <c r="W424" s="30" t="s">
        <v>88</v>
      </c>
      <c r="X424" s="30" t="s">
        <v>197</v>
      </c>
      <c r="Y424" s="30" t="s">
        <v>1063</v>
      </c>
      <c r="AB424" s="30" t="b">
        <v>0</v>
      </c>
      <c r="AC424" s="30"/>
      <c r="AD424" s="30" t="b">
        <v>0</v>
      </c>
      <c r="AF424" s="30" t="b">
        <v>0</v>
      </c>
      <c r="AH424" s="32" t="s">
        <v>91</v>
      </c>
      <c r="AI424" s="32"/>
      <c r="AJ424" s="32"/>
      <c r="AK424" s="32"/>
      <c r="AL424" s="30" t="s">
        <v>92</v>
      </c>
      <c r="AM424" s="30" t="s">
        <v>93</v>
      </c>
      <c r="AN424" s="30" t="s">
        <v>199</v>
      </c>
      <c r="AO424" s="30" t="s">
        <v>200</v>
      </c>
      <c r="AP424" s="30" t="s">
        <v>201</v>
      </c>
      <c r="AQ424" s="30" t="s">
        <v>202</v>
      </c>
      <c r="AR424" s="30" t="s">
        <v>145</v>
      </c>
      <c r="AT424" s="30" t="s">
        <v>99</v>
      </c>
      <c r="AU424" s="30" t="s">
        <v>100</v>
      </c>
      <c r="AV424" s="30" t="s">
        <v>101</v>
      </c>
      <c r="AW424" s="30" t="s">
        <v>102</v>
      </c>
      <c r="AX424" s="34" t="s">
        <v>338</v>
      </c>
      <c r="AY424" s="34" t="s">
        <v>103</v>
      </c>
      <c r="AZ424" s="34"/>
      <c r="BA424" s="34"/>
      <c r="BB424" s="34"/>
      <c r="BC424" s="34">
        <v>0</v>
      </c>
      <c r="BD424" s="34"/>
      <c r="BE424" s="34"/>
      <c r="BF424" s="34" t="b">
        <v>0</v>
      </c>
      <c r="BG424" s="34"/>
      <c r="BH424" s="34"/>
      <c r="BI424" s="34"/>
      <c r="BJ424" s="34"/>
      <c r="BK424" s="34"/>
      <c r="BL424" s="34"/>
      <c r="BM424" s="34" t="s">
        <v>168</v>
      </c>
      <c r="BN424" s="34"/>
      <c r="BO424" s="35"/>
      <c r="BP424" s="35"/>
      <c r="BQ424" s="35" t="s">
        <v>108</v>
      </c>
      <c r="BR424" s="36" t="e">
        <f>VLOOKUP(BQ424, Cat_Indicadores!B:C, 2, FALSE)</f>
        <v>#N/A</v>
      </c>
      <c r="BS424" s="35" t="s">
        <v>5592</v>
      </c>
      <c r="BT424" s="35"/>
    </row>
    <row r="425" spans="1:72">
      <c r="A425" s="29" t="s">
        <v>1729</v>
      </c>
      <c r="B425" s="30" t="s">
        <v>1730</v>
      </c>
      <c r="C425" s="31">
        <v>46283.48636574074</v>
      </c>
      <c r="D425" s="30">
        <v>92</v>
      </c>
      <c r="E425" s="30" t="s">
        <v>74</v>
      </c>
      <c r="F425" s="30" t="s">
        <v>75</v>
      </c>
      <c r="G425" s="30" t="s">
        <v>133</v>
      </c>
      <c r="H425" s="30" t="s">
        <v>77</v>
      </c>
      <c r="I425" s="30" t="s">
        <v>78</v>
      </c>
      <c r="J425" s="30" t="s">
        <v>79</v>
      </c>
      <c r="K425" s="32">
        <v>800</v>
      </c>
      <c r="L425" s="32" t="s">
        <v>80</v>
      </c>
      <c r="M425" s="30" t="s">
        <v>401</v>
      </c>
      <c r="N425" s="30" t="s">
        <v>402</v>
      </c>
      <c r="O425" s="30" t="s">
        <v>83</v>
      </c>
      <c r="P425" s="33">
        <v>46250</v>
      </c>
      <c r="Q425" s="33">
        <v>46250</v>
      </c>
      <c r="R425" s="32">
        <v>1</v>
      </c>
      <c r="S425" s="30" t="s">
        <v>84</v>
      </c>
      <c r="T425" s="30" t="s">
        <v>337</v>
      </c>
      <c r="U425" s="30" t="s">
        <v>338</v>
      </c>
      <c r="V425" s="30" t="s">
        <v>87</v>
      </c>
      <c r="W425" s="30" t="s">
        <v>88</v>
      </c>
      <c r="X425" s="30" t="s">
        <v>197</v>
      </c>
      <c r="Y425" s="30" t="s">
        <v>1063</v>
      </c>
      <c r="AB425" s="30" t="b">
        <v>0</v>
      </c>
      <c r="AC425" s="30"/>
      <c r="AD425" s="30" t="b">
        <v>0</v>
      </c>
      <c r="AF425" s="30" t="b">
        <v>0</v>
      </c>
      <c r="AH425" s="32" t="s">
        <v>91</v>
      </c>
      <c r="AI425" s="32"/>
      <c r="AJ425" s="32"/>
      <c r="AK425" s="32"/>
      <c r="AL425" s="30" t="s">
        <v>92</v>
      </c>
      <c r="AM425" s="30" t="s">
        <v>93</v>
      </c>
      <c r="AN425" s="30" t="s">
        <v>199</v>
      </c>
      <c r="AO425" s="30" t="s">
        <v>200</v>
      </c>
      <c r="AP425" s="30" t="s">
        <v>201</v>
      </c>
      <c r="AQ425" s="30" t="s">
        <v>202</v>
      </c>
      <c r="AR425" s="30" t="s">
        <v>145</v>
      </c>
      <c r="AT425" s="30" t="s">
        <v>99</v>
      </c>
      <c r="AU425" s="30" t="s">
        <v>100</v>
      </c>
      <c r="AV425" s="30" t="s">
        <v>101</v>
      </c>
      <c r="AW425" s="30" t="s">
        <v>102</v>
      </c>
      <c r="AX425" s="34" t="s">
        <v>338</v>
      </c>
      <c r="AY425" s="34" t="s">
        <v>103</v>
      </c>
      <c r="AZ425" s="34"/>
      <c r="BA425" s="34"/>
      <c r="BB425" s="34"/>
      <c r="BC425" s="34">
        <v>0</v>
      </c>
      <c r="BD425" s="34"/>
      <c r="BE425" s="34"/>
      <c r="BF425" s="34" t="b">
        <v>0</v>
      </c>
      <c r="BG425" s="34"/>
      <c r="BH425" s="34"/>
      <c r="BI425" s="34"/>
      <c r="BJ425" s="34"/>
      <c r="BK425" s="34"/>
      <c r="BL425" s="34"/>
      <c r="BM425" s="34" t="s">
        <v>168</v>
      </c>
      <c r="BN425" s="34"/>
      <c r="BO425" s="35"/>
      <c r="BP425" s="35"/>
      <c r="BQ425" s="35" t="s">
        <v>108</v>
      </c>
      <c r="BR425" s="36" t="e">
        <f>VLOOKUP(BQ425, Cat_Indicadores!B:C, 2, FALSE)</f>
        <v>#N/A</v>
      </c>
      <c r="BS425" s="35" t="s">
        <v>5592</v>
      </c>
      <c r="BT425" s="35"/>
    </row>
    <row r="426" spans="1:72">
      <c r="A426" s="29" t="s">
        <v>1731</v>
      </c>
      <c r="B426" s="30" t="s">
        <v>1732</v>
      </c>
      <c r="C426" s="31">
        <v>46283.490104166667</v>
      </c>
      <c r="D426" s="30">
        <v>92</v>
      </c>
      <c r="E426" s="30" t="s">
        <v>74</v>
      </c>
      <c r="F426" s="30" t="s">
        <v>75</v>
      </c>
      <c r="G426" s="30" t="s">
        <v>133</v>
      </c>
      <c r="H426" s="30" t="s">
        <v>77</v>
      </c>
      <c r="I426" s="30" t="s">
        <v>78</v>
      </c>
      <c r="J426" s="30" t="s">
        <v>79</v>
      </c>
      <c r="K426" s="32">
        <v>800</v>
      </c>
      <c r="L426" s="32" t="s">
        <v>80</v>
      </c>
      <c r="M426" s="30" t="s">
        <v>401</v>
      </c>
      <c r="N426" s="30" t="s">
        <v>402</v>
      </c>
      <c r="O426" s="30" t="s">
        <v>83</v>
      </c>
      <c r="P426" s="33">
        <v>46254</v>
      </c>
      <c r="Q426" s="33">
        <v>46254</v>
      </c>
      <c r="R426" s="32">
        <v>1</v>
      </c>
      <c r="S426" s="30" t="s">
        <v>84</v>
      </c>
      <c r="T426" s="30" t="s">
        <v>337</v>
      </c>
      <c r="U426" s="30" t="s">
        <v>338</v>
      </c>
      <c r="V426" s="30" t="s">
        <v>87</v>
      </c>
      <c r="W426" s="30" t="s">
        <v>88</v>
      </c>
      <c r="X426" s="30" t="s">
        <v>197</v>
      </c>
      <c r="Y426" s="30" t="s">
        <v>1063</v>
      </c>
      <c r="AB426" s="30" t="b">
        <v>0</v>
      </c>
      <c r="AC426" s="30"/>
      <c r="AD426" s="30" t="b">
        <v>0</v>
      </c>
      <c r="AF426" s="30" t="b">
        <v>0</v>
      </c>
      <c r="AH426" s="32" t="s">
        <v>91</v>
      </c>
      <c r="AI426" s="32"/>
      <c r="AJ426" s="32"/>
      <c r="AK426" s="32"/>
      <c r="AL426" s="30" t="s">
        <v>92</v>
      </c>
      <c r="AM426" s="30" t="s">
        <v>93</v>
      </c>
      <c r="AN426" s="30" t="s">
        <v>199</v>
      </c>
      <c r="AO426" s="30" t="s">
        <v>200</v>
      </c>
      <c r="AP426" s="30" t="s">
        <v>201</v>
      </c>
      <c r="AQ426" s="30" t="s">
        <v>202</v>
      </c>
      <c r="AR426" s="30" t="s">
        <v>145</v>
      </c>
      <c r="AT426" s="30" t="s">
        <v>99</v>
      </c>
      <c r="AU426" s="30" t="s">
        <v>100</v>
      </c>
      <c r="AV426" s="30" t="s">
        <v>101</v>
      </c>
      <c r="AW426" s="30" t="s">
        <v>102</v>
      </c>
      <c r="AX426" s="34" t="s">
        <v>338</v>
      </c>
      <c r="AY426" s="34" t="s">
        <v>103</v>
      </c>
      <c r="AZ426" s="34"/>
      <c r="BA426" s="34"/>
      <c r="BB426" s="34"/>
      <c r="BC426" s="34">
        <v>0</v>
      </c>
      <c r="BD426" s="34"/>
      <c r="BE426" s="34"/>
      <c r="BF426" s="34" t="b">
        <v>0</v>
      </c>
      <c r="BG426" s="34"/>
      <c r="BH426" s="34"/>
      <c r="BI426" s="34"/>
      <c r="BJ426" s="34"/>
      <c r="BK426" s="34"/>
      <c r="BL426" s="34"/>
      <c r="BM426" s="34" t="s">
        <v>168</v>
      </c>
      <c r="BN426" s="34"/>
      <c r="BO426" s="35"/>
      <c r="BP426" s="35"/>
      <c r="BQ426" s="35" t="s">
        <v>108</v>
      </c>
      <c r="BR426" s="36" t="e">
        <f>VLOOKUP(BQ426, Cat_Indicadores!B:C, 2, FALSE)</f>
        <v>#N/A</v>
      </c>
      <c r="BS426" s="35" t="s">
        <v>5592</v>
      </c>
      <c r="BT426" s="35"/>
    </row>
    <row r="427" spans="1:72">
      <c r="A427" s="29" t="s">
        <v>1733</v>
      </c>
      <c r="B427" s="30" t="s">
        <v>1734</v>
      </c>
      <c r="C427" s="31">
        <v>46283.509560185186</v>
      </c>
      <c r="D427" s="30">
        <v>71</v>
      </c>
      <c r="E427" s="30" t="s">
        <v>1711</v>
      </c>
      <c r="F427" s="30" t="s">
        <v>1712</v>
      </c>
      <c r="G427" s="30" t="s">
        <v>1735</v>
      </c>
      <c r="H427" s="30" t="s">
        <v>1392</v>
      </c>
      <c r="I427" s="30" t="s">
        <v>1714</v>
      </c>
      <c r="J427" s="30" t="s">
        <v>1736</v>
      </c>
      <c r="K427" s="32">
        <v>4</v>
      </c>
      <c r="L427" s="32" t="s">
        <v>211</v>
      </c>
      <c r="M427" s="30" t="s">
        <v>1737</v>
      </c>
      <c r="N427" s="30" t="s">
        <v>1738</v>
      </c>
      <c r="O427" s="30" t="s">
        <v>1371</v>
      </c>
      <c r="P427" s="33">
        <v>46095</v>
      </c>
      <c r="Q427" s="33">
        <v>46192</v>
      </c>
      <c r="R427" s="32">
        <v>97</v>
      </c>
      <c r="S427" s="30" t="s">
        <v>249</v>
      </c>
      <c r="T427" s="30" t="s">
        <v>313</v>
      </c>
      <c r="U427" s="30" t="s">
        <v>86</v>
      </c>
      <c r="V427" s="30" t="s">
        <v>87</v>
      </c>
      <c r="W427" s="30" t="s">
        <v>88</v>
      </c>
      <c r="X427" s="30" t="s">
        <v>1719</v>
      </c>
      <c r="AB427" s="30" t="b">
        <v>0</v>
      </c>
      <c r="AC427" s="30"/>
      <c r="AD427" s="30" t="b">
        <v>1</v>
      </c>
      <c r="AE427" s="30">
        <v>1</v>
      </c>
      <c r="AF427" s="30" t="b">
        <v>0</v>
      </c>
      <c r="AH427" s="32" t="s">
        <v>91</v>
      </c>
      <c r="AI427" s="32"/>
      <c r="AJ427" s="32"/>
      <c r="AK427" s="32"/>
      <c r="AL427" s="30" t="s">
        <v>1720</v>
      </c>
      <c r="AM427" s="30" t="s">
        <v>1739</v>
      </c>
      <c r="AN427" s="30" t="s">
        <v>94</v>
      </c>
      <c r="AO427" s="30" t="s">
        <v>95</v>
      </c>
      <c r="AP427" s="30" t="s">
        <v>95</v>
      </c>
      <c r="AQ427" s="30" t="s">
        <v>96</v>
      </c>
      <c r="AR427" s="30" t="s">
        <v>97</v>
      </c>
      <c r="AS427" s="30" t="s">
        <v>98</v>
      </c>
      <c r="AT427" s="30" t="s">
        <v>275</v>
      </c>
      <c r="AU427" s="30" t="s">
        <v>276</v>
      </c>
      <c r="AV427" s="30" t="s">
        <v>1740</v>
      </c>
      <c r="AW427" s="30" t="s">
        <v>278</v>
      </c>
      <c r="AX427" s="34" t="s">
        <v>86</v>
      </c>
      <c r="AY427" s="34" t="s">
        <v>149</v>
      </c>
      <c r="AZ427" s="34" t="s">
        <v>149</v>
      </c>
      <c r="BA427" s="34" t="s">
        <v>1741</v>
      </c>
      <c r="BB427" s="34">
        <v>5</v>
      </c>
      <c r="BC427" s="34">
        <v>2</v>
      </c>
      <c r="BD427" s="34" t="s">
        <v>1365</v>
      </c>
      <c r="BE427" s="34" t="s">
        <v>1742</v>
      </c>
      <c r="BF427" s="34" t="b">
        <v>1</v>
      </c>
      <c r="BG427" s="34" t="s">
        <v>1042</v>
      </c>
      <c r="BH427" s="34">
        <v>58500</v>
      </c>
      <c r="BI427" s="34"/>
      <c r="BJ427" s="34"/>
      <c r="BK427" s="34"/>
      <c r="BL427" s="34"/>
      <c r="BM427" s="34" t="s">
        <v>168</v>
      </c>
      <c r="BN427" s="34"/>
      <c r="BO427" s="35"/>
      <c r="BP427" s="35"/>
      <c r="BQ427" s="35" t="s">
        <v>108</v>
      </c>
      <c r="BR427" s="36" t="e">
        <f>VLOOKUP(BQ427, Cat_Indicadores!B:C, 2, FALSE)</f>
        <v>#N/A</v>
      </c>
      <c r="BS427" s="35" t="s">
        <v>5592</v>
      </c>
      <c r="BT427" s="35"/>
    </row>
    <row r="428" spans="1:72">
      <c r="A428" s="29" t="s">
        <v>1743</v>
      </c>
      <c r="B428" s="30" t="s">
        <v>1744</v>
      </c>
      <c r="C428" s="31">
        <v>46283.548067129632</v>
      </c>
      <c r="D428" s="30">
        <v>29</v>
      </c>
      <c r="E428" s="30" t="s">
        <v>1745</v>
      </c>
      <c r="F428" s="30" t="s">
        <v>1746</v>
      </c>
      <c r="G428" s="30" t="s">
        <v>1747</v>
      </c>
      <c r="H428" s="30" t="s">
        <v>1392</v>
      </c>
      <c r="I428" s="30" t="s">
        <v>1714</v>
      </c>
      <c r="J428" s="30" t="s">
        <v>1748</v>
      </c>
      <c r="K428" s="32">
        <v>16</v>
      </c>
      <c r="L428" s="32" t="s">
        <v>211</v>
      </c>
      <c r="M428" s="30" t="s">
        <v>1749</v>
      </c>
      <c r="N428" s="30" t="s">
        <v>1750</v>
      </c>
      <c r="O428" s="30" t="s">
        <v>1371</v>
      </c>
      <c r="P428" s="33">
        <v>46088</v>
      </c>
      <c r="Q428" s="33">
        <v>46120</v>
      </c>
      <c r="R428" s="32">
        <v>33</v>
      </c>
      <c r="S428" s="30" t="s">
        <v>243</v>
      </c>
      <c r="T428" s="30" t="s">
        <v>740</v>
      </c>
      <c r="U428" s="30" t="s">
        <v>86</v>
      </c>
      <c r="V428" s="30" t="s">
        <v>87</v>
      </c>
      <c r="W428" s="30" t="s">
        <v>88</v>
      </c>
      <c r="X428" s="30" t="s">
        <v>1719</v>
      </c>
      <c r="AB428" s="30" t="b">
        <v>0</v>
      </c>
      <c r="AC428" s="30"/>
      <c r="AD428" s="30" t="b">
        <v>1</v>
      </c>
      <c r="AE428" s="30">
        <v>1</v>
      </c>
      <c r="AF428" s="30" t="b">
        <v>0</v>
      </c>
      <c r="AH428" s="32" t="s">
        <v>91</v>
      </c>
      <c r="AI428" s="32"/>
      <c r="AJ428" s="32"/>
      <c r="AK428" s="32"/>
      <c r="AL428" s="30" t="s">
        <v>1720</v>
      </c>
      <c r="AM428" s="30" t="s">
        <v>755</v>
      </c>
      <c r="AN428" s="30" t="s">
        <v>94</v>
      </c>
      <c r="AO428" s="30" t="s">
        <v>95</v>
      </c>
      <c r="AP428" s="30" t="s">
        <v>95</v>
      </c>
      <c r="AQ428" s="30" t="s">
        <v>96</v>
      </c>
      <c r="AR428" s="30" t="s">
        <v>97</v>
      </c>
      <c r="AS428" s="30" t="s">
        <v>98</v>
      </c>
      <c r="AT428" s="30" t="s">
        <v>275</v>
      </c>
      <c r="AU428" s="30" t="s">
        <v>276</v>
      </c>
      <c r="AV428" s="30" t="s">
        <v>1740</v>
      </c>
      <c r="AW428" s="30" t="s">
        <v>278</v>
      </c>
      <c r="AX428" s="34" t="s">
        <v>86</v>
      </c>
      <c r="AY428" s="34" t="s">
        <v>149</v>
      </c>
      <c r="AZ428" s="34" t="s">
        <v>149</v>
      </c>
      <c r="BA428" s="34" t="s">
        <v>1751</v>
      </c>
      <c r="BB428" s="34">
        <v>6</v>
      </c>
      <c r="BC428" s="34">
        <v>1</v>
      </c>
      <c r="BD428" s="34" t="s">
        <v>185</v>
      </c>
      <c r="BE428" s="34" t="s">
        <v>1752</v>
      </c>
      <c r="BF428" s="34" t="b">
        <v>1</v>
      </c>
      <c r="BG428" s="34" t="s">
        <v>1042</v>
      </c>
      <c r="BH428" s="34">
        <v>78026</v>
      </c>
      <c r="BI428" s="34"/>
      <c r="BJ428" s="34"/>
      <c r="BK428" s="34"/>
      <c r="BL428" s="34"/>
      <c r="BM428" s="34" t="s">
        <v>168</v>
      </c>
      <c r="BN428" s="34"/>
      <c r="BO428" s="35"/>
      <c r="BP428" s="35"/>
      <c r="BQ428" s="35" t="s">
        <v>108</v>
      </c>
      <c r="BR428" s="36" t="e">
        <f>VLOOKUP(BQ428, Cat_Indicadores!B:C, 2, FALSE)</f>
        <v>#N/A</v>
      </c>
      <c r="BS428" s="35" t="s">
        <v>5592</v>
      </c>
      <c r="BT428" s="35"/>
    </row>
    <row r="429" spans="1:72">
      <c r="A429" s="29" t="s">
        <v>1753</v>
      </c>
      <c r="B429" s="30" t="s">
        <v>1754</v>
      </c>
      <c r="C429" s="31">
        <v>46283.554351851853</v>
      </c>
      <c r="D429" s="30">
        <v>71</v>
      </c>
      <c r="E429" s="30" t="s">
        <v>1711</v>
      </c>
      <c r="F429" s="30" t="s">
        <v>1712</v>
      </c>
      <c r="G429" s="30" t="s">
        <v>1735</v>
      </c>
      <c r="H429" s="30" t="s">
        <v>1392</v>
      </c>
      <c r="I429" s="30" t="s">
        <v>1714</v>
      </c>
      <c r="J429" s="30" t="s">
        <v>1736</v>
      </c>
      <c r="K429" s="32">
        <v>4</v>
      </c>
      <c r="L429" s="32" t="s">
        <v>80</v>
      </c>
      <c r="M429" s="30" t="s">
        <v>1755</v>
      </c>
      <c r="N429" s="30" t="s">
        <v>1756</v>
      </c>
      <c r="O429" s="30" t="s">
        <v>83</v>
      </c>
      <c r="P429" s="33">
        <v>46109</v>
      </c>
      <c r="Q429" s="33">
        <v>46109</v>
      </c>
      <c r="R429" s="32">
        <v>1</v>
      </c>
      <c r="S429" s="30" t="s">
        <v>249</v>
      </c>
      <c r="T429" s="30" t="s">
        <v>313</v>
      </c>
      <c r="U429" s="30" t="s">
        <v>86</v>
      </c>
      <c r="V429" s="30" t="s">
        <v>87</v>
      </c>
      <c r="W429" s="30" t="s">
        <v>88</v>
      </c>
      <c r="X429" s="30" t="s">
        <v>1719</v>
      </c>
      <c r="AB429" s="30" t="b">
        <v>0</v>
      </c>
      <c r="AC429" s="30"/>
      <c r="AD429" s="30" t="b">
        <v>1</v>
      </c>
      <c r="AE429" s="30">
        <v>1</v>
      </c>
      <c r="AF429" s="30" t="b">
        <v>0</v>
      </c>
      <c r="AH429" s="32" t="s">
        <v>91</v>
      </c>
      <c r="AI429" s="32"/>
      <c r="AJ429" s="32"/>
      <c r="AK429" s="32"/>
      <c r="AL429" s="30" t="s">
        <v>1720</v>
      </c>
      <c r="AM429" s="30" t="s">
        <v>141</v>
      </c>
      <c r="AN429" s="30" t="s">
        <v>94</v>
      </c>
      <c r="AO429" s="30" t="s">
        <v>142</v>
      </c>
      <c r="AP429" s="30" t="s">
        <v>143</v>
      </c>
      <c r="AQ429" s="30" t="s">
        <v>232</v>
      </c>
      <c r="AR429" s="30" t="s">
        <v>97</v>
      </c>
      <c r="AS429" s="30" t="s">
        <v>98</v>
      </c>
      <c r="AT429" s="30" t="s">
        <v>275</v>
      </c>
      <c r="AU429" s="30" t="s">
        <v>276</v>
      </c>
      <c r="AV429" s="30" t="s">
        <v>1740</v>
      </c>
      <c r="AW429" s="30" t="s">
        <v>278</v>
      </c>
      <c r="AX429" s="34" t="s">
        <v>86</v>
      </c>
      <c r="AY429" s="34" t="s">
        <v>149</v>
      </c>
      <c r="AZ429" s="34" t="s">
        <v>149</v>
      </c>
      <c r="BA429" s="34" t="s">
        <v>1757</v>
      </c>
      <c r="BB429" s="34">
        <v>5</v>
      </c>
      <c r="BC429" s="34">
        <v>2</v>
      </c>
      <c r="BD429" s="34" t="s">
        <v>1365</v>
      </c>
      <c r="BE429" s="34" t="s">
        <v>1758</v>
      </c>
      <c r="BF429" s="34" t="b">
        <v>1</v>
      </c>
      <c r="BG429" s="34" t="s">
        <v>1042</v>
      </c>
      <c r="BH429" s="34">
        <v>45000</v>
      </c>
      <c r="BI429" s="34"/>
      <c r="BJ429" s="34"/>
      <c r="BK429" s="34"/>
      <c r="BL429" s="34"/>
      <c r="BM429" s="34" t="s">
        <v>168</v>
      </c>
      <c r="BN429" s="34"/>
      <c r="BO429" s="35"/>
      <c r="BP429" s="35"/>
      <c r="BQ429" s="35" t="s">
        <v>108</v>
      </c>
      <c r="BR429" s="36" t="e">
        <f>VLOOKUP(BQ429, Cat_Indicadores!B:C, 2, FALSE)</f>
        <v>#N/A</v>
      </c>
      <c r="BS429" s="35" t="s">
        <v>5592</v>
      </c>
      <c r="BT429" s="35"/>
    </row>
    <row r="430" spans="1:72">
      <c r="A430" s="29" t="s">
        <v>1759</v>
      </c>
      <c r="B430" s="30" t="s">
        <v>1760</v>
      </c>
      <c r="C430" s="31">
        <v>46283.63622685185</v>
      </c>
      <c r="D430" s="30">
        <v>29</v>
      </c>
      <c r="E430" s="30" t="s">
        <v>1745</v>
      </c>
      <c r="F430" s="30" t="s">
        <v>1746</v>
      </c>
      <c r="G430" s="30" t="s">
        <v>1747</v>
      </c>
      <c r="H430" s="30" t="s">
        <v>1392</v>
      </c>
      <c r="I430" s="30" t="s">
        <v>1714</v>
      </c>
      <c r="J430" s="30" t="s">
        <v>1748</v>
      </c>
      <c r="K430" s="32">
        <v>16</v>
      </c>
      <c r="L430" s="32" t="s">
        <v>211</v>
      </c>
      <c r="M430" s="30" t="s">
        <v>1761</v>
      </c>
      <c r="N430" s="30" t="s">
        <v>1762</v>
      </c>
      <c r="O430" s="30" t="s">
        <v>1371</v>
      </c>
      <c r="P430" s="33">
        <v>46130</v>
      </c>
      <c r="Q430" s="33">
        <v>46159</v>
      </c>
      <c r="R430" s="32">
        <v>30</v>
      </c>
      <c r="S430" s="30" t="s">
        <v>243</v>
      </c>
      <c r="T430" s="30" t="s">
        <v>740</v>
      </c>
      <c r="U430" s="30" t="s">
        <v>86</v>
      </c>
      <c r="V430" s="30" t="s">
        <v>87</v>
      </c>
      <c r="W430" s="30" t="s">
        <v>88</v>
      </c>
      <c r="X430" s="30" t="s">
        <v>1719</v>
      </c>
      <c r="AB430" s="30" t="b">
        <v>0</v>
      </c>
      <c r="AC430" s="30"/>
      <c r="AD430" s="30" t="b">
        <v>1</v>
      </c>
      <c r="AE430" s="30">
        <v>1</v>
      </c>
      <c r="AF430" s="30" t="b">
        <v>0</v>
      </c>
      <c r="AH430" s="32" t="s">
        <v>91</v>
      </c>
      <c r="AI430" s="32"/>
      <c r="AJ430" s="32"/>
      <c r="AK430" s="32"/>
      <c r="AL430" s="30" t="s">
        <v>1720</v>
      </c>
      <c r="AM430" s="30" t="s">
        <v>755</v>
      </c>
      <c r="AN430" s="30" t="s">
        <v>94</v>
      </c>
      <c r="AO430" s="30" t="s">
        <v>95</v>
      </c>
      <c r="AP430" s="30" t="s">
        <v>95</v>
      </c>
      <c r="AQ430" s="30" t="s">
        <v>96</v>
      </c>
      <c r="AR430" s="30" t="s">
        <v>97</v>
      </c>
      <c r="AS430" s="30" t="s">
        <v>98</v>
      </c>
      <c r="AT430" s="30" t="s">
        <v>275</v>
      </c>
      <c r="AU430" s="30" t="s">
        <v>276</v>
      </c>
      <c r="AV430" s="30" t="s">
        <v>1740</v>
      </c>
      <c r="AW430" s="30" t="s">
        <v>278</v>
      </c>
      <c r="AX430" s="34" t="s">
        <v>86</v>
      </c>
      <c r="AY430" s="34" t="s">
        <v>149</v>
      </c>
      <c r="AZ430" s="34" t="s">
        <v>149</v>
      </c>
      <c r="BA430" s="34" t="s">
        <v>1763</v>
      </c>
      <c r="BB430" s="34">
        <v>6</v>
      </c>
      <c r="BC430" s="34">
        <v>1</v>
      </c>
      <c r="BD430" s="34" t="s">
        <v>1365</v>
      </c>
      <c r="BE430" s="34" t="s">
        <v>1764</v>
      </c>
      <c r="BF430" s="34" t="b">
        <v>1</v>
      </c>
      <c r="BG430" s="34" t="s">
        <v>1042</v>
      </c>
      <c r="BH430" s="34">
        <v>41440</v>
      </c>
      <c r="BI430" s="34"/>
      <c r="BJ430" s="34"/>
      <c r="BK430" s="34"/>
      <c r="BL430" s="34"/>
      <c r="BM430" s="34" t="s">
        <v>168</v>
      </c>
      <c r="BN430" s="34"/>
      <c r="BO430" s="35"/>
      <c r="BP430" s="35"/>
      <c r="BQ430" s="35" t="s">
        <v>108</v>
      </c>
      <c r="BR430" s="36" t="e">
        <f>VLOOKUP(BQ430, Cat_Indicadores!B:C, 2, FALSE)</f>
        <v>#N/A</v>
      </c>
      <c r="BS430" s="35" t="s">
        <v>5592</v>
      </c>
      <c r="BT430" s="35"/>
    </row>
    <row r="431" spans="1:72">
      <c r="A431" s="29" t="s">
        <v>1765</v>
      </c>
      <c r="B431" s="30" t="s">
        <v>1766</v>
      </c>
      <c r="C431" s="31">
        <v>46283.672719907408</v>
      </c>
      <c r="D431" s="30">
        <v>72</v>
      </c>
      <c r="E431" s="30" t="s">
        <v>1711</v>
      </c>
      <c r="F431" s="30" t="s">
        <v>1712</v>
      </c>
      <c r="G431" s="30" t="s">
        <v>1767</v>
      </c>
      <c r="H431" s="30" t="s">
        <v>1392</v>
      </c>
      <c r="I431" s="30" t="s">
        <v>1714</v>
      </c>
      <c r="J431" s="30" t="s">
        <v>1736</v>
      </c>
      <c r="K431" s="32">
        <v>4</v>
      </c>
      <c r="L431" s="32" t="s">
        <v>211</v>
      </c>
      <c r="M431" s="30" t="s">
        <v>1768</v>
      </c>
      <c r="N431" s="30" t="s">
        <v>1769</v>
      </c>
      <c r="O431" s="30" t="s">
        <v>1371</v>
      </c>
      <c r="P431" s="33">
        <v>46174</v>
      </c>
      <c r="Q431" s="33">
        <v>46195</v>
      </c>
      <c r="R431" s="32">
        <v>22</v>
      </c>
      <c r="S431" s="30" t="s">
        <v>243</v>
      </c>
      <c r="T431" s="30" t="s">
        <v>740</v>
      </c>
      <c r="U431" s="30" t="s">
        <v>86</v>
      </c>
      <c r="V431" s="30" t="s">
        <v>87</v>
      </c>
      <c r="W431" s="30" t="s">
        <v>1374</v>
      </c>
      <c r="X431" s="30" t="s">
        <v>1770</v>
      </c>
      <c r="AB431" s="30" t="b">
        <v>0</v>
      </c>
      <c r="AC431" s="30"/>
      <c r="AD431" s="30" t="b">
        <v>1</v>
      </c>
      <c r="AE431" s="30">
        <v>1</v>
      </c>
      <c r="AF431" s="30" t="b">
        <v>0</v>
      </c>
      <c r="AH431" s="32" t="s">
        <v>91</v>
      </c>
      <c r="AI431" s="32"/>
      <c r="AJ431" s="32"/>
      <c r="AK431" s="32"/>
      <c r="AL431" s="30" t="s">
        <v>1720</v>
      </c>
      <c r="AM431" s="30" t="s">
        <v>141</v>
      </c>
      <c r="AN431" s="30" t="s">
        <v>94</v>
      </c>
      <c r="AO431" s="30" t="s">
        <v>95</v>
      </c>
      <c r="AP431" s="30" t="s">
        <v>95</v>
      </c>
      <c r="AQ431" s="30" t="s">
        <v>96</v>
      </c>
      <c r="AR431" s="30" t="s">
        <v>97</v>
      </c>
      <c r="AS431" s="30" t="s">
        <v>98</v>
      </c>
      <c r="AT431" s="30" t="s">
        <v>275</v>
      </c>
      <c r="AU431" s="30" t="s">
        <v>276</v>
      </c>
      <c r="AV431" s="30" t="s">
        <v>1740</v>
      </c>
      <c r="AW431" s="30" t="s">
        <v>278</v>
      </c>
      <c r="AX431" s="34" t="s">
        <v>86</v>
      </c>
      <c r="AY431" s="34" t="s">
        <v>149</v>
      </c>
      <c r="AZ431" s="34" t="s">
        <v>149</v>
      </c>
      <c r="BA431" s="34" t="s">
        <v>1771</v>
      </c>
      <c r="BB431" s="34">
        <v>5</v>
      </c>
      <c r="BC431" s="34">
        <v>1</v>
      </c>
      <c r="BD431" s="34" t="s">
        <v>185</v>
      </c>
      <c r="BE431" s="34" t="s">
        <v>1772</v>
      </c>
      <c r="BF431" s="34" t="b">
        <v>1</v>
      </c>
      <c r="BG431" s="34" t="s">
        <v>1042</v>
      </c>
      <c r="BH431" s="34">
        <v>13920</v>
      </c>
      <c r="BI431" s="34"/>
      <c r="BJ431" s="34"/>
      <c r="BK431" s="34"/>
      <c r="BL431" s="34"/>
      <c r="BM431" s="34" t="s">
        <v>168</v>
      </c>
      <c r="BN431" s="34"/>
      <c r="BO431" s="35"/>
      <c r="BP431" s="35"/>
      <c r="BQ431" s="35" t="s">
        <v>108</v>
      </c>
      <c r="BR431" s="36" t="e">
        <f>VLOOKUP(BQ431, Cat_Indicadores!B:C, 2, FALSE)</f>
        <v>#N/A</v>
      </c>
      <c r="BS431" s="35" t="s">
        <v>5592</v>
      </c>
      <c r="BT431" s="35"/>
    </row>
    <row r="432" spans="1:72">
      <c r="A432" s="29" t="s">
        <v>1773</v>
      </c>
      <c r="B432" s="30" t="s">
        <v>1774</v>
      </c>
      <c r="C432" s="31">
        <v>46283.690474537034</v>
      </c>
      <c r="D432" s="30">
        <v>29</v>
      </c>
      <c r="E432" s="30" t="s">
        <v>1745</v>
      </c>
      <c r="F432" s="30" t="s">
        <v>1746</v>
      </c>
      <c r="G432" s="30" t="s">
        <v>1747</v>
      </c>
      <c r="H432" s="30" t="s">
        <v>1392</v>
      </c>
      <c r="I432" s="30" t="s">
        <v>1714</v>
      </c>
      <c r="J432" s="30" t="s">
        <v>1748</v>
      </c>
      <c r="K432" s="32">
        <v>16</v>
      </c>
      <c r="L432" s="32" t="s">
        <v>211</v>
      </c>
      <c r="M432" s="30" t="s">
        <v>1775</v>
      </c>
      <c r="N432" s="30" t="s">
        <v>1776</v>
      </c>
      <c r="O432" s="30" t="s">
        <v>83</v>
      </c>
      <c r="P432" s="33">
        <v>46200</v>
      </c>
      <c r="Q432" s="33">
        <v>46200</v>
      </c>
      <c r="R432" s="32">
        <v>1</v>
      </c>
      <c r="S432" s="30" t="s">
        <v>264</v>
      </c>
      <c r="T432" s="30" t="s">
        <v>1777</v>
      </c>
      <c r="U432" s="30" t="s">
        <v>86</v>
      </c>
      <c r="V432" s="30" t="s">
        <v>87</v>
      </c>
      <c r="W432" s="30" t="s">
        <v>88</v>
      </c>
      <c r="X432" s="30" t="s">
        <v>1719</v>
      </c>
      <c r="AB432" s="30" t="b">
        <v>0</v>
      </c>
      <c r="AC432" s="30"/>
      <c r="AD432" s="30" t="b">
        <v>1</v>
      </c>
      <c r="AE432" s="30">
        <v>1</v>
      </c>
      <c r="AF432" s="30" t="b">
        <v>0</v>
      </c>
      <c r="AH432" s="32" t="s">
        <v>91</v>
      </c>
      <c r="AI432" s="32"/>
      <c r="AJ432" s="32"/>
      <c r="AK432" s="32"/>
      <c r="AL432" s="30" t="s">
        <v>1720</v>
      </c>
      <c r="AM432" s="30" t="s">
        <v>755</v>
      </c>
      <c r="AN432" s="30" t="s">
        <v>94</v>
      </c>
      <c r="AO432" s="30" t="s">
        <v>95</v>
      </c>
      <c r="AP432" s="30" t="s">
        <v>95</v>
      </c>
      <c r="AQ432" s="30" t="s">
        <v>96</v>
      </c>
      <c r="AR432" s="30" t="s">
        <v>691</v>
      </c>
      <c r="AT432" s="30" t="s">
        <v>99</v>
      </c>
      <c r="AU432" s="30" t="s">
        <v>146</v>
      </c>
      <c r="AV432" s="30" t="s">
        <v>233</v>
      </c>
      <c r="AW432" s="30" t="s">
        <v>102</v>
      </c>
      <c r="AX432" s="34" t="s">
        <v>86</v>
      </c>
      <c r="AY432" s="34" t="s">
        <v>149</v>
      </c>
      <c r="AZ432" s="34" t="s">
        <v>149</v>
      </c>
      <c r="BA432" s="34" t="s">
        <v>1778</v>
      </c>
      <c r="BB432" s="34">
        <v>5</v>
      </c>
      <c r="BC432" s="34">
        <v>1</v>
      </c>
      <c r="BD432" s="34" t="s">
        <v>185</v>
      </c>
      <c r="BE432" s="34" t="s">
        <v>1779</v>
      </c>
      <c r="BF432" s="34" t="b">
        <v>1</v>
      </c>
      <c r="BG432" s="34" t="s">
        <v>1042</v>
      </c>
      <c r="BH432" s="34">
        <v>60668</v>
      </c>
      <c r="BI432" s="34"/>
      <c r="BJ432" s="34"/>
      <c r="BK432" s="34"/>
      <c r="BL432" s="34"/>
      <c r="BM432" s="34" t="s">
        <v>168</v>
      </c>
      <c r="BN432" s="34"/>
      <c r="BO432" s="35"/>
      <c r="BP432" s="35"/>
      <c r="BQ432" s="35" t="s">
        <v>108</v>
      </c>
      <c r="BR432" s="36" t="e">
        <f>VLOOKUP(BQ432, Cat_Indicadores!B:C, 2, FALSE)</f>
        <v>#N/A</v>
      </c>
      <c r="BS432" s="35" t="s">
        <v>5592</v>
      </c>
      <c r="BT432" s="35"/>
    </row>
    <row r="433" spans="1:72">
      <c r="A433" s="29" t="s">
        <v>1780</v>
      </c>
      <c r="B433" s="30" t="s">
        <v>1781</v>
      </c>
      <c r="C433" s="31">
        <v>46283.701527777775</v>
      </c>
      <c r="D433" s="30">
        <v>71</v>
      </c>
      <c r="E433" s="30" t="s">
        <v>1711</v>
      </c>
      <c r="F433" s="30" t="s">
        <v>1712</v>
      </c>
      <c r="G433" s="30" t="s">
        <v>1735</v>
      </c>
      <c r="H433" s="30" t="s">
        <v>1392</v>
      </c>
      <c r="I433" s="30" t="s">
        <v>1714</v>
      </c>
      <c r="J433" s="30" t="s">
        <v>1736</v>
      </c>
      <c r="K433" s="32">
        <v>4</v>
      </c>
      <c r="L433" s="32" t="s">
        <v>211</v>
      </c>
      <c r="M433" s="30" t="s">
        <v>1782</v>
      </c>
      <c r="N433" s="30" t="s">
        <v>1783</v>
      </c>
      <c r="O433" s="30" t="s">
        <v>1371</v>
      </c>
      <c r="P433" s="33">
        <v>46099</v>
      </c>
      <c r="Q433" s="33">
        <v>46102</v>
      </c>
      <c r="R433" s="32">
        <v>4</v>
      </c>
      <c r="S433" s="30" t="s">
        <v>243</v>
      </c>
      <c r="T433" s="30" t="s">
        <v>244</v>
      </c>
      <c r="U433" s="30" t="s">
        <v>86</v>
      </c>
      <c r="V433" s="30" t="s">
        <v>87</v>
      </c>
      <c r="W433" s="30" t="s">
        <v>1041</v>
      </c>
      <c r="X433" s="30" t="s">
        <v>1719</v>
      </c>
      <c r="AB433" s="30" t="b">
        <v>0</v>
      </c>
      <c r="AC433" s="30"/>
      <c r="AD433" s="30" t="b">
        <v>1</v>
      </c>
      <c r="AE433" s="30">
        <v>1</v>
      </c>
      <c r="AF433" s="30" t="b">
        <v>0</v>
      </c>
      <c r="AH433" s="32" t="s">
        <v>91</v>
      </c>
      <c r="AI433" s="32"/>
      <c r="AJ433" s="32"/>
      <c r="AK433" s="32"/>
      <c r="AL433" s="30" t="s">
        <v>1720</v>
      </c>
      <c r="AM433" s="30" t="s">
        <v>141</v>
      </c>
      <c r="AN433" s="30" t="s">
        <v>199</v>
      </c>
      <c r="AO433" s="30" t="s">
        <v>200</v>
      </c>
      <c r="AP433" s="30" t="s">
        <v>201</v>
      </c>
      <c r="AQ433" s="30" t="s">
        <v>202</v>
      </c>
      <c r="AR433" s="30" t="s">
        <v>97</v>
      </c>
      <c r="AS433" s="30" t="s">
        <v>98</v>
      </c>
      <c r="AT433" s="30" t="s">
        <v>275</v>
      </c>
      <c r="AU433" s="30" t="s">
        <v>276</v>
      </c>
      <c r="AV433" s="30" t="s">
        <v>1740</v>
      </c>
      <c r="AW433" s="30" t="s">
        <v>278</v>
      </c>
      <c r="AX433" s="34" t="s">
        <v>86</v>
      </c>
      <c r="AY433" s="34" t="s">
        <v>149</v>
      </c>
      <c r="AZ433" s="34" t="s">
        <v>149</v>
      </c>
      <c r="BA433" s="34" t="s">
        <v>1784</v>
      </c>
      <c r="BB433" s="34">
        <v>5</v>
      </c>
      <c r="BC433" s="34">
        <v>3</v>
      </c>
      <c r="BD433" s="34" t="s">
        <v>1365</v>
      </c>
      <c r="BE433" s="34" t="s">
        <v>1785</v>
      </c>
      <c r="BF433" s="34" t="b">
        <v>1</v>
      </c>
      <c r="BG433" s="34" t="s">
        <v>1042</v>
      </c>
      <c r="BH433" s="34">
        <v>108000</v>
      </c>
      <c r="BI433" s="34"/>
      <c r="BJ433" s="34"/>
      <c r="BK433" s="34"/>
      <c r="BL433" s="34" t="s">
        <v>1786</v>
      </c>
      <c r="BM433" s="34" t="s">
        <v>168</v>
      </c>
      <c r="BN433" s="34" t="s">
        <v>107</v>
      </c>
      <c r="BO433" s="35"/>
      <c r="BP433" s="35"/>
      <c r="BQ433" s="35" t="s">
        <v>108</v>
      </c>
      <c r="BR433" s="36" t="e">
        <f>VLOOKUP(BQ433, Cat_Indicadores!B:C, 2, FALSE)</f>
        <v>#N/A</v>
      </c>
      <c r="BS433" s="35" t="s">
        <v>5592</v>
      </c>
      <c r="BT433" s="35"/>
    </row>
    <row r="434" spans="1:72">
      <c r="A434" s="29" t="s">
        <v>1787</v>
      </c>
      <c r="B434" s="30" t="s">
        <v>1788</v>
      </c>
      <c r="C434" s="31">
        <v>46286.460578703707</v>
      </c>
      <c r="D434" s="30">
        <v>29</v>
      </c>
      <c r="E434" s="30" t="s">
        <v>1745</v>
      </c>
      <c r="F434" s="30" t="s">
        <v>1746</v>
      </c>
      <c r="G434" s="30" t="s">
        <v>1747</v>
      </c>
      <c r="H434" s="30" t="s">
        <v>1392</v>
      </c>
      <c r="I434" s="30" t="s">
        <v>1714</v>
      </c>
      <c r="J434" s="30" t="s">
        <v>1748</v>
      </c>
      <c r="K434" s="32">
        <v>16</v>
      </c>
      <c r="L434" s="32" t="s">
        <v>211</v>
      </c>
      <c r="M434" s="30" t="s">
        <v>1789</v>
      </c>
      <c r="N434" s="30" t="s">
        <v>1790</v>
      </c>
      <c r="O434" s="30" t="s">
        <v>83</v>
      </c>
      <c r="P434" s="33">
        <v>46200</v>
      </c>
      <c r="Q434" s="33">
        <v>46200</v>
      </c>
      <c r="R434" s="32">
        <v>1</v>
      </c>
      <c r="S434" s="30" t="s">
        <v>243</v>
      </c>
      <c r="T434" s="30" t="s">
        <v>662</v>
      </c>
      <c r="U434" s="30" t="s">
        <v>86</v>
      </c>
      <c r="V434" s="30" t="s">
        <v>87</v>
      </c>
      <c r="W434" s="30" t="s">
        <v>88</v>
      </c>
      <c r="X434" s="30" t="s">
        <v>1719</v>
      </c>
      <c r="AB434" s="30" t="b">
        <v>0</v>
      </c>
      <c r="AC434" s="30"/>
      <c r="AD434" s="30" t="b">
        <v>1</v>
      </c>
      <c r="AE434" s="30">
        <v>1</v>
      </c>
      <c r="AF434" s="30" t="b">
        <v>0</v>
      </c>
      <c r="AH434" s="32" t="s">
        <v>91</v>
      </c>
      <c r="AI434" s="32"/>
      <c r="AJ434" s="32"/>
      <c r="AK434" s="32"/>
      <c r="AL434" s="30" t="s">
        <v>1720</v>
      </c>
      <c r="AM434" s="30" t="s">
        <v>755</v>
      </c>
      <c r="AN434" s="30" t="s">
        <v>94</v>
      </c>
      <c r="AO434" s="30" t="s">
        <v>95</v>
      </c>
      <c r="AP434" s="30" t="s">
        <v>95</v>
      </c>
      <c r="AQ434" s="30" t="s">
        <v>96</v>
      </c>
      <c r="AR434" s="30" t="s">
        <v>691</v>
      </c>
      <c r="AT434" s="30" t="s">
        <v>99</v>
      </c>
      <c r="AU434" s="30" t="s">
        <v>146</v>
      </c>
      <c r="AV434" s="30" t="s">
        <v>233</v>
      </c>
      <c r="AW434" s="30" t="s">
        <v>102</v>
      </c>
      <c r="AX434" s="34" t="s">
        <v>86</v>
      </c>
      <c r="AY434" s="34" t="s">
        <v>149</v>
      </c>
      <c r="AZ434" s="34" t="s">
        <v>149</v>
      </c>
      <c r="BA434" s="34" t="s">
        <v>1791</v>
      </c>
      <c r="BB434" s="34">
        <v>5</v>
      </c>
      <c r="BC434" s="34">
        <v>1</v>
      </c>
      <c r="BD434" s="34" t="s">
        <v>185</v>
      </c>
      <c r="BE434" s="34" t="s">
        <v>1792</v>
      </c>
      <c r="BF434" s="34" t="b">
        <v>1</v>
      </c>
      <c r="BG434" s="34" t="s">
        <v>1042</v>
      </c>
      <c r="BH434" s="34">
        <v>60668</v>
      </c>
      <c r="BI434" s="34"/>
      <c r="BJ434" s="34"/>
      <c r="BK434" s="34"/>
      <c r="BL434" s="34"/>
      <c r="BM434" s="34" t="s">
        <v>168</v>
      </c>
      <c r="BN434" s="34"/>
      <c r="BO434" s="35"/>
      <c r="BP434" s="35"/>
      <c r="BQ434" s="35" t="s">
        <v>108</v>
      </c>
      <c r="BR434" s="36" t="e">
        <f>VLOOKUP(BQ434, Cat_Indicadores!B:C, 2, FALSE)</f>
        <v>#N/A</v>
      </c>
      <c r="BS434" s="35" t="s">
        <v>5592</v>
      </c>
      <c r="BT434" s="35"/>
    </row>
    <row r="435" spans="1:72">
      <c r="A435" s="29" t="s">
        <v>1793</v>
      </c>
      <c r="B435" s="30" t="s">
        <v>1794</v>
      </c>
      <c r="C435" s="31">
        <v>46286.458506944444</v>
      </c>
      <c r="D435" s="30">
        <v>75</v>
      </c>
      <c r="E435" s="30" t="s">
        <v>1711</v>
      </c>
      <c r="F435" s="30" t="s">
        <v>1712</v>
      </c>
      <c r="G435" s="30" t="s">
        <v>1795</v>
      </c>
      <c r="H435" s="30" t="s">
        <v>1392</v>
      </c>
      <c r="I435" s="30" t="s">
        <v>1714</v>
      </c>
      <c r="J435" s="30" t="s">
        <v>1736</v>
      </c>
      <c r="K435" s="32">
        <v>4</v>
      </c>
      <c r="L435" s="32" t="s">
        <v>211</v>
      </c>
      <c r="M435" s="30" t="s">
        <v>1796</v>
      </c>
      <c r="N435" s="30" t="s">
        <v>1797</v>
      </c>
      <c r="O435" s="30" t="s">
        <v>1371</v>
      </c>
      <c r="P435" s="33">
        <v>46158</v>
      </c>
      <c r="Q435" s="33">
        <v>46171</v>
      </c>
      <c r="R435" s="32">
        <v>14</v>
      </c>
      <c r="S435" s="30" t="s">
        <v>243</v>
      </c>
      <c r="T435" s="30" t="s">
        <v>244</v>
      </c>
      <c r="U435" s="30" t="s">
        <v>86</v>
      </c>
      <c r="V435" s="30" t="s">
        <v>87</v>
      </c>
      <c r="W435" s="30" t="s">
        <v>1041</v>
      </c>
      <c r="X435" s="30" t="s">
        <v>1719</v>
      </c>
      <c r="AB435" s="30" t="b">
        <v>0</v>
      </c>
      <c r="AC435" s="30"/>
      <c r="AD435" s="30" t="b">
        <v>1</v>
      </c>
      <c r="AE435" s="30">
        <v>1</v>
      </c>
      <c r="AF435" s="30" t="b">
        <v>0</v>
      </c>
      <c r="AH435" s="32" t="s">
        <v>91</v>
      </c>
      <c r="AI435" s="32"/>
      <c r="AJ435" s="32"/>
      <c r="AK435" s="32"/>
      <c r="AL435" s="30" t="s">
        <v>1720</v>
      </c>
      <c r="AM435" s="30" t="s">
        <v>141</v>
      </c>
      <c r="AN435" s="30" t="s">
        <v>94</v>
      </c>
      <c r="AO435" s="30" t="s">
        <v>142</v>
      </c>
      <c r="AP435" s="30" t="s">
        <v>143</v>
      </c>
      <c r="AQ435" s="30" t="s">
        <v>232</v>
      </c>
      <c r="AR435" s="30" t="s">
        <v>97</v>
      </c>
      <c r="AS435" s="30" t="s">
        <v>98</v>
      </c>
      <c r="AT435" s="30" t="s">
        <v>275</v>
      </c>
      <c r="AU435" s="30" t="s">
        <v>276</v>
      </c>
      <c r="AV435" s="30" t="s">
        <v>1740</v>
      </c>
      <c r="AW435" s="30" t="s">
        <v>278</v>
      </c>
      <c r="AX435" s="34" t="s">
        <v>86</v>
      </c>
      <c r="AY435" s="34" t="s">
        <v>149</v>
      </c>
      <c r="AZ435" s="34" t="s">
        <v>149</v>
      </c>
      <c r="BA435" s="34" t="s">
        <v>1798</v>
      </c>
      <c r="BB435" s="34">
        <v>5</v>
      </c>
      <c r="BC435" s="34">
        <v>2</v>
      </c>
      <c r="BD435" s="34" t="s">
        <v>1365</v>
      </c>
      <c r="BE435" s="34" t="s">
        <v>1799</v>
      </c>
      <c r="BF435" s="34" t="b">
        <v>1</v>
      </c>
      <c r="BG435" s="34" t="s">
        <v>1042</v>
      </c>
      <c r="BH435" s="34">
        <v>31902.07</v>
      </c>
      <c r="BI435" s="34"/>
      <c r="BJ435" s="34"/>
      <c r="BK435" s="34"/>
      <c r="BL435" s="34"/>
      <c r="BM435" s="34" t="s">
        <v>168</v>
      </c>
      <c r="BN435" s="34"/>
      <c r="BO435" s="35"/>
      <c r="BP435" s="35"/>
      <c r="BQ435" s="35" t="s">
        <v>108</v>
      </c>
      <c r="BR435" s="36" t="e">
        <f>VLOOKUP(BQ435, Cat_Indicadores!B:C, 2, FALSE)</f>
        <v>#N/A</v>
      </c>
      <c r="BS435" s="35" t="s">
        <v>5592</v>
      </c>
      <c r="BT435" s="35"/>
    </row>
    <row r="436" spans="1:72">
      <c r="A436" s="29" t="s">
        <v>1800</v>
      </c>
      <c r="B436" s="30" t="s">
        <v>1801</v>
      </c>
      <c r="C436" s="31">
        <v>46286.491203703707</v>
      </c>
      <c r="D436" s="30">
        <v>75</v>
      </c>
      <c r="E436" s="30" t="s">
        <v>1711</v>
      </c>
      <c r="F436" s="30" t="s">
        <v>1712</v>
      </c>
      <c r="G436" s="30" t="s">
        <v>1795</v>
      </c>
      <c r="H436" s="30" t="s">
        <v>1392</v>
      </c>
      <c r="I436" s="30" t="s">
        <v>1714</v>
      </c>
      <c r="J436" s="30" t="s">
        <v>1736</v>
      </c>
      <c r="K436" s="32">
        <v>4</v>
      </c>
      <c r="L436" s="32" t="s">
        <v>211</v>
      </c>
      <c r="M436" s="30" t="s">
        <v>1802</v>
      </c>
      <c r="N436" s="30" t="s">
        <v>1803</v>
      </c>
      <c r="O436" s="30" t="s">
        <v>1371</v>
      </c>
      <c r="P436" s="33">
        <v>46091</v>
      </c>
      <c r="Q436" s="33">
        <v>46110</v>
      </c>
      <c r="R436" s="32">
        <v>8</v>
      </c>
      <c r="S436" s="30" t="s">
        <v>243</v>
      </c>
      <c r="T436" s="30" t="s">
        <v>244</v>
      </c>
      <c r="U436" s="30" t="s">
        <v>86</v>
      </c>
      <c r="V436" s="30" t="s">
        <v>87</v>
      </c>
      <c r="W436" s="30" t="s">
        <v>1041</v>
      </c>
      <c r="X436" s="30" t="s">
        <v>1719</v>
      </c>
      <c r="AB436" s="30" t="b">
        <v>0</v>
      </c>
      <c r="AC436" s="30"/>
      <c r="AD436" s="30" t="b">
        <v>1</v>
      </c>
      <c r="AE436" s="30">
        <v>1</v>
      </c>
      <c r="AF436" s="30" t="b">
        <v>0</v>
      </c>
      <c r="AH436" s="32" t="s">
        <v>91</v>
      </c>
      <c r="AI436" s="32"/>
      <c r="AJ436" s="32"/>
      <c r="AK436" s="32"/>
      <c r="AL436" s="30" t="s">
        <v>1720</v>
      </c>
      <c r="AM436" s="30" t="s">
        <v>755</v>
      </c>
      <c r="AN436" s="30" t="s">
        <v>94</v>
      </c>
      <c r="AO436" s="30" t="s">
        <v>95</v>
      </c>
      <c r="AP436" s="30" t="s">
        <v>95</v>
      </c>
      <c r="AQ436" s="30" t="s">
        <v>96</v>
      </c>
      <c r="AR436" s="30" t="s">
        <v>97</v>
      </c>
      <c r="AS436" s="30" t="s">
        <v>98</v>
      </c>
      <c r="AT436" s="30" t="s">
        <v>275</v>
      </c>
      <c r="AU436" s="30" t="s">
        <v>276</v>
      </c>
      <c r="AV436" s="30" t="s">
        <v>1740</v>
      </c>
      <c r="AW436" s="30" t="s">
        <v>278</v>
      </c>
      <c r="AX436" s="34" t="s">
        <v>86</v>
      </c>
      <c r="AY436" s="34" t="s">
        <v>149</v>
      </c>
      <c r="AZ436" s="34" t="s">
        <v>149</v>
      </c>
      <c r="BA436" s="34" t="s">
        <v>1804</v>
      </c>
      <c r="BB436" s="34">
        <v>5</v>
      </c>
      <c r="BC436" s="34">
        <v>1</v>
      </c>
      <c r="BD436" s="34" t="s">
        <v>185</v>
      </c>
      <c r="BE436" s="34" t="s">
        <v>1805</v>
      </c>
      <c r="BF436" s="34" t="b">
        <v>1</v>
      </c>
      <c r="BG436" s="34" t="s">
        <v>1042</v>
      </c>
      <c r="BH436" s="34">
        <v>16010</v>
      </c>
      <c r="BI436" s="34"/>
      <c r="BJ436" s="34"/>
      <c r="BK436" s="34"/>
      <c r="BL436" s="34"/>
      <c r="BM436" s="34" t="s">
        <v>168</v>
      </c>
      <c r="BN436" s="34"/>
      <c r="BO436" s="35"/>
      <c r="BP436" s="35"/>
      <c r="BQ436" s="35" t="s">
        <v>108</v>
      </c>
      <c r="BR436" s="36" t="e">
        <f>VLOOKUP(BQ436, Cat_Indicadores!B:C, 2, FALSE)</f>
        <v>#N/A</v>
      </c>
      <c r="BS436" s="35" t="s">
        <v>5592</v>
      </c>
      <c r="BT436" s="35"/>
    </row>
    <row r="437" spans="1:72">
      <c r="A437" s="29" t="s">
        <v>1806</v>
      </c>
      <c r="B437" s="30" t="s">
        <v>1807</v>
      </c>
      <c r="C437" s="31">
        <v>46286.516493055555</v>
      </c>
      <c r="D437" s="30">
        <v>71</v>
      </c>
      <c r="E437" s="30" t="s">
        <v>1711</v>
      </c>
      <c r="F437" s="30" t="s">
        <v>1712</v>
      </c>
      <c r="G437" s="30" t="s">
        <v>1735</v>
      </c>
      <c r="H437" s="30" t="s">
        <v>1392</v>
      </c>
      <c r="I437" s="30" t="s">
        <v>1714</v>
      </c>
      <c r="J437" s="30" t="s">
        <v>1736</v>
      </c>
      <c r="K437" s="32">
        <v>4</v>
      </c>
      <c r="L437" s="32" t="s">
        <v>211</v>
      </c>
      <c r="M437" s="30" t="s">
        <v>1808</v>
      </c>
      <c r="N437" s="30" t="s">
        <v>1809</v>
      </c>
      <c r="O437" s="30" t="s">
        <v>83</v>
      </c>
      <c r="P437" s="33">
        <v>46064</v>
      </c>
      <c r="Q437" s="33">
        <v>46064</v>
      </c>
      <c r="R437" s="32">
        <v>1</v>
      </c>
      <c r="S437" s="30" t="s">
        <v>243</v>
      </c>
      <c r="T437" s="30" t="s">
        <v>244</v>
      </c>
      <c r="U437" s="30" t="s">
        <v>86</v>
      </c>
      <c r="V437" s="30" t="s">
        <v>87</v>
      </c>
      <c r="W437" s="30" t="s">
        <v>88</v>
      </c>
      <c r="X437" s="30" t="s">
        <v>1719</v>
      </c>
      <c r="AB437" s="30" t="b">
        <v>0</v>
      </c>
      <c r="AC437" s="30"/>
      <c r="AD437" s="30" t="b">
        <v>0</v>
      </c>
      <c r="AE437" s="30">
        <v>1</v>
      </c>
      <c r="AF437" s="30" t="b">
        <v>0</v>
      </c>
      <c r="AH437" s="32" t="s">
        <v>91</v>
      </c>
      <c r="AI437" s="32"/>
      <c r="AJ437" s="32"/>
      <c r="AK437" s="32"/>
      <c r="AL437" s="30" t="s">
        <v>1720</v>
      </c>
      <c r="AM437" s="30" t="s">
        <v>141</v>
      </c>
      <c r="AN437" s="30" t="s">
        <v>94</v>
      </c>
      <c r="AO437" s="30" t="s">
        <v>142</v>
      </c>
      <c r="AP437" s="30" t="s">
        <v>143</v>
      </c>
      <c r="AQ437" s="30" t="s">
        <v>232</v>
      </c>
      <c r="AR437" s="30" t="s">
        <v>97</v>
      </c>
      <c r="AS437" s="30" t="s">
        <v>112</v>
      </c>
      <c r="AT437" s="30" t="s">
        <v>275</v>
      </c>
      <c r="AU437" s="30" t="s">
        <v>276</v>
      </c>
      <c r="AV437" s="30" t="s">
        <v>1740</v>
      </c>
      <c r="AW437" s="30" t="s">
        <v>278</v>
      </c>
      <c r="AX437" s="34" t="s">
        <v>86</v>
      </c>
      <c r="AY437" s="34" t="s">
        <v>149</v>
      </c>
      <c r="AZ437" s="34" t="s">
        <v>149</v>
      </c>
      <c r="BA437" s="34" t="s">
        <v>1810</v>
      </c>
      <c r="BB437" s="34">
        <v>5</v>
      </c>
      <c r="BC437" s="34">
        <v>1</v>
      </c>
      <c r="BD437" s="34" t="s">
        <v>1365</v>
      </c>
      <c r="BE437" s="34" t="s">
        <v>1811</v>
      </c>
      <c r="BF437" s="34" t="b">
        <v>0</v>
      </c>
      <c r="BG437" s="34" t="s">
        <v>1042</v>
      </c>
      <c r="BH437" s="34">
        <v>6245.69</v>
      </c>
      <c r="BI437" s="34"/>
      <c r="BJ437" s="34"/>
      <c r="BK437" s="34"/>
      <c r="BL437" s="34"/>
      <c r="BM437" s="34" t="s">
        <v>168</v>
      </c>
      <c r="BN437" s="34"/>
      <c r="BO437" s="35"/>
      <c r="BP437" s="35"/>
      <c r="BQ437" s="35" t="s">
        <v>108</v>
      </c>
      <c r="BR437" s="36" t="e">
        <f>VLOOKUP(BQ437, Cat_Indicadores!B:C, 2, FALSE)</f>
        <v>#N/A</v>
      </c>
      <c r="BS437" s="35" t="s">
        <v>5592</v>
      </c>
      <c r="BT437" s="35"/>
    </row>
    <row r="438" spans="1:72">
      <c r="A438" s="29" t="s">
        <v>1812</v>
      </c>
      <c r="B438" s="30" t="s">
        <v>1813</v>
      </c>
      <c r="C438" s="31">
        <v>46286.531793981485</v>
      </c>
      <c r="D438" s="30">
        <v>75</v>
      </c>
      <c r="E438" s="30" t="s">
        <v>1711</v>
      </c>
      <c r="F438" s="30" t="s">
        <v>1712</v>
      </c>
      <c r="G438" s="30" t="s">
        <v>1795</v>
      </c>
      <c r="H438" s="30" t="s">
        <v>1392</v>
      </c>
      <c r="I438" s="30" t="s">
        <v>1714</v>
      </c>
      <c r="J438" s="30" t="s">
        <v>1736</v>
      </c>
      <c r="K438" s="32">
        <v>4</v>
      </c>
      <c r="L438" s="32" t="s">
        <v>211</v>
      </c>
      <c r="M438" s="30" t="s">
        <v>1814</v>
      </c>
      <c r="N438" s="30" t="s">
        <v>1815</v>
      </c>
      <c r="O438" s="30" t="s">
        <v>1371</v>
      </c>
      <c r="P438" s="33">
        <v>46125</v>
      </c>
      <c r="Q438" s="33">
        <v>46138</v>
      </c>
      <c r="R438" s="32">
        <v>13</v>
      </c>
      <c r="S438" s="30" t="s">
        <v>322</v>
      </c>
      <c r="T438" s="30" t="s">
        <v>1330</v>
      </c>
      <c r="U438" s="30" t="s">
        <v>86</v>
      </c>
      <c r="V438" s="30" t="s">
        <v>87</v>
      </c>
      <c r="W438" s="30" t="s">
        <v>1041</v>
      </c>
      <c r="X438" s="30" t="s">
        <v>1719</v>
      </c>
      <c r="AB438" s="30" t="b">
        <v>0</v>
      </c>
      <c r="AC438" s="30"/>
      <c r="AD438" s="30" t="b">
        <v>1</v>
      </c>
      <c r="AE438" s="30">
        <v>1</v>
      </c>
      <c r="AF438" s="30" t="b">
        <v>0</v>
      </c>
      <c r="AH438" s="32" t="s">
        <v>91</v>
      </c>
      <c r="AI438" s="32"/>
      <c r="AJ438" s="32"/>
      <c r="AK438" s="32"/>
      <c r="AL438" s="30" t="s">
        <v>1720</v>
      </c>
      <c r="AM438" s="30" t="s">
        <v>755</v>
      </c>
      <c r="AN438" s="30" t="s">
        <v>94</v>
      </c>
      <c r="AO438" s="30" t="s">
        <v>95</v>
      </c>
      <c r="AP438" s="30" t="s">
        <v>95</v>
      </c>
      <c r="AQ438" s="30" t="s">
        <v>96</v>
      </c>
      <c r="AR438" s="30" t="s">
        <v>97</v>
      </c>
      <c r="AS438" s="30" t="s">
        <v>98</v>
      </c>
      <c r="AT438" s="30" t="s">
        <v>275</v>
      </c>
      <c r="AU438" s="30" t="s">
        <v>276</v>
      </c>
      <c r="AV438" s="30" t="s">
        <v>1740</v>
      </c>
      <c r="AW438" s="30" t="s">
        <v>278</v>
      </c>
      <c r="AX438" s="34" t="s">
        <v>86</v>
      </c>
      <c r="AY438" s="34" t="s">
        <v>149</v>
      </c>
      <c r="AZ438" s="34" t="s">
        <v>149</v>
      </c>
      <c r="BA438" s="34" t="s">
        <v>1816</v>
      </c>
      <c r="BB438" s="34">
        <v>5</v>
      </c>
      <c r="BC438" s="34">
        <v>2</v>
      </c>
      <c r="BD438" s="34" t="s">
        <v>185</v>
      </c>
      <c r="BE438" s="34" t="s">
        <v>1817</v>
      </c>
      <c r="BF438" s="34" t="b">
        <v>1</v>
      </c>
      <c r="BG438" s="34" t="s">
        <v>1042</v>
      </c>
      <c r="BH438" s="34">
        <v>26840</v>
      </c>
      <c r="BI438" s="34"/>
      <c r="BJ438" s="34"/>
      <c r="BK438" s="34"/>
      <c r="BL438" s="34" t="s">
        <v>1818</v>
      </c>
      <c r="BM438" s="34" t="s">
        <v>168</v>
      </c>
      <c r="BN438" s="34" t="s">
        <v>107</v>
      </c>
      <c r="BO438" s="35"/>
      <c r="BP438" s="35"/>
      <c r="BQ438" s="35" t="s">
        <v>108</v>
      </c>
      <c r="BR438" s="36" t="e">
        <f>VLOOKUP(BQ438, Cat_Indicadores!B:C, 2, FALSE)</f>
        <v>#N/A</v>
      </c>
      <c r="BS438" s="35" t="s">
        <v>5592</v>
      </c>
      <c r="BT438" s="35"/>
    </row>
    <row r="439" spans="1:72">
      <c r="A439" s="29" t="s">
        <v>1819</v>
      </c>
      <c r="B439" s="30" t="s">
        <v>1820</v>
      </c>
      <c r="C439" s="31">
        <v>46286.570787037039</v>
      </c>
      <c r="D439" s="30">
        <v>75</v>
      </c>
      <c r="E439" s="30" t="s">
        <v>1711</v>
      </c>
      <c r="F439" s="30" t="s">
        <v>1712</v>
      </c>
      <c r="G439" s="30" t="s">
        <v>1795</v>
      </c>
      <c r="H439" s="30" t="s">
        <v>1392</v>
      </c>
      <c r="I439" s="30" t="s">
        <v>1714</v>
      </c>
      <c r="J439" s="30" t="s">
        <v>1736</v>
      </c>
      <c r="K439" s="32">
        <v>4</v>
      </c>
      <c r="L439" s="32" t="s">
        <v>211</v>
      </c>
      <c r="M439" s="30" t="s">
        <v>1821</v>
      </c>
      <c r="N439" s="30" t="s">
        <v>1822</v>
      </c>
      <c r="O439" s="30" t="s">
        <v>1371</v>
      </c>
      <c r="P439" s="33">
        <v>46146</v>
      </c>
      <c r="Q439" s="33">
        <v>46165</v>
      </c>
      <c r="R439" s="32">
        <v>19</v>
      </c>
      <c r="S439" s="30" t="s">
        <v>378</v>
      </c>
      <c r="T439" s="30" t="s">
        <v>1372</v>
      </c>
      <c r="U439" s="30" t="s">
        <v>86</v>
      </c>
      <c r="V439" s="30" t="s">
        <v>87</v>
      </c>
      <c r="W439" s="30" t="s">
        <v>1041</v>
      </c>
      <c r="X439" s="30" t="s">
        <v>1719</v>
      </c>
      <c r="AB439" s="30" t="b">
        <v>0</v>
      </c>
      <c r="AC439" s="30"/>
      <c r="AD439" s="30" t="b">
        <v>1</v>
      </c>
      <c r="AE439" s="30">
        <v>1</v>
      </c>
      <c r="AF439" s="30" t="b">
        <v>0</v>
      </c>
      <c r="AH439" s="32" t="s">
        <v>91</v>
      </c>
      <c r="AI439" s="32"/>
      <c r="AJ439" s="32"/>
      <c r="AK439" s="32"/>
      <c r="AL439" s="30" t="s">
        <v>1720</v>
      </c>
      <c r="AM439" s="30" t="s">
        <v>755</v>
      </c>
      <c r="AN439" s="30" t="s">
        <v>94</v>
      </c>
      <c r="AO439" s="30" t="s">
        <v>95</v>
      </c>
      <c r="AP439" s="30" t="s">
        <v>95</v>
      </c>
      <c r="AQ439" s="30" t="s">
        <v>96</v>
      </c>
      <c r="AR439" s="30" t="s">
        <v>97</v>
      </c>
      <c r="AS439" s="30" t="s">
        <v>98</v>
      </c>
      <c r="AT439" s="30" t="s">
        <v>275</v>
      </c>
      <c r="AU439" s="30" t="s">
        <v>276</v>
      </c>
      <c r="AV439" s="30" t="s">
        <v>1740</v>
      </c>
      <c r="AW439" s="30" t="s">
        <v>278</v>
      </c>
      <c r="AX439" s="34" t="s">
        <v>86</v>
      </c>
      <c r="AY439" s="34" t="s">
        <v>149</v>
      </c>
      <c r="AZ439" s="34" t="s">
        <v>149</v>
      </c>
      <c r="BA439" s="34" t="s">
        <v>1823</v>
      </c>
      <c r="BB439" s="34">
        <v>5</v>
      </c>
      <c r="BC439" s="34">
        <v>2</v>
      </c>
      <c r="BD439" s="34" t="s">
        <v>185</v>
      </c>
      <c r="BE439" s="34" t="s">
        <v>1824</v>
      </c>
      <c r="BF439" s="34" t="b">
        <v>1</v>
      </c>
      <c r="BG439" s="34" t="s">
        <v>1042</v>
      </c>
      <c r="BH439" s="34">
        <v>27430</v>
      </c>
      <c r="BI439" s="34"/>
      <c r="BJ439" s="34"/>
      <c r="BK439" s="34"/>
      <c r="BL439" s="34" t="s">
        <v>1825</v>
      </c>
      <c r="BM439" s="34" t="s">
        <v>168</v>
      </c>
      <c r="BN439" s="34" t="s">
        <v>107</v>
      </c>
      <c r="BO439" s="35"/>
      <c r="BP439" s="35"/>
      <c r="BQ439" s="35" t="s">
        <v>108</v>
      </c>
      <c r="BR439" s="36" t="e">
        <f>VLOOKUP(BQ439, Cat_Indicadores!B:C, 2, FALSE)</f>
        <v>#N/A</v>
      </c>
      <c r="BS439" s="35" t="s">
        <v>5592</v>
      </c>
      <c r="BT439" s="35"/>
    </row>
    <row r="440" spans="1:72">
      <c r="A440" s="29" t="s">
        <v>1826</v>
      </c>
      <c r="B440" s="30" t="s">
        <v>1827</v>
      </c>
      <c r="C440" s="31">
        <v>46287.521469907406</v>
      </c>
      <c r="D440" s="30">
        <v>78</v>
      </c>
      <c r="E440" s="30" t="s">
        <v>1711</v>
      </c>
      <c r="F440" s="30" t="s">
        <v>1712</v>
      </c>
      <c r="G440" s="30" t="s">
        <v>1828</v>
      </c>
      <c r="H440" s="30" t="s">
        <v>1392</v>
      </c>
      <c r="I440" s="30" t="s">
        <v>1714</v>
      </c>
      <c r="J440" s="30" t="s">
        <v>1829</v>
      </c>
      <c r="K440" s="32">
        <v>15</v>
      </c>
      <c r="L440" s="32" t="s">
        <v>211</v>
      </c>
      <c r="M440" s="30" t="s">
        <v>1830</v>
      </c>
      <c r="N440" s="30" t="s">
        <v>1831</v>
      </c>
      <c r="O440" s="30" t="s">
        <v>83</v>
      </c>
      <c r="P440" s="33">
        <v>46174</v>
      </c>
      <c r="Q440" s="33">
        <v>46174</v>
      </c>
      <c r="R440" s="32">
        <v>1</v>
      </c>
      <c r="S440" s="30" t="s">
        <v>264</v>
      </c>
      <c r="T440" s="30" t="s">
        <v>772</v>
      </c>
      <c r="U440" s="30" t="s">
        <v>86</v>
      </c>
      <c r="V440" s="30" t="s">
        <v>87</v>
      </c>
      <c r="W440" s="30" t="s">
        <v>1374</v>
      </c>
      <c r="X440" s="30" t="s">
        <v>1719</v>
      </c>
      <c r="AB440" s="30" t="b">
        <v>0</v>
      </c>
      <c r="AC440" s="30"/>
      <c r="AD440" s="30" t="b">
        <v>0</v>
      </c>
      <c r="AF440" s="30" t="b">
        <v>0</v>
      </c>
      <c r="AH440" s="32" t="s">
        <v>91</v>
      </c>
      <c r="AI440" s="32"/>
      <c r="AJ440" s="32"/>
      <c r="AK440" s="32"/>
      <c r="AL440" s="30" t="s">
        <v>1720</v>
      </c>
      <c r="AM440" s="30" t="s">
        <v>1832</v>
      </c>
      <c r="AN440" s="30" t="s">
        <v>94</v>
      </c>
      <c r="AO440" s="30" t="s">
        <v>142</v>
      </c>
      <c r="AP440" s="30" t="s">
        <v>143</v>
      </c>
      <c r="AQ440" s="30" t="s">
        <v>232</v>
      </c>
      <c r="AR440" s="30" t="s">
        <v>97</v>
      </c>
      <c r="AS440" s="30" t="s">
        <v>112</v>
      </c>
      <c r="AT440" s="30" t="s">
        <v>275</v>
      </c>
      <c r="AU440" s="30" t="s">
        <v>276</v>
      </c>
      <c r="AV440" s="30" t="s">
        <v>1740</v>
      </c>
      <c r="AW440" s="30" t="s">
        <v>278</v>
      </c>
      <c r="AX440" s="34" t="s">
        <v>86</v>
      </c>
      <c r="AY440" s="34" t="s">
        <v>149</v>
      </c>
      <c r="AZ440" s="34" t="s">
        <v>149</v>
      </c>
      <c r="BA440" s="34" t="s">
        <v>1833</v>
      </c>
      <c r="BB440" s="34">
        <v>5</v>
      </c>
      <c r="BC440" s="34">
        <v>3</v>
      </c>
      <c r="BD440" s="34" t="s">
        <v>1365</v>
      </c>
      <c r="BE440" s="34" t="s">
        <v>1834</v>
      </c>
      <c r="BF440" s="34" t="b">
        <v>0</v>
      </c>
      <c r="BG440" s="34"/>
      <c r="BH440" s="34"/>
      <c r="BI440" s="34"/>
      <c r="BJ440" s="34"/>
      <c r="BK440" s="34"/>
      <c r="BL440" s="34"/>
      <c r="BM440" s="34" t="s">
        <v>168</v>
      </c>
      <c r="BN440" s="34"/>
      <c r="BO440" s="35"/>
      <c r="BP440" s="35"/>
      <c r="BQ440" s="35" t="s">
        <v>108</v>
      </c>
      <c r="BR440" s="36" t="e">
        <f>VLOOKUP(BQ440, Cat_Indicadores!B:C, 2, FALSE)</f>
        <v>#N/A</v>
      </c>
      <c r="BS440" s="35" t="s">
        <v>5592</v>
      </c>
      <c r="BT440" s="35"/>
    </row>
    <row r="441" spans="1:72">
      <c r="A441" s="29" t="s">
        <v>1835</v>
      </c>
      <c r="B441" s="30" t="s">
        <v>1836</v>
      </c>
      <c r="C441" s="31">
        <v>46287.575335648151</v>
      </c>
      <c r="D441" s="30">
        <v>77</v>
      </c>
      <c r="E441" s="30" t="s">
        <v>1711</v>
      </c>
      <c r="F441" s="30" t="s">
        <v>1712</v>
      </c>
      <c r="G441" s="30" t="s">
        <v>1837</v>
      </c>
      <c r="H441" s="30" t="s">
        <v>1392</v>
      </c>
      <c r="I441" s="30" t="s">
        <v>1714</v>
      </c>
      <c r="J441" s="30" t="s">
        <v>1349</v>
      </c>
      <c r="K441" s="32">
        <v>20</v>
      </c>
      <c r="L441" s="32" t="s">
        <v>80</v>
      </c>
      <c r="M441" s="30" t="s">
        <v>1838</v>
      </c>
      <c r="N441" s="30" t="s">
        <v>1839</v>
      </c>
      <c r="O441" s="30" t="s">
        <v>83</v>
      </c>
      <c r="P441" s="33">
        <v>46177</v>
      </c>
      <c r="Q441" s="33">
        <v>46177</v>
      </c>
      <c r="R441" s="32">
        <v>1</v>
      </c>
      <c r="S441" s="30" t="s">
        <v>249</v>
      </c>
      <c r="T441" s="30" t="s">
        <v>259</v>
      </c>
      <c r="U441" s="30" t="s">
        <v>137</v>
      </c>
      <c r="V441" s="30" t="s">
        <v>87</v>
      </c>
      <c r="W441" s="30" t="s">
        <v>88</v>
      </c>
      <c r="X441" s="30" t="s">
        <v>1719</v>
      </c>
      <c r="AB441" s="30" t="b">
        <v>0</v>
      </c>
      <c r="AC441" s="30"/>
      <c r="AD441" s="30" t="b">
        <v>1</v>
      </c>
      <c r="AE441" s="30">
        <v>1</v>
      </c>
      <c r="AF441" s="30" t="b">
        <v>0</v>
      </c>
      <c r="AH441" s="32" t="s">
        <v>91</v>
      </c>
      <c r="AI441" s="32"/>
      <c r="AJ441" s="32"/>
      <c r="AK441" s="32"/>
      <c r="AL441" s="30" t="s">
        <v>1720</v>
      </c>
      <c r="AM441" s="30" t="s">
        <v>755</v>
      </c>
      <c r="AN441" s="30" t="s">
        <v>94</v>
      </c>
      <c r="AO441" s="30" t="s">
        <v>142</v>
      </c>
      <c r="AP441" s="30" t="s">
        <v>143</v>
      </c>
      <c r="AQ441" s="30" t="s">
        <v>232</v>
      </c>
      <c r="AR441" s="30" t="s">
        <v>97</v>
      </c>
      <c r="AS441" s="30" t="s">
        <v>112</v>
      </c>
      <c r="AT441" s="30" t="s">
        <v>275</v>
      </c>
      <c r="AU441" s="30" t="s">
        <v>276</v>
      </c>
      <c r="AV441" s="30" t="s">
        <v>1740</v>
      </c>
      <c r="AW441" s="30" t="s">
        <v>278</v>
      </c>
      <c r="AX441" s="34" t="s">
        <v>137</v>
      </c>
      <c r="AY441" s="34" t="s">
        <v>167</v>
      </c>
      <c r="AZ441" s="34" t="s">
        <v>149</v>
      </c>
      <c r="BA441" s="34"/>
      <c r="BB441" s="34">
        <v>13</v>
      </c>
      <c r="BC441" s="34">
        <v>19</v>
      </c>
      <c r="BD441" s="34" t="s">
        <v>1365</v>
      </c>
      <c r="BE441" s="34" t="s">
        <v>1840</v>
      </c>
      <c r="BF441" s="34" t="b">
        <v>1</v>
      </c>
      <c r="BG441" s="34" t="s">
        <v>1042</v>
      </c>
      <c r="BH441" s="34">
        <v>100000</v>
      </c>
      <c r="BI441" s="34"/>
      <c r="BJ441" s="34"/>
      <c r="BK441" s="34"/>
      <c r="BL441" s="34"/>
      <c r="BM441" s="34" t="s">
        <v>168</v>
      </c>
      <c r="BN441" s="34"/>
      <c r="BO441" s="35"/>
      <c r="BP441" s="35"/>
      <c r="BQ441" s="35" t="s">
        <v>108</v>
      </c>
      <c r="BR441" s="36" t="e">
        <f>VLOOKUP(BQ441, Cat_Indicadores!B:C, 2, FALSE)</f>
        <v>#N/A</v>
      </c>
      <c r="BS441" s="35" t="s">
        <v>5592</v>
      </c>
      <c r="BT441" s="35"/>
    </row>
    <row r="442" spans="1:72">
      <c r="A442" s="29" t="s">
        <v>1841</v>
      </c>
      <c r="B442" s="30" t="s">
        <v>1842</v>
      </c>
      <c r="C442" s="31">
        <v>46287.641087962962</v>
      </c>
      <c r="D442" s="30">
        <v>85</v>
      </c>
      <c r="E442" s="30" t="s">
        <v>1843</v>
      </c>
      <c r="F442" s="30" t="s">
        <v>1844</v>
      </c>
      <c r="G442" s="30" t="s">
        <v>1845</v>
      </c>
      <c r="H442" s="30" t="s">
        <v>77</v>
      </c>
      <c r="I442" s="30" t="s">
        <v>1846</v>
      </c>
      <c r="J442" s="30" t="s">
        <v>1847</v>
      </c>
      <c r="K442" s="32">
        <v>25</v>
      </c>
      <c r="L442" s="32" t="s">
        <v>211</v>
      </c>
      <c r="M442" s="30" t="s">
        <v>1848</v>
      </c>
      <c r="N442" s="30" t="s">
        <v>1849</v>
      </c>
      <c r="O442" s="30" t="s">
        <v>83</v>
      </c>
      <c r="P442" s="33">
        <v>46040</v>
      </c>
      <c r="Q442" s="33">
        <v>46040</v>
      </c>
      <c r="R442" s="32">
        <v>1</v>
      </c>
      <c r="S442" s="30" t="s">
        <v>214</v>
      </c>
      <c r="T442" s="30" t="s">
        <v>215</v>
      </c>
      <c r="U442" s="30" t="s">
        <v>221</v>
      </c>
      <c r="V442" s="30" t="s">
        <v>87</v>
      </c>
      <c r="W442" s="30" t="s">
        <v>88</v>
      </c>
      <c r="X442" s="30" t="s">
        <v>89</v>
      </c>
      <c r="Z442" s="30" t="s">
        <v>1850</v>
      </c>
      <c r="AB442" s="30" t="b">
        <v>0</v>
      </c>
      <c r="AC442" s="30"/>
      <c r="AD442" s="30" t="b">
        <v>0</v>
      </c>
      <c r="AF442" s="30" t="b">
        <v>0</v>
      </c>
      <c r="AH442" s="32" t="s">
        <v>91</v>
      </c>
      <c r="AI442" s="32"/>
      <c r="AJ442" s="32"/>
      <c r="AK442" s="32"/>
      <c r="AL442" s="30" t="s">
        <v>1851</v>
      </c>
      <c r="AM442" s="30" t="s">
        <v>755</v>
      </c>
      <c r="AN442" s="30" t="s">
        <v>94</v>
      </c>
      <c r="AO442" s="30" t="s">
        <v>95</v>
      </c>
      <c r="AP442" s="30" t="s">
        <v>589</v>
      </c>
      <c r="AQ442" s="30" t="s">
        <v>589</v>
      </c>
      <c r="AR442" s="30" t="s">
        <v>97</v>
      </c>
      <c r="AT442" s="30" t="s">
        <v>99</v>
      </c>
      <c r="AU442" s="30" t="s">
        <v>100</v>
      </c>
      <c r="AV442" s="30" t="s">
        <v>101</v>
      </c>
      <c r="AW442" s="30" t="s">
        <v>102</v>
      </c>
      <c r="AX442" s="34" t="s">
        <v>221</v>
      </c>
      <c r="AY442" s="34" t="s">
        <v>279</v>
      </c>
      <c r="AZ442" s="34" t="s">
        <v>149</v>
      </c>
      <c r="BA442" s="34"/>
      <c r="BB442" s="34">
        <v>3</v>
      </c>
      <c r="BC442" s="34">
        <v>30</v>
      </c>
      <c r="BD442" s="34" t="s">
        <v>1365</v>
      </c>
      <c r="BE442" s="34"/>
      <c r="BF442" s="34" t="b">
        <v>0</v>
      </c>
      <c r="BG442" s="34"/>
      <c r="BH442" s="34"/>
      <c r="BI442" s="34"/>
      <c r="BJ442" s="34"/>
      <c r="BK442" s="34"/>
      <c r="BL442" s="34"/>
      <c r="BM442" s="34" t="s">
        <v>168</v>
      </c>
      <c r="BN442" s="34"/>
      <c r="BO442" s="35"/>
      <c r="BP442" s="35"/>
      <c r="BQ442" s="35" t="s">
        <v>108</v>
      </c>
      <c r="BR442" s="36" t="e">
        <f>VLOOKUP(BQ442, Cat_Indicadores!B:C, 2, FALSE)</f>
        <v>#N/A</v>
      </c>
      <c r="BS442" s="35" t="s">
        <v>5592</v>
      </c>
      <c r="BT442" s="35"/>
    </row>
    <row r="443" spans="1:72">
      <c r="A443" s="29"/>
      <c r="B443" s="30"/>
      <c r="C443" s="31"/>
      <c r="D443" s="30"/>
      <c r="E443" s="30"/>
      <c r="F443" s="30"/>
      <c r="G443" s="30"/>
      <c r="H443" s="30"/>
      <c r="I443" s="30"/>
      <c r="J443" s="30"/>
      <c r="K443" s="32"/>
      <c r="L443" s="32"/>
      <c r="M443" s="30"/>
      <c r="N443" s="30"/>
      <c r="O443" s="30"/>
      <c r="P443" s="33"/>
      <c r="Q443" s="33"/>
      <c r="R443" s="32"/>
      <c r="S443" s="30"/>
      <c r="T443" s="30"/>
      <c r="U443" s="30"/>
      <c r="V443" s="30"/>
      <c r="W443" s="30"/>
      <c r="X443" s="30"/>
      <c r="AB443" s="30"/>
      <c r="AC443" s="30"/>
      <c r="AD443" s="30"/>
      <c r="AF443" s="30"/>
      <c r="AH443" s="32"/>
      <c r="AI443" s="32"/>
      <c r="AJ443" s="32"/>
      <c r="AK443" s="32"/>
      <c r="AL443" s="30"/>
      <c r="AM443" s="30"/>
      <c r="AN443" s="30"/>
      <c r="AO443" s="30"/>
      <c r="AP443" s="30"/>
      <c r="AQ443" s="30"/>
      <c r="AR443" s="30"/>
      <c r="AS443" s="30"/>
      <c r="AT443" s="30"/>
      <c r="AU443" s="30"/>
      <c r="AV443" s="30"/>
      <c r="AW443" s="30"/>
      <c r="AX443" s="34"/>
      <c r="AY443" s="34"/>
      <c r="AZ443" s="34"/>
      <c r="BA443" s="34"/>
      <c r="BB443" s="34"/>
      <c r="BC443" s="34"/>
      <c r="BD443" s="34"/>
      <c r="BE443" s="34"/>
      <c r="BF443" s="34"/>
      <c r="BG443" s="34"/>
      <c r="BH443" s="34"/>
      <c r="BI443" s="34"/>
      <c r="BJ443" s="34"/>
      <c r="BK443" s="34"/>
      <c r="BL443" s="34"/>
      <c r="BM443" s="34"/>
      <c r="BN443" s="34"/>
      <c r="BO443" s="35"/>
      <c r="BP443" s="35"/>
      <c r="BQ443" s="35"/>
      <c r="BR443" s="36"/>
      <c r="BS443" s="35"/>
      <c r="BT443" s="35"/>
    </row>
    <row r="444" spans="1:72">
      <c r="A444" s="29" t="s">
        <v>1852</v>
      </c>
      <c r="B444" s="30" t="s">
        <v>1853</v>
      </c>
      <c r="C444" s="31">
        <v>46287.667442129627</v>
      </c>
      <c r="D444" s="30">
        <v>77</v>
      </c>
      <c r="E444" s="30" t="s">
        <v>1711</v>
      </c>
      <c r="F444" s="30" t="s">
        <v>1712</v>
      </c>
      <c r="G444" s="30" t="s">
        <v>1837</v>
      </c>
      <c r="H444" s="30" t="s">
        <v>1392</v>
      </c>
      <c r="I444" s="30" t="s">
        <v>1714</v>
      </c>
      <c r="J444" s="30" t="s">
        <v>1349</v>
      </c>
      <c r="K444" s="32">
        <v>20</v>
      </c>
      <c r="L444" s="32" t="s">
        <v>80</v>
      </c>
      <c r="M444" s="30" t="s">
        <v>1854</v>
      </c>
      <c r="N444" s="30" t="s">
        <v>1855</v>
      </c>
      <c r="O444" s="30" t="s">
        <v>83</v>
      </c>
      <c r="P444" s="33">
        <v>46118</v>
      </c>
      <c r="Q444" s="33">
        <v>46118</v>
      </c>
      <c r="R444" s="32">
        <v>1</v>
      </c>
      <c r="S444" s="30" t="s">
        <v>249</v>
      </c>
      <c r="T444" s="30" t="s">
        <v>259</v>
      </c>
      <c r="U444" s="30" t="s">
        <v>137</v>
      </c>
      <c r="V444" s="30" t="s">
        <v>87</v>
      </c>
      <c r="W444" s="30" t="s">
        <v>88</v>
      </c>
      <c r="X444" s="30" t="s">
        <v>1719</v>
      </c>
      <c r="AB444" s="30" t="b">
        <v>0</v>
      </c>
      <c r="AC444" s="30"/>
      <c r="AD444" s="30" t="b">
        <v>1</v>
      </c>
      <c r="AE444" s="30">
        <v>1</v>
      </c>
      <c r="AF444" s="30" t="b">
        <v>0</v>
      </c>
      <c r="AH444" s="32" t="s">
        <v>91</v>
      </c>
      <c r="AI444" s="32"/>
      <c r="AJ444" s="32"/>
      <c r="AK444" s="32"/>
      <c r="AL444" s="30" t="s">
        <v>1720</v>
      </c>
      <c r="AM444" s="30" t="s">
        <v>93</v>
      </c>
      <c r="AN444" s="30" t="s">
        <v>94</v>
      </c>
      <c r="AO444" s="30" t="s">
        <v>142</v>
      </c>
      <c r="AP444" s="30" t="s">
        <v>143</v>
      </c>
      <c r="AQ444" s="30" t="s">
        <v>144</v>
      </c>
      <c r="AR444" s="30" t="s">
        <v>691</v>
      </c>
      <c r="AT444" s="30" t="s">
        <v>99</v>
      </c>
      <c r="AU444" s="30" t="s">
        <v>100</v>
      </c>
      <c r="AV444" s="30" t="s">
        <v>665</v>
      </c>
      <c r="AW444" s="30" t="s">
        <v>102</v>
      </c>
      <c r="AX444" s="34" t="s">
        <v>221</v>
      </c>
      <c r="AY444" s="34" t="s">
        <v>149</v>
      </c>
      <c r="AZ444" s="34" t="s">
        <v>149</v>
      </c>
      <c r="BA444" s="34"/>
      <c r="BB444" s="34">
        <v>5</v>
      </c>
      <c r="BC444" s="34">
        <v>25</v>
      </c>
      <c r="BD444" s="34"/>
      <c r="BE444" s="34"/>
      <c r="BF444" s="34" t="b">
        <v>0</v>
      </c>
      <c r="BG444" s="34"/>
      <c r="BH444" s="34"/>
      <c r="BI444" s="34"/>
      <c r="BJ444" s="34"/>
      <c r="BK444" s="34"/>
      <c r="BL444" s="34"/>
      <c r="BM444" s="34" t="s">
        <v>168</v>
      </c>
      <c r="BN444" s="34"/>
      <c r="BO444" s="35"/>
      <c r="BP444" s="35"/>
      <c r="BQ444" s="35" t="s">
        <v>108</v>
      </c>
      <c r="BR444" s="36" t="e">
        <f>VLOOKUP(BQ444, Cat_Indicadores!B:C, 2, FALSE)</f>
        <v>#N/A</v>
      </c>
      <c r="BS444" s="35" t="s">
        <v>5592</v>
      </c>
      <c r="BT444" s="35"/>
    </row>
    <row r="445" spans="1:72">
      <c r="A445" s="29" t="s">
        <v>1856</v>
      </c>
      <c r="B445" s="30" t="s">
        <v>1857</v>
      </c>
      <c r="C445" s="31">
        <v>46287.671597222223</v>
      </c>
      <c r="D445" s="30">
        <v>77</v>
      </c>
      <c r="E445" s="30" t="s">
        <v>1711</v>
      </c>
      <c r="F445" s="30" t="s">
        <v>1712</v>
      </c>
      <c r="G445" s="30" t="s">
        <v>1837</v>
      </c>
      <c r="H445" s="30" t="s">
        <v>1392</v>
      </c>
      <c r="I445" s="30" t="s">
        <v>1714</v>
      </c>
      <c r="J445" s="30" t="s">
        <v>1349</v>
      </c>
      <c r="K445" s="32">
        <v>20</v>
      </c>
      <c r="L445" s="32" t="s">
        <v>80</v>
      </c>
      <c r="M445" s="30" t="s">
        <v>1858</v>
      </c>
      <c r="N445" s="30" t="s">
        <v>1859</v>
      </c>
      <c r="O445" s="30" t="s">
        <v>83</v>
      </c>
      <c r="P445" s="33">
        <v>46177</v>
      </c>
      <c r="Q445" s="33">
        <v>46177</v>
      </c>
      <c r="R445" s="32">
        <v>1</v>
      </c>
      <c r="S445" s="30" t="s">
        <v>249</v>
      </c>
      <c r="T445" s="30" t="s">
        <v>259</v>
      </c>
      <c r="U445" s="30" t="s">
        <v>137</v>
      </c>
      <c r="V445" s="30" t="s">
        <v>87</v>
      </c>
      <c r="W445" s="30" t="s">
        <v>88</v>
      </c>
      <c r="X445" s="30" t="s">
        <v>1719</v>
      </c>
      <c r="AB445" s="30" t="b">
        <v>0</v>
      </c>
      <c r="AC445" s="30"/>
      <c r="AD445" s="30" t="b">
        <v>1</v>
      </c>
      <c r="AE445" s="30">
        <v>1</v>
      </c>
      <c r="AF445" s="30" t="b">
        <v>0</v>
      </c>
      <c r="AH445" s="32" t="s">
        <v>91</v>
      </c>
      <c r="AI445" s="32"/>
      <c r="AJ445" s="32"/>
      <c r="AK445" s="32"/>
      <c r="AL445" s="30" t="s">
        <v>1720</v>
      </c>
      <c r="AM445" s="30" t="s">
        <v>1739</v>
      </c>
      <c r="AN445" s="30" t="s">
        <v>199</v>
      </c>
      <c r="AO445" s="30" t="s">
        <v>200</v>
      </c>
      <c r="AP445" s="30" t="s">
        <v>201</v>
      </c>
      <c r="AQ445" s="30" t="s">
        <v>202</v>
      </c>
      <c r="AR445" s="30" t="s">
        <v>97</v>
      </c>
      <c r="AS445" s="30" t="s">
        <v>98</v>
      </c>
      <c r="AT445" s="30" t="s">
        <v>275</v>
      </c>
      <c r="AU445" s="30" t="s">
        <v>276</v>
      </c>
      <c r="AV445" s="30" t="s">
        <v>1740</v>
      </c>
      <c r="AW445" s="30" t="s">
        <v>278</v>
      </c>
      <c r="AX445" s="34" t="s">
        <v>137</v>
      </c>
      <c r="AY445" s="34" t="s">
        <v>149</v>
      </c>
      <c r="AZ445" s="34" t="s">
        <v>149</v>
      </c>
      <c r="BA445" s="34" t="s">
        <v>1859</v>
      </c>
      <c r="BB445" s="34">
        <v>5</v>
      </c>
      <c r="BC445" s="34">
        <v>30</v>
      </c>
      <c r="BD445" s="34" t="s">
        <v>1365</v>
      </c>
      <c r="BE445" s="34" t="s">
        <v>1860</v>
      </c>
      <c r="BF445" s="34" t="b">
        <v>1</v>
      </c>
      <c r="BG445" s="34" t="s">
        <v>1042</v>
      </c>
      <c r="BH445" s="34">
        <v>100000</v>
      </c>
      <c r="BI445" s="34"/>
      <c r="BJ445" s="34"/>
      <c r="BK445" s="34"/>
      <c r="BL445" s="34"/>
      <c r="BM445" s="34" t="s">
        <v>168</v>
      </c>
      <c r="BN445" s="34"/>
      <c r="BO445" s="35"/>
      <c r="BP445" s="35"/>
      <c r="BQ445" s="35" t="s">
        <v>108</v>
      </c>
      <c r="BR445" s="36" t="e">
        <f>VLOOKUP(BQ445, Cat_Indicadores!B:C, 2, FALSE)</f>
        <v>#N/A</v>
      </c>
      <c r="BS445" s="35" t="s">
        <v>5592</v>
      </c>
      <c r="BT445" s="35"/>
    </row>
    <row r="446" spans="1:72">
      <c r="A446" s="29" t="s">
        <v>1861</v>
      </c>
      <c r="B446" s="30" t="s">
        <v>1862</v>
      </c>
      <c r="C446" s="31">
        <v>46287.677349537036</v>
      </c>
      <c r="D446" s="30">
        <v>74</v>
      </c>
      <c r="E446" s="30" t="s">
        <v>1711</v>
      </c>
      <c r="F446" s="30" t="s">
        <v>1712</v>
      </c>
      <c r="G446" s="30" t="s">
        <v>1863</v>
      </c>
      <c r="H446" s="30" t="s">
        <v>1392</v>
      </c>
      <c r="I446" s="30" t="s">
        <v>1714</v>
      </c>
      <c r="J446" s="30" t="s">
        <v>1736</v>
      </c>
      <c r="K446" s="32">
        <v>2</v>
      </c>
      <c r="L446" s="32" t="s">
        <v>211</v>
      </c>
      <c r="M446" s="30" t="s">
        <v>1864</v>
      </c>
      <c r="N446" s="30" t="s">
        <v>1865</v>
      </c>
      <c r="O446" s="30" t="s">
        <v>83</v>
      </c>
      <c r="P446" s="33">
        <v>46036</v>
      </c>
      <c r="Q446" s="33">
        <v>46036</v>
      </c>
      <c r="R446" s="32">
        <v>1</v>
      </c>
      <c r="S446" s="30" t="s">
        <v>84</v>
      </c>
      <c r="T446" s="30" t="s">
        <v>337</v>
      </c>
      <c r="U446" s="30" t="s">
        <v>86</v>
      </c>
      <c r="V446" s="30" t="s">
        <v>87</v>
      </c>
      <c r="W446" s="30" t="s">
        <v>88</v>
      </c>
      <c r="X446" s="30" t="s">
        <v>1719</v>
      </c>
      <c r="AB446" s="30" t="b">
        <v>0</v>
      </c>
      <c r="AC446" s="30"/>
      <c r="AD446" s="30" t="b">
        <v>0</v>
      </c>
      <c r="AF446" s="30" t="b">
        <v>0</v>
      </c>
      <c r="AH446" s="32" t="s">
        <v>91</v>
      </c>
      <c r="AI446" s="32"/>
      <c r="AJ446" s="32"/>
      <c r="AK446" s="32"/>
      <c r="AL446" s="30" t="s">
        <v>1720</v>
      </c>
      <c r="AM446" s="30" t="s">
        <v>141</v>
      </c>
      <c r="AN446" s="30" t="s">
        <v>266</v>
      </c>
      <c r="AO446" s="30" t="s">
        <v>267</v>
      </c>
      <c r="AP446" s="30" t="s">
        <v>295</v>
      </c>
      <c r="AQ446" s="30" t="s">
        <v>295</v>
      </c>
      <c r="AR446" s="30" t="s">
        <v>97</v>
      </c>
      <c r="AS446" s="30" t="s">
        <v>98</v>
      </c>
      <c r="AT446" s="30" t="s">
        <v>275</v>
      </c>
      <c r="AU446" s="30" t="s">
        <v>276</v>
      </c>
      <c r="AV446" s="30" t="s">
        <v>1740</v>
      </c>
      <c r="AW446" s="30" t="s">
        <v>278</v>
      </c>
      <c r="AX446" s="34" t="s">
        <v>86</v>
      </c>
      <c r="AY446" s="34" t="s">
        <v>149</v>
      </c>
      <c r="AZ446" s="34" t="s">
        <v>149</v>
      </c>
      <c r="BA446" s="34"/>
      <c r="BB446" s="34">
        <v>6</v>
      </c>
      <c r="BC446" s="34">
        <v>1</v>
      </c>
      <c r="BD446" s="34" t="s">
        <v>185</v>
      </c>
      <c r="BE446" s="34" t="s">
        <v>1866</v>
      </c>
      <c r="BF446" s="34" t="b">
        <v>1</v>
      </c>
      <c r="BG446" s="34" t="s">
        <v>1042</v>
      </c>
      <c r="BH446" s="34"/>
      <c r="BI446" s="34"/>
      <c r="BJ446" s="34"/>
      <c r="BK446" s="34"/>
      <c r="BL446" s="34"/>
      <c r="BM446" s="34" t="s">
        <v>168</v>
      </c>
      <c r="BN446" s="34"/>
      <c r="BO446" s="35"/>
      <c r="BP446" s="35"/>
      <c r="BQ446" s="35" t="s">
        <v>108</v>
      </c>
      <c r="BR446" s="36" t="e">
        <f>VLOOKUP(BQ446, Cat_Indicadores!B:C, 2, FALSE)</f>
        <v>#N/A</v>
      </c>
      <c r="BS446" s="35" t="s">
        <v>5592</v>
      </c>
      <c r="BT446" s="35"/>
    </row>
    <row r="447" spans="1:72">
      <c r="A447" s="29" t="s">
        <v>1867</v>
      </c>
      <c r="B447" s="30" t="s">
        <v>1868</v>
      </c>
      <c r="C447" s="31">
        <v>46288.46266203704</v>
      </c>
      <c r="D447" s="30">
        <v>92</v>
      </c>
      <c r="E447" s="30" t="s">
        <v>74</v>
      </c>
      <c r="F447" s="30" t="s">
        <v>75</v>
      </c>
      <c r="G447" s="30" t="s">
        <v>133</v>
      </c>
      <c r="H447" s="30" t="s">
        <v>77</v>
      </c>
      <c r="I447" s="30" t="s">
        <v>78</v>
      </c>
      <c r="J447" s="30" t="s">
        <v>79</v>
      </c>
      <c r="K447" s="32">
        <v>800</v>
      </c>
      <c r="L447" s="32" t="s">
        <v>80</v>
      </c>
      <c r="M447" s="30" t="s">
        <v>160</v>
      </c>
      <c r="N447" s="30" t="s">
        <v>1869</v>
      </c>
      <c r="O447" s="30" t="s">
        <v>83</v>
      </c>
      <c r="P447" s="33">
        <v>46248</v>
      </c>
      <c r="Q447" s="33">
        <v>46248</v>
      </c>
      <c r="R447" s="32">
        <v>1</v>
      </c>
      <c r="S447" s="30" t="s">
        <v>463</v>
      </c>
      <c r="T447" s="30" t="s">
        <v>717</v>
      </c>
      <c r="U447" s="30" t="s">
        <v>160</v>
      </c>
      <c r="V447" s="30" t="s">
        <v>87</v>
      </c>
      <c r="W447" s="30" t="s">
        <v>88</v>
      </c>
      <c r="X447" s="30" t="s">
        <v>197</v>
      </c>
      <c r="Y447" s="30" t="s">
        <v>1063</v>
      </c>
      <c r="AB447" s="30" t="b">
        <v>0</v>
      </c>
      <c r="AC447" s="30"/>
      <c r="AD447" s="30" t="b">
        <v>0</v>
      </c>
      <c r="AF447" s="30" t="b">
        <v>0</v>
      </c>
      <c r="AH447" s="32" t="s">
        <v>91</v>
      </c>
      <c r="AI447" s="32"/>
      <c r="AJ447" s="32"/>
      <c r="AK447" s="32"/>
      <c r="AL447" s="30" t="s">
        <v>92</v>
      </c>
      <c r="AM447" s="30" t="s">
        <v>93</v>
      </c>
      <c r="AN447" s="30" t="s">
        <v>199</v>
      </c>
      <c r="AO447" s="30" t="s">
        <v>200</v>
      </c>
      <c r="AP447" s="30" t="s">
        <v>201</v>
      </c>
      <c r="AQ447" s="30" t="s">
        <v>202</v>
      </c>
      <c r="AR447" s="30" t="s">
        <v>145</v>
      </c>
      <c r="AT447" s="30" t="s">
        <v>99</v>
      </c>
      <c r="AU447" s="30" t="s">
        <v>146</v>
      </c>
      <c r="AV447" s="30" t="s">
        <v>233</v>
      </c>
      <c r="AW447" s="30" t="s">
        <v>102</v>
      </c>
      <c r="AX447" s="34" t="s">
        <v>338</v>
      </c>
      <c r="AY447" s="34" t="s">
        <v>167</v>
      </c>
      <c r="AZ447" s="34"/>
      <c r="BA447" s="34"/>
      <c r="BB447" s="34"/>
      <c r="BC447" s="34">
        <v>0</v>
      </c>
      <c r="BD447" s="34"/>
      <c r="BE447" s="34"/>
      <c r="BF447" s="34" t="b">
        <v>0</v>
      </c>
      <c r="BG447" s="34"/>
      <c r="BH447" s="34"/>
      <c r="BI447" s="34"/>
      <c r="BJ447" s="34"/>
      <c r="BK447" s="34"/>
      <c r="BL447" s="34"/>
      <c r="BM447" s="34" t="s">
        <v>168</v>
      </c>
      <c r="BN447" s="34"/>
      <c r="BO447" s="35"/>
      <c r="BP447" s="35"/>
      <c r="BQ447" s="35" t="s">
        <v>108</v>
      </c>
      <c r="BR447" s="36" t="e">
        <f>VLOOKUP(BQ447, Cat_Indicadores!B:C, 2, FALSE)</f>
        <v>#N/A</v>
      </c>
      <c r="BS447" s="35" t="s">
        <v>5592</v>
      </c>
      <c r="BT447" s="35"/>
    </row>
    <row r="448" spans="1:72">
      <c r="A448" s="29" t="s">
        <v>1870</v>
      </c>
      <c r="B448" s="30" t="s">
        <v>1871</v>
      </c>
      <c r="C448" s="31">
        <v>46288.468680555554</v>
      </c>
      <c r="D448" s="30">
        <v>94</v>
      </c>
      <c r="E448" s="30" t="s">
        <v>74</v>
      </c>
      <c r="F448" s="30" t="s">
        <v>75</v>
      </c>
      <c r="G448" s="30" t="s">
        <v>76</v>
      </c>
      <c r="H448" s="30" t="s">
        <v>77</v>
      </c>
      <c r="I448" s="30" t="s">
        <v>78</v>
      </c>
      <c r="J448" s="30" t="s">
        <v>79</v>
      </c>
      <c r="K448" s="32">
        <v>12</v>
      </c>
      <c r="L448" s="32" t="s">
        <v>80</v>
      </c>
      <c r="M448" s="30" t="s">
        <v>1872</v>
      </c>
      <c r="N448" s="30" t="s">
        <v>160</v>
      </c>
      <c r="O448" s="30" t="s">
        <v>83</v>
      </c>
      <c r="P448" s="33">
        <v>46255</v>
      </c>
      <c r="Q448" s="33">
        <v>46255</v>
      </c>
      <c r="R448" s="32">
        <v>1</v>
      </c>
      <c r="S448" s="30" t="s">
        <v>463</v>
      </c>
      <c r="T448" s="30" t="s">
        <v>717</v>
      </c>
      <c r="U448" s="30" t="s">
        <v>160</v>
      </c>
      <c r="V448" s="30" t="s">
        <v>87</v>
      </c>
      <c r="W448" s="30" t="s">
        <v>88</v>
      </c>
      <c r="X448" s="30" t="s">
        <v>197</v>
      </c>
      <c r="Y448" s="30" t="s">
        <v>1063</v>
      </c>
      <c r="AB448" s="30" t="b">
        <v>0</v>
      </c>
      <c r="AC448" s="30"/>
      <c r="AD448" s="30" t="b">
        <v>0</v>
      </c>
      <c r="AF448" s="30" t="b">
        <v>0</v>
      </c>
      <c r="AH448" s="32" t="s">
        <v>91</v>
      </c>
      <c r="AI448" s="32"/>
      <c r="AJ448" s="32"/>
      <c r="AK448" s="32"/>
      <c r="AL448" s="30" t="s">
        <v>92</v>
      </c>
      <c r="AM448" s="30" t="s">
        <v>93</v>
      </c>
      <c r="AN448" s="30" t="s">
        <v>199</v>
      </c>
      <c r="AO448" s="30" t="s">
        <v>200</v>
      </c>
      <c r="AP448" s="30" t="s">
        <v>201</v>
      </c>
      <c r="AQ448" s="30" t="s">
        <v>202</v>
      </c>
      <c r="AR448" s="30" t="s">
        <v>97</v>
      </c>
      <c r="AS448" s="30" t="s">
        <v>1185</v>
      </c>
      <c r="AT448" s="30" t="s">
        <v>99</v>
      </c>
      <c r="AU448" s="30" t="s">
        <v>146</v>
      </c>
      <c r="AV448" s="30" t="s">
        <v>233</v>
      </c>
      <c r="AW448" s="30" t="s">
        <v>102</v>
      </c>
      <c r="AX448" s="34" t="s">
        <v>160</v>
      </c>
      <c r="AY448" s="34" t="s">
        <v>103</v>
      </c>
      <c r="AZ448" s="34"/>
      <c r="BA448" s="34"/>
      <c r="BB448" s="34"/>
      <c r="BC448" s="34">
        <v>0</v>
      </c>
      <c r="BD448" s="34"/>
      <c r="BE448" s="34"/>
      <c r="BF448" s="34" t="b">
        <v>0</v>
      </c>
      <c r="BG448" s="34"/>
      <c r="BH448" s="34"/>
      <c r="BI448" s="34"/>
      <c r="BJ448" s="34"/>
      <c r="BK448" s="34"/>
      <c r="BL448" s="34"/>
      <c r="BM448" s="34" t="s">
        <v>168</v>
      </c>
      <c r="BN448" s="34"/>
      <c r="BO448" s="35"/>
      <c r="BP448" s="35"/>
      <c r="BQ448" s="35" t="s">
        <v>108</v>
      </c>
      <c r="BR448" s="36" t="e">
        <f>VLOOKUP(BQ448, Cat_Indicadores!B:C, 2, FALSE)</f>
        <v>#N/A</v>
      </c>
      <c r="BS448" s="35" t="s">
        <v>5592</v>
      </c>
      <c r="BT448" s="35"/>
    </row>
    <row r="449" spans="1:72">
      <c r="A449" s="29" t="s">
        <v>1873</v>
      </c>
      <c r="B449" s="30" t="s">
        <v>1874</v>
      </c>
      <c r="C449" s="31">
        <v>46288.478472222225</v>
      </c>
      <c r="D449" s="30">
        <v>92</v>
      </c>
      <c r="E449" s="30" t="s">
        <v>74</v>
      </c>
      <c r="F449" s="30" t="s">
        <v>75</v>
      </c>
      <c r="G449" s="30" t="s">
        <v>133</v>
      </c>
      <c r="H449" s="30" t="s">
        <v>77</v>
      </c>
      <c r="I449" s="30" t="s">
        <v>78</v>
      </c>
      <c r="J449" s="30" t="s">
        <v>79</v>
      </c>
      <c r="K449" s="32">
        <v>800</v>
      </c>
      <c r="L449" s="32" t="s">
        <v>80</v>
      </c>
      <c r="M449" s="30" t="s">
        <v>1087</v>
      </c>
      <c r="N449" s="30" t="s">
        <v>1691</v>
      </c>
      <c r="O449" s="30" t="s">
        <v>83</v>
      </c>
      <c r="P449" s="33">
        <v>46256</v>
      </c>
      <c r="Q449" s="33">
        <v>46256</v>
      </c>
      <c r="R449" s="32">
        <v>1</v>
      </c>
      <c r="S449" s="30" t="s">
        <v>84</v>
      </c>
      <c r="T449" s="30" t="s">
        <v>337</v>
      </c>
      <c r="U449" s="30" t="s">
        <v>338</v>
      </c>
      <c r="V449" s="30" t="s">
        <v>87</v>
      </c>
      <c r="W449" s="30" t="s">
        <v>88</v>
      </c>
      <c r="X449" s="30" t="s">
        <v>197</v>
      </c>
      <c r="Y449" s="30" t="s">
        <v>1063</v>
      </c>
      <c r="AB449" s="30" t="b">
        <v>0</v>
      </c>
      <c r="AC449" s="30"/>
      <c r="AD449" s="30" t="b">
        <v>0</v>
      </c>
      <c r="AF449" s="30" t="b">
        <v>0</v>
      </c>
      <c r="AH449" s="32" t="s">
        <v>91</v>
      </c>
      <c r="AI449" s="32"/>
      <c r="AJ449" s="32"/>
      <c r="AK449" s="32"/>
      <c r="AL449" s="30" t="s">
        <v>92</v>
      </c>
      <c r="AM449" s="30" t="s">
        <v>93</v>
      </c>
      <c r="AN449" s="30" t="s">
        <v>199</v>
      </c>
      <c r="AO449" s="30" t="s">
        <v>200</v>
      </c>
      <c r="AP449" s="30" t="s">
        <v>201</v>
      </c>
      <c r="AQ449" s="30" t="s">
        <v>202</v>
      </c>
      <c r="AR449" s="30" t="s">
        <v>145</v>
      </c>
      <c r="AT449" s="30" t="s">
        <v>99</v>
      </c>
      <c r="AU449" s="30" t="s">
        <v>100</v>
      </c>
      <c r="AV449" s="30" t="s">
        <v>101</v>
      </c>
      <c r="AW449" s="30" t="s">
        <v>102</v>
      </c>
      <c r="AX449" s="34" t="s">
        <v>338</v>
      </c>
      <c r="AY449" s="34" t="s">
        <v>103</v>
      </c>
      <c r="AZ449" s="34"/>
      <c r="BA449" s="34"/>
      <c r="BB449" s="34"/>
      <c r="BC449" s="34">
        <v>0</v>
      </c>
      <c r="BD449" s="34"/>
      <c r="BE449" s="34"/>
      <c r="BF449" s="34" t="b">
        <v>0</v>
      </c>
      <c r="BG449" s="34"/>
      <c r="BH449" s="34"/>
      <c r="BI449" s="34"/>
      <c r="BJ449" s="34"/>
      <c r="BK449" s="34"/>
      <c r="BL449" s="34"/>
      <c r="BM449" s="34" t="s">
        <v>168</v>
      </c>
      <c r="BN449" s="34"/>
      <c r="BO449" s="35"/>
      <c r="BP449" s="35"/>
      <c r="BQ449" s="35" t="s">
        <v>108</v>
      </c>
      <c r="BR449" s="36" t="e">
        <f>VLOOKUP(BQ449, Cat_Indicadores!B:C, 2, FALSE)</f>
        <v>#N/A</v>
      </c>
      <c r="BS449" s="35" t="s">
        <v>5592</v>
      </c>
      <c r="BT449" s="35"/>
    </row>
    <row r="450" spans="1:72">
      <c r="A450" s="29" t="s">
        <v>1875</v>
      </c>
      <c r="B450" s="30" t="s">
        <v>1876</v>
      </c>
      <c r="C450" s="31">
        <v>46288.462476851855</v>
      </c>
      <c r="D450" s="30">
        <v>31</v>
      </c>
      <c r="E450" s="30" t="s">
        <v>1745</v>
      </c>
      <c r="F450" s="30" t="s">
        <v>1746</v>
      </c>
      <c r="G450" s="30" t="s">
        <v>1877</v>
      </c>
      <c r="H450" s="30" t="s">
        <v>1392</v>
      </c>
      <c r="I450" s="30" t="s">
        <v>1714</v>
      </c>
      <c r="J450" s="30" t="s">
        <v>1715</v>
      </c>
      <c r="K450" s="32">
        <v>3</v>
      </c>
      <c r="L450" s="32" t="s">
        <v>80</v>
      </c>
      <c r="M450" s="30" t="s">
        <v>1878</v>
      </c>
      <c r="N450" s="30" t="s">
        <v>1879</v>
      </c>
      <c r="O450" s="30" t="s">
        <v>83</v>
      </c>
      <c r="P450" s="33">
        <v>46121</v>
      </c>
      <c r="Q450" s="33">
        <v>46121</v>
      </c>
      <c r="R450" s="32">
        <v>1</v>
      </c>
      <c r="S450" s="30" t="s">
        <v>243</v>
      </c>
      <c r="T450" s="30" t="s">
        <v>740</v>
      </c>
      <c r="U450" s="30" t="s">
        <v>367</v>
      </c>
      <c r="V450" s="30" t="s">
        <v>87</v>
      </c>
      <c r="W450" s="30" t="s">
        <v>88</v>
      </c>
      <c r="X450" s="30" t="s">
        <v>1719</v>
      </c>
      <c r="AB450" s="30" t="b">
        <v>0</v>
      </c>
      <c r="AC450" s="30"/>
      <c r="AD450" s="30" t="b">
        <v>1</v>
      </c>
      <c r="AE450" s="30">
        <v>3</v>
      </c>
      <c r="AF450" s="30" t="b">
        <v>0</v>
      </c>
      <c r="AH450" s="32" t="s">
        <v>91</v>
      </c>
      <c r="AI450" s="32"/>
      <c r="AJ450" s="32"/>
      <c r="AK450" s="32"/>
      <c r="AL450" s="30" t="s">
        <v>1720</v>
      </c>
      <c r="AM450" s="30" t="s">
        <v>294</v>
      </c>
      <c r="AN450" s="30" t="s">
        <v>94</v>
      </c>
      <c r="AO450" s="30" t="s">
        <v>142</v>
      </c>
      <c r="AP450" s="30" t="s">
        <v>143</v>
      </c>
      <c r="AQ450" s="30" t="s">
        <v>144</v>
      </c>
      <c r="AR450" s="30" t="s">
        <v>691</v>
      </c>
      <c r="AT450" s="30" t="s">
        <v>99</v>
      </c>
      <c r="AU450" s="30" t="s">
        <v>100</v>
      </c>
      <c r="AV450" s="30" t="s">
        <v>101</v>
      </c>
      <c r="AW450" s="30" t="s">
        <v>102</v>
      </c>
      <c r="AX450" s="34" t="s">
        <v>367</v>
      </c>
      <c r="AY450" s="34" t="s">
        <v>167</v>
      </c>
      <c r="AZ450" s="34"/>
      <c r="BA450" s="34"/>
      <c r="BB450" s="34"/>
      <c r="BC450" s="34">
        <v>0</v>
      </c>
      <c r="BD450" s="34"/>
      <c r="BE450" s="34"/>
      <c r="BF450" s="34" t="b">
        <v>0</v>
      </c>
      <c r="BG450" s="34"/>
      <c r="BH450" s="34"/>
      <c r="BI450" s="34"/>
      <c r="BJ450" s="34"/>
      <c r="BK450" s="34"/>
      <c r="BL450" s="34"/>
      <c r="BM450" s="34" t="s">
        <v>168</v>
      </c>
      <c r="BN450" s="34"/>
      <c r="BO450" s="35"/>
      <c r="BP450" s="35"/>
      <c r="BQ450" s="35" t="s">
        <v>108</v>
      </c>
      <c r="BR450" s="36" t="e">
        <f>VLOOKUP(BQ450, Cat_Indicadores!B:C, 2, FALSE)</f>
        <v>#N/A</v>
      </c>
      <c r="BS450" s="35" t="s">
        <v>5592</v>
      </c>
      <c r="BT450" s="35"/>
    </row>
    <row r="451" spans="1:72">
      <c r="A451" s="29" t="s">
        <v>1880</v>
      </c>
      <c r="B451" s="30" t="s">
        <v>1881</v>
      </c>
      <c r="C451" s="31">
        <v>46288.547048611108</v>
      </c>
      <c r="D451" s="30">
        <v>71</v>
      </c>
      <c r="E451" s="30" t="s">
        <v>1711</v>
      </c>
      <c r="F451" s="30" t="s">
        <v>1712</v>
      </c>
      <c r="G451" s="30" t="s">
        <v>1735</v>
      </c>
      <c r="H451" s="30" t="s">
        <v>1392</v>
      </c>
      <c r="I451" s="30" t="s">
        <v>1714</v>
      </c>
      <c r="J451" s="30" t="s">
        <v>1736</v>
      </c>
      <c r="K451" s="32">
        <v>4</v>
      </c>
      <c r="L451" s="32" t="s">
        <v>80</v>
      </c>
      <c r="M451" s="30" t="s">
        <v>1882</v>
      </c>
      <c r="N451" s="30" t="s">
        <v>1883</v>
      </c>
      <c r="O451" s="30" t="s">
        <v>1371</v>
      </c>
      <c r="P451" s="33">
        <v>46174</v>
      </c>
      <c r="Q451" s="33">
        <v>46180</v>
      </c>
      <c r="R451" s="32">
        <v>7</v>
      </c>
      <c r="S451" s="30" t="s">
        <v>243</v>
      </c>
      <c r="T451" s="30" t="s">
        <v>662</v>
      </c>
      <c r="U451" s="30" t="s">
        <v>86</v>
      </c>
      <c r="V451" s="30" t="s">
        <v>87</v>
      </c>
      <c r="W451" s="30" t="s">
        <v>88</v>
      </c>
      <c r="X451" s="30" t="s">
        <v>1719</v>
      </c>
      <c r="AB451" s="30" t="b">
        <v>0</v>
      </c>
      <c r="AC451" s="30"/>
      <c r="AD451" s="30" t="b">
        <v>1</v>
      </c>
      <c r="AE451" s="30">
        <v>1</v>
      </c>
      <c r="AF451" s="30" t="b">
        <v>0</v>
      </c>
      <c r="AH451" s="32" t="s">
        <v>91</v>
      </c>
      <c r="AI451" s="32"/>
      <c r="AJ451" s="32"/>
      <c r="AK451" s="32"/>
      <c r="AL451" s="30" t="s">
        <v>1720</v>
      </c>
      <c r="AM451" s="30" t="s">
        <v>755</v>
      </c>
      <c r="AN451" s="30" t="s">
        <v>94</v>
      </c>
      <c r="AO451" s="30" t="s">
        <v>95</v>
      </c>
      <c r="AP451" s="30" t="s">
        <v>95</v>
      </c>
      <c r="AQ451" s="30" t="s">
        <v>96</v>
      </c>
      <c r="AR451" s="30" t="s">
        <v>97</v>
      </c>
      <c r="AS451" s="30" t="s">
        <v>98</v>
      </c>
      <c r="AT451" s="30" t="s">
        <v>275</v>
      </c>
      <c r="AU451" s="30" t="s">
        <v>276</v>
      </c>
      <c r="AV451" s="30" t="s">
        <v>1740</v>
      </c>
      <c r="AW451" s="30" t="s">
        <v>278</v>
      </c>
      <c r="AX451" s="34" t="s">
        <v>86</v>
      </c>
      <c r="AY451" s="34" t="s">
        <v>149</v>
      </c>
      <c r="AZ451" s="34" t="s">
        <v>562</v>
      </c>
      <c r="BA451" s="34"/>
      <c r="BB451" s="34">
        <v>5</v>
      </c>
      <c r="BC451" s="34">
        <v>1</v>
      </c>
      <c r="BD451" s="34" t="s">
        <v>185</v>
      </c>
      <c r="BE451" s="34" t="s">
        <v>1884</v>
      </c>
      <c r="BF451" s="34" t="b">
        <v>1</v>
      </c>
      <c r="BG451" s="34" t="s">
        <v>1042</v>
      </c>
      <c r="BH451" s="34">
        <v>56000</v>
      </c>
      <c r="BI451" s="34"/>
      <c r="BJ451" s="34"/>
      <c r="BK451" s="34"/>
      <c r="BL451" s="34"/>
      <c r="BM451" s="34" t="s">
        <v>168</v>
      </c>
      <c r="BN451" s="34"/>
      <c r="BO451" s="35"/>
      <c r="BP451" s="35"/>
      <c r="BQ451" s="35" t="s">
        <v>108</v>
      </c>
      <c r="BR451" s="36" t="e">
        <f>VLOOKUP(BQ451, Cat_Indicadores!B:C, 2, FALSE)</f>
        <v>#N/A</v>
      </c>
      <c r="BS451" s="35" t="s">
        <v>5592</v>
      </c>
      <c r="BT451" s="35"/>
    </row>
    <row r="452" spans="1:72">
      <c r="A452" s="29" t="s">
        <v>1885</v>
      </c>
      <c r="B452" s="30" t="s">
        <v>1886</v>
      </c>
      <c r="C452" s="31">
        <v>46288.557187500002</v>
      </c>
      <c r="D452" s="30">
        <v>77</v>
      </c>
      <c r="E452" s="30" t="s">
        <v>1711</v>
      </c>
      <c r="F452" s="30" t="s">
        <v>1712</v>
      </c>
      <c r="G452" s="30" t="s">
        <v>1837</v>
      </c>
      <c r="H452" s="30" t="s">
        <v>1392</v>
      </c>
      <c r="I452" s="30" t="s">
        <v>1714</v>
      </c>
      <c r="J452" s="30" t="s">
        <v>1349</v>
      </c>
      <c r="K452" s="32">
        <v>20</v>
      </c>
      <c r="L452" s="32" t="s">
        <v>80</v>
      </c>
      <c r="M452" s="30" t="s">
        <v>1887</v>
      </c>
      <c r="N452" s="30" t="s">
        <v>1888</v>
      </c>
      <c r="O452" s="30" t="s">
        <v>83</v>
      </c>
      <c r="P452" s="33">
        <v>46177</v>
      </c>
      <c r="Q452" s="33">
        <v>46177</v>
      </c>
      <c r="R452" s="32">
        <v>1</v>
      </c>
      <c r="S452" s="30" t="s">
        <v>84</v>
      </c>
      <c r="T452" s="30" t="s">
        <v>136</v>
      </c>
      <c r="U452" s="30" t="s">
        <v>1889</v>
      </c>
      <c r="V452" s="30" t="s">
        <v>87</v>
      </c>
      <c r="W452" s="30" t="s">
        <v>88</v>
      </c>
      <c r="X452" s="30" t="s">
        <v>1719</v>
      </c>
      <c r="AB452" s="30" t="b">
        <v>0</v>
      </c>
      <c r="AC452" s="30"/>
      <c r="AD452" s="30" t="b">
        <v>0</v>
      </c>
      <c r="AF452" s="30" t="b">
        <v>0</v>
      </c>
      <c r="AH452" s="32" t="s">
        <v>91</v>
      </c>
      <c r="AI452" s="32"/>
      <c r="AJ452" s="32"/>
      <c r="AK452" s="32"/>
      <c r="AL452" s="30" t="s">
        <v>1720</v>
      </c>
      <c r="AM452" s="30" t="s">
        <v>755</v>
      </c>
      <c r="AN452" s="30" t="s">
        <v>94</v>
      </c>
      <c r="AO452" s="30" t="s">
        <v>95</v>
      </c>
      <c r="AP452" s="30" t="s">
        <v>95</v>
      </c>
      <c r="AQ452" s="30" t="s">
        <v>96</v>
      </c>
      <c r="AR452" s="30" t="s">
        <v>97</v>
      </c>
      <c r="AS452" s="30" t="s">
        <v>98</v>
      </c>
      <c r="AT452" s="30" t="s">
        <v>275</v>
      </c>
      <c r="AU452" s="30" t="s">
        <v>276</v>
      </c>
      <c r="AV452" s="30" t="s">
        <v>1740</v>
      </c>
      <c r="AW452" s="30" t="s">
        <v>278</v>
      </c>
      <c r="AX452" s="34" t="s">
        <v>137</v>
      </c>
      <c r="AY452" s="34" t="s">
        <v>149</v>
      </c>
      <c r="AZ452" s="34" t="s">
        <v>149</v>
      </c>
      <c r="BA452" s="34"/>
      <c r="BB452" s="34">
        <v>5</v>
      </c>
      <c r="BC452" s="34">
        <v>31</v>
      </c>
      <c r="BD452" s="34"/>
      <c r="BE452" s="34"/>
      <c r="BF452" s="34" t="b">
        <v>0</v>
      </c>
      <c r="BG452" s="34"/>
      <c r="BH452" s="34"/>
      <c r="BI452" s="34"/>
      <c r="BJ452" s="34"/>
      <c r="BK452" s="34"/>
      <c r="BL452" s="34"/>
      <c r="BM452" s="34" t="s">
        <v>168</v>
      </c>
      <c r="BN452" s="34"/>
      <c r="BO452" s="35"/>
      <c r="BP452" s="35"/>
      <c r="BQ452" s="35" t="s">
        <v>108</v>
      </c>
      <c r="BR452" s="36" t="e">
        <f>VLOOKUP(BQ452, Cat_Indicadores!B:C, 2, FALSE)</f>
        <v>#N/A</v>
      </c>
      <c r="BS452" s="35" t="s">
        <v>5592</v>
      </c>
      <c r="BT452" s="35"/>
    </row>
    <row r="453" spans="1:72">
      <c r="A453" s="29" t="s">
        <v>1890</v>
      </c>
      <c r="B453" s="30" t="s">
        <v>1891</v>
      </c>
      <c r="C453" s="31">
        <v>46288.553460648145</v>
      </c>
      <c r="D453" s="30">
        <v>29</v>
      </c>
      <c r="E453" s="30" t="s">
        <v>1745</v>
      </c>
      <c r="F453" s="30" t="s">
        <v>1746</v>
      </c>
      <c r="G453" s="30" t="s">
        <v>1747</v>
      </c>
      <c r="H453" s="30" t="s">
        <v>1392</v>
      </c>
      <c r="I453" s="30" t="s">
        <v>1714</v>
      </c>
      <c r="J453" s="30" t="s">
        <v>1748</v>
      </c>
      <c r="K453" s="32">
        <v>16</v>
      </c>
      <c r="L453" s="32" t="s">
        <v>80</v>
      </c>
      <c r="M453" s="30" t="s">
        <v>1892</v>
      </c>
      <c r="N453" s="30" t="s">
        <v>1893</v>
      </c>
      <c r="O453" s="30" t="s">
        <v>1371</v>
      </c>
      <c r="P453" s="33">
        <v>46230</v>
      </c>
      <c r="Q453" s="33">
        <v>46235</v>
      </c>
      <c r="R453" s="32">
        <v>5</v>
      </c>
      <c r="S453" s="30" t="s">
        <v>84</v>
      </c>
      <c r="T453" s="30" t="s">
        <v>136</v>
      </c>
      <c r="U453" s="30" t="s">
        <v>86</v>
      </c>
      <c r="V453" s="30" t="s">
        <v>87</v>
      </c>
      <c r="W453" s="30" t="s">
        <v>88</v>
      </c>
      <c r="X453" s="30" t="s">
        <v>1719</v>
      </c>
      <c r="AB453" s="30" t="b">
        <v>0</v>
      </c>
      <c r="AC453" s="30"/>
      <c r="AD453" s="30" t="b">
        <v>1</v>
      </c>
      <c r="AE453" s="30">
        <v>1</v>
      </c>
      <c r="AF453" s="30" t="b">
        <v>0</v>
      </c>
      <c r="AH453" s="32" t="s">
        <v>91</v>
      </c>
      <c r="AI453" s="32"/>
      <c r="AJ453" s="32"/>
      <c r="AK453" s="32"/>
      <c r="AL453" s="30" t="s">
        <v>1720</v>
      </c>
      <c r="AM453" s="30" t="s">
        <v>1739</v>
      </c>
      <c r="AN453" s="30" t="s">
        <v>199</v>
      </c>
      <c r="AO453" s="30" t="s">
        <v>200</v>
      </c>
      <c r="AP453" s="30" t="s">
        <v>201</v>
      </c>
      <c r="AQ453" s="30" t="s">
        <v>202</v>
      </c>
      <c r="AR453" s="30" t="s">
        <v>97</v>
      </c>
      <c r="AS453" s="30" t="s">
        <v>98</v>
      </c>
      <c r="AT453" s="30" t="s">
        <v>275</v>
      </c>
      <c r="AU453" s="30" t="s">
        <v>276</v>
      </c>
      <c r="AV453" s="30" t="s">
        <v>1740</v>
      </c>
      <c r="AW453" s="30" t="s">
        <v>278</v>
      </c>
      <c r="AX453" s="34" t="s">
        <v>86</v>
      </c>
      <c r="AY453" s="34" t="s">
        <v>149</v>
      </c>
      <c r="AZ453" s="34" t="s">
        <v>149</v>
      </c>
      <c r="BA453" s="34" t="s">
        <v>1893</v>
      </c>
      <c r="BB453" s="34">
        <v>5</v>
      </c>
      <c r="BC453" s="34">
        <v>1</v>
      </c>
      <c r="BD453" s="34" t="s">
        <v>1365</v>
      </c>
      <c r="BE453" s="34" t="s">
        <v>1894</v>
      </c>
      <c r="BF453" s="34" t="b">
        <v>1</v>
      </c>
      <c r="BG453" s="34" t="s">
        <v>1042</v>
      </c>
      <c r="BH453" s="34">
        <v>15000</v>
      </c>
      <c r="BI453" s="34"/>
      <c r="BJ453" s="34"/>
      <c r="BK453" s="34"/>
      <c r="BL453" s="34"/>
      <c r="BM453" s="34" t="s">
        <v>168</v>
      </c>
      <c r="BN453" s="34"/>
      <c r="BO453" s="35"/>
      <c r="BP453" s="35"/>
      <c r="BQ453" s="35" t="s">
        <v>108</v>
      </c>
      <c r="BR453" s="36" t="e">
        <f>VLOOKUP(BQ453, Cat_Indicadores!B:C, 2, FALSE)</f>
        <v>#N/A</v>
      </c>
      <c r="BS453" s="35" t="s">
        <v>5592</v>
      </c>
      <c r="BT453" s="35"/>
    </row>
    <row r="454" spans="1:72">
      <c r="A454" s="29" t="s">
        <v>1895</v>
      </c>
      <c r="B454" s="30" t="s">
        <v>1896</v>
      </c>
      <c r="C454" s="31">
        <v>46288.567743055559</v>
      </c>
      <c r="D454" s="30">
        <v>1</v>
      </c>
      <c r="E454" s="30" t="s">
        <v>1897</v>
      </c>
      <c r="F454" s="30" t="s">
        <v>1898</v>
      </c>
      <c r="G454" s="30" t="s">
        <v>1899</v>
      </c>
      <c r="H454" s="30" t="s">
        <v>77</v>
      </c>
      <c r="I454" s="30" t="s">
        <v>1448</v>
      </c>
      <c r="J454" s="30" t="s">
        <v>1900</v>
      </c>
      <c r="K454" s="32">
        <v>20</v>
      </c>
      <c r="L454" s="32" t="s">
        <v>211</v>
      </c>
      <c r="M454" s="30" t="s">
        <v>1901</v>
      </c>
      <c r="N454" s="30" t="s">
        <v>1902</v>
      </c>
      <c r="O454" s="30" t="s">
        <v>1371</v>
      </c>
      <c r="P454" s="33">
        <v>46178</v>
      </c>
      <c r="Q454" s="33">
        <v>46197</v>
      </c>
      <c r="R454" s="32">
        <v>20</v>
      </c>
      <c r="S454" s="30" t="s">
        <v>243</v>
      </c>
      <c r="T454" s="30" t="s">
        <v>662</v>
      </c>
      <c r="U454" s="30" t="s">
        <v>86</v>
      </c>
      <c r="V454" s="30" t="s">
        <v>87</v>
      </c>
      <c r="W454" s="30" t="s">
        <v>88</v>
      </c>
      <c r="X454" s="30" t="s">
        <v>89</v>
      </c>
      <c r="Z454" s="30" t="s">
        <v>1903</v>
      </c>
      <c r="AB454" s="30" t="b">
        <v>0</v>
      </c>
      <c r="AC454" s="30"/>
      <c r="AD454" s="30" t="b">
        <v>0</v>
      </c>
      <c r="AF454" s="30" t="b">
        <v>0</v>
      </c>
      <c r="AH454" s="32" t="s">
        <v>91</v>
      </c>
      <c r="AI454" s="32"/>
      <c r="AJ454" s="32"/>
      <c r="AK454" s="32"/>
      <c r="AL454" s="30" t="s">
        <v>1720</v>
      </c>
      <c r="AM454" s="30" t="s">
        <v>755</v>
      </c>
      <c r="AN454" s="30" t="s">
        <v>94</v>
      </c>
      <c r="AO454" s="30" t="s">
        <v>95</v>
      </c>
      <c r="AP454" s="30" t="s">
        <v>95</v>
      </c>
      <c r="AQ454" s="30" t="s">
        <v>96</v>
      </c>
      <c r="AR454" s="30" t="s">
        <v>97</v>
      </c>
      <c r="AS454" s="30" t="s">
        <v>112</v>
      </c>
      <c r="AT454" s="30" t="s">
        <v>275</v>
      </c>
      <c r="AU454" s="30" t="s">
        <v>276</v>
      </c>
      <c r="AV454" s="30" t="s">
        <v>1740</v>
      </c>
      <c r="AW454" s="30" t="s">
        <v>278</v>
      </c>
      <c r="AX454" s="34" t="s">
        <v>86</v>
      </c>
      <c r="AY454" s="34" t="s">
        <v>149</v>
      </c>
      <c r="AZ454" s="34" t="s">
        <v>149</v>
      </c>
      <c r="BA454" s="34"/>
      <c r="BB454" s="34">
        <v>6</v>
      </c>
      <c r="BC454" s="34">
        <v>1</v>
      </c>
      <c r="BD454" s="34" t="s">
        <v>185</v>
      </c>
      <c r="BE454" s="34" t="s">
        <v>1904</v>
      </c>
      <c r="BF454" s="34" t="b">
        <v>0</v>
      </c>
      <c r="BG454" s="34"/>
      <c r="BH454" s="34"/>
      <c r="BI454" s="34"/>
      <c r="BJ454" s="34"/>
      <c r="BK454" s="34"/>
      <c r="BL454" s="34"/>
      <c r="BM454" s="34" t="s">
        <v>168</v>
      </c>
      <c r="BN454" s="34"/>
      <c r="BO454" s="35"/>
      <c r="BP454" s="35"/>
      <c r="BQ454" s="35" t="s">
        <v>108</v>
      </c>
      <c r="BR454" s="36" t="e">
        <f>VLOOKUP(BQ454, Cat_Indicadores!B:C, 2, FALSE)</f>
        <v>#N/A</v>
      </c>
      <c r="BS454" s="35" t="s">
        <v>5592</v>
      </c>
      <c r="BT454" s="35"/>
    </row>
    <row r="455" spans="1:72">
      <c r="A455" s="29" t="s">
        <v>1905</v>
      </c>
      <c r="B455" s="30" t="s">
        <v>1906</v>
      </c>
      <c r="C455" s="31">
        <v>46288.489398148151</v>
      </c>
      <c r="D455" s="30">
        <v>92</v>
      </c>
      <c r="E455" s="30" t="s">
        <v>74</v>
      </c>
      <c r="F455" s="30" t="s">
        <v>75</v>
      </c>
      <c r="G455" s="30" t="s">
        <v>133</v>
      </c>
      <c r="H455" s="30" t="s">
        <v>77</v>
      </c>
      <c r="I455" s="30" t="s">
        <v>78</v>
      </c>
      <c r="J455" s="30" t="s">
        <v>79</v>
      </c>
      <c r="K455" s="32">
        <v>800</v>
      </c>
      <c r="L455" s="32" t="s">
        <v>80</v>
      </c>
      <c r="M455" s="30" t="s">
        <v>1087</v>
      </c>
      <c r="N455" s="30" t="s">
        <v>402</v>
      </c>
      <c r="O455" s="30" t="s">
        <v>83</v>
      </c>
      <c r="P455" s="33">
        <v>46259</v>
      </c>
      <c r="Q455" s="33">
        <v>46259</v>
      </c>
      <c r="R455" s="32">
        <v>1</v>
      </c>
      <c r="S455" s="30" t="s">
        <v>84</v>
      </c>
      <c r="T455" s="30" t="s">
        <v>337</v>
      </c>
      <c r="U455" s="30" t="s">
        <v>338</v>
      </c>
      <c r="V455" s="30" t="s">
        <v>87</v>
      </c>
      <c r="W455" s="30" t="s">
        <v>88</v>
      </c>
      <c r="X455" s="30" t="s">
        <v>197</v>
      </c>
      <c r="Y455" s="30" t="s">
        <v>1063</v>
      </c>
      <c r="AB455" s="30" t="b">
        <v>0</v>
      </c>
      <c r="AC455" s="30"/>
      <c r="AD455" s="30" t="b">
        <v>0</v>
      </c>
      <c r="AF455" s="30" t="b">
        <v>0</v>
      </c>
      <c r="AH455" s="32" t="s">
        <v>91</v>
      </c>
      <c r="AI455" s="32"/>
      <c r="AJ455" s="32"/>
      <c r="AK455" s="32"/>
      <c r="AL455" s="30" t="s">
        <v>92</v>
      </c>
      <c r="AM455" s="30" t="s">
        <v>93</v>
      </c>
      <c r="AN455" s="30" t="s">
        <v>199</v>
      </c>
      <c r="AO455" s="30" t="s">
        <v>200</v>
      </c>
      <c r="AP455" s="30" t="s">
        <v>201</v>
      </c>
      <c r="AQ455" s="30" t="s">
        <v>202</v>
      </c>
      <c r="AR455" s="30" t="s">
        <v>145</v>
      </c>
      <c r="AT455" s="30" t="s">
        <v>99</v>
      </c>
      <c r="AU455" s="30" t="s">
        <v>100</v>
      </c>
      <c r="AV455" s="30" t="s">
        <v>101</v>
      </c>
      <c r="AW455" s="30" t="s">
        <v>102</v>
      </c>
      <c r="AX455" s="34" t="s">
        <v>338</v>
      </c>
      <c r="AY455" s="34" t="s">
        <v>103</v>
      </c>
      <c r="AZ455" s="34"/>
      <c r="BA455" s="34"/>
      <c r="BB455" s="34"/>
      <c r="BC455" s="34">
        <v>0</v>
      </c>
      <c r="BD455" s="34"/>
      <c r="BE455" s="34"/>
      <c r="BF455" s="34" t="b">
        <v>0</v>
      </c>
      <c r="BG455" s="34"/>
      <c r="BH455" s="34"/>
      <c r="BI455" s="34"/>
      <c r="BJ455" s="34"/>
      <c r="BK455" s="34"/>
      <c r="BL455" s="34"/>
      <c r="BM455" s="34" t="s">
        <v>168</v>
      </c>
      <c r="BN455" s="34"/>
      <c r="BO455" s="35"/>
      <c r="BP455" s="35"/>
      <c r="BQ455" s="35" t="s">
        <v>108</v>
      </c>
      <c r="BR455" s="36" t="e">
        <f>VLOOKUP(BQ455, Cat_Indicadores!B:C, 2, FALSE)</f>
        <v>#N/A</v>
      </c>
      <c r="BS455" s="35" t="s">
        <v>5592</v>
      </c>
      <c r="BT455" s="35"/>
    </row>
    <row r="456" spans="1:72">
      <c r="A456" s="29" t="s">
        <v>1907</v>
      </c>
      <c r="B456" s="30" t="s">
        <v>1908</v>
      </c>
      <c r="C456" s="31">
        <v>46288.536412037036</v>
      </c>
      <c r="D456" s="30">
        <v>31</v>
      </c>
      <c r="E456" s="30" t="s">
        <v>1745</v>
      </c>
      <c r="F456" s="30" t="s">
        <v>1746</v>
      </c>
      <c r="G456" s="30" t="s">
        <v>1877</v>
      </c>
      <c r="H456" s="30" t="s">
        <v>1392</v>
      </c>
      <c r="I456" s="30" t="s">
        <v>1714</v>
      </c>
      <c r="J456" s="30" t="s">
        <v>1715</v>
      </c>
      <c r="K456" s="32">
        <v>3</v>
      </c>
      <c r="L456" s="32" t="s">
        <v>211</v>
      </c>
      <c r="M456" s="30" t="s">
        <v>1909</v>
      </c>
      <c r="N456" s="30" t="s">
        <v>1910</v>
      </c>
      <c r="O456" s="30" t="s">
        <v>1718</v>
      </c>
      <c r="P456" s="33">
        <v>46144</v>
      </c>
      <c r="Q456" s="33">
        <v>46201</v>
      </c>
      <c r="R456" s="32">
        <v>1</v>
      </c>
      <c r="S456" s="30" t="s">
        <v>463</v>
      </c>
      <c r="T456" s="30" t="s">
        <v>464</v>
      </c>
      <c r="U456" s="30" t="s">
        <v>367</v>
      </c>
      <c r="V456" s="30" t="s">
        <v>87</v>
      </c>
      <c r="W456" s="30" t="s">
        <v>88</v>
      </c>
      <c r="X456" s="30" t="s">
        <v>1719</v>
      </c>
      <c r="AB456" s="30" t="b">
        <v>0</v>
      </c>
      <c r="AC456" s="30"/>
      <c r="AD456" s="30" t="b">
        <v>1</v>
      </c>
      <c r="AE456" s="30">
        <v>2</v>
      </c>
      <c r="AF456" s="30" t="b">
        <v>0</v>
      </c>
      <c r="AH456" s="32" t="s">
        <v>91</v>
      </c>
      <c r="AI456" s="32"/>
      <c r="AJ456" s="32"/>
      <c r="AK456" s="32"/>
      <c r="AL456" s="30" t="s">
        <v>1720</v>
      </c>
      <c r="AM456" s="30" t="s">
        <v>294</v>
      </c>
      <c r="AN456" s="30" t="s">
        <v>94</v>
      </c>
      <c r="AO456" s="30" t="s">
        <v>142</v>
      </c>
      <c r="AP456" s="30" t="s">
        <v>143</v>
      </c>
      <c r="AQ456" s="30" t="s">
        <v>144</v>
      </c>
      <c r="AR456" s="30" t="s">
        <v>691</v>
      </c>
      <c r="AT456" s="30" t="s">
        <v>99</v>
      </c>
      <c r="AU456" s="30" t="s">
        <v>100</v>
      </c>
      <c r="AV456" s="30" t="s">
        <v>101</v>
      </c>
      <c r="AW456" s="30" t="s">
        <v>102</v>
      </c>
      <c r="AX456" s="34" t="s">
        <v>367</v>
      </c>
      <c r="AY456" s="34" t="s">
        <v>778</v>
      </c>
      <c r="AZ456" s="34"/>
      <c r="BA456" s="34"/>
      <c r="BB456" s="34">
        <v>11</v>
      </c>
      <c r="BC456" s="34">
        <v>1</v>
      </c>
      <c r="BD456" s="34" t="s">
        <v>1365</v>
      </c>
      <c r="BE456" s="34" t="s">
        <v>1911</v>
      </c>
      <c r="BF456" s="34" t="b">
        <v>0</v>
      </c>
      <c r="BG456" s="34"/>
      <c r="BH456" s="34">
        <v>40000</v>
      </c>
      <c r="BI456" s="34"/>
      <c r="BJ456" s="34"/>
      <c r="BK456" s="34"/>
      <c r="BL456" s="34"/>
      <c r="BM456" s="34" t="s">
        <v>168</v>
      </c>
      <c r="BN456" s="34"/>
      <c r="BO456" s="35"/>
      <c r="BP456" s="35"/>
      <c r="BQ456" s="35" t="s">
        <v>108</v>
      </c>
      <c r="BR456" s="36" t="e">
        <f>VLOOKUP(BQ456, Cat_Indicadores!B:C, 2, FALSE)</f>
        <v>#N/A</v>
      </c>
      <c r="BS456" s="35" t="s">
        <v>5592</v>
      </c>
      <c r="BT456" s="35"/>
    </row>
    <row r="457" spans="1:72">
      <c r="A457" s="29" t="s">
        <v>1912</v>
      </c>
      <c r="B457" s="30" t="s">
        <v>1913</v>
      </c>
      <c r="C457" s="31">
        <v>46288.598090277781</v>
      </c>
      <c r="D457" s="30">
        <v>94</v>
      </c>
      <c r="E457" s="30" t="s">
        <v>74</v>
      </c>
      <c r="F457" s="30" t="s">
        <v>75</v>
      </c>
      <c r="G457" s="30" t="s">
        <v>76</v>
      </c>
      <c r="H457" s="30" t="s">
        <v>77</v>
      </c>
      <c r="I457" s="30" t="s">
        <v>78</v>
      </c>
      <c r="J457" s="30" t="s">
        <v>79</v>
      </c>
      <c r="K457" s="32">
        <v>12</v>
      </c>
      <c r="L457" s="32" t="s">
        <v>211</v>
      </c>
      <c r="M457" s="30" t="s">
        <v>815</v>
      </c>
      <c r="N457" s="30" t="s">
        <v>816</v>
      </c>
      <c r="O457" s="30" t="s">
        <v>581</v>
      </c>
      <c r="P457" s="33">
        <v>46267</v>
      </c>
      <c r="Q457" s="33">
        <v>46288</v>
      </c>
      <c r="R457" s="32">
        <v>4</v>
      </c>
      <c r="S457" s="30" t="s">
        <v>84</v>
      </c>
      <c r="T457" s="30" t="s">
        <v>337</v>
      </c>
      <c r="U457" s="30" t="s">
        <v>86</v>
      </c>
      <c r="V457" s="30" t="s">
        <v>87</v>
      </c>
      <c r="W457" s="30" t="s">
        <v>88</v>
      </c>
      <c r="X457" s="30" t="s">
        <v>197</v>
      </c>
      <c r="Y457" s="30" t="s">
        <v>1063</v>
      </c>
      <c r="AB457" s="30" t="b">
        <v>0</v>
      </c>
      <c r="AC457" s="30"/>
      <c r="AD457" s="30" t="b">
        <v>0</v>
      </c>
      <c r="AF457" s="30" t="b">
        <v>0</v>
      </c>
      <c r="AH457" s="32" t="s">
        <v>91</v>
      </c>
      <c r="AI457" s="32"/>
      <c r="AJ457" s="32"/>
      <c r="AK457" s="32"/>
      <c r="AL457" s="30" t="s">
        <v>92</v>
      </c>
      <c r="AM457" s="30" t="s">
        <v>93</v>
      </c>
      <c r="AN457" s="30" t="s">
        <v>199</v>
      </c>
      <c r="AO457" s="30" t="s">
        <v>200</v>
      </c>
      <c r="AP457" s="30" t="s">
        <v>201</v>
      </c>
      <c r="AQ457" s="30" t="s">
        <v>202</v>
      </c>
      <c r="AR457" s="30" t="s">
        <v>145</v>
      </c>
      <c r="AT457" s="30" t="s">
        <v>226</v>
      </c>
      <c r="AU457" s="30" t="s">
        <v>204</v>
      </c>
      <c r="AV457" s="30" t="s">
        <v>227</v>
      </c>
      <c r="AW457" s="30" t="s">
        <v>206</v>
      </c>
      <c r="AX457" s="34" t="s">
        <v>86</v>
      </c>
      <c r="AY457" s="34" t="s">
        <v>149</v>
      </c>
      <c r="AZ457" s="34" t="s">
        <v>149</v>
      </c>
      <c r="BA457" s="34"/>
      <c r="BB457" s="34"/>
      <c r="BC457" s="34">
        <v>0</v>
      </c>
      <c r="BD457" s="34"/>
      <c r="BE457" s="34"/>
      <c r="BF457" s="34" t="b">
        <v>0</v>
      </c>
      <c r="BG457" s="34"/>
      <c r="BH457" s="34"/>
      <c r="BI457" s="34"/>
      <c r="BJ457" s="34"/>
      <c r="BK457" s="34"/>
      <c r="BL457" s="34" t="s">
        <v>1697</v>
      </c>
      <c r="BM457" s="34" t="s">
        <v>106</v>
      </c>
      <c r="BN457" s="34" t="s">
        <v>107</v>
      </c>
      <c r="BO457" s="35"/>
      <c r="BP457" s="35"/>
      <c r="BQ457" s="35" t="s">
        <v>108</v>
      </c>
      <c r="BR457" s="36" t="e">
        <f>VLOOKUP(BQ457, Cat_Indicadores!B:C, 2, FALSE)</f>
        <v>#N/A</v>
      </c>
      <c r="BS457" s="35" t="s">
        <v>5592</v>
      </c>
      <c r="BT457" s="35"/>
    </row>
    <row r="458" spans="1:72">
      <c r="A458" s="29" t="s">
        <v>1914</v>
      </c>
      <c r="B458" s="30" t="s">
        <v>1915</v>
      </c>
      <c r="C458" s="31">
        <v>46288.645810185182</v>
      </c>
      <c r="D458" s="30">
        <v>94</v>
      </c>
      <c r="E458" s="30" t="s">
        <v>74</v>
      </c>
      <c r="F458" s="30" t="s">
        <v>75</v>
      </c>
      <c r="G458" s="30" t="s">
        <v>76</v>
      </c>
      <c r="H458" s="30" t="s">
        <v>77</v>
      </c>
      <c r="I458" s="30" t="s">
        <v>78</v>
      </c>
      <c r="J458" s="30" t="s">
        <v>79</v>
      </c>
      <c r="K458" s="32">
        <v>12</v>
      </c>
      <c r="L458" s="32" t="s">
        <v>80</v>
      </c>
      <c r="M458" s="30" t="s">
        <v>819</v>
      </c>
      <c r="N458" s="30" t="s">
        <v>820</v>
      </c>
      <c r="O458" s="30" t="s">
        <v>581</v>
      </c>
      <c r="P458" s="33">
        <v>46268</v>
      </c>
      <c r="Q458" s="33">
        <v>46289</v>
      </c>
      <c r="R458" s="32">
        <v>4</v>
      </c>
      <c r="S458" s="30" t="s">
        <v>84</v>
      </c>
      <c r="T458" s="30" t="s">
        <v>337</v>
      </c>
      <c r="U458" s="30" t="s">
        <v>86</v>
      </c>
      <c r="V458" s="30" t="s">
        <v>87</v>
      </c>
      <c r="W458" s="30" t="s">
        <v>88</v>
      </c>
      <c r="X458" s="30" t="s">
        <v>197</v>
      </c>
      <c r="Y458" s="30" t="s">
        <v>1063</v>
      </c>
      <c r="AB458" s="30" t="b">
        <v>0</v>
      </c>
      <c r="AC458" s="30"/>
      <c r="AD458" s="30" t="b">
        <v>0</v>
      </c>
      <c r="AF458" s="30" t="b">
        <v>0</v>
      </c>
      <c r="AH458" s="32" t="s">
        <v>91</v>
      </c>
      <c r="AI458" s="32"/>
      <c r="AJ458" s="32"/>
      <c r="AK458" s="32"/>
      <c r="AL458" s="30" t="s">
        <v>92</v>
      </c>
      <c r="AM458" s="30" t="s">
        <v>93</v>
      </c>
      <c r="AN458" s="30" t="s">
        <v>199</v>
      </c>
      <c r="AO458" s="30" t="s">
        <v>200</v>
      </c>
      <c r="AP458" s="30" t="s">
        <v>201</v>
      </c>
      <c r="AQ458" s="30" t="s">
        <v>202</v>
      </c>
      <c r="AR458" s="30" t="s">
        <v>145</v>
      </c>
      <c r="AT458" s="30" t="s">
        <v>226</v>
      </c>
      <c r="AU458" s="30" t="s">
        <v>204</v>
      </c>
      <c r="AV458" s="30" t="s">
        <v>227</v>
      </c>
      <c r="AW458" s="30" t="s">
        <v>206</v>
      </c>
      <c r="AX458" s="34" t="s">
        <v>86</v>
      </c>
      <c r="AY458" s="34" t="s">
        <v>149</v>
      </c>
      <c r="AZ458" s="34" t="s">
        <v>149</v>
      </c>
      <c r="BA458" s="34"/>
      <c r="BB458" s="34"/>
      <c r="BC458" s="34">
        <v>0</v>
      </c>
      <c r="BD458" s="34"/>
      <c r="BE458" s="34"/>
      <c r="BF458" s="34" t="b">
        <v>0</v>
      </c>
      <c r="BG458" s="34"/>
      <c r="BH458" s="34"/>
      <c r="BI458" s="34"/>
      <c r="BJ458" s="34"/>
      <c r="BK458" s="34"/>
      <c r="BL458" s="34" t="s">
        <v>1697</v>
      </c>
      <c r="BM458" s="34" t="s">
        <v>106</v>
      </c>
      <c r="BN458" s="34" t="s">
        <v>107</v>
      </c>
      <c r="BO458" s="35"/>
      <c r="BP458" s="35"/>
      <c r="BQ458" s="35" t="s">
        <v>108</v>
      </c>
      <c r="BR458" s="36" t="e">
        <f>VLOOKUP(BQ458, Cat_Indicadores!B:C, 2, FALSE)</f>
        <v>#N/A</v>
      </c>
      <c r="BS458" s="35" t="s">
        <v>5592</v>
      </c>
      <c r="BT458" s="35"/>
    </row>
    <row r="459" spans="1:72">
      <c r="A459" s="29" t="s">
        <v>1916</v>
      </c>
      <c r="B459" s="30" t="s">
        <v>1917</v>
      </c>
      <c r="C459" s="31">
        <v>46288.673842592594</v>
      </c>
      <c r="D459" s="30">
        <v>76</v>
      </c>
      <c r="E459" s="30" t="s">
        <v>1711</v>
      </c>
      <c r="F459" s="30" t="s">
        <v>1712</v>
      </c>
      <c r="G459" s="30" t="s">
        <v>1713</v>
      </c>
      <c r="H459" s="30" t="s">
        <v>1392</v>
      </c>
      <c r="I459" s="30" t="s">
        <v>1714</v>
      </c>
      <c r="J459" s="30" t="s">
        <v>1715</v>
      </c>
      <c r="K459" s="32">
        <v>3</v>
      </c>
      <c r="L459" s="32" t="s">
        <v>211</v>
      </c>
      <c r="M459" s="30" t="s">
        <v>1918</v>
      </c>
      <c r="N459" s="30" t="s">
        <v>1919</v>
      </c>
      <c r="O459" s="30" t="s">
        <v>83</v>
      </c>
      <c r="P459" s="33">
        <v>46195</v>
      </c>
      <c r="Q459" s="33">
        <v>46204</v>
      </c>
      <c r="R459" s="32">
        <v>0</v>
      </c>
      <c r="S459" s="30" t="s">
        <v>322</v>
      </c>
      <c r="T459" s="30" t="s">
        <v>1330</v>
      </c>
      <c r="U459" s="30" t="s">
        <v>367</v>
      </c>
      <c r="V459" s="30" t="s">
        <v>87</v>
      </c>
      <c r="W459" s="30" t="s">
        <v>88</v>
      </c>
      <c r="X459" s="30" t="s">
        <v>1719</v>
      </c>
      <c r="AB459" s="30" t="b">
        <v>0</v>
      </c>
      <c r="AC459" s="30"/>
      <c r="AD459" s="30" t="b">
        <v>1</v>
      </c>
      <c r="AE459" s="30">
        <v>1</v>
      </c>
      <c r="AF459" s="30" t="b">
        <v>0</v>
      </c>
      <c r="AH459" s="32" t="s">
        <v>91</v>
      </c>
      <c r="AI459" s="32"/>
      <c r="AJ459" s="32"/>
      <c r="AK459" s="32"/>
      <c r="AL459" s="30" t="s">
        <v>1720</v>
      </c>
      <c r="AM459" s="30" t="s">
        <v>294</v>
      </c>
      <c r="AN459" s="30" t="s">
        <v>94</v>
      </c>
      <c r="AO459" s="30" t="s">
        <v>142</v>
      </c>
      <c r="AP459" s="30" t="s">
        <v>143</v>
      </c>
      <c r="AQ459" s="30" t="s">
        <v>144</v>
      </c>
      <c r="AR459" s="30" t="s">
        <v>691</v>
      </c>
      <c r="AT459" s="30" t="s">
        <v>99</v>
      </c>
      <c r="AU459" s="30" t="s">
        <v>100</v>
      </c>
      <c r="AV459" s="30" t="s">
        <v>101</v>
      </c>
      <c r="AW459" s="30" t="s">
        <v>102</v>
      </c>
      <c r="AX459" s="34" t="s">
        <v>367</v>
      </c>
      <c r="AY459" s="34" t="s">
        <v>167</v>
      </c>
      <c r="AZ459" s="34"/>
      <c r="BA459" s="34"/>
      <c r="BB459" s="34"/>
      <c r="BC459" s="34">
        <v>0</v>
      </c>
      <c r="BD459" s="34"/>
      <c r="BE459" s="34"/>
      <c r="BF459" s="34" t="b">
        <v>0</v>
      </c>
      <c r="BG459" s="34"/>
      <c r="BH459" s="34"/>
      <c r="BI459" s="34"/>
      <c r="BJ459" s="34"/>
      <c r="BK459" s="34"/>
      <c r="BL459" s="34"/>
      <c r="BM459" s="34" t="s">
        <v>168</v>
      </c>
      <c r="BN459" s="34"/>
      <c r="BO459" s="35"/>
      <c r="BP459" s="35"/>
      <c r="BQ459" s="35" t="s">
        <v>108</v>
      </c>
      <c r="BR459" s="36" t="e">
        <f>VLOOKUP(BQ459, Cat_Indicadores!B:C, 2, FALSE)</f>
        <v>#N/A</v>
      </c>
      <c r="BS459" s="35" t="s">
        <v>5592</v>
      </c>
      <c r="BT459" s="35"/>
    </row>
    <row r="460" spans="1:72">
      <c r="A460" s="29" t="s">
        <v>1920</v>
      </c>
      <c r="B460" s="30" t="s">
        <v>1921</v>
      </c>
      <c r="C460" s="31">
        <v>46288.710960648146</v>
      </c>
      <c r="D460" s="30">
        <v>76</v>
      </c>
      <c r="E460" s="30" t="s">
        <v>1711</v>
      </c>
      <c r="F460" s="30" t="s">
        <v>1712</v>
      </c>
      <c r="G460" s="30" t="s">
        <v>1713</v>
      </c>
      <c r="H460" s="30" t="s">
        <v>1392</v>
      </c>
      <c r="I460" s="30" t="s">
        <v>1714</v>
      </c>
      <c r="J460" s="30" t="s">
        <v>1715</v>
      </c>
      <c r="K460" s="32">
        <v>3</v>
      </c>
      <c r="L460" s="32" t="s">
        <v>211</v>
      </c>
      <c r="M460" s="30" t="s">
        <v>1922</v>
      </c>
      <c r="N460" s="30" t="s">
        <v>1923</v>
      </c>
      <c r="O460" s="30" t="s">
        <v>83</v>
      </c>
      <c r="P460" s="33">
        <v>46221</v>
      </c>
      <c r="Q460" s="33">
        <v>46221</v>
      </c>
      <c r="R460" s="32">
        <v>0</v>
      </c>
      <c r="S460" s="30" t="s">
        <v>194</v>
      </c>
      <c r="T460" s="30" t="s">
        <v>195</v>
      </c>
      <c r="U460" s="30" t="s">
        <v>367</v>
      </c>
      <c r="V460" s="30" t="s">
        <v>87</v>
      </c>
      <c r="W460" s="30" t="s">
        <v>88</v>
      </c>
      <c r="X460" s="30" t="s">
        <v>1719</v>
      </c>
      <c r="AB460" s="30" t="b">
        <v>0</v>
      </c>
      <c r="AC460" s="30"/>
      <c r="AD460" s="30" t="b">
        <v>1</v>
      </c>
      <c r="AE460" s="30">
        <v>1</v>
      </c>
      <c r="AF460" s="30" t="b">
        <v>0</v>
      </c>
      <c r="AH460" s="32" t="s">
        <v>91</v>
      </c>
      <c r="AI460" s="32"/>
      <c r="AJ460" s="32"/>
      <c r="AK460" s="32"/>
      <c r="AL460" s="30" t="s">
        <v>1720</v>
      </c>
      <c r="AM460" s="30" t="s">
        <v>294</v>
      </c>
      <c r="AN460" s="30" t="s">
        <v>94</v>
      </c>
      <c r="AO460" s="30" t="s">
        <v>142</v>
      </c>
      <c r="AP460" s="30" t="s">
        <v>143</v>
      </c>
      <c r="AQ460" s="30" t="s">
        <v>144</v>
      </c>
      <c r="AR460" s="30" t="s">
        <v>691</v>
      </c>
      <c r="AT460" s="30" t="s">
        <v>99</v>
      </c>
      <c r="AU460" s="30" t="s">
        <v>100</v>
      </c>
      <c r="AV460" s="30" t="s">
        <v>101</v>
      </c>
      <c r="AW460" s="30" t="s">
        <v>102</v>
      </c>
      <c r="AX460" s="34" t="s">
        <v>367</v>
      </c>
      <c r="AY460" s="34" t="s">
        <v>279</v>
      </c>
      <c r="AZ460" s="34"/>
      <c r="BA460" s="34"/>
      <c r="BB460" s="34">
        <v>1</v>
      </c>
      <c r="BC460" s="34">
        <v>0</v>
      </c>
      <c r="BD460" s="34"/>
      <c r="BE460" s="34"/>
      <c r="BF460" s="34" t="b">
        <v>0</v>
      </c>
      <c r="BG460" s="34"/>
      <c r="BH460" s="34"/>
      <c r="BI460" s="34"/>
      <c r="BJ460" s="34"/>
      <c r="BK460" s="34"/>
      <c r="BL460" s="34"/>
      <c r="BM460" s="34" t="s">
        <v>168</v>
      </c>
      <c r="BN460" s="34"/>
      <c r="BO460" s="35"/>
      <c r="BP460" s="35"/>
      <c r="BQ460" s="35" t="s">
        <v>108</v>
      </c>
      <c r="BR460" s="36" t="e">
        <f>VLOOKUP(BQ460, Cat_Indicadores!B:C, 2, FALSE)</f>
        <v>#N/A</v>
      </c>
      <c r="BS460" s="35" t="s">
        <v>5592</v>
      </c>
      <c r="BT460" s="35"/>
    </row>
    <row r="461" spans="1:72">
      <c r="A461" s="29" t="s">
        <v>1924</v>
      </c>
      <c r="B461" s="30" t="s">
        <v>1925</v>
      </c>
      <c r="C461" s="31">
        <v>46288.654050925928</v>
      </c>
      <c r="D461" s="30">
        <v>10</v>
      </c>
      <c r="E461" s="30" t="s">
        <v>1926</v>
      </c>
      <c r="F461" s="30" t="s">
        <v>1927</v>
      </c>
      <c r="G461" s="30" t="s">
        <v>1928</v>
      </c>
      <c r="H461" s="30" t="s">
        <v>77</v>
      </c>
      <c r="I461" s="30" t="s">
        <v>1448</v>
      </c>
      <c r="J461" s="30" t="s">
        <v>1349</v>
      </c>
      <c r="K461" s="32">
        <v>20</v>
      </c>
      <c r="L461" s="32" t="s">
        <v>211</v>
      </c>
      <c r="M461" s="30" t="s">
        <v>1929</v>
      </c>
      <c r="N461" s="30" t="s">
        <v>1930</v>
      </c>
      <c r="O461" s="30" t="s">
        <v>83</v>
      </c>
      <c r="P461" s="33">
        <v>46109</v>
      </c>
      <c r="Q461" s="33">
        <v>46109</v>
      </c>
      <c r="R461" s="32">
        <v>1</v>
      </c>
      <c r="S461" s="30" t="s">
        <v>243</v>
      </c>
      <c r="T461" s="30" t="s">
        <v>293</v>
      </c>
      <c r="U461" s="30" t="s">
        <v>86</v>
      </c>
      <c r="V461" s="30" t="s">
        <v>87</v>
      </c>
      <c r="W461" s="30" t="s">
        <v>88</v>
      </c>
      <c r="X461" s="30" t="s">
        <v>139</v>
      </c>
      <c r="Z461" s="30" t="s">
        <v>1931</v>
      </c>
      <c r="AB461" s="30" t="b">
        <v>0</v>
      </c>
      <c r="AC461" s="30"/>
      <c r="AD461" s="30" t="b">
        <v>1</v>
      </c>
      <c r="AE461" s="30">
        <v>1</v>
      </c>
      <c r="AF461" s="30" t="b">
        <v>0</v>
      </c>
      <c r="AH461" s="32" t="s">
        <v>91</v>
      </c>
      <c r="AI461" s="32"/>
      <c r="AJ461" s="32"/>
      <c r="AK461" s="32"/>
      <c r="AL461" s="30" t="s">
        <v>1932</v>
      </c>
      <c r="AM461" s="30" t="s">
        <v>599</v>
      </c>
      <c r="AN461" s="30" t="s">
        <v>301</v>
      </c>
      <c r="AO461" s="30" t="s">
        <v>1933</v>
      </c>
      <c r="AP461" s="30" t="s">
        <v>1933</v>
      </c>
      <c r="AQ461" s="30" t="s">
        <v>1933</v>
      </c>
      <c r="AR461" s="30" t="s">
        <v>691</v>
      </c>
      <c r="AT461" s="30" t="s">
        <v>99</v>
      </c>
      <c r="AU461" s="30" t="s">
        <v>100</v>
      </c>
      <c r="AV461" s="30" t="s">
        <v>665</v>
      </c>
      <c r="AW461" s="30" t="s">
        <v>102</v>
      </c>
      <c r="AX461" s="34" t="s">
        <v>1929</v>
      </c>
      <c r="AY461" s="34" t="s">
        <v>149</v>
      </c>
      <c r="AZ461" s="34" t="s">
        <v>149</v>
      </c>
      <c r="BA461" s="34" t="s">
        <v>1930</v>
      </c>
      <c r="BB461" s="34">
        <v>5</v>
      </c>
      <c r="BC461" s="34">
        <v>1</v>
      </c>
      <c r="BD461" s="34" t="s">
        <v>185</v>
      </c>
      <c r="BE461" s="34"/>
      <c r="BF461" s="34" t="b">
        <v>1</v>
      </c>
      <c r="BG461" s="34" t="s">
        <v>1042</v>
      </c>
      <c r="BH461" s="34"/>
      <c r="BI461" s="34"/>
      <c r="BJ461" s="34"/>
      <c r="BK461" s="34"/>
      <c r="BL461" s="34"/>
      <c r="BM461" s="34" t="s">
        <v>168</v>
      </c>
      <c r="BN461" s="34"/>
      <c r="BO461" s="35"/>
      <c r="BP461" s="35"/>
      <c r="BQ461" s="35" t="s">
        <v>108</v>
      </c>
      <c r="BR461" s="36" t="e">
        <f>VLOOKUP(BQ461, Cat_Indicadores!B:C, 2, FALSE)</f>
        <v>#N/A</v>
      </c>
      <c r="BS461" s="35" t="s">
        <v>5592</v>
      </c>
      <c r="BT461" s="35"/>
    </row>
    <row r="462" spans="1:72">
      <c r="A462" s="29" t="s">
        <v>1934</v>
      </c>
      <c r="B462" s="30" t="s">
        <v>1935</v>
      </c>
      <c r="C462" s="31">
        <v>46288.661087962966</v>
      </c>
      <c r="D462" s="30">
        <v>92</v>
      </c>
      <c r="E462" s="30" t="s">
        <v>74</v>
      </c>
      <c r="F462" s="30" t="s">
        <v>75</v>
      </c>
      <c r="G462" s="30" t="s">
        <v>133</v>
      </c>
      <c r="H462" s="30" t="s">
        <v>77</v>
      </c>
      <c r="I462" s="30" t="s">
        <v>78</v>
      </c>
      <c r="J462" s="30" t="s">
        <v>79</v>
      </c>
      <c r="K462" s="32">
        <v>800</v>
      </c>
      <c r="L462" s="32" t="s">
        <v>80</v>
      </c>
      <c r="M462" s="30" t="s">
        <v>1702</v>
      </c>
      <c r="N462" s="30" t="s">
        <v>1936</v>
      </c>
      <c r="O462" s="30" t="s">
        <v>581</v>
      </c>
      <c r="P462" s="33">
        <v>46268</v>
      </c>
      <c r="Q462" s="33">
        <v>46289</v>
      </c>
      <c r="R462" s="32">
        <v>4</v>
      </c>
      <c r="S462" s="30" t="s">
        <v>264</v>
      </c>
      <c r="T462" s="30" t="s">
        <v>265</v>
      </c>
      <c r="U462" s="30" t="s">
        <v>480</v>
      </c>
      <c r="V462" s="30" t="s">
        <v>87</v>
      </c>
      <c r="W462" s="30" t="s">
        <v>88</v>
      </c>
      <c r="X462" s="30" t="s">
        <v>197</v>
      </c>
      <c r="Y462" s="30" t="s">
        <v>1063</v>
      </c>
      <c r="AB462" s="30" t="b">
        <v>0</v>
      </c>
      <c r="AC462" s="30"/>
      <c r="AD462" s="30" t="b">
        <v>0</v>
      </c>
      <c r="AF462" s="30" t="b">
        <v>0</v>
      </c>
      <c r="AH462" s="32" t="s">
        <v>91</v>
      </c>
      <c r="AI462" s="32"/>
      <c r="AJ462" s="32"/>
      <c r="AK462" s="32"/>
      <c r="AL462" s="30" t="s">
        <v>92</v>
      </c>
      <c r="AM462" s="30" t="s">
        <v>251</v>
      </c>
      <c r="AN462" s="30" t="s">
        <v>199</v>
      </c>
      <c r="AO462" s="30" t="s">
        <v>200</v>
      </c>
      <c r="AP462" s="30" t="s">
        <v>201</v>
      </c>
      <c r="AQ462" s="30" t="s">
        <v>202</v>
      </c>
      <c r="AR462" s="30" t="s">
        <v>145</v>
      </c>
      <c r="AT462" s="30" t="s">
        <v>226</v>
      </c>
      <c r="AU462" s="30" t="s">
        <v>204</v>
      </c>
      <c r="AV462" s="30" t="s">
        <v>227</v>
      </c>
      <c r="AW462" s="30" t="s">
        <v>206</v>
      </c>
      <c r="AX462" s="34" t="s">
        <v>783</v>
      </c>
      <c r="AY462" s="34" t="s">
        <v>167</v>
      </c>
      <c r="AZ462" s="34"/>
      <c r="BA462" s="34"/>
      <c r="BB462" s="34"/>
      <c r="BC462" s="34">
        <v>0</v>
      </c>
      <c r="BD462" s="34"/>
      <c r="BE462" s="34"/>
      <c r="BF462" s="34" t="b">
        <v>0</v>
      </c>
      <c r="BG462" s="34"/>
      <c r="BH462" s="34"/>
      <c r="BI462" s="34"/>
      <c r="BJ462" s="34"/>
      <c r="BK462" s="34"/>
      <c r="BL462" s="34" t="s">
        <v>1937</v>
      </c>
      <c r="BM462" s="34" t="s">
        <v>106</v>
      </c>
      <c r="BN462" s="34" t="s">
        <v>107</v>
      </c>
      <c r="BO462" s="35"/>
      <c r="BP462" s="35"/>
      <c r="BQ462" s="35" t="s">
        <v>108</v>
      </c>
      <c r="BR462" s="36" t="e">
        <f>VLOOKUP(BQ462, Cat_Indicadores!B:C, 2, FALSE)</f>
        <v>#N/A</v>
      </c>
      <c r="BS462" s="35" t="s">
        <v>5592</v>
      </c>
      <c r="BT462" s="35"/>
    </row>
    <row r="463" spans="1:72">
      <c r="A463" s="29" t="s">
        <v>1938</v>
      </c>
      <c r="B463" s="30" t="s">
        <v>1939</v>
      </c>
      <c r="C463" s="31">
        <v>46289.456250000003</v>
      </c>
      <c r="D463" s="30">
        <v>92</v>
      </c>
      <c r="E463" s="30" t="s">
        <v>74</v>
      </c>
      <c r="F463" s="30" t="s">
        <v>75</v>
      </c>
      <c r="G463" s="30" t="s">
        <v>133</v>
      </c>
      <c r="H463" s="30" t="s">
        <v>77</v>
      </c>
      <c r="I463" s="30" t="s">
        <v>78</v>
      </c>
      <c r="J463" s="30" t="s">
        <v>79</v>
      </c>
      <c r="K463" s="32">
        <v>800</v>
      </c>
      <c r="L463" s="32" t="s">
        <v>80</v>
      </c>
      <c r="M463" s="30" t="s">
        <v>401</v>
      </c>
      <c r="N463" s="30" t="s">
        <v>1726</v>
      </c>
      <c r="O463" s="30" t="s">
        <v>83</v>
      </c>
      <c r="P463" s="33">
        <v>46268</v>
      </c>
      <c r="Q463" s="33">
        <v>46268</v>
      </c>
      <c r="R463" s="32">
        <v>1</v>
      </c>
      <c r="S463" s="30" t="s">
        <v>84</v>
      </c>
      <c r="T463" s="30" t="s">
        <v>337</v>
      </c>
      <c r="U463" s="30" t="s">
        <v>338</v>
      </c>
      <c r="V463" s="30" t="s">
        <v>87</v>
      </c>
      <c r="W463" s="30" t="s">
        <v>88</v>
      </c>
      <c r="X463" s="30" t="s">
        <v>197</v>
      </c>
      <c r="Y463" s="30" t="s">
        <v>1063</v>
      </c>
      <c r="AB463" s="30" t="b">
        <v>0</v>
      </c>
      <c r="AC463" s="30"/>
      <c r="AD463" s="30" t="b">
        <v>0</v>
      </c>
      <c r="AF463" s="30" t="b">
        <v>0</v>
      </c>
      <c r="AH463" s="32" t="s">
        <v>91</v>
      </c>
      <c r="AI463" s="32"/>
      <c r="AJ463" s="32"/>
      <c r="AK463" s="32"/>
      <c r="AL463" s="30" t="s">
        <v>92</v>
      </c>
      <c r="AM463" s="30" t="s">
        <v>93</v>
      </c>
      <c r="AN463" s="30" t="s">
        <v>199</v>
      </c>
      <c r="AO463" s="30" t="s">
        <v>200</v>
      </c>
      <c r="AP463" s="30" t="s">
        <v>201</v>
      </c>
      <c r="AQ463" s="30" t="s">
        <v>202</v>
      </c>
      <c r="AR463" s="30" t="s">
        <v>145</v>
      </c>
      <c r="AT463" s="30" t="s">
        <v>99</v>
      </c>
      <c r="AU463" s="30" t="s">
        <v>100</v>
      </c>
      <c r="AV463" s="30" t="s">
        <v>101</v>
      </c>
      <c r="AW463" s="30" t="s">
        <v>102</v>
      </c>
      <c r="AX463" s="34" t="s">
        <v>338</v>
      </c>
      <c r="AY463" s="34" t="s">
        <v>103</v>
      </c>
      <c r="AZ463" s="34"/>
      <c r="BA463" s="34"/>
      <c r="BB463" s="34"/>
      <c r="BC463" s="34">
        <v>0</v>
      </c>
      <c r="BD463" s="34"/>
      <c r="BE463" s="34"/>
      <c r="BF463" s="34" t="b">
        <v>0</v>
      </c>
      <c r="BG463" s="34"/>
      <c r="BH463" s="34"/>
      <c r="BI463" s="34"/>
      <c r="BJ463" s="34"/>
      <c r="BK463" s="34"/>
      <c r="BL463" s="34"/>
      <c r="BM463" s="34" t="s">
        <v>168</v>
      </c>
      <c r="BN463" s="34"/>
      <c r="BO463" s="35"/>
      <c r="BP463" s="35"/>
      <c r="BQ463" s="35" t="s">
        <v>108</v>
      </c>
      <c r="BR463" s="36" t="e">
        <f>VLOOKUP(BQ463, Cat_Indicadores!B:C, 2, FALSE)</f>
        <v>#N/A</v>
      </c>
      <c r="BS463" s="35" t="s">
        <v>5592</v>
      </c>
      <c r="BT463" s="35"/>
    </row>
    <row r="464" spans="1:72">
      <c r="A464" s="29" t="s">
        <v>1940</v>
      </c>
      <c r="B464" s="30" t="s">
        <v>1941</v>
      </c>
      <c r="C464" s="31">
        <v>46289.465879629628</v>
      </c>
      <c r="D464" s="30">
        <v>92</v>
      </c>
      <c r="E464" s="30" t="s">
        <v>74</v>
      </c>
      <c r="F464" s="30" t="s">
        <v>75</v>
      </c>
      <c r="G464" s="30" t="s">
        <v>133</v>
      </c>
      <c r="H464" s="30" t="s">
        <v>77</v>
      </c>
      <c r="I464" s="30" t="s">
        <v>78</v>
      </c>
      <c r="J464" s="30" t="s">
        <v>79</v>
      </c>
      <c r="K464" s="32">
        <v>800</v>
      </c>
      <c r="L464" s="32" t="s">
        <v>80</v>
      </c>
      <c r="M464" s="30" t="s">
        <v>401</v>
      </c>
      <c r="N464" s="30" t="s">
        <v>402</v>
      </c>
      <c r="O464" s="30" t="s">
        <v>83</v>
      </c>
      <c r="P464" s="33">
        <v>46269</v>
      </c>
      <c r="Q464" s="33">
        <v>46269</v>
      </c>
      <c r="R464" s="32">
        <v>1</v>
      </c>
      <c r="S464" s="30" t="s">
        <v>84</v>
      </c>
      <c r="T464" s="30" t="s">
        <v>337</v>
      </c>
      <c r="U464" s="30" t="s">
        <v>338</v>
      </c>
      <c r="V464" s="30" t="s">
        <v>87</v>
      </c>
      <c r="W464" s="30" t="s">
        <v>88</v>
      </c>
      <c r="X464" s="30" t="s">
        <v>197</v>
      </c>
      <c r="Y464" s="30" t="s">
        <v>1063</v>
      </c>
      <c r="AB464" s="30" t="b">
        <v>0</v>
      </c>
      <c r="AC464" s="30"/>
      <c r="AD464" s="30" t="b">
        <v>0</v>
      </c>
      <c r="AF464" s="30" t="b">
        <v>0</v>
      </c>
      <c r="AH464" s="32" t="s">
        <v>91</v>
      </c>
      <c r="AI464" s="32"/>
      <c r="AJ464" s="32"/>
      <c r="AK464" s="32"/>
      <c r="AL464" s="30" t="s">
        <v>92</v>
      </c>
      <c r="AM464" s="30" t="s">
        <v>93</v>
      </c>
      <c r="AN464" s="30" t="s">
        <v>199</v>
      </c>
      <c r="AO464" s="30" t="s">
        <v>200</v>
      </c>
      <c r="AP464" s="30" t="s">
        <v>201</v>
      </c>
      <c r="AQ464" s="30" t="s">
        <v>202</v>
      </c>
      <c r="AR464" s="30" t="s">
        <v>145</v>
      </c>
      <c r="AT464" s="30" t="s">
        <v>99</v>
      </c>
      <c r="AU464" s="30" t="s">
        <v>100</v>
      </c>
      <c r="AV464" s="30" t="s">
        <v>101</v>
      </c>
      <c r="AW464" s="30" t="s">
        <v>102</v>
      </c>
      <c r="AX464" s="34" t="s">
        <v>338</v>
      </c>
      <c r="AY464" s="34" t="s">
        <v>103</v>
      </c>
      <c r="AZ464" s="34"/>
      <c r="BA464" s="34"/>
      <c r="BB464" s="34"/>
      <c r="BC464" s="34">
        <v>0</v>
      </c>
      <c r="BD464" s="34"/>
      <c r="BE464" s="34"/>
      <c r="BF464" s="34" t="b">
        <v>0</v>
      </c>
      <c r="BG464" s="34"/>
      <c r="BH464" s="34"/>
      <c r="BI464" s="34"/>
      <c r="BJ464" s="34"/>
      <c r="BK464" s="34"/>
      <c r="BL464" s="34"/>
      <c r="BM464" s="34" t="s">
        <v>168</v>
      </c>
      <c r="BN464" s="34"/>
      <c r="BO464" s="35"/>
      <c r="BP464" s="35"/>
      <c r="BQ464" s="35" t="s">
        <v>108</v>
      </c>
      <c r="BR464" s="36" t="e">
        <f>VLOOKUP(BQ464, Cat_Indicadores!B:C, 2, FALSE)</f>
        <v>#N/A</v>
      </c>
      <c r="BS464" s="35" t="s">
        <v>5592</v>
      </c>
      <c r="BT464" s="35"/>
    </row>
    <row r="465" spans="1:72">
      <c r="A465" s="29" t="s">
        <v>1942</v>
      </c>
      <c r="B465" s="30" t="s">
        <v>1943</v>
      </c>
      <c r="C465" s="31">
        <v>46289.502106481479</v>
      </c>
      <c r="D465" s="30">
        <v>75</v>
      </c>
      <c r="E465" s="30" t="s">
        <v>1711</v>
      </c>
      <c r="F465" s="30" t="s">
        <v>1712</v>
      </c>
      <c r="G465" s="30" t="s">
        <v>1795</v>
      </c>
      <c r="H465" s="30" t="s">
        <v>1392</v>
      </c>
      <c r="I465" s="30" t="s">
        <v>1714</v>
      </c>
      <c r="J465" s="30" t="s">
        <v>1736</v>
      </c>
      <c r="K465" s="32">
        <v>4</v>
      </c>
      <c r="L465" s="32" t="s">
        <v>211</v>
      </c>
      <c r="M465" s="30" t="s">
        <v>1944</v>
      </c>
      <c r="N465" s="30" t="s">
        <v>1945</v>
      </c>
      <c r="O465" s="30" t="s">
        <v>1371</v>
      </c>
      <c r="P465" s="33">
        <v>46167</v>
      </c>
      <c r="Q465" s="33">
        <v>46184</v>
      </c>
      <c r="R465" s="32">
        <v>17</v>
      </c>
      <c r="S465" s="30" t="s">
        <v>243</v>
      </c>
      <c r="T465" s="30" t="s">
        <v>244</v>
      </c>
      <c r="U465" s="30" t="s">
        <v>86</v>
      </c>
      <c r="V465" s="30" t="s">
        <v>87</v>
      </c>
      <c r="W465" s="30" t="s">
        <v>88</v>
      </c>
      <c r="X465" s="30" t="s">
        <v>1719</v>
      </c>
      <c r="AB465" s="30" t="b">
        <v>0</v>
      </c>
      <c r="AC465" s="30"/>
      <c r="AD465" s="30" t="b">
        <v>0</v>
      </c>
      <c r="AF465" s="30" t="b">
        <v>0</v>
      </c>
      <c r="AH465" s="32" t="s">
        <v>91</v>
      </c>
      <c r="AI465" s="32"/>
      <c r="AJ465" s="32"/>
      <c r="AK465" s="32"/>
      <c r="AL465" s="30" t="s">
        <v>1720</v>
      </c>
      <c r="AM465" s="30" t="s">
        <v>755</v>
      </c>
      <c r="AN465" s="30" t="s">
        <v>94</v>
      </c>
      <c r="AO465" s="30" t="s">
        <v>142</v>
      </c>
      <c r="AP465" s="30" t="s">
        <v>143</v>
      </c>
      <c r="AQ465" s="30" t="s">
        <v>232</v>
      </c>
      <c r="AR465" s="30" t="s">
        <v>97</v>
      </c>
      <c r="AS465" s="30" t="s">
        <v>112</v>
      </c>
      <c r="AT465" s="30" t="s">
        <v>275</v>
      </c>
      <c r="AU465" s="30" t="s">
        <v>276</v>
      </c>
      <c r="AV465" s="30" t="s">
        <v>1740</v>
      </c>
      <c r="AW465" s="30" t="s">
        <v>278</v>
      </c>
      <c r="AX465" s="34" t="s">
        <v>86</v>
      </c>
      <c r="AY465" s="34" t="s">
        <v>149</v>
      </c>
      <c r="AZ465" s="34" t="s">
        <v>149</v>
      </c>
      <c r="BA465" s="34" t="s">
        <v>1945</v>
      </c>
      <c r="BB465" s="34">
        <v>5</v>
      </c>
      <c r="BC465" s="34">
        <v>1</v>
      </c>
      <c r="BD465" s="34" t="s">
        <v>1365</v>
      </c>
      <c r="BE465" s="34" t="s">
        <v>1946</v>
      </c>
      <c r="BF465" s="34" t="b">
        <v>0</v>
      </c>
      <c r="BG465" s="34"/>
      <c r="BH465" s="34"/>
      <c r="BI465" s="34"/>
      <c r="BJ465" s="34"/>
      <c r="BK465" s="34"/>
      <c r="BL465" s="34"/>
      <c r="BM465" s="34" t="s">
        <v>168</v>
      </c>
      <c r="BN465" s="34"/>
      <c r="BO465" s="35"/>
      <c r="BP465" s="35"/>
      <c r="BQ465" s="35" t="s">
        <v>108</v>
      </c>
      <c r="BR465" s="36" t="e">
        <f>VLOOKUP(BQ465, Cat_Indicadores!B:C, 2, FALSE)</f>
        <v>#N/A</v>
      </c>
      <c r="BS465" s="35" t="s">
        <v>5592</v>
      </c>
      <c r="BT465" s="35"/>
    </row>
    <row r="466" spans="1:72">
      <c r="A466" s="29" t="s">
        <v>1947</v>
      </c>
      <c r="B466" s="30" t="s">
        <v>1948</v>
      </c>
      <c r="C466" s="31">
        <v>46289.577592592592</v>
      </c>
      <c r="D466" s="30">
        <v>77</v>
      </c>
      <c r="E466" s="30" t="s">
        <v>1711</v>
      </c>
      <c r="F466" s="30" t="s">
        <v>1712</v>
      </c>
      <c r="G466" s="30" t="s">
        <v>1837</v>
      </c>
      <c r="H466" s="30" t="s">
        <v>1392</v>
      </c>
      <c r="I466" s="30" t="s">
        <v>1714</v>
      </c>
      <c r="J466" s="30" t="s">
        <v>1349</v>
      </c>
      <c r="K466" s="32">
        <v>20</v>
      </c>
      <c r="L466" s="32" t="s">
        <v>80</v>
      </c>
      <c r="M466" s="30" t="s">
        <v>1838</v>
      </c>
      <c r="N466" s="30" t="s">
        <v>1839</v>
      </c>
      <c r="O466" s="30" t="s">
        <v>83</v>
      </c>
      <c r="P466" s="33">
        <v>46177</v>
      </c>
      <c r="Q466" s="33">
        <v>46177</v>
      </c>
      <c r="R466" s="32">
        <v>1</v>
      </c>
      <c r="S466" s="30" t="s">
        <v>249</v>
      </c>
      <c r="T466" s="30" t="s">
        <v>259</v>
      </c>
      <c r="U466" s="30" t="s">
        <v>137</v>
      </c>
      <c r="V466" s="30" t="s">
        <v>87</v>
      </c>
      <c r="W466" s="30" t="s">
        <v>88</v>
      </c>
      <c r="X466" s="30" t="s">
        <v>1719</v>
      </c>
      <c r="AB466" s="30" t="b">
        <v>0</v>
      </c>
      <c r="AC466" s="30"/>
      <c r="AD466" s="30" t="b">
        <v>1</v>
      </c>
      <c r="AE466" s="30">
        <v>1</v>
      </c>
      <c r="AF466" s="30" t="b">
        <v>0</v>
      </c>
      <c r="AH466" s="32" t="s">
        <v>91</v>
      </c>
      <c r="AI466" s="32"/>
      <c r="AJ466" s="32"/>
      <c r="AK466" s="32"/>
      <c r="AL466" s="30" t="s">
        <v>1720</v>
      </c>
      <c r="AM466" s="30" t="s">
        <v>1739</v>
      </c>
      <c r="AN466" s="30" t="s">
        <v>199</v>
      </c>
      <c r="AO466" s="30" t="s">
        <v>200</v>
      </c>
      <c r="AP466" s="30" t="s">
        <v>201</v>
      </c>
      <c r="AQ466" s="30" t="s">
        <v>202</v>
      </c>
      <c r="AR466" s="30" t="s">
        <v>97</v>
      </c>
      <c r="AS466" s="30" t="s">
        <v>98</v>
      </c>
      <c r="AT466" s="30" t="s">
        <v>99</v>
      </c>
      <c r="AU466" s="30" t="s">
        <v>100</v>
      </c>
      <c r="AV466" s="30" t="s">
        <v>665</v>
      </c>
      <c r="AW466" s="30" t="s">
        <v>102</v>
      </c>
      <c r="AX466" s="34" t="s">
        <v>137</v>
      </c>
      <c r="AY466" s="34" t="s">
        <v>149</v>
      </c>
      <c r="AZ466" s="34" t="s">
        <v>149</v>
      </c>
      <c r="BA466" s="34" t="s">
        <v>1839</v>
      </c>
      <c r="BB466" s="34">
        <v>5</v>
      </c>
      <c r="BC466" s="34">
        <v>31</v>
      </c>
      <c r="BD466" s="34" t="s">
        <v>1365</v>
      </c>
      <c r="BE466" s="34" t="s">
        <v>1949</v>
      </c>
      <c r="BF466" s="34" t="b">
        <v>1</v>
      </c>
      <c r="BG466" s="34" t="s">
        <v>1042</v>
      </c>
      <c r="BH466" s="34">
        <v>100000</v>
      </c>
      <c r="BI466" s="34"/>
      <c r="BJ466" s="34"/>
      <c r="BK466" s="34"/>
      <c r="BL466" s="34"/>
      <c r="BM466" s="34" t="s">
        <v>168</v>
      </c>
      <c r="BN466" s="34"/>
      <c r="BO466" s="35"/>
      <c r="BP466" s="35"/>
      <c r="BQ466" s="35" t="s">
        <v>108</v>
      </c>
      <c r="BR466" s="36" t="e">
        <f>VLOOKUP(BQ466, Cat_Indicadores!B:C, 2, FALSE)</f>
        <v>#N/A</v>
      </c>
      <c r="BS466" s="35" t="s">
        <v>5592</v>
      </c>
      <c r="BT466" s="35"/>
    </row>
    <row r="467" spans="1:72">
      <c r="A467" s="29" t="s">
        <v>1950</v>
      </c>
      <c r="B467" s="30" t="s">
        <v>1951</v>
      </c>
      <c r="C467" s="31">
        <v>46289.641365740739</v>
      </c>
      <c r="D467" s="30">
        <v>77</v>
      </c>
      <c r="E467" s="30" t="s">
        <v>1711</v>
      </c>
      <c r="F467" s="30" t="s">
        <v>1712</v>
      </c>
      <c r="G467" s="30" t="s">
        <v>1837</v>
      </c>
      <c r="H467" s="30" t="s">
        <v>1392</v>
      </c>
      <c r="I467" s="30" t="s">
        <v>1714</v>
      </c>
      <c r="J467" s="30" t="s">
        <v>1349</v>
      </c>
      <c r="K467" s="32">
        <v>20</v>
      </c>
      <c r="L467" s="32" t="s">
        <v>80</v>
      </c>
      <c r="M467" s="30" t="s">
        <v>1952</v>
      </c>
      <c r="N467" s="30" t="s">
        <v>1888</v>
      </c>
      <c r="O467" s="30" t="s">
        <v>83</v>
      </c>
      <c r="P467" s="33">
        <v>46177</v>
      </c>
      <c r="Q467" s="33">
        <v>46177</v>
      </c>
      <c r="R467" s="32">
        <v>1</v>
      </c>
      <c r="S467" s="30" t="s">
        <v>84</v>
      </c>
      <c r="T467" s="30" t="s">
        <v>136</v>
      </c>
      <c r="U467" s="30" t="s">
        <v>1889</v>
      </c>
      <c r="V467" s="30" t="s">
        <v>87</v>
      </c>
      <c r="W467" s="30" t="s">
        <v>88</v>
      </c>
      <c r="X467" s="30" t="s">
        <v>1719</v>
      </c>
      <c r="AB467" s="30" t="b">
        <v>0</v>
      </c>
      <c r="AC467" s="30"/>
      <c r="AD467" s="30" t="b">
        <v>0</v>
      </c>
      <c r="AF467" s="30" t="b">
        <v>0</v>
      </c>
      <c r="AH467" s="32" t="s">
        <v>91</v>
      </c>
      <c r="AI467" s="32"/>
      <c r="AJ467" s="32"/>
      <c r="AK467" s="32"/>
      <c r="AL467" s="30" t="s">
        <v>1720</v>
      </c>
      <c r="AM467" s="30" t="s">
        <v>1739</v>
      </c>
      <c r="AN467" s="30" t="s">
        <v>94</v>
      </c>
      <c r="AO467" s="30" t="s">
        <v>95</v>
      </c>
      <c r="AP467" s="30" t="s">
        <v>95</v>
      </c>
      <c r="AQ467" s="30" t="s">
        <v>96</v>
      </c>
      <c r="AR467" s="30" t="s">
        <v>97</v>
      </c>
      <c r="AS467" s="30" t="s">
        <v>98</v>
      </c>
      <c r="AT467" s="30" t="s">
        <v>275</v>
      </c>
      <c r="AU467" s="30" t="s">
        <v>276</v>
      </c>
      <c r="AV467" s="30" t="s">
        <v>1740</v>
      </c>
      <c r="AW467" s="30" t="s">
        <v>278</v>
      </c>
      <c r="AX467" s="34" t="s">
        <v>137</v>
      </c>
      <c r="AY467" s="34" t="s">
        <v>149</v>
      </c>
      <c r="AZ467" s="34" t="s">
        <v>149</v>
      </c>
      <c r="BA467" s="34"/>
      <c r="BB467" s="34">
        <v>5</v>
      </c>
      <c r="BC467" s="34">
        <v>31</v>
      </c>
      <c r="BD467" s="34"/>
      <c r="BE467" s="34"/>
      <c r="BF467" s="34" t="b">
        <v>0</v>
      </c>
      <c r="BG467" s="34"/>
      <c r="BH467" s="34"/>
      <c r="BI467" s="34"/>
      <c r="BJ467" s="34"/>
      <c r="BK467" s="34"/>
      <c r="BL467" s="34"/>
      <c r="BM467" s="34" t="s">
        <v>168</v>
      </c>
      <c r="BN467" s="34"/>
      <c r="BO467" s="35"/>
      <c r="BP467" s="35"/>
      <c r="BQ467" s="35" t="s">
        <v>108</v>
      </c>
      <c r="BR467" s="36" t="e">
        <f>VLOOKUP(BQ467, Cat_Indicadores!B:C, 2, FALSE)</f>
        <v>#N/A</v>
      </c>
      <c r="BS467" s="35" t="s">
        <v>5592</v>
      </c>
      <c r="BT467" s="35"/>
    </row>
    <row r="468" spans="1:72">
      <c r="A468" s="29" t="s">
        <v>1953</v>
      </c>
      <c r="B468" s="30" t="s">
        <v>1954</v>
      </c>
      <c r="C468" s="31">
        <v>46289.691145833334</v>
      </c>
      <c r="D468" s="30">
        <v>77</v>
      </c>
      <c r="E468" s="30" t="s">
        <v>1711</v>
      </c>
      <c r="F468" s="30" t="s">
        <v>1712</v>
      </c>
      <c r="G468" s="30" t="s">
        <v>1837</v>
      </c>
      <c r="H468" s="30" t="s">
        <v>1392</v>
      </c>
      <c r="I468" s="30" t="s">
        <v>1714</v>
      </c>
      <c r="J468" s="30" t="s">
        <v>1349</v>
      </c>
      <c r="K468" s="32">
        <v>20</v>
      </c>
      <c r="L468" s="32" t="s">
        <v>80</v>
      </c>
      <c r="M468" s="30" t="s">
        <v>1858</v>
      </c>
      <c r="N468" s="30" t="s">
        <v>1859</v>
      </c>
      <c r="O468" s="30" t="s">
        <v>83</v>
      </c>
      <c r="P468" s="33">
        <v>46177</v>
      </c>
      <c r="Q468" s="33">
        <v>46177</v>
      </c>
      <c r="R468" s="32">
        <v>1</v>
      </c>
      <c r="S468" s="30" t="s">
        <v>249</v>
      </c>
      <c r="T468" s="30" t="s">
        <v>259</v>
      </c>
      <c r="U468" s="30" t="s">
        <v>137</v>
      </c>
      <c r="V468" s="30" t="s">
        <v>87</v>
      </c>
      <c r="W468" s="30" t="s">
        <v>88</v>
      </c>
      <c r="X468" s="30" t="s">
        <v>1719</v>
      </c>
      <c r="AB468" s="30" t="b">
        <v>0</v>
      </c>
      <c r="AC468" s="30"/>
      <c r="AD468" s="30" t="b">
        <v>1</v>
      </c>
      <c r="AE468" s="30">
        <v>1</v>
      </c>
      <c r="AF468" s="30" t="b">
        <v>0</v>
      </c>
      <c r="AH468" s="32" t="s">
        <v>91</v>
      </c>
      <c r="AI468" s="32"/>
      <c r="AJ468" s="32"/>
      <c r="AK468" s="32"/>
      <c r="AL468" s="30" t="s">
        <v>1720</v>
      </c>
      <c r="AM468" s="30" t="s">
        <v>1739</v>
      </c>
      <c r="AN468" s="30" t="s">
        <v>199</v>
      </c>
      <c r="AO468" s="30" t="s">
        <v>200</v>
      </c>
      <c r="AP468" s="30" t="s">
        <v>201</v>
      </c>
      <c r="AQ468" s="30" t="s">
        <v>202</v>
      </c>
      <c r="AR468" s="30" t="s">
        <v>97</v>
      </c>
      <c r="AS468" s="30" t="s">
        <v>98</v>
      </c>
      <c r="AT468" s="30" t="s">
        <v>275</v>
      </c>
      <c r="AU468" s="30" t="s">
        <v>276</v>
      </c>
      <c r="AV468" s="30" t="s">
        <v>1740</v>
      </c>
      <c r="AW468" s="30" t="s">
        <v>278</v>
      </c>
      <c r="AX468" s="34" t="s">
        <v>137</v>
      </c>
      <c r="AY468" s="34" t="s">
        <v>149</v>
      </c>
      <c r="AZ468" s="34" t="s">
        <v>149</v>
      </c>
      <c r="BA468" s="34" t="s">
        <v>1859</v>
      </c>
      <c r="BB468" s="34">
        <v>5</v>
      </c>
      <c r="BC468" s="34">
        <v>30</v>
      </c>
      <c r="BD468" s="34" t="s">
        <v>1365</v>
      </c>
      <c r="BE468" s="34" t="s">
        <v>1860</v>
      </c>
      <c r="BF468" s="34" t="b">
        <v>1</v>
      </c>
      <c r="BG468" s="34" t="s">
        <v>1042</v>
      </c>
      <c r="BH468" s="34">
        <v>100000</v>
      </c>
      <c r="BI468" s="34"/>
      <c r="BJ468" s="34"/>
      <c r="BK468" s="34"/>
      <c r="BL468" s="34"/>
      <c r="BM468" s="34" t="s">
        <v>168</v>
      </c>
      <c r="BN468" s="34"/>
      <c r="BO468" s="35"/>
      <c r="BP468" s="35"/>
      <c r="BQ468" s="35" t="s">
        <v>108</v>
      </c>
      <c r="BR468" s="36" t="e">
        <f>VLOOKUP(BQ468, Cat_Indicadores!B:C, 2, FALSE)</f>
        <v>#N/A</v>
      </c>
      <c r="BS468" s="35" t="s">
        <v>5592</v>
      </c>
      <c r="BT468" s="35"/>
    </row>
    <row r="469" spans="1:72">
      <c r="A469" s="29" t="s">
        <v>1955</v>
      </c>
      <c r="B469" s="30" t="s">
        <v>1956</v>
      </c>
      <c r="C469" s="31">
        <v>46289.675983796296</v>
      </c>
      <c r="D469" s="30">
        <v>80</v>
      </c>
      <c r="E469" s="30" t="s">
        <v>1957</v>
      </c>
      <c r="F469" s="30" t="s">
        <v>1958</v>
      </c>
      <c r="G469" s="30" t="s">
        <v>1959</v>
      </c>
      <c r="H469" s="30" t="s">
        <v>1392</v>
      </c>
      <c r="I469" s="30" t="s">
        <v>1714</v>
      </c>
      <c r="J469" s="30" t="s">
        <v>1960</v>
      </c>
      <c r="K469" s="32">
        <v>12</v>
      </c>
      <c r="L469" s="32" t="s">
        <v>211</v>
      </c>
      <c r="M469" s="30" t="s">
        <v>1961</v>
      </c>
      <c r="N469" s="30" t="s">
        <v>1962</v>
      </c>
      <c r="O469" s="30" t="s">
        <v>83</v>
      </c>
      <c r="P469" s="33">
        <v>46290</v>
      </c>
      <c r="Q469" s="33">
        <v>46290</v>
      </c>
      <c r="R469" s="32">
        <v>0</v>
      </c>
      <c r="S469" s="30" t="s">
        <v>322</v>
      </c>
      <c r="T469" s="30" t="s">
        <v>1330</v>
      </c>
      <c r="U469" s="30" t="s">
        <v>1039</v>
      </c>
      <c r="V469" s="30" t="s">
        <v>1040</v>
      </c>
      <c r="W469" s="30" t="s">
        <v>88</v>
      </c>
      <c r="X469" s="30" t="s">
        <v>89</v>
      </c>
      <c r="Z469" s="30" t="s">
        <v>1963</v>
      </c>
      <c r="AB469" s="30" t="b">
        <v>0</v>
      </c>
      <c r="AC469" s="30"/>
      <c r="AD469" s="30" t="b">
        <v>0</v>
      </c>
      <c r="AF469" s="30" t="b">
        <v>0</v>
      </c>
      <c r="AH469" s="32" t="s">
        <v>91</v>
      </c>
      <c r="AI469" s="32"/>
      <c r="AJ469" s="32"/>
      <c r="AK469" s="32"/>
      <c r="AL469" s="30" t="s">
        <v>1720</v>
      </c>
      <c r="AM469" s="30" t="s">
        <v>649</v>
      </c>
      <c r="AN469" s="30" t="s">
        <v>94</v>
      </c>
      <c r="AO469" s="30" t="s">
        <v>142</v>
      </c>
      <c r="AP469" s="30" t="s">
        <v>143</v>
      </c>
      <c r="AQ469" s="30" t="s">
        <v>144</v>
      </c>
      <c r="AR469" s="30" t="s">
        <v>691</v>
      </c>
      <c r="AT469" s="30" t="s">
        <v>99</v>
      </c>
      <c r="AU469" s="30" t="s">
        <v>100</v>
      </c>
      <c r="AV469" s="30" t="s">
        <v>101</v>
      </c>
      <c r="AW469" s="30" t="s">
        <v>102</v>
      </c>
      <c r="AX469" s="34" t="s">
        <v>1039</v>
      </c>
      <c r="AY469" s="34" t="s">
        <v>167</v>
      </c>
      <c r="AZ469" s="34"/>
      <c r="BA469" s="34"/>
      <c r="BB469" s="34"/>
      <c r="BC469" s="34">
        <v>0</v>
      </c>
      <c r="BD469" s="34" t="s">
        <v>185</v>
      </c>
      <c r="BE469" s="34"/>
      <c r="BF469" s="34" t="b">
        <v>1</v>
      </c>
      <c r="BG469" s="34" t="s">
        <v>1042</v>
      </c>
      <c r="BH469" s="34">
        <v>25000</v>
      </c>
      <c r="BI469" s="34"/>
      <c r="BJ469" s="34"/>
      <c r="BK469" s="34"/>
      <c r="BL469" s="34" t="s">
        <v>1964</v>
      </c>
      <c r="BM469" s="34" t="s">
        <v>106</v>
      </c>
      <c r="BN469" s="34" t="s">
        <v>1015</v>
      </c>
      <c r="BO469" s="35"/>
      <c r="BP469" s="35"/>
      <c r="BQ469" s="35" t="s">
        <v>108</v>
      </c>
      <c r="BR469" s="36" t="e">
        <f>VLOOKUP(BQ469, Cat_Indicadores!B:C, 2, FALSE)</f>
        <v>#N/A</v>
      </c>
      <c r="BS469" s="35" t="s">
        <v>5592</v>
      </c>
      <c r="BT469" s="35"/>
    </row>
    <row r="470" spans="1:72">
      <c r="A470" s="29" t="s">
        <v>1965</v>
      </c>
      <c r="B470" s="30" t="s">
        <v>1966</v>
      </c>
      <c r="C470" s="31">
        <v>46290.396111111113</v>
      </c>
      <c r="D470" s="30">
        <v>80</v>
      </c>
      <c r="E470" s="30" t="s">
        <v>1957</v>
      </c>
      <c r="F470" s="30" t="s">
        <v>1958</v>
      </c>
      <c r="G470" s="30" t="s">
        <v>1959</v>
      </c>
      <c r="H470" s="30" t="s">
        <v>1392</v>
      </c>
      <c r="I470" s="30" t="s">
        <v>1714</v>
      </c>
      <c r="J470" s="30" t="s">
        <v>1960</v>
      </c>
      <c r="K470" s="32">
        <v>12</v>
      </c>
      <c r="L470" s="32" t="s">
        <v>211</v>
      </c>
      <c r="M470" s="30" t="s">
        <v>1967</v>
      </c>
      <c r="N470" s="30" t="s">
        <v>1968</v>
      </c>
      <c r="O470" s="30" t="s">
        <v>83</v>
      </c>
      <c r="P470" s="33">
        <v>46137</v>
      </c>
      <c r="Q470" s="33">
        <v>46137</v>
      </c>
      <c r="R470" s="32">
        <v>0</v>
      </c>
      <c r="S470" s="30" t="s">
        <v>322</v>
      </c>
      <c r="T470" s="30" t="s">
        <v>1330</v>
      </c>
      <c r="U470" s="30" t="s">
        <v>1039</v>
      </c>
      <c r="V470" s="30" t="s">
        <v>1040</v>
      </c>
      <c r="W470" s="30" t="s">
        <v>88</v>
      </c>
      <c r="X470" s="30" t="s">
        <v>1969</v>
      </c>
      <c r="Y470" s="30" t="s">
        <v>1970</v>
      </c>
      <c r="AB470" s="30" t="b">
        <v>0</v>
      </c>
      <c r="AC470" s="30"/>
      <c r="AD470" s="30" t="b">
        <v>0</v>
      </c>
      <c r="AF470" s="30" t="b">
        <v>0</v>
      </c>
      <c r="AH470" s="32" t="s">
        <v>91</v>
      </c>
      <c r="AI470" s="32"/>
      <c r="AJ470" s="32"/>
      <c r="AK470" s="32"/>
      <c r="AL470" s="30" t="s">
        <v>1720</v>
      </c>
      <c r="AM470" s="30" t="s">
        <v>599</v>
      </c>
      <c r="AN470" s="30" t="s">
        <v>94</v>
      </c>
      <c r="AO470" s="30" t="s">
        <v>142</v>
      </c>
      <c r="AP470" s="30" t="s">
        <v>143</v>
      </c>
      <c r="AQ470" s="30" t="s">
        <v>144</v>
      </c>
      <c r="AR470" s="30" t="s">
        <v>691</v>
      </c>
      <c r="AT470" s="30" t="s">
        <v>99</v>
      </c>
      <c r="AU470" s="30" t="s">
        <v>100</v>
      </c>
      <c r="AV470" s="30" t="s">
        <v>101</v>
      </c>
      <c r="AW470" s="30" t="s">
        <v>102</v>
      </c>
      <c r="AX470" s="34" t="s">
        <v>1039</v>
      </c>
      <c r="AY470" s="34" t="s">
        <v>279</v>
      </c>
      <c r="AZ470" s="34"/>
      <c r="BA470" s="34"/>
      <c r="BB470" s="34">
        <v>1</v>
      </c>
      <c r="BC470" s="34">
        <v>24</v>
      </c>
      <c r="BD470" s="34" t="s">
        <v>185</v>
      </c>
      <c r="BE470" s="34"/>
      <c r="BF470" s="34" t="b">
        <v>1</v>
      </c>
      <c r="BG470" s="34" t="s">
        <v>1042</v>
      </c>
      <c r="BH470" s="34">
        <v>15000</v>
      </c>
      <c r="BI470" s="34"/>
      <c r="BJ470" s="34"/>
      <c r="BK470" s="34"/>
      <c r="BL470" s="34" t="s">
        <v>1971</v>
      </c>
      <c r="BM470" s="34" t="s">
        <v>106</v>
      </c>
      <c r="BN470" s="34" t="s">
        <v>1015</v>
      </c>
      <c r="BO470" s="35"/>
      <c r="BP470" s="35"/>
      <c r="BQ470" s="35" t="s">
        <v>108</v>
      </c>
      <c r="BR470" s="36" t="e">
        <f>VLOOKUP(BQ470, Cat_Indicadores!B:C, 2, FALSE)</f>
        <v>#N/A</v>
      </c>
      <c r="BS470" s="35" t="s">
        <v>5592</v>
      </c>
      <c r="BT470" s="35"/>
    </row>
    <row r="471" spans="1:72">
      <c r="A471" s="29" t="s">
        <v>1972</v>
      </c>
      <c r="B471" s="30" t="s">
        <v>1973</v>
      </c>
      <c r="C471" s="31">
        <v>46290.432893518519</v>
      </c>
      <c r="D471" s="30">
        <v>82</v>
      </c>
      <c r="E471" s="30" t="s">
        <v>1957</v>
      </c>
      <c r="F471" s="30" t="s">
        <v>1958</v>
      </c>
      <c r="G471" s="30" t="s">
        <v>1974</v>
      </c>
      <c r="H471" s="30" t="s">
        <v>1392</v>
      </c>
      <c r="I471" s="30" t="s">
        <v>1714</v>
      </c>
      <c r="J471" s="30" t="s">
        <v>1975</v>
      </c>
      <c r="K471" s="32">
        <v>4</v>
      </c>
      <c r="L471" s="32" t="s">
        <v>211</v>
      </c>
      <c r="M471" s="30" t="s">
        <v>1976</v>
      </c>
      <c r="N471" s="30" t="s">
        <v>1977</v>
      </c>
      <c r="O471" s="30" t="s">
        <v>83</v>
      </c>
      <c r="P471" s="33">
        <v>46290</v>
      </c>
      <c r="Q471" s="33">
        <v>46290</v>
      </c>
      <c r="R471" s="32">
        <v>0</v>
      </c>
      <c r="S471" s="30" t="s">
        <v>322</v>
      </c>
      <c r="T471" s="30" t="s">
        <v>1330</v>
      </c>
      <c r="U471" s="30" t="s">
        <v>367</v>
      </c>
      <c r="V471" s="30" t="s">
        <v>87</v>
      </c>
      <c r="W471" s="30" t="s">
        <v>88</v>
      </c>
      <c r="X471" s="30" t="s">
        <v>1969</v>
      </c>
      <c r="Y471" s="30" t="s">
        <v>1970</v>
      </c>
      <c r="AB471" s="30" t="b">
        <v>0</v>
      </c>
      <c r="AC471" s="30"/>
      <c r="AD471" s="30" t="b">
        <v>0</v>
      </c>
      <c r="AF471" s="30" t="b">
        <v>0</v>
      </c>
      <c r="AH471" s="32" t="s">
        <v>91</v>
      </c>
      <c r="AI471" s="32"/>
      <c r="AJ471" s="32"/>
      <c r="AK471" s="32"/>
      <c r="AL471" s="30" t="s">
        <v>1720</v>
      </c>
      <c r="AM471" s="30" t="s">
        <v>649</v>
      </c>
      <c r="AN471" s="30" t="s">
        <v>94</v>
      </c>
      <c r="AO471" s="30" t="s">
        <v>142</v>
      </c>
      <c r="AP471" s="30" t="s">
        <v>143</v>
      </c>
      <c r="AQ471" s="30" t="s">
        <v>144</v>
      </c>
      <c r="AR471" s="30" t="s">
        <v>691</v>
      </c>
      <c r="AT471" s="30" t="s">
        <v>99</v>
      </c>
      <c r="AU471" s="30" t="s">
        <v>100</v>
      </c>
      <c r="AV471" s="30" t="s">
        <v>101</v>
      </c>
      <c r="AW471" s="30" t="s">
        <v>102</v>
      </c>
      <c r="AX471" s="34" t="s">
        <v>367</v>
      </c>
      <c r="AY471" s="34" t="s">
        <v>167</v>
      </c>
      <c r="AZ471" s="34"/>
      <c r="BA471" s="34"/>
      <c r="BB471" s="34"/>
      <c r="BC471" s="34">
        <v>0</v>
      </c>
      <c r="BD471" s="34"/>
      <c r="BE471" s="34"/>
      <c r="BF471" s="34" t="b">
        <v>0</v>
      </c>
      <c r="BG471" s="34"/>
      <c r="BH471" s="34"/>
      <c r="BI471" s="34"/>
      <c r="BJ471" s="34"/>
      <c r="BK471" s="34"/>
      <c r="BL471" s="34" t="s">
        <v>1978</v>
      </c>
      <c r="BM471" s="34" t="s">
        <v>106</v>
      </c>
      <c r="BN471" s="34" t="s">
        <v>107</v>
      </c>
      <c r="BO471" s="35"/>
      <c r="BP471" s="35"/>
      <c r="BQ471" s="35" t="s">
        <v>108</v>
      </c>
      <c r="BR471" s="36" t="e">
        <f>VLOOKUP(BQ471, Cat_Indicadores!B:C, 2, FALSE)</f>
        <v>#N/A</v>
      </c>
      <c r="BS471" s="35" t="s">
        <v>5592</v>
      </c>
      <c r="BT471" s="35"/>
    </row>
    <row r="472" spans="1:72">
      <c r="A472" s="29" t="s">
        <v>1979</v>
      </c>
      <c r="B472" s="30" t="s">
        <v>1980</v>
      </c>
      <c r="C472" s="31">
        <v>46290.477071759262</v>
      </c>
      <c r="D472" s="30">
        <v>80</v>
      </c>
      <c r="E472" s="30" t="s">
        <v>1957</v>
      </c>
      <c r="F472" s="30" t="s">
        <v>1958</v>
      </c>
      <c r="G472" s="30" t="s">
        <v>1959</v>
      </c>
      <c r="H472" s="30" t="s">
        <v>1392</v>
      </c>
      <c r="I472" s="30" t="s">
        <v>1714</v>
      </c>
      <c r="J472" s="30" t="s">
        <v>1960</v>
      </c>
      <c r="K472" s="32">
        <v>12</v>
      </c>
      <c r="L472" s="32" t="s">
        <v>211</v>
      </c>
      <c r="M472" s="30" t="s">
        <v>1981</v>
      </c>
      <c r="N472" s="30" t="s">
        <v>1982</v>
      </c>
      <c r="O472" s="30" t="s">
        <v>83</v>
      </c>
      <c r="P472" s="33">
        <v>46228</v>
      </c>
      <c r="Q472" s="33">
        <v>46228</v>
      </c>
      <c r="R472" s="32">
        <v>0</v>
      </c>
      <c r="S472" s="30" t="s">
        <v>322</v>
      </c>
      <c r="T472" s="30" t="s">
        <v>1330</v>
      </c>
      <c r="U472" s="30" t="s">
        <v>1039</v>
      </c>
      <c r="V472" s="30" t="s">
        <v>1040</v>
      </c>
      <c r="W472" s="30" t="s">
        <v>88</v>
      </c>
      <c r="X472" s="30" t="s">
        <v>1398</v>
      </c>
      <c r="Y472" s="30" t="s">
        <v>1983</v>
      </c>
      <c r="AB472" s="30" t="b">
        <v>0</v>
      </c>
      <c r="AC472" s="30"/>
      <c r="AD472" s="30" t="b">
        <v>0</v>
      </c>
      <c r="AF472" s="30" t="b">
        <v>0</v>
      </c>
      <c r="AH472" s="32" t="s">
        <v>91</v>
      </c>
      <c r="AI472" s="32"/>
      <c r="AJ472" s="32"/>
      <c r="AK472" s="32"/>
      <c r="AL472" s="30" t="s">
        <v>1720</v>
      </c>
      <c r="AM472" s="30" t="s">
        <v>599</v>
      </c>
      <c r="AN472" s="30" t="s">
        <v>94</v>
      </c>
      <c r="AO472" s="30" t="s">
        <v>142</v>
      </c>
      <c r="AP472" s="30" t="s">
        <v>143</v>
      </c>
      <c r="AQ472" s="30" t="s">
        <v>144</v>
      </c>
      <c r="AR472" s="30" t="s">
        <v>691</v>
      </c>
      <c r="AT472" s="30" t="s">
        <v>99</v>
      </c>
      <c r="AU472" s="30" t="s">
        <v>100</v>
      </c>
      <c r="AV472" s="30" t="s">
        <v>101</v>
      </c>
      <c r="AW472" s="30" t="s">
        <v>102</v>
      </c>
      <c r="AX472" s="34" t="s">
        <v>1039</v>
      </c>
      <c r="AY472" s="34" t="s">
        <v>279</v>
      </c>
      <c r="AZ472" s="34"/>
      <c r="BA472" s="34"/>
      <c r="BB472" s="34">
        <v>1</v>
      </c>
      <c r="BC472" s="34">
        <v>7</v>
      </c>
      <c r="BD472" s="34" t="s">
        <v>185</v>
      </c>
      <c r="BE472" s="34"/>
      <c r="BF472" s="34" t="b">
        <v>1</v>
      </c>
      <c r="BG472" s="34" t="s">
        <v>1042</v>
      </c>
      <c r="BH472" s="34">
        <v>15000</v>
      </c>
      <c r="BI472" s="34"/>
      <c r="BJ472" s="34"/>
      <c r="BK472" s="34"/>
      <c r="BL472" s="34" t="s">
        <v>1984</v>
      </c>
      <c r="BM472" s="34" t="s">
        <v>106</v>
      </c>
      <c r="BN472" s="34" t="s">
        <v>1015</v>
      </c>
      <c r="BO472" s="35"/>
      <c r="BP472" s="35"/>
      <c r="BQ472" s="35" t="s">
        <v>108</v>
      </c>
      <c r="BR472" s="36" t="e">
        <f>VLOOKUP(BQ472, Cat_Indicadores!B:C, 2, FALSE)</f>
        <v>#N/A</v>
      </c>
      <c r="BS472" s="35" t="s">
        <v>5592</v>
      </c>
      <c r="BT472" s="35"/>
    </row>
    <row r="473" spans="1:72">
      <c r="A473" s="29" t="s">
        <v>1985</v>
      </c>
      <c r="B473" s="30" t="s">
        <v>1986</v>
      </c>
      <c r="C473" s="31">
        <v>46290.512777777774</v>
      </c>
      <c r="D473" s="30">
        <v>81</v>
      </c>
      <c r="E473" s="30" t="s">
        <v>1957</v>
      </c>
      <c r="F473" s="30" t="s">
        <v>1958</v>
      </c>
      <c r="G473" s="30" t="s">
        <v>1987</v>
      </c>
      <c r="H473" s="30" t="s">
        <v>1392</v>
      </c>
      <c r="I473" s="30" t="s">
        <v>1714</v>
      </c>
      <c r="J473" s="30" t="s">
        <v>1988</v>
      </c>
      <c r="K473" s="32">
        <v>2</v>
      </c>
      <c r="L473" s="32" t="s">
        <v>211</v>
      </c>
      <c r="M473" s="30" t="s">
        <v>1989</v>
      </c>
      <c r="N473" s="30" t="s">
        <v>1990</v>
      </c>
      <c r="O473" s="30" t="s">
        <v>581</v>
      </c>
      <c r="P473" s="33">
        <v>46207</v>
      </c>
      <c r="Q473" s="33">
        <v>46221</v>
      </c>
      <c r="R473" s="32">
        <v>5</v>
      </c>
      <c r="S473" s="30" t="s">
        <v>322</v>
      </c>
      <c r="T473" s="30" t="s">
        <v>1330</v>
      </c>
      <c r="U473" s="30" t="s">
        <v>86</v>
      </c>
      <c r="V473" s="30" t="s">
        <v>87</v>
      </c>
      <c r="W473" s="30" t="s">
        <v>88</v>
      </c>
      <c r="X473" s="30" t="s">
        <v>1969</v>
      </c>
      <c r="Y473" s="30" t="s">
        <v>1970</v>
      </c>
      <c r="AB473" s="30" t="b">
        <v>0</v>
      </c>
      <c r="AC473" s="30"/>
      <c r="AD473" s="30" t="b">
        <v>1</v>
      </c>
      <c r="AE473" s="30">
        <v>1</v>
      </c>
      <c r="AF473" s="30" t="b">
        <v>0</v>
      </c>
      <c r="AH473" s="32" t="s">
        <v>91</v>
      </c>
      <c r="AI473" s="32"/>
      <c r="AJ473" s="32"/>
      <c r="AK473" s="32"/>
      <c r="AL473" s="30" t="s">
        <v>1720</v>
      </c>
      <c r="AM473" s="30" t="s">
        <v>599</v>
      </c>
      <c r="AN473" s="30" t="s">
        <v>94</v>
      </c>
      <c r="AO473" s="30" t="s">
        <v>142</v>
      </c>
      <c r="AP473" s="30" t="s">
        <v>143</v>
      </c>
      <c r="AQ473" s="30" t="s">
        <v>144</v>
      </c>
      <c r="AR473" s="30" t="s">
        <v>691</v>
      </c>
      <c r="AT473" s="30" t="s">
        <v>99</v>
      </c>
      <c r="AU473" s="30" t="s">
        <v>100</v>
      </c>
      <c r="AV473" s="30" t="s">
        <v>101</v>
      </c>
      <c r="AW473" s="30" t="s">
        <v>102</v>
      </c>
      <c r="AX473" s="34" t="s">
        <v>86</v>
      </c>
      <c r="AY473" s="34" t="s">
        <v>778</v>
      </c>
      <c r="AZ473" s="34"/>
      <c r="BA473" s="34"/>
      <c r="BB473" s="34">
        <v>11</v>
      </c>
      <c r="BC473" s="34">
        <v>1</v>
      </c>
      <c r="BD473" s="34" t="s">
        <v>185</v>
      </c>
      <c r="BE473" s="34"/>
      <c r="BF473" s="34" t="b">
        <v>1</v>
      </c>
      <c r="BG473" s="34" t="s">
        <v>1042</v>
      </c>
      <c r="BH473" s="34">
        <v>21476</v>
      </c>
      <c r="BI473" s="34"/>
      <c r="BJ473" s="34"/>
      <c r="BK473" s="34"/>
      <c r="BL473" s="34"/>
      <c r="BM473" s="34" t="s">
        <v>168</v>
      </c>
      <c r="BN473" s="34"/>
      <c r="BO473" s="35"/>
      <c r="BP473" s="35"/>
      <c r="BQ473" s="35" t="s">
        <v>108</v>
      </c>
      <c r="BR473" s="36" t="e">
        <f>VLOOKUP(BQ473, Cat_Indicadores!B:C, 2, FALSE)</f>
        <v>#N/A</v>
      </c>
      <c r="BS473" s="35" t="s">
        <v>5592</v>
      </c>
      <c r="BT473" s="35"/>
    </row>
    <row r="474" spans="1:72">
      <c r="A474" s="29" t="s">
        <v>1991</v>
      </c>
      <c r="B474" s="30" t="s">
        <v>1992</v>
      </c>
      <c r="C474" s="31">
        <v>46290.585370370369</v>
      </c>
      <c r="D474" s="30">
        <v>80</v>
      </c>
      <c r="E474" s="30" t="s">
        <v>1957</v>
      </c>
      <c r="F474" s="30" t="s">
        <v>1958</v>
      </c>
      <c r="G474" s="30" t="s">
        <v>1959</v>
      </c>
      <c r="H474" s="30" t="s">
        <v>1392</v>
      </c>
      <c r="I474" s="30" t="s">
        <v>1714</v>
      </c>
      <c r="J474" s="30" t="s">
        <v>1960</v>
      </c>
      <c r="K474" s="32">
        <v>12</v>
      </c>
      <c r="L474" s="32" t="s">
        <v>211</v>
      </c>
      <c r="M474" s="30" t="s">
        <v>1993</v>
      </c>
      <c r="N474" s="30" t="s">
        <v>1994</v>
      </c>
      <c r="O474" s="30" t="s">
        <v>83</v>
      </c>
      <c r="P474" s="33">
        <v>46256</v>
      </c>
      <c r="Q474" s="33">
        <v>46256</v>
      </c>
      <c r="R474" s="32">
        <v>0</v>
      </c>
      <c r="S474" s="30" t="s">
        <v>322</v>
      </c>
      <c r="T474" s="30" t="s">
        <v>1330</v>
      </c>
      <c r="U474" s="30" t="s">
        <v>1039</v>
      </c>
      <c r="V474" s="30" t="s">
        <v>1040</v>
      </c>
      <c r="W474" s="30" t="s">
        <v>88</v>
      </c>
      <c r="X474" s="30" t="s">
        <v>89</v>
      </c>
      <c r="Z474" s="30" t="s">
        <v>1995</v>
      </c>
      <c r="AB474" s="30" t="b">
        <v>0</v>
      </c>
      <c r="AC474" s="30"/>
      <c r="AD474" s="30" t="b">
        <v>0</v>
      </c>
      <c r="AF474" s="30" t="b">
        <v>0</v>
      </c>
      <c r="AH474" s="32" t="s">
        <v>91</v>
      </c>
      <c r="AI474" s="32"/>
      <c r="AJ474" s="32"/>
      <c r="AK474" s="32"/>
      <c r="AL474" s="30" t="s">
        <v>1720</v>
      </c>
      <c r="AM474" s="30" t="s">
        <v>599</v>
      </c>
      <c r="AN474" s="30" t="s">
        <v>94</v>
      </c>
      <c r="AO474" s="30" t="s">
        <v>142</v>
      </c>
      <c r="AP474" s="30" t="s">
        <v>143</v>
      </c>
      <c r="AQ474" s="30" t="s">
        <v>144</v>
      </c>
      <c r="AR474" s="30" t="s">
        <v>691</v>
      </c>
      <c r="AT474" s="30" t="s">
        <v>99</v>
      </c>
      <c r="AU474" s="30" t="s">
        <v>100</v>
      </c>
      <c r="AV474" s="30" t="s">
        <v>101</v>
      </c>
      <c r="AW474" s="30" t="s">
        <v>102</v>
      </c>
      <c r="AX474" s="34" t="s">
        <v>1039</v>
      </c>
      <c r="AY474" s="34" t="s">
        <v>167</v>
      </c>
      <c r="AZ474" s="34"/>
      <c r="BA474" s="34"/>
      <c r="BB474" s="34"/>
      <c r="BC474" s="34">
        <v>0</v>
      </c>
      <c r="BD474" s="34"/>
      <c r="BE474" s="34"/>
      <c r="BF474" s="34" t="b">
        <v>1</v>
      </c>
      <c r="BG474" s="34" t="s">
        <v>1042</v>
      </c>
      <c r="BH474" s="34">
        <v>15000</v>
      </c>
      <c r="BI474" s="34"/>
      <c r="BJ474" s="34"/>
      <c r="BK474" s="34"/>
      <c r="BL474" s="34" t="s">
        <v>1996</v>
      </c>
      <c r="BM474" s="34" t="s">
        <v>106</v>
      </c>
      <c r="BN474" s="34" t="s">
        <v>1015</v>
      </c>
      <c r="BO474" s="35"/>
      <c r="BP474" s="35"/>
      <c r="BQ474" s="35" t="s">
        <v>108</v>
      </c>
      <c r="BR474" s="36" t="e">
        <f>VLOOKUP(BQ474, Cat_Indicadores!B:C, 2, FALSE)</f>
        <v>#N/A</v>
      </c>
      <c r="BS474" s="35" t="s">
        <v>5592</v>
      </c>
      <c r="BT474" s="35"/>
    </row>
    <row r="475" spans="1:72">
      <c r="A475" s="29" t="s">
        <v>1997</v>
      </c>
      <c r="B475" s="30" t="s">
        <v>1998</v>
      </c>
      <c r="C475" s="31">
        <v>46296.05028935185</v>
      </c>
      <c r="D475" s="30">
        <v>24</v>
      </c>
      <c r="E475" s="30" t="s">
        <v>1999</v>
      </c>
      <c r="F475" s="30" t="s">
        <v>2000</v>
      </c>
      <c r="G475" s="30" t="s">
        <v>2001</v>
      </c>
      <c r="H475" s="30" t="s">
        <v>1392</v>
      </c>
      <c r="I475" s="30" t="s">
        <v>1714</v>
      </c>
      <c r="J475" s="30" t="s">
        <v>2002</v>
      </c>
      <c r="K475" s="32">
        <v>1240</v>
      </c>
      <c r="L475" s="32" t="s">
        <v>80</v>
      </c>
      <c r="M475" s="30" t="s">
        <v>2003</v>
      </c>
      <c r="N475" s="30" t="s">
        <v>2004</v>
      </c>
      <c r="O475" s="30" t="s">
        <v>661</v>
      </c>
      <c r="P475" s="33">
        <v>46101</v>
      </c>
      <c r="Q475" s="37">
        <v>46203</v>
      </c>
      <c r="R475" s="32">
        <v>1020</v>
      </c>
      <c r="S475" s="30" t="s">
        <v>214</v>
      </c>
      <c r="T475" s="30" t="s">
        <v>2005</v>
      </c>
      <c r="U475" s="30" t="s">
        <v>2006</v>
      </c>
      <c r="V475" s="30" t="s">
        <v>87</v>
      </c>
      <c r="W475" s="30" t="s">
        <v>88</v>
      </c>
      <c r="X475" s="30" t="s">
        <v>1969</v>
      </c>
      <c r="Y475" s="30" t="s">
        <v>1970</v>
      </c>
      <c r="AB475" s="30" t="b">
        <v>0</v>
      </c>
      <c r="AC475" s="30"/>
      <c r="AD475" s="30" t="b">
        <v>1</v>
      </c>
      <c r="AE475" s="30">
        <v>37</v>
      </c>
      <c r="AF475" s="30" t="b">
        <v>0</v>
      </c>
      <c r="AH475" s="32" t="s">
        <v>91</v>
      </c>
      <c r="AI475" s="32"/>
      <c r="AJ475" s="32"/>
      <c r="AK475" s="32"/>
      <c r="AL475" s="30" t="s">
        <v>2007</v>
      </c>
      <c r="AM475" s="30" t="s">
        <v>1385</v>
      </c>
      <c r="AN475" s="30" t="s">
        <v>266</v>
      </c>
      <c r="AO475" s="30" t="s">
        <v>267</v>
      </c>
      <c r="AP475" s="30" t="s">
        <v>295</v>
      </c>
      <c r="AQ475" s="30" t="s">
        <v>295</v>
      </c>
      <c r="AR475" s="30" t="s">
        <v>97</v>
      </c>
      <c r="AS475" s="30" t="s">
        <v>112</v>
      </c>
      <c r="AT475" s="30" t="s">
        <v>275</v>
      </c>
      <c r="AU475" s="30" t="s">
        <v>276</v>
      </c>
      <c r="AV475" s="30" t="s">
        <v>1740</v>
      </c>
      <c r="AW475" s="30" t="s">
        <v>278</v>
      </c>
      <c r="AX475" s="34" t="s">
        <v>2006</v>
      </c>
      <c r="AY475" s="34" t="s">
        <v>149</v>
      </c>
      <c r="AZ475" s="34" t="s">
        <v>149</v>
      </c>
      <c r="BA475" s="34" t="s">
        <v>2004</v>
      </c>
      <c r="BB475" s="34"/>
      <c r="BC475" s="34">
        <v>0</v>
      </c>
      <c r="BD475" s="34"/>
      <c r="BE475" s="34"/>
      <c r="BF475" s="34" t="b">
        <v>1</v>
      </c>
      <c r="BG475" s="34" t="s">
        <v>2008</v>
      </c>
      <c r="BH475" s="34"/>
      <c r="BI475" s="34"/>
      <c r="BJ475" s="34"/>
      <c r="BK475" s="34"/>
      <c r="BL475" s="34" t="s">
        <v>2009</v>
      </c>
      <c r="BM475" s="34" t="s">
        <v>106</v>
      </c>
      <c r="BN475" s="34" t="s">
        <v>1683</v>
      </c>
      <c r="BO475" s="35"/>
      <c r="BP475" s="35"/>
      <c r="BQ475" s="35" t="s">
        <v>108</v>
      </c>
      <c r="BR475" s="36" t="e">
        <f>VLOOKUP(BQ475, Cat_Indicadores!B:C, 2, FALSE)</f>
        <v>#N/A</v>
      </c>
      <c r="BS475" s="35" t="s">
        <v>5592</v>
      </c>
      <c r="BT475" s="35"/>
    </row>
    <row r="476" spans="1:72">
      <c r="A476" s="29" t="s">
        <v>2010</v>
      </c>
      <c r="B476" s="30" t="s">
        <v>2011</v>
      </c>
      <c r="C476" s="31">
        <v>46297.514467592591</v>
      </c>
      <c r="D476" s="30">
        <v>94</v>
      </c>
      <c r="E476" s="30" t="s">
        <v>74</v>
      </c>
      <c r="F476" s="30" t="s">
        <v>75</v>
      </c>
      <c r="G476" s="30" t="s">
        <v>76</v>
      </c>
      <c r="H476" s="30" t="s">
        <v>77</v>
      </c>
      <c r="I476" s="30" t="s">
        <v>78</v>
      </c>
      <c r="J476" s="30" t="s">
        <v>79</v>
      </c>
      <c r="K476" s="32">
        <v>12</v>
      </c>
      <c r="L476" s="32" t="s">
        <v>211</v>
      </c>
      <c r="M476" s="30" t="s">
        <v>2012</v>
      </c>
      <c r="N476" s="30" t="s">
        <v>812</v>
      </c>
      <c r="O476" s="30" t="s">
        <v>581</v>
      </c>
      <c r="P476" s="33">
        <v>46270</v>
      </c>
      <c r="Q476" s="33">
        <v>46291</v>
      </c>
      <c r="R476" s="32">
        <v>4</v>
      </c>
      <c r="S476" s="30" t="s">
        <v>84</v>
      </c>
      <c r="T476" s="30" t="s">
        <v>337</v>
      </c>
      <c r="U476" s="30" t="s">
        <v>86</v>
      </c>
      <c r="V476" s="30" t="s">
        <v>87</v>
      </c>
      <c r="W476" s="30" t="s">
        <v>88</v>
      </c>
      <c r="X476" s="30" t="s">
        <v>197</v>
      </c>
      <c r="Y476" s="30" t="s">
        <v>1063</v>
      </c>
      <c r="AB476" s="30" t="b">
        <v>0</v>
      </c>
      <c r="AC476" s="30"/>
      <c r="AD476" s="30" t="b">
        <v>0</v>
      </c>
      <c r="AF476" s="30" t="b">
        <v>0</v>
      </c>
      <c r="AH476" s="32" t="s">
        <v>91</v>
      </c>
      <c r="AI476" s="32"/>
      <c r="AJ476" s="32"/>
      <c r="AK476" s="32"/>
      <c r="AL476" s="30" t="s">
        <v>92</v>
      </c>
      <c r="AM476" s="30" t="s">
        <v>93</v>
      </c>
      <c r="AN476" s="30" t="s">
        <v>199</v>
      </c>
      <c r="AO476" s="30" t="s">
        <v>200</v>
      </c>
      <c r="AP476" s="30" t="s">
        <v>201</v>
      </c>
      <c r="AQ476" s="30" t="s">
        <v>202</v>
      </c>
      <c r="AR476" s="30" t="s">
        <v>145</v>
      </c>
      <c r="AT476" s="30" t="s">
        <v>226</v>
      </c>
      <c r="AU476" s="30" t="s">
        <v>204</v>
      </c>
      <c r="AV476" s="30" t="s">
        <v>227</v>
      </c>
      <c r="AW476" s="30" t="s">
        <v>206</v>
      </c>
      <c r="AX476" s="34" t="s">
        <v>86</v>
      </c>
      <c r="AY476" s="34" t="s">
        <v>149</v>
      </c>
      <c r="AZ476" s="34" t="s">
        <v>149</v>
      </c>
      <c r="BA476" s="34"/>
      <c r="BB476" s="34"/>
      <c r="BC476" s="34">
        <v>0</v>
      </c>
      <c r="BD476" s="34"/>
      <c r="BE476" s="34"/>
      <c r="BF476" s="34" t="b">
        <v>0</v>
      </c>
      <c r="BG476" s="34"/>
      <c r="BH476" s="34"/>
      <c r="BI476" s="34"/>
      <c r="BJ476" s="34"/>
      <c r="BK476" s="34"/>
      <c r="BL476" s="34" t="s">
        <v>1697</v>
      </c>
      <c r="BM476" s="34" t="s">
        <v>106</v>
      </c>
      <c r="BN476" s="34" t="s">
        <v>107</v>
      </c>
      <c r="BO476" s="35"/>
      <c r="BP476" s="35"/>
      <c r="BQ476" s="35" t="s">
        <v>108</v>
      </c>
      <c r="BR476" s="36" t="e">
        <f>VLOOKUP(BQ476, Cat_Indicadores!B:C, 2, FALSE)</f>
        <v>#N/A</v>
      </c>
      <c r="BS476" s="35" t="s">
        <v>5592</v>
      </c>
      <c r="BT476" s="35"/>
    </row>
    <row r="477" spans="1:72">
      <c r="A477" s="29" t="s">
        <v>2013</v>
      </c>
      <c r="B477" s="30" t="s">
        <v>2014</v>
      </c>
      <c r="C477" s="31">
        <v>46297.52553240741</v>
      </c>
      <c r="D477" s="30">
        <v>92</v>
      </c>
      <c r="E477" s="30" t="s">
        <v>74</v>
      </c>
      <c r="F477" s="30" t="s">
        <v>75</v>
      </c>
      <c r="G477" s="30" t="s">
        <v>133</v>
      </c>
      <c r="H477" s="30" t="s">
        <v>77</v>
      </c>
      <c r="I477" s="30" t="s">
        <v>78</v>
      </c>
      <c r="J477" s="30" t="s">
        <v>79</v>
      </c>
      <c r="K477" s="32">
        <v>800</v>
      </c>
      <c r="L477" s="32" t="s">
        <v>80</v>
      </c>
      <c r="M477" s="30" t="s">
        <v>1087</v>
      </c>
      <c r="N477" s="30" t="s">
        <v>402</v>
      </c>
      <c r="O477" s="30" t="s">
        <v>83</v>
      </c>
      <c r="P477" s="33">
        <v>46271</v>
      </c>
      <c r="Q477" s="33">
        <v>46271</v>
      </c>
      <c r="R477" s="32">
        <v>1</v>
      </c>
      <c r="S477" s="30" t="s">
        <v>84</v>
      </c>
      <c r="T477" s="30" t="s">
        <v>337</v>
      </c>
      <c r="U477" s="30" t="s">
        <v>338</v>
      </c>
      <c r="V477" s="30" t="s">
        <v>87</v>
      </c>
      <c r="W477" s="30" t="s">
        <v>88</v>
      </c>
      <c r="X477" s="30" t="s">
        <v>197</v>
      </c>
      <c r="Y477" s="30" t="s">
        <v>1063</v>
      </c>
      <c r="AB477" s="30" t="b">
        <v>0</v>
      </c>
      <c r="AC477" s="30"/>
      <c r="AD477" s="30" t="b">
        <v>0</v>
      </c>
      <c r="AF477" s="30" t="b">
        <v>0</v>
      </c>
      <c r="AH477" s="32" t="s">
        <v>91</v>
      </c>
      <c r="AI477" s="32"/>
      <c r="AJ477" s="32"/>
      <c r="AK477" s="32"/>
      <c r="AL477" s="30" t="s">
        <v>92</v>
      </c>
      <c r="AM477" s="30" t="s">
        <v>93</v>
      </c>
      <c r="AN477" s="30" t="s">
        <v>199</v>
      </c>
      <c r="AO477" s="30" t="s">
        <v>200</v>
      </c>
      <c r="AP477" s="30" t="s">
        <v>201</v>
      </c>
      <c r="AQ477" s="30" t="s">
        <v>202</v>
      </c>
      <c r="AR477" s="30" t="s">
        <v>145</v>
      </c>
      <c r="AT477" s="30" t="s">
        <v>99</v>
      </c>
      <c r="AU477" s="30" t="s">
        <v>100</v>
      </c>
      <c r="AV477" s="30" t="s">
        <v>101</v>
      </c>
      <c r="AW477" s="30" t="s">
        <v>102</v>
      </c>
      <c r="AX477" s="34" t="s">
        <v>338</v>
      </c>
      <c r="AY477" s="34" t="s">
        <v>103</v>
      </c>
      <c r="AZ477" s="34"/>
      <c r="BA477" s="34"/>
      <c r="BB477" s="34"/>
      <c r="BC477" s="34">
        <v>0</v>
      </c>
      <c r="BD477" s="34"/>
      <c r="BE477" s="34"/>
      <c r="BF477" s="34" t="b">
        <v>0</v>
      </c>
      <c r="BG477" s="34"/>
      <c r="BH477" s="34"/>
      <c r="BI477" s="34"/>
      <c r="BJ477" s="34"/>
      <c r="BK477" s="34"/>
      <c r="BL477" s="34"/>
      <c r="BM477" s="34" t="s">
        <v>168</v>
      </c>
      <c r="BN477" s="34"/>
      <c r="BO477" s="35"/>
      <c r="BP477" s="35"/>
      <c r="BQ477" s="35" t="s">
        <v>108</v>
      </c>
      <c r="BR477" s="36" t="e">
        <f>VLOOKUP(BQ477, Cat_Indicadores!B:C, 2, FALSE)</f>
        <v>#N/A</v>
      </c>
      <c r="BS477" s="35" t="s">
        <v>5592</v>
      </c>
      <c r="BT477" s="35"/>
    </row>
    <row r="478" spans="1:72">
      <c r="A478" s="29" t="s">
        <v>2015</v>
      </c>
      <c r="B478" s="30" t="s">
        <v>2016</v>
      </c>
      <c r="C478" s="31">
        <v>46297.53162037037</v>
      </c>
      <c r="D478" s="30">
        <v>92</v>
      </c>
      <c r="E478" s="30" t="s">
        <v>74</v>
      </c>
      <c r="F478" s="30" t="s">
        <v>75</v>
      </c>
      <c r="G478" s="30" t="s">
        <v>133</v>
      </c>
      <c r="H478" s="30" t="s">
        <v>77</v>
      </c>
      <c r="I478" s="30" t="s">
        <v>78</v>
      </c>
      <c r="J478" s="30" t="s">
        <v>79</v>
      </c>
      <c r="K478" s="32">
        <v>800</v>
      </c>
      <c r="L478" s="32" t="s">
        <v>80</v>
      </c>
      <c r="M478" s="30" t="s">
        <v>1702</v>
      </c>
      <c r="N478" s="30" t="s">
        <v>833</v>
      </c>
      <c r="O478" s="30" t="s">
        <v>83</v>
      </c>
      <c r="P478" s="33">
        <v>46273</v>
      </c>
      <c r="Q478" s="33">
        <v>46273</v>
      </c>
      <c r="R478" s="32">
        <v>1</v>
      </c>
      <c r="S478" s="30" t="s">
        <v>264</v>
      </c>
      <c r="T478" s="30" t="s">
        <v>265</v>
      </c>
      <c r="U478" s="30" t="s">
        <v>480</v>
      </c>
      <c r="V478" s="30" t="s">
        <v>87</v>
      </c>
      <c r="W478" s="30" t="s">
        <v>88</v>
      </c>
      <c r="X478" s="30" t="s">
        <v>197</v>
      </c>
      <c r="Y478" s="30" t="s">
        <v>1063</v>
      </c>
      <c r="AB478" s="30" t="b">
        <v>0</v>
      </c>
      <c r="AC478" s="30"/>
      <c r="AD478" s="30" t="b">
        <v>0</v>
      </c>
      <c r="AF478" s="30" t="b">
        <v>0</v>
      </c>
      <c r="AH478" s="32" t="s">
        <v>91</v>
      </c>
      <c r="AI478" s="32"/>
      <c r="AJ478" s="32"/>
      <c r="AK478" s="32"/>
      <c r="AL478" s="30" t="s">
        <v>92</v>
      </c>
      <c r="AM478" s="30" t="s">
        <v>251</v>
      </c>
      <c r="AN478" s="30" t="s">
        <v>199</v>
      </c>
      <c r="AO478" s="30" t="s">
        <v>200</v>
      </c>
      <c r="AP478" s="30" t="s">
        <v>201</v>
      </c>
      <c r="AQ478" s="30" t="s">
        <v>202</v>
      </c>
      <c r="AR478" s="30" t="s">
        <v>97</v>
      </c>
      <c r="AS478" s="30" t="s">
        <v>98</v>
      </c>
      <c r="AT478" s="30" t="s">
        <v>226</v>
      </c>
      <c r="AU478" s="30" t="s">
        <v>204</v>
      </c>
      <c r="AV478" s="30" t="s">
        <v>227</v>
      </c>
      <c r="AW478" s="30" t="s">
        <v>206</v>
      </c>
      <c r="AX478" s="34" t="s">
        <v>783</v>
      </c>
      <c r="AY478" s="34" t="s">
        <v>103</v>
      </c>
      <c r="AZ478" s="34"/>
      <c r="BA478" s="34"/>
      <c r="BB478" s="34"/>
      <c r="BC478" s="34">
        <v>0</v>
      </c>
      <c r="BD478" s="34"/>
      <c r="BE478" s="34"/>
      <c r="BF478" s="34" t="b">
        <v>0</v>
      </c>
      <c r="BG478" s="34"/>
      <c r="BH478" s="34"/>
      <c r="BI478" s="34"/>
      <c r="BJ478" s="34"/>
      <c r="BK478" s="34"/>
      <c r="BL478" s="34"/>
      <c r="BM478" s="34" t="s">
        <v>168</v>
      </c>
      <c r="BN478" s="34"/>
      <c r="BO478" s="35"/>
      <c r="BP478" s="35"/>
      <c r="BQ478" s="35" t="s">
        <v>108</v>
      </c>
      <c r="BR478" s="36" t="e">
        <f>VLOOKUP(BQ478, Cat_Indicadores!B:C, 2, FALSE)</f>
        <v>#N/A</v>
      </c>
      <c r="BS478" s="35" t="s">
        <v>5592</v>
      </c>
      <c r="BT478" s="35"/>
    </row>
    <row r="479" spans="1:72">
      <c r="A479" s="29" t="s">
        <v>2017</v>
      </c>
      <c r="B479" s="30" t="s">
        <v>2018</v>
      </c>
      <c r="C479" s="31">
        <v>46297.536770833336</v>
      </c>
      <c r="D479" s="30">
        <v>92</v>
      </c>
      <c r="E479" s="30" t="s">
        <v>74</v>
      </c>
      <c r="F479" s="30" t="s">
        <v>75</v>
      </c>
      <c r="G479" s="30" t="s">
        <v>133</v>
      </c>
      <c r="H479" s="30" t="s">
        <v>77</v>
      </c>
      <c r="I479" s="30" t="s">
        <v>78</v>
      </c>
      <c r="J479" s="30" t="s">
        <v>79</v>
      </c>
      <c r="K479" s="32">
        <v>800</v>
      </c>
      <c r="L479" s="32" t="s">
        <v>80</v>
      </c>
      <c r="M479" s="30" t="s">
        <v>1055</v>
      </c>
      <c r="N479" s="30" t="s">
        <v>402</v>
      </c>
      <c r="O479" s="30" t="s">
        <v>83</v>
      </c>
      <c r="P479" s="33">
        <v>46273</v>
      </c>
      <c r="Q479" s="33">
        <v>46273</v>
      </c>
      <c r="R479" s="32">
        <v>1</v>
      </c>
      <c r="S479" s="30" t="s">
        <v>84</v>
      </c>
      <c r="T479" s="30" t="s">
        <v>337</v>
      </c>
      <c r="U479" s="30" t="s">
        <v>338</v>
      </c>
      <c r="V479" s="30" t="s">
        <v>87</v>
      </c>
      <c r="W479" s="30" t="s">
        <v>88</v>
      </c>
      <c r="X479" s="30" t="s">
        <v>197</v>
      </c>
      <c r="Y479" s="30" t="s">
        <v>1063</v>
      </c>
      <c r="AB479" s="30" t="b">
        <v>0</v>
      </c>
      <c r="AC479" s="30"/>
      <c r="AD479" s="30" t="b">
        <v>0</v>
      </c>
      <c r="AF479" s="30" t="b">
        <v>0</v>
      </c>
      <c r="AH479" s="32" t="s">
        <v>91</v>
      </c>
      <c r="AI479" s="32"/>
      <c r="AJ479" s="32"/>
      <c r="AK479" s="32"/>
      <c r="AL479" s="30" t="s">
        <v>92</v>
      </c>
      <c r="AM479" s="30" t="s">
        <v>93</v>
      </c>
      <c r="AN479" s="30" t="s">
        <v>199</v>
      </c>
      <c r="AO479" s="30" t="s">
        <v>200</v>
      </c>
      <c r="AP479" s="30" t="s">
        <v>201</v>
      </c>
      <c r="AQ479" s="30" t="s">
        <v>202</v>
      </c>
      <c r="AR479" s="30" t="s">
        <v>145</v>
      </c>
      <c r="AT479" s="30" t="s">
        <v>99</v>
      </c>
      <c r="AU479" s="30" t="s">
        <v>100</v>
      </c>
      <c r="AV479" s="30" t="s">
        <v>101</v>
      </c>
      <c r="AW479" s="30" t="s">
        <v>102</v>
      </c>
      <c r="AX479" s="34" t="s">
        <v>338</v>
      </c>
      <c r="AY479" s="34" t="s">
        <v>103</v>
      </c>
      <c r="AZ479" s="34"/>
      <c r="BA479" s="34"/>
      <c r="BB479" s="34"/>
      <c r="BC479" s="34">
        <v>0</v>
      </c>
      <c r="BD479" s="34"/>
      <c r="BE479" s="34"/>
      <c r="BF479" s="34" t="b">
        <v>0</v>
      </c>
      <c r="BG479" s="34"/>
      <c r="BH479" s="34"/>
      <c r="BI479" s="34"/>
      <c r="BJ479" s="34"/>
      <c r="BK479" s="34"/>
      <c r="BL479" s="34"/>
      <c r="BM479" s="34" t="s">
        <v>168</v>
      </c>
      <c r="BN479" s="34"/>
      <c r="BO479" s="35"/>
      <c r="BP479" s="35"/>
      <c r="BQ479" s="35" t="s">
        <v>108</v>
      </c>
      <c r="BR479" s="36" t="e">
        <f>VLOOKUP(BQ479, Cat_Indicadores!B:C, 2, FALSE)</f>
        <v>#N/A</v>
      </c>
      <c r="BS479" s="35" t="s">
        <v>5592</v>
      </c>
      <c r="BT479" s="35"/>
    </row>
    <row r="480" spans="1:72">
      <c r="A480" s="29" t="s">
        <v>2019</v>
      </c>
      <c r="B480" s="30" t="s">
        <v>2020</v>
      </c>
      <c r="C480" s="31">
        <v>46297.539826388886</v>
      </c>
      <c r="D480" s="30">
        <v>92</v>
      </c>
      <c r="E480" s="30" t="s">
        <v>74</v>
      </c>
      <c r="F480" s="30" t="s">
        <v>75</v>
      </c>
      <c r="G480" s="30" t="s">
        <v>133</v>
      </c>
      <c r="H480" s="30" t="s">
        <v>77</v>
      </c>
      <c r="I480" s="30" t="s">
        <v>78</v>
      </c>
      <c r="J480" s="30" t="s">
        <v>79</v>
      </c>
      <c r="K480" s="32">
        <v>800</v>
      </c>
      <c r="L480" s="32" t="s">
        <v>80</v>
      </c>
      <c r="M480" s="30" t="s">
        <v>1087</v>
      </c>
      <c r="N480" s="30" t="s">
        <v>402</v>
      </c>
      <c r="O480" s="30" t="s">
        <v>83</v>
      </c>
      <c r="P480" s="33">
        <v>46274</v>
      </c>
      <c r="Q480" s="33">
        <v>46274</v>
      </c>
      <c r="R480" s="32">
        <v>1</v>
      </c>
      <c r="S480" s="30" t="s">
        <v>84</v>
      </c>
      <c r="T480" s="30" t="s">
        <v>337</v>
      </c>
      <c r="U480" s="30" t="s">
        <v>338</v>
      </c>
      <c r="V480" s="30" t="s">
        <v>87</v>
      </c>
      <c r="W480" s="30" t="s">
        <v>88</v>
      </c>
      <c r="X480" s="30" t="s">
        <v>197</v>
      </c>
      <c r="Y480" s="30" t="s">
        <v>1063</v>
      </c>
      <c r="AB480" s="30" t="b">
        <v>0</v>
      </c>
      <c r="AC480" s="30"/>
      <c r="AD480" s="30" t="b">
        <v>0</v>
      </c>
      <c r="AF480" s="30" t="b">
        <v>0</v>
      </c>
      <c r="AH480" s="32" t="s">
        <v>91</v>
      </c>
      <c r="AI480" s="32"/>
      <c r="AJ480" s="32"/>
      <c r="AK480" s="32"/>
      <c r="AL480" s="30" t="s">
        <v>92</v>
      </c>
      <c r="AM480" s="30" t="s">
        <v>93</v>
      </c>
      <c r="AN480" s="30" t="s">
        <v>199</v>
      </c>
      <c r="AO480" s="30" t="s">
        <v>200</v>
      </c>
      <c r="AP480" s="30" t="s">
        <v>201</v>
      </c>
      <c r="AQ480" s="30" t="s">
        <v>202</v>
      </c>
      <c r="AR480" s="30" t="s">
        <v>145</v>
      </c>
      <c r="AT480" s="30" t="s">
        <v>99</v>
      </c>
      <c r="AU480" s="30" t="s">
        <v>100</v>
      </c>
      <c r="AV480" s="30" t="s">
        <v>101</v>
      </c>
      <c r="AW480" s="30" t="s">
        <v>102</v>
      </c>
      <c r="AX480" s="34" t="s">
        <v>338</v>
      </c>
      <c r="AY480" s="34" t="s">
        <v>103</v>
      </c>
      <c r="AZ480" s="34"/>
      <c r="BA480" s="34"/>
      <c r="BB480" s="34"/>
      <c r="BC480" s="34">
        <v>0</v>
      </c>
      <c r="BD480" s="34"/>
      <c r="BE480" s="34"/>
      <c r="BF480" s="34" t="b">
        <v>0</v>
      </c>
      <c r="BG480" s="34"/>
      <c r="BH480" s="34"/>
      <c r="BI480" s="34"/>
      <c r="BJ480" s="34"/>
      <c r="BK480" s="34"/>
      <c r="BL480" s="34"/>
      <c r="BM480" s="34" t="s">
        <v>168</v>
      </c>
      <c r="BN480" s="34"/>
      <c r="BO480" s="35"/>
      <c r="BP480" s="35"/>
      <c r="BQ480" s="35" t="s">
        <v>108</v>
      </c>
      <c r="BR480" s="36" t="e">
        <f>VLOOKUP(BQ480, Cat_Indicadores!B:C, 2, FALSE)</f>
        <v>#N/A</v>
      </c>
      <c r="BS480" s="35" t="s">
        <v>5592</v>
      </c>
      <c r="BT480" s="35"/>
    </row>
    <row r="481" spans="1:72">
      <c r="A481" s="29" t="s">
        <v>2021</v>
      </c>
      <c r="B481" s="30" t="s">
        <v>2022</v>
      </c>
      <c r="C481" s="31">
        <v>46297.499409722222</v>
      </c>
      <c r="D481" s="30">
        <v>71</v>
      </c>
      <c r="E481" s="30" t="s">
        <v>1711</v>
      </c>
      <c r="F481" s="30" t="s">
        <v>1712</v>
      </c>
      <c r="G481" s="30" t="s">
        <v>1735</v>
      </c>
      <c r="H481" s="30" t="s">
        <v>1392</v>
      </c>
      <c r="I481" s="30" t="s">
        <v>1714</v>
      </c>
      <c r="J481" s="30" t="s">
        <v>1736</v>
      </c>
      <c r="K481" s="32">
        <v>4</v>
      </c>
      <c r="L481" s="32" t="s">
        <v>211</v>
      </c>
      <c r="M481" s="30" t="s">
        <v>2023</v>
      </c>
      <c r="N481" s="30" t="s">
        <v>2024</v>
      </c>
      <c r="O481" s="30" t="s">
        <v>1371</v>
      </c>
      <c r="P481" s="33">
        <v>46207</v>
      </c>
      <c r="Q481" s="33">
        <v>46249</v>
      </c>
      <c r="R481" s="32">
        <v>1</v>
      </c>
      <c r="S481" s="30" t="s">
        <v>249</v>
      </c>
      <c r="T481" s="30" t="s">
        <v>250</v>
      </c>
      <c r="U481" s="30" t="s">
        <v>86</v>
      </c>
      <c r="V481" s="30" t="s">
        <v>87</v>
      </c>
      <c r="W481" s="30" t="s">
        <v>88</v>
      </c>
      <c r="X481" s="30" t="s">
        <v>1719</v>
      </c>
      <c r="AB481" s="30" t="b">
        <v>0</v>
      </c>
      <c r="AC481" s="30"/>
      <c r="AD481" s="30" t="b">
        <v>1</v>
      </c>
      <c r="AE481" s="30">
        <v>1</v>
      </c>
      <c r="AF481" s="30" t="b">
        <v>0</v>
      </c>
      <c r="AH481" s="32" t="s">
        <v>91</v>
      </c>
      <c r="AI481" s="32"/>
      <c r="AJ481" s="32"/>
      <c r="AK481" s="32"/>
      <c r="AL481" s="30" t="s">
        <v>1720</v>
      </c>
      <c r="AM481" s="30" t="s">
        <v>755</v>
      </c>
      <c r="AN481" s="30" t="s">
        <v>94</v>
      </c>
      <c r="AO481" s="30" t="s">
        <v>95</v>
      </c>
      <c r="AP481" s="30" t="s">
        <v>95</v>
      </c>
      <c r="AQ481" s="30" t="s">
        <v>96</v>
      </c>
      <c r="AR481" s="30" t="s">
        <v>97</v>
      </c>
      <c r="AS481" s="30" t="s">
        <v>98</v>
      </c>
      <c r="AT481" s="30" t="s">
        <v>275</v>
      </c>
      <c r="AU481" s="30" t="s">
        <v>276</v>
      </c>
      <c r="AV481" s="30" t="s">
        <v>1740</v>
      </c>
      <c r="AW481" s="30" t="s">
        <v>278</v>
      </c>
      <c r="AX481" s="34" t="s">
        <v>86</v>
      </c>
      <c r="AY481" s="34" t="s">
        <v>149</v>
      </c>
      <c r="AZ481" s="34" t="s">
        <v>149</v>
      </c>
      <c r="BA481" s="34"/>
      <c r="BB481" s="34">
        <v>5</v>
      </c>
      <c r="BC481" s="34">
        <v>1</v>
      </c>
      <c r="BD481" s="34" t="s">
        <v>185</v>
      </c>
      <c r="BE481" s="34" t="s">
        <v>2025</v>
      </c>
      <c r="BF481" s="34" t="b">
        <v>1</v>
      </c>
      <c r="BG481" s="34" t="s">
        <v>1042</v>
      </c>
      <c r="BH481" s="34">
        <v>46655.17</v>
      </c>
      <c r="BI481" s="34"/>
      <c r="BJ481" s="34"/>
      <c r="BK481" s="34"/>
      <c r="BL481" s="34"/>
      <c r="BM481" s="34" t="s">
        <v>168</v>
      </c>
      <c r="BN481" s="34"/>
      <c r="BO481" s="35"/>
      <c r="BP481" s="35"/>
      <c r="BQ481" s="35" t="s">
        <v>108</v>
      </c>
      <c r="BR481" s="36" t="e">
        <f>VLOOKUP(BQ481, Cat_Indicadores!B:C, 2, FALSE)</f>
        <v>#N/A</v>
      </c>
      <c r="BS481" s="35" t="s">
        <v>5592</v>
      </c>
      <c r="BT481" s="35"/>
    </row>
    <row r="482" spans="1:72">
      <c r="A482" s="29" t="s">
        <v>2026</v>
      </c>
      <c r="B482" s="30" t="s">
        <v>2027</v>
      </c>
      <c r="C482" s="31">
        <v>46297.561782407407</v>
      </c>
      <c r="D482" s="30">
        <v>30</v>
      </c>
      <c r="E482" s="30" t="s">
        <v>1745</v>
      </c>
      <c r="F482" s="30" t="s">
        <v>1746</v>
      </c>
      <c r="G482" s="30" t="s">
        <v>2028</v>
      </c>
      <c r="H482" s="30" t="s">
        <v>1392</v>
      </c>
      <c r="I482" s="30" t="s">
        <v>1714</v>
      </c>
      <c r="J482" s="30" t="s">
        <v>2029</v>
      </c>
      <c r="K482" s="32">
        <v>4</v>
      </c>
      <c r="L482" s="32" t="s">
        <v>211</v>
      </c>
      <c r="M482" s="30" t="s">
        <v>2030</v>
      </c>
      <c r="N482" s="30" t="s">
        <v>2031</v>
      </c>
      <c r="O482" s="30" t="s">
        <v>1371</v>
      </c>
      <c r="P482" s="33">
        <v>46134</v>
      </c>
      <c r="Q482" s="33">
        <v>46256</v>
      </c>
      <c r="R482" s="32">
        <v>100</v>
      </c>
      <c r="S482" s="30" t="s">
        <v>249</v>
      </c>
      <c r="T482" s="30" t="s">
        <v>250</v>
      </c>
      <c r="U482" s="30" t="s">
        <v>2032</v>
      </c>
      <c r="V482" s="30" t="s">
        <v>87</v>
      </c>
      <c r="W482" s="30" t="s">
        <v>1041</v>
      </c>
      <c r="X482" s="30" t="s">
        <v>1719</v>
      </c>
      <c r="AB482" s="30" t="b">
        <v>0</v>
      </c>
      <c r="AC482" s="30"/>
      <c r="AD482" s="30" t="b">
        <v>1</v>
      </c>
      <c r="AE482" s="30">
        <v>1</v>
      </c>
      <c r="AF482" s="30" t="b">
        <v>0</v>
      </c>
      <c r="AH482" s="32" t="s">
        <v>91</v>
      </c>
      <c r="AI482" s="32"/>
      <c r="AJ482" s="32"/>
      <c r="AK482" s="32"/>
      <c r="AL482" s="30" t="s">
        <v>1720</v>
      </c>
      <c r="AM482" s="30" t="s">
        <v>755</v>
      </c>
      <c r="AN482" s="30" t="s">
        <v>94</v>
      </c>
      <c r="AO482" s="30" t="s">
        <v>95</v>
      </c>
      <c r="AP482" s="30" t="s">
        <v>95</v>
      </c>
      <c r="AQ482" s="30" t="s">
        <v>96</v>
      </c>
      <c r="AR482" s="30" t="s">
        <v>97</v>
      </c>
      <c r="AS482" s="30" t="s">
        <v>98</v>
      </c>
      <c r="AT482" s="30" t="s">
        <v>275</v>
      </c>
      <c r="AU482" s="30" t="s">
        <v>276</v>
      </c>
      <c r="AV482" s="30" t="s">
        <v>1740</v>
      </c>
      <c r="AW482" s="30" t="s">
        <v>278</v>
      </c>
      <c r="AX482" s="34" t="s">
        <v>2032</v>
      </c>
      <c r="AY482" s="34" t="s">
        <v>149</v>
      </c>
      <c r="AZ482" s="34" t="s">
        <v>149</v>
      </c>
      <c r="BA482" s="34"/>
      <c r="BB482" s="34">
        <v>5</v>
      </c>
      <c r="BC482" s="34">
        <v>1</v>
      </c>
      <c r="BD482" s="34" t="s">
        <v>185</v>
      </c>
      <c r="BE482" s="34" t="s">
        <v>2033</v>
      </c>
      <c r="BF482" s="34" t="b">
        <v>1</v>
      </c>
      <c r="BG482" s="34" t="s">
        <v>1042</v>
      </c>
      <c r="BH482" s="34">
        <v>135000</v>
      </c>
      <c r="BI482" s="34"/>
      <c r="BJ482" s="34"/>
      <c r="BK482" s="34"/>
      <c r="BL482" s="34"/>
      <c r="BM482" s="34" t="s">
        <v>168</v>
      </c>
      <c r="BN482" s="34"/>
      <c r="BO482" s="35"/>
      <c r="BP482" s="35"/>
      <c r="BQ482" s="35" t="s">
        <v>108</v>
      </c>
      <c r="BR482" s="36" t="e">
        <f>VLOOKUP(BQ482, Cat_Indicadores!B:C, 2, FALSE)</f>
        <v>#N/A</v>
      </c>
      <c r="BS482" s="35" t="s">
        <v>5592</v>
      </c>
      <c r="BT482" s="35"/>
    </row>
    <row r="483" spans="1:72">
      <c r="A483" s="29" t="s">
        <v>2034</v>
      </c>
      <c r="B483" s="30" t="s">
        <v>2035</v>
      </c>
      <c r="C483" s="31">
        <v>46297.579421296294</v>
      </c>
      <c r="D483" s="30">
        <v>30</v>
      </c>
      <c r="E483" s="30" t="s">
        <v>1745</v>
      </c>
      <c r="F483" s="30" t="s">
        <v>1746</v>
      </c>
      <c r="G483" s="30" t="s">
        <v>2028</v>
      </c>
      <c r="H483" s="30" t="s">
        <v>1392</v>
      </c>
      <c r="I483" s="30" t="s">
        <v>1714</v>
      </c>
      <c r="J483" s="30" t="s">
        <v>2029</v>
      </c>
      <c r="K483" s="32">
        <v>4</v>
      </c>
      <c r="L483" s="32" t="s">
        <v>211</v>
      </c>
      <c r="M483" s="30" t="s">
        <v>2036</v>
      </c>
      <c r="N483" s="30" t="s">
        <v>2037</v>
      </c>
      <c r="O483" s="30" t="s">
        <v>1371</v>
      </c>
      <c r="P483" s="33">
        <v>46178</v>
      </c>
      <c r="Q483" s="33">
        <v>46263</v>
      </c>
      <c r="R483" s="32">
        <v>85</v>
      </c>
      <c r="S483" s="30" t="s">
        <v>249</v>
      </c>
      <c r="T483" s="30" t="s">
        <v>259</v>
      </c>
      <c r="U483" s="30" t="s">
        <v>2032</v>
      </c>
      <c r="V483" s="30" t="s">
        <v>87</v>
      </c>
      <c r="W483" s="30" t="s">
        <v>88</v>
      </c>
      <c r="X483" s="30" t="s">
        <v>1719</v>
      </c>
      <c r="AB483" s="30" t="b">
        <v>0</v>
      </c>
      <c r="AC483" s="30"/>
      <c r="AD483" s="30" t="b">
        <v>1</v>
      </c>
      <c r="AE483" s="30">
        <v>1</v>
      </c>
      <c r="AF483" s="30" t="b">
        <v>0</v>
      </c>
      <c r="AH483" s="32" t="s">
        <v>91</v>
      </c>
      <c r="AI483" s="32"/>
      <c r="AJ483" s="32"/>
      <c r="AK483" s="32"/>
      <c r="AL483" s="30" t="s">
        <v>1720</v>
      </c>
      <c r="AM483" s="30" t="s">
        <v>755</v>
      </c>
      <c r="AN483" s="30" t="s">
        <v>94</v>
      </c>
      <c r="AO483" s="30" t="s">
        <v>95</v>
      </c>
      <c r="AP483" s="30" t="s">
        <v>95</v>
      </c>
      <c r="AQ483" s="30" t="s">
        <v>96</v>
      </c>
      <c r="AR483" s="30" t="s">
        <v>97</v>
      </c>
      <c r="AS483" s="30" t="s">
        <v>98</v>
      </c>
      <c r="AT483" s="30" t="s">
        <v>275</v>
      </c>
      <c r="AU483" s="30" t="s">
        <v>276</v>
      </c>
      <c r="AV483" s="30" t="s">
        <v>1740</v>
      </c>
      <c r="AW483" s="30" t="s">
        <v>278</v>
      </c>
      <c r="AX483" s="34" t="s">
        <v>2032</v>
      </c>
      <c r="AY483" s="34" t="s">
        <v>149</v>
      </c>
      <c r="AZ483" s="34" t="s">
        <v>149</v>
      </c>
      <c r="BA483" s="34"/>
      <c r="BB483" s="34">
        <v>5</v>
      </c>
      <c r="BC483" s="34">
        <v>1</v>
      </c>
      <c r="BD483" s="34" t="s">
        <v>1365</v>
      </c>
      <c r="BE483" s="34" t="s">
        <v>2038</v>
      </c>
      <c r="BF483" s="34" t="b">
        <v>1</v>
      </c>
      <c r="BG483" s="34" t="s">
        <v>1042</v>
      </c>
      <c r="BH483" s="34">
        <v>117543.1</v>
      </c>
      <c r="BI483" s="34"/>
      <c r="BJ483" s="34"/>
      <c r="BK483" s="34"/>
      <c r="BL483" s="34"/>
      <c r="BM483" s="34" t="s">
        <v>168</v>
      </c>
      <c r="BN483" s="34"/>
      <c r="BO483" s="35"/>
      <c r="BP483" s="35"/>
      <c r="BQ483" s="35" t="s">
        <v>108</v>
      </c>
      <c r="BR483" s="36" t="e">
        <f>VLOOKUP(BQ483, Cat_Indicadores!B:C, 2, FALSE)</f>
        <v>#N/A</v>
      </c>
      <c r="BS483" s="35" t="s">
        <v>5592</v>
      </c>
      <c r="BT483" s="35"/>
    </row>
    <row r="484" spans="1:72">
      <c r="A484" s="29" t="s">
        <v>2039</v>
      </c>
      <c r="B484" s="30" t="s">
        <v>2040</v>
      </c>
      <c r="C484" s="31">
        <v>46297.607442129629</v>
      </c>
      <c r="D484" s="30">
        <v>29</v>
      </c>
      <c r="E484" s="30" t="s">
        <v>1745</v>
      </c>
      <c r="F484" s="30" t="s">
        <v>1746</v>
      </c>
      <c r="G484" s="30" t="s">
        <v>1747</v>
      </c>
      <c r="H484" s="30" t="s">
        <v>1392</v>
      </c>
      <c r="I484" s="30" t="s">
        <v>1714</v>
      </c>
      <c r="J484" s="30" t="s">
        <v>1748</v>
      </c>
      <c r="K484" s="32">
        <v>16</v>
      </c>
      <c r="L484" s="32" t="s">
        <v>211</v>
      </c>
      <c r="M484" s="30" t="s">
        <v>2041</v>
      </c>
      <c r="N484" s="30" t="s">
        <v>2042</v>
      </c>
      <c r="O484" s="30" t="s">
        <v>1371</v>
      </c>
      <c r="P484" s="33">
        <v>46200</v>
      </c>
      <c r="Q484" s="33">
        <v>46243</v>
      </c>
      <c r="R484" s="32">
        <v>31</v>
      </c>
      <c r="S484" s="30" t="s">
        <v>84</v>
      </c>
      <c r="T484" s="30" t="s">
        <v>337</v>
      </c>
      <c r="U484" s="30" t="s">
        <v>2043</v>
      </c>
      <c r="V484" s="30" t="s">
        <v>87</v>
      </c>
      <c r="W484" s="30" t="s">
        <v>88</v>
      </c>
      <c r="X484" s="30" t="s">
        <v>1719</v>
      </c>
      <c r="AB484" s="30" t="b">
        <v>0</v>
      </c>
      <c r="AC484" s="30"/>
      <c r="AD484" s="30" t="b">
        <v>1</v>
      </c>
      <c r="AE484" s="30">
        <v>1</v>
      </c>
      <c r="AF484" s="30" t="b">
        <v>0</v>
      </c>
      <c r="AH484" s="32" t="s">
        <v>91</v>
      </c>
      <c r="AI484" s="32"/>
      <c r="AJ484" s="32"/>
      <c r="AK484" s="32"/>
      <c r="AL484" s="30" t="s">
        <v>1720</v>
      </c>
      <c r="AM484" s="30" t="s">
        <v>755</v>
      </c>
      <c r="AN484" s="30" t="s">
        <v>94</v>
      </c>
      <c r="AO484" s="30" t="s">
        <v>95</v>
      </c>
      <c r="AP484" s="30" t="s">
        <v>95</v>
      </c>
      <c r="AQ484" s="30" t="s">
        <v>96</v>
      </c>
      <c r="AR484" s="30" t="s">
        <v>97</v>
      </c>
      <c r="AS484" s="30" t="s">
        <v>98</v>
      </c>
      <c r="AT484" s="30" t="s">
        <v>275</v>
      </c>
      <c r="AU484" s="30" t="s">
        <v>276</v>
      </c>
      <c r="AV484" s="30" t="s">
        <v>1740</v>
      </c>
      <c r="AW484" s="30" t="s">
        <v>278</v>
      </c>
      <c r="AX484" s="34" t="s">
        <v>2043</v>
      </c>
      <c r="AY484" s="34" t="s">
        <v>149</v>
      </c>
      <c r="AZ484" s="34" t="s">
        <v>149</v>
      </c>
      <c r="BA484" s="34"/>
      <c r="BB484" s="34">
        <v>5</v>
      </c>
      <c r="BC484" s="34">
        <v>1</v>
      </c>
      <c r="BD484" s="34" t="s">
        <v>185</v>
      </c>
      <c r="BE484" s="34" t="s">
        <v>2044</v>
      </c>
      <c r="BF484" s="34" t="b">
        <v>1</v>
      </c>
      <c r="BG484" s="34" t="s">
        <v>1042</v>
      </c>
      <c r="BH484" s="34">
        <v>53540</v>
      </c>
      <c r="BI484" s="34"/>
      <c r="BJ484" s="34"/>
      <c r="BK484" s="34"/>
      <c r="BL484" s="34"/>
      <c r="BM484" s="34" t="s">
        <v>168</v>
      </c>
      <c r="BN484" s="34"/>
      <c r="BO484" s="35"/>
      <c r="BP484" s="35"/>
      <c r="BQ484" s="35" t="s">
        <v>108</v>
      </c>
      <c r="BR484" s="36" t="e">
        <f>VLOOKUP(BQ484, Cat_Indicadores!B:C, 2, FALSE)</f>
        <v>#N/A</v>
      </c>
      <c r="BS484" s="35" t="s">
        <v>5592</v>
      </c>
      <c r="BT484" s="35"/>
    </row>
    <row r="485" spans="1:72">
      <c r="A485" s="29" t="s">
        <v>2045</v>
      </c>
      <c r="B485" s="30" t="s">
        <v>2046</v>
      </c>
      <c r="C485" s="31">
        <v>46297.680567129632</v>
      </c>
      <c r="D485" s="30">
        <v>29</v>
      </c>
      <c r="E485" s="30" t="s">
        <v>1745</v>
      </c>
      <c r="F485" s="30" t="s">
        <v>1746</v>
      </c>
      <c r="G485" s="30" t="s">
        <v>1747</v>
      </c>
      <c r="H485" s="30" t="s">
        <v>1392</v>
      </c>
      <c r="I485" s="30" t="s">
        <v>1714</v>
      </c>
      <c r="J485" s="30" t="s">
        <v>1748</v>
      </c>
      <c r="K485" s="32">
        <v>16</v>
      </c>
      <c r="L485" s="32" t="s">
        <v>211</v>
      </c>
      <c r="M485" s="30" t="s">
        <v>2047</v>
      </c>
      <c r="N485" s="30" t="s">
        <v>2048</v>
      </c>
      <c r="O485" s="30" t="s">
        <v>1371</v>
      </c>
      <c r="P485" s="33">
        <v>46205</v>
      </c>
      <c r="Q485" s="33">
        <v>46257</v>
      </c>
      <c r="R485" s="32">
        <v>51</v>
      </c>
      <c r="S485" s="30" t="s">
        <v>723</v>
      </c>
      <c r="T485" s="30" t="s">
        <v>2049</v>
      </c>
      <c r="U485" s="30" t="s">
        <v>86</v>
      </c>
      <c r="V485" s="30" t="s">
        <v>87</v>
      </c>
      <c r="W485" s="30" t="s">
        <v>88</v>
      </c>
      <c r="X485" s="30" t="s">
        <v>1719</v>
      </c>
      <c r="AB485" s="30" t="b">
        <v>0</v>
      </c>
      <c r="AC485" s="30"/>
      <c r="AD485" s="30" t="b">
        <v>1</v>
      </c>
      <c r="AE485" s="30">
        <v>1</v>
      </c>
      <c r="AF485" s="30" t="b">
        <v>0</v>
      </c>
      <c r="AH485" s="32" t="s">
        <v>91</v>
      </c>
      <c r="AI485" s="32"/>
      <c r="AJ485" s="32"/>
      <c r="AK485" s="32"/>
      <c r="AL485" s="30" t="s">
        <v>1720</v>
      </c>
      <c r="AM485" s="30" t="s">
        <v>755</v>
      </c>
      <c r="AN485" s="30" t="s">
        <v>94</v>
      </c>
      <c r="AO485" s="30" t="s">
        <v>95</v>
      </c>
      <c r="AP485" s="30" t="s">
        <v>95</v>
      </c>
      <c r="AQ485" s="30" t="s">
        <v>96</v>
      </c>
      <c r="AR485" s="30" t="s">
        <v>97</v>
      </c>
      <c r="AS485" s="30" t="s">
        <v>98</v>
      </c>
      <c r="AT485" s="30" t="s">
        <v>275</v>
      </c>
      <c r="AU485" s="30" t="s">
        <v>276</v>
      </c>
      <c r="AV485" s="30" t="s">
        <v>1740</v>
      </c>
      <c r="AW485" s="30" t="s">
        <v>278</v>
      </c>
      <c r="AX485" s="34" t="s">
        <v>86</v>
      </c>
      <c r="AY485" s="34" t="s">
        <v>149</v>
      </c>
      <c r="AZ485" s="34" t="s">
        <v>149</v>
      </c>
      <c r="BA485" s="34"/>
      <c r="BB485" s="34">
        <v>5</v>
      </c>
      <c r="BC485" s="34">
        <v>2</v>
      </c>
      <c r="BD485" s="34" t="s">
        <v>185</v>
      </c>
      <c r="BE485" s="34" t="s">
        <v>2050</v>
      </c>
      <c r="BF485" s="34" t="b">
        <v>1</v>
      </c>
      <c r="BG485" s="34" t="s">
        <v>1042</v>
      </c>
      <c r="BH485" s="34">
        <v>56172.42</v>
      </c>
      <c r="BI485" s="34"/>
      <c r="BJ485" s="34"/>
      <c r="BK485" s="34"/>
      <c r="BL485" s="34"/>
      <c r="BM485" s="34" t="s">
        <v>168</v>
      </c>
      <c r="BN485" s="34"/>
      <c r="BO485" s="35"/>
      <c r="BP485" s="35"/>
      <c r="BQ485" s="35" t="s">
        <v>108</v>
      </c>
      <c r="BR485" s="36" t="e">
        <f>VLOOKUP(BQ485, Cat_Indicadores!B:C, 2, FALSE)</f>
        <v>#N/A</v>
      </c>
      <c r="BS485" s="35" t="s">
        <v>5592</v>
      </c>
      <c r="BT485" s="35"/>
    </row>
    <row r="486" spans="1:72">
      <c r="A486" s="29" t="s">
        <v>2051</v>
      </c>
      <c r="B486" s="30" t="s">
        <v>2052</v>
      </c>
      <c r="C486" s="31">
        <v>46300.396377314813</v>
      </c>
      <c r="D486" s="30">
        <v>29</v>
      </c>
      <c r="E486" s="30" t="s">
        <v>1745</v>
      </c>
      <c r="F486" s="30" t="s">
        <v>1746</v>
      </c>
      <c r="G486" s="30" t="s">
        <v>1747</v>
      </c>
      <c r="H486" s="30" t="s">
        <v>1392</v>
      </c>
      <c r="I486" s="30" t="s">
        <v>1714</v>
      </c>
      <c r="J486" s="30" t="s">
        <v>1748</v>
      </c>
      <c r="K486" s="32">
        <v>16</v>
      </c>
      <c r="L486" s="32" t="s">
        <v>80</v>
      </c>
      <c r="M486" s="30" t="s">
        <v>2053</v>
      </c>
      <c r="N486" s="30" t="s">
        <v>2054</v>
      </c>
      <c r="O486" s="30" t="s">
        <v>1371</v>
      </c>
      <c r="P486" s="33">
        <v>46207</v>
      </c>
      <c r="Q486" s="33">
        <v>46244</v>
      </c>
      <c r="R486" s="32">
        <v>37</v>
      </c>
      <c r="S486" s="30" t="s">
        <v>243</v>
      </c>
      <c r="T486" s="30" t="s">
        <v>244</v>
      </c>
      <c r="U486" s="30" t="s">
        <v>86</v>
      </c>
      <c r="V486" s="30" t="s">
        <v>87</v>
      </c>
      <c r="W486" s="30" t="s">
        <v>1041</v>
      </c>
      <c r="X486" s="30" t="s">
        <v>1719</v>
      </c>
      <c r="AB486" s="30" t="b">
        <v>0</v>
      </c>
      <c r="AC486" s="30"/>
      <c r="AD486" s="30" t="b">
        <v>0</v>
      </c>
      <c r="AF486" s="30" t="b">
        <v>0</v>
      </c>
      <c r="AH486" s="32" t="s">
        <v>91</v>
      </c>
      <c r="AI486" s="32"/>
      <c r="AJ486" s="32"/>
      <c r="AK486" s="32"/>
      <c r="AL486" s="30" t="s">
        <v>1720</v>
      </c>
      <c r="AM486" s="30" t="s">
        <v>1739</v>
      </c>
      <c r="AN486" s="30" t="s">
        <v>199</v>
      </c>
      <c r="AO486" s="30" t="s">
        <v>200</v>
      </c>
      <c r="AP486" s="30" t="s">
        <v>201</v>
      </c>
      <c r="AQ486" s="30" t="s">
        <v>202</v>
      </c>
      <c r="AR486" s="30" t="s">
        <v>97</v>
      </c>
      <c r="AS486" s="30" t="s">
        <v>98</v>
      </c>
      <c r="AT486" s="30" t="s">
        <v>275</v>
      </c>
      <c r="AU486" s="30" t="s">
        <v>276</v>
      </c>
      <c r="AV486" s="30" t="s">
        <v>1740</v>
      </c>
      <c r="AW486" s="30" t="s">
        <v>278</v>
      </c>
      <c r="AX486" s="34" t="s">
        <v>86</v>
      </c>
      <c r="AY486" s="34" t="s">
        <v>149</v>
      </c>
      <c r="AZ486" s="34" t="s">
        <v>149</v>
      </c>
      <c r="BA486" s="34" t="s">
        <v>2054</v>
      </c>
      <c r="BB486" s="34">
        <v>5</v>
      </c>
      <c r="BC486" s="34">
        <v>2</v>
      </c>
      <c r="BD486" s="34" t="s">
        <v>1365</v>
      </c>
      <c r="BE486" s="34" t="s">
        <v>2055</v>
      </c>
      <c r="BF486" s="34" t="b">
        <v>0</v>
      </c>
      <c r="BG486" s="34"/>
      <c r="BH486" s="34"/>
      <c r="BI486" s="34"/>
      <c r="BJ486" s="34"/>
      <c r="BK486" s="34"/>
      <c r="BL486" s="34"/>
      <c r="BM486" s="34" t="s">
        <v>168</v>
      </c>
      <c r="BN486" s="34"/>
      <c r="BO486" s="35"/>
      <c r="BP486" s="35"/>
      <c r="BQ486" s="35" t="s">
        <v>108</v>
      </c>
      <c r="BR486" s="36" t="e">
        <f>VLOOKUP(BQ486, Cat_Indicadores!B:C, 2, FALSE)</f>
        <v>#N/A</v>
      </c>
      <c r="BS486" s="35" t="s">
        <v>5592</v>
      </c>
      <c r="BT486" s="35"/>
    </row>
    <row r="487" spans="1:72">
      <c r="A487" s="29" t="s">
        <v>2056</v>
      </c>
      <c r="B487" s="30" t="s">
        <v>2057</v>
      </c>
      <c r="C487" s="31">
        <v>46300.418587962966</v>
      </c>
      <c r="D487" s="30">
        <v>29</v>
      </c>
      <c r="E487" s="30" t="s">
        <v>1745</v>
      </c>
      <c r="F487" s="30" t="s">
        <v>1746</v>
      </c>
      <c r="G487" s="30" t="s">
        <v>1747</v>
      </c>
      <c r="H487" s="30" t="s">
        <v>1392</v>
      </c>
      <c r="I487" s="30" t="s">
        <v>1714</v>
      </c>
      <c r="J487" s="30" t="s">
        <v>1748</v>
      </c>
      <c r="K487" s="32">
        <v>16</v>
      </c>
      <c r="L487" s="32" t="s">
        <v>80</v>
      </c>
      <c r="M487" s="30" t="s">
        <v>2058</v>
      </c>
      <c r="N487" s="30" t="s">
        <v>2059</v>
      </c>
      <c r="O487" s="30" t="s">
        <v>1371</v>
      </c>
      <c r="P487" s="33">
        <v>46248</v>
      </c>
      <c r="Q487" s="33">
        <v>46249</v>
      </c>
      <c r="R487" s="32">
        <v>2</v>
      </c>
      <c r="S487" s="30" t="s">
        <v>243</v>
      </c>
      <c r="T487" s="30" t="s">
        <v>244</v>
      </c>
      <c r="U487" s="30" t="s">
        <v>86</v>
      </c>
      <c r="V487" s="30" t="s">
        <v>87</v>
      </c>
      <c r="W487" s="30" t="s">
        <v>88</v>
      </c>
      <c r="X487" s="30" t="s">
        <v>1719</v>
      </c>
      <c r="AB487" s="30" t="b">
        <v>0</v>
      </c>
      <c r="AC487" s="30"/>
      <c r="AD487" s="30" t="b">
        <v>0</v>
      </c>
      <c r="AF487" s="30" t="b">
        <v>0</v>
      </c>
      <c r="AH487" s="32" t="s">
        <v>91</v>
      </c>
      <c r="AI487" s="32"/>
      <c r="AJ487" s="32"/>
      <c r="AK487" s="32"/>
      <c r="AL487" s="30" t="s">
        <v>1720</v>
      </c>
      <c r="AM487" s="30" t="s">
        <v>1739</v>
      </c>
      <c r="AN487" s="30" t="s">
        <v>94</v>
      </c>
      <c r="AO487" s="30" t="s">
        <v>95</v>
      </c>
      <c r="AP487" s="30" t="s">
        <v>95</v>
      </c>
      <c r="AQ487" s="30" t="s">
        <v>96</v>
      </c>
      <c r="AR487" s="30" t="s">
        <v>97</v>
      </c>
      <c r="AS487" s="30" t="s">
        <v>98</v>
      </c>
      <c r="AT487" s="30" t="s">
        <v>275</v>
      </c>
      <c r="AU487" s="30" t="s">
        <v>276</v>
      </c>
      <c r="AV487" s="30" t="s">
        <v>1740</v>
      </c>
      <c r="AW487" s="30" t="s">
        <v>278</v>
      </c>
      <c r="AX487" s="34" t="s">
        <v>86</v>
      </c>
      <c r="AY487" s="34" t="s">
        <v>149</v>
      </c>
      <c r="AZ487" s="34" t="s">
        <v>149</v>
      </c>
      <c r="BA487" s="34" t="s">
        <v>2059</v>
      </c>
      <c r="BB487" s="34">
        <v>5</v>
      </c>
      <c r="BC487" s="34">
        <v>2</v>
      </c>
      <c r="BD487" s="34" t="s">
        <v>1365</v>
      </c>
      <c r="BE487" s="34" t="s">
        <v>2060</v>
      </c>
      <c r="BF487" s="34" t="b">
        <v>0</v>
      </c>
      <c r="BG487" s="34"/>
      <c r="BH487" s="34"/>
      <c r="BI487" s="34"/>
      <c r="BJ487" s="34"/>
      <c r="BK487" s="34"/>
      <c r="BL487" s="34"/>
      <c r="BM487" s="34" t="s">
        <v>168</v>
      </c>
      <c r="BN487" s="34"/>
      <c r="BO487" s="35"/>
      <c r="BP487" s="35"/>
      <c r="BQ487" s="35" t="s">
        <v>108</v>
      </c>
      <c r="BR487" s="36" t="e">
        <f>VLOOKUP(BQ487, Cat_Indicadores!B:C, 2, FALSE)</f>
        <v>#N/A</v>
      </c>
      <c r="BS487" s="35" t="s">
        <v>5592</v>
      </c>
      <c r="BT487" s="35"/>
    </row>
    <row r="488" spans="1:72">
      <c r="A488" s="29" t="s">
        <v>2061</v>
      </c>
      <c r="B488" s="30" t="s">
        <v>2062</v>
      </c>
      <c r="C488" s="31">
        <v>46300.436238425929</v>
      </c>
      <c r="D488" s="30">
        <v>29</v>
      </c>
      <c r="E488" s="30" t="s">
        <v>1745</v>
      </c>
      <c r="F488" s="30" t="s">
        <v>1746</v>
      </c>
      <c r="G488" s="30" t="s">
        <v>1747</v>
      </c>
      <c r="H488" s="30" t="s">
        <v>1392</v>
      </c>
      <c r="I488" s="30" t="s">
        <v>1714</v>
      </c>
      <c r="J488" s="30" t="s">
        <v>1748</v>
      </c>
      <c r="K488" s="32">
        <v>16</v>
      </c>
      <c r="L488" s="32" t="s">
        <v>80</v>
      </c>
      <c r="M488" s="30" t="s">
        <v>2063</v>
      </c>
      <c r="N488" s="30" t="s">
        <v>2064</v>
      </c>
      <c r="O488" s="30" t="s">
        <v>1371</v>
      </c>
      <c r="P488" s="33">
        <v>46261</v>
      </c>
      <c r="Q488" s="33">
        <v>46264</v>
      </c>
      <c r="R488" s="32">
        <v>4</v>
      </c>
      <c r="S488" s="30" t="s">
        <v>378</v>
      </c>
      <c r="T488" s="30" t="s">
        <v>2065</v>
      </c>
      <c r="U488" s="30" t="s">
        <v>86</v>
      </c>
      <c r="V488" s="30" t="s">
        <v>87</v>
      </c>
      <c r="W488" s="30" t="s">
        <v>88</v>
      </c>
      <c r="X488" s="30" t="s">
        <v>89</v>
      </c>
      <c r="Z488" s="30" t="s">
        <v>2066</v>
      </c>
      <c r="AB488" s="30" t="b">
        <v>0</v>
      </c>
      <c r="AC488" s="30"/>
      <c r="AD488" s="30" t="b">
        <v>0</v>
      </c>
      <c r="AF488" s="30" t="b">
        <v>0</v>
      </c>
      <c r="AH488" s="32" t="s">
        <v>91</v>
      </c>
      <c r="AI488" s="32"/>
      <c r="AJ488" s="32"/>
      <c r="AK488" s="32"/>
      <c r="AL488" s="30" t="s">
        <v>1720</v>
      </c>
      <c r="AM488" s="30" t="s">
        <v>1739</v>
      </c>
      <c r="AN488" s="30" t="s">
        <v>199</v>
      </c>
      <c r="AO488" s="30" t="s">
        <v>200</v>
      </c>
      <c r="AP488" s="30" t="s">
        <v>201</v>
      </c>
      <c r="AQ488" s="30" t="s">
        <v>202</v>
      </c>
      <c r="AR488" s="30" t="s">
        <v>97</v>
      </c>
      <c r="AS488" s="30" t="s">
        <v>112</v>
      </c>
      <c r="AT488" s="30" t="s">
        <v>275</v>
      </c>
      <c r="AU488" s="30" t="s">
        <v>276</v>
      </c>
      <c r="AV488" s="30" t="s">
        <v>1740</v>
      </c>
      <c r="AW488" s="30" t="s">
        <v>278</v>
      </c>
      <c r="AX488" s="34" t="s">
        <v>86</v>
      </c>
      <c r="AY488" s="34" t="s">
        <v>149</v>
      </c>
      <c r="AZ488" s="34" t="s">
        <v>149</v>
      </c>
      <c r="BA488" s="34" t="s">
        <v>2064</v>
      </c>
      <c r="BB488" s="34">
        <v>5</v>
      </c>
      <c r="BC488" s="34">
        <v>4</v>
      </c>
      <c r="BD488" s="34" t="s">
        <v>1365</v>
      </c>
      <c r="BE488" s="34" t="s">
        <v>2067</v>
      </c>
      <c r="BF488" s="34" t="b">
        <v>0</v>
      </c>
      <c r="BG488" s="34"/>
      <c r="BH488" s="34"/>
      <c r="BI488" s="34"/>
      <c r="BJ488" s="34"/>
      <c r="BK488" s="34"/>
      <c r="BL488" s="34"/>
      <c r="BM488" s="34" t="s">
        <v>168</v>
      </c>
      <c r="BN488" s="34"/>
      <c r="BO488" s="35"/>
      <c r="BP488" s="35"/>
      <c r="BQ488" s="35" t="s">
        <v>108</v>
      </c>
      <c r="BR488" s="36" t="e">
        <f>VLOOKUP(BQ488, Cat_Indicadores!B:C, 2, FALSE)</f>
        <v>#N/A</v>
      </c>
      <c r="BS488" s="35" t="s">
        <v>5592</v>
      </c>
      <c r="BT488" s="35"/>
    </row>
    <row r="489" spans="1:72">
      <c r="A489" s="29" t="s">
        <v>2068</v>
      </c>
      <c r="B489" s="30" t="s">
        <v>2069</v>
      </c>
      <c r="C489" s="31">
        <v>46300.462453703702</v>
      </c>
      <c r="D489" s="30">
        <v>83</v>
      </c>
      <c r="E489" s="30" t="s">
        <v>2070</v>
      </c>
      <c r="F489" s="30" t="s">
        <v>2071</v>
      </c>
      <c r="G489" s="30" t="s">
        <v>2072</v>
      </c>
      <c r="H489" s="30" t="s">
        <v>77</v>
      </c>
      <c r="I489" s="30" t="s">
        <v>1846</v>
      </c>
      <c r="J489" s="30" t="s">
        <v>1748</v>
      </c>
      <c r="K489" s="32">
        <v>46</v>
      </c>
      <c r="L489" s="32" t="s">
        <v>211</v>
      </c>
      <c r="M489" s="30" t="s">
        <v>2073</v>
      </c>
      <c r="N489" s="30" t="s">
        <v>2074</v>
      </c>
      <c r="O489" s="30" t="s">
        <v>83</v>
      </c>
      <c r="P489" s="33">
        <v>46032</v>
      </c>
      <c r="Q489" s="33">
        <v>46032</v>
      </c>
      <c r="R489" s="32">
        <v>1</v>
      </c>
      <c r="S489" s="30" t="s">
        <v>249</v>
      </c>
      <c r="T489" s="30" t="s">
        <v>313</v>
      </c>
      <c r="U489" s="30" t="s">
        <v>598</v>
      </c>
      <c r="V489" s="30" t="s">
        <v>87</v>
      </c>
      <c r="W489" s="30" t="s">
        <v>88</v>
      </c>
      <c r="X489" s="30" t="s">
        <v>197</v>
      </c>
      <c r="Y489" s="30" t="s">
        <v>2075</v>
      </c>
      <c r="AB489" s="30" t="b">
        <v>0</v>
      </c>
      <c r="AC489" s="30"/>
      <c r="AD489" s="30" t="b">
        <v>0</v>
      </c>
      <c r="AF489" s="30" t="b">
        <v>0</v>
      </c>
      <c r="AH489" s="32" t="s">
        <v>91</v>
      </c>
      <c r="AI489" s="32"/>
      <c r="AJ489" s="32"/>
      <c r="AK489" s="32"/>
      <c r="AL489" s="30" t="s">
        <v>1851</v>
      </c>
      <c r="AM489" s="30" t="s">
        <v>649</v>
      </c>
      <c r="AN489" s="30" t="s">
        <v>199</v>
      </c>
      <c r="AO489" s="30" t="s">
        <v>200</v>
      </c>
      <c r="AP489" s="30" t="s">
        <v>201</v>
      </c>
      <c r="AQ489" s="30" t="s">
        <v>202</v>
      </c>
      <c r="AR489" s="30" t="s">
        <v>145</v>
      </c>
      <c r="AT489" s="30" t="s">
        <v>99</v>
      </c>
      <c r="AU489" s="30" t="s">
        <v>100</v>
      </c>
      <c r="AV489" s="30" t="s">
        <v>665</v>
      </c>
      <c r="AW489" s="30" t="s">
        <v>102</v>
      </c>
      <c r="AX489" s="34" t="s">
        <v>2076</v>
      </c>
      <c r="AY489" s="34" t="s">
        <v>149</v>
      </c>
      <c r="AZ489" s="34" t="s">
        <v>149</v>
      </c>
      <c r="BA489" s="34"/>
      <c r="BB489" s="34">
        <v>7</v>
      </c>
      <c r="BC489" s="34">
        <v>36</v>
      </c>
      <c r="BD489" s="34" t="s">
        <v>185</v>
      </c>
      <c r="BE489" s="34"/>
      <c r="BF489" s="34" t="b">
        <v>0</v>
      </c>
      <c r="BG489" s="34"/>
      <c r="BH489" s="34"/>
      <c r="BI489" s="34"/>
      <c r="BJ489" s="34"/>
      <c r="BK489" s="34"/>
      <c r="BL489" s="34"/>
      <c r="BM489" s="34" t="s">
        <v>168</v>
      </c>
      <c r="BN489" s="34"/>
      <c r="BO489" s="35"/>
      <c r="BP489" s="35"/>
      <c r="BQ489" s="35" t="s">
        <v>108</v>
      </c>
      <c r="BR489" s="36" t="e">
        <f>VLOOKUP(BQ489, Cat_Indicadores!B:C, 2, FALSE)</f>
        <v>#N/A</v>
      </c>
      <c r="BS489" s="35" t="s">
        <v>5592</v>
      </c>
      <c r="BT489" s="35"/>
    </row>
    <row r="490" spans="1:72">
      <c r="A490" s="29" t="s">
        <v>2077</v>
      </c>
      <c r="B490" s="30" t="s">
        <v>2078</v>
      </c>
      <c r="C490" s="31">
        <v>46300.537662037037</v>
      </c>
      <c r="D490" s="30">
        <v>71</v>
      </c>
      <c r="E490" s="30" t="s">
        <v>1711</v>
      </c>
      <c r="F490" s="30" t="s">
        <v>1712</v>
      </c>
      <c r="G490" s="30" t="s">
        <v>1735</v>
      </c>
      <c r="H490" s="30" t="s">
        <v>1392</v>
      </c>
      <c r="I490" s="30" t="s">
        <v>1714</v>
      </c>
      <c r="J490" s="30" t="s">
        <v>1736</v>
      </c>
      <c r="K490" s="32">
        <v>4</v>
      </c>
      <c r="L490" s="32" t="s">
        <v>211</v>
      </c>
      <c r="M490" s="30" t="s">
        <v>2079</v>
      </c>
      <c r="N490" s="30" t="s">
        <v>2080</v>
      </c>
      <c r="O490" s="30" t="s">
        <v>1371</v>
      </c>
      <c r="P490" s="33">
        <v>46237</v>
      </c>
      <c r="Q490" s="33">
        <v>46248</v>
      </c>
      <c r="R490" s="32">
        <v>11</v>
      </c>
      <c r="S490" s="30" t="s">
        <v>322</v>
      </c>
      <c r="T490" s="30" t="s">
        <v>1330</v>
      </c>
      <c r="U490" s="30" t="s">
        <v>735</v>
      </c>
      <c r="V490" s="30" t="s">
        <v>87</v>
      </c>
      <c r="W490" s="30" t="s">
        <v>88</v>
      </c>
      <c r="X490" s="30" t="s">
        <v>1719</v>
      </c>
      <c r="Y490" s="30" t="s">
        <v>2081</v>
      </c>
      <c r="AB490" s="30" t="b">
        <v>0</v>
      </c>
      <c r="AC490" s="30"/>
      <c r="AD490" s="30" t="b">
        <v>1</v>
      </c>
      <c r="AE490" s="30">
        <v>4</v>
      </c>
      <c r="AF490" s="30" t="b">
        <v>0</v>
      </c>
      <c r="AH490" s="32" t="s">
        <v>91</v>
      </c>
      <c r="AI490" s="32"/>
      <c r="AJ490" s="32"/>
      <c r="AK490" s="32"/>
      <c r="AL490" s="30" t="s">
        <v>1720</v>
      </c>
      <c r="AM490" s="30" t="s">
        <v>755</v>
      </c>
      <c r="AN490" s="30" t="s">
        <v>94</v>
      </c>
      <c r="AO490" s="30" t="s">
        <v>95</v>
      </c>
      <c r="AP490" s="30" t="s">
        <v>95</v>
      </c>
      <c r="AQ490" s="30" t="s">
        <v>96</v>
      </c>
      <c r="AR490" s="30" t="s">
        <v>97</v>
      </c>
      <c r="AS490" s="30" t="s">
        <v>98</v>
      </c>
      <c r="AT490" s="30" t="s">
        <v>275</v>
      </c>
      <c r="AU490" s="30" t="s">
        <v>276</v>
      </c>
      <c r="AV490" s="30" t="s">
        <v>1740</v>
      </c>
      <c r="AW490" s="30" t="s">
        <v>278</v>
      </c>
      <c r="AX490" s="34" t="s">
        <v>735</v>
      </c>
      <c r="AY490" s="34" t="s">
        <v>149</v>
      </c>
      <c r="AZ490" s="34" t="s">
        <v>149</v>
      </c>
      <c r="BA490" s="34"/>
      <c r="BB490" s="34">
        <v>5</v>
      </c>
      <c r="BC490" s="34">
        <v>4</v>
      </c>
      <c r="BD490" s="34" t="s">
        <v>185</v>
      </c>
      <c r="BE490" s="34" t="s">
        <v>2082</v>
      </c>
      <c r="BF490" s="34" t="b">
        <v>1</v>
      </c>
      <c r="BG490" s="34" t="s">
        <v>1042</v>
      </c>
      <c r="BH490" s="34">
        <v>100000</v>
      </c>
      <c r="BI490" s="34"/>
      <c r="BJ490" s="34"/>
      <c r="BK490" s="34"/>
      <c r="BL490" s="34"/>
      <c r="BM490" s="34" t="s">
        <v>168</v>
      </c>
      <c r="BN490" s="34"/>
      <c r="BO490" s="35"/>
      <c r="BP490" s="35"/>
      <c r="BQ490" s="35" t="s">
        <v>108</v>
      </c>
      <c r="BR490" s="36" t="e">
        <f>VLOOKUP(BQ490, Cat_Indicadores!B:C, 2, FALSE)</f>
        <v>#N/A</v>
      </c>
      <c r="BS490" s="35" t="s">
        <v>5592</v>
      </c>
      <c r="BT490" s="35"/>
    </row>
    <row r="491" spans="1:72">
      <c r="A491" s="29" t="s">
        <v>2083</v>
      </c>
      <c r="B491" s="30" t="s">
        <v>2084</v>
      </c>
      <c r="C491" s="31">
        <v>46300.562800925924</v>
      </c>
      <c r="D491" s="30">
        <v>71</v>
      </c>
      <c r="E491" s="30" t="s">
        <v>1711</v>
      </c>
      <c r="F491" s="30" t="s">
        <v>1712</v>
      </c>
      <c r="G491" s="30" t="s">
        <v>1735</v>
      </c>
      <c r="H491" s="30" t="s">
        <v>1392</v>
      </c>
      <c r="I491" s="30" t="s">
        <v>1714</v>
      </c>
      <c r="J491" s="30" t="s">
        <v>1736</v>
      </c>
      <c r="K491" s="32">
        <v>4</v>
      </c>
      <c r="L491" s="32" t="s">
        <v>211</v>
      </c>
      <c r="M491" s="30" t="s">
        <v>2079</v>
      </c>
      <c r="N491" s="30" t="s">
        <v>2080</v>
      </c>
      <c r="O491" s="30" t="s">
        <v>1371</v>
      </c>
      <c r="P491" s="33">
        <v>46237</v>
      </c>
      <c r="Q491" s="33">
        <v>46248</v>
      </c>
      <c r="R491" s="32">
        <v>10</v>
      </c>
      <c r="S491" s="30" t="s">
        <v>249</v>
      </c>
      <c r="T491" s="30" t="s">
        <v>313</v>
      </c>
      <c r="U491" s="30" t="s">
        <v>735</v>
      </c>
      <c r="V491" s="30" t="s">
        <v>87</v>
      </c>
      <c r="W491" s="30" t="s">
        <v>88</v>
      </c>
      <c r="X491" s="30" t="s">
        <v>1719</v>
      </c>
      <c r="AB491" s="30" t="b">
        <v>0</v>
      </c>
      <c r="AC491" s="30"/>
      <c r="AD491" s="30" t="b">
        <v>1</v>
      </c>
      <c r="AE491" s="30">
        <v>4</v>
      </c>
      <c r="AF491" s="30" t="b">
        <v>0</v>
      </c>
      <c r="AH491" s="32" t="s">
        <v>91</v>
      </c>
      <c r="AI491" s="32"/>
      <c r="AJ491" s="32"/>
      <c r="AK491" s="32"/>
      <c r="AL491" s="30" t="s">
        <v>1720</v>
      </c>
      <c r="AM491" s="30" t="s">
        <v>755</v>
      </c>
      <c r="AN491" s="30" t="s">
        <v>94</v>
      </c>
      <c r="AO491" s="30" t="s">
        <v>95</v>
      </c>
      <c r="AP491" s="30" t="s">
        <v>95</v>
      </c>
      <c r="AQ491" s="30" t="s">
        <v>96</v>
      </c>
      <c r="AR491" s="30" t="s">
        <v>97</v>
      </c>
      <c r="AS491" s="30" t="s">
        <v>112</v>
      </c>
      <c r="AT491" s="30" t="s">
        <v>275</v>
      </c>
      <c r="AU491" s="30" t="s">
        <v>276</v>
      </c>
      <c r="AV491" s="30" t="s">
        <v>1740</v>
      </c>
      <c r="AW491" s="30" t="s">
        <v>278</v>
      </c>
      <c r="AX491" s="34" t="s">
        <v>735</v>
      </c>
      <c r="AY491" s="34" t="s">
        <v>149</v>
      </c>
      <c r="AZ491" s="34" t="s">
        <v>149</v>
      </c>
      <c r="BA491" s="34"/>
      <c r="BB491" s="34">
        <v>5</v>
      </c>
      <c r="BC491" s="34">
        <v>4</v>
      </c>
      <c r="BD491" s="34" t="s">
        <v>185</v>
      </c>
      <c r="BE491" s="34" t="s">
        <v>2085</v>
      </c>
      <c r="BF491" s="34" t="b">
        <v>1</v>
      </c>
      <c r="BG491" s="34" t="s">
        <v>1042</v>
      </c>
      <c r="BH491" s="34">
        <v>100000</v>
      </c>
      <c r="BI491" s="34"/>
      <c r="BJ491" s="34"/>
      <c r="BK491" s="34"/>
      <c r="BL491" s="34"/>
      <c r="BM491" s="34" t="s">
        <v>168</v>
      </c>
      <c r="BN491" s="34"/>
      <c r="BO491" s="35"/>
      <c r="BP491" s="35"/>
      <c r="BQ491" s="35" t="s">
        <v>108</v>
      </c>
      <c r="BR491" s="36" t="e">
        <f>VLOOKUP(BQ491, Cat_Indicadores!B:C, 2, FALSE)</f>
        <v>#N/A</v>
      </c>
      <c r="BS491" s="35" t="s">
        <v>5592</v>
      </c>
      <c r="BT491" s="35"/>
    </row>
    <row r="492" spans="1:72">
      <c r="A492" s="29" t="s">
        <v>2086</v>
      </c>
      <c r="B492" s="30" t="s">
        <v>2087</v>
      </c>
      <c r="C492" s="31">
        <v>46300.568796296298</v>
      </c>
      <c r="D492" s="30">
        <v>71</v>
      </c>
      <c r="E492" s="30" t="s">
        <v>1711</v>
      </c>
      <c r="F492" s="30" t="s">
        <v>1712</v>
      </c>
      <c r="G492" s="30" t="s">
        <v>1735</v>
      </c>
      <c r="H492" s="30" t="s">
        <v>1392</v>
      </c>
      <c r="I492" s="30" t="s">
        <v>1714</v>
      </c>
      <c r="J492" s="30" t="s">
        <v>1736</v>
      </c>
      <c r="K492" s="32">
        <v>4</v>
      </c>
      <c r="L492" s="32" t="s">
        <v>211</v>
      </c>
      <c r="M492" s="30" t="s">
        <v>2079</v>
      </c>
      <c r="N492" s="30" t="s">
        <v>2080</v>
      </c>
      <c r="O492" s="30" t="s">
        <v>1371</v>
      </c>
      <c r="P492" s="33">
        <v>46237</v>
      </c>
      <c r="Q492" s="33">
        <v>46248</v>
      </c>
      <c r="R492" s="32">
        <v>10</v>
      </c>
      <c r="S492" s="30" t="s">
        <v>249</v>
      </c>
      <c r="T492" s="30" t="s">
        <v>313</v>
      </c>
      <c r="U492" s="30" t="s">
        <v>735</v>
      </c>
      <c r="V492" s="30" t="s">
        <v>87</v>
      </c>
      <c r="W492" s="30" t="s">
        <v>88</v>
      </c>
      <c r="X492" s="30" t="s">
        <v>1719</v>
      </c>
      <c r="AB492" s="30" t="b">
        <v>0</v>
      </c>
      <c r="AC492" s="30"/>
      <c r="AD492" s="30" t="b">
        <v>1</v>
      </c>
      <c r="AE492" s="30">
        <v>4</v>
      </c>
      <c r="AF492" s="30" t="b">
        <v>0</v>
      </c>
      <c r="AH492" s="32" t="s">
        <v>91</v>
      </c>
      <c r="AI492" s="32"/>
      <c r="AJ492" s="32"/>
      <c r="AK492" s="32"/>
      <c r="AL492" s="30" t="s">
        <v>1720</v>
      </c>
      <c r="AM492" s="30" t="s">
        <v>755</v>
      </c>
      <c r="AN492" s="30" t="s">
        <v>94</v>
      </c>
      <c r="AO492" s="30" t="s">
        <v>95</v>
      </c>
      <c r="AP492" s="30" t="s">
        <v>95</v>
      </c>
      <c r="AQ492" s="30" t="s">
        <v>96</v>
      </c>
      <c r="AR492" s="30" t="s">
        <v>97</v>
      </c>
      <c r="AS492" s="30" t="s">
        <v>112</v>
      </c>
      <c r="AT492" s="30" t="s">
        <v>275</v>
      </c>
      <c r="AU492" s="30" t="s">
        <v>276</v>
      </c>
      <c r="AV492" s="30" t="s">
        <v>1740</v>
      </c>
      <c r="AW492" s="30" t="s">
        <v>278</v>
      </c>
      <c r="AX492" s="34" t="s">
        <v>735</v>
      </c>
      <c r="AY492" s="34" t="s">
        <v>149</v>
      </c>
      <c r="AZ492" s="34" t="s">
        <v>149</v>
      </c>
      <c r="BA492" s="34"/>
      <c r="BB492" s="34">
        <v>5</v>
      </c>
      <c r="BC492" s="34">
        <v>4</v>
      </c>
      <c r="BD492" s="34" t="s">
        <v>185</v>
      </c>
      <c r="BE492" s="34" t="s">
        <v>2088</v>
      </c>
      <c r="BF492" s="34" t="b">
        <v>1</v>
      </c>
      <c r="BG492" s="34" t="s">
        <v>1042</v>
      </c>
      <c r="BH492" s="34">
        <v>100000</v>
      </c>
      <c r="BI492" s="34"/>
      <c r="BJ492" s="34"/>
      <c r="BK492" s="34"/>
      <c r="BL492" s="34"/>
      <c r="BM492" s="34" t="s">
        <v>168</v>
      </c>
      <c r="BN492" s="34"/>
      <c r="BO492" s="35"/>
      <c r="BP492" s="35"/>
      <c r="BQ492" s="35" t="s">
        <v>108</v>
      </c>
      <c r="BR492" s="36" t="e">
        <f>VLOOKUP(BQ492, Cat_Indicadores!B:C, 2, FALSE)</f>
        <v>#N/A</v>
      </c>
      <c r="BS492" s="35" t="s">
        <v>5592</v>
      </c>
      <c r="BT492" s="35"/>
    </row>
    <row r="493" spans="1:72">
      <c r="A493" s="29" t="s">
        <v>2089</v>
      </c>
      <c r="B493" s="30" t="s">
        <v>2090</v>
      </c>
      <c r="C493" s="31">
        <v>46300.592453703706</v>
      </c>
      <c r="D493" s="30">
        <v>71</v>
      </c>
      <c r="E493" s="30" t="s">
        <v>1711</v>
      </c>
      <c r="F493" s="30" t="s">
        <v>1712</v>
      </c>
      <c r="G493" s="30" t="s">
        <v>1735</v>
      </c>
      <c r="H493" s="30" t="s">
        <v>1392</v>
      </c>
      <c r="I493" s="30" t="s">
        <v>1714</v>
      </c>
      <c r="J493" s="30" t="s">
        <v>1736</v>
      </c>
      <c r="K493" s="32">
        <v>4</v>
      </c>
      <c r="L493" s="32" t="s">
        <v>211</v>
      </c>
      <c r="M493" s="30" t="s">
        <v>2079</v>
      </c>
      <c r="N493" s="30" t="s">
        <v>2080</v>
      </c>
      <c r="O493" s="30" t="s">
        <v>1371</v>
      </c>
      <c r="P493" s="33">
        <v>46237</v>
      </c>
      <c r="Q493" s="33">
        <v>46248</v>
      </c>
      <c r="R493" s="32">
        <v>10</v>
      </c>
      <c r="S493" s="30" t="s">
        <v>249</v>
      </c>
      <c r="T493" s="30" t="s">
        <v>313</v>
      </c>
      <c r="U493" s="30" t="s">
        <v>735</v>
      </c>
      <c r="V493" s="30" t="s">
        <v>87</v>
      </c>
      <c r="W493" s="30" t="s">
        <v>88</v>
      </c>
      <c r="X493" s="30" t="s">
        <v>1719</v>
      </c>
      <c r="AB493" s="30" t="b">
        <v>0</v>
      </c>
      <c r="AC493" s="30"/>
      <c r="AD493" s="30" t="b">
        <v>1</v>
      </c>
      <c r="AE493" s="30">
        <v>4</v>
      </c>
      <c r="AF493" s="30" t="b">
        <v>0</v>
      </c>
      <c r="AH493" s="32" t="s">
        <v>91</v>
      </c>
      <c r="AI493" s="32"/>
      <c r="AJ493" s="32"/>
      <c r="AK493" s="32"/>
      <c r="AL493" s="30" t="s">
        <v>1720</v>
      </c>
      <c r="AM493" s="30" t="s">
        <v>755</v>
      </c>
      <c r="AN493" s="30" t="s">
        <v>94</v>
      </c>
      <c r="AO493" s="30" t="s">
        <v>95</v>
      </c>
      <c r="AP493" s="30" t="s">
        <v>95</v>
      </c>
      <c r="AQ493" s="30" t="s">
        <v>96</v>
      </c>
      <c r="AR493" s="30" t="s">
        <v>97</v>
      </c>
      <c r="AS493" s="30" t="s">
        <v>112</v>
      </c>
      <c r="AT493" s="30" t="s">
        <v>275</v>
      </c>
      <c r="AU493" s="30" t="s">
        <v>276</v>
      </c>
      <c r="AV493" s="30" t="s">
        <v>1740</v>
      </c>
      <c r="AW493" s="30" t="s">
        <v>278</v>
      </c>
      <c r="AX493" s="34" t="s">
        <v>735</v>
      </c>
      <c r="AY493" s="34" t="s">
        <v>149</v>
      </c>
      <c r="AZ493" s="34" t="s">
        <v>149</v>
      </c>
      <c r="BA493" s="34"/>
      <c r="BB493" s="34">
        <v>5</v>
      </c>
      <c r="BC493" s="34">
        <v>4</v>
      </c>
      <c r="BD493" s="34" t="s">
        <v>185</v>
      </c>
      <c r="BE493" s="34" t="s">
        <v>2085</v>
      </c>
      <c r="BF493" s="34" t="b">
        <v>1</v>
      </c>
      <c r="BG493" s="34" t="s">
        <v>1042</v>
      </c>
      <c r="BH493" s="34">
        <v>100000</v>
      </c>
      <c r="BI493" s="34"/>
      <c r="BJ493" s="34"/>
      <c r="BK493" s="34"/>
      <c r="BL493" s="34"/>
      <c r="BM493" s="34" t="s">
        <v>168</v>
      </c>
      <c r="BN493" s="34"/>
      <c r="BO493" s="35"/>
      <c r="BP493" s="35"/>
      <c r="BQ493" s="35" t="s">
        <v>108</v>
      </c>
      <c r="BR493" s="36" t="e">
        <f>VLOOKUP(BQ493, Cat_Indicadores!B:C, 2, FALSE)</f>
        <v>#N/A</v>
      </c>
      <c r="BS493" s="35" t="s">
        <v>5592</v>
      </c>
      <c r="BT493" s="35"/>
    </row>
    <row r="494" spans="1:72">
      <c r="A494" s="29" t="s">
        <v>2091</v>
      </c>
      <c r="B494" s="30" t="s">
        <v>2092</v>
      </c>
      <c r="C494" s="31">
        <v>46300.607939814814</v>
      </c>
      <c r="D494" s="30">
        <v>92</v>
      </c>
      <c r="E494" s="30" t="s">
        <v>74</v>
      </c>
      <c r="F494" s="30" t="s">
        <v>75</v>
      </c>
      <c r="G494" s="30" t="s">
        <v>133</v>
      </c>
      <c r="H494" s="30" t="s">
        <v>77</v>
      </c>
      <c r="I494" s="30" t="s">
        <v>78</v>
      </c>
      <c r="J494" s="30" t="s">
        <v>79</v>
      </c>
      <c r="K494" s="32">
        <v>800</v>
      </c>
      <c r="L494" s="32" t="s">
        <v>80</v>
      </c>
      <c r="M494" s="30" t="s">
        <v>401</v>
      </c>
      <c r="N494" s="30" t="s">
        <v>402</v>
      </c>
      <c r="O494" s="30" t="s">
        <v>83</v>
      </c>
      <c r="P494" s="33">
        <v>46240</v>
      </c>
      <c r="Q494" s="33">
        <v>46240</v>
      </c>
      <c r="R494" s="32">
        <v>1</v>
      </c>
      <c r="S494" s="30" t="s">
        <v>84</v>
      </c>
      <c r="T494" s="30" t="s">
        <v>337</v>
      </c>
      <c r="U494" s="30" t="s">
        <v>338</v>
      </c>
      <c r="V494" s="30" t="s">
        <v>87</v>
      </c>
      <c r="W494" s="30" t="s">
        <v>88</v>
      </c>
      <c r="X494" s="30" t="s">
        <v>197</v>
      </c>
      <c r="Y494" s="30" t="s">
        <v>1270</v>
      </c>
      <c r="AB494" s="30" t="b">
        <v>0</v>
      </c>
      <c r="AC494" s="30"/>
      <c r="AD494" s="30" t="b">
        <v>0</v>
      </c>
      <c r="AF494" s="30" t="b">
        <v>0</v>
      </c>
      <c r="AH494" s="32" t="s">
        <v>91</v>
      </c>
      <c r="AI494" s="32"/>
      <c r="AJ494" s="32"/>
      <c r="AK494" s="32"/>
      <c r="AL494" s="30" t="s">
        <v>92</v>
      </c>
      <c r="AM494" s="30" t="s">
        <v>93</v>
      </c>
      <c r="AN494" s="30" t="s">
        <v>199</v>
      </c>
      <c r="AO494" s="30" t="s">
        <v>200</v>
      </c>
      <c r="AP494" s="30" t="s">
        <v>201</v>
      </c>
      <c r="AQ494" s="30" t="s">
        <v>202</v>
      </c>
      <c r="AR494" s="30" t="s">
        <v>145</v>
      </c>
      <c r="AT494" s="30" t="s">
        <v>99</v>
      </c>
      <c r="AU494" s="30" t="s">
        <v>100</v>
      </c>
      <c r="AV494" s="30" t="s">
        <v>101</v>
      </c>
      <c r="AW494" s="30" t="s">
        <v>102</v>
      </c>
      <c r="AX494" s="34" t="s">
        <v>338</v>
      </c>
      <c r="AY494" s="34" t="s">
        <v>149</v>
      </c>
      <c r="AZ494" s="34"/>
      <c r="BA494" s="34"/>
      <c r="BB494" s="34"/>
      <c r="BC494" s="34">
        <v>0</v>
      </c>
      <c r="BD494" s="34"/>
      <c r="BE494" s="34"/>
      <c r="BF494" s="34" t="b">
        <v>0</v>
      </c>
      <c r="BG494" s="34"/>
      <c r="BH494" s="34"/>
      <c r="BI494" s="34"/>
      <c r="BJ494" s="34"/>
      <c r="BK494" s="34"/>
      <c r="BL494" s="34"/>
      <c r="BM494" s="34" t="s">
        <v>168</v>
      </c>
      <c r="BN494" s="34"/>
      <c r="BO494" s="35"/>
      <c r="BP494" s="35"/>
      <c r="BQ494" s="35" t="s">
        <v>108</v>
      </c>
      <c r="BR494" s="36" t="e">
        <f>VLOOKUP(BQ494, Cat_Indicadores!B:C, 2, FALSE)</f>
        <v>#N/A</v>
      </c>
      <c r="BS494" s="35" t="s">
        <v>5592</v>
      </c>
      <c r="BT494" s="35"/>
    </row>
    <row r="495" spans="1:72">
      <c r="A495" s="29" t="s">
        <v>2093</v>
      </c>
      <c r="B495" s="30" t="s">
        <v>2094</v>
      </c>
      <c r="C495" s="31">
        <v>46300.613171296296</v>
      </c>
      <c r="D495" s="30">
        <v>92</v>
      </c>
      <c r="E495" s="30" t="s">
        <v>74</v>
      </c>
      <c r="F495" s="30" t="s">
        <v>75</v>
      </c>
      <c r="G495" s="30" t="s">
        <v>133</v>
      </c>
      <c r="H495" s="30" t="s">
        <v>77</v>
      </c>
      <c r="I495" s="30" t="s">
        <v>78</v>
      </c>
      <c r="J495" s="30" t="s">
        <v>79</v>
      </c>
      <c r="K495" s="32">
        <v>800</v>
      </c>
      <c r="L495" s="32" t="s">
        <v>80</v>
      </c>
      <c r="M495" s="30" t="s">
        <v>401</v>
      </c>
      <c r="N495" s="30" t="s">
        <v>402</v>
      </c>
      <c r="O495" s="30" t="s">
        <v>83</v>
      </c>
      <c r="P495" s="33">
        <v>46241</v>
      </c>
      <c r="Q495" s="33">
        <v>46241</v>
      </c>
      <c r="R495" s="32">
        <v>1</v>
      </c>
      <c r="S495" s="30" t="s">
        <v>84</v>
      </c>
      <c r="T495" s="30" t="s">
        <v>337</v>
      </c>
      <c r="U495" s="30" t="s">
        <v>338</v>
      </c>
      <c r="V495" s="30" t="s">
        <v>87</v>
      </c>
      <c r="W495" s="30" t="s">
        <v>88</v>
      </c>
      <c r="X495" s="30" t="s">
        <v>197</v>
      </c>
      <c r="Y495" s="30" t="s">
        <v>1270</v>
      </c>
      <c r="AB495" s="30" t="b">
        <v>0</v>
      </c>
      <c r="AC495" s="30"/>
      <c r="AD495" s="30" t="b">
        <v>0</v>
      </c>
      <c r="AF495" s="30" t="b">
        <v>0</v>
      </c>
      <c r="AH495" s="32" t="s">
        <v>91</v>
      </c>
      <c r="AI495" s="32"/>
      <c r="AJ495" s="32"/>
      <c r="AK495" s="32"/>
      <c r="AL495" s="30" t="s">
        <v>92</v>
      </c>
      <c r="AM495" s="30" t="s">
        <v>93</v>
      </c>
      <c r="AN495" s="30" t="s">
        <v>199</v>
      </c>
      <c r="AO495" s="30" t="s">
        <v>200</v>
      </c>
      <c r="AP495" s="30" t="s">
        <v>201</v>
      </c>
      <c r="AQ495" s="30" t="s">
        <v>202</v>
      </c>
      <c r="AR495" s="30" t="s">
        <v>145</v>
      </c>
      <c r="AT495" s="30" t="s">
        <v>99</v>
      </c>
      <c r="AU495" s="30" t="s">
        <v>100</v>
      </c>
      <c r="AV495" s="30" t="s">
        <v>101</v>
      </c>
      <c r="AW495" s="30" t="s">
        <v>102</v>
      </c>
      <c r="AX495" s="34" t="s">
        <v>338</v>
      </c>
      <c r="AY495" s="34" t="s">
        <v>149</v>
      </c>
      <c r="AZ495" s="34"/>
      <c r="BA495" s="34"/>
      <c r="BB495" s="34"/>
      <c r="BC495" s="34">
        <v>0</v>
      </c>
      <c r="BD495" s="34"/>
      <c r="BE495" s="34"/>
      <c r="BF495" s="34" t="b">
        <v>0</v>
      </c>
      <c r="BG495" s="34"/>
      <c r="BH495" s="34"/>
      <c r="BI495" s="34"/>
      <c r="BJ495" s="34"/>
      <c r="BK495" s="34"/>
      <c r="BL495" s="34"/>
      <c r="BM495" s="34" t="s">
        <v>168</v>
      </c>
      <c r="BN495" s="34"/>
      <c r="BO495" s="35"/>
      <c r="BP495" s="35"/>
      <c r="BQ495" s="35" t="s">
        <v>108</v>
      </c>
      <c r="BR495" s="36" t="e">
        <f>VLOOKUP(BQ495, Cat_Indicadores!B:C, 2, FALSE)</f>
        <v>#N/A</v>
      </c>
      <c r="BS495" s="35" t="s">
        <v>5592</v>
      </c>
      <c r="BT495" s="35"/>
    </row>
    <row r="496" spans="1:72">
      <c r="A496" s="29" t="s">
        <v>2095</v>
      </c>
      <c r="B496" s="30" t="s">
        <v>2096</v>
      </c>
      <c r="C496" s="31">
        <v>46300.615104166667</v>
      </c>
      <c r="D496" s="30">
        <v>92</v>
      </c>
      <c r="E496" s="30" t="s">
        <v>74</v>
      </c>
      <c r="F496" s="30" t="s">
        <v>75</v>
      </c>
      <c r="G496" s="30" t="s">
        <v>133</v>
      </c>
      <c r="H496" s="30" t="s">
        <v>77</v>
      </c>
      <c r="I496" s="30" t="s">
        <v>78</v>
      </c>
      <c r="J496" s="30" t="s">
        <v>79</v>
      </c>
      <c r="K496" s="32">
        <v>800</v>
      </c>
      <c r="L496" s="32" t="s">
        <v>80</v>
      </c>
      <c r="M496" s="30" t="s">
        <v>401</v>
      </c>
      <c r="N496" s="30" t="s">
        <v>402</v>
      </c>
      <c r="O496" s="30" t="s">
        <v>83</v>
      </c>
      <c r="P496" s="33">
        <v>46242</v>
      </c>
      <c r="Q496" s="33">
        <v>46242</v>
      </c>
      <c r="R496" s="32">
        <v>1</v>
      </c>
      <c r="S496" s="30" t="s">
        <v>84</v>
      </c>
      <c r="T496" s="30" t="s">
        <v>337</v>
      </c>
      <c r="U496" s="30" t="s">
        <v>338</v>
      </c>
      <c r="V496" s="30" t="s">
        <v>87</v>
      </c>
      <c r="W496" s="30" t="s">
        <v>88</v>
      </c>
      <c r="X496" s="30" t="s">
        <v>197</v>
      </c>
      <c r="Y496" s="30" t="s">
        <v>1270</v>
      </c>
      <c r="AB496" s="30" t="b">
        <v>0</v>
      </c>
      <c r="AC496" s="30"/>
      <c r="AD496" s="30" t="b">
        <v>0</v>
      </c>
      <c r="AF496" s="30" t="b">
        <v>0</v>
      </c>
      <c r="AH496" s="32" t="s">
        <v>91</v>
      </c>
      <c r="AI496" s="32"/>
      <c r="AJ496" s="32"/>
      <c r="AK496" s="32"/>
      <c r="AL496" s="30" t="s">
        <v>92</v>
      </c>
      <c r="AM496" s="30" t="s">
        <v>93</v>
      </c>
      <c r="AN496" s="30" t="s">
        <v>199</v>
      </c>
      <c r="AO496" s="30" t="s">
        <v>200</v>
      </c>
      <c r="AP496" s="30" t="s">
        <v>201</v>
      </c>
      <c r="AQ496" s="30" t="s">
        <v>202</v>
      </c>
      <c r="AR496" s="30" t="s">
        <v>145</v>
      </c>
      <c r="AT496" s="30" t="s">
        <v>99</v>
      </c>
      <c r="AU496" s="30" t="s">
        <v>100</v>
      </c>
      <c r="AV496" s="30" t="s">
        <v>101</v>
      </c>
      <c r="AW496" s="30" t="s">
        <v>102</v>
      </c>
      <c r="AX496" s="34" t="s">
        <v>338</v>
      </c>
      <c r="AY496" s="34" t="s">
        <v>149</v>
      </c>
      <c r="AZ496" s="34" t="s">
        <v>149</v>
      </c>
      <c r="BA496" s="34"/>
      <c r="BB496" s="34"/>
      <c r="BC496" s="34">
        <v>0</v>
      </c>
      <c r="BD496" s="34"/>
      <c r="BE496" s="34"/>
      <c r="BF496" s="34" t="b">
        <v>0</v>
      </c>
      <c r="BG496" s="34"/>
      <c r="BH496" s="34"/>
      <c r="BI496" s="34"/>
      <c r="BJ496" s="34"/>
      <c r="BK496" s="34"/>
      <c r="BL496" s="34"/>
      <c r="BM496" s="34" t="s">
        <v>168</v>
      </c>
      <c r="BN496" s="34"/>
      <c r="BO496" s="35"/>
      <c r="BP496" s="35"/>
      <c r="BQ496" s="35" t="s">
        <v>108</v>
      </c>
      <c r="BR496" s="36" t="e">
        <f>VLOOKUP(BQ496, Cat_Indicadores!B:C, 2, FALSE)</f>
        <v>#N/A</v>
      </c>
      <c r="BS496" s="35" t="s">
        <v>5592</v>
      </c>
      <c r="BT496" s="35"/>
    </row>
    <row r="497" spans="1:72">
      <c r="A497" s="29" t="s">
        <v>2097</v>
      </c>
      <c r="B497" s="30" t="s">
        <v>2098</v>
      </c>
      <c r="C497" s="31">
        <v>46300.616539351853</v>
      </c>
      <c r="D497" s="30">
        <v>92</v>
      </c>
      <c r="E497" s="30" t="s">
        <v>74</v>
      </c>
      <c r="F497" s="30" t="s">
        <v>75</v>
      </c>
      <c r="G497" s="30" t="s">
        <v>133</v>
      </c>
      <c r="H497" s="30" t="s">
        <v>77</v>
      </c>
      <c r="I497" s="30" t="s">
        <v>78</v>
      </c>
      <c r="J497" s="30" t="s">
        <v>79</v>
      </c>
      <c r="K497" s="32">
        <v>800</v>
      </c>
      <c r="L497" s="32" t="s">
        <v>80</v>
      </c>
      <c r="M497" s="30" t="s">
        <v>1055</v>
      </c>
      <c r="N497" s="30" t="s">
        <v>402</v>
      </c>
      <c r="O497" s="30" t="s">
        <v>83</v>
      </c>
      <c r="P497" s="33">
        <v>46242</v>
      </c>
      <c r="Q497" s="33">
        <v>46242</v>
      </c>
      <c r="R497" s="32">
        <v>1</v>
      </c>
      <c r="S497" s="30" t="s">
        <v>84</v>
      </c>
      <c r="T497" s="30" t="s">
        <v>337</v>
      </c>
      <c r="U497" s="30" t="s">
        <v>338</v>
      </c>
      <c r="V497" s="30" t="s">
        <v>87</v>
      </c>
      <c r="W497" s="30" t="s">
        <v>88</v>
      </c>
      <c r="X497" s="30" t="s">
        <v>197</v>
      </c>
      <c r="Y497" s="30" t="s">
        <v>1270</v>
      </c>
      <c r="AB497" s="30" t="b">
        <v>0</v>
      </c>
      <c r="AC497" s="30"/>
      <c r="AD497" s="30" t="b">
        <v>0</v>
      </c>
      <c r="AF497" s="30" t="b">
        <v>0</v>
      </c>
      <c r="AH497" s="32" t="s">
        <v>91</v>
      </c>
      <c r="AI497" s="32"/>
      <c r="AJ497" s="32"/>
      <c r="AK497" s="32"/>
      <c r="AL497" s="30" t="s">
        <v>92</v>
      </c>
      <c r="AM497" s="30" t="s">
        <v>93</v>
      </c>
      <c r="AN497" s="30" t="s">
        <v>199</v>
      </c>
      <c r="AO497" s="30" t="s">
        <v>200</v>
      </c>
      <c r="AP497" s="30" t="s">
        <v>201</v>
      </c>
      <c r="AQ497" s="30" t="s">
        <v>202</v>
      </c>
      <c r="AR497" s="30" t="s">
        <v>145</v>
      </c>
      <c r="AT497" s="30" t="s">
        <v>99</v>
      </c>
      <c r="AU497" s="30" t="s">
        <v>100</v>
      </c>
      <c r="AV497" s="30" t="s">
        <v>101</v>
      </c>
      <c r="AW497" s="30" t="s">
        <v>102</v>
      </c>
      <c r="AX497" s="34" t="s">
        <v>338</v>
      </c>
      <c r="AY497" s="34" t="s">
        <v>149</v>
      </c>
      <c r="AZ497" s="34" t="s">
        <v>149</v>
      </c>
      <c r="BA497" s="34"/>
      <c r="BB497" s="34"/>
      <c r="BC497" s="34">
        <v>0</v>
      </c>
      <c r="BD497" s="34"/>
      <c r="BE497" s="34"/>
      <c r="BF497" s="34" t="b">
        <v>0</v>
      </c>
      <c r="BG497" s="34"/>
      <c r="BH497" s="34"/>
      <c r="BI497" s="34"/>
      <c r="BJ497" s="34"/>
      <c r="BK497" s="34"/>
      <c r="BL497" s="34"/>
      <c r="BM497" s="34" t="s">
        <v>168</v>
      </c>
      <c r="BN497" s="34"/>
      <c r="BO497" s="35"/>
      <c r="BP497" s="35"/>
      <c r="BQ497" s="35" t="s">
        <v>108</v>
      </c>
      <c r="BR497" s="36" t="e">
        <f>VLOOKUP(BQ497, Cat_Indicadores!B:C, 2, FALSE)</f>
        <v>#N/A</v>
      </c>
      <c r="BS497" s="35" t="s">
        <v>5592</v>
      </c>
      <c r="BT497" s="35"/>
    </row>
    <row r="498" spans="1:72">
      <c r="A498" s="29" t="s">
        <v>2099</v>
      </c>
      <c r="B498" s="30" t="s">
        <v>2100</v>
      </c>
      <c r="C498" s="31">
        <v>46300.618043981478</v>
      </c>
      <c r="D498" s="30">
        <v>92</v>
      </c>
      <c r="E498" s="30" t="s">
        <v>74</v>
      </c>
      <c r="F498" s="30" t="s">
        <v>75</v>
      </c>
      <c r="G498" s="30" t="s">
        <v>133</v>
      </c>
      <c r="H498" s="30" t="s">
        <v>77</v>
      </c>
      <c r="I498" s="30" t="s">
        <v>78</v>
      </c>
      <c r="J498" s="30" t="s">
        <v>79</v>
      </c>
      <c r="K498" s="32">
        <v>800</v>
      </c>
      <c r="L498" s="32" t="s">
        <v>80</v>
      </c>
      <c r="M498" s="30" t="s">
        <v>1055</v>
      </c>
      <c r="N498" s="30" t="s">
        <v>402</v>
      </c>
      <c r="O498" s="30" t="s">
        <v>83</v>
      </c>
      <c r="P498" s="33">
        <v>46242</v>
      </c>
      <c r="Q498" s="33">
        <v>46242</v>
      </c>
      <c r="R498" s="32">
        <v>1</v>
      </c>
      <c r="S498" s="30" t="s">
        <v>84</v>
      </c>
      <c r="T498" s="30" t="s">
        <v>337</v>
      </c>
      <c r="U498" s="30" t="s">
        <v>338</v>
      </c>
      <c r="V498" s="30" t="s">
        <v>87</v>
      </c>
      <c r="W498" s="30" t="s">
        <v>88</v>
      </c>
      <c r="X498" s="30" t="s">
        <v>197</v>
      </c>
      <c r="Y498" s="30" t="s">
        <v>1270</v>
      </c>
      <c r="AB498" s="30" t="b">
        <v>0</v>
      </c>
      <c r="AC498" s="30"/>
      <c r="AD498" s="30" t="b">
        <v>0</v>
      </c>
      <c r="AF498" s="30" t="b">
        <v>0</v>
      </c>
      <c r="AH498" s="32" t="s">
        <v>91</v>
      </c>
      <c r="AI498" s="32"/>
      <c r="AJ498" s="32"/>
      <c r="AK498" s="32"/>
      <c r="AL498" s="30" t="s">
        <v>92</v>
      </c>
      <c r="AM498" s="30" t="s">
        <v>93</v>
      </c>
      <c r="AN498" s="30" t="s">
        <v>199</v>
      </c>
      <c r="AO498" s="30" t="s">
        <v>200</v>
      </c>
      <c r="AP498" s="30" t="s">
        <v>201</v>
      </c>
      <c r="AQ498" s="30" t="s">
        <v>202</v>
      </c>
      <c r="AR498" s="30" t="s">
        <v>145</v>
      </c>
      <c r="AT498" s="30" t="s">
        <v>99</v>
      </c>
      <c r="AU498" s="30" t="s">
        <v>100</v>
      </c>
      <c r="AV498" s="30" t="s">
        <v>101</v>
      </c>
      <c r="AW498" s="30" t="s">
        <v>102</v>
      </c>
      <c r="AX498" s="34" t="s">
        <v>338</v>
      </c>
      <c r="AY498" s="34" t="s">
        <v>149</v>
      </c>
      <c r="AZ498" s="34" t="s">
        <v>149</v>
      </c>
      <c r="BA498" s="34"/>
      <c r="BB498" s="34"/>
      <c r="BC498" s="34">
        <v>0</v>
      </c>
      <c r="BD498" s="34"/>
      <c r="BE498" s="34"/>
      <c r="BF498" s="34" t="b">
        <v>0</v>
      </c>
      <c r="BG498" s="34"/>
      <c r="BH498" s="34"/>
      <c r="BI498" s="34"/>
      <c r="BJ498" s="34"/>
      <c r="BK498" s="34"/>
      <c r="BL498" s="34"/>
      <c r="BM498" s="34" t="s">
        <v>168</v>
      </c>
      <c r="BN498" s="34"/>
      <c r="BO498" s="35"/>
      <c r="BP498" s="35"/>
      <c r="BQ498" s="35" t="s">
        <v>108</v>
      </c>
      <c r="BR498" s="36" t="e">
        <f>VLOOKUP(BQ498, Cat_Indicadores!B:C, 2, FALSE)</f>
        <v>#N/A</v>
      </c>
      <c r="BS498" s="35" t="s">
        <v>5592</v>
      </c>
      <c r="BT498" s="35"/>
    </row>
    <row r="499" spans="1:72">
      <c r="A499" s="29" t="s">
        <v>2101</v>
      </c>
      <c r="B499" s="30" t="s">
        <v>2102</v>
      </c>
      <c r="C499" s="31">
        <v>46300.627824074072</v>
      </c>
      <c r="D499" s="30">
        <v>92</v>
      </c>
      <c r="E499" s="30" t="s">
        <v>74</v>
      </c>
      <c r="F499" s="30" t="s">
        <v>75</v>
      </c>
      <c r="G499" s="30" t="s">
        <v>133</v>
      </c>
      <c r="H499" s="30" t="s">
        <v>77</v>
      </c>
      <c r="I499" s="30" t="s">
        <v>78</v>
      </c>
      <c r="J499" s="30" t="s">
        <v>79</v>
      </c>
      <c r="K499" s="32">
        <v>800</v>
      </c>
      <c r="L499" s="32" t="s">
        <v>80</v>
      </c>
      <c r="M499" s="30" t="s">
        <v>1055</v>
      </c>
      <c r="N499" s="30" t="s">
        <v>402</v>
      </c>
      <c r="O499" s="30" t="s">
        <v>83</v>
      </c>
      <c r="P499" s="33">
        <v>46247</v>
      </c>
      <c r="Q499" s="33">
        <v>46247</v>
      </c>
      <c r="R499" s="32">
        <v>1</v>
      </c>
      <c r="S499" s="30" t="s">
        <v>84</v>
      </c>
      <c r="T499" s="30" t="s">
        <v>337</v>
      </c>
      <c r="U499" s="30" t="s">
        <v>338</v>
      </c>
      <c r="V499" s="30" t="s">
        <v>87</v>
      </c>
      <c r="W499" s="30" t="s">
        <v>88</v>
      </c>
      <c r="X499" s="30" t="s">
        <v>197</v>
      </c>
      <c r="Y499" s="30" t="s">
        <v>1270</v>
      </c>
      <c r="AB499" s="30" t="b">
        <v>0</v>
      </c>
      <c r="AC499" s="30"/>
      <c r="AD499" s="30" t="b">
        <v>0</v>
      </c>
      <c r="AF499" s="30" t="b">
        <v>0</v>
      </c>
      <c r="AH499" s="32" t="s">
        <v>91</v>
      </c>
      <c r="AI499" s="32"/>
      <c r="AJ499" s="32"/>
      <c r="AK499" s="32"/>
      <c r="AL499" s="30" t="s">
        <v>92</v>
      </c>
      <c r="AM499" s="30" t="s">
        <v>93</v>
      </c>
      <c r="AN499" s="30" t="s">
        <v>199</v>
      </c>
      <c r="AO499" s="30" t="s">
        <v>200</v>
      </c>
      <c r="AP499" s="30" t="s">
        <v>201</v>
      </c>
      <c r="AQ499" s="30" t="s">
        <v>202</v>
      </c>
      <c r="AR499" s="30" t="s">
        <v>145</v>
      </c>
      <c r="AT499" s="30" t="s">
        <v>99</v>
      </c>
      <c r="AU499" s="30" t="s">
        <v>100</v>
      </c>
      <c r="AV499" s="30" t="s">
        <v>101</v>
      </c>
      <c r="AW499" s="30" t="s">
        <v>102</v>
      </c>
      <c r="AX499" s="34" t="s">
        <v>338</v>
      </c>
      <c r="AY499" s="34" t="s">
        <v>149</v>
      </c>
      <c r="AZ499" s="34" t="s">
        <v>149</v>
      </c>
      <c r="BA499" s="34"/>
      <c r="BB499" s="34"/>
      <c r="BC499" s="34">
        <v>0</v>
      </c>
      <c r="BD499" s="34"/>
      <c r="BE499" s="34"/>
      <c r="BF499" s="34" t="b">
        <v>0</v>
      </c>
      <c r="BG499" s="34"/>
      <c r="BH499" s="34"/>
      <c r="BI499" s="34"/>
      <c r="BJ499" s="34"/>
      <c r="BK499" s="34"/>
      <c r="BL499" s="34"/>
      <c r="BM499" s="34" t="s">
        <v>168</v>
      </c>
      <c r="BN499" s="34"/>
      <c r="BO499" s="35"/>
      <c r="BP499" s="35"/>
      <c r="BQ499" s="35" t="s">
        <v>108</v>
      </c>
      <c r="BR499" s="36" t="e">
        <f>VLOOKUP(BQ499, Cat_Indicadores!B:C, 2, FALSE)</f>
        <v>#N/A</v>
      </c>
      <c r="BS499" s="35" t="s">
        <v>5592</v>
      </c>
      <c r="BT499" s="35"/>
    </row>
    <row r="500" spans="1:72">
      <c r="A500" s="29" t="s">
        <v>2103</v>
      </c>
      <c r="B500" s="30" t="s">
        <v>2104</v>
      </c>
      <c r="C500" s="31">
        <v>46300.629143518519</v>
      </c>
      <c r="D500" s="30">
        <v>92</v>
      </c>
      <c r="E500" s="30" t="s">
        <v>74</v>
      </c>
      <c r="F500" s="30" t="s">
        <v>75</v>
      </c>
      <c r="G500" s="30" t="s">
        <v>133</v>
      </c>
      <c r="H500" s="30" t="s">
        <v>77</v>
      </c>
      <c r="I500" s="30" t="s">
        <v>78</v>
      </c>
      <c r="J500" s="30" t="s">
        <v>79</v>
      </c>
      <c r="K500" s="32">
        <v>800</v>
      </c>
      <c r="L500" s="32" t="s">
        <v>80</v>
      </c>
      <c r="M500" s="30" t="s">
        <v>1055</v>
      </c>
      <c r="N500" s="30" t="s">
        <v>402</v>
      </c>
      <c r="O500" s="30" t="s">
        <v>83</v>
      </c>
      <c r="P500" s="33">
        <v>46249</v>
      </c>
      <c r="Q500" s="33">
        <v>46249</v>
      </c>
      <c r="R500" s="32">
        <v>1</v>
      </c>
      <c r="S500" s="30" t="s">
        <v>84</v>
      </c>
      <c r="T500" s="30" t="s">
        <v>337</v>
      </c>
      <c r="U500" s="30" t="s">
        <v>338</v>
      </c>
      <c r="V500" s="30" t="s">
        <v>87</v>
      </c>
      <c r="W500" s="30" t="s">
        <v>88</v>
      </c>
      <c r="X500" s="30" t="s">
        <v>197</v>
      </c>
      <c r="Y500" s="30" t="s">
        <v>1270</v>
      </c>
      <c r="AB500" s="30" t="b">
        <v>0</v>
      </c>
      <c r="AC500" s="30"/>
      <c r="AD500" s="30" t="b">
        <v>0</v>
      </c>
      <c r="AF500" s="30" t="b">
        <v>0</v>
      </c>
      <c r="AH500" s="32" t="s">
        <v>91</v>
      </c>
      <c r="AI500" s="32"/>
      <c r="AJ500" s="32"/>
      <c r="AK500" s="32"/>
      <c r="AL500" s="30" t="s">
        <v>92</v>
      </c>
      <c r="AM500" s="30" t="s">
        <v>93</v>
      </c>
      <c r="AN500" s="30" t="s">
        <v>199</v>
      </c>
      <c r="AO500" s="30" t="s">
        <v>200</v>
      </c>
      <c r="AP500" s="30" t="s">
        <v>201</v>
      </c>
      <c r="AQ500" s="30" t="s">
        <v>202</v>
      </c>
      <c r="AR500" s="30" t="s">
        <v>145</v>
      </c>
      <c r="AT500" s="30" t="s">
        <v>99</v>
      </c>
      <c r="AU500" s="30" t="s">
        <v>100</v>
      </c>
      <c r="AV500" s="30" t="s">
        <v>101</v>
      </c>
      <c r="AW500" s="30" t="s">
        <v>102</v>
      </c>
      <c r="AX500" s="34" t="s">
        <v>338</v>
      </c>
      <c r="AY500" s="34" t="s">
        <v>149</v>
      </c>
      <c r="AZ500" s="34" t="s">
        <v>149</v>
      </c>
      <c r="BA500" s="34"/>
      <c r="BB500" s="34"/>
      <c r="BC500" s="34">
        <v>0</v>
      </c>
      <c r="BD500" s="34"/>
      <c r="BE500" s="34"/>
      <c r="BF500" s="34" t="b">
        <v>0</v>
      </c>
      <c r="BG500" s="34"/>
      <c r="BH500" s="34"/>
      <c r="BI500" s="34"/>
      <c r="BJ500" s="34"/>
      <c r="BK500" s="34"/>
      <c r="BL500" s="34"/>
      <c r="BM500" s="34" t="s">
        <v>168</v>
      </c>
      <c r="BN500" s="34"/>
      <c r="BO500" s="35"/>
      <c r="BP500" s="35"/>
      <c r="BQ500" s="35" t="s">
        <v>108</v>
      </c>
      <c r="BR500" s="36" t="e">
        <f>VLOOKUP(BQ500, Cat_Indicadores!B:C, 2, FALSE)</f>
        <v>#N/A</v>
      </c>
      <c r="BS500" s="35" t="s">
        <v>5592</v>
      </c>
      <c r="BT500" s="35"/>
    </row>
    <row r="501" spans="1:72">
      <c r="A501" s="29" t="s">
        <v>2105</v>
      </c>
      <c r="B501" s="30" t="s">
        <v>2106</v>
      </c>
      <c r="C501" s="31">
        <v>46300.630671296298</v>
      </c>
      <c r="D501" s="30">
        <v>92</v>
      </c>
      <c r="E501" s="30" t="s">
        <v>74</v>
      </c>
      <c r="F501" s="30" t="s">
        <v>75</v>
      </c>
      <c r="G501" s="30" t="s">
        <v>133</v>
      </c>
      <c r="H501" s="30" t="s">
        <v>77</v>
      </c>
      <c r="I501" s="30" t="s">
        <v>78</v>
      </c>
      <c r="J501" s="30" t="s">
        <v>79</v>
      </c>
      <c r="K501" s="32">
        <v>800</v>
      </c>
      <c r="L501" s="32" t="s">
        <v>80</v>
      </c>
      <c r="M501" s="30" t="s">
        <v>1055</v>
      </c>
      <c r="N501" s="30" t="s">
        <v>402</v>
      </c>
      <c r="O501" s="30" t="s">
        <v>83</v>
      </c>
      <c r="P501" s="33">
        <v>46249</v>
      </c>
      <c r="Q501" s="33">
        <v>46249</v>
      </c>
      <c r="R501" s="32">
        <v>1</v>
      </c>
      <c r="S501" s="30" t="s">
        <v>84</v>
      </c>
      <c r="T501" s="30" t="s">
        <v>337</v>
      </c>
      <c r="U501" s="30" t="s">
        <v>338</v>
      </c>
      <c r="V501" s="30" t="s">
        <v>87</v>
      </c>
      <c r="W501" s="30" t="s">
        <v>88</v>
      </c>
      <c r="X501" s="30" t="s">
        <v>197</v>
      </c>
      <c r="Y501" s="30" t="s">
        <v>1270</v>
      </c>
      <c r="AB501" s="30" t="b">
        <v>0</v>
      </c>
      <c r="AC501" s="30"/>
      <c r="AD501" s="30" t="b">
        <v>0</v>
      </c>
      <c r="AF501" s="30" t="b">
        <v>0</v>
      </c>
      <c r="AH501" s="32" t="s">
        <v>91</v>
      </c>
      <c r="AI501" s="32"/>
      <c r="AJ501" s="32"/>
      <c r="AK501" s="32"/>
      <c r="AL501" s="30" t="s">
        <v>92</v>
      </c>
      <c r="AM501" s="30" t="s">
        <v>93</v>
      </c>
      <c r="AN501" s="30" t="s">
        <v>199</v>
      </c>
      <c r="AO501" s="30" t="s">
        <v>200</v>
      </c>
      <c r="AP501" s="30" t="s">
        <v>201</v>
      </c>
      <c r="AQ501" s="30" t="s">
        <v>202</v>
      </c>
      <c r="AR501" s="30" t="s">
        <v>145</v>
      </c>
      <c r="AT501" s="30" t="s">
        <v>99</v>
      </c>
      <c r="AU501" s="30" t="s">
        <v>100</v>
      </c>
      <c r="AV501" s="30" t="s">
        <v>101</v>
      </c>
      <c r="AW501" s="30" t="s">
        <v>102</v>
      </c>
      <c r="AX501" s="34" t="s">
        <v>338</v>
      </c>
      <c r="AY501" s="34" t="s">
        <v>149</v>
      </c>
      <c r="AZ501" s="34" t="s">
        <v>149</v>
      </c>
      <c r="BA501" s="34"/>
      <c r="BB501" s="34"/>
      <c r="BC501" s="34">
        <v>0</v>
      </c>
      <c r="BD501" s="34"/>
      <c r="BE501" s="34"/>
      <c r="BF501" s="34" t="b">
        <v>0</v>
      </c>
      <c r="BG501" s="34"/>
      <c r="BH501" s="34"/>
      <c r="BI501" s="34"/>
      <c r="BJ501" s="34"/>
      <c r="BK501" s="34"/>
      <c r="BL501" s="34"/>
      <c r="BM501" s="34" t="s">
        <v>168</v>
      </c>
      <c r="BN501" s="34"/>
      <c r="BO501" s="35"/>
      <c r="BP501" s="35"/>
      <c r="BQ501" s="35" t="s">
        <v>108</v>
      </c>
      <c r="BR501" s="36" t="e">
        <f>VLOOKUP(BQ501, Cat_Indicadores!B:C, 2, FALSE)</f>
        <v>#N/A</v>
      </c>
      <c r="BS501" s="35" t="s">
        <v>5592</v>
      </c>
      <c r="BT501" s="35"/>
    </row>
    <row r="502" spans="1:72">
      <c r="A502" s="29" t="s">
        <v>2107</v>
      </c>
      <c r="B502" s="30" t="s">
        <v>2108</v>
      </c>
      <c r="C502" s="31">
        <v>46300.632094907407</v>
      </c>
      <c r="D502" s="30">
        <v>92</v>
      </c>
      <c r="E502" s="30" t="s">
        <v>74</v>
      </c>
      <c r="F502" s="30" t="s">
        <v>75</v>
      </c>
      <c r="G502" s="30" t="s">
        <v>133</v>
      </c>
      <c r="H502" s="30" t="s">
        <v>77</v>
      </c>
      <c r="I502" s="30" t="s">
        <v>78</v>
      </c>
      <c r="J502" s="30" t="s">
        <v>79</v>
      </c>
      <c r="K502" s="32">
        <v>800</v>
      </c>
      <c r="L502" s="32" t="s">
        <v>80</v>
      </c>
      <c r="M502" s="30" t="s">
        <v>1055</v>
      </c>
      <c r="N502" s="30" t="s">
        <v>402</v>
      </c>
      <c r="O502" s="30" t="s">
        <v>83</v>
      </c>
      <c r="P502" s="33">
        <v>46250</v>
      </c>
      <c r="Q502" s="33">
        <v>46250</v>
      </c>
      <c r="R502" s="32">
        <v>1</v>
      </c>
      <c r="S502" s="30" t="s">
        <v>84</v>
      </c>
      <c r="T502" s="30" t="s">
        <v>337</v>
      </c>
      <c r="U502" s="30" t="s">
        <v>338</v>
      </c>
      <c r="V502" s="30" t="s">
        <v>87</v>
      </c>
      <c r="W502" s="30" t="s">
        <v>88</v>
      </c>
      <c r="X502" s="30" t="s">
        <v>197</v>
      </c>
      <c r="Y502" s="30" t="s">
        <v>1270</v>
      </c>
      <c r="AB502" s="30" t="b">
        <v>0</v>
      </c>
      <c r="AC502" s="30"/>
      <c r="AD502" s="30" t="b">
        <v>0</v>
      </c>
      <c r="AF502" s="30" t="b">
        <v>0</v>
      </c>
      <c r="AH502" s="32" t="s">
        <v>91</v>
      </c>
      <c r="AI502" s="32"/>
      <c r="AJ502" s="32"/>
      <c r="AK502" s="32"/>
      <c r="AL502" s="30" t="s">
        <v>92</v>
      </c>
      <c r="AM502" s="30" t="s">
        <v>93</v>
      </c>
      <c r="AN502" s="30" t="s">
        <v>199</v>
      </c>
      <c r="AO502" s="30" t="s">
        <v>200</v>
      </c>
      <c r="AP502" s="30" t="s">
        <v>201</v>
      </c>
      <c r="AQ502" s="30" t="s">
        <v>202</v>
      </c>
      <c r="AR502" s="30" t="s">
        <v>145</v>
      </c>
      <c r="AT502" s="30" t="s">
        <v>99</v>
      </c>
      <c r="AU502" s="30" t="s">
        <v>100</v>
      </c>
      <c r="AV502" s="30" t="s">
        <v>101</v>
      </c>
      <c r="AW502" s="30" t="s">
        <v>102</v>
      </c>
      <c r="AX502" s="34" t="s">
        <v>338</v>
      </c>
      <c r="AY502" s="34" t="s">
        <v>149</v>
      </c>
      <c r="AZ502" s="34" t="s">
        <v>149</v>
      </c>
      <c r="BA502" s="34"/>
      <c r="BB502" s="34"/>
      <c r="BC502" s="34">
        <v>0</v>
      </c>
      <c r="BD502" s="34"/>
      <c r="BE502" s="34"/>
      <c r="BF502" s="34" t="b">
        <v>0</v>
      </c>
      <c r="BG502" s="34"/>
      <c r="BH502" s="34"/>
      <c r="BI502" s="34"/>
      <c r="BJ502" s="34"/>
      <c r="BK502" s="34"/>
      <c r="BL502" s="34"/>
      <c r="BM502" s="34" t="s">
        <v>168</v>
      </c>
      <c r="BN502" s="34"/>
      <c r="BO502" s="35"/>
      <c r="BP502" s="35"/>
      <c r="BQ502" s="35" t="s">
        <v>108</v>
      </c>
      <c r="BR502" s="36" t="e">
        <f>VLOOKUP(BQ502, Cat_Indicadores!B:C, 2, FALSE)</f>
        <v>#N/A</v>
      </c>
      <c r="BS502" s="35" t="s">
        <v>5592</v>
      </c>
      <c r="BT502" s="35"/>
    </row>
    <row r="503" spans="1:72">
      <c r="A503" s="29" t="s">
        <v>2109</v>
      </c>
      <c r="B503" s="30" t="s">
        <v>2110</v>
      </c>
      <c r="C503" s="31">
        <v>46300.636608796296</v>
      </c>
      <c r="D503" s="30">
        <v>92</v>
      </c>
      <c r="E503" s="30" t="s">
        <v>74</v>
      </c>
      <c r="F503" s="30" t="s">
        <v>75</v>
      </c>
      <c r="G503" s="30" t="s">
        <v>133</v>
      </c>
      <c r="H503" s="30" t="s">
        <v>77</v>
      </c>
      <c r="I503" s="30" t="s">
        <v>78</v>
      </c>
      <c r="J503" s="30" t="s">
        <v>79</v>
      </c>
      <c r="K503" s="32">
        <v>800</v>
      </c>
      <c r="L503" s="32" t="s">
        <v>80</v>
      </c>
      <c r="M503" s="30" t="s">
        <v>1055</v>
      </c>
      <c r="N503" s="30" t="s">
        <v>402</v>
      </c>
      <c r="O503" s="30" t="s">
        <v>83</v>
      </c>
      <c r="P503" s="33">
        <v>46250</v>
      </c>
      <c r="Q503" s="33">
        <v>46250</v>
      </c>
      <c r="R503" s="32">
        <v>1</v>
      </c>
      <c r="S503" s="30" t="s">
        <v>84</v>
      </c>
      <c r="T503" s="30" t="s">
        <v>337</v>
      </c>
      <c r="U503" s="30" t="s">
        <v>338</v>
      </c>
      <c r="V503" s="30" t="s">
        <v>87</v>
      </c>
      <c r="W503" s="30" t="s">
        <v>88</v>
      </c>
      <c r="X503" s="30" t="s">
        <v>197</v>
      </c>
      <c r="Y503" s="30" t="s">
        <v>1270</v>
      </c>
      <c r="AB503" s="30" t="b">
        <v>0</v>
      </c>
      <c r="AC503" s="30"/>
      <c r="AD503" s="30" t="b">
        <v>0</v>
      </c>
      <c r="AF503" s="30" t="b">
        <v>0</v>
      </c>
      <c r="AH503" s="32" t="s">
        <v>91</v>
      </c>
      <c r="AI503" s="32"/>
      <c r="AJ503" s="32"/>
      <c r="AK503" s="32"/>
      <c r="AL503" s="30" t="s">
        <v>92</v>
      </c>
      <c r="AM503" s="30" t="s">
        <v>93</v>
      </c>
      <c r="AN503" s="30" t="s">
        <v>199</v>
      </c>
      <c r="AO503" s="30" t="s">
        <v>200</v>
      </c>
      <c r="AP503" s="30" t="s">
        <v>201</v>
      </c>
      <c r="AQ503" s="30" t="s">
        <v>202</v>
      </c>
      <c r="AR503" s="30" t="s">
        <v>145</v>
      </c>
      <c r="AT503" s="30" t="s">
        <v>99</v>
      </c>
      <c r="AU503" s="30" t="s">
        <v>100</v>
      </c>
      <c r="AV503" s="30" t="s">
        <v>101</v>
      </c>
      <c r="AW503" s="30" t="s">
        <v>102</v>
      </c>
      <c r="AX503" s="34" t="s">
        <v>338</v>
      </c>
      <c r="AY503" s="34" t="s">
        <v>149</v>
      </c>
      <c r="AZ503" s="34" t="s">
        <v>149</v>
      </c>
      <c r="BA503" s="34"/>
      <c r="BB503" s="34"/>
      <c r="BC503" s="34">
        <v>0</v>
      </c>
      <c r="BD503" s="34"/>
      <c r="BE503" s="34"/>
      <c r="BF503" s="34" t="b">
        <v>0</v>
      </c>
      <c r="BG503" s="34"/>
      <c r="BH503" s="34"/>
      <c r="BI503" s="34"/>
      <c r="BJ503" s="34"/>
      <c r="BK503" s="34"/>
      <c r="BL503" s="34"/>
      <c r="BM503" s="34" t="s">
        <v>168</v>
      </c>
      <c r="BN503" s="34"/>
      <c r="BO503" s="35"/>
      <c r="BP503" s="35"/>
      <c r="BQ503" s="35" t="s">
        <v>108</v>
      </c>
      <c r="BR503" s="36" t="e">
        <f>VLOOKUP(BQ503, Cat_Indicadores!B:C, 2, FALSE)</f>
        <v>#N/A</v>
      </c>
      <c r="BS503" s="35" t="s">
        <v>5592</v>
      </c>
      <c r="BT503" s="35"/>
    </row>
    <row r="504" spans="1:72">
      <c r="A504" s="29" t="s">
        <v>2111</v>
      </c>
      <c r="B504" s="30" t="s">
        <v>2112</v>
      </c>
      <c r="C504" s="31">
        <v>46300.638611111113</v>
      </c>
      <c r="D504" s="30">
        <v>92</v>
      </c>
      <c r="E504" s="30" t="s">
        <v>74</v>
      </c>
      <c r="F504" s="30" t="s">
        <v>75</v>
      </c>
      <c r="G504" s="30" t="s">
        <v>133</v>
      </c>
      <c r="H504" s="30" t="s">
        <v>77</v>
      </c>
      <c r="I504" s="30" t="s">
        <v>78</v>
      </c>
      <c r="J504" s="30" t="s">
        <v>79</v>
      </c>
      <c r="K504" s="32">
        <v>800</v>
      </c>
      <c r="L504" s="32" t="s">
        <v>80</v>
      </c>
      <c r="M504" s="30" t="s">
        <v>1055</v>
      </c>
      <c r="N504" s="30" t="s">
        <v>402</v>
      </c>
      <c r="O504" s="30" t="s">
        <v>83</v>
      </c>
      <c r="P504" s="33">
        <v>46252</v>
      </c>
      <c r="Q504" s="33">
        <v>46252</v>
      </c>
      <c r="R504" s="32">
        <v>1</v>
      </c>
      <c r="S504" s="30" t="s">
        <v>84</v>
      </c>
      <c r="T504" s="30" t="s">
        <v>337</v>
      </c>
      <c r="U504" s="30" t="s">
        <v>338</v>
      </c>
      <c r="V504" s="30" t="s">
        <v>87</v>
      </c>
      <c r="W504" s="30" t="s">
        <v>88</v>
      </c>
      <c r="X504" s="30" t="s">
        <v>197</v>
      </c>
      <c r="Y504" s="30" t="s">
        <v>1270</v>
      </c>
      <c r="AB504" s="30" t="b">
        <v>0</v>
      </c>
      <c r="AC504" s="30"/>
      <c r="AD504" s="30" t="b">
        <v>0</v>
      </c>
      <c r="AF504" s="30" t="b">
        <v>0</v>
      </c>
      <c r="AH504" s="32" t="s">
        <v>91</v>
      </c>
      <c r="AI504" s="32"/>
      <c r="AJ504" s="32"/>
      <c r="AK504" s="32"/>
      <c r="AL504" s="30" t="s">
        <v>92</v>
      </c>
      <c r="AM504" s="30" t="s">
        <v>93</v>
      </c>
      <c r="AN504" s="30" t="s">
        <v>199</v>
      </c>
      <c r="AO504" s="30" t="s">
        <v>200</v>
      </c>
      <c r="AP504" s="30" t="s">
        <v>201</v>
      </c>
      <c r="AQ504" s="30" t="s">
        <v>202</v>
      </c>
      <c r="AR504" s="30" t="s">
        <v>145</v>
      </c>
      <c r="AT504" s="30" t="s">
        <v>99</v>
      </c>
      <c r="AU504" s="30" t="s">
        <v>100</v>
      </c>
      <c r="AV504" s="30" t="s">
        <v>101</v>
      </c>
      <c r="AW504" s="30" t="s">
        <v>102</v>
      </c>
      <c r="AX504" s="34" t="s">
        <v>338</v>
      </c>
      <c r="AY504" s="34" t="s">
        <v>149</v>
      </c>
      <c r="AZ504" s="34" t="s">
        <v>149</v>
      </c>
      <c r="BA504" s="34"/>
      <c r="BB504" s="34"/>
      <c r="BC504" s="34">
        <v>0</v>
      </c>
      <c r="BD504" s="34"/>
      <c r="BE504" s="34"/>
      <c r="BF504" s="34" t="b">
        <v>0</v>
      </c>
      <c r="BG504" s="34"/>
      <c r="BH504" s="34"/>
      <c r="BI504" s="34"/>
      <c r="BJ504" s="34"/>
      <c r="BK504" s="34"/>
      <c r="BL504" s="34"/>
      <c r="BM504" s="34" t="s">
        <v>168</v>
      </c>
      <c r="BN504" s="34"/>
      <c r="BO504" s="35"/>
      <c r="BP504" s="35"/>
      <c r="BQ504" s="35" t="s">
        <v>108</v>
      </c>
      <c r="BR504" s="36" t="e">
        <f>VLOOKUP(BQ504, Cat_Indicadores!B:C, 2, FALSE)</f>
        <v>#N/A</v>
      </c>
      <c r="BS504" s="35" t="s">
        <v>5592</v>
      </c>
      <c r="BT504" s="35"/>
    </row>
    <row r="505" spans="1:72">
      <c r="A505" s="29" t="s">
        <v>2113</v>
      </c>
      <c r="B505" s="30" t="s">
        <v>2114</v>
      </c>
      <c r="C505" s="31">
        <v>46300.648043981484</v>
      </c>
      <c r="D505" s="30">
        <v>92</v>
      </c>
      <c r="E505" s="30" t="s">
        <v>74</v>
      </c>
      <c r="F505" s="30" t="s">
        <v>75</v>
      </c>
      <c r="G505" s="30" t="s">
        <v>133</v>
      </c>
      <c r="H505" s="30" t="s">
        <v>77</v>
      </c>
      <c r="I505" s="30" t="s">
        <v>78</v>
      </c>
      <c r="J505" s="30" t="s">
        <v>79</v>
      </c>
      <c r="K505" s="32">
        <v>800</v>
      </c>
      <c r="L505" s="32" t="s">
        <v>80</v>
      </c>
      <c r="M505" s="30" t="s">
        <v>1055</v>
      </c>
      <c r="N505" s="30" t="s">
        <v>402</v>
      </c>
      <c r="O505" s="30" t="s">
        <v>83</v>
      </c>
      <c r="P505" s="33">
        <v>46252</v>
      </c>
      <c r="Q505" s="33">
        <v>46252</v>
      </c>
      <c r="R505" s="32">
        <v>1</v>
      </c>
      <c r="S505" s="30" t="s">
        <v>84</v>
      </c>
      <c r="T505" s="30" t="s">
        <v>337</v>
      </c>
      <c r="U505" s="30" t="s">
        <v>338</v>
      </c>
      <c r="V505" s="30" t="s">
        <v>87</v>
      </c>
      <c r="W505" s="30" t="s">
        <v>88</v>
      </c>
      <c r="X505" s="30" t="s">
        <v>197</v>
      </c>
      <c r="Y505" s="30" t="s">
        <v>1270</v>
      </c>
      <c r="AB505" s="30" t="b">
        <v>0</v>
      </c>
      <c r="AC505" s="30"/>
      <c r="AD505" s="30" t="b">
        <v>0</v>
      </c>
      <c r="AF505" s="30" t="b">
        <v>0</v>
      </c>
      <c r="AH505" s="32" t="s">
        <v>91</v>
      </c>
      <c r="AI505" s="32"/>
      <c r="AJ505" s="32"/>
      <c r="AK505" s="32"/>
      <c r="AL505" s="30" t="s">
        <v>92</v>
      </c>
      <c r="AM505" s="30" t="s">
        <v>93</v>
      </c>
      <c r="AN505" s="30" t="s">
        <v>199</v>
      </c>
      <c r="AO505" s="30" t="s">
        <v>200</v>
      </c>
      <c r="AP505" s="30" t="s">
        <v>201</v>
      </c>
      <c r="AQ505" s="30" t="s">
        <v>202</v>
      </c>
      <c r="AR505" s="30" t="s">
        <v>145</v>
      </c>
      <c r="AT505" s="30" t="s">
        <v>99</v>
      </c>
      <c r="AU505" s="30" t="s">
        <v>100</v>
      </c>
      <c r="AV505" s="30" t="s">
        <v>101</v>
      </c>
      <c r="AW505" s="30" t="s">
        <v>102</v>
      </c>
      <c r="AX505" s="34" t="s">
        <v>338</v>
      </c>
      <c r="AY505" s="34" t="s">
        <v>149</v>
      </c>
      <c r="AZ505" s="34" t="s">
        <v>149</v>
      </c>
      <c r="BA505" s="34"/>
      <c r="BB505" s="34"/>
      <c r="BC505" s="34">
        <v>0</v>
      </c>
      <c r="BD505" s="34"/>
      <c r="BE505" s="34"/>
      <c r="BF505" s="34" t="b">
        <v>0</v>
      </c>
      <c r="BG505" s="34"/>
      <c r="BH505" s="34"/>
      <c r="BI505" s="34"/>
      <c r="BJ505" s="34"/>
      <c r="BK505" s="34"/>
      <c r="BL505" s="34"/>
      <c r="BM505" s="34" t="s">
        <v>168</v>
      </c>
      <c r="BN505" s="34"/>
      <c r="BO505" s="35"/>
      <c r="BP505" s="35"/>
      <c r="BQ505" s="35" t="s">
        <v>108</v>
      </c>
      <c r="BR505" s="36" t="e">
        <f>VLOOKUP(BQ505, Cat_Indicadores!B:C, 2, FALSE)</f>
        <v>#N/A</v>
      </c>
      <c r="BS505" s="35" t="s">
        <v>5592</v>
      </c>
      <c r="BT505" s="35"/>
    </row>
    <row r="506" spans="1:72">
      <c r="A506" s="29" t="s">
        <v>2115</v>
      </c>
      <c r="B506" s="30" t="s">
        <v>2116</v>
      </c>
      <c r="C506" s="31">
        <v>46300.653009259258</v>
      </c>
      <c r="D506" s="30">
        <v>92</v>
      </c>
      <c r="E506" s="30" t="s">
        <v>74</v>
      </c>
      <c r="F506" s="30" t="s">
        <v>75</v>
      </c>
      <c r="G506" s="30" t="s">
        <v>133</v>
      </c>
      <c r="H506" s="30" t="s">
        <v>77</v>
      </c>
      <c r="I506" s="30" t="s">
        <v>78</v>
      </c>
      <c r="J506" s="30" t="s">
        <v>79</v>
      </c>
      <c r="K506" s="32">
        <v>800</v>
      </c>
      <c r="L506" s="32" t="s">
        <v>80</v>
      </c>
      <c r="M506" s="30" t="s">
        <v>1055</v>
      </c>
      <c r="N506" s="30" t="s">
        <v>402</v>
      </c>
      <c r="O506" s="30" t="s">
        <v>83</v>
      </c>
      <c r="P506" s="33">
        <v>46257</v>
      </c>
      <c r="Q506" s="33">
        <v>46257</v>
      </c>
      <c r="R506" s="32">
        <v>1</v>
      </c>
      <c r="S506" s="30" t="s">
        <v>84</v>
      </c>
      <c r="T506" s="30" t="s">
        <v>337</v>
      </c>
      <c r="U506" s="30" t="s">
        <v>338</v>
      </c>
      <c r="V506" s="30" t="s">
        <v>87</v>
      </c>
      <c r="W506" s="30" t="s">
        <v>88</v>
      </c>
      <c r="X506" s="30" t="s">
        <v>197</v>
      </c>
      <c r="Y506" s="30" t="s">
        <v>1270</v>
      </c>
      <c r="AB506" s="30" t="b">
        <v>0</v>
      </c>
      <c r="AC506" s="30"/>
      <c r="AD506" s="30" t="b">
        <v>0</v>
      </c>
      <c r="AF506" s="30" t="b">
        <v>0</v>
      </c>
      <c r="AH506" s="32" t="s">
        <v>91</v>
      </c>
      <c r="AI506" s="32"/>
      <c r="AJ506" s="32"/>
      <c r="AK506" s="32"/>
      <c r="AL506" s="30" t="s">
        <v>92</v>
      </c>
      <c r="AM506" s="30" t="s">
        <v>93</v>
      </c>
      <c r="AN506" s="30" t="s">
        <v>199</v>
      </c>
      <c r="AO506" s="30" t="s">
        <v>200</v>
      </c>
      <c r="AP506" s="30" t="s">
        <v>201</v>
      </c>
      <c r="AQ506" s="30" t="s">
        <v>202</v>
      </c>
      <c r="AR506" s="30" t="s">
        <v>145</v>
      </c>
      <c r="AT506" s="30" t="s">
        <v>99</v>
      </c>
      <c r="AU506" s="30" t="s">
        <v>100</v>
      </c>
      <c r="AV506" s="30" t="s">
        <v>101</v>
      </c>
      <c r="AW506" s="30" t="s">
        <v>102</v>
      </c>
      <c r="AX506" s="34" t="s">
        <v>338</v>
      </c>
      <c r="AY506" s="34" t="s">
        <v>149</v>
      </c>
      <c r="AZ506" s="34" t="s">
        <v>149</v>
      </c>
      <c r="BA506" s="34"/>
      <c r="BB506" s="34"/>
      <c r="BC506" s="34">
        <v>0</v>
      </c>
      <c r="BD506" s="34"/>
      <c r="BE506" s="34"/>
      <c r="BF506" s="34" t="b">
        <v>0</v>
      </c>
      <c r="BG506" s="34"/>
      <c r="BH506" s="34"/>
      <c r="BI506" s="34"/>
      <c r="BJ506" s="34"/>
      <c r="BK506" s="34"/>
      <c r="BL506" s="34"/>
      <c r="BM506" s="34" t="s">
        <v>168</v>
      </c>
      <c r="BN506" s="34"/>
      <c r="BO506" s="35"/>
      <c r="BP506" s="35"/>
      <c r="BQ506" s="35" t="s">
        <v>108</v>
      </c>
      <c r="BR506" s="36" t="e">
        <f>VLOOKUP(BQ506, Cat_Indicadores!B:C, 2, FALSE)</f>
        <v>#N/A</v>
      </c>
      <c r="BS506" s="35" t="s">
        <v>5592</v>
      </c>
      <c r="BT506" s="35"/>
    </row>
    <row r="507" spans="1:72">
      <c r="A507" s="29" t="s">
        <v>2117</v>
      </c>
      <c r="B507" s="30" t="s">
        <v>2118</v>
      </c>
      <c r="C507" s="31">
        <v>46300.654247685183</v>
      </c>
      <c r="D507" s="30">
        <v>92</v>
      </c>
      <c r="E507" s="30" t="s">
        <v>74</v>
      </c>
      <c r="F507" s="30" t="s">
        <v>75</v>
      </c>
      <c r="G507" s="30" t="s">
        <v>133</v>
      </c>
      <c r="H507" s="30" t="s">
        <v>77</v>
      </c>
      <c r="I507" s="30" t="s">
        <v>78</v>
      </c>
      <c r="J507" s="30" t="s">
        <v>79</v>
      </c>
      <c r="K507" s="32">
        <v>800</v>
      </c>
      <c r="L507" s="32" t="s">
        <v>80</v>
      </c>
      <c r="M507" s="30" t="s">
        <v>1055</v>
      </c>
      <c r="N507" s="30" t="s">
        <v>402</v>
      </c>
      <c r="O507" s="30" t="s">
        <v>83</v>
      </c>
      <c r="P507" s="33">
        <v>46257</v>
      </c>
      <c r="Q507" s="33">
        <v>46257</v>
      </c>
      <c r="R507" s="32">
        <v>1</v>
      </c>
      <c r="S507" s="30" t="s">
        <v>84</v>
      </c>
      <c r="T507" s="30" t="s">
        <v>337</v>
      </c>
      <c r="U507" s="30" t="s">
        <v>338</v>
      </c>
      <c r="V507" s="30" t="s">
        <v>87</v>
      </c>
      <c r="W507" s="30" t="s">
        <v>88</v>
      </c>
      <c r="X507" s="30" t="s">
        <v>197</v>
      </c>
      <c r="Y507" s="30" t="s">
        <v>1270</v>
      </c>
      <c r="AB507" s="30" t="b">
        <v>0</v>
      </c>
      <c r="AC507" s="30"/>
      <c r="AD507" s="30" t="b">
        <v>0</v>
      </c>
      <c r="AF507" s="30" t="b">
        <v>0</v>
      </c>
      <c r="AH507" s="32" t="s">
        <v>91</v>
      </c>
      <c r="AI507" s="32"/>
      <c r="AJ507" s="32"/>
      <c r="AK507" s="32"/>
      <c r="AL507" s="30" t="s">
        <v>92</v>
      </c>
      <c r="AM507" s="30" t="s">
        <v>93</v>
      </c>
      <c r="AN507" s="30" t="s">
        <v>199</v>
      </c>
      <c r="AO507" s="30" t="s">
        <v>200</v>
      </c>
      <c r="AP507" s="30" t="s">
        <v>201</v>
      </c>
      <c r="AQ507" s="30" t="s">
        <v>202</v>
      </c>
      <c r="AR507" s="30" t="s">
        <v>145</v>
      </c>
      <c r="AT507" s="30" t="s">
        <v>99</v>
      </c>
      <c r="AU507" s="30" t="s">
        <v>100</v>
      </c>
      <c r="AV507" s="30" t="s">
        <v>101</v>
      </c>
      <c r="AW507" s="30" t="s">
        <v>102</v>
      </c>
      <c r="AX507" s="34" t="s">
        <v>338</v>
      </c>
      <c r="AY507" s="34" t="s">
        <v>149</v>
      </c>
      <c r="AZ507" s="34" t="s">
        <v>149</v>
      </c>
      <c r="BA507" s="34"/>
      <c r="BB507" s="34"/>
      <c r="BC507" s="34">
        <v>0</v>
      </c>
      <c r="BD507" s="34"/>
      <c r="BE507" s="34"/>
      <c r="BF507" s="34" t="b">
        <v>0</v>
      </c>
      <c r="BG507" s="34"/>
      <c r="BH507" s="34"/>
      <c r="BI507" s="34"/>
      <c r="BJ507" s="34"/>
      <c r="BK507" s="34"/>
      <c r="BL507" s="34"/>
      <c r="BM507" s="34" t="s">
        <v>168</v>
      </c>
      <c r="BN507" s="34"/>
      <c r="BO507" s="35"/>
      <c r="BP507" s="35"/>
      <c r="BQ507" s="35" t="s">
        <v>108</v>
      </c>
      <c r="BR507" s="36" t="e">
        <f>VLOOKUP(BQ507, Cat_Indicadores!B:C, 2, FALSE)</f>
        <v>#N/A</v>
      </c>
      <c r="BS507" s="35" t="s">
        <v>5592</v>
      </c>
      <c r="BT507" s="35"/>
    </row>
    <row r="508" spans="1:72">
      <c r="A508" s="29" t="s">
        <v>2119</v>
      </c>
      <c r="B508" s="30" t="s">
        <v>2120</v>
      </c>
      <c r="C508" s="31">
        <v>46300.655787037038</v>
      </c>
      <c r="D508" s="30">
        <v>92</v>
      </c>
      <c r="E508" s="30" t="s">
        <v>74</v>
      </c>
      <c r="F508" s="30" t="s">
        <v>75</v>
      </c>
      <c r="G508" s="30" t="s">
        <v>133</v>
      </c>
      <c r="H508" s="30" t="s">
        <v>77</v>
      </c>
      <c r="I508" s="30" t="s">
        <v>78</v>
      </c>
      <c r="J508" s="30" t="s">
        <v>79</v>
      </c>
      <c r="K508" s="32">
        <v>800</v>
      </c>
      <c r="L508" s="32" t="s">
        <v>80</v>
      </c>
      <c r="M508" s="30" t="s">
        <v>1055</v>
      </c>
      <c r="N508" s="30" t="s">
        <v>402</v>
      </c>
      <c r="O508" s="30" t="s">
        <v>83</v>
      </c>
      <c r="P508" s="33">
        <v>46259</v>
      </c>
      <c r="Q508" s="33">
        <v>46259</v>
      </c>
      <c r="R508" s="32">
        <v>1</v>
      </c>
      <c r="S508" s="30" t="s">
        <v>84</v>
      </c>
      <c r="T508" s="30" t="s">
        <v>337</v>
      </c>
      <c r="U508" s="30" t="s">
        <v>338</v>
      </c>
      <c r="V508" s="30" t="s">
        <v>87</v>
      </c>
      <c r="W508" s="30" t="s">
        <v>88</v>
      </c>
      <c r="X508" s="30" t="s">
        <v>197</v>
      </c>
      <c r="Y508" s="30" t="s">
        <v>1270</v>
      </c>
      <c r="AB508" s="30" t="b">
        <v>0</v>
      </c>
      <c r="AC508" s="30"/>
      <c r="AD508" s="30" t="b">
        <v>0</v>
      </c>
      <c r="AF508" s="30" t="b">
        <v>0</v>
      </c>
      <c r="AH508" s="32" t="s">
        <v>91</v>
      </c>
      <c r="AI508" s="32"/>
      <c r="AJ508" s="32"/>
      <c r="AK508" s="32"/>
      <c r="AL508" s="30" t="s">
        <v>92</v>
      </c>
      <c r="AM508" s="30" t="s">
        <v>93</v>
      </c>
      <c r="AN508" s="30" t="s">
        <v>199</v>
      </c>
      <c r="AO508" s="30" t="s">
        <v>200</v>
      </c>
      <c r="AP508" s="30" t="s">
        <v>201</v>
      </c>
      <c r="AQ508" s="30" t="s">
        <v>202</v>
      </c>
      <c r="AR508" s="30" t="s">
        <v>145</v>
      </c>
      <c r="AT508" s="30" t="s">
        <v>99</v>
      </c>
      <c r="AU508" s="30" t="s">
        <v>100</v>
      </c>
      <c r="AV508" s="30" t="s">
        <v>101</v>
      </c>
      <c r="AW508" s="30" t="s">
        <v>102</v>
      </c>
      <c r="AX508" s="34" t="s">
        <v>338</v>
      </c>
      <c r="AY508" s="34" t="s">
        <v>149</v>
      </c>
      <c r="AZ508" s="34" t="s">
        <v>149</v>
      </c>
      <c r="BA508" s="34"/>
      <c r="BB508" s="34"/>
      <c r="BC508" s="34">
        <v>0</v>
      </c>
      <c r="BD508" s="34"/>
      <c r="BE508" s="34"/>
      <c r="BF508" s="34" t="b">
        <v>0</v>
      </c>
      <c r="BG508" s="34"/>
      <c r="BH508" s="34"/>
      <c r="BI508" s="34"/>
      <c r="BJ508" s="34"/>
      <c r="BK508" s="34"/>
      <c r="BL508" s="34"/>
      <c r="BM508" s="34" t="s">
        <v>168</v>
      </c>
      <c r="BN508" s="34"/>
      <c r="BO508" s="35"/>
      <c r="BP508" s="35"/>
      <c r="BQ508" s="35" t="s">
        <v>108</v>
      </c>
      <c r="BR508" s="36" t="e">
        <f>VLOOKUP(BQ508, Cat_Indicadores!B:C, 2, FALSE)</f>
        <v>#N/A</v>
      </c>
      <c r="BS508" s="35" t="s">
        <v>5592</v>
      </c>
      <c r="BT508" s="35"/>
    </row>
    <row r="509" spans="1:72">
      <c r="A509" s="29" t="s">
        <v>2121</v>
      </c>
      <c r="B509" s="30" t="s">
        <v>2122</v>
      </c>
      <c r="C509" s="31">
        <v>46300.657094907408</v>
      </c>
      <c r="D509" s="30">
        <v>92</v>
      </c>
      <c r="E509" s="30" t="s">
        <v>74</v>
      </c>
      <c r="F509" s="30" t="s">
        <v>75</v>
      </c>
      <c r="G509" s="30" t="s">
        <v>133</v>
      </c>
      <c r="H509" s="30" t="s">
        <v>77</v>
      </c>
      <c r="I509" s="30" t="s">
        <v>78</v>
      </c>
      <c r="J509" s="30" t="s">
        <v>79</v>
      </c>
      <c r="K509" s="32">
        <v>800</v>
      </c>
      <c r="L509" s="32" t="s">
        <v>80</v>
      </c>
      <c r="M509" s="30" t="s">
        <v>1055</v>
      </c>
      <c r="N509" s="30" t="s">
        <v>402</v>
      </c>
      <c r="O509" s="30" t="s">
        <v>83</v>
      </c>
      <c r="P509" s="33">
        <v>46259</v>
      </c>
      <c r="Q509" s="33">
        <v>46259</v>
      </c>
      <c r="R509" s="32">
        <v>1</v>
      </c>
      <c r="S509" s="30" t="s">
        <v>84</v>
      </c>
      <c r="T509" s="30" t="s">
        <v>337</v>
      </c>
      <c r="U509" s="30" t="s">
        <v>338</v>
      </c>
      <c r="V509" s="30" t="s">
        <v>87</v>
      </c>
      <c r="W509" s="30" t="s">
        <v>88</v>
      </c>
      <c r="X509" s="30" t="s">
        <v>197</v>
      </c>
      <c r="Y509" s="30" t="s">
        <v>1270</v>
      </c>
      <c r="AB509" s="30" t="b">
        <v>0</v>
      </c>
      <c r="AC509" s="30"/>
      <c r="AD509" s="30" t="b">
        <v>0</v>
      </c>
      <c r="AF509" s="30" t="b">
        <v>0</v>
      </c>
      <c r="AH509" s="32" t="s">
        <v>91</v>
      </c>
      <c r="AI509" s="32"/>
      <c r="AJ509" s="32"/>
      <c r="AK509" s="32"/>
      <c r="AL509" s="30" t="s">
        <v>92</v>
      </c>
      <c r="AM509" s="30" t="s">
        <v>93</v>
      </c>
      <c r="AN509" s="30" t="s">
        <v>199</v>
      </c>
      <c r="AO509" s="30" t="s">
        <v>200</v>
      </c>
      <c r="AP509" s="30" t="s">
        <v>201</v>
      </c>
      <c r="AQ509" s="30" t="s">
        <v>202</v>
      </c>
      <c r="AR509" s="30" t="s">
        <v>145</v>
      </c>
      <c r="AT509" s="30" t="s">
        <v>99</v>
      </c>
      <c r="AU509" s="30" t="s">
        <v>100</v>
      </c>
      <c r="AV509" s="30" t="s">
        <v>101</v>
      </c>
      <c r="AW509" s="30" t="s">
        <v>102</v>
      </c>
      <c r="AX509" s="34" t="s">
        <v>338</v>
      </c>
      <c r="AY509" s="34" t="s">
        <v>149</v>
      </c>
      <c r="AZ509" s="34" t="s">
        <v>149</v>
      </c>
      <c r="BA509" s="34"/>
      <c r="BB509" s="34"/>
      <c r="BC509" s="34">
        <v>0</v>
      </c>
      <c r="BD509" s="34"/>
      <c r="BE509" s="34"/>
      <c r="BF509" s="34" t="b">
        <v>0</v>
      </c>
      <c r="BG509" s="34"/>
      <c r="BH509" s="34"/>
      <c r="BI509" s="34"/>
      <c r="BJ509" s="34"/>
      <c r="BK509" s="34"/>
      <c r="BL509" s="34"/>
      <c r="BM509" s="34" t="s">
        <v>168</v>
      </c>
      <c r="BN509" s="34"/>
      <c r="BO509" s="35"/>
      <c r="BP509" s="35"/>
      <c r="BQ509" s="35" t="s">
        <v>108</v>
      </c>
      <c r="BR509" s="36" t="e">
        <f>VLOOKUP(BQ509, Cat_Indicadores!B:C, 2, FALSE)</f>
        <v>#N/A</v>
      </c>
      <c r="BS509" s="35" t="s">
        <v>5592</v>
      </c>
      <c r="BT509" s="35"/>
    </row>
    <row r="510" spans="1:72">
      <c r="A510" s="29" t="s">
        <v>2123</v>
      </c>
      <c r="B510" s="30" t="s">
        <v>2124</v>
      </c>
      <c r="C510" s="31">
        <v>46300.664618055554</v>
      </c>
      <c r="D510" s="30">
        <v>92</v>
      </c>
      <c r="E510" s="30" t="s">
        <v>74</v>
      </c>
      <c r="F510" s="30" t="s">
        <v>75</v>
      </c>
      <c r="G510" s="30" t="s">
        <v>133</v>
      </c>
      <c r="H510" s="30" t="s">
        <v>77</v>
      </c>
      <c r="I510" s="30" t="s">
        <v>78</v>
      </c>
      <c r="J510" s="30" t="s">
        <v>79</v>
      </c>
      <c r="K510" s="32">
        <v>800</v>
      </c>
      <c r="L510" s="32" t="s">
        <v>80</v>
      </c>
      <c r="M510" s="30" t="s">
        <v>1055</v>
      </c>
      <c r="N510" s="30" t="s">
        <v>402</v>
      </c>
      <c r="O510" s="30" t="s">
        <v>83</v>
      </c>
      <c r="P510" s="33">
        <v>46260</v>
      </c>
      <c r="Q510" s="33">
        <v>46260</v>
      </c>
      <c r="R510" s="32">
        <v>1</v>
      </c>
      <c r="S510" s="30" t="s">
        <v>84</v>
      </c>
      <c r="T510" s="30" t="s">
        <v>337</v>
      </c>
      <c r="U510" s="30" t="s">
        <v>338</v>
      </c>
      <c r="V510" s="30" t="s">
        <v>87</v>
      </c>
      <c r="W510" s="30" t="s">
        <v>88</v>
      </c>
      <c r="X510" s="30" t="s">
        <v>197</v>
      </c>
      <c r="Y510" s="30" t="s">
        <v>1270</v>
      </c>
      <c r="AB510" s="30" t="b">
        <v>0</v>
      </c>
      <c r="AC510" s="30"/>
      <c r="AD510" s="30" t="b">
        <v>0</v>
      </c>
      <c r="AF510" s="30" t="b">
        <v>0</v>
      </c>
      <c r="AH510" s="32" t="s">
        <v>91</v>
      </c>
      <c r="AI510" s="32"/>
      <c r="AJ510" s="32"/>
      <c r="AK510" s="32"/>
      <c r="AL510" s="30" t="s">
        <v>92</v>
      </c>
      <c r="AM510" s="30" t="s">
        <v>93</v>
      </c>
      <c r="AN510" s="30" t="s">
        <v>199</v>
      </c>
      <c r="AO510" s="30" t="s">
        <v>200</v>
      </c>
      <c r="AP510" s="30" t="s">
        <v>201</v>
      </c>
      <c r="AQ510" s="30" t="s">
        <v>202</v>
      </c>
      <c r="AR510" s="30" t="s">
        <v>145</v>
      </c>
      <c r="AT510" s="30" t="s">
        <v>99</v>
      </c>
      <c r="AU510" s="30" t="s">
        <v>100</v>
      </c>
      <c r="AV510" s="30" t="s">
        <v>101</v>
      </c>
      <c r="AW510" s="30" t="s">
        <v>102</v>
      </c>
      <c r="AX510" s="34" t="s">
        <v>338</v>
      </c>
      <c r="AY510" s="34" t="s">
        <v>149</v>
      </c>
      <c r="AZ510" s="34" t="s">
        <v>149</v>
      </c>
      <c r="BA510" s="34"/>
      <c r="BB510" s="34"/>
      <c r="BC510" s="34">
        <v>0</v>
      </c>
      <c r="BD510" s="34"/>
      <c r="BE510" s="34"/>
      <c r="BF510" s="34" t="b">
        <v>0</v>
      </c>
      <c r="BG510" s="34"/>
      <c r="BH510" s="34"/>
      <c r="BI510" s="34"/>
      <c r="BJ510" s="34"/>
      <c r="BK510" s="34"/>
      <c r="BL510" s="34"/>
      <c r="BM510" s="34" t="s">
        <v>168</v>
      </c>
      <c r="BN510" s="34"/>
      <c r="BO510" s="35"/>
      <c r="BP510" s="35"/>
      <c r="BQ510" s="35" t="s">
        <v>108</v>
      </c>
      <c r="BR510" s="36" t="e">
        <f>VLOOKUP(BQ510, Cat_Indicadores!B:C, 2, FALSE)</f>
        <v>#N/A</v>
      </c>
      <c r="BS510" s="35" t="s">
        <v>5592</v>
      </c>
      <c r="BT510" s="35"/>
    </row>
    <row r="511" spans="1:72">
      <c r="A511" s="29" t="s">
        <v>2125</v>
      </c>
      <c r="B511" s="30" t="s">
        <v>2126</v>
      </c>
      <c r="C511" s="31">
        <v>46300.667175925926</v>
      </c>
      <c r="D511" s="30">
        <v>92</v>
      </c>
      <c r="E511" s="30" t="s">
        <v>74</v>
      </c>
      <c r="F511" s="30" t="s">
        <v>75</v>
      </c>
      <c r="G511" s="30" t="s">
        <v>133</v>
      </c>
      <c r="H511" s="30" t="s">
        <v>77</v>
      </c>
      <c r="I511" s="30" t="s">
        <v>78</v>
      </c>
      <c r="J511" s="30" t="s">
        <v>79</v>
      </c>
      <c r="K511" s="32">
        <v>800</v>
      </c>
      <c r="L511" s="32" t="s">
        <v>80</v>
      </c>
      <c r="M511" s="30" t="s">
        <v>1055</v>
      </c>
      <c r="N511" s="30" t="s">
        <v>402</v>
      </c>
      <c r="O511" s="30" t="s">
        <v>83</v>
      </c>
      <c r="P511" s="33">
        <v>46262</v>
      </c>
      <c r="Q511" s="33">
        <v>46262</v>
      </c>
      <c r="R511" s="32">
        <v>1</v>
      </c>
      <c r="S511" s="30" t="s">
        <v>84</v>
      </c>
      <c r="T511" s="30" t="s">
        <v>337</v>
      </c>
      <c r="U511" s="30" t="s">
        <v>338</v>
      </c>
      <c r="V511" s="30" t="s">
        <v>87</v>
      </c>
      <c r="W511" s="30" t="s">
        <v>88</v>
      </c>
      <c r="X511" s="30" t="s">
        <v>197</v>
      </c>
      <c r="Y511" s="30" t="s">
        <v>1270</v>
      </c>
      <c r="AB511" s="30" t="b">
        <v>0</v>
      </c>
      <c r="AC511" s="30"/>
      <c r="AD511" s="30" t="b">
        <v>0</v>
      </c>
      <c r="AF511" s="30" t="b">
        <v>0</v>
      </c>
      <c r="AH511" s="32" t="s">
        <v>91</v>
      </c>
      <c r="AI511" s="32"/>
      <c r="AJ511" s="32"/>
      <c r="AK511" s="32"/>
      <c r="AL511" s="30" t="s">
        <v>92</v>
      </c>
      <c r="AM511" s="30" t="s">
        <v>93</v>
      </c>
      <c r="AN511" s="30" t="s">
        <v>199</v>
      </c>
      <c r="AO511" s="30" t="s">
        <v>200</v>
      </c>
      <c r="AP511" s="30" t="s">
        <v>201</v>
      </c>
      <c r="AQ511" s="30" t="s">
        <v>202</v>
      </c>
      <c r="AR511" s="30" t="s">
        <v>145</v>
      </c>
      <c r="AT511" s="30" t="s">
        <v>99</v>
      </c>
      <c r="AU511" s="30" t="s">
        <v>100</v>
      </c>
      <c r="AV511" s="30" t="s">
        <v>101</v>
      </c>
      <c r="AW511" s="30" t="s">
        <v>102</v>
      </c>
      <c r="AX511" s="34" t="s">
        <v>338</v>
      </c>
      <c r="AY511" s="34" t="s">
        <v>149</v>
      </c>
      <c r="AZ511" s="34" t="s">
        <v>149</v>
      </c>
      <c r="BA511" s="34"/>
      <c r="BB511" s="34"/>
      <c r="BC511" s="34">
        <v>0</v>
      </c>
      <c r="BD511" s="34"/>
      <c r="BE511" s="34"/>
      <c r="BF511" s="34" t="b">
        <v>0</v>
      </c>
      <c r="BG511" s="34"/>
      <c r="BH511" s="34"/>
      <c r="BI511" s="34"/>
      <c r="BJ511" s="34"/>
      <c r="BK511" s="34"/>
      <c r="BL511" s="34"/>
      <c r="BM511" s="34" t="s">
        <v>168</v>
      </c>
      <c r="BN511" s="34"/>
      <c r="BO511" s="35"/>
      <c r="BP511" s="35"/>
      <c r="BQ511" s="35" t="s">
        <v>108</v>
      </c>
      <c r="BR511" s="36" t="e">
        <f>VLOOKUP(BQ511, Cat_Indicadores!B:C, 2, FALSE)</f>
        <v>#N/A</v>
      </c>
      <c r="BS511" s="35" t="s">
        <v>5592</v>
      </c>
      <c r="BT511" s="35"/>
    </row>
    <row r="512" spans="1:72">
      <c r="A512" s="29" t="s">
        <v>2127</v>
      </c>
      <c r="B512" s="30" t="s">
        <v>2128</v>
      </c>
      <c r="C512" s="31">
        <v>46300.699907407405</v>
      </c>
      <c r="D512" s="30">
        <v>29</v>
      </c>
      <c r="E512" s="30" t="s">
        <v>1745</v>
      </c>
      <c r="F512" s="30" t="s">
        <v>1746</v>
      </c>
      <c r="G512" s="30" t="s">
        <v>1747</v>
      </c>
      <c r="H512" s="30" t="s">
        <v>1392</v>
      </c>
      <c r="I512" s="30" t="s">
        <v>1714</v>
      </c>
      <c r="J512" s="30" t="s">
        <v>1748</v>
      </c>
      <c r="K512" s="32">
        <v>16</v>
      </c>
      <c r="L512" s="32" t="s">
        <v>80</v>
      </c>
      <c r="M512" s="30" t="s">
        <v>2129</v>
      </c>
      <c r="N512" s="30" t="s">
        <v>2130</v>
      </c>
      <c r="O512" s="30" t="s">
        <v>1371</v>
      </c>
      <c r="P512" s="33">
        <v>46146</v>
      </c>
      <c r="Q512" s="33">
        <v>46157</v>
      </c>
      <c r="R512" s="32">
        <v>11</v>
      </c>
      <c r="S512" s="30" t="s">
        <v>264</v>
      </c>
      <c r="T512" s="30" t="s">
        <v>772</v>
      </c>
      <c r="U512" s="30" t="s">
        <v>86</v>
      </c>
      <c r="V512" s="30" t="s">
        <v>87</v>
      </c>
      <c r="W512" s="30" t="s">
        <v>1374</v>
      </c>
      <c r="X512" s="30" t="s">
        <v>1770</v>
      </c>
      <c r="AB512" s="30" t="b">
        <v>0</v>
      </c>
      <c r="AC512" s="30"/>
      <c r="AD512" s="30" t="b">
        <v>0</v>
      </c>
      <c r="AF512" s="30" t="b">
        <v>0</v>
      </c>
      <c r="AH512" s="32" t="s">
        <v>91</v>
      </c>
      <c r="AI512" s="32"/>
      <c r="AJ512" s="32"/>
      <c r="AK512" s="32"/>
      <c r="AL512" s="30" t="s">
        <v>1720</v>
      </c>
      <c r="AM512" s="30" t="s">
        <v>1739</v>
      </c>
      <c r="AN512" s="30" t="s">
        <v>199</v>
      </c>
      <c r="AO512" s="30" t="s">
        <v>200</v>
      </c>
      <c r="AP512" s="30" t="s">
        <v>201</v>
      </c>
      <c r="AQ512" s="30" t="s">
        <v>202</v>
      </c>
      <c r="AR512" s="30" t="s">
        <v>97</v>
      </c>
      <c r="AS512" s="30" t="s">
        <v>98</v>
      </c>
      <c r="AT512" s="30" t="s">
        <v>275</v>
      </c>
      <c r="AU512" s="30" t="s">
        <v>276</v>
      </c>
      <c r="AV512" s="30" t="s">
        <v>1740</v>
      </c>
      <c r="AW512" s="30" t="s">
        <v>278</v>
      </c>
      <c r="AX512" s="34" t="s">
        <v>86</v>
      </c>
      <c r="AY512" s="34" t="s">
        <v>149</v>
      </c>
      <c r="AZ512" s="34" t="s">
        <v>149</v>
      </c>
      <c r="BA512" s="34" t="s">
        <v>2130</v>
      </c>
      <c r="BB512" s="34">
        <v>5</v>
      </c>
      <c r="BC512" s="34">
        <v>1</v>
      </c>
      <c r="BD512" s="34" t="s">
        <v>1365</v>
      </c>
      <c r="BE512" s="34" t="s">
        <v>2131</v>
      </c>
      <c r="BF512" s="34" t="b">
        <v>0</v>
      </c>
      <c r="BG512" s="34"/>
      <c r="BH512" s="34"/>
      <c r="BI512" s="34"/>
      <c r="BJ512" s="34"/>
      <c r="BK512" s="34"/>
      <c r="BL512" s="34"/>
      <c r="BM512" s="34" t="s">
        <v>168</v>
      </c>
      <c r="BN512" s="34"/>
      <c r="BO512" s="35"/>
      <c r="BP512" s="35"/>
      <c r="BQ512" s="35" t="s">
        <v>108</v>
      </c>
      <c r="BR512" s="36" t="e">
        <f>VLOOKUP(BQ512, Cat_Indicadores!B:C, 2, FALSE)</f>
        <v>#N/A</v>
      </c>
      <c r="BS512" s="35" t="s">
        <v>5592</v>
      </c>
      <c r="BT512" s="35"/>
    </row>
    <row r="513" spans="1:72">
      <c r="A513" s="29" t="s">
        <v>2132</v>
      </c>
      <c r="B513" s="30" t="s">
        <v>2133</v>
      </c>
      <c r="C513" s="31">
        <v>46300.706238425926</v>
      </c>
      <c r="D513" s="30">
        <v>92</v>
      </c>
      <c r="E513" s="30" t="s">
        <v>74</v>
      </c>
      <c r="F513" s="30" t="s">
        <v>75</v>
      </c>
      <c r="G513" s="30" t="s">
        <v>133</v>
      </c>
      <c r="H513" s="30" t="s">
        <v>77</v>
      </c>
      <c r="I513" s="30" t="s">
        <v>78</v>
      </c>
      <c r="J513" s="30" t="s">
        <v>79</v>
      </c>
      <c r="K513" s="32">
        <v>800</v>
      </c>
      <c r="L513" s="32" t="s">
        <v>80</v>
      </c>
      <c r="M513" s="30" t="s">
        <v>1055</v>
      </c>
      <c r="N513" s="30" t="s">
        <v>402</v>
      </c>
      <c r="O513" s="30" t="s">
        <v>83</v>
      </c>
      <c r="P513" s="33">
        <v>46262</v>
      </c>
      <c r="Q513" s="33">
        <v>46262</v>
      </c>
      <c r="R513" s="32">
        <v>1</v>
      </c>
      <c r="S513" s="30" t="s">
        <v>84</v>
      </c>
      <c r="T513" s="30" t="s">
        <v>337</v>
      </c>
      <c r="U513" s="30" t="s">
        <v>338</v>
      </c>
      <c r="V513" s="30" t="s">
        <v>87</v>
      </c>
      <c r="W513" s="30" t="s">
        <v>88</v>
      </c>
      <c r="X513" s="30" t="s">
        <v>197</v>
      </c>
      <c r="Y513" s="30" t="s">
        <v>1270</v>
      </c>
      <c r="AB513" s="30" t="b">
        <v>0</v>
      </c>
      <c r="AC513" s="30"/>
      <c r="AD513" s="30" t="b">
        <v>0</v>
      </c>
      <c r="AF513" s="30" t="b">
        <v>0</v>
      </c>
      <c r="AH513" s="32" t="s">
        <v>91</v>
      </c>
      <c r="AI513" s="32"/>
      <c r="AJ513" s="32"/>
      <c r="AK513" s="32"/>
      <c r="AL513" s="30" t="s">
        <v>92</v>
      </c>
      <c r="AM513" s="30" t="s">
        <v>93</v>
      </c>
      <c r="AN513" s="30" t="s">
        <v>199</v>
      </c>
      <c r="AO513" s="30" t="s">
        <v>200</v>
      </c>
      <c r="AP513" s="30" t="s">
        <v>201</v>
      </c>
      <c r="AQ513" s="30" t="s">
        <v>202</v>
      </c>
      <c r="AR513" s="30" t="s">
        <v>145</v>
      </c>
      <c r="AT513" s="30" t="s">
        <v>99</v>
      </c>
      <c r="AU513" s="30" t="s">
        <v>100</v>
      </c>
      <c r="AV513" s="30" t="s">
        <v>101</v>
      </c>
      <c r="AW513" s="30" t="s">
        <v>102</v>
      </c>
      <c r="AX513" s="34" t="s">
        <v>338</v>
      </c>
      <c r="AY513" s="34" t="s">
        <v>149</v>
      </c>
      <c r="AZ513" s="34" t="s">
        <v>149</v>
      </c>
      <c r="BA513" s="34"/>
      <c r="BB513" s="34"/>
      <c r="BC513" s="34">
        <v>0</v>
      </c>
      <c r="BD513" s="34"/>
      <c r="BE513" s="34"/>
      <c r="BF513" s="34" t="b">
        <v>0</v>
      </c>
      <c r="BG513" s="34"/>
      <c r="BH513" s="34"/>
      <c r="BI513" s="34"/>
      <c r="BJ513" s="34"/>
      <c r="BK513" s="34"/>
      <c r="BL513" s="34"/>
      <c r="BM513" s="34" t="s">
        <v>168</v>
      </c>
      <c r="BN513" s="34"/>
      <c r="BO513" s="35"/>
      <c r="BP513" s="35"/>
      <c r="BQ513" s="35" t="s">
        <v>108</v>
      </c>
      <c r="BR513" s="36" t="e">
        <f>VLOOKUP(BQ513, Cat_Indicadores!B:C, 2, FALSE)</f>
        <v>#N/A</v>
      </c>
      <c r="BS513" s="35" t="s">
        <v>5592</v>
      </c>
      <c r="BT513" s="35"/>
    </row>
    <row r="514" spans="1:72">
      <c r="A514" s="29" t="s">
        <v>2134</v>
      </c>
      <c r="B514" s="30" t="s">
        <v>2135</v>
      </c>
      <c r="C514" s="31">
        <v>46300.708067129628</v>
      </c>
      <c r="D514" s="30">
        <v>92</v>
      </c>
      <c r="E514" s="30" t="s">
        <v>74</v>
      </c>
      <c r="F514" s="30" t="s">
        <v>75</v>
      </c>
      <c r="G514" s="30" t="s">
        <v>133</v>
      </c>
      <c r="H514" s="30" t="s">
        <v>77</v>
      </c>
      <c r="I514" s="30" t="s">
        <v>78</v>
      </c>
      <c r="J514" s="30" t="s">
        <v>79</v>
      </c>
      <c r="K514" s="32">
        <v>800</v>
      </c>
      <c r="L514" s="32" t="s">
        <v>80</v>
      </c>
      <c r="M514" s="30" t="s">
        <v>1055</v>
      </c>
      <c r="N514" s="30" t="s">
        <v>402</v>
      </c>
      <c r="O514" s="30" t="s">
        <v>83</v>
      </c>
      <c r="P514" s="33">
        <v>46262</v>
      </c>
      <c r="Q514" s="33">
        <v>46262</v>
      </c>
      <c r="R514" s="32">
        <v>1</v>
      </c>
      <c r="S514" s="30" t="s">
        <v>84</v>
      </c>
      <c r="T514" s="30" t="s">
        <v>337</v>
      </c>
      <c r="U514" s="30" t="s">
        <v>338</v>
      </c>
      <c r="V514" s="30" t="s">
        <v>87</v>
      </c>
      <c r="W514" s="30" t="s">
        <v>88</v>
      </c>
      <c r="X514" s="30" t="s">
        <v>197</v>
      </c>
      <c r="Y514" s="30" t="s">
        <v>1270</v>
      </c>
      <c r="AB514" s="30" t="b">
        <v>0</v>
      </c>
      <c r="AC514" s="30"/>
      <c r="AD514" s="30" t="b">
        <v>0</v>
      </c>
      <c r="AF514" s="30" t="b">
        <v>0</v>
      </c>
      <c r="AH514" s="32" t="s">
        <v>91</v>
      </c>
      <c r="AI514" s="32"/>
      <c r="AJ514" s="32"/>
      <c r="AK514" s="32"/>
      <c r="AL514" s="30" t="s">
        <v>92</v>
      </c>
      <c r="AM514" s="30" t="s">
        <v>93</v>
      </c>
      <c r="AN514" s="30" t="s">
        <v>199</v>
      </c>
      <c r="AO514" s="30" t="s">
        <v>200</v>
      </c>
      <c r="AP514" s="30" t="s">
        <v>201</v>
      </c>
      <c r="AQ514" s="30" t="s">
        <v>202</v>
      </c>
      <c r="AR514" s="30" t="s">
        <v>145</v>
      </c>
      <c r="AT514" s="30" t="s">
        <v>99</v>
      </c>
      <c r="AU514" s="30" t="s">
        <v>100</v>
      </c>
      <c r="AV514" s="30" t="s">
        <v>101</v>
      </c>
      <c r="AW514" s="30" t="s">
        <v>102</v>
      </c>
      <c r="AX514" s="34" t="s">
        <v>338</v>
      </c>
      <c r="AY514" s="34" t="s">
        <v>149</v>
      </c>
      <c r="AZ514" s="34" t="s">
        <v>149</v>
      </c>
      <c r="BA514" s="34"/>
      <c r="BB514" s="34"/>
      <c r="BC514" s="34">
        <v>0</v>
      </c>
      <c r="BD514" s="34"/>
      <c r="BE514" s="34"/>
      <c r="BF514" s="34" t="b">
        <v>0</v>
      </c>
      <c r="BG514" s="34"/>
      <c r="BH514" s="34"/>
      <c r="BI514" s="34"/>
      <c r="BJ514" s="34"/>
      <c r="BK514" s="34"/>
      <c r="BL514" s="34"/>
      <c r="BM514" s="34" t="s">
        <v>168</v>
      </c>
      <c r="BN514" s="34"/>
      <c r="BO514" s="35"/>
      <c r="BP514" s="35"/>
      <c r="BQ514" s="35" t="s">
        <v>108</v>
      </c>
      <c r="BR514" s="36" t="e">
        <f>VLOOKUP(BQ514, Cat_Indicadores!B:C, 2, FALSE)</f>
        <v>#N/A</v>
      </c>
      <c r="BS514" s="35" t="s">
        <v>5592</v>
      </c>
      <c r="BT514" s="35"/>
    </row>
    <row r="515" spans="1:72">
      <c r="A515" s="29" t="s">
        <v>2136</v>
      </c>
      <c r="B515" s="30" t="s">
        <v>2137</v>
      </c>
      <c r="C515" s="31">
        <v>46300.709988425922</v>
      </c>
      <c r="D515" s="30">
        <v>92</v>
      </c>
      <c r="E515" s="30" t="s">
        <v>74</v>
      </c>
      <c r="F515" s="30" t="s">
        <v>75</v>
      </c>
      <c r="G515" s="30" t="s">
        <v>133</v>
      </c>
      <c r="H515" s="30" t="s">
        <v>77</v>
      </c>
      <c r="I515" s="30" t="s">
        <v>78</v>
      </c>
      <c r="J515" s="30" t="s">
        <v>79</v>
      </c>
      <c r="K515" s="32">
        <v>800</v>
      </c>
      <c r="L515" s="32" t="s">
        <v>80</v>
      </c>
      <c r="M515" s="30" t="s">
        <v>1055</v>
      </c>
      <c r="N515" s="30" t="s">
        <v>402</v>
      </c>
      <c r="O515" s="30" t="s">
        <v>83</v>
      </c>
      <c r="P515" s="33">
        <v>46263</v>
      </c>
      <c r="Q515" s="33">
        <v>46263</v>
      </c>
      <c r="R515" s="32">
        <v>1</v>
      </c>
      <c r="S515" s="30" t="s">
        <v>84</v>
      </c>
      <c r="T515" s="30" t="s">
        <v>337</v>
      </c>
      <c r="U515" s="30" t="s">
        <v>338</v>
      </c>
      <c r="V515" s="30" t="s">
        <v>87</v>
      </c>
      <c r="W515" s="30" t="s">
        <v>88</v>
      </c>
      <c r="X515" s="30" t="s">
        <v>197</v>
      </c>
      <c r="Y515" s="30" t="s">
        <v>1270</v>
      </c>
      <c r="AB515" s="30" t="b">
        <v>0</v>
      </c>
      <c r="AC515" s="30"/>
      <c r="AD515" s="30" t="b">
        <v>0</v>
      </c>
      <c r="AF515" s="30" t="b">
        <v>0</v>
      </c>
      <c r="AH515" s="32" t="s">
        <v>91</v>
      </c>
      <c r="AI515" s="32"/>
      <c r="AJ515" s="32"/>
      <c r="AK515" s="32"/>
      <c r="AL515" s="30" t="s">
        <v>92</v>
      </c>
      <c r="AM515" s="30" t="s">
        <v>93</v>
      </c>
      <c r="AN515" s="30" t="s">
        <v>199</v>
      </c>
      <c r="AO515" s="30" t="s">
        <v>200</v>
      </c>
      <c r="AP515" s="30" t="s">
        <v>201</v>
      </c>
      <c r="AQ515" s="30" t="s">
        <v>202</v>
      </c>
      <c r="AR515" s="30" t="s">
        <v>145</v>
      </c>
      <c r="AT515" s="30" t="s">
        <v>99</v>
      </c>
      <c r="AU515" s="30" t="s">
        <v>100</v>
      </c>
      <c r="AV515" s="30" t="s">
        <v>101</v>
      </c>
      <c r="AW515" s="30" t="s">
        <v>102</v>
      </c>
      <c r="AX515" s="34" t="s">
        <v>338</v>
      </c>
      <c r="AY515" s="34" t="s">
        <v>149</v>
      </c>
      <c r="AZ515" s="34" t="s">
        <v>149</v>
      </c>
      <c r="BA515" s="34"/>
      <c r="BB515" s="34"/>
      <c r="BC515" s="34">
        <v>0</v>
      </c>
      <c r="BD515" s="34"/>
      <c r="BE515" s="34"/>
      <c r="BF515" s="34" t="b">
        <v>0</v>
      </c>
      <c r="BG515" s="34"/>
      <c r="BH515" s="34"/>
      <c r="BI515" s="34"/>
      <c r="BJ515" s="34"/>
      <c r="BK515" s="34"/>
      <c r="BL515" s="34"/>
      <c r="BM515" s="34" t="s">
        <v>168</v>
      </c>
      <c r="BN515" s="34"/>
      <c r="BO515" s="35"/>
      <c r="BP515" s="35"/>
      <c r="BQ515" s="35" t="s">
        <v>108</v>
      </c>
      <c r="BR515" s="36" t="e">
        <f>VLOOKUP(BQ515, Cat_Indicadores!B:C, 2, FALSE)</f>
        <v>#N/A</v>
      </c>
      <c r="BS515" s="35" t="s">
        <v>5592</v>
      </c>
      <c r="BT515" s="35"/>
    </row>
    <row r="516" spans="1:72">
      <c r="A516" s="29" t="s">
        <v>2138</v>
      </c>
      <c r="B516" s="30" t="s">
        <v>2139</v>
      </c>
      <c r="C516" s="31">
        <v>46300.712025462963</v>
      </c>
      <c r="D516" s="30">
        <v>92</v>
      </c>
      <c r="E516" s="30" t="s">
        <v>74</v>
      </c>
      <c r="F516" s="30" t="s">
        <v>75</v>
      </c>
      <c r="G516" s="30" t="s">
        <v>133</v>
      </c>
      <c r="H516" s="30" t="s">
        <v>77</v>
      </c>
      <c r="I516" s="30" t="s">
        <v>78</v>
      </c>
      <c r="J516" s="30" t="s">
        <v>79</v>
      </c>
      <c r="K516" s="32">
        <v>800</v>
      </c>
      <c r="L516" s="32" t="s">
        <v>80</v>
      </c>
      <c r="M516" s="30" t="s">
        <v>1055</v>
      </c>
      <c r="N516" s="30" t="s">
        <v>402</v>
      </c>
      <c r="O516" s="30" t="s">
        <v>83</v>
      </c>
      <c r="P516" s="33">
        <v>46263</v>
      </c>
      <c r="Q516" s="33">
        <v>46263</v>
      </c>
      <c r="R516" s="32">
        <v>1</v>
      </c>
      <c r="S516" s="30" t="s">
        <v>84</v>
      </c>
      <c r="T516" s="30" t="s">
        <v>337</v>
      </c>
      <c r="U516" s="30" t="s">
        <v>338</v>
      </c>
      <c r="V516" s="30" t="s">
        <v>87</v>
      </c>
      <c r="W516" s="30" t="s">
        <v>88</v>
      </c>
      <c r="X516" s="30" t="s">
        <v>197</v>
      </c>
      <c r="Y516" s="30" t="s">
        <v>1270</v>
      </c>
      <c r="AB516" s="30" t="b">
        <v>0</v>
      </c>
      <c r="AC516" s="30"/>
      <c r="AD516" s="30" t="b">
        <v>0</v>
      </c>
      <c r="AF516" s="30" t="b">
        <v>0</v>
      </c>
      <c r="AH516" s="32" t="s">
        <v>91</v>
      </c>
      <c r="AI516" s="32"/>
      <c r="AJ516" s="32"/>
      <c r="AK516" s="32"/>
      <c r="AL516" s="30" t="s">
        <v>92</v>
      </c>
      <c r="AM516" s="30" t="s">
        <v>93</v>
      </c>
      <c r="AN516" s="30" t="s">
        <v>199</v>
      </c>
      <c r="AO516" s="30" t="s">
        <v>200</v>
      </c>
      <c r="AP516" s="30" t="s">
        <v>201</v>
      </c>
      <c r="AQ516" s="30" t="s">
        <v>202</v>
      </c>
      <c r="AR516" s="30" t="s">
        <v>145</v>
      </c>
      <c r="AT516" s="30" t="s">
        <v>99</v>
      </c>
      <c r="AU516" s="30" t="s">
        <v>100</v>
      </c>
      <c r="AV516" s="30" t="s">
        <v>101</v>
      </c>
      <c r="AW516" s="30" t="s">
        <v>102</v>
      </c>
      <c r="AX516" s="34" t="s">
        <v>338</v>
      </c>
      <c r="AY516" s="34" t="s">
        <v>149</v>
      </c>
      <c r="AZ516" s="34" t="s">
        <v>149</v>
      </c>
      <c r="BA516" s="34"/>
      <c r="BB516" s="34"/>
      <c r="BC516" s="34">
        <v>0</v>
      </c>
      <c r="BD516" s="34"/>
      <c r="BE516" s="34"/>
      <c r="BF516" s="34" t="b">
        <v>0</v>
      </c>
      <c r="BG516" s="34"/>
      <c r="BH516" s="34"/>
      <c r="BI516" s="34"/>
      <c r="BJ516" s="34"/>
      <c r="BK516" s="34"/>
      <c r="BL516" s="34"/>
      <c r="BM516" s="34" t="s">
        <v>168</v>
      </c>
      <c r="BN516" s="34"/>
      <c r="BO516" s="35"/>
      <c r="BP516" s="35"/>
      <c r="BQ516" s="35" t="s">
        <v>108</v>
      </c>
      <c r="BR516" s="36" t="e">
        <f>VLOOKUP(BQ516, Cat_Indicadores!B:C, 2, FALSE)</f>
        <v>#N/A</v>
      </c>
      <c r="BS516" s="35" t="s">
        <v>5592</v>
      </c>
      <c r="BT516" s="35"/>
    </row>
    <row r="517" spans="1:72">
      <c r="A517" s="29" t="s">
        <v>2140</v>
      </c>
      <c r="B517" s="30" t="s">
        <v>2141</v>
      </c>
      <c r="C517" s="31">
        <v>46301.4140162037</v>
      </c>
      <c r="D517" s="30">
        <v>89</v>
      </c>
      <c r="E517" s="30" t="s">
        <v>1345</v>
      </c>
      <c r="F517" s="30" t="s">
        <v>1346</v>
      </c>
      <c r="G517" s="30" t="s">
        <v>1414</v>
      </c>
      <c r="H517" s="30" t="s">
        <v>77</v>
      </c>
      <c r="I517" s="30" t="s">
        <v>1348</v>
      </c>
      <c r="J517" s="30" t="s">
        <v>1415</v>
      </c>
      <c r="K517" s="32">
        <v>2</v>
      </c>
      <c r="L517" s="32" t="s">
        <v>80</v>
      </c>
      <c r="M517" s="30" t="s">
        <v>2142</v>
      </c>
      <c r="N517" s="30" t="s">
        <v>2143</v>
      </c>
      <c r="O517" s="30" t="s">
        <v>581</v>
      </c>
      <c r="P517" s="33">
        <v>46276</v>
      </c>
      <c r="Q517" s="33">
        <v>46295</v>
      </c>
      <c r="R517" s="32">
        <v>4</v>
      </c>
      <c r="S517" s="30" t="s">
        <v>84</v>
      </c>
      <c r="T517" s="30" t="s">
        <v>117</v>
      </c>
      <c r="U517" s="30" t="s">
        <v>1363</v>
      </c>
      <c r="V517" s="30" t="s">
        <v>138</v>
      </c>
      <c r="W517" s="30" t="s">
        <v>88</v>
      </c>
      <c r="X517" s="30" t="s">
        <v>89</v>
      </c>
      <c r="Z517" s="30" t="s">
        <v>2144</v>
      </c>
      <c r="AB517" s="30" t="b">
        <v>0</v>
      </c>
      <c r="AC517" s="30"/>
      <c r="AD517" s="30" t="b">
        <v>1</v>
      </c>
      <c r="AE517" s="30">
        <v>1</v>
      </c>
      <c r="AF517" s="30" t="b">
        <v>0</v>
      </c>
      <c r="AH517" s="32" t="s">
        <v>91</v>
      </c>
      <c r="AI517" s="32"/>
      <c r="AJ517" s="32"/>
      <c r="AK517" s="32"/>
      <c r="AL517" s="30" t="s">
        <v>1354</v>
      </c>
      <c r="AM517" s="30" t="s">
        <v>294</v>
      </c>
      <c r="AN517" s="30" t="s">
        <v>199</v>
      </c>
      <c r="AO517" s="30" t="s">
        <v>200</v>
      </c>
      <c r="AP517" s="30" t="s">
        <v>201</v>
      </c>
      <c r="AQ517" s="30" t="s">
        <v>202</v>
      </c>
      <c r="AR517" s="30" t="s">
        <v>691</v>
      </c>
      <c r="AT517" s="30" t="s">
        <v>99</v>
      </c>
      <c r="AU517" s="30" t="s">
        <v>146</v>
      </c>
      <c r="AV517" s="30" t="s">
        <v>233</v>
      </c>
      <c r="AW517" s="30" t="s">
        <v>102</v>
      </c>
      <c r="AX517" s="34" t="s">
        <v>1363</v>
      </c>
      <c r="AY517" s="34" t="s">
        <v>149</v>
      </c>
      <c r="AZ517" s="34" t="s">
        <v>562</v>
      </c>
      <c r="BA517" s="34" t="s">
        <v>2145</v>
      </c>
      <c r="BB517" s="34">
        <v>6</v>
      </c>
      <c r="BC517" s="34">
        <v>2</v>
      </c>
      <c r="BD517" s="34" t="s">
        <v>1365</v>
      </c>
      <c r="BE517" s="34" t="s">
        <v>2146</v>
      </c>
      <c r="BF517" s="34" t="b">
        <v>1</v>
      </c>
      <c r="BG517" s="34" t="s">
        <v>1042</v>
      </c>
      <c r="BH517" s="34"/>
      <c r="BI517" s="34"/>
      <c r="BJ517" s="34"/>
      <c r="BK517" s="34"/>
      <c r="BL517" s="34"/>
      <c r="BM517" s="34" t="s">
        <v>168</v>
      </c>
      <c r="BN517" s="34"/>
      <c r="BO517" s="35"/>
      <c r="BP517" s="35"/>
      <c r="BQ517" s="35" t="s">
        <v>108</v>
      </c>
      <c r="BR517" s="36" t="e">
        <f>VLOOKUP(BQ517, Cat_Indicadores!B:C, 2, FALSE)</f>
        <v>#N/A</v>
      </c>
      <c r="BS517" s="35" t="s">
        <v>5592</v>
      </c>
      <c r="BT517" s="35"/>
    </row>
    <row r="518" spans="1:72">
      <c r="A518" s="29" t="s">
        <v>2147</v>
      </c>
      <c r="B518" s="30" t="s">
        <v>2148</v>
      </c>
      <c r="C518" s="31">
        <v>46301.458854166667</v>
      </c>
      <c r="D518" s="30">
        <v>92</v>
      </c>
      <c r="E518" s="30" t="s">
        <v>74</v>
      </c>
      <c r="F518" s="30" t="s">
        <v>75</v>
      </c>
      <c r="G518" s="30" t="s">
        <v>133</v>
      </c>
      <c r="H518" s="30" t="s">
        <v>77</v>
      </c>
      <c r="I518" s="30" t="s">
        <v>78</v>
      </c>
      <c r="J518" s="30" t="s">
        <v>79</v>
      </c>
      <c r="K518" s="32">
        <v>800</v>
      </c>
      <c r="L518" s="32" t="s">
        <v>80</v>
      </c>
      <c r="M518" s="30" t="s">
        <v>1055</v>
      </c>
      <c r="N518" s="30" t="s">
        <v>401</v>
      </c>
      <c r="O518" s="30" t="s">
        <v>83</v>
      </c>
      <c r="P518" s="33">
        <v>46264</v>
      </c>
      <c r="Q518" s="33">
        <v>46264</v>
      </c>
      <c r="R518" s="32">
        <v>1</v>
      </c>
      <c r="S518" s="30" t="s">
        <v>84</v>
      </c>
      <c r="T518" s="30" t="s">
        <v>337</v>
      </c>
      <c r="U518" s="30" t="s">
        <v>338</v>
      </c>
      <c r="V518" s="30" t="s">
        <v>87</v>
      </c>
      <c r="W518" s="30" t="s">
        <v>88</v>
      </c>
      <c r="X518" s="30" t="s">
        <v>197</v>
      </c>
      <c r="Y518" s="30" t="s">
        <v>1270</v>
      </c>
      <c r="AB518" s="30" t="b">
        <v>0</v>
      </c>
      <c r="AC518" s="30"/>
      <c r="AD518" s="30" t="b">
        <v>0</v>
      </c>
      <c r="AF518" s="30" t="b">
        <v>0</v>
      </c>
      <c r="AH518" s="32" t="s">
        <v>91</v>
      </c>
      <c r="AI518" s="32"/>
      <c r="AJ518" s="32"/>
      <c r="AK518" s="32"/>
      <c r="AL518" s="30" t="s">
        <v>92</v>
      </c>
      <c r="AM518" s="30" t="s">
        <v>93</v>
      </c>
      <c r="AN518" s="30" t="s">
        <v>199</v>
      </c>
      <c r="AO518" s="30" t="s">
        <v>200</v>
      </c>
      <c r="AP518" s="30" t="s">
        <v>201</v>
      </c>
      <c r="AQ518" s="30" t="s">
        <v>202</v>
      </c>
      <c r="AR518" s="30" t="s">
        <v>145</v>
      </c>
      <c r="AT518" s="30" t="s">
        <v>99</v>
      </c>
      <c r="AU518" s="30" t="s">
        <v>100</v>
      </c>
      <c r="AV518" s="30" t="s">
        <v>101</v>
      </c>
      <c r="AW518" s="30" t="s">
        <v>102</v>
      </c>
      <c r="AX518" s="34" t="s">
        <v>338</v>
      </c>
      <c r="AY518" s="34" t="s">
        <v>149</v>
      </c>
      <c r="AZ518" s="34" t="s">
        <v>149</v>
      </c>
      <c r="BA518" s="34"/>
      <c r="BB518" s="34"/>
      <c r="BC518" s="34">
        <v>0</v>
      </c>
      <c r="BD518" s="34"/>
      <c r="BE518" s="34"/>
      <c r="BF518" s="34" t="b">
        <v>0</v>
      </c>
      <c r="BG518" s="34"/>
      <c r="BH518" s="34"/>
      <c r="BI518" s="34"/>
      <c r="BJ518" s="34"/>
      <c r="BK518" s="34"/>
      <c r="BL518" s="34"/>
      <c r="BM518" s="34" t="s">
        <v>168</v>
      </c>
      <c r="BN518" s="34"/>
      <c r="BO518" s="35"/>
      <c r="BP518" s="35"/>
      <c r="BQ518" s="35" t="s">
        <v>108</v>
      </c>
      <c r="BR518" s="36" t="e">
        <f>VLOOKUP(BQ518, Cat_Indicadores!B:C, 2, FALSE)</f>
        <v>#N/A</v>
      </c>
      <c r="BS518" s="35" t="s">
        <v>5592</v>
      </c>
      <c r="BT518" s="35"/>
    </row>
    <row r="519" spans="1:72">
      <c r="A519" s="29" t="s">
        <v>2149</v>
      </c>
      <c r="B519" s="30" t="s">
        <v>2150</v>
      </c>
      <c r="C519" s="31">
        <v>46301.464467592596</v>
      </c>
      <c r="D519" s="30">
        <v>92</v>
      </c>
      <c r="E519" s="30" t="s">
        <v>74</v>
      </c>
      <c r="F519" s="30" t="s">
        <v>75</v>
      </c>
      <c r="G519" s="30" t="s">
        <v>133</v>
      </c>
      <c r="H519" s="30" t="s">
        <v>77</v>
      </c>
      <c r="I519" s="30" t="s">
        <v>78</v>
      </c>
      <c r="J519" s="30" t="s">
        <v>79</v>
      </c>
      <c r="K519" s="32">
        <v>800</v>
      </c>
      <c r="L519" s="32" t="s">
        <v>211</v>
      </c>
      <c r="M519" s="30" t="s">
        <v>2151</v>
      </c>
      <c r="N519" s="30" t="s">
        <v>2152</v>
      </c>
      <c r="O519" s="30" t="s">
        <v>83</v>
      </c>
      <c r="P519" s="33">
        <v>46189</v>
      </c>
      <c r="Q519" s="33">
        <v>46189</v>
      </c>
      <c r="R519" s="32">
        <v>1</v>
      </c>
      <c r="S519" s="30" t="s">
        <v>243</v>
      </c>
      <c r="T519" s="30" t="s">
        <v>274</v>
      </c>
      <c r="U519" s="30" t="s">
        <v>160</v>
      </c>
      <c r="V519" s="30" t="s">
        <v>87</v>
      </c>
      <c r="W519" s="30" t="s">
        <v>88</v>
      </c>
      <c r="X519" s="30" t="s">
        <v>197</v>
      </c>
      <c r="Y519" s="30" t="s">
        <v>1275</v>
      </c>
      <c r="AB519" s="30" t="b">
        <v>0</v>
      </c>
      <c r="AC519" s="30"/>
      <c r="AD519" s="30" t="b">
        <v>0</v>
      </c>
      <c r="AF519" s="30" t="b">
        <v>0</v>
      </c>
      <c r="AH519" s="32" t="s">
        <v>91</v>
      </c>
      <c r="AI519" s="32"/>
      <c r="AJ519" s="32"/>
      <c r="AK519" s="32"/>
      <c r="AL519" s="30" t="s">
        <v>92</v>
      </c>
      <c r="AM519" s="30" t="s">
        <v>93</v>
      </c>
      <c r="AN519" s="30" t="s">
        <v>199</v>
      </c>
      <c r="AO519" s="30" t="s">
        <v>200</v>
      </c>
      <c r="AP519" s="30" t="s">
        <v>201</v>
      </c>
      <c r="AQ519" s="30" t="s">
        <v>202</v>
      </c>
      <c r="AR519" s="30" t="s">
        <v>145</v>
      </c>
      <c r="AT519" s="30" t="s">
        <v>99</v>
      </c>
      <c r="AU519" s="30" t="s">
        <v>100</v>
      </c>
      <c r="AV519" s="30" t="s">
        <v>101</v>
      </c>
      <c r="AW519" s="30" t="s">
        <v>102</v>
      </c>
      <c r="AX519" s="34" t="s">
        <v>86</v>
      </c>
      <c r="AY519" s="34" t="s">
        <v>149</v>
      </c>
      <c r="AZ519" s="34" t="s">
        <v>149</v>
      </c>
      <c r="BA519" s="34"/>
      <c r="BB519" s="34"/>
      <c r="BC519" s="34">
        <v>0</v>
      </c>
      <c r="BD519" s="34"/>
      <c r="BE519" s="34"/>
      <c r="BF519" s="34" t="b">
        <v>0</v>
      </c>
      <c r="BG519" s="34"/>
      <c r="BH519" s="34"/>
      <c r="BI519" s="34"/>
      <c r="BJ519" s="34"/>
      <c r="BK519" s="34"/>
      <c r="BL519" s="34"/>
      <c r="BM519" s="34" t="s">
        <v>168</v>
      </c>
      <c r="BN519" s="34"/>
      <c r="BO519" s="35"/>
      <c r="BP519" s="35"/>
      <c r="BQ519" s="35" t="s">
        <v>108</v>
      </c>
      <c r="BR519" s="36" t="e">
        <f>VLOOKUP(BQ519, Cat_Indicadores!B:C, 2, FALSE)</f>
        <v>#N/A</v>
      </c>
      <c r="BS519" s="35" t="s">
        <v>5592</v>
      </c>
      <c r="BT519" s="35"/>
    </row>
    <row r="520" spans="1:72">
      <c r="A520" s="29" t="s">
        <v>2153</v>
      </c>
      <c r="B520" s="30" t="s">
        <v>2154</v>
      </c>
      <c r="C520" s="31">
        <v>46301.438923611109</v>
      </c>
      <c r="D520" s="30">
        <v>88</v>
      </c>
      <c r="E520" s="30" t="s">
        <v>1345</v>
      </c>
      <c r="F520" s="30" t="s">
        <v>1346</v>
      </c>
      <c r="G520" s="30" t="s">
        <v>1347</v>
      </c>
      <c r="H520" s="30" t="s">
        <v>77</v>
      </c>
      <c r="I520" s="30" t="s">
        <v>1348</v>
      </c>
      <c r="J520" s="30" t="s">
        <v>1349</v>
      </c>
      <c r="K520" s="32">
        <v>92</v>
      </c>
      <c r="L520" s="32" t="s">
        <v>80</v>
      </c>
      <c r="M520" s="30" t="s">
        <v>308</v>
      </c>
      <c r="N520" s="30" t="s">
        <v>2155</v>
      </c>
      <c r="O520" s="30" t="s">
        <v>83</v>
      </c>
      <c r="P520" s="33">
        <v>46290</v>
      </c>
      <c r="Q520" s="33">
        <v>46290</v>
      </c>
      <c r="R520" s="32">
        <v>1</v>
      </c>
      <c r="S520" s="30" t="s">
        <v>264</v>
      </c>
      <c r="T520" s="30" t="s">
        <v>2156</v>
      </c>
      <c r="U520" s="30" t="s">
        <v>308</v>
      </c>
      <c r="V520" s="30" t="s">
        <v>87</v>
      </c>
      <c r="W520" s="30" t="s">
        <v>88</v>
      </c>
      <c r="X520" s="30" t="s">
        <v>89</v>
      </c>
      <c r="Z520" s="30" t="s">
        <v>2157</v>
      </c>
      <c r="AB520" s="30" t="b">
        <v>0</v>
      </c>
      <c r="AC520" s="30"/>
      <c r="AD520" s="30" t="b">
        <v>0</v>
      </c>
      <c r="AF520" s="30" t="b">
        <v>0</v>
      </c>
      <c r="AH520" s="32" t="s">
        <v>91</v>
      </c>
      <c r="AI520" s="32"/>
      <c r="AJ520" s="32"/>
      <c r="AK520" s="32"/>
      <c r="AL520" s="30" t="s">
        <v>1354</v>
      </c>
      <c r="AM520" s="30" t="s">
        <v>294</v>
      </c>
      <c r="AN520" s="30" t="s">
        <v>266</v>
      </c>
      <c r="AO520" s="30" t="s">
        <v>267</v>
      </c>
      <c r="AP520" s="30" t="s">
        <v>268</v>
      </c>
      <c r="AQ520" s="30" t="s">
        <v>269</v>
      </c>
      <c r="AR520" s="30" t="s">
        <v>691</v>
      </c>
      <c r="AT520" s="30" t="s">
        <v>99</v>
      </c>
      <c r="AU520" s="30" t="s">
        <v>100</v>
      </c>
      <c r="AV520" s="30" t="s">
        <v>665</v>
      </c>
      <c r="AW520" s="30" t="s">
        <v>102</v>
      </c>
      <c r="AX520" s="34" t="s">
        <v>308</v>
      </c>
      <c r="AY520" s="34" t="s">
        <v>103</v>
      </c>
      <c r="AZ520" s="34"/>
      <c r="BA520" s="34"/>
      <c r="BB520" s="34">
        <v>19</v>
      </c>
      <c r="BC520" s="34">
        <v>1</v>
      </c>
      <c r="BD520" s="34" t="s">
        <v>1365</v>
      </c>
      <c r="BE520" s="34" t="s">
        <v>2158</v>
      </c>
      <c r="BF520" s="34" t="b">
        <v>0</v>
      </c>
      <c r="BG520" s="34"/>
      <c r="BH520" s="34"/>
      <c r="BI520" s="34"/>
      <c r="BJ520" s="34"/>
      <c r="BK520" s="34"/>
      <c r="BL520" s="34"/>
      <c r="BM520" s="34" t="s">
        <v>168</v>
      </c>
      <c r="BN520" s="34"/>
      <c r="BO520" s="35"/>
      <c r="BP520" s="35"/>
      <c r="BQ520" s="35" t="s">
        <v>108</v>
      </c>
      <c r="BR520" s="36" t="e">
        <f>VLOOKUP(BQ520, Cat_Indicadores!B:C, 2, FALSE)</f>
        <v>#N/A</v>
      </c>
      <c r="BS520" s="35" t="s">
        <v>5592</v>
      </c>
      <c r="BT520" s="35"/>
    </row>
    <row r="521" spans="1:72">
      <c r="A521" s="29" t="s">
        <v>2159</v>
      </c>
      <c r="B521" s="30" t="s">
        <v>2160</v>
      </c>
      <c r="C521" s="31">
        <v>46301.467175925929</v>
      </c>
      <c r="D521" s="30">
        <v>92</v>
      </c>
      <c r="E521" s="30" t="s">
        <v>74</v>
      </c>
      <c r="F521" s="30" t="s">
        <v>75</v>
      </c>
      <c r="G521" s="30" t="s">
        <v>133</v>
      </c>
      <c r="H521" s="30" t="s">
        <v>77</v>
      </c>
      <c r="I521" s="30" t="s">
        <v>78</v>
      </c>
      <c r="J521" s="30" t="s">
        <v>79</v>
      </c>
      <c r="K521" s="32">
        <v>800</v>
      </c>
      <c r="L521" s="32" t="s">
        <v>211</v>
      </c>
      <c r="M521" s="30" t="s">
        <v>2161</v>
      </c>
      <c r="N521" s="30" t="s">
        <v>2162</v>
      </c>
      <c r="O521" s="30" t="s">
        <v>83</v>
      </c>
      <c r="P521" s="33">
        <v>46196</v>
      </c>
      <c r="Q521" s="33">
        <v>46196</v>
      </c>
      <c r="R521" s="32">
        <v>1</v>
      </c>
      <c r="S521" s="30" t="s">
        <v>84</v>
      </c>
      <c r="T521" s="30" t="s">
        <v>506</v>
      </c>
      <c r="U521" s="30" t="s">
        <v>184</v>
      </c>
      <c r="V521" s="30" t="s">
        <v>87</v>
      </c>
      <c r="W521" s="30" t="s">
        <v>88</v>
      </c>
      <c r="X521" s="30" t="s">
        <v>197</v>
      </c>
      <c r="Y521" s="30" t="s">
        <v>1270</v>
      </c>
      <c r="AB521" s="30" t="b">
        <v>0</v>
      </c>
      <c r="AC521" s="30"/>
      <c r="AD521" s="30" t="b">
        <v>0</v>
      </c>
      <c r="AF521" s="30" t="b">
        <v>0</v>
      </c>
      <c r="AH521" s="32" t="s">
        <v>91</v>
      </c>
      <c r="AI521" s="32"/>
      <c r="AJ521" s="32"/>
      <c r="AK521" s="32"/>
      <c r="AL521" s="30" t="s">
        <v>92</v>
      </c>
      <c r="AM521" s="30" t="s">
        <v>93</v>
      </c>
      <c r="AN521" s="30" t="s">
        <v>199</v>
      </c>
      <c r="AO521" s="30" t="s">
        <v>200</v>
      </c>
      <c r="AP521" s="30" t="s">
        <v>201</v>
      </c>
      <c r="AQ521" s="30" t="s">
        <v>202</v>
      </c>
      <c r="AR521" s="30" t="s">
        <v>145</v>
      </c>
      <c r="AT521" s="30" t="s">
        <v>99</v>
      </c>
      <c r="AU521" s="30" t="s">
        <v>100</v>
      </c>
      <c r="AV521" s="30" t="s">
        <v>101</v>
      </c>
      <c r="AW521" s="30" t="s">
        <v>102</v>
      </c>
      <c r="AX521" s="34" t="s">
        <v>184</v>
      </c>
      <c r="AY521" s="34" t="s">
        <v>149</v>
      </c>
      <c r="AZ521" s="34" t="s">
        <v>149</v>
      </c>
      <c r="BA521" s="34"/>
      <c r="BB521" s="34"/>
      <c r="BC521" s="34">
        <v>0</v>
      </c>
      <c r="BD521" s="34"/>
      <c r="BE521" s="34"/>
      <c r="BF521" s="34" t="b">
        <v>0</v>
      </c>
      <c r="BG521" s="34"/>
      <c r="BH521" s="34"/>
      <c r="BI521" s="34"/>
      <c r="BJ521" s="34"/>
      <c r="BK521" s="34"/>
      <c r="BL521" s="34"/>
      <c r="BM521" s="34" t="s">
        <v>168</v>
      </c>
      <c r="BN521" s="34"/>
      <c r="BO521" s="35"/>
      <c r="BP521" s="35"/>
      <c r="BQ521" s="35" t="s">
        <v>108</v>
      </c>
      <c r="BR521" s="36" t="e">
        <f>VLOOKUP(BQ521, Cat_Indicadores!B:C, 2, FALSE)</f>
        <v>#N/A</v>
      </c>
      <c r="BS521" s="35" t="s">
        <v>5592</v>
      </c>
      <c r="BT521" s="35"/>
    </row>
    <row r="522" spans="1:72">
      <c r="A522" s="29" t="s">
        <v>2163</v>
      </c>
      <c r="B522" s="30" t="s">
        <v>2164</v>
      </c>
      <c r="C522" s="31">
        <v>46301.486793981479</v>
      </c>
      <c r="D522" s="30">
        <v>92</v>
      </c>
      <c r="E522" s="30" t="s">
        <v>74</v>
      </c>
      <c r="F522" s="30" t="s">
        <v>75</v>
      </c>
      <c r="G522" s="30" t="s">
        <v>133</v>
      </c>
      <c r="H522" s="30" t="s">
        <v>77</v>
      </c>
      <c r="I522" s="30" t="s">
        <v>78</v>
      </c>
      <c r="J522" s="30" t="s">
        <v>79</v>
      </c>
      <c r="K522" s="32">
        <v>800</v>
      </c>
      <c r="L522" s="32" t="s">
        <v>211</v>
      </c>
      <c r="M522" s="30" t="s">
        <v>1502</v>
      </c>
      <c r="N522" s="30" t="s">
        <v>1503</v>
      </c>
      <c r="O522" s="30" t="s">
        <v>83</v>
      </c>
      <c r="P522" s="33">
        <v>46187</v>
      </c>
      <c r="Q522" s="33">
        <v>46187</v>
      </c>
      <c r="R522" s="32">
        <v>1</v>
      </c>
      <c r="S522" s="30" t="s">
        <v>723</v>
      </c>
      <c r="T522" s="30" t="s">
        <v>750</v>
      </c>
      <c r="U522" s="30" t="s">
        <v>1504</v>
      </c>
      <c r="V522" s="30" t="s">
        <v>87</v>
      </c>
      <c r="W522" s="30" t="s">
        <v>88</v>
      </c>
      <c r="X522" s="30" t="s">
        <v>89</v>
      </c>
      <c r="Z522" s="30" t="s">
        <v>1505</v>
      </c>
      <c r="AB522" s="30" t="b">
        <v>0</v>
      </c>
      <c r="AC522" s="30"/>
      <c r="AD522" s="30" t="b">
        <v>0</v>
      </c>
      <c r="AF522" s="30" t="b">
        <v>0</v>
      </c>
      <c r="AH522" s="32" t="s">
        <v>91</v>
      </c>
      <c r="AI522" s="32"/>
      <c r="AJ522" s="32"/>
      <c r="AK522" s="32"/>
      <c r="AL522" s="30" t="s">
        <v>92</v>
      </c>
      <c r="AM522" s="30" t="s">
        <v>93</v>
      </c>
      <c r="AN522" s="30" t="s">
        <v>199</v>
      </c>
      <c r="AO522" s="30" t="s">
        <v>200</v>
      </c>
      <c r="AP522" s="30" t="s">
        <v>201</v>
      </c>
      <c r="AQ522" s="30" t="s">
        <v>202</v>
      </c>
      <c r="AR522" s="30" t="s">
        <v>145</v>
      </c>
      <c r="AT522" s="30" t="s">
        <v>99</v>
      </c>
      <c r="AU522" s="30" t="s">
        <v>100</v>
      </c>
      <c r="AV522" s="30" t="s">
        <v>101</v>
      </c>
      <c r="AW522" s="30" t="s">
        <v>102</v>
      </c>
      <c r="AX522" s="34" t="s">
        <v>86</v>
      </c>
      <c r="AY522" s="34" t="s">
        <v>167</v>
      </c>
      <c r="AZ522" s="34"/>
      <c r="BA522" s="34"/>
      <c r="BB522" s="34"/>
      <c r="BC522" s="34">
        <v>0</v>
      </c>
      <c r="BD522" s="34"/>
      <c r="BE522" s="34"/>
      <c r="BF522" s="34" t="b">
        <v>0</v>
      </c>
      <c r="BG522" s="34"/>
      <c r="BH522" s="34"/>
      <c r="BI522" s="34"/>
      <c r="BJ522" s="34"/>
      <c r="BK522" s="34"/>
      <c r="BL522" s="34"/>
      <c r="BM522" s="34" t="s">
        <v>168</v>
      </c>
      <c r="BN522" s="34"/>
      <c r="BO522" s="35"/>
      <c r="BP522" s="35"/>
      <c r="BQ522" s="35" t="s">
        <v>108</v>
      </c>
      <c r="BR522" s="36" t="e">
        <f>VLOOKUP(BQ522, Cat_Indicadores!B:C, 2, FALSE)</f>
        <v>#N/A</v>
      </c>
      <c r="BS522" s="35" t="s">
        <v>5592</v>
      </c>
      <c r="BT522" s="35"/>
    </row>
    <row r="523" spans="1:72">
      <c r="A523" s="29" t="s">
        <v>2165</v>
      </c>
      <c r="B523" s="30" t="s">
        <v>2166</v>
      </c>
      <c r="C523" s="31">
        <v>46301.505381944444</v>
      </c>
      <c r="D523" s="30">
        <v>92</v>
      </c>
      <c r="E523" s="30" t="s">
        <v>74</v>
      </c>
      <c r="F523" s="30" t="s">
        <v>75</v>
      </c>
      <c r="G523" s="30" t="s">
        <v>133</v>
      </c>
      <c r="H523" s="30" t="s">
        <v>77</v>
      </c>
      <c r="I523" s="30" t="s">
        <v>78</v>
      </c>
      <c r="J523" s="30" t="s">
        <v>79</v>
      </c>
      <c r="K523" s="32">
        <v>800</v>
      </c>
      <c r="L523" s="32" t="s">
        <v>211</v>
      </c>
      <c r="M523" s="30" t="s">
        <v>2167</v>
      </c>
      <c r="N523" s="30" t="s">
        <v>2168</v>
      </c>
      <c r="O523" s="30" t="s">
        <v>83</v>
      </c>
      <c r="P523" s="33">
        <v>46191</v>
      </c>
      <c r="Q523" s="33">
        <v>46191</v>
      </c>
      <c r="R523" s="32">
        <v>1</v>
      </c>
      <c r="S523" s="30" t="s">
        <v>243</v>
      </c>
      <c r="T523" s="30" t="s">
        <v>740</v>
      </c>
      <c r="U523" s="30" t="s">
        <v>367</v>
      </c>
      <c r="V523" s="30" t="s">
        <v>87</v>
      </c>
      <c r="W523" s="30" t="s">
        <v>88</v>
      </c>
      <c r="X523" s="30" t="s">
        <v>197</v>
      </c>
      <c r="Y523" s="30" t="s">
        <v>1477</v>
      </c>
      <c r="AB523" s="30" t="b">
        <v>0</v>
      </c>
      <c r="AC523" s="30"/>
      <c r="AD523" s="30" t="b">
        <v>0</v>
      </c>
      <c r="AF523" s="30" t="b">
        <v>0</v>
      </c>
      <c r="AH523" s="32" t="s">
        <v>91</v>
      </c>
      <c r="AI523" s="32"/>
      <c r="AJ523" s="32"/>
      <c r="AK523" s="32"/>
      <c r="AL523" s="30" t="s">
        <v>92</v>
      </c>
      <c r="AM523" s="30" t="s">
        <v>294</v>
      </c>
      <c r="AN523" s="30" t="s">
        <v>199</v>
      </c>
      <c r="AO523" s="30" t="s">
        <v>200</v>
      </c>
      <c r="AP523" s="30" t="s">
        <v>201</v>
      </c>
      <c r="AQ523" s="30" t="s">
        <v>202</v>
      </c>
      <c r="AR523" s="30" t="s">
        <v>145</v>
      </c>
      <c r="AT523" s="30" t="s">
        <v>99</v>
      </c>
      <c r="AU523" s="30" t="s">
        <v>100</v>
      </c>
      <c r="AV523" s="30" t="s">
        <v>101</v>
      </c>
      <c r="AW523" s="30" t="s">
        <v>102</v>
      </c>
      <c r="AX523" s="34" t="s">
        <v>367</v>
      </c>
      <c r="AY523" s="34" t="s">
        <v>149</v>
      </c>
      <c r="AZ523" s="34" t="s">
        <v>149</v>
      </c>
      <c r="BA523" s="34"/>
      <c r="BB523" s="34"/>
      <c r="BC523" s="34">
        <v>0</v>
      </c>
      <c r="BD523" s="34"/>
      <c r="BE523" s="34"/>
      <c r="BF523" s="34" t="b">
        <v>0</v>
      </c>
      <c r="BG523" s="34"/>
      <c r="BH523" s="34"/>
      <c r="BI523" s="34"/>
      <c r="BJ523" s="34"/>
      <c r="BK523" s="34"/>
      <c r="BL523" s="34"/>
      <c r="BM523" s="34" t="s">
        <v>168</v>
      </c>
      <c r="BN523" s="34"/>
      <c r="BO523" s="35"/>
      <c r="BP523" s="35"/>
      <c r="BQ523" s="35" t="s">
        <v>108</v>
      </c>
      <c r="BR523" s="36" t="e">
        <f>VLOOKUP(BQ523, Cat_Indicadores!B:C, 2, FALSE)</f>
        <v>#N/A</v>
      </c>
      <c r="BS523" s="35" t="s">
        <v>5592</v>
      </c>
      <c r="BT523" s="35"/>
    </row>
    <row r="524" spans="1:72">
      <c r="A524" s="29" t="s">
        <v>2169</v>
      </c>
      <c r="B524" s="30" t="s">
        <v>2170</v>
      </c>
      <c r="C524" s="31">
        <v>46301.519270833334</v>
      </c>
      <c r="D524" s="30">
        <v>92</v>
      </c>
      <c r="E524" s="30" t="s">
        <v>74</v>
      </c>
      <c r="F524" s="30" t="s">
        <v>75</v>
      </c>
      <c r="G524" s="30" t="s">
        <v>133</v>
      </c>
      <c r="H524" s="30" t="s">
        <v>77</v>
      </c>
      <c r="I524" s="30" t="s">
        <v>78</v>
      </c>
      <c r="J524" s="30" t="s">
        <v>79</v>
      </c>
      <c r="K524" s="32">
        <v>800</v>
      </c>
      <c r="L524" s="32" t="s">
        <v>211</v>
      </c>
      <c r="M524" s="30" t="s">
        <v>555</v>
      </c>
      <c r="N524" s="30" t="s">
        <v>556</v>
      </c>
      <c r="O524" s="30" t="s">
        <v>83</v>
      </c>
      <c r="P524" s="33">
        <v>46254</v>
      </c>
      <c r="Q524" s="33">
        <v>46254</v>
      </c>
      <c r="R524" s="32">
        <v>1</v>
      </c>
      <c r="S524" s="30" t="s">
        <v>249</v>
      </c>
      <c r="T524" s="30" t="s">
        <v>259</v>
      </c>
      <c r="U524" s="30" t="s">
        <v>86</v>
      </c>
      <c r="V524" s="30" t="s">
        <v>87</v>
      </c>
      <c r="W524" s="30" t="s">
        <v>88</v>
      </c>
      <c r="X524" s="30" t="s">
        <v>197</v>
      </c>
      <c r="Y524" s="30" t="s">
        <v>1282</v>
      </c>
      <c r="AB524" s="30" t="b">
        <v>0</v>
      </c>
      <c r="AC524" s="30"/>
      <c r="AD524" s="30" t="b">
        <v>0</v>
      </c>
      <c r="AF524" s="30" t="b">
        <v>0</v>
      </c>
      <c r="AH524" s="32" t="s">
        <v>91</v>
      </c>
      <c r="AI524" s="32"/>
      <c r="AJ524" s="32"/>
      <c r="AK524" s="32"/>
      <c r="AL524" s="30" t="s">
        <v>92</v>
      </c>
      <c r="AM524" s="30" t="s">
        <v>93</v>
      </c>
      <c r="AN524" s="30" t="s">
        <v>199</v>
      </c>
      <c r="AO524" s="30" t="s">
        <v>200</v>
      </c>
      <c r="AP524" s="30" t="s">
        <v>201</v>
      </c>
      <c r="AQ524" s="30" t="s">
        <v>202</v>
      </c>
      <c r="AR524" s="30" t="s">
        <v>145</v>
      </c>
      <c r="AT524" s="30" t="s">
        <v>99</v>
      </c>
      <c r="AU524" s="30" t="s">
        <v>100</v>
      </c>
      <c r="AV524" s="30" t="s">
        <v>101</v>
      </c>
      <c r="AW524" s="30" t="s">
        <v>102</v>
      </c>
      <c r="AX524" s="34" t="s">
        <v>86</v>
      </c>
      <c r="AY524" s="34" t="s">
        <v>149</v>
      </c>
      <c r="AZ524" s="34" t="s">
        <v>149</v>
      </c>
      <c r="BA524" s="34"/>
      <c r="BB524" s="34"/>
      <c r="BC524" s="34">
        <v>0</v>
      </c>
      <c r="BD524" s="34"/>
      <c r="BE524" s="34"/>
      <c r="BF524" s="34" t="b">
        <v>0</v>
      </c>
      <c r="BG524" s="34"/>
      <c r="BH524" s="34"/>
      <c r="BI524" s="34"/>
      <c r="BJ524" s="34"/>
      <c r="BK524" s="34"/>
      <c r="BL524" s="34"/>
      <c r="BM524" s="34" t="s">
        <v>168</v>
      </c>
      <c r="BN524" s="34"/>
      <c r="BO524" s="35"/>
      <c r="BP524" s="35"/>
      <c r="BQ524" s="35" t="s">
        <v>108</v>
      </c>
      <c r="BR524" s="36" t="e">
        <f>VLOOKUP(BQ524, Cat_Indicadores!B:C, 2, FALSE)</f>
        <v>#N/A</v>
      </c>
      <c r="BS524" s="35" t="s">
        <v>5592</v>
      </c>
      <c r="BT524" s="35"/>
    </row>
    <row r="525" spans="1:72">
      <c r="A525" s="29" t="s">
        <v>2171</v>
      </c>
      <c r="B525" s="30" t="s">
        <v>2172</v>
      </c>
      <c r="C525" s="31">
        <v>46301.522106481483</v>
      </c>
      <c r="D525" s="30">
        <v>92</v>
      </c>
      <c r="E525" s="30" t="s">
        <v>74</v>
      </c>
      <c r="F525" s="30" t="s">
        <v>75</v>
      </c>
      <c r="G525" s="30" t="s">
        <v>133</v>
      </c>
      <c r="H525" s="30" t="s">
        <v>77</v>
      </c>
      <c r="I525" s="30" t="s">
        <v>78</v>
      </c>
      <c r="J525" s="30" t="s">
        <v>79</v>
      </c>
      <c r="K525" s="32">
        <v>800</v>
      </c>
      <c r="L525" s="32" t="s">
        <v>211</v>
      </c>
      <c r="M525" s="30" t="s">
        <v>2173</v>
      </c>
      <c r="N525" s="30" t="s">
        <v>2174</v>
      </c>
      <c r="O525" s="30" t="s">
        <v>83</v>
      </c>
      <c r="P525" s="33">
        <v>46186</v>
      </c>
      <c r="Q525" s="33">
        <v>46186</v>
      </c>
      <c r="R525" s="32">
        <v>1</v>
      </c>
      <c r="S525" s="30" t="s">
        <v>243</v>
      </c>
      <c r="T525" s="30" t="s">
        <v>740</v>
      </c>
      <c r="U525" s="30" t="s">
        <v>86</v>
      </c>
      <c r="V525" s="30" t="s">
        <v>87</v>
      </c>
      <c r="W525" s="30" t="s">
        <v>88</v>
      </c>
      <c r="X525" s="30" t="s">
        <v>197</v>
      </c>
      <c r="Y525" s="30" t="s">
        <v>1270</v>
      </c>
      <c r="AB525" s="30" t="b">
        <v>0</v>
      </c>
      <c r="AC525" s="30"/>
      <c r="AD525" s="30" t="b">
        <v>0</v>
      </c>
      <c r="AF525" s="30" t="b">
        <v>0</v>
      </c>
      <c r="AH525" s="32" t="s">
        <v>91</v>
      </c>
      <c r="AI525" s="32"/>
      <c r="AJ525" s="32"/>
      <c r="AK525" s="32"/>
      <c r="AL525" s="30" t="s">
        <v>92</v>
      </c>
      <c r="AM525" s="30" t="s">
        <v>93</v>
      </c>
      <c r="AN525" s="30" t="s">
        <v>199</v>
      </c>
      <c r="AO525" s="30" t="s">
        <v>200</v>
      </c>
      <c r="AP525" s="30" t="s">
        <v>201</v>
      </c>
      <c r="AQ525" s="30" t="s">
        <v>202</v>
      </c>
      <c r="AR525" s="30" t="s">
        <v>145</v>
      </c>
      <c r="AT525" s="30" t="s">
        <v>99</v>
      </c>
      <c r="AU525" s="30" t="s">
        <v>100</v>
      </c>
      <c r="AV525" s="30" t="s">
        <v>101</v>
      </c>
      <c r="AW525" s="30" t="s">
        <v>102</v>
      </c>
      <c r="AX525" s="34" t="s">
        <v>86</v>
      </c>
      <c r="AY525" s="34" t="s">
        <v>149</v>
      </c>
      <c r="AZ525" s="34" t="s">
        <v>149</v>
      </c>
      <c r="BA525" s="34"/>
      <c r="BB525" s="34"/>
      <c r="BC525" s="34">
        <v>0</v>
      </c>
      <c r="BD525" s="34"/>
      <c r="BE525" s="34"/>
      <c r="BF525" s="34" t="b">
        <v>0</v>
      </c>
      <c r="BG525" s="34"/>
      <c r="BH525" s="34"/>
      <c r="BI525" s="34"/>
      <c r="BJ525" s="34"/>
      <c r="BK525" s="34"/>
      <c r="BL525" s="34"/>
      <c r="BM525" s="34" t="s">
        <v>168</v>
      </c>
      <c r="BN525" s="34"/>
      <c r="BO525" s="35"/>
      <c r="BP525" s="35"/>
      <c r="BQ525" s="35" t="s">
        <v>108</v>
      </c>
      <c r="BR525" s="36" t="e">
        <f>VLOOKUP(BQ525, Cat_Indicadores!B:C, 2, FALSE)</f>
        <v>#N/A</v>
      </c>
      <c r="BS525" s="35" t="s">
        <v>5592</v>
      </c>
      <c r="BT525" s="35"/>
    </row>
    <row r="526" spans="1:72">
      <c r="A526" s="29" t="s">
        <v>2175</v>
      </c>
      <c r="B526" s="30" t="s">
        <v>2176</v>
      </c>
      <c r="C526" s="31">
        <v>46301.473298611112</v>
      </c>
      <c r="D526" s="30">
        <v>71</v>
      </c>
      <c r="E526" s="30" t="s">
        <v>1711</v>
      </c>
      <c r="F526" s="30" t="s">
        <v>1712</v>
      </c>
      <c r="G526" s="30" t="s">
        <v>1735</v>
      </c>
      <c r="H526" s="30" t="s">
        <v>1392</v>
      </c>
      <c r="I526" s="30" t="s">
        <v>1714</v>
      </c>
      <c r="J526" s="30" t="s">
        <v>1736</v>
      </c>
      <c r="K526" s="32">
        <v>4</v>
      </c>
      <c r="L526" s="32" t="s">
        <v>80</v>
      </c>
      <c r="M526" s="30" t="s">
        <v>2177</v>
      </c>
      <c r="N526" s="30" t="s">
        <v>2178</v>
      </c>
      <c r="O526" s="30" t="s">
        <v>83</v>
      </c>
      <c r="P526" s="33">
        <v>46178</v>
      </c>
      <c r="Q526" s="33">
        <v>46178</v>
      </c>
      <c r="R526" s="32">
        <v>1</v>
      </c>
      <c r="S526" s="30" t="s">
        <v>249</v>
      </c>
      <c r="T526" s="30" t="s">
        <v>259</v>
      </c>
      <c r="U526" s="30" t="s">
        <v>137</v>
      </c>
      <c r="V526" s="30" t="s">
        <v>87</v>
      </c>
      <c r="W526" s="30" t="s">
        <v>88</v>
      </c>
      <c r="X526" s="30" t="s">
        <v>1719</v>
      </c>
      <c r="AB526" s="30" t="b">
        <v>0</v>
      </c>
      <c r="AC526" s="30"/>
      <c r="AD526" s="30" t="b">
        <v>1</v>
      </c>
      <c r="AE526" s="30">
        <v>1</v>
      </c>
      <c r="AF526" s="30" t="b">
        <v>0</v>
      </c>
      <c r="AH526" s="32" t="s">
        <v>91</v>
      </c>
      <c r="AI526" s="32"/>
      <c r="AJ526" s="32"/>
      <c r="AK526" s="32"/>
      <c r="AL526" s="30" t="s">
        <v>1720</v>
      </c>
      <c r="AM526" s="30" t="s">
        <v>1739</v>
      </c>
      <c r="AN526" s="30" t="s">
        <v>199</v>
      </c>
      <c r="AO526" s="30" t="s">
        <v>200</v>
      </c>
      <c r="AP526" s="30" t="s">
        <v>201</v>
      </c>
      <c r="AQ526" s="30" t="s">
        <v>202</v>
      </c>
      <c r="AR526" s="30" t="s">
        <v>97</v>
      </c>
      <c r="AS526" s="30" t="s">
        <v>98</v>
      </c>
      <c r="AT526" s="30" t="s">
        <v>275</v>
      </c>
      <c r="AU526" s="30" t="s">
        <v>276</v>
      </c>
      <c r="AV526" s="30" t="s">
        <v>1740</v>
      </c>
      <c r="AW526" s="30" t="s">
        <v>278</v>
      </c>
      <c r="AX526" s="34" t="s">
        <v>137</v>
      </c>
      <c r="AY526" s="34" t="s">
        <v>149</v>
      </c>
      <c r="AZ526" s="34" t="s">
        <v>149</v>
      </c>
      <c r="BA526" s="34" t="s">
        <v>2179</v>
      </c>
      <c r="BB526" s="34">
        <v>5</v>
      </c>
      <c r="BC526" s="34">
        <v>1</v>
      </c>
      <c r="BD526" s="34" t="s">
        <v>1365</v>
      </c>
      <c r="BE526" s="34" t="s">
        <v>2180</v>
      </c>
      <c r="BF526" s="34" t="b">
        <v>1</v>
      </c>
      <c r="BG526" s="34" t="s">
        <v>1042</v>
      </c>
      <c r="BH526" s="34">
        <v>100000</v>
      </c>
      <c r="BI526" s="34"/>
      <c r="BJ526" s="34"/>
      <c r="BK526" s="34"/>
      <c r="BL526" s="34"/>
      <c r="BM526" s="34" t="s">
        <v>168</v>
      </c>
      <c r="BN526" s="34"/>
      <c r="BO526" s="35"/>
      <c r="BP526" s="35"/>
      <c r="BQ526" s="35" t="s">
        <v>108</v>
      </c>
      <c r="BR526" s="36" t="e">
        <f>VLOOKUP(BQ526, Cat_Indicadores!B:C, 2, FALSE)</f>
        <v>#N/A</v>
      </c>
      <c r="BS526" s="35" t="s">
        <v>5592</v>
      </c>
      <c r="BT526" s="35"/>
    </row>
    <row r="527" spans="1:72">
      <c r="A527" s="29" t="s">
        <v>2181</v>
      </c>
      <c r="B527" s="30" t="s">
        <v>2182</v>
      </c>
      <c r="C527" s="31">
        <v>46301.526469907411</v>
      </c>
      <c r="D527" s="30">
        <v>92</v>
      </c>
      <c r="E527" s="30" t="s">
        <v>74</v>
      </c>
      <c r="F527" s="30" t="s">
        <v>75</v>
      </c>
      <c r="G527" s="30" t="s">
        <v>133</v>
      </c>
      <c r="H527" s="30" t="s">
        <v>77</v>
      </c>
      <c r="I527" s="30" t="s">
        <v>78</v>
      </c>
      <c r="J527" s="30" t="s">
        <v>79</v>
      </c>
      <c r="K527" s="32">
        <v>800</v>
      </c>
      <c r="L527" s="32" t="s">
        <v>211</v>
      </c>
      <c r="M527" s="30" t="s">
        <v>2183</v>
      </c>
      <c r="N527" s="30" t="s">
        <v>2184</v>
      </c>
      <c r="O527" s="30" t="s">
        <v>83</v>
      </c>
      <c r="P527" s="33">
        <v>46199</v>
      </c>
      <c r="Q527" s="33">
        <v>46199</v>
      </c>
      <c r="R527" s="32">
        <v>1</v>
      </c>
      <c r="S527" s="30" t="s">
        <v>243</v>
      </c>
      <c r="T527" s="30" t="s">
        <v>328</v>
      </c>
      <c r="U527" s="30" t="s">
        <v>86</v>
      </c>
      <c r="V527" s="30" t="s">
        <v>87</v>
      </c>
      <c r="W527" s="30" t="s">
        <v>88</v>
      </c>
      <c r="X527" s="30" t="s">
        <v>197</v>
      </c>
      <c r="Y527" s="30" t="s">
        <v>1270</v>
      </c>
      <c r="AB527" s="30" t="b">
        <v>0</v>
      </c>
      <c r="AC527" s="30"/>
      <c r="AD527" s="30" t="b">
        <v>0</v>
      </c>
      <c r="AF527" s="30" t="b">
        <v>0</v>
      </c>
      <c r="AH527" s="32" t="s">
        <v>91</v>
      </c>
      <c r="AI527" s="32"/>
      <c r="AJ527" s="32"/>
      <c r="AK527" s="32"/>
      <c r="AL527" s="30" t="s">
        <v>92</v>
      </c>
      <c r="AM527" s="30" t="s">
        <v>93</v>
      </c>
      <c r="AN527" s="30" t="s">
        <v>199</v>
      </c>
      <c r="AO527" s="30" t="s">
        <v>200</v>
      </c>
      <c r="AP527" s="30" t="s">
        <v>201</v>
      </c>
      <c r="AQ527" s="30" t="s">
        <v>202</v>
      </c>
      <c r="AR527" s="30" t="s">
        <v>145</v>
      </c>
      <c r="AT527" s="30" t="s">
        <v>99</v>
      </c>
      <c r="AU527" s="30" t="s">
        <v>100</v>
      </c>
      <c r="AV527" s="30" t="s">
        <v>101</v>
      </c>
      <c r="AW527" s="30" t="s">
        <v>102</v>
      </c>
      <c r="AX527" s="34" t="s">
        <v>86</v>
      </c>
      <c r="AY527" s="34" t="s">
        <v>149</v>
      </c>
      <c r="AZ527" s="34" t="s">
        <v>149</v>
      </c>
      <c r="BA527" s="34"/>
      <c r="BB527" s="34"/>
      <c r="BC527" s="34">
        <v>0</v>
      </c>
      <c r="BD527" s="34"/>
      <c r="BE527" s="34"/>
      <c r="BF527" s="34" t="b">
        <v>0</v>
      </c>
      <c r="BG527" s="34"/>
      <c r="BH527" s="34"/>
      <c r="BI527" s="34"/>
      <c r="BJ527" s="34"/>
      <c r="BK527" s="34"/>
      <c r="BL527" s="34"/>
      <c r="BM527" s="34" t="s">
        <v>168</v>
      </c>
      <c r="BN527" s="34"/>
      <c r="BO527" s="35"/>
      <c r="BP527" s="35"/>
      <c r="BQ527" s="35" t="s">
        <v>108</v>
      </c>
      <c r="BR527" s="36" t="e">
        <f>VLOOKUP(BQ527, Cat_Indicadores!B:C, 2, FALSE)</f>
        <v>#N/A</v>
      </c>
      <c r="BS527" s="35" t="s">
        <v>5592</v>
      </c>
      <c r="BT527" s="35"/>
    </row>
    <row r="528" spans="1:72">
      <c r="A528" s="29" t="s">
        <v>2185</v>
      </c>
      <c r="B528" s="30" t="s">
        <v>2186</v>
      </c>
      <c r="C528" s="31">
        <v>46301.530775462961</v>
      </c>
      <c r="D528" s="30">
        <v>92</v>
      </c>
      <c r="E528" s="30" t="s">
        <v>74</v>
      </c>
      <c r="F528" s="30" t="s">
        <v>75</v>
      </c>
      <c r="G528" s="30" t="s">
        <v>133</v>
      </c>
      <c r="H528" s="30" t="s">
        <v>77</v>
      </c>
      <c r="I528" s="30" t="s">
        <v>78</v>
      </c>
      <c r="J528" s="30" t="s">
        <v>79</v>
      </c>
      <c r="K528" s="32">
        <v>800</v>
      </c>
      <c r="L528" s="32" t="s">
        <v>211</v>
      </c>
      <c r="M528" s="30" t="s">
        <v>2187</v>
      </c>
      <c r="N528" s="30" t="s">
        <v>402</v>
      </c>
      <c r="O528" s="30" t="s">
        <v>83</v>
      </c>
      <c r="P528" s="33">
        <v>46184</v>
      </c>
      <c r="Q528" s="33">
        <v>46184</v>
      </c>
      <c r="R528" s="32">
        <v>1</v>
      </c>
      <c r="S528" s="30" t="s">
        <v>84</v>
      </c>
      <c r="T528" s="30" t="s">
        <v>337</v>
      </c>
      <c r="U528" s="30" t="s">
        <v>86</v>
      </c>
      <c r="V528" s="30" t="s">
        <v>87</v>
      </c>
      <c r="W528" s="30" t="s">
        <v>88</v>
      </c>
      <c r="X528" s="30" t="s">
        <v>197</v>
      </c>
      <c r="Y528" s="30" t="s">
        <v>1270</v>
      </c>
      <c r="AB528" s="30" t="b">
        <v>0</v>
      </c>
      <c r="AC528" s="30"/>
      <c r="AD528" s="30" t="b">
        <v>0</v>
      </c>
      <c r="AF528" s="30" t="b">
        <v>0</v>
      </c>
      <c r="AH528" s="32" t="s">
        <v>91</v>
      </c>
      <c r="AI528" s="32"/>
      <c r="AJ528" s="32"/>
      <c r="AK528" s="32"/>
      <c r="AL528" s="30" t="s">
        <v>92</v>
      </c>
      <c r="AM528" s="30" t="s">
        <v>93</v>
      </c>
      <c r="AN528" s="30" t="s">
        <v>199</v>
      </c>
      <c r="AO528" s="30" t="s">
        <v>200</v>
      </c>
      <c r="AP528" s="30" t="s">
        <v>201</v>
      </c>
      <c r="AQ528" s="30" t="s">
        <v>202</v>
      </c>
      <c r="AR528" s="30" t="s">
        <v>145</v>
      </c>
      <c r="AT528" s="30" t="s">
        <v>99</v>
      </c>
      <c r="AU528" s="30" t="s">
        <v>100</v>
      </c>
      <c r="AV528" s="30" t="s">
        <v>101</v>
      </c>
      <c r="AW528" s="30" t="s">
        <v>102</v>
      </c>
      <c r="AX528" s="34" t="s">
        <v>86</v>
      </c>
      <c r="AY528" s="34" t="s">
        <v>149</v>
      </c>
      <c r="AZ528" s="34" t="s">
        <v>149</v>
      </c>
      <c r="BA528" s="34"/>
      <c r="BB528" s="34"/>
      <c r="BC528" s="34">
        <v>0</v>
      </c>
      <c r="BD528" s="34"/>
      <c r="BE528" s="34"/>
      <c r="BF528" s="34" t="b">
        <v>0</v>
      </c>
      <c r="BG528" s="34"/>
      <c r="BH528" s="34"/>
      <c r="BI528" s="34"/>
      <c r="BJ528" s="34"/>
      <c r="BK528" s="34"/>
      <c r="BL528" s="34"/>
      <c r="BM528" s="34" t="s">
        <v>168</v>
      </c>
      <c r="BN528" s="34"/>
      <c r="BO528" s="35"/>
      <c r="BP528" s="35"/>
      <c r="BQ528" s="35" t="s">
        <v>108</v>
      </c>
      <c r="BR528" s="36" t="e">
        <f>VLOOKUP(BQ528, Cat_Indicadores!B:C, 2, FALSE)</f>
        <v>#N/A</v>
      </c>
      <c r="BS528" s="35" t="s">
        <v>5592</v>
      </c>
      <c r="BT528" s="35"/>
    </row>
    <row r="529" spans="1:72">
      <c r="A529" s="29" t="s">
        <v>2188</v>
      </c>
      <c r="B529" s="30" t="s">
        <v>2189</v>
      </c>
      <c r="C529" s="31">
        <v>46301.535509259258</v>
      </c>
      <c r="D529" s="30">
        <v>92</v>
      </c>
      <c r="E529" s="30" t="s">
        <v>74</v>
      </c>
      <c r="F529" s="30" t="s">
        <v>75</v>
      </c>
      <c r="G529" s="30" t="s">
        <v>133</v>
      </c>
      <c r="H529" s="30" t="s">
        <v>77</v>
      </c>
      <c r="I529" s="30" t="s">
        <v>78</v>
      </c>
      <c r="J529" s="30" t="s">
        <v>79</v>
      </c>
      <c r="K529" s="32">
        <v>800</v>
      </c>
      <c r="L529" s="32" t="s">
        <v>211</v>
      </c>
      <c r="M529" s="30" t="s">
        <v>2190</v>
      </c>
      <c r="N529" s="30" t="s">
        <v>402</v>
      </c>
      <c r="O529" s="30" t="s">
        <v>83</v>
      </c>
      <c r="P529" s="33">
        <v>46191</v>
      </c>
      <c r="Q529" s="33">
        <v>46191</v>
      </c>
      <c r="R529" s="32">
        <v>1</v>
      </c>
      <c r="S529" s="30" t="s">
        <v>84</v>
      </c>
      <c r="T529" s="30" t="s">
        <v>337</v>
      </c>
      <c r="U529" s="30" t="s">
        <v>349</v>
      </c>
      <c r="V529" s="30" t="s">
        <v>87</v>
      </c>
      <c r="W529" s="30" t="s">
        <v>88</v>
      </c>
      <c r="X529" s="30" t="s">
        <v>197</v>
      </c>
      <c r="Y529" s="30" t="s">
        <v>1288</v>
      </c>
      <c r="AB529" s="30" t="b">
        <v>0</v>
      </c>
      <c r="AC529" s="30"/>
      <c r="AD529" s="30" t="b">
        <v>0</v>
      </c>
      <c r="AF529" s="30" t="b">
        <v>0</v>
      </c>
      <c r="AH529" s="32" t="s">
        <v>91</v>
      </c>
      <c r="AI529" s="32"/>
      <c r="AJ529" s="32"/>
      <c r="AK529" s="32"/>
      <c r="AL529" s="30" t="s">
        <v>92</v>
      </c>
      <c r="AM529" s="30" t="s">
        <v>93</v>
      </c>
      <c r="AN529" s="30" t="s">
        <v>199</v>
      </c>
      <c r="AO529" s="30" t="s">
        <v>200</v>
      </c>
      <c r="AP529" s="30" t="s">
        <v>201</v>
      </c>
      <c r="AQ529" s="30" t="s">
        <v>202</v>
      </c>
      <c r="AR529" s="30" t="s">
        <v>145</v>
      </c>
      <c r="AT529" s="30" t="s">
        <v>99</v>
      </c>
      <c r="AU529" s="30" t="s">
        <v>100</v>
      </c>
      <c r="AV529" s="30" t="s">
        <v>101</v>
      </c>
      <c r="AW529" s="30" t="s">
        <v>102</v>
      </c>
      <c r="AX529" s="34" t="s">
        <v>349</v>
      </c>
      <c r="AY529" s="34" t="s">
        <v>149</v>
      </c>
      <c r="AZ529" s="34" t="s">
        <v>149</v>
      </c>
      <c r="BA529" s="34"/>
      <c r="BB529" s="34"/>
      <c r="BC529" s="34">
        <v>0</v>
      </c>
      <c r="BD529" s="34"/>
      <c r="BE529" s="34"/>
      <c r="BF529" s="34" t="b">
        <v>0</v>
      </c>
      <c r="BG529" s="34"/>
      <c r="BH529" s="34"/>
      <c r="BI529" s="34"/>
      <c r="BJ529" s="34"/>
      <c r="BK529" s="34"/>
      <c r="BL529" s="34"/>
      <c r="BM529" s="34" t="s">
        <v>168</v>
      </c>
      <c r="BN529" s="34"/>
      <c r="BO529" s="35"/>
      <c r="BP529" s="35"/>
      <c r="BQ529" s="35" t="s">
        <v>108</v>
      </c>
      <c r="BR529" s="36" t="e">
        <f>VLOOKUP(BQ529, Cat_Indicadores!B:C, 2, FALSE)</f>
        <v>#N/A</v>
      </c>
      <c r="BS529" s="35" t="s">
        <v>5592</v>
      </c>
      <c r="BT529" s="35"/>
    </row>
    <row r="530" spans="1:72">
      <c r="A530" s="29" t="s">
        <v>2191</v>
      </c>
      <c r="B530" s="30" t="s">
        <v>2192</v>
      </c>
      <c r="C530" s="31">
        <v>46301.538761574076</v>
      </c>
      <c r="D530" s="30">
        <v>92</v>
      </c>
      <c r="E530" s="30" t="s">
        <v>74</v>
      </c>
      <c r="F530" s="30" t="s">
        <v>75</v>
      </c>
      <c r="G530" s="30" t="s">
        <v>133</v>
      </c>
      <c r="H530" s="30" t="s">
        <v>77</v>
      </c>
      <c r="I530" s="30" t="s">
        <v>78</v>
      </c>
      <c r="J530" s="30" t="s">
        <v>79</v>
      </c>
      <c r="K530" s="32">
        <v>800</v>
      </c>
      <c r="L530" s="32" t="s">
        <v>80</v>
      </c>
      <c r="M530" s="30" t="s">
        <v>2193</v>
      </c>
      <c r="N530" s="30" t="s">
        <v>402</v>
      </c>
      <c r="O530" s="30" t="s">
        <v>83</v>
      </c>
      <c r="P530" s="33">
        <v>46175</v>
      </c>
      <c r="Q530" s="33">
        <v>46175</v>
      </c>
      <c r="R530" s="32">
        <v>1</v>
      </c>
      <c r="S530" s="30" t="s">
        <v>84</v>
      </c>
      <c r="T530" s="30" t="s">
        <v>337</v>
      </c>
      <c r="U530" s="30" t="s">
        <v>349</v>
      </c>
      <c r="V530" s="30" t="s">
        <v>87</v>
      </c>
      <c r="W530" s="30" t="s">
        <v>88</v>
      </c>
      <c r="X530" s="30" t="s">
        <v>197</v>
      </c>
      <c r="Y530" s="30" t="s">
        <v>1288</v>
      </c>
      <c r="AB530" s="30" t="b">
        <v>0</v>
      </c>
      <c r="AC530" s="30"/>
      <c r="AD530" s="30" t="b">
        <v>0</v>
      </c>
      <c r="AF530" s="30" t="b">
        <v>0</v>
      </c>
      <c r="AH530" s="32" t="s">
        <v>91</v>
      </c>
      <c r="AI530" s="32"/>
      <c r="AJ530" s="32"/>
      <c r="AK530" s="32"/>
      <c r="AL530" s="30" t="s">
        <v>92</v>
      </c>
      <c r="AM530" s="30" t="s">
        <v>93</v>
      </c>
      <c r="AN530" s="30" t="s">
        <v>199</v>
      </c>
      <c r="AO530" s="30" t="s">
        <v>200</v>
      </c>
      <c r="AP530" s="30" t="s">
        <v>201</v>
      </c>
      <c r="AQ530" s="30" t="s">
        <v>202</v>
      </c>
      <c r="AR530" s="30" t="s">
        <v>145</v>
      </c>
      <c r="AT530" s="30" t="s">
        <v>99</v>
      </c>
      <c r="AU530" s="30" t="s">
        <v>100</v>
      </c>
      <c r="AV530" s="30" t="s">
        <v>101</v>
      </c>
      <c r="AW530" s="30" t="s">
        <v>102</v>
      </c>
      <c r="AX530" s="34" t="s">
        <v>349</v>
      </c>
      <c r="AY530" s="34" t="s">
        <v>149</v>
      </c>
      <c r="AZ530" s="34" t="s">
        <v>149</v>
      </c>
      <c r="BA530" s="34"/>
      <c r="BB530" s="34"/>
      <c r="BC530" s="34">
        <v>0</v>
      </c>
      <c r="BD530" s="34"/>
      <c r="BE530" s="34"/>
      <c r="BF530" s="34" t="b">
        <v>0</v>
      </c>
      <c r="BG530" s="34"/>
      <c r="BH530" s="34"/>
      <c r="BI530" s="34"/>
      <c r="BJ530" s="34"/>
      <c r="BK530" s="34"/>
      <c r="BL530" s="34"/>
      <c r="BM530" s="34" t="s">
        <v>168</v>
      </c>
      <c r="BN530" s="34"/>
      <c r="BO530" s="35"/>
      <c r="BP530" s="35"/>
      <c r="BQ530" s="35" t="s">
        <v>108</v>
      </c>
      <c r="BR530" s="36" t="e">
        <f>VLOOKUP(BQ530, Cat_Indicadores!B:C, 2, FALSE)</f>
        <v>#N/A</v>
      </c>
      <c r="BS530" s="35" t="s">
        <v>5592</v>
      </c>
      <c r="BT530" s="35"/>
    </row>
    <row r="531" spans="1:72">
      <c r="A531" s="29" t="s">
        <v>2194</v>
      </c>
      <c r="B531" s="30" t="s">
        <v>2195</v>
      </c>
      <c r="C531" s="31">
        <v>46301.540370370371</v>
      </c>
      <c r="D531" s="30">
        <v>92</v>
      </c>
      <c r="E531" s="30" t="s">
        <v>74</v>
      </c>
      <c r="F531" s="30" t="s">
        <v>75</v>
      </c>
      <c r="G531" s="30" t="s">
        <v>133</v>
      </c>
      <c r="H531" s="30" t="s">
        <v>77</v>
      </c>
      <c r="I531" s="30" t="s">
        <v>78</v>
      </c>
      <c r="J531" s="30" t="s">
        <v>79</v>
      </c>
      <c r="K531" s="32">
        <v>800</v>
      </c>
      <c r="L531" s="32" t="s">
        <v>80</v>
      </c>
      <c r="M531" s="30" t="s">
        <v>2196</v>
      </c>
      <c r="N531" s="30" t="s">
        <v>402</v>
      </c>
      <c r="O531" s="30" t="s">
        <v>83</v>
      </c>
      <c r="P531" s="33">
        <v>46182</v>
      </c>
      <c r="Q531" s="33">
        <v>46182</v>
      </c>
      <c r="R531" s="32">
        <v>1</v>
      </c>
      <c r="S531" s="30" t="s">
        <v>84</v>
      </c>
      <c r="T531" s="30" t="s">
        <v>337</v>
      </c>
      <c r="U531" s="30" t="s">
        <v>349</v>
      </c>
      <c r="V531" s="30" t="s">
        <v>87</v>
      </c>
      <c r="W531" s="30" t="s">
        <v>88</v>
      </c>
      <c r="X531" s="30" t="s">
        <v>197</v>
      </c>
      <c r="Y531" s="30" t="s">
        <v>1288</v>
      </c>
      <c r="AB531" s="30" t="b">
        <v>0</v>
      </c>
      <c r="AC531" s="30"/>
      <c r="AD531" s="30" t="b">
        <v>0</v>
      </c>
      <c r="AF531" s="30" t="b">
        <v>0</v>
      </c>
      <c r="AH531" s="32" t="s">
        <v>91</v>
      </c>
      <c r="AI531" s="32"/>
      <c r="AJ531" s="32"/>
      <c r="AK531" s="32"/>
      <c r="AL531" s="30" t="s">
        <v>92</v>
      </c>
      <c r="AM531" s="30" t="s">
        <v>93</v>
      </c>
      <c r="AN531" s="30" t="s">
        <v>199</v>
      </c>
      <c r="AO531" s="30" t="s">
        <v>200</v>
      </c>
      <c r="AP531" s="30" t="s">
        <v>201</v>
      </c>
      <c r="AQ531" s="30" t="s">
        <v>202</v>
      </c>
      <c r="AR531" s="30" t="s">
        <v>145</v>
      </c>
      <c r="AT531" s="30" t="s">
        <v>99</v>
      </c>
      <c r="AU531" s="30" t="s">
        <v>100</v>
      </c>
      <c r="AV531" s="30" t="s">
        <v>101</v>
      </c>
      <c r="AW531" s="30" t="s">
        <v>102</v>
      </c>
      <c r="AX531" s="34" t="s">
        <v>349</v>
      </c>
      <c r="AY531" s="34" t="s">
        <v>149</v>
      </c>
      <c r="AZ531" s="34" t="s">
        <v>149</v>
      </c>
      <c r="BA531" s="34"/>
      <c r="BB531" s="34"/>
      <c r="BC531" s="34">
        <v>0</v>
      </c>
      <c r="BD531" s="34"/>
      <c r="BE531" s="34"/>
      <c r="BF531" s="34" t="b">
        <v>0</v>
      </c>
      <c r="BG531" s="34"/>
      <c r="BH531" s="34"/>
      <c r="BI531" s="34"/>
      <c r="BJ531" s="34"/>
      <c r="BK531" s="34"/>
      <c r="BL531" s="34"/>
      <c r="BM531" s="34" t="s">
        <v>168</v>
      </c>
      <c r="BN531" s="34"/>
      <c r="BO531" s="35"/>
      <c r="BP531" s="35"/>
      <c r="BQ531" s="35" t="s">
        <v>108</v>
      </c>
      <c r="BR531" s="36" t="e">
        <f>VLOOKUP(BQ531, Cat_Indicadores!B:C, 2, FALSE)</f>
        <v>#N/A</v>
      </c>
      <c r="BS531" s="35" t="s">
        <v>5592</v>
      </c>
      <c r="BT531" s="35"/>
    </row>
    <row r="532" spans="1:72">
      <c r="A532" s="29" t="s">
        <v>2197</v>
      </c>
      <c r="B532" s="30" t="s">
        <v>2198</v>
      </c>
      <c r="C532" s="31">
        <v>46301.542673611111</v>
      </c>
      <c r="D532" s="30">
        <v>92</v>
      </c>
      <c r="E532" s="30" t="s">
        <v>74</v>
      </c>
      <c r="F532" s="30" t="s">
        <v>75</v>
      </c>
      <c r="G532" s="30" t="s">
        <v>133</v>
      </c>
      <c r="H532" s="30" t="s">
        <v>77</v>
      </c>
      <c r="I532" s="30" t="s">
        <v>78</v>
      </c>
      <c r="J532" s="30" t="s">
        <v>79</v>
      </c>
      <c r="K532" s="32">
        <v>800</v>
      </c>
      <c r="L532" s="32" t="s">
        <v>80</v>
      </c>
      <c r="M532" s="30" t="s">
        <v>2199</v>
      </c>
      <c r="N532" s="30" t="s">
        <v>402</v>
      </c>
      <c r="O532" s="30" t="s">
        <v>83</v>
      </c>
      <c r="P532" s="33">
        <v>46188</v>
      </c>
      <c r="Q532" s="33">
        <v>46188</v>
      </c>
      <c r="R532" s="32">
        <v>1</v>
      </c>
      <c r="S532" s="30" t="s">
        <v>84</v>
      </c>
      <c r="T532" s="30" t="s">
        <v>337</v>
      </c>
      <c r="U532" s="30" t="s">
        <v>349</v>
      </c>
      <c r="V532" s="30" t="s">
        <v>87</v>
      </c>
      <c r="W532" s="30" t="s">
        <v>88</v>
      </c>
      <c r="X532" s="30" t="s">
        <v>197</v>
      </c>
      <c r="Y532" s="30" t="s">
        <v>1282</v>
      </c>
      <c r="AB532" s="30" t="b">
        <v>0</v>
      </c>
      <c r="AC532" s="30"/>
      <c r="AD532" s="30" t="b">
        <v>0</v>
      </c>
      <c r="AF532" s="30" t="b">
        <v>0</v>
      </c>
      <c r="AH532" s="32" t="s">
        <v>91</v>
      </c>
      <c r="AI532" s="32"/>
      <c r="AJ532" s="32"/>
      <c r="AK532" s="32"/>
      <c r="AL532" s="30" t="s">
        <v>92</v>
      </c>
      <c r="AM532" s="30" t="s">
        <v>93</v>
      </c>
      <c r="AN532" s="30" t="s">
        <v>199</v>
      </c>
      <c r="AO532" s="30" t="s">
        <v>200</v>
      </c>
      <c r="AP532" s="30" t="s">
        <v>201</v>
      </c>
      <c r="AQ532" s="30" t="s">
        <v>202</v>
      </c>
      <c r="AR532" s="30" t="s">
        <v>145</v>
      </c>
      <c r="AT532" s="30" t="s">
        <v>99</v>
      </c>
      <c r="AU532" s="30" t="s">
        <v>100</v>
      </c>
      <c r="AV532" s="30" t="s">
        <v>101</v>
      </c>
      <c r="AW532" s="30" t="s">
        <v>102</v>
      </c>
      <c r="AX532" s="34" t="s">
        <v>349</v>
      </c>
      <c r="AY532" s="34" t="s">
        <v>149</v>
      </c>
      <c r="AZ532" s="34" t="s">
        <v>149</v>
      </c>
      <c r="BA532" s="34"/>
      <c r="BB532" s="34"/>
      <c r="BC532" s="34">
        <v>0</v>
      </c>
      <c r="BD532" s="34"/>
      <c r="BE532" s="34"/>
      <c r="BF532" s="34" t="b">
        <v>0</v>
      </c>
      <c r="BG532" s="34"/>
      <c r="BH532" s="34"/>
      <c r="BI532" s="34"/>
      <c r="BJ532" s="34"/>
      <c r="BK532" s="34"/>
      <c r="BL532" s="34"/>
      <c r="BM532" s="34" t="s">
        <v>168</v>
      </c>
      <c r="BN532" s="34"/>
      <c r="BO532" s="35"/>
      <c r="BP532" s="35"/>
      <c r="BQ532" s="35" t="s">
        <v>108</v>
      </c>
      <c r="BR532" s="36" t="e">
        <f>VLOOKUP(BQ532, Cat_Indicadores!B:C, 2, FALSE)</f>
        <v>#N/A</v>
      </c>
      <c r="BS532" s="35" t="s">
        <v>5592</v>
      </c>
      <c r="BT532" s="35"/>
    </row>
    <row r="533" spans="1:72">
      <c r="A533" s="29" t="s">
        <v>2200</v>
      </c>
      <c r="B533" s="30" t="s">
        <v>2201</v>
      </c>
      <c r="C533" s="31">
        <v>46301.543182870373</v>
      </c>
      <c r="D533" s="30">
        <v>73</v>
      </c>
      <c r="E533" s="30" t="s">
        <v>1711</v>
      </c>
      <c r="F533" s="30" t="s">
        <v>1712</v>
      </c>
      <c r="G533" s="30" t="s">
        <v>2202</v>
      </c>
      <c r="H533" s="30" t="s">
        <v>1392</v>
      </c>
      <c r="I533" s="30" t="s">
        <v>1714</v>
      </c>
      <c r="J533" s="30" t="s">
        <v>1736</v>
      </c>
      <c r="K533" s="32">
        <v>2</v>
      </c>
      <c r="L533" s="32" t="s">
        <v>80</v>
      </c>
      <c r="M533" s="30" t="s">
        <v>2203</v>
      </c>
      <c r="N533" s="30" t="s">
        <v>2204</v>
      </c>
      <c r="O533" s="30" t="s">
        <v>83</v>
      </c>
      <c r="P533" s="33">
        <v>46125</v>
      </c>
      <c r="Q533" s="33">
        <v>46125</v>
      </c>
      <c r="R533" s="32">
        <v>1</v>
      </c>
      <c r="S533" s="30" t="s">
        <v>84</v>
      </c>
      <c r="T533" s="30" t="s">
        <v>136</v>
      </c>
      <c r="U533" s="30" t="s">
        <v>86</v>
      </c>
      <c r="V533" s="30" t="s">
        <v>87</v>
      </c>
      <c r="W533" s="30" t="s">
        <v>88</v>
      </c>
      <c r="X533" s="30" t="s">
        <v>89</v>
      </c>
      <c r="Z533" s="30" t="s">
        <v>2205</v>
      </c>
      <c r="AB533" s="30" t="b">
        <v>0</v>
      </c>
      <c r="AC533" s="30"/>
      <c r="AD533" s="30" t="b">
        <v>0</v>
      </c>
      <c r="AF533" s="30" t="b">
        <v>0</v>
      </c>
      <c r="AH533" s="32" t="s">
        <v>91</v>
      </c>
      <c r="AI533" s="32"/>
      <c r="AJ533" s="32"/>
      <c r="AK533" s="32"/>
      <c r="AL533" s="30" t="s">
        <v>1720</v>
      </c>
      <c r="AM533" s="30" t="s">
        <v>755</v>
      </c>
      <c r="AN533" s="30" t="s">
        <v>94</v>
      </c>
      <c r="AO533" s="30" t="s">
        <v>95</v>
      </c>
      <c r="AP533" s="30" t="s">
        <v>95</v>
      </c>
      <c r="AQ533" s="30" t="s">
        <v>96</v>
      </c>
      <c r="AR533" s="30" t="s">
        <v>97</v>
      </c>
      <c r="AS533" s="30" t="s">
        <v>98</v>
      </c>
      <c r="AT533" s="30" t="s">
        <v>275</v>
      </c>
      <c r="AU533" s="30" t="s">
        <v>276</v>
      </c>
      <c r="AV533" s="30" t="s">
        <v>1740</v>
      </c>
      <c r="AW533" s="30" t="s">
        <v>278</v>
      </c>
      <c r="AX533" s="34" t="s">
        <v>86</v>
      </c>
      <c r="AY533" s="34" t="s">
        <v>149</v>
      </c>
      <c r="AZ533" s="34" t="s">
        <v>149</v>
      </c>
      <c r="BA533" s="34"/>
      <c r="BB533" s="34">
        <v>5</v>
      </c>
      <c r="BC533" s="34">
        <v>1</v>
      </c>
      <c r="BD533" s="34" t="s">
        <v>185</v>
      </c>
      <c r="BE533" s="34" t="s">
        <v>2206</v>
      </c>
      <c r="BF533" s="34" t="b">
        <v>0</v>
      </c>
      <c r="BG533" s="34"/>
      <c r="BH533" s="34"/>
      <c r="BI533" s="34"/>
      <c r="BJ533" s="34"/>
      <c r="BK533" s="34"/>
      <c r="BL533" s="34"/>
      <c r="BM533" s="34" t="s">
        <v>168</v>
      </c>
      <c r="BN533" s="34"/>
      <c r="BO533" s="35"/>
      <c r="BP533" s="35"/>
      <c r="BQ533" s="35" t="s">
        <v>108</v>
      </c>
      <c r="BR533" s="36" t="e">
        <f>VLOOKUP(BQ533, Cat_Indicadores!B:C, 2, FALSE)</f>
        <v>#N/A</v>
      </c>
      <c r="BS533" s="35" t="s">
        <v>5592</v>
      </c>
      <c r="BT533" s="35"/>
    </row>
    <row r="534" spans="1:72">
      <c r="A534" s="29" t="s">
        <v>2207</v>
      </c>
      <c r="B534" s="30" t="s">
        <v>2208</v>
      </c>
      <c r="C534" s="31">
        <v>46301.554027777776</v>
      </c>
      <c r="D534" s="30">
        <v>73</v>
      </c>
      <c r="E534" s="30" t="s">
        <v>1711</v>
      </c>
      <c r="F534" s="30" t="s">
        <v>1712</v>
      </c>
      <c r="G534" s="30" t="s">
        <v>2202</v>
      </c>
      <c r="H534" s="30" t="s">
        <v>1392</v>
      </c>
      <c r="I534" s="30" t="s">
        <v>1714</v>
      </c>
      <c r="J534" s="30" t="s">
        <v>1736</v>
      </c>
      <c r="K534" s="32">
        <v>2</v>
      </c>
      <c r="L534" s="32" t="s">
        <v>80</v>
      </c>
      <c r="M534" s="30" t="s">
        <v>2203</v>
      </c>
      <c r="N534" s="30" t="s">
        <v>2204</v>
      </c>
      <c r="O534" s="30" t="s">
        <v>83</v>
      </c>
      <c r="P534" s="33">
        <v>46126</v>
      </c>
      <c r="Q534" s="33">
        <v>46126</v>
      </c>
      <c r="R534" s="32">
        <v>1</v>
      </c>
      <c r="S534" s="30" t="s">
        <v>84</v>
      </c>
      <c r="T534" s="30" t="s">
        <v>136</v>
      </c>
      <c r="U534" s="30" t="s">
        <v>86</v>
      </c>
      <c r="V534" s="30" t="s">
        <v>87</v>
      </c>
      <c r="W534" s="30" t="s">
        <v>88</v>
      </c>
      <c r="X534" s="30" t="s">
        <v>89</v>
      </c>
      <c r="Z534" s="30" t="s">
        <v>2209</v>
      </c>
      <c r="AB534" s="30" t="b">
        <v>0</v>
      </c>
      <c r="AC534" s="30"/>
      <c r="AD534" s="30" t="b">
        <v>0</v>
      </c>
      <c r="AF534" s="30" t="b">
        <v>0</v>
      </c>
      <c r="AH534" s="32" t="s">
        <v>91</v>
      </c>
      <c r="AI534" s="32"/>
      <c r="AJ534" s="32"/>
      <c r="AK534" s="32"/>
      <c r="AL534" s="30" t="s">
        <v>1720</v>
      </c>
      <c r="AM534" s="30" t="s">
        <v>755</v>
      </c>
      <c r="AN534" s="30" t="s">
        <v>94</v>
      </c>
      <c r="AO534" s="30" t="s">
        <v>95</v>
      </c>
      <c r="AP534" s="30" t="s">
        <v>95</v>
      </c>
      <c r="AQ534" s="30" t="s">
        <v>96</v>
      </c>
      <c r="AR534" s="30" t="s">
        <v>97</v>
      </c>
      <c r="AS534" s="30" t="s">
        <v>98</v>
      </c>
      <c r="AT534" s="30" t="s">
        <v>275</v>
      </c>
      <c r="AU534" s="30" t="s">
        <v>276</v>
      </c>
      <c r="AV534" s="30" t="s">
        <v>1740</v>
      </c>
      <c r="AW534" s="30" t="s">
        <v>278</v>
      </c>
      <c r="AX534" s="34" t="s">
        <v>86</v>
      </c>
      <c r="AY534" s="34" t="s">
        <v>149</v>
      </c>
      <c r="AZ534" s="34" t="s">
        <v>149</v>
      </c>
      <c r="BA534" s="34"/>
      <c r="BB534" s="34">
        <v>5</v>
      </c>
      <c r="BC534" s="34">
        <v>1</v>
      </c>
      <c r="BD534" s="34" t="s">
        <v>185</v>
      </c>
      <c r="BE534" s="34" t="s">
        <v>2206</v>
      </c>
      <c r="BF534" s="34" t="b">
        <v>0</v>
      </c>
      <c r="BG534" s="34"/>
      <c r="BH534" s="34"/>
      <c r="BI534" s="34"/>
      <c r="BJ534" s="34"/>
      <c r="BK534" s="34"/>
      <c r="BL534" s="34"/>
      <c r="BM534" s="34" t="s">
        <v>168</v>
      </c>
      <c r="BN534" s="34"/>
      <c r="BO534" s="35"/>
      <c r="BP534" s="35"/>
      <c r="BQ534" s="35" t="s">
        <v>108</v>
      </c>
      <c r="BR534" s="36" t="e">
        <f>VLOOKUP(BQ534, Cat_Indicadores!B:C, 2, FALSE)</f>
        <v>#N/A</v>
      </c>
      <c r="BS534" s="35" t="s">
        <v>5592</v>
      </c>
      <c r="BT534" s="35"/>
    </row>
    <row r="535" spans="1:72">
      <c r="A535" s="29" t="s">
        <v>2210</v>
      </c>
      <c r="B535" s="30" t="s">
        <v>2211</v>
      </c>
      <c r="C535" s="31">
        <v>46301.561967592592</v>
      </c>
      <c r="D535" s="30">
        <v>73</v>
      </c>
      <c r="E535" s="30" t="s">
        <v>1711</v>
      </c>
      <c r="F535" s="30" t="s">
        <v>1712</v>
      </c>
      <c r="G535" s="30" t="s">
        <v>2202</v>
      </c>
      <c r="H535" s="30" t="s">
        <v>1392</v>
      </c>
      <c r="I535" s="30" t="s">
        <v>1714</v>
      </c>
      <c r="J535" s="30" t="s">
        <v>1736</v>
      </c>
      <c r="K535" s="32">
        <v>2</v>
      </c>
      <c r="L535" s="32" t="s">
        <v>80</v>
      </c>
      <c r="M535" s="30" t="s">
        <v>2203</v>
      </c>
      <c r="N535" s="30" t="s">
        <v>2204</v>
      </c>
      <c r="O535" s="30" t="s">
        <v>83</v>
      </c>
      <c r="P535" s="33">
        <v>46128</v>
      </c>
      <c r="Q535" s="33">
        <v>46128</v>
      </c>
      <c r="R535" s="32">
        <v>1</v>
      </c>
      <c r="S535" s="30" t="s">
        <v>84</v>
      </c>
      <c r="T535" s="30" t="s">
        <v>136</v>
      </c>
      <c r="U535" s="30" t="s">
        <v>86</v>
      </c>
      <c r="V535" s="30" t="s">
        <v>87</v>
      </c>
      <c r="W535" s="30" t="s">
        <v>88</v>
      </c>
      <c r="X535" s="30" t="s">
        <v>89</v>
      </c>
      <c r="Z535" s="30" t="s">
        <v>2212</v>
      </c>
      <c r="AB535" s="30" t="b">
        <v>0</v>
      </c>
      <c r="AC535" s="30"/>
      <c r="AD535" s="30" t="b">
        <v>0</v>
      </c>
      <c r="AF535" s="30" t="b">
        <v>0</v>
      </c>
      <c r="AH535" s="32" t="s">
        <v>91</v>
      </c>
      <c r="AI535" s="32"/>
      <c r="AJ535" s="32"/>
      <c r="AK535" s="32"/>
      <c r="AL535" s="30" t="s">
        <v>1720</v>
      </c>
      <c r="AM535" s="30" t="s">
        <v>755</v>
      </c>
      <c r="AN535" s="30" t="s">
        <v>94</v>
      </c>
      <c r="AO535" s="30" t="s">
        <v>95</v>
      </c>
      <c r="AP535" s="30" t="s">
        <v>95</v>
      </c>
      <c r="AQ535" s="30" t="s">
        <v>96</v>
      </c>
      <c r="AR535" s="30" t="s">
        <v>97</v>
      </c>
      <c r="AS535" s="30" t="s">
        <v>98</v>
      </c>
      <c r="AT535" s="30" t="s">
        <v>275</v>
      </c>
      <c r="AU535" s="30" t="s">
        <v>276</v>
      </c>
      <c r="AV535" s="30" t="s">
        <v>1740</v>
      </c>
      <c r="AW535" s="30" t="s">
        <v>278</v>
      </c>
      <c r="AX535" s="34" t="s">
        <v>86</v>
      </c>
      <c r="AY535" s="34" t="s">
        <v>149</v>
      </c>
      <c r="AZ535" s="34" t="s">
        <v>149</v>
      </c>
      <c r="BA535" s="34"/>
      <c r="BB535" s="34">
        <v>5</v>
      </c>
      <c r="BC535" s="34">
        <v>1</v>
      </c>
      <c r="BD535" s="34" t="s">
        <v>185</v>
      </c>
      <c r="BE535" s="34" t="s">
        <v>2206</v>
      </c>
      <c r="BF535" s="34" t="b">
        <v>0</v>
      </c>
      <c r="BG535" s="34"/>
      <c r="BH535" s="34"/>
      <c r="BI535" s="34"/>
      <c r="BJ535" s="34"/>
      <c r="BK535" s="34"/>
      <c r="BL535" s="34"/>
      <c r="BM535" s="34" t="s">
        <v>168</v>
      </c>
      <c r="BN535" s="34"/>
      <c r="BO535" s="35"/>
      <c r="BP535" s="35"/>
      <c r="BQ535" s="35" t="s">
        <v>108</v>
      </c>
      <c r="BR535" s="36" t="e">
        <f>VLOOKUP(BQ535, Cat_Indicadores!B:C, 2, FALSE)</f>
        <v>#N/A</v>
      </c>
      <c r="BS535" s="35" t="s">
        <v>5592</v>
      </c>
      <c r="BT535" s="35"/>
    </row>
    <row r="536" spans="1:72">
      <c r="A536" s="29" t="s">
        <v>2213</v>
      </c>
      <c r="B536" s="30" t="s">
        <v>2214</v>
      </c>
      <c r="C536" s="31">
        <v>46301.565092592595</v>
      </c>
      <c r="D536" s="30">
        <v>73</v>
      </c>
      <c r="E536" s="30" t="s">
        <v>1711</v>
      </c>
      <c r="F536" s="30" t="s">
        <v>1712</v>
      </c>
      <c r="G536" s="30" t="s">
        <v>2202</v>
      </c>
      <c r="H536" s="30" t="s">
        <v>1392</v>
      </c>
      <c r="I536" s="30" t="s">
        <v>1714</v>
      </c>
      <c r="J536" s="30" t="s">
        <v>1736</v>
      </c>
      <c r="K536" s="32">
        <v>2</v>
      </c>
      <c r="L536" s="32" t="s">
        <v>80</v>
      </c>
      <c r="M536" s="30" t="s">
        <v>2203</v>
      </c>
      <c r="N536" s="30" t="s">
        <v>2204</v>
      </c>
      <c r="O536" s="30" t="s">
        <v>83</v>
      </c>
      <c r="P536" s="33">
        <v>46129</v>
      </c>
      <c r="Q536" s="33">
        <v>46129</v>
      </c>
      <c r="R536" s="32">
        <v>1</v>
      </c>
      <c r="S536" s="30" t="s">
        <v>84</v>
      </c>
      <c r="T536" s="30" t="s">
        <v>136</v>
      </c>
      <c r="U536" s="30" t="s">
        <v>86</v>
      </c>
      <c r="V536" s="30" t="s">
        <v>87</v>
      </c>
      <c r="W536" s="30" t="s">
        <v>88</v>
      </c>
      <c r="X536" s="30" t="s">
        <v>89</v>
      </c>
      <c r="Z536" s="30" t="s">
        <v>2215</v>
      </c>
      <c r="AB536" s="30" t="b">
        <v>0</v>
      </c>
      <c r="AC536" s="30"/>
      <c r="AD536" s="30" t="b">
        <v>0</v>
      </c>
      <c r="AF536" s="30" t="b">
        <v>0</v>
      </c>
      <c r="AH536" s="32" t="s">
        <v>91</v>
      </c>
      <c r="AI536" s="32"/>
      <c r="AJ536" s="32"/>
      <c r="AK536" s="32"/>
      <c r="AL536" s="30" t="s">
        <v>1720</v>
      </c>
      <c r="AM536" s="30" t="s">
        <v>755</v>
      </c>
      <c r="AN536" s="30" t="s">
        <v>94</v>
      </c>
      <c r="AO536" s="30" t="s">
        <v>95</v>
      </c>
      <c r="AP536" s="30" t="s">
        <v>95</v>
      </c>
      <c r="AQ536" s="30" t="s">
        <v>96</v>
      </c>
      <c r="AR536" s="30" t="s">
        <v>97</v>
      </c>
      <c r="AS536" s="30" t="s">
        <v>98</v>
      </c>
      <c r="AT536" s="30" t="s">
        <v>275</v>
      </c>
      <c r="AU536" s="30" t="s">
        <v>276</v>
      </c>
      <c r="AV536" s="30" t="s">
        <v>1740</v>
      </c>
      <c r="AW536" s="30" t="s">
        <v>278</v>
      </c>
      <c r="AX536" s="34" t="s">
        <v>86</v>
      </c>
      <c r="AY536" s="34" t="s">
        <v>149</v>
      </c>
      <c r="AZ536" s="34" t="s">
        <v>149</v>
      </c>
      <c r="BA536" s="34"/>
      <c r="BB536" s="34">
        <v>5</v>
      </c>
      <c r="BC536" s="34">
        <v>1</v>
      </c>
      <c r="BD536" s="34" t="s">
        <v>185</v>
      </c>
      <c r="BE536" s="34" t="s">
        <v>2206</v>
      </c>
      <c r="BF536" s="34" t="b">
        <v>0</v>
      </c>
      <c r="BG536" s="34"/>
      <c r="BH536" s="34"/>
      <c r="BI536" s="34"/>
      <c r="BJ536" s="34"/>
      <c r="BK536" s="34"/>
      <c r="BL536" s="34"/>
      <c r="BM536" s="34" t="s">
        <v>168</v>
      </c>
      <c r="BN536" s="34"/>
      <c r="BO536" s="35"/>
      <c r="BP536" s="35"/>
      <c r="BQ536" s="35" t="s">
        <v>108</v>
      </c>
      <c r="BR536" s="36" t="e">
        <f>VLOOKUP(BQ536, Cat_Indicadores!B:C, 2, FALSE)</f>
        <v>#N/A</v>
      </c>
      <c r="BS536" s="35" t="s">
        <v>5592</v>
      </c>
      <c r="BT536" s="35"/>
    </row>
    <row r="537" spans="1:72">
      <c r="A537" s="29" t="s">
        <v>2216</v>
      </c>
      <c r="B537" s="30" t="s">
        <v>2217</v>
      </c>
      <c r="C537" s="31">
        <v>46301.608541666668</v>
      </c>
      <c r="D537" s="30">
        <v>29</v>
      </c>
      <c r="E537" s="30" t="s">
        <v>1745</v>
      </c>
      <c r="F537" s="30" t="s">
        <v>1746</v>
      </c>
      <c r="G537" s="30" t="s">
        <v>1747</v>
      </c>
      <c r="H537" s="30" t="s">
        <v>1392</v>
      </c>
      <c r="I537" s="30" t="s">
        <v>1714</v>
      </c>
      <c r="J537" s="30" t="s">
        <v>1748</v>
      </c>
      <c r="K537" s="32">
        <v>16</v>
      </c>
      <c r="L537" s="32" t="s">
        <v>80</v>
      </c>
      <c r="M537" s="30" t="s">
        <v>2218</v>
      </c>
      <c r="N537" s="30" t="s">
        <v>2219</v>
      </c>
      <c r="O537" s="30" t="s">
        <v>83</v>
      </c>
      <c r="P537" s="33">
        <v>46178</v>
      </c>
      <c r="Q537" s="33">
        <v>46178</v>
      </c>
      <c r="R537" s="32">
        <v>1</v>
      </c>
      <c r="S537" s="30" t="s">
        <v>463</v>
      </c>
      <c r="T537" s="30" t="s">
        <v>2220</v>
      </c>
      <c r="U537" s="30" t="s">
        <v>137</v>
      </c>
      <c r="V537" s="30" t="s">
        <v>87</v>
      </c>
      <c r="W537" s="30" t="s">
        <v>88</v>
      </c>
      <c r="X537" s="30" t="s">
        <v>1719</v>
      </c>
      <c r="AB537" s="30" t="b">
        <v>0</v>
      </c>
      <c r="AC537" s="30"/>
      <c r="AD537" s="30" t="b">
        <v>1</v>
      </c>
      <c r="AE537" s="30">
        <v>1</v>
      </c>
      <c r="AF537" s="30" t="b">
        <v>0</v>
      </c>
      <c r="AH537" s="32" t="s">
        <v>91</v>
      </c>
      <c r="AI537" s="32"/>
      <c r="AJ537" s="32"/>
      <c r="AK537" s="32"/>
      <c r="AL537" s="30" t="s">
        <v>1720</v>
      </c>
      <c r="AM537" s="30" t="s">
        <v>1739</v>
      </c>
      <c r="AN537" s="30" t="s">
        <v>199</v>
      </c>
      <c r="AO537" s="30" t="s">
        <v>200</v>
      </c>
      <c r="AP537" s="30" t="s">
        <v>201</v>
      </c>
      <c r="AQ537" s="30" t="s">
        <v>202</v>
      </c>
      <c r="AR537" s="30" t="s">
        <v>97</v>
      </c>
      <c r="AS537" s="30" t="s">
        <v>98</v>
      </c>
      <c r="AT537" s="30" t="s">
        <v>275</v>
      </c>
      <c r="AU537" s="30" t="s">
        <v>276</v>
      </c>
      <c r="AV537" s="30" t="s">
        <v>1740</v>
      </c>
      <c r="AW537" s="30" t="s">
        <v>278</v>
      </c>
      <c r="AX537" s="34" t="s">
        <v>137</v>
      </c>
      <c r="AY537" s="34" t="s">
        <v>149</v>
      </c>
      <c r="AZ537" s="34" t="s">
        <v>149</v>
      </c>
      <c r="BA537" s="34" t="s">
        <v>2219</v>
      </c>
      <c r="BB537" s="34">
        <v>5</v>
      </c>
      <c r="BC537" s="34">
        <v>1</v>
      </c>
      <c r="BD537" s="34" t="s">
        <v>1365</v>
      </c>
      <c r="BE537" s="34" t="s">
        <v>2221</v>
      </c>
      <c r="BF537" s="34" t="b">
        <v>1</v>
      </c>
      <c r="BG537" s="34" t="s">
        <v>1042</v>
      </c>
      <c r="BH537" s="34">
        <v>28920</v>
      </c>
      <c r="BI537" s="34"/>
      <c r="BJ537" s="34"/>
      <c r="BK537" s="34"/>
      <c r="BL537" s="34"/>
      <c r="BM537" s="34" t="s">
        <v>168</v>
      </c>
      <c r="BN537" s="34"/>
      <c r="BO537" s="35"/>
      <c r="BP537" s="35"/>
      <c r="BQ537" s="35" t="s">
        <v>108</v>
      </c>
      <c r="BR537" s="36" t="e">
        <f>VLOOKUP(BQ537, Cat_Indicadores!B:C, 2, FALSE)</f>
        <v>#N/A</v>
      </c>
      <c r="BS537" s="35" t="s">
        <v>5592</v>
      </c>
      <c r="BT537" s="35"/>
    </row>
    <row r="538" spans="1:72">
      <c r="A538" s="29" t="s">
        <v>2222</v>
      </c>
      <c r="B538" s="30" t="s">
        <v>2223</v>
      </c>
      <c r="C538" s="31">
        <v>46301.65016203704</v>
      </c>
      <c r="D538" s="30">
        <v>92</v>
      </c>
      <c r="E538" s="30" t="s">
        <v>74</v>
      </c>
      <c r="F538" s="30" t="s">
        <v>75</v>
      </c>
      <c r="G538" s="30" t="s">
        <v>133</v>
      </c>
      <c r="H538" s="30" t="s">
        <v>77</v>
      </c>
      <c r="I538" s="30" t="s">
        <v>78</v>
      </c>
      <c r="J538" s="30" t="s">
        <v>79</v>
      </c>
      <c r="K538" s="32">
        <v>800</v>
      </c>
      <c r="L538" s="32" t="s">
        <v>80</v>
      </c>
      <c r="M538" s="30" t="s">
        <v>2224</v>
      </c>
      <c r="N538" s="30" t="s">
        <v>402</v>
      </c>
      <c r="O538" s="30" t="s">
        <v>83</v>
      </c>
      <c r="P538" s="33">
        <v>46189</v>
      </c>
      <c r="Q538" s="33">
        <v>46189</v>
      </c>
      <c r="R538" s="32">
        <v>1</v>
      </c>
      <c r="S538" s="30" t="s">
        <v>84</v>
      </c>
      <c r="T538" s="30" t="s">
        <v>337</v>
      </c>
      <c r="U538" s="30" t="s">
        <v>349</v>
      </c>
      <c r="V538" s="30" t="s">
        <v>87</v>
      </c>
      <c r="W538" s="30" t="s">
        <v>88</v>
      </c>
      <c r="X538" s="30" t="s">
        <v>197</v>
      </c>
      <c r="Y538" s="30" t="s">
        <v>1282</v>
      </c>
      <c r="AB538" s="30" t="b">
        <v>0</v>
      </c>
      <c r="AC538" s="30"/>
      <c r="AD538" s="30" t="b">
        <v>0</v>
      </c>
      <c r="AF538" s="30" t="b">
        <v>0</v>
      </c>
      <c r="AH538" s="32" t="s">
        <v>91</v>
      </c>
      <c r="AI538" s="32"/>
      <c r="AJ538" s="32"/>
      <c r="AK538" s="32"/>
      <c r="AL538" s="30" t="s">
        <v>92</v>
      </c>
      <c r="AM538" s="30" t="s">
        <v>93</v>
      </c>
      <c r="AN538" s="30" t="s">
        <v>199</v>
      </c>
      <c r="AO538" s="30" t="s">
        <v>200</v>
      </c>
      <c r="AP538" s="30" t="s">
        <v>201</v>
      </c>
      <c r="AQ538" s="30" t="s">
        <v>202</v>
      </c>
      <c r="AR538" s="30" t="s">
        <v>145</v>
      </c>
      <c r="AT538" s="30" t="s">
        <v>99</v>
      </c>
      <c r="AU538" s="30" t="s">
        <v>100</v>
      </c>
      <c r="AV538" s="30" t="s">
        <v>101</v>
      </c>
      <c r="AW538" s="30" t="s">
        <v>102</v>
      </c>
      <c r="AX538" s="34" t="s">
        <v>349</v>
      </c>
      <c r="AY538" s="34" t="s">
        <v>149</v>
      </c>
      <c r="AZ538" s="34" t="s">
        <v>149</v>
      </c>
      <c r="BA538" s="34"/>
      <c r="BB538" s="34"/>
      <c r="BC538" s="34">
        <v>0</v>
      </c>
      <c r="BD538" s="34"/>
      <c r="BE538" s="34"/>
      <c r="BF538" s="34" t="b">
        <v>0</v>
      </c>
      <c r="BG538" s="34"/>
      <c r="BH538" s="34"/>
      <c r="BI538" s="34"/>
      <c r="BJ538" s="34"/>
      <c r="BK538" s="34"/>
      <c r="BL538" s="34"/>
      <c r="BM538" s="34" t="s">
        <v>168</v>
      </c>
      <c r="BN538" s="34"/>
      <c r="BO538" s="35"/>
      <c r="BP538" s="35"/>
      <c r="BQ538" s="35" t="s">
        <v>108</v>
      </c>
      <c r="BR538" s="36" t="e">
        <f>VLOOKUP(BQ538, Cat_Indicadores!B:C, 2, FALSE)</f>
        <v>#N/A</v>
      </c>
      <c r="BS538" s="35" t="s">
        <v>5592</v>
      </c>
      <c r="BT538" s="35"/>
    </row>
    <row r="539" spans="1:72">
      <c r="A539" s="29" t="s">
        <v>2225</v>
      </c>
      <c r="B539" s="30" t="s">
        <v>2226</v>
      </c>
      <c r="C539" s="31">
        <v>46301.673067129632</v>
      </c>
      <c r="D539" s="30">
        <v>92</v>
      </c>
      <c r="E539" s="30" t="s">
        <v>74</v>
      </c>
      <c r="F539" s="30" t="s">
        <v>75</v>
      </c>
      <c r="G539" s="30" t="s">
        <v>133</v>
      </c>
      <c r="H539" s="30" t="s">
        <v>77</v>
      </c>
      <c r="I539" s="30" t="s">
        <v>78</v>
      </c>
      <c r="J539" s="30" t="s">
        <v>79</v>
      </c>
      <c r="K539" s="32">
        <v>800</v>
      </c>
      <c r="L539" s="32" t="s">
        <v>80</v>
      </c>
      <c r="M539" s="30" t="s">
        <v>2227</v>
      </c>
      <c r="N539" s="30" t="s">
        <v>402</v>
      </c>
      <c r="O539" s="30" t="s">
        <v>83</v>
      </c>
      <c r="P539" s="33">
        <v>46198</v>
      </c>
      <c r="Q539" s="33">
        <v>46198</v>
      </c>
      <c r="R539" s="32">
        <v>1</v>
      </c>
      <c r="S539" s="30" t="s">
        <v>84</v>
      </c>
      <c r="T539" s="30" t="s">
        <v>337</v>
      </c>
      <c r="U539" s="30" t="s">
        <v>349</v>
      </c>
      <c r="V539" s="30" t="s">
        <v>87</v>
      </c>
      <c r="W539" s="30" t="s">
        <v>88</v>
      </c>
      <c r="X539" s="30" t="s">
        <v>197</v>
      </c>
      <c r="Y539" s="30" t="s">
        <v>1282</v>
      </c>
      <c r="AB539" s="30" t="b">
        <v>0</v>
      </c>
      <c r="AC539" s="30"/>
      <c r="AD539" s="30" t="b">
        <v>0</v>
      </c>
      <c r="AF539" s="30" t="b">
        <v>0</v>
      </c>
      <c r="AH539" s="32" t="s">
        <v>91</v>
      </c>
      <c r="AI539" s="32"/>
      <c r="AJ539" s="32"/>
      <c r="AK539" s="32"/>
      <c r="AL539" s="30" t="s">
        <v>92</v>
      </c>
      <c r="AM539" s="30" t="s">
        <v>93</v>
      </c>
      <c r="AN539" s="30" t="s">
        <v>199</v>
      </c>
      <c r="AO539" s="30" t="s">
        <v>200</v>
      </c>
      <c r="AP539" s="30" t="s">
        <v>201</v>
      </c>
      <c r="AQ539" s="30" t="s">
        <v>202</v>
      </c>
      <c r="AR539" s="30" t="s">
        <v>145</v>
      </c>
      <c r="AT539" s="30" t="s">
        <v>99</v>
      </c>
      <c r="AU539" s="30" t="s">
        <v>100</v>
      </c>
      <c r="AV539" s="30" t="s">
        <v>101</v>
      </c>
      <c r="AW539" s="30" t="s">
        <v>102</v>
      </c>
      <c r="AX539" s="34" t="s">
        <v>349</v>
      </c>
      <c r="AY539" s="34" t="s">
        <v>149</v>
      </c>
      <c r="AZ539" s="34" t="s">
        <v>149</v>
      </c>
      <c r="BA539" s="34"/>
      <c r="BB539" s="34"/>
      <c r="BC539" s="34">
        <v>0</v>
      </c>
      <c r="BD539" s="34"/>
      <c r="BE539" s="34"/>
      <c r="BF539" s="34" t="b">
        <v>0</v>
      </c>
      <c r="BG539" s="34"/>
      <c r="BH539" s="34"/>
      <c r="BI539" s="34"/>
      <c r="BJ539" s="34"/>
      <c r="BK539" s="34"/>
      <c r="BL539" s="34"/>
      <c r="BM539" s="34" t="s">
        <v>168</v>
      </c>
      <c r="BN539" s="34"/>
      <c r="BO539" s="35"/>
      <c r="BP539" s="35"/>
      <c r="BQ539" s="35" t="s">
        <v>108</v>
      </c>
      <c r="BR539" s="36" t="e">
        <f>VLOOKUP(BQ539, Cat_Indicadores!B:C, 2, FALSE)</f>
        <v>#N/A</v>
      </c>
      <c r="BS539" s="35" t="s">
        <v>5592</v>
      </c>
      <c r="BT539" s="35"/>
    </row>
    <row r="540" spans="1:72">
      <c r="A540" s="29" t="s">
        <v>2228</v>
      </c>
      <c r="B540" s="30" t="s">
        <v>2229</v>
      </c>
      <c r="C540" s="31">
        <v>46301.677465277775</v>
      </c>
      <c r="D540" s="30">
        <v>92</v>
      </c>
      <c r="E540" s="30" t="s">
        <v>74</v>
      </c>
      <c r="F540" s="30" t="s">
        <v>75</v>
      </c>
      <c r="G540" s="30" t="s">
        <v>133</v>
      </c>
      <c r="H540" s="30" t="s">
        <v>77</v>
      </c>
      <c r="I540" s="30" t="s">
        <v>78</v>
      </c>
      <c r="J540" s="30" t="s">
        <v>79</v>
      </c>
      <c r="K540" s="32">
        <v>800</v>
      </c>
      <c r="L540" s="32" t="s">
        <v>80</v>
      </c>
      <c r="M540" s="30" t="s">
        <v>2230</v>
      </c>
      <c r="N540" s="30" t="s">
        <v>402</v>
      </c>
      <c r="O540" s="30" t="s">
        <v>83</v>
      </c>
      <c r="P540" s="33">
        <v>46189</v>
      </c>
      <c r="Q540" s="33">
        <v>46189</v>
      </c>
      <c r="R540" s="32">
        <v>1</v>
      </c>
      <c r="S540" s="30" t="s">
        <v>84</v>
      </c>
      <c r="T540" s="30" t="s">
        <v>337</v>
      </c>
      <c r="U540" s="30" t="s">
        <v>349</v>
      </c>
      <c r="V540" s="30" t="s">
        <v>87</v>
      </c>
      <c r="W540" s="30" t="s">
        <v>88</v>
      </c>
      <c r="X540" s="30" t="s">
        <v>197</v>
      </c>
      <c r="Y540" s="30" t="s">
        <v>1282</v>
      </c>
      <c r="AB540" s="30" t="b">
        <v>0</v>
      </c>
      <c r="AC540" s="30"/>
      <c r="AD540" s="30" t="b">
        <v>0</v>
      </c>
      <c r="AF540" s="30" t="b">
        <v>0</v>
      </c>
      <c r="AH540" s="32" t="s">
        <v>91</v>
      </c>
      <c r="AI540" s="32"/>
      <c r="AJ540" s="32"/>
      <c r="AK540" s="32"/>
      <c r="AL540" s="30" t="s">
        <v>92</v>
      </c>
      <c r="AM540" s="30" t="s">
        <v>93</v>
      </c>
      <c r="AN540" s="30" t="s">
        <v>199</v>
      </c>
      <c r="AO540" s="30" t="s">
        <v>200</v>
      </c>
      <c r="AP540" s="30" t="s">
        <v>201</v>
      </c>
      <c r="AQ540" s="30" t="s">
        <v>202</v>
      </c>
      <c r="AR540" s="30" t="s">
        <v>145</v>
      </c>
      <c r="AT540" s="30" t="s">
        <v>99</v>
      </c>
      <c r="AU540" s="30" t="s">
        <v>100</v>
      </c>
      <c r="AV540" s="30" t="s">
        <v>101</v>
      </c>
      <c r="AW540" s="30" t="s">
        <v>102</v>
      </c>
      <c r="AX540" s="34" t="s">
        <v>349</v>
      </c>
      <c r="AY540" s="34" t="s">
        <v>149</v>
      </c>
      <c r="AZ540" s="34" t="s">
        <v>149</v>
      </c>
      <c r="BA540" s="34"/>
      <c r="BB540" s="34"/>
      <c r="BC540" s="34">
        <v>0</v>
      </c>
      <c r="BD540" s="34"/>
      <c r="BE540" s="34"/>
      <c r="BF540" s="34" t="b">
        <v>0</v>
      </c>
      <c r="BG540" s="34"/>
      <c r="BH540" s="34"/>
      <c r="BI540" s="34"/>
      <c r="BJ540" s="34"/>
      <c r="BK540" s="34"/>
      <c r="BL540" s="34"/>
      <c r="BM540" s="34" t="s">
        <v>168</v>
      </c>
      <c r="BN540" s="34"/>
      <c r="BO540" s="35"/>
      <c r="BP540" s="35"/>
      <c r="BQ540" s="35" t="s">
        <v>108</v>
      </c>
      <c r="BR540" s="36" t="e">
        <f>VLOOKUP(BQ540, Cat_Indicadores!B:C, 2, FALSE)</f>
        <v>#N/A</v>
      </c>
      <c r="BS540" s="35" t="s">
        <v>5592</v>
      </c>
      <c r="BT540" s="35"/>
    </row>
    <row r="541" spans="1:72">
      <c r="A541" s="29" t="s">
        <v>2231</v>
      </c>
      <c r="B541" s="30" t="s">
        <v>2232</v>
      </c>
      <c r="C541" s="31">
        <v>46301.67931712963</v>
      </c>
      <c r="D541" s="30">
        <v>92</v>
      </c>
      <c r="E541" s="30" t="s">
        <v>74</v>
      </c>
      <c r="F541" s="30" t="s">
        <v>75</v>
      </c>
      <c r="G541" s="30" t="s">
        <v>133</v>
      </c>
      <c r="H541" s="30" t="s">
        <v>77</v>
      </c>
      <c r="I541" s="30" t="s">
        <v>78</v>
      </c>
      <c r="J541" s="30" t="s">
        <v>79</v>
      </c>
      <c r="K541" s="32">
        <v>800</v>
      </c>
      <c r="L541" s="32" t="s">
        <v>211</v>
      </c>
      <c r="M541" s="30" t="s">
        <v>555</v>
      </c>
      <c r="N541" s="30" t="s">
        <v>556</v>
      </c>
      <c r="O541" s="30" t="s">
        <v>83</v>
      </c>
      <c r="P541" s="33">
        <v>46200</v>
      </c>
      <c r="Q541" s="33">
        <v>46200</v>
      </c>
      <c r="R541" s="32">
        <v>1</v>
      </c>
      <c r="S541" s="30" t="s">
        <v>249</v>
      </c>
      <c r="T541" s="30" t="s">
        <v>259</v>
      </c>
      <c r="U541" s="30" t="s">
        <v>86</v>
      </c>
      <c r="V541" s="30" t="s">
        <v>87</v>
      </c>
      <c r="W541" s="30" t="s">
        <v>88</v>
      </c>
      <c r="X541" s="30" t="s">
        <v>197</v>
      </c>
      <c r="Y541" s="30" t="s">
        <v>1282</v>
      </c>
      <c r="AB541" s="30" t="b">
        <v>0</v>
      </c>
      <c r="AC541" s="30"/>
      <c r="AD541" s="30" t="b">
        <v>0</v>
      </c>
      <c r="AF541" s="30" t="b">
        <v>0</v>
      </c>
      <c r="AH541" s="32" t="s">
        <v>91</v>
      </c>
      <c r="AI541" s="32"/>
      <c r="AJ541" s="32"/>
      <c r="AK541" s="32"/>
      <c r="AL541" s="30" t="s">
        <v>92</v>
      </c>
      <c r="AM541" s="30" t="s">
        <v>93</v>
      </c>
      <c r="AN541" s="30" t="s">
        <v>199</v>
      </c>
      <c r="AO541" s="30" t="s">
        <v>200</v>
      </c>
      <c r="AP541" s="30" t="s">
        <v>201</v>
      </c>
      <c r="AQ541" s="30" t="s">
        <v>202</v>
      </c>
      <c r="AR541" s="30" t="s">
        <v>145</v>
      </c>
      <c r="AT541" s="30" t="s">
        <v>99</v>
      </c>
      <c r="AU541" s="30" t="s">
        <v>100</v>
      </c>
      <c r="AV541" s="30" t="s">
        <v>101</v>
      </c>
      <c r="AW541" s="30" t="s">
        <v>102</v>
      </c>
      <c r="AX541" s="34" t="s">
        <v>349</v>
      </c>
      <c r="AY541" s="34" t="s">
        <v>149</v>
      </c>
      <c r="AZ541" s="34" t="s">
        <v>149</v>
      </c>
      <c r="BA541" s="34"/>
      <c r="BB541" s="34"/>
      <c r="BC541" s="34">
        <v>0</v>
      </c>
      <c r="BD541" s="34"/>
      <c r="BE541" s="34"/>
      <c r="BF541" s="34" t="b">
        <v>0</v>
      </c>
      <c r="BG541" s="34"/>
      <c r="BH541" s="34"/>
      <c r="BI541" s="34"/>
      <c r="BJ541" s="34"/>
      <c r="BK541" s="34"/>
      <c r="BL541" s="34"/>
      <c r="BM541" s="34" t="s">
        <v>168</v>
      </c>
      <c r="BN541" s="34"/>
      <c r="BO541" s="35"/>
      <c r="BP541" s="35"/>
      <c r="BQ541" s="35" t="s">
        <v>108</v>
      </c>
      <c r="BR541" s="36" t="e">
        <f>VLOOKUP(BQ541, Cat_Indicadores!B:C, 2, FALSE)</f>
        <v>#N/A</v>
      </c>
      <c r="BS541" s="35" t="s">
        <v>5592</v>
      </c>
      <c r="BT541" s="35"/>
    </row>
    <row r="542" spans="1:72">
      <c r="A542" s="29" t="s">
        <v>2233</v>
      </c>
      <c r="B542" s="30" t="s">
        <v>2234</v>
      </c>
      <c r="C542" s="31">
        <v>46301.685856481483</v>
      </c>
      <c r="D542" s="30">
        <v>92</v>
      </c>
      <c r="E542" s="30" t="s">
        <v>74</v>
      </c>
      <c r="F542" s="30" t="s">
        <v>75</v>
      </c>
      <c r="G542" s="30" t="s">
        <v>133</v>
      </c>
      <c r="H542" s="30" t="s">
        <v>77</v>
      </c>
      <c r="I542" s="30" t="s">
        <v>78</v>
      </c>
      <c r="J542" s="30" t="s">
        <v>79</v>
      </c>
      <c r="K542" s="32">
        <v>800</v>
      </c>
      <c r="L542" s="32" t="s">
        <v>211</v>
      </c>
      <c r="M542" s="30" t="s">
        <v>2235</v>
      </c>
      <c r="N542" s="30" t="s">
        <v>2236</v>
      </c>
      <c r="O542" s="30" t="s">
        <v>83</v>
      </c>
      <c r="P542" s="33">
        <v>46201</v>
      </c>
      <c r="Q542" s="33">
        <v>46201</v>
      </c>
      <c r="R542" s="32">
        <v>1</v>
      </c>
      <c r="S542" s="30" t="s">
        <v>264</v>
      </c>
      <c r="T542" s="30" t="s">
        <v>1777</v>
      </c>
      <c r="U542" s="30" t="s">
        <v>221</v>
      </c>
      <c r="V542" s="30" t="s">
        <v>87</v>
      </c>
      <c r="W542" s="30" t="s">
        <v>88</v>
      </c>
      <c r="X542" s="30" t="s">
        <v>197</v>
      </c>
      <c r="Y542" s="30" t="s">
        <v>1288</v>
      </c>
      <c r="AB542" s="30" t="b">
        <v>0</v>
      </c>
      <c r="AC542" s="30"/>
      <c r="AD542" s="30" t="b">
        <v>0</v>
      </c>
      <c r="AF542" s="30" t="b">
        <v>0</v>
      </c>
      <c r="AH542" s="32" t="s">
        <v>91</v>
      </c>
      <c r="AI542" s="32"/>
      <c r="AJ542" s="32"/>
      <c r="AK542" s="32"/>
      <c r="AL542" s="30" t="s">
        <v>92</v>
      </c>
      <c r="AM542" s="30" t="s">
        <v>251</v>
      </c>
      <c r="AN542" s="30" t="s">
        <v>199</v>
      </c>
      <c r="AO542" s="30" t="s">
        <v>200</v>
      </c>
      <c r="AP542" s="30" t="s">
        <v>201</v>
      </c>
      <c r="AQ542" s="30" t="s">
        <v>202</v>
      </c>
      <c r="AR542" s="30" t="s">
        <v>145</v>
      </c>
      <c r="AT542" s="30" t="s">
        <v>99</v>
      </c>
      <c r="AU542" s="30" t="s">
        <v>100</v>
      </c>
      <c r="AV542" s="30" t="s">
        <v>101</v>
      </c>
      <c r="AW542" s="30" t="s">
        <v>102</v>
      </c>
      <c r="AX542" s="34" t="s">
        <v>216</v>
      </c>
      <c r="AY542" s="34" t="s">
        <v>149</v>
      </c>
      <c r="AZ542" s="34" t="s">
        <v>149</v>
      </c>
      <c r="BA542" s="34"/>
      <c r="BB542" s="34"/>
      <c r="BC542" s="34">
        <v>0</v>
      </c>
      <c r="BD542" s="34"/>
      <c r="BE542" s="34"/>
      <c r="BF542" s="34" t="b">
        <v>0</v>
      </c>
      <c r="BG542" s="34"/>
      <c r="BH542" s="34"/>
      <c r="BI542" s="34"/>
      <c r="BJ542" s="34"/>
      <c r="BK542" s="34"/>
      <c r="BL542" s="34"/>
      <c r="BM542" s="34" t="s">
        <v>168</v>
      </c>
      <c r="BN542" s="34"/>
      <c r="BO542" s="35"/>
      <c r="BP542" s="35"/>
      <c r="BQ542" s="35" t="s">
        <v>108</v>
      </c>
      <c r="BR542" s="36" t="e">
        <f>VLOOKUP(BQ542, Cat_Indicadores!B:C, 2, FALSE)</f>
        <v>#N/A</v>
      </c>
      <c r="BS542" s="35" t="s">
        <v>5592</v>
      </c>
      <c r="BT542" s="35"/>
    </row>
    <row r="543" spans="1:72">
      <c r="A543" s="29" t="s">
        <v>2237</v>
      </c>
      <c r="B543" s="30" t="s">
        <v>2238</v>
      </c>
      <c r="C543" s="31">
        <v>46301.670381944445</v>
      </c>
      <c r="D543" s="30">
        <v>75</v>
      </c>
      <c r="E543" s="30" t="s">
        <v>1711</v>
      </c>
      <c r="F543" s="30" t="s">
        <v>1712</v>
      </c>
      <c r="G543" s="30" t="s">
        <v>1795</v>
      </c>
      <c r="H543" s="30" t="s">
        <v>1392</v>
      </c>
      <c r="I543" s="30" t="s">
        <v>1714</v>
      </c>
      <c r="J543" s="30" t="s">
        <v>1736</v>
      </c>
      <c r="K543" s="32">
        <v>4</v>
      </c>
      <c r="L543" s="32" t="s">
        <v>211</v>
      </c>
      <c r="M543" s="30" t="s">
        <v>2239</v>
      </c>
      <c r="N543" s="30" t="s">
        <v>2240</v>
      </c>
      <c r="O543" s="30" t="s">
        <v>83</v>
      </c>
      <c r="P543" s="33">
        <v>46178</v>
      </c>
      <c r="Q543" s="33">
        <v>46178</v>
      </c>
      <c r="R543" s="32">
        <v>1</v>
      </c>
      <c r="S543" s="30" t="s">
        <v>243</v>
      </c>
      <c r="T543" s="30" t="s">
        <v>244</v>
      </c>
      <c r="U543" s="30" t="s">
        <v>137</v>
      </c>
      <c r="V543" s="30" t="s">
        <v>87</v>
      </c>
      <c r="W543" s="30" t="s">
        <v>88</v>
      </c>
      <c r="X543" s="30" t="s">
        <v>1719</v>
      </c>
      <c r="AB543" s="30" t="b">
        <v>0</v>
      </c>
      <c r="AC543" s="30"/>
      <c r="AD543" s="30" t="b">
        <v>0</v>
      </c>
      <c r="AF543" s="30" t="b">
        <v>0</v>
      </c>
      <c r="AH543" s="32" t="s">
        <v>91</v>
      </c>
      <c r="AI543" s="32"/>
      <c r="AJ543" s="32"/>
      <c r="AK543" s="32"/>
      <c r="AL543" s="30" t="s">
        <v>1720</v>
      </c>
      <c r="AM543" s="30" t="s">
        <v>1739</v>
      </c>
      <c r="AN543" s="30" t="s">
        <v>199</v>
      </c>
      <c r="AO543" s="30" t="s">
        <v>200</v>
      </c>
      <c r="AP543" s="30" t="s">
        <v>201</v>
      </c>
      <c r="AQ543" s="30" t="s">
        <v>202</v>
      </c>
      <c r="AR543" s="30" t="s">
        <v>97</v>
      </c>
      <c r="AS543" s="30" t="s">
        <v>98</v>
      </c>
      <c r="AT543" s="30" t="s">
        <v>275</v>
      </c>
      <c r="AU543" s="30" t="s">
        <v>276</v>
      </c>
      <c r="AV543" s="30" t="s">
        <v>1740</v>
      </c>
      <c r="AW543" s="30" t="s">
        <v>278</v>
      </c>
      <c r="AX543" s="34" t="s">
        <v>137</v>
      </c>
      <c r="AY543" s="34" t="s">
        <v>149</v>
      </c>
      <c r="AZ543" s="34" t="s">
        <v>149</v>
      </c>
      <c r="BA543" s="34" t="s">
        <v>2240</v>
      </c>
      <c r="BB543" s="34">
        <v>5</v>
      </c>
      <c r="BC543" s="34">
        <v>1</v>
      </c>
      <c r="BD543" s="34" t="s">
        <v>1365</v>
      </c>
      <c r="BE543" s="34" t="s">
        <v>2241</v>
      </c>
      <c r="BF543" s="34" t="b">
        <v>0</v>
      </c>
      <c r="BG543" s="34"/>
      <c r="BH543" s="34"/>
      <c r="BI543" s="34"/>
      <c r="BJ543" s="34"/>
      <c r="BK543" s="34"/>
      <c r="BL543" s="34"/>
      <c r="BM543" s="34" t="s">
        <v>168</v>
      </c>
      <c r="BN543" s="34"/>
      <c r="BO543" s="35"/>
      <c r="BP543" s="35"/>
      <c r="BQ543" s="35" t="s">
        <v>108</v>
      </c>
      <c r="BR543" s="36" t="e">
        <f>VLOOKUP(BQ543, Cat_Indicadores!B:C, 2, FALSE)</f>
        <v>#N/A</v>
      </c>
      <c r="BS543" s="35" t="s">
        <v>5592</v>
      </c>
      <c r="BT543" s="35"/>
    </row>
    <row r="544" spans="1:72">
      <c r="A544" s="29" t="s">
        <v>2242</v>
      </c>
      <c r="B544" s="30" t="s">
        <v>2243</v>
      </c>
      <c r="C544" s="31">
        <v>46301.691342592596</v>
      </c>
      <c r="D544" s="30">
        <v>91</v>
      </c>
      <c r="E544" s="30" t="s">
        <v>74</v>
      </c>
      <c r="F544" s="30" t="s">
        <v>75</v>
      </c>
      <c r="G544" s="30" t="s">
        <v>573</v>
      </c>
      <c r="H544" s="30" t="s">
        <v>77</v>
      </c>
      <c r="I544" s="30" t="s">
        <v>78</v>
      </c>
      <c r="J544" s="30" t="s">
        <v>574</v>
      </c>
      <c r="K544" s="32">
        <v>28</v>
      </c>
      <c r="L544" s="32" t="s">
        <v>211</v>
      </c>
      <c r="M544" s="30" t="s">
        <v>2244</v>
      </c>
      <c r="N544" s="30" t="s">
        <v>2245</v>
      </c>
      <c r="O544" s="30" t="s">
        <v>661</v>
      </c>
      <c r="P544" s="33">
        <v>46298</v>
      </c>
      <c r="Q544" s="33">
        <v>46480</v>
      </c>
      <c r="R544" s="32">
        <v>1</v>
      </c>
      <c r="S544" s="30" t="s">
        <v>243</v>
      </c>
      <c r="T544" s="30" t="s">
        <v>328</v>
      </c>
      <c r="U544" s="30" t="s">
        <v>367</v>
      </c>
      <c r="V544" s="30" t="s">
        <v>87</v>
      </c>
      <c r="W544" s="30" t="s">
        <v>88</v>
      </c>
      <c r="X544" s="30" t="s">
        <v>197</v>
      </c>
      <c r="Y544" s="30" t="s">
        <v>1282</v>
      </c>
      <c r="AB544" s="30" t="b">
        <v>0</v>
      </c>
      <c r="AC544" s="30"/>
      <c r="AD544" s="30" t="b">
        <v>1</v>
      </c>
      <c r="AE544" s="30">
        <v>5</v>
      </c>
      <c r="AF544" s="30" t="b">
        <v>0</v>
      </c>
      <c r="AH544" s="32" t="s">
        <v>91</v>
      </c>
      <c r="AI544" s="32"/>
      <c r="AJ544" s="32"/>
      <c r="AK544" s="32"/>
      <c r="AL544" s="30" t="s">
        <v>92</v>
      </c>
      <c r="AM544" s="30" t="s">
        <v>294</v>
      </c>
      <c r="AN544" s="30" t="s">
        <v>94</v>
      </c>
      <c r="AO544" s="30" t="s">
        <v>142</v>
      </c>
      <c r="AP544" s="30" t="s">
        <v>143</v>
      </c>
      <c r="AQ544" s="30" t="s">
        <v>144</v>
      </c>
      <c r="AR544" s="30" t="s">
        <v>691</v>
      </c>
      <c r="AT544" s="30" t="s">
        <v>99</v>
      </c>
      <c r="AU544" s="30" t="s">
        <v>100</v>
      </c>
      <c r="AV544" s="30" t="s">
        <v>101</v>
      </c>
      <c r="AW544" s="30" t="s">
        <v>102</v>
      </c>
      <c r="AX544" s="34" t="s">
        <v>367</v>
      </c>
      <c r="AY544" s="34" t="s">
        <v>167</v>
      </c>
      <c r="AZ544" s="34"/>
      <c r="BA544" s="34"/>
      <c r="BB544" s="34"/>
      <c r="BC544" s="34">
        <v>0</v>
      </c>
      <c r="BD544" s="34"/>
      <c r="BE544" s="34"/>
      <c r="BF544" s="34" t="b">
        <v>1</v>
      </c>
      <c r="BG544" s="34"/>
      <c r="BH544" s="34"/>
      <c r="BI544" s="34"/>
      <c r="BJ544" s="34"/>
      <c r="BK544" s="34"/>
      <c r="BL544" s="34"/>
      <c r="BM544" s="34" t="s">
        <v>106</v>
      </c>
      <c r="BN544" s="34" t="s">
        <v>107</v>
      </c>
      <c r="BO544" s="35"/>
      <c r="BP544" s="35"/>
      <c r="BQ544" s="35" t="s">
        <v>108</v>
      </c>
      <c r="BR544" s="36" t="e">
        <f>VLOOKUP(BQ544, Cat_Indicadores!B:C, 2, FALSE)</f>
        <v>#N/A</v>
      </c>
      <c r="BS544" s="35" t="s">
        <v>5592</v>
      </c>
      <c r="BT544" s="35"/>
    </row>
    <row r="545" spans="1:72">
      <c r="A545" s="29" t="s">
        <v>2246</v>
      </c>
      <c r="B545" s="30" t="s">
        <v>2247</v>
      </c>
      <c r="C545" s="31">
        <v>46302.448958333334</v>
      </c>
      <c r="D545" s="30">
        <v>92</v>
      </c>
      <c r="E545" s="30" t="s">
        <v>74</v>
      </c>
      <c r="F545" s="30" t="s">
        <v>75</v>
      </c>
      <c r="G545" s="30" t="s">
        <v>133</v>
      </c>
      <c r="H545" s="30" t="s">
        <v>77</v>
      </c>
      <c r="I545" s="30" t="s">
        <v>78</v>
      </c>
      <c r="J545" s="30" t="s">
        <v>79</v>
      </c>
      <c r="K545" s="32">
        <v>800</v>
      </c>
      <c r="L545" s="32" t="s">
        <v>80</v>
      </c>
      <c r="M545" s="30" t="s">
        <v>1055</v>
      </c>
      <c r="N545" s="30" t="s">
        <v>402</v>
      </c>
      <c r="O545" s="30" t="s">
        <v>83</v>
      </c>
      <c r="P545" s="33">
        <v>46273</v>
      </c>
      <c r="Q545" s="33">
        <v>46273</v>
      </c>
      <c r="R545" s="32">
        <v>1</v>
      </c>
      <c r="S545" s="30" t="s">
        <v>84</v>
      </c>
      <c r="T545" s="30" t="s">
        <v>117</v>
      </c>
      <c r="U545" s="30" t="s">
        <v>338</v>
      </c>
      <c r="V545" s="30" t="s">
        <v>87</v>
      </c>
      <c r="W545" s="30" t="s">
        <v>88</v>
      </c>
      <c r="X545" s="30" t="s">
        <v>197</v>
      </c>
      <c r="Y545" s="30" t="s">
        <v>1046</v>
      </c>
      <c r="AB545" s="30" t="b">
        <v>0</v>
      </c>
      <c r="AC545" s="30"/>
      <c r="AD545" s="30" t="b">
        <v>0</v>
      </c>
      <c r="AF545" s="30" t="b">
        <v>0</v>
      </c>
      <c r="AH545" s="32" t="s">
        <v>91</v>
      </c>
      <c r="AI545" s="32"/>
      <c r="AJ545" s="32"/>
      <c r="AK545" s="32"/>
      <c r="AL545" s="30" t="s">
        <v>92</v>
      </c>
      <c r="AM545" s="30" t="s">
        <v>93</v>
      </c>
      <c r="AN545" s="30" t="s">
        <v>94</v>
      </c>
      <c r="AO545" s="30" t="s">
        <v>142</v>
      </c>
      <c r="AP545" s="30" t="s">
        <v>143</v>
      </c>
      <c r="AQ545" s="30" t="s">
        <v>144</v>
      </c>
      <c r="AR545" s="30" t="s">
        <v>145</v>
      </c>
      <c r="AT545" s="30" t="s">
        <v>99</v>
      </c>
      <c r="AU545" s="30" t="s">
        <v>100</v>
      </c>
      <c r="AV545" s="30" t="s">
        <v>101</v>
      </c>
      <c r="AW545" s="30" t="s">
        <v>102</v>
      </c>
      <c r="AX545" s="34" t="s">
        <v>338</v>
      </c>
      <c r="AY545" s="34" t="s">
        <v>103</v>
      </c>
      <c r="AZ545" s="34"/>
      <c r="BA545" s="34"/>
      <c r="BB545" s="34"/>
      <c r="BC545" s="34">
        <v>0</v>
      </c>
      <c r="BD545" s="34"/>
      <c r="BE545" s="34"/>
      <c r="BF545" s="34" t="b">
        <v>0</v>
      </c>
      <c r="BG545" s="34"/>
      <c r="BH545" s="34"/>
      <c r="BI545" s="34"/>
      <c r="BJ545" s="34"/>
      <c r="BK545" s="34"/>
      <c r="BL545" s="34"/>
      <c r="BM545" s="34" t="s">
        <v>168</v>
      </c>
      <c r="BN545" s="34"/>
      <c r="BO545" s="35"/>
      <c r="BP545" s="35"/>
      <c r="BQ545" s="35" t="s">
        <v>108</v>
      </c>
      <c r="BR545" s="36" t="e">
        <f>VLOOKUP(BQ545, Cat_Indicadores!B:C, 2, FALSE)</f>
        <v>#N/A</v>
      </c>
      <c r="BS545" s="35" t="s">
        <v>5592</v>
      </c>
      <c r="BT545" s="35"/>
    </row>
    <row r="546" spans="1:72">
      <c r="A546" s="29" t="s">
        <v>2248</v>
      </c>
      <c r="B546" s="30" t="s">
        <v>2249</v>
      </c>
      <c r="C546" s="31">
        <v>46302.48746527778</v>
      </c>
      <c r="D546" s="30">
        <v>92</v>
      </c>
      <c r="E546" s="30" t="s">
        <v>74</v>
      </c>
      <c r="F546" s="30" t="s">
        <v>75</v>
      </c>
      <c r="G546" s="30" t="s">
        <v>133</v>
      </c>
      <c r="H546" s="30" t="s">
        <v>77</v>
      </c>
      <c r="I546" s="30" t="s">
        <v>78</v>
      </c>
      <c r="J546" s="30" t="s">
        <v>79</v>
      </c>
      <c r="K546" s="32">
        <v>800</v>
      </c>
      <c r="L546" s="32" t="s">
        <v>80</v>
      </c>
      <c r="M546" s="30" t="s">
        <v>1055</v>
      </c>
      <c r="N546" s="30" t="s">
        <v>402</v>
      </c>
      <c r="O546" s="30" t="s">
        <v>83</v>
      </c>
      <c r="P546" s="33">
        <v>46273</v>
      </c>
      <c r="Q546" s="33">
        <v>46273</v>
      </c>
      <c r="R546" s="32">
        <v>1</v>
      </c>
      <c r="S546" s="30" t="s">
        <v>84</v>
      </c>
      <c r="T546" s="30" t="s">
        <v>117</v>
      </c>
      <c r="U546" s="30" t="s">
        <v>338</v>
      </c>
      <c r="V546" s="30" t="s">
        <v>87</v>
      </c>
      <c r="W546" s="30" t="s">
        <v>88</v>
      </c>
      <c r="X546" s="30" t="s">
        <v>197</v>
      </c>
      <c r="Y546" s="30" t="s">
        <v>1046</v>
      </c>
      <c r="AB546" s="30" t="b">
        <v>0</v>
      </c>
      <c r="AC546" s="30"/>
      <c r="AD546" s="30" t="b">
        <v>0</v>
      </c>
      <c r="AF546" s="30" t="b">
        <v>0</v>
      </c>
      <c r="AH546" s="32" t="s">
        <v>91</v>
      </c>
      <c r="AI546" s="32"/>
      <c r="AJ546" s="32"/>
      <c r="AK546" s="32"/>
      <c r="AL546" s="30" t="s">
        <v>92</v>
      </c>
      <c r="AM546" s="30" t="s">
        <v>93</v>
      </c>
      <c r="AN546" s="30" t="s">
        <v>94</v>
      </c>
      <c r="AO546" s="30" t="s">
        <v>142</v>
      </c>
      <c r="AP546" s="30" t="s">
        <v>143</v>
      </c>
      <c r="AQ546" s="30" t="s">
        <v>144</v>
      </c>
      <c r="AR546" s="30" t="s">
        <v>145</v>
      </c>
      <c r="AT546" s="30" t="s">
        <v>99</v>
      </c>
      <c r="AU546" s="30" t="s">
        <v>100</v>
      </c>
      <c r="AV546" s="30" t="s">
        <v>101</v>
      </c>
      <c r="AW546" s="30" t="s">
        <v>102</v>
      </c>
      <c r="AX546" s="34" t="s">
        <v>338</v>
      </c>
      <c r="AY546" s="34" t="s">
        <v>103</v>
      </c>
      <c r="AZ546" s="34"/>
      <c r="BA546" s="34"/>
      <c r="BB546" s="34"/>
      <c r="BC546" s="34">
        <v>0</v>
      </c>
      <c r="BD546" s="34"/>
      <c r="BE546" s="34"/>
      <c r="BF546" s="34" t="b">
        <v>0</v>
      </c>
      <c r="BG546" s="34"/>
      <c r="BH546" s="34"/>
      <c r="BI546" s="34"/>
      <c r="BJ546" s="34"/>
      <c r="BK546" s="34"/>
      <c r="BL546" s="34"/>
      <c r="BM546" s="34" t="s">
        <v>168</v>
      </c>
      <c r="BN546" s="34"/>
      <c r="BO546" s="35"/>
      <c r="BP546" s="35"/>
      <c r="BQ546" s="35" t="s">
        <v>108</v>
      </c>
      <c r="BR546" s="36" t="e">
        <f>VLOOKUP(BQ546, Cat_Indicadores!B:C, 2, FALSE)</f>
        <v>#N/A</v>
      </c>
      <c r="BS546" s="35" t="s">
        <v>5592</v>
      </c>
      <c r="BT546" s="35"/>
    </row>
    <row r="547" spans="1:72">
      <c r="A547" s="29" t="s">
        <v>2250</v>
      </c>
      <c r="B547" s="30" t="s">
        <v>2251</v>
      </c>
      <c r="C547" s="31">
        <v>46302.493113425924</v>
      </c>
      <c r="D547" s="30">
        <v>92</v>
      </c>
      <c r="E547" s="30" t="s">
        <v>74</v>
      </c>
      <c r="F547" s="30" t="s">
        <v>75</v>
      </c>
      <c r="G547" s="30" t="s">
        <v>133</v>
      </c>
      <c r="H547" s="30" t="s">
        <v>77</v>
      </c>
      <c r="I547" s="30" t="s">
        <v>78</v>
      </c>
      <c r="J547" s="30" t="s">
        <v>79</v>
      </c>
      <c r="K547" s="32">
        <v>800</v>
      </c>
      <c r="L547" s="32" t="s">
        <v>80</v>
      </c>
      <c r="M547" s="30" t="s">
        <v>2252</v>
      </c>
      <c r="N547" s="30" t="s">
        <v>919</v>
      </c>
      <c r="O547" s="30" t="s">
        <v>83</v>
      </c>
      <c r="P547" s="33">
        <v>46275</v>
      </c>
      <c r="Q547" s="33">
        <v>46275</v>
      </c>
      <c r="R547" s="32">
        <v>1</v>
      </c>
      <c r="S547" s="30" t="s">
        <v>84</v>
      </c>
      <c r="T547" s="30" t="s">
        <v>337</v>
      </c>
      <c r="U547" s="30" t="s">
        <v>349</v>
      </c>
      <c r="V547" s="30" t="s">
        <v>87</v>
      </c>
      <c r="W547" s="30" t="s">
        <v>88</v>
      </c>
      <c r="X547" s="30" t="s">
        <v>197</v>
      </c>
      <c r="Y547" s="30" t="s">
        <v>1046</v>
      </c>
      <c r="AB547" s="30" t="b">
        <v>0</v>
      </c>
      <c r="AC547" s="30"/>
      <c r="AD547" s="30" t="b">
        <v>0</v>
      </c>
      <c r="AF547" s="30" t="b">
        <v>0</v>
      </c>
      <c r="AH547" s="32" t="s">
        <v>91</v>
      </c>
      <c r="AI547" s="32"/>
      <c r="AJ547" s="32"/>
      <c r="AK547" s="32"/>
      <c r="AL547" s="30" t="s">
        <v>92</v>
      </c>
      <c r="AM547" s="30" t="s">
        <v>93</v>
      </c>
      <c r="AN547" s="30" t="s">
        <v>94</v>
      </c>
      <c r="AO547" s="30" t="s">
        <v>142</v>
      </c>
      <c r="AP547" s="30" t="s">
        <v>143</v>
      </c>
      <c r="AQ547" s="30" t="s">
        <v>144</v>
      </c>
      <c r="AR547" s="30" t="s">
        <v>145</v>
      </c>
      <c r="AT547" s="30" t="s">
        <v>99</v>
      </c>
      <c r="AU547" s="30" t="s">
        <v>100</v>
      </c>
      <c r="AV547" s="30" t="s">
        <v>101</v>
      </c>
      <c r="AW547" s="30" t="s">
        <v>102</v>
      </c>
      <c r="AX547" s="34" t="s">
        <v>349</v>
      </c>
      <c r="AY547" s="34" t="s">
        <v>103</v>
      </c>
      <c r="AZ547" s="34"/>
      <c r="BA547" s="34"/>
      <c r="BB547" s="34"/>
      <c r="BC547" s="34">
        <v>0</v>
      </c>
      <c r="BD547" s="34"/>
      <c r="BE547" s="34"/>
      <c r="BF547" s="34" t="b">
        <v>0</v>
      </c>
      <c r="BG547" s="34"/>
      <c r="BH547" s="34"/>
      <c r="BI547" s="34"/>
      <c r="BJ547" s="34"/>
      <c r="BK547" s="34"/>
      <c r="BL547" s="34"/>
      <c r="BM547" s="34" t="s">
        <v>168</v>
      </c>
      <c r="BN547" s="34"/>
      <c r="BO547" s="35"/>
      <c r="BP547" s="35"/>
      <c r="BQ547" s="35" t="s">
        <v>108</v>
      </c>
      <c r="BR547" s="36" t="e">
        <f>VLOOKUP(BQ547, Cat_Indicadores!B:C, 2, FALSE)</f>
        <v>#N/A</v>
      </c>
      <c r="BS547" s="35" t="s">
        <v>5592</v>
      </c>
      <c r="BT547" s="35"/>
    </row>
    <row r="548" spans="1:72">
      <c r="A548" s="29" t="s">
        <v>2253</v>
      </c>
      <c r="B548" s="30" t="s">
        <v>2254</v>
      </c>
      <c r="C548" s="31">
        <v>46302.496631944443</v>
      </c>
      <c r="D548" s="30">
        <v>74</v>
      </c>
      <c r="E548" s="30" t="s">
        <v>1711</v>
      </c>
      <c r="F548" s="30" t="s">
        <v>1712</v>
      </c>
      <c r="G548" s="30" t="s">
        <v>1863</v>
      </c>
      <c r="H548" s="30" t="s">
        <v>1392</v>
      </c>
      <c r="I548" s="30" t="s">
        <v>1714</v>
      </c>
      <c r="J548" s="30" t="s">
        <v>1736</v>
      </c>
      <c r="K548" s="32">
        <v>2</v>
      </c>
      <c r="L548" s="32" t="s">
        <v>80</v>
      </c>
      <c r="M548" s="30" t="s">
        <v>2255</v>
      </c>
      <c r="N548" s="30" t="s">
        <v>2256</v>
      </c>
      <c r="O548" s="30" t="s">
        <v>83</v>
      </c>
      <c r="P548" s="33">
        <v>46062</v>
      </c>
      <c r="Q548" s="33">
        <v>46062</v>
      </c>
      <c r="R548" s="32">
        <v>1</v>
      </c>
      <c r="S548" s="30" t="s">
        <v>84</v>
      </c>
      <c r="T548" s="30" t="s">
        <v>136</v>
      </c>
      <c r="U548" s="30" t="s">
        <v>86</v>
      </c>
      <c r="V548" s="30" t="s">
        <v>87</v>
      </c>
      <c r="W548" s="30" t="s">
        <v>88</v>
      </c>
      <c r="X548" s="30" t="s">
        <v>1719</v>
      </c>
      <c r="AB548" s="30" t="b">
        <v>0</v>
      </c>
      <c r="AC548" s="30"/>
      <c r="AD548" s="30" t="b">
        <v>0</v>
      </c>
      <c r="AF548" s="30" t="b">
        <v>0</v>
      </c>
      <c r="AH548" s="32" t="s">
        <v>91</v>
      </c>
      <c r="AI548" s="32"/>
      <c r="AJ548" s="32"/>
      <c r="AK548" s="32"/>
      <c r="AL548" s="30" t="s">
        <v>1720</v>
      </c>
      <c r="AM548" s="30" t="s">
        <v>141</v>
      </c>
      <c r="AN548" s="30" t="s">
        <v>94</v>
      </c>
      <c r="AO548" s="30" t="s">
        <v>95</v>
      </c>
      <c r="AP548" s="30" t="s">
        <v>95</v>
      </c>
      <c r="AQ548" s="30" t="s">
        <v>96</v>
      </c>
      <c r="AR548" s="30" t="s">
        <v>97</v>
      </c>
      <c r="AS548" s="30" t="s">
        <v>98</v>
      </c>
      <c r="AT548" s="30" t="s">
        <v>275</v>
      </c>
      <c r="AU548" s="30" t="s">
        <v>276</v>
      </c>
      <c r="AV548" s="30" t="s">
        <v>1740</v>
      </c>
      <c r="AW548" s="30" t="s">
        <v>278</v>
      </c>
      <c r="AX548" s="34" t="s">
        <v>86</v>
      </c>
      <c r="AY548" s="34" t="s">
        <v>149</v>
      </c>
      <c r="AZ548" s="34" t="s">
        <v>149</v>
      </c>
      <c r="BA548" s="34"/>
      <c r="BB548" s="34">
        <v>5</v>
      </c>
      <c r="BC548" s="34">
        <v>0</v>
      </c>
      <c r="BD548" s="34"/>
      <c r="BE548" s="34"/>
      <c r="BF548" s="34" t="b">
        <v>0</v>
      </c>
      <c r="BG548" s="34"/>
      <c r="BH548" s="34"/>
      <c r="BI548" s="34"/>
      <c r="BJ548" s="34"/>
      <c r="BK548" s="34"/>
      <c r="BL548" s="34"/>
      <c r="BM548" s="34" t="s">
        <v>168</v>
      </c>
      <c r="BN548" s="34"/>
      <c r="BO548" s="35"/>
      <c r="BP548" s="35"/>
      <c r="BQ548" s="35" t="s">
        <v>108</v>
      </c>
      <c r="BR548" s="36" t="e">
        <f>VLOOKUP(BQ548, Cat_Indicadores!B:C, 2, FALSE)</f>
        <v>#N/A</v>
      </c>
      <c r="BS548" s="35" t="s">
        <v>5592</v>
      </c>
      <c r="BT548" s="35"/>
    </row>
    <row r="549" spans="1:72">
      <c r="A549" s="29" t="s">
        <v>2257</v>
      </c>
      <c r="B549" s="30" t="s">
        <v>2258</v>
      </c>
      <c r="C549" s="31">
        <v>46302.504606481481</v>
      </c>
      <c r="D549" s="30">
        <v>72</v>
      </c>
      <c r="E549" s="30" t="s">
        <v>1711</v>
      </c>
      <c r="F549" s="30" t="s">
        <v>1712</v>
      </c>
      <c r="G549" s="30" t="s">
        <v>1767</v>
      </c>
      <c r="H549" s="30" t="s">
        <v>1392</v>
      </c>
      <c r="I549" s="30" t="s">
        <v>1714</v>
      </c>
      <c r="J549" s="30" t="s">
        <v>1736</v>
      </c>
      <c r="K549" s="32">
        <v>4</v>
      </c>
      <c r="L549" s="32" t="s">
        <v>211</v>
      </c>
      <c r="M549" s="30" t="s">
        <v>2259</v>
      </c>
      <c r="N549" s="30" t="s">
        <v>2260</v>
      </c>
      <c r="O549" s="30" t="s">
        <v>1371</v>
      </c>
      <c r="P549" s="33">
        <v>46263</v>
      </c>
      <c r="Q549" s="33">
        <v>46285</v>
      </c>
      <c r="R549" s="32">
        <v>20</v>
      </c>
      <c r="S549" s="30" t="s">
        <v>243</v>
      </c>
      <c r="T549" s="30" t="s">
        <v>740</v>
      </c>
      <c r="U549" s="30" t="s">
        <v>86</v>
      </c>
      <c r="V549" s="30" t="s">
        <v>87</v>
      </c>
      <c r="W549" s="30" t="s">
        <v>88</v>
      </c>
      <c r="X549" s="30" t="s">
        <v>1719</v>
      </c>
      <c r="AB549" s="30" t="b">
        <v>0</v>
      </c>
      <c r="AC549" s="30"/>
      <c r="AD549" s="30" t="b">
        <v>1</v>
      </c>
      <c r="AE549" s="30">
        <v>1</v>
      </c>
      <c r="AF549" s="30" t="b">
        <v>0</v>
      </c>
      <c r="AH549" s="32" t="s">
        <v>91</v>
      </c>
      <c r="AI549" s="32"/>
      <c r="AJ549" s="32"/>
      <c r="AK549" s="32"/>
      <c r="AL549" s="30" t="s">
        <v>1720</v>
      </c>
      <c r="AM549" s="30" t="s">
        <v>755</v>
      </c>
      <c r="AN549" s="30" t="s">
        <v>94</v>
      </c>
      <c r="AO549" s="30" t="s">
        <v>95</v>
      </c>
      <c r="AP549" s="30" t="s">
        <v>95</v>
      </c>
      <c r="AQ549" s="30" t="s">
        <v>96</v>
      </c>
      <c r="AR549" s="30" t="s">
        <v>97</v>
      </c>
      <c r="AS549" s="30" t="s">
        <v>98</v>
      </c>
      <c r="AT549" s="30" t="s">
        <v>275</v>
      </c>
      <c r="AU549" s="30" t="s">
        <v>276</v>
      </c>
      <c r="AV549" s="30" t="s">
        <v>1740</v>
      </c>
      <c r="AW549" s="30" t="s">
        <v>278</v>
      </c>
      <c r="AX549" s="34" t="s">
        <v>86</v>
      </c>
      <c r="AY549" s="34" t="s">
        <v>149</v>
      </c>
      <c r="AZ549" s="34" t="s">
        <v>149</v>
      </c>
      <c r="BA549" s="34" t="s">
        <v>2261</v>
      </c>
      <c r="BB549" s="34">
        <v>5</v>
      </c>
      <c r="BC549" s="34">
        <v>1</v>
      </c>
      <c r="BD549" s="34" t="s">
        <v>185</v>
      </c>
      <c r="BE549" s="34" t="s">
        <v>2262</v>
      </c>
      <c r="BF549" s="34" t="b">
        <v>1</v>
      </c>
      <c r="BG549" s="34" t="s">
        <v>1042</v>
      </c>
      <c r="BH549" s="34">
        <v>38140</v>
      </c>
      <c r="BI549" s="34"/>
      <c r="BJ549" s="34"/>
      <c r="BK549" s="34"/>
      <c r="BL549" s="34"/>
      <c r="BM549" s="34" t="s">
        <v>168</v>
      </c>
      <c r="BN549" s="34"/>
      <c r="BO549" s="35"/>
      <c r="BP549" s="35"/>
      <c r="BQ549" s="35" t="s">
        <v>108</v>
      </c>
      <c r="BR549" s="36" t="e">
        <f>VLOOKUP(BQ549, Cat_Indicadores!B:C, 2, FALSE)</f>
        <v>#N/A</v>
      </c>
      <c r="BS549" s="35" t="s">
        <v>5592</v>
      </c>
      <c r="BT549" s="35"/>
    </row>
    <row r="550" spans="1:72">
      <c r="A550" s="29" t="s">
        <v>2263</v>
      </c>
      <c r="B550" s="30" t="s">
        <v>2264</v>
      </c>
      <c r="C550" s="31">
        <v>46302.520196759258</v>
      </c>
      <c r="D550" s="30">
        <v>73</v>
      </c>
      <c r="E550" s="30" t="s">
        <v>1711</v>
      </c>
      <c r="F550" s="30" t="s">
        <v>1712</v>
      </c>
      <c r="G550" s="30" t="s">
        <v>2202</v>
      </c>
      <c r="H550" s="30" t="s">
        <v>1392</v>
      </c>
      <c r="I550" s="30" t="s">
        <v>1714</v>
      </c>
      <c r="J550" s="30" t="s">
        <v>1736</v>
      </c>
      <c r="K550" s="32">
        <v>2</v>
      </c>
      <c r="L550" s="32" t="s">
        <v>80</v>
      </c>
      <c r="M550" s="30" t="s">
        <v>2265</v>
      </c>
      <c r="N550" s="30" t="s">
        <v>2266</v>
      </c>
      <c r="O550" s="30" t="s">
        <v>1371</v>
      </c>
      <c r="P550" s="33">
        <v>46175</v>
      </c>
      <c r="Q550" s="33">
        <v>46280</v>
      </c>
      <c r="R550" s="32">
        <v>30</v>
      </c>
      <c r="S550" s="30" t="s">
        <v>194</v>
      </c>
      <c r="T550" s="30" t="s">
        <v>195</v>
      </c>
      <c r="U550" s="30" t="s">
        <v>2032</v>
      </c>
      <c r="V550" s="30" t="s">
        <v>87</v>
      </c>
      <c r="W550" s="30" t="s">
        <v>1041</v>
      </c>
      <c r="X550" s="30" t="s">
        <v>1719</v>
      </c>
      <c r="AB550" s="30" t="b">
        <v>0</v>
      </c>
      <c r="AC550" s="30"/>
      <c r="AD550" s="30" t="b">
        <v>1</v>
      </c>
      <c r="AE550" s="30">
        <v>1</v>
      </c>
      <c r="AF550" s="30" t="b">
        <v>0</v>
      </c>
      <c r="AH550" s="32" t="s">
        <v>91</v>
      </c>
      <c r="AI550" s="32"/>
      <c r="AJ550" s="32"/>
      <c r="AK550" s="32"/>
      <c r="AL550" s="30" t="s">
        <v>1720</v>
      </c>
      <c r="AM550" s="30" t="s">
        <v>755</v>
      </c>
      <c r="AN550" s="30" t="s">
        <v>94</v>
      </c>
      <c r="AO550" s="30" t="s">
        <v>95</v>
      </c>
      <c r="AP550" s="30" t="s">
        <v>95</v>
      </c>
      <c r="AQ550" s="30" t="s">
        <v>96</v>
      </c>
      <c r="AR550" s="30" t="s">
        <v>97</v>
      </c>
      <c r="AS550" s="30" t="s">
        <v>98</v>
      </c>
      <c r="AT550" s="30" t="s">
        <v>275</v>
      </c>
      <c r="AU550" s="30" t="s">
        <v>276</v>
      </c>
      <c r="AV550" s="30" t="s">
        <v>1740</v>
      </c>
      <c r="AW550" s="30" t="s">
        <v>278</v>
      </c>
      <c r="AX550" s="34" t="s">
        <v>2032</v>
      </c>
      <c r="AY550" s="34" t="s">
        <v>149</v>
      </c>
      <c r="AZ550" s="34" t="s">
        <v>149</v>
      </c>
      <c r="BA550" s="34" t="s">
        <v>2267</v>
      </c>
      <c r="BB550" s="34">
        <v>5</v>
      </c>
      <c r="BC550" s="34">
        <v>5</v>
      </c>
      <c r="BD550" s="34" t="s">
        <v>185</v>
      </c>
      <c r="BE550" s="34" t="s">
        <v>2268</v>
      </c>
      <c r="BF550" s="34" t="b">
        <v>1</v>
      </c>
      <c r="BG550" s="34" t="s">
        <v>1042</v>
      </c>
      <c r="BH550" s="34">
        <v>66336</v>
      </c>
      <c r="BI550" s="34"/>
      <c r="BJ550" s="34"/>
      <c r="BK550" s="34"/>
      <c r="BL550" s="34"/>
      <c r="BM550" s="34" t="s">
        <v>168</v>
      </c>
      <c r="BN550" s="34"/>
      <c r="BO550" s="35"/>
      <c r="BP550" s="35"/>
      <c r="BQ550" s="35" t="s">
        <v>108</v>
      </c>
      <c r="BR550" s="36" t="e">
        <f>VLOOKUP(BQ550, Cat_Indicadores!B:C, 2, FALSE)</f>
        <v>#N/A</v>
      </c>
      <c r="BS550" s="35" t="s">
        <v>5592</v>
      </c>
      <c r="BT550" s="35"/>
    </row>
    <row r="551" spans="1:72">
      <c r="A551" s="29" t="s">
        <v>2269</v>
      </c>
      <c r="B551" s="30" t="s">
        <v>2270</v>
      </c>
      <c r="C551" s="31">
        <v>46302.51321759259</v>
      </c>
      <c r="D551" s="30">
        <v>92</v>
      </c>
      <c r="E551" s="30" t="s">
        <v>74</v>
      </c>
      <c r="F551" s="30" t="s">
        <v>75</v>
      </c>
      <c r="G551" s="30" t="s">
        <v>133</v>
      </c>
      <c r="H551" s="30" t="s">
        <v>77</v>
      </c>
      <c r="I551" s="30" t="s">
        <v>78</v>
      </c>
      <c r="J551" s="30" t="s">
        <v>79</v>
      </c>
      <c r="K551" s="32">
        <v>800</v>
      </c>
      <c r="L551" s="32" t="s">
        <v>211</v>
      </c>
      <c r="M551" s="30" t="s">
        <v>1226</v>
      </c>
      <c r="N551" s="30" t="s">
        <v>899</v>
      </c>
      <c r="O551" s="30" t="s">
        <v>83</v>
      </c>
      <c r="P551" s="33">
        <v>46233</v>
      </c>
      <c r="Q551" s="33">
        <v>46233</v>
      </c>
      <c r="R551" s="32">
        <v>1</v>
      </c>
      <c r="S551" s="30" t="s">
        <v>84</v>
      </c>
      <c r="T551" s="30" t="s">
        <v>117</v>
      </c>
      <c r="U551" s="30" t="s">
        <v>86</v>
      </c>
      <c r="V551" s="30" t="s">
        <v>87</v>
      </c>
      <c r="W551" s="30" t="s">
        <v>88</v>
      </c>
      <c r="X551" s="30" t="s">
        <v>197</v>
      </c>
      <c r="Y551" s="30" t="s">
        <v>1046</v>
      </c>
      <c r="AB551" s="30" t="b">
        <v>0</v>
      </c>
      <c r="AC551" s="30"/>
      <c r="AD551" s="30" t="b">
        <v>0</v>
      </c>
      <c r="AF551" s="30" t="b">
        <v>0</v>
      </c>
      <c r="AH551" s="32" t="s">
        <v>91</v>
      </c>
      <c r="AI551" s="32"/>
      <c r="AJ551" s="32"/>
      <c r="AK551" s="32"/>
      <c r="AL551" s="30" t="s">
        <v>92</v>
      </c>
      <c r="AM551" s="30" t="s">
        <v>93</v>
      </c>
      <c r="AN551" s="30" t="s">
        <v>94</v>
      </c>
      <c r="AO551" s="30" t="s">
        <v>142</v>
      </c>
      <c r="AP551" s="30" t="s">
        <v>143</v>
      </c>
      <c r="AQ551" s="30" t="s">
        <v>232</v>
      </c>
      <c r="AR551" s="30" t="s">
        <v>145</v>
      </c>
      <c r="AT551" s="30" t="s">
        <v>99</v>
      </c>
      <c r="AU551" s="30" t="s">
        <v>100</v>
      </c>
      <c r="AV551" s="30" t="s">
        <v>101</v>
      </c>
      <c r="AW551" s="30" t="s">
        <v>102</v>
      </c>
      <c r="AX551" s="34" t="s">
        <v>86</v>
      </c>
      <c r="AY551" s="34" t="s">
        <v>103</v>
      </c>
      <c r="AZ551" s="34"/>
      <c r="BA551" s="34"/>
      <c r="BB551" s="34"/>
      <c r="BC551" s="34">
        <v>0</v>
      </c>
      <c r="BD551" s="34"/>
      <c r="BE551" s="34"/>
      <c r="BF551" s="34" t="b">
        <v>0</v>
      </c>
      <c r="BG551" s="34"/>
      <c r="BH551" s="34"/>
      <c r="BI551" s="34"/>
      <c r="BJ551" s="34"/>
      <c r="BK551" s="34"/>
      <c r="BL551" s="34"/>
      <c r="BM551" s="34" t="s">
        <v>168</v>
      </c>
      <c r="BN551" s="34"/>
      <c r="BO551" s="35"/>
      <c r="BP551" s="35"/>
      <c r="BQ551" s="35" t="s">
        <v>108</v>
      </c>
      <c r="BR551" s="36" t="e">
        <f>VLOOKUP(BQ551, Cat_Indicadores!B:C, 2, FALSE)</f>
        <v>#N/A</v>
      </c>
      <c r="BS551" s="35" t="s">
        <v>5592</v>
      </c>
      <c r="BT551" s="35"/>
    </row>
    <row r="552" spans="1:72">
      <c r="A552" s="29" t="s">
        <v>2271</v>
      </c>
      <c r="B552" s="30" t="s">
        <v>2272</v>
      </c>
      <c r="C552" s="31">
        <v>46302.545671296299</v>
      </c>
      <c r="D552" s="30">
        <v>2</v>
      </c>
      <c r="E552" s="30" t="s">
        <v>1897</v>
      </c>
      <c r="F552" s="30" t="s">
        <v>1898</v>
      </c>
      <c r="G552" s="30" t="s">
        <v>2273</v>
      </c>
      <c r="H552" s="30" t="s">
        <v>77</v>
      </c>
      <c r="I552" s="30" t="s">
        <v>1448</v>
      </c>
      <c r="J552" s="30" t="s">
        <v>2274</v>
      </c>
      <c r="K552" s="32">
        <v>15</v>
      </c>
      <c r="L552" s="32" t="s">
        <v>211</v>
      </c>
      <c r="M552" s="30" t="s">
        <v>2275</v>
      </c>
      <c r="N552" s="30" t="s">
        <v>2276</v>
      </c>
      <c r="O552" s="30" t="s">
        <v>1371</v>
      </c>
      <c r="P552" s="33">
        <v>46276</v>
      </c>
      <c r="Q552" s="33">
        <v>46284</v>
      </c>
      <c r="R552" s="32">
        <v>8</v>
      </c>
      <c r="S552" s="30" t="s">
        <v>243</v>
      </c>
      <c r="T552" s="30" t="s">
        <v>244</v>
      </c>
      <c r="U552" s="30" t="s">
        <v>86</v>
      </c>
      <c r="V552" s="30" t="s">
        <v>87</v>
      </c>
      <c r="W552" s="30" t="s">
        <v>1374</v>
      </c>
      <c r="X552" s="30" t="s">
        <v>1719</v>
      </c>
      <c r="AB552" s="30" t="b">
        <v>0</v>
      </c>
      <c r="AC552" s="30"/>
      <c r="AD552" s="30" t="b">
        <v>0</v>
      </c>
      <c r="AF552" s="30" t="b">
        <v>0</v>
      </c>
      <c r="AH552" s="32" t="s">
        <v>91</v>
      </c>
      <c r="AI552" s="32"/>
      <c r="AJ552" s="32"/>
      <c r="AK552" s="32"/>
      <c r="AL552" s="30" t="s">
        <v>1720</v>
      </c>
      <c r="AM552" s="30" t="s">
        <v>755</v>
      </c>
      <c r="AN552" s="30" t="s">
        <v>94</v>
      </c>
      <c r="AO552" s="30" t="s">
        <v>95</v>
      </c>
      <c r="AP552" s="30" t="s">
        <v>95</v>
      </c>
      <c r="AQ552" s="30" t="s">
        <v>96</v>
      </c>
      <c r="AR552" s="30" t="s">
        <v>97</v>
      </c>
      <c r="AS552" s="30" t="s">
        <v>98</v>
      </c>
      <c r="AT552" s="30" t="s">
        <v>275</v>
      </c>
      <c r="AU552" s="30" t="s">
        <v>276</v>
      </c>
      <c r="AV552" s="30" t="s">
        <v>1740</v>
      </c>
      <c r="AW552" s="30" t="s">
        <v>278</v>
      </c>
      <c r="AX552" s="34" t="s">
        <v>86</v>
      </c>
      <c r="AY552" s="34" t="s">
        <v>149</v>
      </c>
      <c r="AZ552" s="34" t="s">
        <v>149</v>
      </c>
      <c r="BA552" s="34"/>
      <c r="BB552" s="34">
        <v>5</v>
      </c>
      <c r="BC552" s="34">
        <v>1</v>
      </c>
      <c r="BD552" s="34"/>
      <c r="BE552" s="34"/>
      <c r="BF552" s="34" t="b">
        <v>0</v>
      </c>
      <c r="BG552" s="34"/>
      <c r="BH552" s="34"/>
      <c r="BI552" s="34"/>
      <c r="BJ552" s="34"/>
      <c r="BK552" s="34"/>
      <c r="BL552" s="34"/>
      <c r="BM552" s="34" t="s">
        <v>168</v>
      </c>
      <c r="BN552" s="34"/>
      <c r="BO552" s="35"/>
      <c r="BP552" s="35"/>
      <c r="BQ552" s="35" t="s">
        <v>108</v>
      </c>
      <c r="BR552" s="36" t="e">
        <f>VLOOKUP(BQ552, Cat_Indicadores!B:C, 2, FALSE)</f>
        <v>#N/A</v>
      </c>
      <c r="BS552" s="35" t="s">
        <v>5592</v>
      </c>
      <c r="BT552" s="35"/>
    </row>
    <row r="553" spans="1:72">
      <c r="A553" s="29" t="s">
        <v>2277</v>
      </c>
      <c r="B553" s="30" t="s">
        <v>2278</v>
      </c>
      <c r="C553" s="31">
        <v>46302.141736111109</v>
      </c>
      <c r="D553" s="30">
        <v>26</v>
      </c>
      <c r="E553" s="30" t="s">
        <v>1999</v>
      </c>
      <c r="F553" s="30" t="s">
        <v>2000</v>
      </c>
      <c r="G553" s="30" t="s">
        <v>2279</v>
      </c>
      <c r="H553" s="30" t="s">
        <v>1392</v>
      </c>
      <c r="I553" s="30" t="s">
        <v>1714</v>
      </c>
      <c r="J553" s="30" t="s">
        <v>2002</v>
      </c>
      <c r="K553" s="32">
        <v>400</v>
      </c>
      <c r="L553" s="32" t="s">
        <v>80</v>
      </c>
      <c r="M553" s="30" t="s">
        <v>2280</v>
      </c>
      <c r="N553" s="30" t="s">
        <v>2281</v>
      </c>
      <c r="O553" s="30" t="s">
        <v>661</v>
      </c>
      <c r="P553" s="33">
        <v>46070</v>
      </c>
      <c r="Q553" s="33">
        <v>46112</v>
      </c>
      <c r="R553" s="32">
        <v>11</v>
      </c>
      <c r="S553" s="30" t="s">
        <v>214</v>
      </c>
      <c r="T553" s="30" t="s">
        <v>2005</v>
      </c>
      <c r="U553" s="30" t="s">
        <v>2006</v>
      </c>
      <c r="V553" s="30" t="s">
        <v>87</v>
      </c>
      <c r="W553" s="30" t="s">
        <v>1041</v>
      </c>
      <c r="X553" s="30" t="s">
        <v>197</v>
      </c>
      <c r="Y553" s="30" t="s">
        <v>2282</v>
      </c>
      <c r="Z553" s="30" t="s">
        <v>2282</v>
      </c>
      <c r="AB553" s="30" t="b">
        <v>0</v>
      </c>
      <c r="AC553" s="30"/>
      <c r="AD553" s="30" t="b">
        <v>1</v>
      </c>
      <c r="AE553" s="30">
        <v>37</v>
      </c>
      <c r="AF553" s="30" t="b">
        <v>0</v>
      </c>
      <c r="AH553" s="32" t="s">
        <v>91</v>
      </c>
      <c r="AI553" s="32"/>
      <c r="AJ553" s="32"/>
      <c r="AK553" s="32"/>
      <c r="AL553" s="30" t="s">
        <v>2007</v>
      </c>
      <c r="AM553" s="30" t="s">
        <v>1385</v>
      </c>
      <c r="AN553" s="30" t="s">
        <v>266</v>
      </c>
      <c r="AO553" s="30" t="s">
        <v>267</v>
      </c>
      <c r="AP553" s="30" t="s">
        <v>295</v>
      </c>
      <c r="AQ553" s="30" t="s">
        <v>295</v>
      </c>
      <c r="AR553" s="30" t="s">
        <v>691</v>
      </c>
      <c r="AS553" s="30" t="s">
        <v>98</v>
      </c>
      <c r="AT553" s="30" t="s">
        <v>275</v>
      </c>
      <c r="AU553" s="30" t="s">
        <v>276</v>
      </c>
      <c r="AV553" s="30" t="s">
        <v>1740</v>
      </c>
      <c r="AW553" s="30" t="s">
        <v>278</v>
      </c>
      <c r="AX553" s="34" t="s">
        <v>2076</v>
      </c>
      <c r="AY553" s="34" t="s">
        <v>149</v>
      </c>
      <c r="AZ553" s="34" t="s">
        <v>149</v>
      </c>
      <c r="BA553" s="34" t="s">
        <v>2281</v>
      </c>
      <c r="BB553" s="34"/>
      <c r="BC553" s="34">
        <v>37</v>
      </c>
      <c r="BD553" s="34" t="s">
        <v>1365</v>
      </c>
      <c r="BE553" s="34"/>
      <c r="BF553" s="34" t="b">
        <v>1</v>
      </c>
      <c r="BG553" s="34" t="s">
        <v>104</v>
      </c>
      <c r="BH553" s="34"/>
      <c r="BI553" s="34"/>
      <c r="BJ553" s="34"/>
      <c r="BK553" s="34"/>
      <c r="BL553" s="34"/>
      <c r="BM553" s="34" t="s">
        <v>168</v>
      </c>
      <c r="BN553" s="34" t="s">
        <v>107</v>
      </c>
      <c r="BO553" s="35"/>
      <c r="BP553" s="35"/>
      <c r="BQ553" s="35" t="s">
        <v>108</v>
      </c>
      <c r="BR553" s="36" t="e">
        <f>VLOOKUP(BQ553, Cat_Indicadores!B:C, 2, FALSE)</f>
        <v>#N/A</v>
      </c>
      <c r="BS553" s="35" t="s">
        <v>5592</v>
      </c>
      <c r="BT553" s="35"/>
    </row>
    <row r="554" spans="1:72">
      <c r="A554" s="29" t="s">
        <v>2283</v>
      </c>
      <c r="B554" s="30" t="s">
        <v>2284</v>
      </c>
      <c r="C554" s="31">
        <v>46302.174803240741</v>
      </c>
      <c r="D554" s="30">
        <v>25</v>
      </c>
      <c r="E554" s="30" t="s">
        <v>1999</v>
      </c>
      <c r="F554" s="30" t="s">
        <v>2000</v>
      </c>
      <c r="G554" s="30" t="s">
        <v>2285</v>
      </c>
      <c r="H554" s="30" t="s">
        <v>1392</v>
      </c>
      <c r="I554" s="30" t="s">
        <v>1714</v>
      </c>
      <c r="J554" s="30" t="s">
        <v>2002</v>
      </c>
      <c r="K554" s="32">
        <v>700</v>
      </c>
      <c r="L554" s="32" t="s">
        <v>80</v>
      </c>
      <c r="M554" s="30" t="s">
        <v>2286</v>
      </c>
      <c r="N554" s="30" t="s">
        <v>2287</v>
      </c>
      <c r="O554" s="30" t="s">
        <v>661</v>
      </c>
      <c r="P554" s="33">
        <v>46101</v>
      </c>
      <c r="Q554" s="33">
        <v>46203</v>
      </c>
      <c r="R554" s="32">
        <v>170</v>
      </c>
      <c r="S554" s="30" t="s">
        <v>214</v>
      </c>
      <c r="T554" s="30" t="s">
        <v>2005</v>
      </c>
      <c r="U554" s="30" t="s">
        <v>2006</v>
      </c>
      <c r="V554" s="30" t="s">
        <v>87</v>
      </c>
      <c r="W554" s="30" t="s">
        <v>88</v>
      </c>
      <c r="X554" s="30" t="s">
        <v>1969</v>
      </c>
      <c r="Y554" s="30" t="s">
        <v>2288</v>
      </c>
      <c r="AB554" s="30" t="b">
        <v>0</v>
      </c>
      <c r="AC554" s="30"/>
      <c r="AD554" s="30" t="b">
        <v>1</v>
      </c>
      <c r="AE554" s="30">
        <v>37</v>
      </c>
      <c r="AF554" s="30" t="b">
        <v>0</v>
      </c>
      <c r="AH554" s="32" t="s">
        <v>91</v>
      </c>
      <c r="AI554" s="32"/>
      <c r="AJ554" s="32"/>
      <c r="AK554" s="32"/>
      <c r="AL554" s="30" t="s">
        <v>2007</v>
      </c>
      <c r="AM554" s="30" t="s">
        <v>1385</v>
      </c>
      <c r="AN554" s="30" t="s">
        <v>266</v>
      </c>
      <c r="AO554" s="30" t="s">
        <v>267</v>
      </c>
      <c r="AP554" s="30" t="s">
        <v>295</v>
      </c>
      <c r="AQ554" s="30" t="s">
        <v>295</v>
      </c>
      <c r="AR554" s="30" t="s">
        <v>97</v>
      </c>
      <c r="AS554" s="30" t="s">
        <v>112</v>
      </c>
      <c r="AT554" s="30" t="s">
        <v>275</v>
      </c>
      <c r="AU554" s="30" t="s">
        <v>276</v>
      </c>
      <c r="AV554" s="30" t="s">
        <v>1740</v>
      </c>
      <c r="AW554" s="30" t="s">
        <v>278</v>
      </c>
      <c r="AX554" s="34" t="s">
        <v>2006</v>
      </c>
      <c r="AY554" s="34" t="s">
        <v>149</v>
      </c>
      <c r="AZ554" s="34" t="s">
        <v>149</v>
      </c>
      <c r="BA554" s="34" t="s">
        <v>2287</v>
      </c>
      <c r="BB554" s="34"/>
      <c r="BC554" s="34">
        <v>0</v>
      </c>
      <c r="BD554" s="34"/>
      <c r="BE554" s="34"/>
      <c r="BF554" s="34" t="b">
        <v>1</v>
      </c>
      <c r="BG554" s="34" t="s">
        <v>2008</v>
      </c>
      <c r="BH554" s="34"/>
      <c r="BI554" s="34"/>
      <c r="BJ554" s="34"/>
      <c r="BK554" s="34"/>
      <c r="BL554" s="34" t="s">
        <v>2289</v>
      </c>
      <c r="BM554" s="34" t="s">
        <v>106</v>
      </c>
      <c r="BN554" s="34" t="s">
        <v>1683</v>
      </c>
      <c r="BO554" s="35"/>
      <c r="BP554" s="35"/>
      <c r="BQ554" s="35" t="s">
        <v>108</v>
      </c>
      <c r="BR554" s="36" t="e">
        <f>VLOOKUP(BQ554, Cat_Indicadores!B:C, 2, FALSE)</f>
        <v>#N/A</v>
      </c>
      <c r="BS554" s="35" t="s">
        <v>5592</v>
      </c>
      <c r="BT554" s="35"/>
    </row>
    <row r="555" spans="1:72">
      <c r="A555" s="29" t="s">
        <v>2290</v>
      </c>
      <c r="B555" s="30" t="s">
        <v>2291</v>
      </c>
      <c r="C555" s="31">
        <v>46302.540370370371</v>
      </c>
      <c r="D555" s="30">
        <v>92</v>
      </c>
      <c r="E555" s="30" t="s">
        <v>74</v>
      </c>
      <c r="F555" s="30" t="s">
        <v>75</v>
      </c>
      <c r="G555" s="30" t="s">
        <v>133</v>
      </c>
      <c r="H555" s="30" t="s">
        <v>77</v>
      </c>
      <c r="I555" s="30" t="s">
        <v>78</v>
      </c>
      <c r="J555" s="30" t="s">
        <v>79</v>
      </c>
      <c r="K555" s="32">
        <v>800</v>
      </c>
      <c r="L555" s="32" t="s">
        <v>80</v>
      </c>
      <c r="M555" s="30" t="s">
        <v>2292</v>
      </c>
      <c r="N555" s="30" t="s">
        <v>402</v>
      </c>
      <c r="O555" s="30" t="s">
        <v>83</v>
      </c>
      <c r="P555" s="33">
        <v>46282</v>
      </c>
      <c r="Q555" s="33">
        <v>46282</v>
      </c>
      <c r="R555" s="32">
        <v>1</v>
      </c>
      <c r="S555" s="30" t="s">
        <v>84</v>
      </c>
      <c r="T555" s="30" t="s">
        <v>117</v>
      </c>
      <c r="U555" s="30" t="s">
        <v>349</v>
      </c>
      <c r="V555" s="30" t="s">
        <v>87</v>
      </c>
      <c r="W555" s="30" t="s">
        <v>88</v>
      </c>
      <c r="X555" s="30" t="s">
        <v>197</v>
      </c>
      <c r="Y555" s="30" t="s">
        <v>1046</v>
      </c>
      <c r="AB555" s="30" t="b">
        <v>0</v>
      </c>
      <c r="AC555" s="30"/>
      <c r="AD555" s="30" t="b">
        <v>0</v>
      </c>
      <c r="AF555" s="30" t="b">
        <v>0</v>
      </c>
      <c r="AH555" s="32" t="s">
        <v>91</v>
      </c>
      <c r="AI555" s="32"/>
      <c r="AJ555" s="32"/>
      <c r="AK555" s="32"/>
      <c r="AL555" s="30" t="s">
        <v>92</v>
      </c>
      <c r="AM555" s="30" t="s">
        <v>93</v>
      </c>
      <c r="AN555" s="30" t="s">
        <v>94</v>
      </c>
      <c r="AO555" s="30" t="s">
        <v>142</v>
      </c>
      <c r="AP555" s="30" t="s">
        <v>143</v>
      </c>
      <c r="AQ555" s="30" t="s">
        <v>144</v>
      </c>
      <c r="AR555" s="30" t="s">
        <v>145</v>
      </c>
      <c r="AT555" s="30" t="s">
        <v>99</v>
      </c>
      <c r="AU555" s="30" t="s">
        <v>100</v>
      </c>
      <c r="AV555" s="30" t="s">
        <v>101</v>
      </c>
      <c r="AW555" s="30" t="s">
        <v>102</v>
      </c>
      <c r="AX555" s="34" t="s">
        <v>349</v>
      </c>
      <c r="AY555" s="34" t="s">
        <v>103</v>
      </c>
      <c r="AZ555" s="34"/>
      <c r="BA555" s="34"/>
      <c r="BB555" s="34"/>
      <c r="BC555" s="34">
        <v>0</v>
      </c>
      <c r="BD555" s="34"/>
      <c r="BE555" s="34"/>
      <c r="BF555" s="34" t="b">
        <v>0</v>
      </c>
      <c r="BG555" s="34"/>
      <c r="BH555" s="34"/>
      <c r="BI555" s="34"/>
      <c r="BJ555" s="34"/>
      <c r="BK555" s="34"/>
      <c r="BL555" s="34"/>
      <c r="BM555" s="34" t="s">
        <v>168</v>
      </c>
      <c r="BN555" s="34"/>
      <c r="BO555" s="35"/>
      <c r="BP555" s="35"/>
      <c r="BQ555" s="35" t="s">
        <v>108</v>
      </c>
      <c r="BR555" s="36" t="e">
        <f>VLOOKUP(BQ555, Cat_Indicadores!B:C, 2, FALSE)</f>
        <v>#N/A</v>
      </c>
      <c r="BS555" s="35" t="s">
        <v>5592</v>
      </c>
      <c r="BT555" s="35"/>
    </row>
    <row r="556" spans="1:72">
      <c r="A556" s="29" t="s">
        <v>2293</v>
      </c>
      <c r="B556" s="30" t="s">
        <v>2294</v>
      </c>
      <c r="C556" s="31">
        <v>46302.218680555554</v>
      </c>
      <c r="D556" s="30">
        <v>26</v>
      </c>
      <c r="E556" s="30" t="s">
        <v>1999</v>
      </c>
      <c r="F556" s="30" t="s">
        <v>2000</v>
      </c>
      <c r="G556" s="30" t="s">
        <v>2279</v>
      </c>
      <c r="H556" s="30" t="s">
        <v>1392</v>
      </c>
      <c r="I556" s="30" t="s">
        <v>1714</v>
      </c>
      <c r="J556" s="30" t="s">
        <v>2002</v>
      </c>
      <c r="K556" s="32">
        <v>400</v>
      </c>
      <c r="L556" s="32" t="s">
        <v>211</v>
      </c>
      <c r="M556" s="30" t="s">
        <v>2295</v>
      </c>
      <c r="N556" s="30" t="s">
        <v>2296</v>
      </c>
      <c r="O556" s="30" t="s">
        <v>83</v>
      </c>
      <c r="P556" s="33">
        <v>46157</v>
      </c>
      <c r="Q556" s="33">
        <v>46173</v>
      </c>
      <c r="R556" s="32">
        <v>1</v>
      </c>
      <c r="S556" s="30" t="s">
        <v>214</v>
      </c>
      <c r="T556" s="30" t="s">
        <v>2005</v>
      </c>
      <c r="U556" s="30" t="s">
        <v>221</v>
      </c>
      <c r="V556" s="30" t="s">
        <v>87</v>
      </c>
      <c r="W556" s="30" t="s">
        <v>88</v>
      </c>
      <c r="X556" s="30" t="s">
        <v>89</v>
      </c>
      <c r="Z556" s="30" t="s">
        <v>2297</v>
      </c>
      <c r="AB556" s="30" t="b">
        <v>0</v>
      </c>
      <c r="AC556" s="30"/>
      <c r="AD556" s="30" t="b">
        <v>0</v>
      </c>
      <c r="AF556" s="30" t="b">
        <v>0</v>
      </c>
      <c r="AH556" s="32" t="s">
        <v>91</v>
      </c>
      <c r="AI556" s="32"/>
      <c r="AJ556" s="32"/>
      <c r="AK556" s="32"/>
      <c r="AL556" s="30" t="s">
        <v>2007</v>
      </c>
      <c r="AM556" s="30" t="s">
        <v>1385</v>
      </c>
      <c r="AN556" s="30" t="s">
        <v>266</v>
      </c>
      <c r="AO556" s="30" t="s">
        <v>267</v>
      </c>
      <c r="AP556" s="30" t="s">
        <v>295</v>
      </c>
      <c r="AQ556" s="30" t="s">
        <v>295</v>
      </c>
      <c r="AR556" s="30" t="s">
        <v>691</v>
      </c>
      <c r="AS556" s="30" t="s">
        <v>112</v>
      </c>
      <c r="AT556" s="30" t="s">
        <v>275</v>
      </c>
      <c r="AU556" s="30" t="s">
        <v>276</v>
      </c>
      <c r="AV556" s="30" t="s">
        <v>1740</v>
      </c>
      <c r="AW556" s="30" t="s">
        <v>278</v>
      </c>
      <c r="AX556" s="34" t="s">
        <v>221</v>
      </c>
      <c r="AY556" s="34" t="s">
        <v>149</v>
      </c>
      <c r="AZ556" s="34" t="s">
        <v>149</v>
      </c>
      <c r="BA556" s="34" t="s">
        <v>2298</v>
      </c>
      <c r="BB556" s="34"/>
      <c r="BC556" s="34">
        <v>0</v>
      </c>
      <c r="BD556" s="34"/>
      <c r="BE556" s="34"/>
      <c r="BF556" s="34" t="b">
        <v>0</v>
      </c>
      <c r="BG556" s="34"/>
      <c r="BH556" s="34"/>
      <c r="BI556" s="34"/>
      <c r="BJ556" s="34"/>
      <c r="BK556" s="34"/>
      <c r="BL556" s="34" t="s">
        <v>2299</v>
      </c>
      <c r="BM556" s="34" t="s">
        <v>106</v>
      </c>
      <c r="BN556" s="34" t="s">
        <v>107</v>
      </c>
      <c r="BO556" s="35"/>
      <c r="BP556" s="35"/>
      <c r="BQ556" s="35" t="s">
        <v>108</v>
      </c>
      <c r="BR556" s="36" t="e">
        <f>VLOOKUP(BQ556, Cat_Indicadores!B:C, 2, FALSE)</f>
        <v>#N/A</v>
      </c>
      <c r="BS556" s="35" t="s">
        <v>5592</v>
      </c>
      <c r="BT556" s="35"/>
    </row>
    <row r="557" spans="1:72">
      <c r="A557" s="29" t="s">
        <v>2300</v>
      </c>
      <c r="B557" s="30" t="s">
        <v>2301</v>
      </c>
      <c r="C557" s="31">
        <v>46302.233888888892</v>
      </c>
      <c r="D557" s="30">
        <v>24</v>
      </c>
      <c r="E557" s="30" t="s">
        <v>1999</v>
      </c>
      <c r="F557" s="30" t="s">
        <v>2000</v>
      </c>
      <c r="G557" s="30" t="s">
        <v>2001</v>
      </c>
      <c r="H557" s="30" t="s">
        <v>1392</v>
      </c>
      <c r="I557" s="30" t="s">
        <v>1714</v>
      </c>
      <c r="J557" s="30" t="s">
        <v>2002</v>
      </c>
      <c r="K557" s="32">
        <v>1240</v>
      </c>
      <c r="L557" s="32" t="s">
        <v>211</v>
      </c>
      <c r="M557" s="30" t="s">
        <v>2302</v>
      </c>
      <c r="N557" s="30" t="s">
        <v>2303</v>
      </c>
      <c r="O557" s="30" t="s">
        <v>661</v>
      </c>
      <c r="P557" s="33">
        <v>46193</v>
      </c>
      <c r="Q557" s="33">
        <v>46194</v>
      </c>
      <c r="R557" s="32">
        <v>1</v>
      </c>
      <c r="S557" s="30" t="s">
        <v>214</v>
      </c>
      <c r="T557" s="30" t="s">
        <v>2005</v>
      </c>
      <c r="U557" s="30" t="s">
        <v>221</v>
      </c>
      <c r="V557" s="30" t="s">
        <v>87</v>
      </c>
      <c r="W557" s="30" t="s">
        <v>88</v>
      </c>
      <c r="X557" s="30" t="s">
        <v>1969</v>
      </c>
      <c r="Y557" s="30" t="s">
        <v>2304</v>
      </c>
      <c r="AB557" s="30" t="b">
        <v>0</v>
      </c>
      <c r="AC557" s="30"/>
      <c r="AD557" s="30" t="b">
        <v>0</v>
      </c>
      <c r="AF557" s="30" t="b">
        <v>0</v>
      </c>
      <c r="AH557" s="32" t="s">
        <v>91</v>
      </c>
      <c r="AI557" s="32"/>
      <c r="AJ557" s="32"/>
      <c r="AK557" s="32"/>
      <c r="AL557" s="30" t="s">
        <v>2007</v>
      </c>
      <c r="AM557" s="30" t="s">
        <v>1385</v>
      </c>
      <c r="AN557" s="30" t="s">
        <v>266</v>
      </c>
      <c r="AO557" s="30" t="s">
        <v>267</v>
      </c>
      <c r="AP557" s="30" t="s">
        <v>295</v>
      </c>
      <c r="AQ557" s="30" t="s">
        <v>295</v>
      </c>
      <c r="AR557" s="30" t="s">
        <v>97</v>
      </c>
      <c r="AS557" s="30" t="s">
        <v>112</v>
      </c>
      <c r="AT557" s="30" t="s">
        <v>275</v>
      </c>
      <c r="AU557" s="30" t="s">
        <v>276</v>
      </c>
      <c r="AV557" s="30" t="s">
        <v>1740</v>
      </c>
      <c r="AW557" s="30" t="s">
        <v>278</v>
      </c>
      <c r="AX557" s="34" t="s">
        <v>221</v>
      </c>
      <c r="AY557" s="34" t="s">
        <v>149</v>
      </c>
      <c r="AZ557" s="34" t="s">
        <v>149</v>
      </c>
      <c r="BA557" s="34"/>
      <c r="BB557" s="34"/>
      <c r="BC557" s="34">
        <v>0</v>
      </c>
      <c r="BD557" s="34"/>
      <c r="BE557" s="34"/>
      <c r="BF557" s="34" t="b">
        <v>0</v>
      </c>
      <c r="BG557" s="34"/>
      <c r="BH557" s="34"/>
      <c r="BI557" s="34"/>
      <c r="BJ557" s="34"/>
      <c r="BK557" s="34"/>
      <c r="BL557" s="34" t="s">
        <v>2305</v>
      </c>
      <c r="BM557" s="34" t="s">
        <v>106</v>
      </c>
      <c r="BN557" s="34" t="s">
        <v>107</v>
      </c>
      <c r="BO557" s="35"/>
      <c r="BP557" s="35"/>
      <c r="BQ557" s="35" t="s">
        <v>108</v>
      </c>
      <c r="BR557" s="36" t="e">
        <f>VLOOKUP(BQ557, Cat_Indicadores!B:C, 2, FALSE)</f>
        <v>#N/A</v>
      </c>
      <c r="BS557" s="35" t="s">
        <v>5592</v>
      </c>
      <c r="BT557" s="35"/>
    </row>
    <row r="558" spans="1:72">
      <c r="A558" s="29" t="s">
        <v>2306</v>
      </c>
      <c r="B558" s="30" t="s">
        <v>2307</v>
      </c>
      <c r="C558" s="31">
        <v>46302.251319444447</v>
      </c>
      <c r="D558" s="30">
        <v>24</v>
      </c>
      <c r="E558" s="30" t="s">
        <v>1999</v>
      </c>
      <c r="F558" s="30" t="s">
        <v>2000</v>
      </c>
      <c r="G558" s="30" t="s">
        <v>2001</v>
      </c>
      <c r="H558" s="30" t="s">
        <v>1392</v>
      </c>
      <c r="I558" s="30" t="s">
        <v>1714</v>
      </c>
      <c r="J558" s="30" t="s">
        <v>2002</v>
      </c>
      <c r="K558" s="32">
        <v>1240</v>
      </c>
      <c r="L558" s="32" t="s">
        <v>211</v>
      </c>
      <c r="M558" s="30" t="s">
        <v>2308</v>
      </c>
      <c r="N558" s="30" t="s">
        <v>2309</v>
      </c>
      <c r="O558" s="30" t="s">
        <v>1718</v>
      </c>
      <c r="P558" s="33">
        <v>46174</v>
      </c>
      <c r="Q558" s="33">
        <v>46203</v>
      </c>
      <c r="R558" s="32">
        <v>1</v>
      </c>
      <c r="S558" s="30" t="s">
        <v>214</v>
      </c>
      <c r="T558" s="30" t="s">
        <v>2005</v>
      </c>
      <c r="U558" s="30" t="s">
        <v>221</v>
      </c>
      <c r="V558" s="30" t="s">
        <v>87</v>
      </c>
      <c r="W558" s="30" t="s">
        <v>88</v>
      </c>
      <c r="X558" s="30" t="s">
        <v>139</v>
      </c>
      <c r="Z558" s="30" t="s">
        <v>2310</v>
      </c>
      <c r="AB558" s="30" t="b">
        <v>0</v>
      </c>
      <c r="AC558" s="30"/>
      <c r="AD558" s="30" t="b">
        <v>0</v>
      </c>
      <c r="AF558" s="30" t="b">
        <v>0</v>
      </c>
      <c r="AH558" s="32" t="s">
        <v>91</v>
      </c>
      <c r="AI558" s="32"/>
      <c r="AJ558" s="32"/>
      <c r="AK558" s="32"/>
      <c r="AL558" s="30" t="s">
        <v>2007</v>
      </c>
      <c r="AM558" s="30" t="s">
        <v>1385</v>
      </c>
      <c r="AN558" s="30" t="s">
        <v>266</v>
      </c>
      <c r="AO558" s="30" t="s">
        <v>267</v>
      </c>
      <c r="AP558" s="30" t="s">
        <v>295</v>
      </c>
      <c r="AQ558" s="30" t="s">
        <v>295</v>
      </c>
      <c r="AR558" s="30" t="s">
        <v>97</v>
      </c>
      <c r="AS558" s="30" t="s">
        <v>112</v>
      </c>
      <c r="AT558" s="30" t="s">
        <v>275</v>
      </c>
      <c r="AU558" s="30" t="s">
        <v>276</v>
      </c>
      <c r="AV558" s="30" t="s">
        <v>1740</v>
      </c>
      <c r="AW558" s="30" t="s">
        <v>278</v>
      </c>
      <c r="AX558" s="34" t="s">
        <v>221</v>
      </c>
      <c r="AY558" s="34" t="s">
        <v>149</v>
      </c>
      <c r="AZ558" s="34" t="s">
        <v>149</v>
      </c>
      <c r="BA558" s="34"/>
      <c r="BB558" s="34"/>
      <c r="BC558" s="34">
        <v>0</v>
      </c>
      <c r="BD558" s="34"/>
      <c r="BE558" s="34"/>
      <c r="BF558" s="34" t="b">
        <v>0</v>
      </c>
      <c r="BG558" s="34"/>
      <c r="BH558" s="34"/>
      <c r="BI558" s="34"/>
      <c r="BJ558" s="34"/>
      <c r="BK558" s="34"/>
      <c r="BL558" s="34" t="s">
        <v>2311</v>
      </c>
      <c r="BM558" s="34" t="s">
        <v>106</v>
      </c>
      <c r="BN558" s="34" t="s">
        <v>107</v>
      </c>
      <c r="BO558" s="35"/>
      <c r="BP558" s="35"/>
      <c r="BQ558" s="35" t="s">
        <v>108</v>
      </c>
      <c r="BR558" s="36" t="e">
        <f>VLOOKUP(BQ558, Cat_Indicadores!B:C, 2, FALSE)</f>
        <v>#N/A</v>
      </c>
      <c r="BS558" s="35" t="s">
        <v>5592</v>
      </c>
      <c r="BT558" s="35"/>
    </row>
    <row r="559" spans="1:72">
      <c r="A559" s="29" t="s">
        <v>2312</v>
      </c>
      <c r="B559" s="30" t="s">
        <v>2313</v>
      </c>
      <c r="C559" s="31">
        <v>46302.261400462965</v>
      </c>
      <c r="D559" s="30">
        <v>25</v>
      </c>
      <c r="E559" s="30" t="s">
        <v>1999</v>
      </c>
      <c r="F559" s="30" t="s">
        <v>2000</v>
      </c>
      <c r="G559" s="30" t="s">
        <v>2285</v>
      </c>
      <c r="H559" s="30" t="s">
        <v>1392</v>
      </c>
      <c r="I559" s="30" t="s">
        <v>1714</v>
      </c>
      <c r="J559" s="30" t="s">
        <v>2002</v>
      </c>
      <c r="K559" s="32">
        <v>700</v>
      </c>
      <c r="L559" s="32" t="s">
        <v>211</v>
      </c>
      <c r="M559" s="30" t="s">
        <v>2314</v>
      </c>
      <c r="N559" s="30" t="s">
        <v>2309</v>
      </c>
      <c r="O559" s="30" t="s">
        <v>1718</v>
      </c>
      <c r="P559" s="33">
        <v>46174</v>
      </c>
      <c r="Q559" s="33">
        <v>46203</v>
      </c>
      <c r="R559" s="32">
        <v>1</v>
      </c>
      <c r="S559" s="30" t="s">
        <v>214</v>
      </c>
      <c r="T559" s="30" t="s">
        <v>2005</v>
      </c>
      <c r="U559" s="30" t="s">
        <v>221</v>
      </c>
      <c r="V559" s="30" t="s">
        <v>87</v>
      </c>
      <c r="W559" s="30" t="s">
        <v>88</v>
      </c>
      <c r="X559" s="30" t="s">
        <v>89</v>
      </c>
      <c r="Z559" s="30" t="s">
        <v>2315</v>
      </c>
      <c r="AB559" s="30" t="b">
        <v>0</v>
      </c>
      <c r="AC559" s="30"/>
      <c r="AD559" s="30" t="b">
        <v>0</v>
      </c>
      <c r="AF559" s="30" t="b">
        <v>0</v>
      </c>
      <c r="AH559" s="32" t="s">
        <v>91</v>
      </c>
      <c r="AI559" s="32"/>
      <c r="AJ559" s="32"/>
      <c r="AK559" s="32"/>
      <c r="AL559" s="30" t="s">
        <v>2007</v>
      </c>
      <c r="AM559" s="30" t="s">
        <v>1385</v>
      </c>
      <c r="AN559" s="30" t="s">
        <v>266</v>
      </c>
      <c r="AO559" s="30" t="s">
        <v>267</v>
      </c>
      <c r="AP559" s="30" t="s">
        <v>295</v>
      </c>
      <c r="AQ559" s="30" t="s">
        <v>295</v>
      </c>
      <c r="AR559" s="30" t="s">
        <v>97</v>
      </c>
      <c r="AS559" s="30" t="s">
        <v>112</v>
      </c>
      <c r="AT559" s="30" t="s">
        <v>275</v>
      </c>
      <c r="AU559" s="30" t="s">
        <v>276</v>
      </c>
      <c r="AV559" s="30" t="s">
        <v>1740</v>
      </c>
      <c r="AW559" s="30" t="s">
        <v>278</v>
      </c>
      <c r="AX559" s="34" t="s">
        <v>221</v>
      </c>
      <c r="AY559" s="34" t="s">
        <v>149</v>
      </c>
      <c r="AZ559" s="34" t="s">
        <v>149</v>
      </c>
      <c r="BA559" s="34"/>
      <c r="BB559" s="34"/>
      <c r="BC559" s="34">
        <v>0</v>
      </c>
      <c r="BD559" s="34"/>
      <c r="BE559" s="34"/>
      <c r="BF559" s="34" t="b">
        <v>0</v>
      </c>
      <c r="BG559" s="34"/>
      <c r="BH559" s="34"/>
      <c r="BI559" s="34"/>
      <c r="BJ559" s="34"/>
      <c r="BK559" s="34"/>
      <c r="BL559" s="34" t="s">
        <v>2316</v>
      </c>
      <c r="BM559" s="34" t="s">
        <v>106</v>
      </c>
      <c r="BN559" s="34" t="s">
        <v>107</v>
      </c>
      <c r="BO559" s="35"/>
      <c r="BP559" s="35"/>
      <c r="BQ559" s="35" t="s">
        <v>108</v>
      </c>
      <c r="BR559" s="36" t="e">
        <f>VLOOKUP(BQ559, Cat_Indicadores!B:C, 2, FALSE)</f>
        <v>#N/A</v>
      </c>
      <c r="BS559" s="35" t="s">
        <v>5592</v>
      </c>
      <c r="BT559" s="35"/>
    </row>
    <row r="560" spans="1:72">
      <c r="A560" s="29" t="s">
        <v>2317</v>
      </c>
      <c r="B560" s="30" t="s">
        <v>2318</v>
      </c>
      <c r="C560" s="31">
        <v>46302.273344907408</v>
      </c>
      <c r="D560" s="30">
        <v>26</v>
      </c>
      <c r="E560" s="30" t="s">
        <v>1999</v>
      </c>
      <c r="F560" s="30" t="s">
        <v>2000</v>
      </c>
      <c r="G560" s="30" t="s">
        <v>2279</v>
      </c>
      <c r="H560" s="30" t="s">
        <v>1392</v>
      </c>
      <c r="I560" s="30" t="s">
        <v>1714</v>
      </c>
      <c r="J560" s="30" t="s">
        <v>2002</v>
      </c>
      <c r="K560" s="32">
        <v>400</v>
      </c>
      <c r="L560" s="32" t="s">
        <v>211</v>
      </c>
      <c r="M560" s="30" t="s">
        <v>2319</v>
      </c>
      <c r="N560" s="30" t="s">
        <v>2320</v>
      </c>
      <c r="O560" s="30" t="s">
        <v>83</v>
      </c>
      <c r="P560" s="33">
        <v>46203</v>
      </c>
      <c r="Q560" s="33">
        <v>46203</v>
      </c>
      <c r="R560" s="32">
        <v>1</v>
      </c>
      <c r="S560" s="30" t="s">
        <v>214</v>
      </c>
      <c r="T560" s="30" t="s">
        <v>2005</v>
      </c>
      <c r="U560" s="30" t="s">
        <v>221</v>
      </c>
      <c r="V560" s="30" t="s">
        <v>87</v>
      </c>
      <c r="W560" s="30" t="s">
        <v>88</v>
      </c>
      <c r="X560" s="30" t="s">
        <v>89</v>
      </c>
      <c r="Z560" s="30" t="s">
        <v>2321</v>
      </c>
      <c r="AB560" s="30" t="b">
        <v>0</v>
      </c>
      <c r="AC560" s="30"/>
      <c r="AD560" s="30" t="b">
        <v>0</v>
      </c>
      <c r="AF560" s="30" t="b">
        <v>0</v>
      </c>
      <c r="AH560" s="32" t="s">
        <v>91</v>
      </c>
      <c r="AI560" s="32"/>
      <c r="AJ560" s="32"/>
      <c r="AK560" s="32"/>
      <c r="AL560" s="30" t="s">
        <v>2007</v>
      </c>
      <c r="AM560" s="30" t="s">
        <v>1385</v>
      </c>
      <c r="AN560" s="30" t="s">
        <v>266</v>
      </c>
      <c r="AO560" s="30" t="s">
        <v>267</v>
      </c>
      <c r="AP560" s="30" t="s">
        <v>295</v>
      </c>
      <c r="AQ560" s="30" t="s">
        <v>295</v>
      </c>
      <c r="AR560" s="30" t="s">
        <v>97</v>
      </c>
      <c r="AS560" s="30" t="s">
        <v>112</v>
      </c>
      <c r="AT560" s="30" t="s">
        <v>275</v>
      </c>
      <c r="AU560" s="30" t="s">
        <v>276</v>
      </c>
      <c r="AV560" s="30" t="s">
        <v>1740</v>
      </c>
      <c r="AW560" s="30" t="s">
        <v>278</v>
      </c>
      <c r="AX560" s="34" t="s">
        <v>221</v>
      </c>
      <c r="AY560" s="34" t="s">
        <v>149</v>
      </c>
      <c r="AZ560" s="34" t="s">
        <v>149</v>
      </c>
      <c r="BA560" s="34"/>
      <c r="BB560" s="34"/>
      <c r="BC560" s="34">
        <v>0</v>
      </c>
      <c r="BD560" s="34"/>
      <c r="BE560" s="34"/>
      <c r="BF560" s="34" t="b">
        <v>0</v>
      </c>
      <c r="BG560" s="34"/>
      <c r="BH560" s="34"/>
      <c r="BI560" s="34"/>
      <c r="BJ560" s="34"/>
      <c r="BK560" s="34"/>
      <c r="BL560" s="34" t="s">
        <v>2322</v>
      </c>
      <c r="BM560" s="34" t="s">
        <v>106</v>
      </c>
      <c r="BN560" s="34" t="s">
        <v>107</v>
      </c>
      <c r="BO560" s="35"/>
      <c r="BP560" s="35"/>
      <c r="BQ560" s="35" t="s">
        <v>108</v>
      </c>
      <c r="BR560" s="36" t="e">
        <f>VLOOKUP(BQ560, Cat_Indicadores!B:C, 2, FALSE)</f>
        <v>#N/A</v>
      </c>
      <c r="BS560" s="35" t="s">
        <v>5592</v>
      </c>
      <c r="BT560" s="35"/>
    </row>
    <row r="561" spans="1:72">
      <c r="A561" s="29" t="s">
        <v>2323</v>
      </c>
      <c r="B561" s="30" t="s">
        <v>2324</v>
      </c>
      <c r="C561" s="31">
        <v>46302.729074074072</v>
      </c>
      <c r="D561" s="30">
        <v>85</v>
      </c>
      <c r="E561" s="30" t="s">
        <v>1843</v>
      </c>
      <c r="F561" s="30" t="s">
        <v>1844</v>
      </c>
      <c r="G561" s="30" t="s">
        <v>1845</v>
      </c>
      <c r="H561" s="30" t="s">
        <v>77</v>
      </c>
      <c r="I561" s="30" t="s">
        <v>1846</v>
      </c>
      <c r="J561" s="30" t="s">
        <v>1847</v>
      </c>
      <c r="K561" s="32">
        <v>25</v>
      </c>
      <c r="L561" s="32" t="s">
        <v>80</v>
      </c>
      <c r="M561" s="30" t="s">
        <v>221</v>
      </c>
      <c r="N561" s="30" t="s">
        <v>2325</v>
      </c>
      <c r="O561" s="30" t="s">
        <v>83</v>
      </c>
      <c r="P561" s="33">
        <v>46302</v>
      </c>
      <c r="Q561" s="33">
        <v>46302</v>
      </c>
      <c r="R561" s="32">
        <v>1</v>
      </c>
      <c r="S561" s="30" t="s">
        <v>214</v>
      </c>
      <c r="T561" s="30" t="s">
        <v>215</v>
      </c>
      <c r="U561" s="30" t="s">
        <v>221</v>
      </c>
      <c r="V561" s="30" t="s">
        <v>87</v>
      </c>
      <c r="W561" s="30" t="s">
        <v>88</v>
      </c>
      <c r="X561" s="30" t="s">
        <v>89</v>
      </c>
      <c r="Z561" s="30" t="s">
        <v>1850</v>
      </c>
      <c r="AB561" s="30" t="b">
        <v>0</v>
      </c>
      <c r="AC561" s="30"/>
      <c r="AD561" s="30" t="b">
        <v>0</v>
      </c>
      <c r="AF561" s="30" t="b">
        <v>0</v>
      </c>
      <c r="AH561" s="32" t="s">
        <v>91</v>
      </c>
      <c r="AI561" s="32"/>
      <c r="AJ561" s="32"/>
      <c r="AK561" s="32"/>
      <c r="AL561" s="30" t="s">
        <v>1851</v>
      </c>
      <c r="AM561" s="30" t="s">
        <v>2326</v>
      </c>
      <c r="AN561" s="30" t="s">
        <v>94</v>
      </c>
      <c r="AO561" s="30" t="s">
        <v>95</v>
      </c>
      <c r="AP561" s="30" t="s">
        <v>589</v>
      </c>
      <c r="AQ561" s="30" t="s">
        <v>589</v>
      </c>
      <c r="AR561" s="30" t="s">
        <v>97</v>
      </c>
      <c r="AS561" s="30" t="s">
        <v>98</v>
      </c>
      <c r="AT561" s="30" t="s">
        <v>99</v>
      </c>
      <c r="AU561" s="30" t="s">
        <v>100</v>
      </c>
      <c r="AV561" s="30" t="s">
        <v>101</v>
      </c>
      <c r="AW561" s="30" t="s">
        <v>102</v>
      </c>
      <c r="AX561" s="34" t="s">
        <v>221</v>
      </c>
      <c r="AY561" s="34" t="s">
        <v>208</v>
      </c>
      <c r="AZ561" s="34"/>
      <c r="BA561" s="34"/>
      <c r="BB561" s="34"/>
      <c r="BC561" s="34">
        <v>0</v>
      </c>
      <c r="BD561" s="34"/>
      <c r="BE561" s="34"/>
      <c r="BF561" s="34" t="b">
        <v>0</v>
      </c>
      <c r="BG561" s="34"/>
      <c r="BH561" s="34"/>
      <c r="BI561" s="34"/>
      <c r="BJ561" s="34"/>
      <c r="BK561" s="34"/>
      <c r="BL561" s="34"/>
      <c r="BM561" s="34" t="s">
        <v>168</v>
      </c>
      <c r="BN561" s="34"/>
      <c r="BO561" s="35"/>
      <c r="BP561" s="35"/>
      <c r="BQ561" s="35" t="s">
        <v>108</v>
      </c>
      <c r="BR561" s="36" t="e">
        <f>VLOOKUP(BQ561, Cat_Indicadores!B:C, 2, FALSE)</f>
        <v>#N/A</v>
      </c>
      <c r="BS561" s="35" t="s">
        <v>5592</v>
      </c>
      <c r="BT561" s="35"/>
    </row>
    <row r="562" spans="1:72">
      <c r="A562" s="29" t="s">
        <v>2327</v>
      </c>
      <c r="B562" s="30" t="s">
        <v>2328</v>
      </c>
      <c r="C562" s="38">
        <v>46308.450972222221</v>
      </c>
      <c r="D562" s="30">
        <v>92</v>
      </c>
      <c r="E562" s="30" t="s">
        <v>74</v>
      </c>
      <c r="F562" s="30" t="s">
        <v>75</v>
      </c>
      <c r="G562" s="30" t="s">
        <v>133</v>
      </c>
      <c r="H562" s="30" t="s">
        <v>77</v>
      </c>
      <c r="I562" s="30" t="s">
        <v>78</v>
      </c>
      <c r="J562" s="30" t="s">
        <v>79</v>
      </c>
      <c r="K562" s="32">
        <v>800</v>
      </c>
      <c r="L562" s="32" t="s">
        <v>80</v>
      </c>
      <c r="M562" s="30" t="s">
        <v>2329</v>
      </c>
      <c r="N562" s="30" t="s">
        <v>402</v>
      </c>
      <c r="O562" s="30" t="s">
        <v>83</v>
      </c>
      <c r="P562" s="33">
        <v>46288</v>
      </c>
      <c r="Q562" s="33">
        <v>46288</v>
      </c>
      <c r="R562" s="32">
        <v>1</v>
      </c>
      <c r="S562" s="30" t="s">
        <v>84</v>
      </c>
      <c r="T562" s="30" t="s">
        <v>117</v>
      </c>
      <c r="U562" s="30" t="s">
        <v>349</v>
      </c>
      <c r="V562" s="30" t="s">
        <v>87</v>
      </c>
      <c r="W562" s="30" t="s">
        <v>88</v>
      </c>
      <c r="X562" s="30" t="s">
        <v>197</v>
      </c>
      <c r="Y562" s="30" t="s">
        <v>1046</v>
      </c>
      <c r="AB562" s="30" t="b">
        <v>0</v>
      </c>
      <c r="AC562" s="30"/>
      <c r="AD562" s="30" t="b">
        <v>0</v>
      </c>
      <c r="AF562" s="30" t="b">
        <v>0</v>
      </c>
      <c r="AH562" s="32" t="s">
        <v>91</v>
      </c>
      <c r="AI562" s="32"/>
      <c r="AJ562" s="32"/>
      <c r="AK562" s="32"/>
      <c r="AL562" s="30" t="s">
        <v>92</v>
      </c>
      <c r="AM562" s="30" t="s">
        <v>93</v>
      </c>
      <c r="AN562" s="30" t="s">
        <v>94</v>
      </c>
      <c r="AO562" s="30" t="s">
        <v>142</v>
      </c>
      <c r="AP562" s="30" t="s">
        <v>143</v>
      </c>
      <c r="AQ562" s="30" t="s">
        <v>144</v>
      </c>
      <c r="AR562" s="30" t="s">
        <v>145</v>
      </c>
      <c r="AT562" s="30" t="s">
        <v>99</v>
      </c>
      <c r="AU562" s="30" t="s">
        <v>100</v>
      </c>
      <c r="AV562" s="30" t="s">
        <v>101</v>
      </c>
      <c r="AW562" s="30" t="s">
        <v>102</v>
      </c>
      <c r="AX562" s="34" t="s">
        <v>349</v>
      </c>
      <c r="AY562" s="34" t="s">
        <v>103</v>
      </c>
      <c r="AZ562" s="34"/>
      <c r="BA562" s="34"/>
      <c r="BB562" s="34"/>
      <c r="BC562" s="34">
        <v>0</v>
      </c>
      <c r="BD562" s="34"/>
      <c r="BE562" s="34"/>
      <c r="BF562" s="34" t="b">
        <v>0</v>
      </c>
      <c r="BG562" s="34"/>
      <c r="BH562" s="34"/>
      <c r="BI562" s="34"/>
      <c r="BJ562" s="34"/>
      <c r="BK562" s="34"/>
      <c r="BL562" s="34"/>
      <c r="BM562" s="34" t="s">
        <v>168</v>
      </c>
      <c r="BN562" s="34"/>
      <c r="BO562" s="35"/>
      <c r="BP562" s="35"/>
      <c r="BQ562" s="35" t="s">
        <v>108</v>
      </c>
      <c r="BR562" s="36" t="e">
        <f>VLOOKUP(BQ562, Cat_Indicadores!B:C, 2, FALSE)</f>
        <v>#N/A</v>
      </c>
      <c r="BS562" s="35" t="s">
        <v>5592</v>
      </c>
      <c r="BT562" s="35"/>
    </row>
    <row r="563" spans="1:72">
      <c r="A563" s="29" t="s">
        <v>2330</v>
      </c>
      <c r="B563" s="30" t="s">
        <v>2331</v>
      </c>
      <c r="C563" s="38">
        <v>46309.520057870373</v>
      </c>
      <c r="D563" s="30">
        <v>92</v>
      </c>
      <c r="E563" s="30" t="s">
        <v>74</v>
      </c>
      <c r="F563" s="30" t="s">
        <v>75</v>
      </c>
      <c r="G563" s="30" t="s">
        <v>133</v>
      </c>
      <c r="H563" s="30" t="s">
        <v>77</v>
      </c>
      <c r="I563" s="30" t="s">
        <v>78</v>
      </c>
      <c r="J563" s="30" t="s">
        <v>79</v>
      </c>
      <c r="K563" s="32">
        <v>800</v>
      </c>
      <c r="L563" s="32" t="s">
        <v>80</v>
      </c>
      <c r="M563" s="30" t="s">
        <v>2332</v>
      </c>
      <c r="N563" s="30" t="s">
        <v>402</v>
      </c>
      <c r="O563" s="30" t="s">
        <v>83</v>
      </c>
      <c r="P563" s="33">
        <v>46288</v>
      </c>
      <c r="Q563" s="33">
        <v>46288</v>
      </c>
      <c r="R563" s="32">
        <v>1</v>
      </c>
      <c r="S563" s="30" t="s">
        <v>84</v>
      </c>
      <c r="T563" s="30" t="s">
        <v>337</v>
      </c>
      <c r="U563" s="30" t="s">
        <v>349</v>
      </c>
      <c r="V563" s="30" t="s">
        <v>87</v>
      </c>
      <c r="W563" s="30" t="s">
        <v>88</v>
      </c>
      <c r="X563" s="30" t="s">
        <v>197</v>
      </c>
      <c r="Y563" s="30" t="s">
        <v>1046</v>
      </c>
      <c r="AB563" s="30" t="b">
        <v>0</v>
      </c>
      <c r="AC563" s="30"/>
      <c r="AD563" s="30" t="b">
        <v>0</v>
      </c>
      <c r="AF563" s="30" t="b">
        <v>0</v>
      </c>
      <c r="AH563" s="32" t="s">
        <v>91</v>
      </c>
      <c r="AI563" s="32"/>
      <c r="AJ563" s="32"/>
      <c r="AK563" s="32"/>
      <c r="AL563" s="30" t="s">
        <v>92</v>
      </c>
      <c r="AM563" s="30" t="s">
        <v>93</v>
      </c>
      <c r="AN563" s="30" t="s">
        <v>94</v>
      </c>
      <c r="AO563" s="30" t="s">
        <v>142</v>
      </c>
      <c r="AP563" s="30" t="s">
        <v>143</v>
      </c>
      <c r="AQ563" s="30" t="s">
        <v>144</v>
      </c>
      <c r="AR563" s="30" t="s">
        <v>145</v>
      </c>
      <c r="AT563" s="30" t="s">
        <v>99</v>
      </c>
      <c r="AU563" s="30" t="s">
        <v>100</v>
      </c>
      <c r="AV563" s="30" t="s">
        <v>101</v>
      </c>
      <c r="AW563" s="30" t="s">
        <v>102</v>
      </c>
      <c r="AX563" s="34" t="s">
        <v>349</v>
      </c>
      <c r="AY563" s="34" t="s">
        <v>103</v>
      </c>
      <c r="AZ563" s="34"/>
      <c r="BA563" s="34"/>
      <c r="BB563" s="34"/>
      <c r="BC563" s="34">
        <v>0</v>
      </c>
      <c r="BD563" s="34"/>
      <c r="BE563" s="34"/>
      <c r="BF563" s="34" t="b">
        <v>0</v>
      </c>
      <c r="BG563" s="34"/>
      <c r="BH563" s="34"/>
      <c r="BI563" s="34"/>
      <c r="BJ563" s="34"/>
      <c r="BK563" s="34"/>
      <c r="BL563" s="34"/>
      <c r="BM563" s="34" t="s">
        <v>168</v>
      </c>
      <c r="BN563" s="34"/>
      <c r="BO563" s="35"/>
      <c r="BP563" s="35"/>
      <c r="BQ563" s="35" t="s">
        <v>108</v>
      </c>
      <c r="BR563" s="36" t="e">
        <f>VLOOKUP(BQ563, Cat_Indicadores!B:C, 2, FALSE)</f>
        <v>#N/A</v>
      </c>
      <c r="BS563" s="35" t="s">
        <v>5592</v>
      </c>
      <c r="BT563" s="35"/>
    </row>
    <row r="564" spans="1:72">
      <c r="A564" s="29" t="s">
        <v>2333</v>
      </c>
      <c r="B564" s="30" t="s">
        <v>2334</v>
      </c>
      <c r="C564" s="38">
        <v>46309.532384259262</v>
      </c>
      <c r="D564" s="30">
        <v>92</v>
      </c>
      <c r="E564" s="30" t="s">
        <v>74</v>
      </c>
      <c r="F564" s="30" t="s">
        <v>75</v>
      </c>
      <c r="G564" s="30" t="s">
        <v>133</v>
      </c>
      <c r="H564" s="30" t="s">
        <v>77</v>
      </c>
      <c r="I564" s="30" t="s">
        <v>78</v>
      </c>
      <c r="J564" s="30" t="s">
        <v>79</v>
      </c>
      <c r="K564" s="32">
        <v>800</v>
      </c>
      <c r="L564" s="32" t="s">
        <v>80</v>
      </c>
      <c r="M564" s="30" t="s">
        <v>2335</v>
      </c>
      <c r="N564" s="30" t="s">
        <v>402</v>
      </c>
      <c r="O564" s="30" t="s">
        <v>83</v>
      </c>
      <c r="P564" s="33">
        <v>46293</v>
      </c>
      <c r="Q564" s="33">
        <v>46293</v>
      </c>
      <c r="R564" s="32">
        <v>1</v>
      </c>
      <c r="S564" s="30" t="s">
        <v>84</v>
      </c>
      <c r="T564" s="30" t="s">
        <v>117</v>
      </c>
      <c r="U564" s="30" t="s">
        <v>338</v>
      </c>
      <c r="V564" s="30" t="s">
        <v>87</v>
      </c>
      <c r="W564" s="30" t="s">
        <v>88</v>
      </c>
      <c r="X564" s="30" t="s">
        <v>197</v>
      </c>
      <c r="Y564" s="30" t="s">
        <v>1046</v>
      </c>
      <c r="AB564" s="30" t="b">
        <v>0</v>
      </c>
      <c r="AC564" s="30"/>
      <c r="AD564" s="30" t="b">
        <v>0</v>
      </c>
      <c r="AF564" s="30" t="b">
        <v>0</v>
      </c>
      <c r="AH564" s="32" t="s">
        <v>91</v>
      </c>
      <c r="AI564" s="32"/>
      <c r="AJ564" s="32"/>
      <c r="AK564" s="32"/>
      <c r="AL564" s="30" t="s">
        <v>92</v>
      </c>
      <c r="AM564" s="30" t="s">
        <v>93</v>
      </c>
      <c r="AN564" s="30" t="s">
        <v>94</v>
      </c>
      <c r="AO564" s="30" t="s">
        <v>142</v>
      </c>
      <c r="AP564" s="30" t="s">
        <v>143</v>
      </c>
      <c r="AQ564" s="30" t="s">
        <v>144</v>
      </c>
      <c r="AR564" s="30" t="s">
        <v>145</v>
      </c>
      <c r="AT564" s="30" t="s">
        <v>99</v>
      </c>
      <c r="AU564" s="30" t="s">
        <v>100</v>
      </c>
      <c r="AV564" s="30" t="s">
        <v>101</v>
      </c>
      <c r="AW564" s="30" t="s">
        <v>102</v>
      </c>
      <c r="AX564" s="34" t="s">
        <v>338</v>
      </c>
      <c r="AY564" s="34" t="s">
        <v>103</v>
      </c>
      <c r="AZ564" s="34"/>
      <c r="BA564" s="34"/>
      <c r="BB564" s="34"/>
      <c r="BC564" s="34">
        <v>0</v>
      </c>
      <c r="BD564" s="34"/>
      <c r="BE564" s="34"/>
      <c r="BF564" s="34" t="b">
        <v>0</v>
      </c>
      <c r="BG564" s="34"/>
      <c r="BH564" s="34"/>
      <c r="BI564" s="34"/>
      <c r="BJ564" s="34"/>
      <c r="BK564" s="34"/>
      <c r="BL564" s="34"/>
      <c r="BM564" s="34" t="s">
        <v>168</v>
      </c>
      <c r="BN564" s="34"/>
      <c r="BO564" s="35"/>
      <c r="BP564" s="35"/>
      <c r="BQ564" s="35" t="s">
        <v>108</v>
      </c>
      <c r="BR564" s="36" t="e">
        <f>VLOOKUP(BQ564, Cat_Indicadores!B:C, 2, FALSE)</f>
        <v>#N/A</v>
      </c>
      <c r="BS564" s="35" t="s">
        <v>5592</v>
      </c>
      <c r="BT564" s="35"/>
    </row>
    <row r="565" spans="1:72">
      <c r="A565" s="29" t="s">
        <v>2336</v>
      </c>
      <c r="B565" s="30" t="s">
        <v>2337</v>
      </c>
      <c r="C565" s="38">
        <v>46309.613263888888</v>
      </c>
      <c r="D565" s="30">
        <v>92</v>
      </c>
      <c r="E565" s="30" t="s">
        <v>74</v>
      </c>
      <c r="F565" s="30" t="s">
        <v>75</v>
      </c>
      <c r="G565" s="30" t="s">
        <v>133</v>
      </c>
      <c r="H565" s="30" t="s">
        <v>77</v>
      </c>
      <c r="I565" s="30" t="s">
        <v>78</v>
      </c>
      <c r="J565" s="30" t="s">
        <v>79</v>
      </c>
      <c r="K565" s="32">
        <v>800</v>
      </c>
      <c r="L565" s="32" t="s">
        <v>80</v>
      </c>
      <c r="M565" s="30" t="s">
        <v>2338</v>
      </c>
      <c r="N565" s="30" t="s">
        <v>402</v>
      </c>
      <c r="O565" s="30" t="s">
        <v>83</v>
      </c>
      <c r="P565" s="33">
        <v>46294</v>
      </c>
      <c r="Q565" s="33">
        <v>46294</v>
      </c>
      <c r="R565" s="32">
        <v>1</v>
      </c>
      <c r="S565" s="30" t="s">
        <v>84</v>
      </c>
      <c r="T565" s="30" t="s">
        <v>117</v>
      </c>
      <c r="U565" s="30" t="s">
        <v>349</v>
      </c>
      <c r="V565" s="30" t="s">
        <v>87</v>
      </c>
      <c r="W565" s="30" t="s">
        <v>88</v>
      </c>
      <c r="X565" s="30" t="s">
        <v>197</v>
      </c>
      <c r="Y565" s="30" t="s">
        <v>1046</v>
      </c>
      <c r="AB565" s="30" t="b">
        <v>0</v>
      </c>
      <c r="AC565" s="30"/>
      <c r="AD565" s="30" t="b">
        <v>0</v>
      </c>
      <c r="AF565" s="30" t="b">
        <v>0</v>
      </c>
      <c r="AH565" s="32" t="s">
        <v>91</v>
      </c>
      <c r="AI565" s="32"/>
      <c r="AJ565" s="32"/>
      <c r="AK565" s="32"/>
      <c r="AL565" s="30" t="s">
        <v>92</v>
      </c>
      <c r="AM565" s="30" t="s">
        <v>93</v>
      </c>
      <c r="AN565" s="30" t="s">
        <v>94</v>
      </c>
      <c r="AO565" s="30" t="s">
        <v>142</v>
      </c>
      <c r="AP565" s="30" t="s">
        <v>143</v>
      </c>
      <c r="AQ565" s="30" t="s">
        <v>144</v>
      </c>
      <c r="AR565" s="30" t="s">
        <v>145</v>
      </c>
      <c r="AT565" s="30" t="s">
        <v>99</v>
      </c>
      <c r="AU565" s="30" t="s">
        <v>100</v>
      </c>
      <c r="AV565" s="30" t="s">
        <v>101</v>
      </c>
      <c r="AW565" s="30" t="s">
        <v>102</v>
      </c>
      <c r="AX565" s="34" t="s">
        <v>349</v>
      </c>
      <c r="AY565" s="34" t="s">
        <v>103</v>
      </c>
      <c r="AZ565" s="34"/>
      <c r="BA565" s="34"/>
      <c r="BB565" s="34"/>
      <c r="BC565" s="34">
        <v>0</v>
      </c>
      <c r="BD565" s="34"/>
      <c r="BE565" s="34"/>
      <c r="BF565" s="34" t="b">
        <v>0</v>
      </c>
      <c r="BG565" s="34"/>
      <c r="BH565" s="34"/>
      <c r="BI565" s="34"/>
      <c r="BJ565" s="34"/>
      <c r="BK565" s="34"/>
      <c r="BL565" s="34"/>
      <c r="BM565" s="34" t="s">
        <v>168</v>
      </c>
      <c r="BN565" s="34"/>
      <c r="BO565" s="35"/>
      <c r="BP565" s="35"/>
      <c r="BQ565" s="35" t="s">
        <v>108</v>
      </c>
      <c r="BR565" s="36" t="e">
        <f>VLOOKUP(BQ565, Cat_Indicadores!B:C, 2, FALSE)</f>
        <v>#N/A</v>
      </c>
      <c r="BS565" s="35" t="s">
        <v>5592</v>
      </c>
      <c r="BT565" s="35"/>
    </row>
    <row r="566" spans="1:72">
      <c r="A566" s="29" t="s">
        <v>2339</v>
      </c>
      <c r="B566" s="30" t="s">
        <v>2340</v>
      </c>
      <c r="C566" s="38">
        <v>46309.61546296296</v>
      </c>
      <c r="D566" s="30">
        <v>92</v>
      </c>
      <c r="E566" s="30" t="s">
        <v>74</v>
      </c>
      <c r="F566" s="30" t="s">
        <v>75</v>
      </c>
      <c r="G566" s="30" t="s">
        <v>133</v>
      </c>
      <c r="H566" s="30" t="s">
        <v>77</v>
      </c>
      <c r="I566" s="30" t="s">
        <v>78</v>
      </c>
      <c r="J566" s="30" t="s">
        <v>79</v>
      </c>
      <c r="K566" s="32">
        <v>800</v>
      </c>
      <c r="L566" s="32" t="s">
        <v>80</v>
      </c>
      <c r="M566" s="30" t="s">
        <v>2341</v>
      </c>
      <c r="N566" s="30" t="s">
        <v>402</v>
      </c>
      <c r="O566" s="30" t="s">
        <v>83</v>
      </c>
      <c r="P566" s="33">
        <v>46295</v>
      </c>
      <c r="Q566" s="33">
        <v>46295</v>
      </c>
      <c r="R566" s="32">
        <v>1</v>
      </c>
      <c r="S566" s="30" t="s">
        <v>84</v>
      </c>
      <c r="T566" s="30" t="s">
        <v>337</v>
      </c>
      <c r="U566" s="30" t="s">
        <v>349</v>
      </c>
      <c r="V566" s="30" t="s">
        <v>87</v>
      </c>
      <c r="W566" s="30" t="s">
        <v>88</v>
      </c>
      <c r="X566" s="30" t="s">
        <v>197</v>
      </c>
      <c r="Y566" s="30" t="s">
        <v>1046</v>
      </c>
      <c r="AB566" s="30" t="b">
        <v>0</v>
      </c>
      <c r="AC566" s="30"/>
      <c r="AD566" s="30" t="b">
        <v>0</v>
      </c>
      <c r="AF566" s="30" t="b">
        <v>0</v>
      </c>
      <c r="AH566" s="32" t="s">
        <v>91</v>
      </c>
      <c r="AI566" s="32"/>
      <c r="AJ566" s="32"/>
      <c r="AK566" s="32"/>
      <c r="AL566" s="30" t="s">
        <v>92</v>
      </c>
      <c r="AM566" s="30" t="s">
        <v>93</v>
      </c>
      <c r="AN566" s="30" t="s">
        <v>94</v>
      </c>
      <c r="AO566" s="30" t="s">
        <v>142</v>
      </c>
      <c r="AP566" s="30" t="s">
        <v>143</v>
      </c>
      <c r="AQ566" s="30" t="s">
        <v>144</v>
      </c>
      <c r="AR566" s="30" t="s">
        <v>145</v>
      </c>
      <c r="AT566" s="30" t="s">
        <v>99</v>
      </c>
      <c r="AU566" s="30" t="s">
        <v>100</v>
      </c>
      <c r="AV566" s="30" t="s">
        <v>101</v>
      </c>
      <c r="AW566" s="30" t="s">
        <v>102</v>
      </c>
      <c r="AX566" s="34" t="s">
        <v>349</v>
      </c>
      <c r="AY566" s="34" t="s">
        <v>103</v>
      </c>
      <c r="AZ566" s="34"/>
      <c r="BA566" s="34"/>
      <c r="BB566" s="34"/>
      <c r="BC566" s="34">
        <v>0</v>
      </c>
      <c r="BD566" s="34"/>
      <c r="BE566" s="34"/>
      <c r="BF566" s="34" t="b">
        <v>0</v>
      </c>
      <c r="BG566" s="34"/>
      <c r="BH566" s="34"/>
      <c r="BI566" s="34"/>
      <c r="BJ566" s="34"/>
      <c r="BK566" s="34"/>
      <c r="BL566" s="34"/>
      <c r="BM566" s="34" t="s">
        <v>168</v>
      </c>
      <c r="BN566" s="34"/>
      <c r="BO566" s="35"/>
      <c r="BP566" s="35"/>
      <c r="BQ566" s="35" t="s">
        <v>108</v>
      </c>
      <c r="BR566" s="36" t="e">
        <f>VLOOKUP(BQ566, Cat_Indicadores!B:C, 2, FALSE)</f>
        <v>#N/A</v>
      </c>
      <c r="BS566" s="35" t="s">
        <v>5592</v>
      </c>
      <c r="BT566" s="35"/>
    </row>
    <row r="567" spans="1:72">
      <c r="A567" s="29" t="s">
        <v>2342</v>
      </c>
      <c r="B567" s="30" t="s">
        <v>2343</v>
      </c>
      <c r="C567" s="38">
        <v>46309.634687500002</v>
      </c>
      <c r="D567" s="30">
        <v>92</v>
      </c>
      <c r="E567" s="30" t="s">
        <v>74</v>
      </c>
      <c r="F567" s="30" t="s">
        <v>75</v>
      </c>
      <c r="G567" s="30" t="s">
        <v>133</v>
      </c>
      <c r="H567" s="30" t="s">
        <v>77</v>
      </c>
      <c r="I567" s="30" t="s">
        <v>78</v>
      </c>
      <c r="J567" s="30" t="s">
        <v>79</v>
      </c>
      <c r="K567" s="32">
        <v>800</v>
      </c>
      <c r="L567" s="32" t="s">
        <v>80</v>
      </c>
      <c r="M567" s="30" t="s">
        <v>2344</v>
      </c>
      <c r="N567" s="30" t="s">
        <v>402</v>
      </c>
      <c r="O567" s="30" t="s">
        <v>83</v>
      </c>
      <c r="P567" s="33">
        <v>46295</v>
      </c>
      <c r="Q567" s="33">
        <v>46295</v>
      </c>
      <c r="R567" s="32">
        <v>1</v>
      </c>
      <c r="S567" s="30" t="s">
        <v>84</v>
      </c>
      <c r="T567" s="30" t="s">
        <v>337</v>
      </c>
      <c r="U567" s="30" t="s">
        <v>349</v>
      </c>
      <c r="V567" s="30" t="s">
        <v>87</v>
      </c>
      <c r="W567" s="30" t="s">
        <v>88</v>
      </c>
      <c r="X567" s="30" t="s">
        <v>197</v>
      </c>
      <c r="Y567" s="30" t="s">
        <v>1046</v>
      </c>
      <c r="AB567" s="30" t="b">
        <v>0</v>
      </c>
      <c r="AC567" s="30"/>
      <c r="AD567" s="30" t="b">
        <v>0</v>
      </c>
      <c r="AF567" s="30" t="b">
        <v>0</v>
      </c>
      <c r="AH567" s="32" t="s">
        <v>91</v>
      </c>
      <c r="AI567" s="32"/>
      <c r="AJ567" s="32"/>
      <c r="AK567" s="32"/>
      <c r="AL567" s="30" t="s">
        <v>92</v>
      </c>
      <c r="AM567" s="30" t="s">
        <v>93</v>
      </c>
      <c r="AN567" s="30" t="s">
        <v>94</v>
      </c>
      <c r="AO567" s="30" t="s">
        <v>142</v>
      </c>
      <c r="AP567" s="30" t="s">
        <v>143</v>
      </c>
      <c r="AQ567" s="30" t="s">
        <v>144</v>
      </c>
      <c r="AR567" s="30" t="s">
        <v>145</v>
      </c>
      <c r="AT567" s="30" t="s">
        <v>99</v>
      </c>
      <c r="AU567" s="30" t="s">
        <v>100</v>
      </c>
      <c r="AV567" s="30" t="s">
        <v>101</v>
      </c>
      <c r="AW567" s="30" t="s">
        <v>102</v>
      </c>
      <c r="AX567" s="34" t="s">
        <v>349</v>
      </c>
      <c r="AY567" s="34" t="s">
        <v>103</v>
      </c>
      <c r="AZ567" s="34"/>
      <c r="BA567" s="34"/>
      <c r="BB567" s="34"/>
      <c r="BC567" s="34">
        <v>0</v>
      </c>
      <c r="BD567" s="34"/>
      <c r="BE567" s="34"/>
      <c r="BF567" s="34" t="b">
        <v>0</v>
      </c>
      <c r="BG567" s="34"/>
      <c r="BH567" s="34"/>
      <c r="BI567" s="34"/>
      <c r="BJ567" s="34"/>
      <c r="BK567" s="34"/>
      <c r="BL567" s="34"/>
      <c r="BM567" s="34" t="s">
        <v>168</v>
      </c>
      <c r="BN567" s="34"/>
      <c r="BO567" s="35"/>
      <c r="BP567" s="35"/>
      <c r="BQ567" s="35" t="s">
        <v>108</v>
      </c>
      <c r="BR567" s="36" t="e">
        <f>VLOOKUP(BQ567, Cat_Indicadores!B:C, 2, FALSE)</f>
        <v>#N/A</v>
      </c>
      <c r="BS567" s="35" t="s">
        <v>5592</v>
      </c>
      <c r="BT567" s="35"/>
    </row>
    <row r="568" spans="1:72">
      <c r="A568" s="29" t="s">
        <v>2345</v>
      </c>
      <c r="B568" s="30" t="s">
        <v>2346</v>
      </c>
      <c r="C568" s="38">
        <v>46309.640393518515</v>
      </c>
      <c r="D568" s="30">
        <v>92</v>
      </c>
      <c r="E568" s="30" t="s">
        <v>74</v>
      </c>
      <c r="F568" s="30" t="s">
        <v>75</v>
      </c>
      <c r="G568" s="30" t="s">
        <v>133</v>
      </c>
      <c r="H568" s="30" t="s">
        <v>77</v>
      </c>
      <c r="I568" s="30" t="s">
        <v>78</v>
      </c>
      <c r="J568" s="30" t="s">
        <v>79</v>
      </c>
      <c r="K568" s="32">
        <v>800</v>
      </c>
      <c r="L568" s="32" t="s">
        <v>80</v>
      </c>
      <c r="M568" s="30" t="s">
        <v>1586</v>
      </c>
      <c r="N568" s="30" t="s">
        <v>402</v>
      </c>
      <c r="O568" s="30" t="s">
        <v>83</v>
      </c>
      <c r="P568" s="33">
        <v>46295</v>
      </c>
      <c r="Q568" s="33">
        <v>46295</v>
      </c>
      <c r="R568" s="32">
        <v>1</v>
      </c>
      <c r="S568" s="30" t="s">
        <v>84</v>
      </c>
      <c r="T568" s="30" t="s">
        <v>337</v>
      </c>
      <c r="U568" s="30" t="s">
        <v>349</v>
      </c>
      <c r="V568" s="30" t="s">
        <v>87</v>
      </c>
      <c r="W568" s="30" t="s">
        <v>88</v>
      </c>
      <c r="X568" s="30" t="s">
        <v>197</v>
      </c>
      <c r="Y568" s="30" t="s">
        <v>1046</v>
      </c>
      <c r="AB568" s="30" t="b">
        <v>0</v>
      </c>
      <c r="AC568" s="30"/>
      <c r="AD568" s="30" t="b">
        <v>0</v>
      </c>
      <c r="AF568" s="30" t="b">
        <v>0</v>
      </c>
      <c r="AH568" s="32" t="s">
        <v>91</v>
      </c>
      <c r="AI568" s="32"/>
      <c r="AJ568" s="32"/>
      <c r="AK568" s="32"/>
      <c r="AL568" s="30" t="s">
        <v>92</v>
      </c>
      <c r="AM568" s="30" t="s">
        <v>93</v>
      </c>
      <c r="AN568" s="30" t="s">
        <v>94</v>
      </c>
      <c r="AO568" s="30" t="s">
        <v>142</v>
      </c>
      <c r="AP568" s="30" t="s">
        <v>143</v>
      </c>
      <c r="AQ568" s="30" t="s">
        <v>144</v>
      </c>
      <c r="AR568" s="30" t="s">
        <v>145</v>
      </c>
      <c r="AT568" s="30" t="s">
        <v>99</v>
      </c>
      <c r="AU568" s="30" t="s">
        <v>100</v>
      </c>
      <c r="AV568" s="30" t="s">
        <v>101</v>
      </c>
      <c r="AW568" s="30" t="s">
        <v>102</v>
      </c>
      <c r="AX568" s="34" t="s">
        <v>349</v>
      </c>
      <c r="AY568" s="34" t="s">
        <v>103</v>
      </c>
      <c r="AZ568" s="34"/>
      <c r="BA568" s="34"/>
      <c r="BB568" s="34"/>
      <c r="BC568" s="34">
        <v>0</v>
      </c>
      <c r="BD568" s="34"/>
      <c r="BE568" s="34"/>
      <c r="BF568" s="34" t="b">
        <v>0</v>
      </c>
      <c r="BG568" s="34"/>
      <c r="BH568" s="34"/>
      <c r="BI568" s="34"/>
      <c r="BJ568" s="34"/>
      <c r="BK568" s="34"/>
      <c r="BL568" s="34"/>
      <c r="BM568" s="34" t="s">
        <v>168</v>
      </c>
      <c r="BN568" s="34"/>
      <c r="BO568" s="35"/>
      <c r="BP568" s="35"/>
      <c r="BQ568" s="35" t="s">
        <v>108</v>
      </c>
      <c r="BR568" s="36" t="e">
        <f>VLOOKUP(BQ568, Cat_Indicadores!B:C, 2, FALSE)</f>
        <v>#N/A</v>
      </c>
      <c r="BS568" s="35" t="s">
        <v>5592</v>
      </c>
      <c r="BT568" s="35"/>
    </row>
    <row r="569" spans="1:72">
      <c r="A569" s="29" t="s">
        <v>2347</v>
      </c>
      <c r="B569" s="30" t="s">
        <v>2348</v>
      </c>
      <c r="C569" s="38">
        <v>46310.437037037038</v>
      </c>
      <c r="D569" s="30">
        <v>92</v>
      </c>
      <c r="E569" s="30" t="s">
        <v>74</v>
      </c>
      <c r="F569" s="30" t="s">
        <v>75</v>
      </c>
      <c r="G569" s="30" t="s">
        <v>133</v>
      </c>
      <c r="H569" s="30" t="s">
        <v>77</v>
      </c>
      <c r="I569" s="30" t="s">
        <v>78</v>
      </c>
      <c r="J569" s="30" t="s">
        <v>79</v>
      </c>
      <c r="K569" s="32">
        <v>800</v>
      </c>
      <c r="L569" s="32" t="s">
        <v>80</v>
      </c>
      <c r="M569" s="30" t="s">
        <v>2344</v>
      </c>
      <c r="N569" s="30" t="s">
        <v>402</v>
      </c>
      <c r="O569" s="30" t="s">
        <v>83</v>
      </c>
      <c r="P569" s="33">
        <v>46295</v>
      </c>
      <c r="Q569" s="33">
        <v>46295</v>
      </c>
      <c r="R569" s="32">
        <v>1</v>
      </c>
      <c r="S569" s="30" t="s">
        <v>84</v>
      </c>
      <c r="T569" s="30" t="s">
        <v>117</v>
      </c>
      <c r="U569" s="30" t="s">
        <v>349</v>
      </c>
      <c r="V569" s="30" t="s">
        <v>87</v>
      </c>
      <c r="W569" s="30" t="s">
        <v>88</v>
      </c>
      <c r="X569" s="30" t="s">
        <v>197</v>
      </c>
      <c r="Y569" s="30" t="s">
        <v>1046</v>
      </c>
      <c r="AB569" s="30" t="b">
        <v>0</v>
      </c>
      <c r="AC569" s="30"/>
      <c r="AD569" s="30" t="b">
        <v>0</v>
      </c>
      <c r="AF569" s="30" t="b">
        <v>0</v>
      </c>
      <c r="AH569" s="32" t="s">
        <v>91</v>
      </c>
      <c r="AI569" s="32"/>
      <c r="AJ569" s="32"/>
      <c r="AK569" s="32"/>
      <c r="AL569" s="30" t="s">
        <v>92</v>
      </c>
      <c r="AM569" s="30" t="s">
        <v>93</v>
      </c>
      <c r="AN569" s="30" t="s">
        <v>94</v>
      </c>
      <c r="AO569" s="30" t="s">
        <v>142</v>
      </c>
      <c r="AP569" s="30" t="s">
        <v>143</v>
      </c>
      <c r="AQ569" s="30" t="s">
        <v>144</v>
      </c>
      <c r="AR569" s="30" t="s">
        <v>145</v>
      </c>
      <c r="AT569" s="30" t="s">
        <v>99</v>
      </c>
      <c r="AU569" s="30" t="s">
        <v>100</v>
      </c>
      <c r="AV569" s="30" t="s">
        <v>101</v>
      </c>
      <c r="AW569" s="30" t="s">
        <v>102</v>
      </c>
      <c r="AX569" s="34" t="s">
        <v>349</v>
      </c>
      <c r="AY569" s="34" t="s">
        <v>103</v>
      </c>
      <c r="AZ569" s="34"/>
      <c r="BA569" s="34"/>
      <c r="BB569" s="34"/>
      <c r="BC569" s="34">
        <v>0</v>
      </c>
      <c r="BD569" s="34"/>
      <c r="BE569" s="34"/>
      <c r="BF569" s="34" t="b">
        <v>0</v>
      </c>
      <c r="BG569" s="34"/>
      <c r="BH569" s="34"/>
      <c r="BI569" s="34"/>
      <c r="BJ569" s="34"/>
      <c r="BK569" s="34"/>
      <c r="BL569" s="34"/>
      <c r="BM569" s="34" t="s">
        <v>168</v>
      </c>
      <c r="BN569" s="34"/>
      <c r="BO569" s="35"/>
      <c r="BP569" s="35"/>
      <c r="BQ569" s="35" t="s">
        <v>108</v>
      </c>
      <c r="BR569" s="36" t="e">
        <f>VLOOKUP(BQ569, Cat_Indicadores!B:C, 2, FALSE)</f>
        <v>#N/A</v>
      </c>
      <c r="BS569" s="35" t="s">
        <v>5592</v>
      </c>
      <c r="BT569" s="35"/>
    </row>
    <row r="570" spans="1:72">
      <c r="A570" s="29" t="s">
        <v>2349</v>
      </c>
      <c r="B570" s="30" t="s">
        <v>2350</v>
      </c>
      <c r="C570" s="38">
        <v>46310.444814814815</v>
      </c>
      <c r="D570" s="30">
        <v>92</v>
      </c>
      <c r="E570" s="30" t="s">
        <v>74</v>
      </c>
      <c r="F570" s="30" t="s">
        <v>75</v>
      </c>
      <c r="G570" s="30" t="s">
        <v>133</v>
      </c>
      <c r="H570" s="30" t="s">
        <v>77</v>
      </c>
      <c r="I570" s="30" t="s">
        <v>78</v>
      </c>
      <c r="J570" s="30" t="s">
        <v>79</v>
      </c>
      <c r="K570" s="32">
        <v>800</v>
      </c>
      <c r="L570" s="32" t="s">
        <v>80</v>
      </c>
      <c r="M570" s="30" t="s">
        <v>2338</v>
      </c>
      <c r="N570" s="30" t="s">
        <v>402</v>
      </c>
      <c r="O570" s="30" t="s">
        <v>83</v>
      </c>
      <c r="P570" s="33">
        <v>46295</v>
      </c>
      <c r="Q570" s="33">
        <v>46295</v>
      </c>
      <c r="R570" s="32">
        <v>1</v>
      </c>
      <c r="S570" s="30" t="s">
        <v>84</v>
      </c>
      <c r="T570" s="30" t="s">
        <v>117</v>
      </c>
      <c r="U570" s="30" t="s">
        <v>349</v>
      </c>
      <c r="V570" s="30" t="s">
        <v>87</v>
      </c>
      <c r="W570" s="30" t="s">
        <v>88</v>
      </c>
      <c r="X570" s="30" t="s">
        <v>197</v>
      </c>
      <c r="Y570" s="30" t="s">
        <v>1046</v>
      </c>
      <c r="AB570" s="30" t="b">
        <v>0</v>
      </c>
      <c r="AC570" s="30"/>
      <c r="AD570" s="30" t="b">
        <v>0</v>
      </c>
      <c r="AF570" s="30" t="b">
        <v>0</v>
      </c>
      <c r="AH570" s="32" t="s">
        <v>91</v>
      </c>
      <c r="AI570" s="32"/>
      <c r="AJ570" s="32"/>
      <c r="AK570" s="32"/>
      <c r="AL570" s="30" t="s">
        <v>92</v>
      </c>
      <c r="AM570" s="30" t="s">
        <v>93</v>
      </c>
      <c r="AN570" s="30" t="s">
        <v>94</v>
      </c>
      <c r="AO570" s="30" t="s">
        <v>142</v>
      </c>
      <c r="AP570" s="30" t="s">
        <v>143</v>
      </c>
      <c r="AQ570" s="30" t="s">
        <v>144</v>
      </c>
      <c r="AR570" s="30" t="s">
        <v>145</v>
      </c>
      <c r="AT570" s="30" t="s">
        <v>99</v>
      </c>
      <c r="AU570" s="30" t="s">
        <v>100</v>
      </c>
      <c r="AV570" s="30" t="s">
        <v>101</v>
      </c>
      <c r="AW570" s="30" t="s">
        <v>102</v>
      </c>
      <c r="AX570" s="34" t="s">
        <v>349</v>
      </c>
      <c r="AY570" s="34" t="s">
        <v>103</v>
      </c>
      <c r="AZ570" s="34"/>
      <c r="BA570" s="34"/>
      <c r="BB570" s="34"/>
      <c r="BC570" s="34">
        <v>0</v>
      </c>
      <c r="BD570" s="34"/>
      <c r="BE570" s="34"/>
      <c r="BF570" s="34" t="b">
        <v>0</v>
      </c>
      <c r="BG570" s="34"/>
      <c r="BH570" s="34"/>
      <c r="BI570" s="34"/>
      <c r="BJ570" s="34"/>
      <c r="BK570" s="34"/>
      <c r="BL570" s="34"/>
      <c r="BM570" s="34" t="s">
        <v>168</v>
      </c>
      <c r="BN570" s="34"/>
      <c r="BO570" s="35"/>
      <c r="BP570" s="35"/>
      <c r="BQ570" s="35" t="s">
        <v>108</v>
      </c>
      <c r="BR570" s="36" t="e">
        <f>VLOOKUP(BQ570, Cat_Indicadores!B:C, 2, FALSE)</f>
        <v>#N/A</v>
      </c>
      <c r="BS570" s="35" t="s">
        <v>5592</v>
      </c>
      <c r="BT570" s="35"/>
    </row>
    <row r="571" spans="1:72">
      <c r="A571" s="29" t="s">
        <v>2351</v>
      </c>
      <c r="B571" s="30" t="s">
        <v>2352</v>
      </c>
      <c r="C571" s="38">
        <v>46310.448379629626</v>
      </c>
      <c r="D571" s="30">
        <v>92</v>
      </c>
      <c r="E571" s="30" t="s">
        <v>74</v>
      </c>
      <c r="F571" s="30" t="s">
        <v>75</v>
      </c>
      <c r="G571" s="30" t="s">
        <v>133</v>
      </c>
      <c r="H571" s="30" t="s">
        <v>77</v>
      </c>
      <c r="I571" s="30" t="s">
        <v>78</v>
      </c>
      <c r="J571" s="30" t="s">
        <v>79</v>
      </c>
      <c r="K571" s="32">
        <v>800</v>
      </c>
      <c r="L571" s="32" t="s">
        <v>80</v>
      </c>
      <c r="M571" s="30" t="s">
        <v>2353</v>
      </c>
      <c r="N571" s="30" t="s">
        <v>402</v>
      </c>
      <c r="O571" s="30" t="s">
        <v>83</v>
      </c>
      <c r="P571" s="33">
        <v>46295</v>
      </c>
      <c r="Q571" s="33">
        <v>46295</v>
      </c>
      <c r="R571" s="32">
        <v>1</v>
      </c>
      <c r="S571" s="30" t="s">
        <v>84</v>
      </c>
      <c r="T571" s="30" t="s">
        <v>117</v>
      </c>
      <c r="U571" s="30" t="s">
        <v>349</v>
      </c>
      <c r="V571" s="30" t="s">
        <v>87</v>
      </c>
      <c r="W571" s="30" t="s">
        <v>88</v>
      </c>
      <c r="X571" s="30" t="s">
        <v>197</v>
      </c>
      <c r="Y571" s="30" t="s">
        <v>1046</v>
      </c>
      <c r="AB571" s="30" t="b">
        <v>0</v>
      </c>
      <c r="AC571" s="30"/>
      <c r="AD571" s="30" t="b">
        <v>0</v>
      </c>
      <c r="AF571" s="30" t="b">
        <v>0</v>
      </c>
      <c r="AH571" s="32" t="s">
        <v>91</v>
      </c>
      <c r="AI571" s="32"/>
      <c r="AJ571" s="32"/>
      <c r="AK571" s="32"/>
      <c r="AL571" s="30" t="s">
        <v>92</v>
      </c>
      <c r="AM571" s="30" t="s">
        <v>93</v>
      </c>
      <c r="AN571" s="30" t="s">
        <v>94</v>
      </c>
      <c r="AO571" s="30" t="s">
        <v>142</v>
      </c>
      <c r="AP571" s="30" t="s">
        <v>143</v>
      </c>
      <c r="AQ571" s="30" t="s">
        <v>144</v>
      </c>
      <c r="AR571" s="30" t="s">
        <v>145</v>
      </c>
      <c r="AT571" s="30" t="s">
        <v>99</v>
      </c>
      <c r="AU571" s="30" t="s">
        <v>100</v>
      </c>
      <c r="AV571" s="30" t="s">
        <v>101</v>
      </c>
      <c r="AW571" s="30" t="s">
        <v>102</v>
      </c>
      <c r="AX571" s="34" t="s">
        <v>349</v>
      </c>
      <c r="AY571" s="34" t="s">
        <v>103</v>
      </c>
      <c r="AZ571" s="34"/>
      <c r="BA571" s="34"/>
      <c r="BB571" s="34"/>
      <c r="BC571" s="34">
        <v>0</v>
      </c>
      <c r="BD571" s="34"/>
      <c r="BE571" s="34"/>
      <c r="BF571" s="34" t="b">
        <v>0</v>
      </c>
      <c r="BG571" s="34"/>
      <c r="BH571" s="34"/>
      <c r="BI571" s="34"/>
      <c r="BJ571" s="34"/>
      <c r="BK571" s="34"/>
      <c r="BL571" s="34"/>
      <c r="BM571" s="34" t="s">
        <v>168</v>
      </c>
      <c r="BN571" s="34"/>
      <c r="BO571" s="35"/>
      <c r="BP571" s="35"/>
      <c r="BQ571" s="35" t="s">
        <v>108</v>
      </c>
      <c r="BR571" s="36" t="e">
        <f>VLOOKUP(BQ571, Cat_Indicadores!B:C, 2, FALSE)</f>
        <v>#N/A</v>
      </c>
      <c r="BS571" s="35" t="s">
        <v>5592</v>
      </c>
      <c r="BT571" s="35"/>
    </row>
    <row r="572" spans="1:72">
      <c r="A572" s="29" t="s">
        <v>2354</v>
      </c>
      <c r="B572" s="30" t="s">
        <v>2355</v>
      </c>
      <c r="C572" s="38">
        <v>46310.466006944444</v>
      </c>
      <c r="D572" s="30">
        <v>92</v>
      </c>
      <c r="E572" s="30" t="s">
        <v>74</v>
      </c>
      <c r="F572" s="30" t="s">
        <v>75</v>
      </c>
      <c r="G572" s="30" t="s">
        <v>133</v>
      </c>
      <c r="H572" s="30" t="s">
        <v>77</v>
      </c>
      <c r="I572" s="30" t="s">
        <v>78</v>
      </c>
      <c r="J572" s="30" t="s">
        <v>79</v>
      </c>
      <c r="K572" s="32">
        <v>800</v>
      </c>
      <c r="L572" s="32" t="s">
        <v>211</v>
      </c>
      <c r="M572" s="30" t="s">
        <v>2356</v>
      </c>
      <c r="N572" s="30" t="s">
        <v>2357</v>
      </c>
      <c r="O572" s="30" t="s">
        <v>581</v>
      </c>
      <c r="P572" s="33">
        <v>46270</v>
      </c>
      <c r="Q572" s="33">
        <v>46292</v>
      </c>
      <c r="R572" s="32">
        <v>3</v>
      </c>
      <c r="S572" s="30" t="s">
        <v>84</v>
      </c>
      <c r="T572" s="30" t="s">
        <v>117</v>
      </c>
      <c r="U572" s="30" t="s">
        <v>86</v>
      </c>
      <c r="V572" s="30" t="s">
        <v>87</v>
      </c>
      <c r="W572" s="30" t="s">
        <v>88</v>
      </c>
      <c r="X572" s="30" t="s">
        <v>197</v>
      </c>
      <c r="Y572" s="30" t="s">
        <v>1046</v>
      </c>
      <c r="AB572" s="30" t="b">
        <v>0</v>
      </c>
      <c r="AC572" s="30"/>
      <c r="AD572" s="30" t="b">
        <v>0</v>
      </c>
      <c r="AF572" s="30" t="b">
        <v>0</v>
      </c>
      <c r="AH572" s="32" t="s">
        <v>91</v>
      </c>
      <c r="AI572" s="32"/>
      <c r="AJ572" s="32"/>
      <c r="AK572" s="32"/>
      <c r="AL572" s="30" t="s">
        <v>92</v>
      </c>
      <c r="AM572" s="30" t="s">
        <v>93</v>
      </c>
      <c r="AN572" s="30" t="s">
        <v>94</v>
      </c>
      <c r="AO572" s="30" t="s">
        <v>142</v>
      </c>
      <c r="AP572" s="30" t="s">
        <v>143</v>
      </c>
      <c r="AQ572" s="30" t="s">
        <v>144</v>
      </c>
      <c r="AR572" s="30" t="s">
        <v>145</v>
      </c>
      <c r="AT572" s="30" t="s">
        <v>99</v>
      </c>
      <c r="AU572" s="30" t="s">
        <v>100</v>
      </c>
      <c r="AV572" s="30" t="s">
        <v>101</v>
      </c>
      <c r="AW572" s="30" t="s">
        <v>102</v>
      </c>
      <c r="AX572" s="34" t="s">
        <v>86</v>
      </c>
      <c r="AY572" s="34" t="s">
        <v>149</v>
      </c>
      <c r="AZ572" s="34" t="s">
        <v>149</v>
      </c>
      <c r="BA572" s="34"/>
      <c r="BB572" s="34"/>
      <c r="BC572" s="34">
        <v>0</v>
      </c>
      <c r="BD572" s="34"/>
      <c r="BE572" s="34"/>
      <c r="BF572" s="34" t="b">
        <v>0</v>
      </c>
      <c r="BG572" s="34"/>
      <c r="BH572" s="34"/>
      <c r="BI572" s="34"/>
      <c r="BJ572" s="34"/>
      <c r="BK572" s="34"/>
      <c r="BL572" s="34"/>
      <c r="BM572" s="34" t="s">
        <v>168</v>
      </c>
      <c r="BN572" s="34"/>
      <c r="BO572" s="35"/>
      <c r="BP572" s="35"/>
      <c r="BQ572" s="35" t="s">
        <v>108</v>
      </c>
      <c r="BR572" s="36" t="e">
        <f>VLOOKUP(BQ572, Cat_Indicadores!B:C, 2, FALSE)</f>
        <v>#N/A</v>
      </c>
      <c r="BS572" s="35" t="s">
        <v>5592</v>
      </c>
      <c r="BT572" s="35"/>
    </row>
    <row r="573" spans="1:72">
      <c r="A573" s="29" t="s">
        <v>2358</v>
      </c>
      <c r="B573" s="30" t="s">
        <v>2359</v>
      </c>
      <c r="C573" s="38">
        <v>46310.624710648146</v>
      </c>
      <c r="D573" s="30">
        <v>50</v>
      </c>
      <c r="E573" s="30" t="s">
        <v>2360</v>
      </c>
      <c r="F573" s="30" t="s">
        <v>2361</v>
      </c>
      <c r="G573" s="30" t="s">
        <v>2362</v>
      </c>
      <c r="H573" s="30" t="s">
        <v>1392</v>
      </c>
      <c r="I573" s="30" t="s">
        <v>2363</v>
      </c>
      <c r="J573" s="30" t="s">
        <v>2364</v>
      </c>
      <c r="K573" s="32">
        <v>138</v>
      </c>
      <c r="L573" s="32" t="s">
        <v>80</v>
      </c>
      <c r="M573" s="30" t="s">
        <v>2362</v>
      </c>
      <c r="N573" s="30" t="s">
        <v>2362</v>
      </c>
      <c r="O573" s="30" t="s">
        <v>661</v>
      </c>
      <c r="P573" s="33">
        <v>46062</v>
      </c>
      <c r="Q573" s="37">
        <v>46374</v>
      </c>
      <c r="R573" s="32">
        <v>8</v>
      </c>
      <c r="S573" s="30" t="s">
        <v>84</v>
      </c>
      <c r="T573" s="30" t="s">
        <v>136</v>
      </c>
      <c r="U573" s="30" t="s">
        <v>86</v>
      </c>
      <c r="V573" s="30" t="s">
        <v>87</v>
      </c>
      <c r="W573" s="30" t="s">
        <v>1041</v>
      </c>
      <c r="X573" s="30" t="s">
        <v>1969</v>
      </c>
      <c r="Y573" s="30" t="s">
        <v>1970</v>
      </c>
      <c r="AB573" s="30" t="b">
        <v>0</v>
      </c>
      <c r="AC573" s="30"/>
      <c r="AD573" s="30" t="b">
        <v>0</v>
      </c>
      <c r="AF573" s="30" t="b">
        <v>0</v>
      </c>
      <c r="AH573" s="32" t="s">
        <v>91</v>
      </c>
      <c r="AI573" s="32"/>
      <c r="AJ573" s="32"/>
      <c r="AK573" s="32"/>
      <c r="AL573" s="30" t="s">
        <v>2365</v>
      </c>
      <c r="AM573" s="30" t="s">
        <v>141</v>
      </c>
      <c r="AN573" s="30" t="s">
        <v>94</v>
      </c>
      <c r="AO573" s="30" t="s">
        <v>142</v>
      </c>
      <c r="AP573" s="30" t="s">
        <v>143</v>
      </c>
      <c r="AQ573" s="30" t="s">
        <v>144</v>
      </c>
      <c r="AR573" s="30" t="s">
        <v>691</v>
      </c>
      <c r="AT573" s="30" t="s">
        <v>99</v>
      </c>
      <c r="AU573" s="30" t="s">
        <v>146</v>
      </c>
      <c r="AV573" s="30" t="s">
        <v>147</v>
      </c>
      <c r="AW573" s="30" t="s">
        <v>102</v>
      </c>
      <c r="AX573" s="34" t="s">
        <v>86</v>
      </c>
      <c r="AY573" s="34" t="s">
        <v>149</v>
      </c>
      <c r="AZ573" s="34" t="s">
        <v>149</v>
      </c>
      <c r="BA573" s="34"/>
      <c r="BB573" s="34"/>
      <c r="BC573" s="34">
        <v>0</v>
      </c>
      <c r="BD573" s="34"/>
      <c r="BE573" s="34"/>
      <c r="BF573" s="34" t="b">
        <v>0</v>
      </c>
      <c r="BG573" s="34"/>
      <c r="BH573" s="34"/>
      <c r="BI573" s="34"/>
      <c r="BJ573" s="34"/>
      <c r="BK573" s="34"/>
      <c r="BL573" s="34"/>
      <c r="BM573" s="34" t="s">
        <v>106</v>
      </c>
      <c r="BN573" s="34" t="s">
        <v>107</v>
      </c>
      <c r="BO573" s="35"/>
      <c r="BP573" s="35"/>
      <c r="BQ573" s="35" t="s">
        <v>108</v>
      </c>
      <c r="BR573" s="36" t="e">
        <f>VLOOKUP(BQ573, Cat_Indicadores!B:C, 2, FALSE)</f>
        <v>#N/A</v>
      </c>
      <c r="BS573" s="35" t="s">
        <v>5592</v>
      </c>
      <c r="BT573" s="35"/>
    </row>
    <row r="574" spans="1:72">
      <c r="A574" s="29" t="s">
        <v>2366</v>
      </c>
      <c r="B574" s="30" t="s">
        <v>2367</v>
      </c>
      <c r="C574" s="38">
        <v>46311.550717592596</v>
      </c>
      <c r="D574" s="30">
        <v>51</v>
      </c>
      <c r="E574" s="30" t="s">
        <v>2360</v>
      </c>
      <c r="F574" s="30" t="s">
        <v>2361</v>
      </c>
      <c r="G574" s="30" t="s">
        <v>2368</v>
      </c>
      <c r="H574" s="30" t="s">
        <v>1392</v>
      </c>
      <c r="I574" s="30" t="s">
        <v>2363</v>
      </c>
      <c r="J574" s="30" t="s">
        <v>1900</v>
      </c>
      <c r="K574" s="32">
        <v>3800</v>
      </c>
      <c r="L574" s="32" t="s">
        <v>211</v>
      </c>
      <c r="M574" s="30" t="s">
        <v>2368</v>
      </c>
      <c r="N574" s="30" t="s">
        <v>2368</v>
      </c>
      <c r="O574" s="30" t="s">
        <v>661</v>
      </c>
      <c r="P574" s="33">
        <v>46034</v>
      </c>
      <c r="Q574" s="37">
        <v>46053</v>
      </c>
      <c r="R574" s="32">
        <v>687</v>
      </c>
      <c r="S574" s="30" t="s">
        <v>243</v>
      </c>
      <c r="T574" s="30" t="s">
        <v>328</v>
      </c>
      <c r="U574" s="30" t="s">
        <v>86</v>
      </c>
      <c r="V574" s="30" t="s">
        <v>87</v>
      </c>
      <c r="W574" s="30" t="s">
        <v>88</v>
      </c>
      <c r="X574" s="30" t="s">
        <v>1969</v>
      </c>
      <c r="Y574" s="30" t="s">
        <v>1970</v>
      </c>
      <c r="AB574" s="30" t="b">
        <v>0</v>
      </c>
      <c r="AC574" s="30"/>
      <c r="AD574" s="30" t="b">
        <v>0</v>
      </c>
      <c r="AE574" s="30">
        <v>1</v>
      </c>
      <c r="AF574" s="30" t="b">
        <v>0</v>
      </c>
      <c r="AH574" s="32" t="s">
        <v>91</v>
      </c>
      <c r="AI574" s="32"/>
      <c r="AJ574" s="32"/>
      <c r="AK574" s="32"/>
      <c r="AL574" s="30" t="s">
        <v>2365</v>
      </c>
      <c r="AM574" s="30" t="s">
        <v>649</v>
      </c>
      <c r="AN574" s="30" t="s">
        <v>94</v>
      </c>
      <c r="AO574" s="30" t="s">
        <v>142</v>
      </c>
      <c r="AP574" s="30" t="s">
        <v>143</v>
      </c>
      <c r="AQ574" s="30" t="s">
        <v>144</v>
      </c>
      <c r="AR574" s="30" t="s">
        <v>691</v>
      </c>
      <c r="AT574" s="30" t="s">
        <v>99</v>
      </c>
      <c r="AU574" s="30" t="s">
        <v>100</v>
      </c>
      <c r="AV574" s="30" t="s">
        <v>101</v>
      </c>
      <c r="AW574" s="30" t="s">
        <v>102</v>
      </c>
      <c r="AX574" s="34" t="s">
        <v>86</v>
      </c>
      <c r="AY574" s="34" t="s">
        <v>149</v>
      </c>
      <c r="AZ574" s="34" t="s">
        <v>149</v>
      </c>
      <c r="BA574" s="34"/>
      <c r="BB574" s="34"/>
      <c r="BC574" s="34">
        <v>0</v>
      </c>
      <c r="BD574" s="34"/>
      <c r="BE574" s="34"/>
      <c r="BF574" s="34" t="b">
        <v>1</v>
      </c>
      <c r="BG574" s="34" t="s">
        <v>1042</v>
      </c>
      <c r="BH574" s="34"/>
      <c r="BI574" s="34"/>
      <c r="BJ574" s="34"/>
      <c r="BK574" s="34"/>
      <c r="BL574" s="34" t="s">
        <v>2369</v>
      </c>
      <c r="BM574" s="34" t="s">
        <v>106</v>
      </c>
      <c r="BN574" s="34" t="s">
        <v>1015</v>
      </c>
      <c r="BO574" s="35"/>
      <c r="BP574" s="35"/>
      <c r="BQ574" s="35" t="s">
        <v>108</v>
      </c>
      <c r="BR574" s="36" t="e">
        <f>VLOOKUP(BQ574, Cat_Indicadores!B:C, 2, FALSE)</f>
        <v>#N/A</v>
      </c>
      <c r="BS574" s="35" t="s">
        <v>5592</v>
      </c>
      <c r="BT574" s="35"/>
    </row>
    <row r="575" spans="1:72">
      <c r="A575" s="29" t="s">
        <v>2370</v>
      </c>
      <c r="B575" s="30" t="s">
        <v>2371</v>
      </c>
      <c r="C575" s="38">
        <v>46311.606111111112</v>
      </c>
      <c r="D575" s="30">
        <v>52</v>
      </c>
      <c r="E575" s="30" t="s">
        <v>2360</v>
      </c>
      <c r="F575" s="30" t="s">
        <v>2361</v>
      </c>
      <c r="G575" s="30" t="s">
        <v>2372</v>
      </c>
      <c r="H575" s="30" t="s">
        <v>1392</v>
      </c>
      <c r="I575" s="30" t="s">
        <v>2363</v>
      </c>
      <c r="J575" s="30" t="s">
        <v>2364</v>
      </c>
      <c r="K575" s="32">
        <v>90</v>
      </c>
      <c r="L575" s="32" t="s">
        <v>211</v>
      </c>
      <c r="M575" s="30" t="s">
        <v>2372</v>
      </c>
      <c r="N575" s="30" t="s">
        <v>2372</v>
      </c>
      <c r="O575" s="30" t="s">
        <v>1718</v>
      </c>
      <c r="P575" s="33">
        <v>46055</v>
      </c>
      <c r="Q575" s="33">
        <v>46081</v>
      </c>
      <c r="R575" s="32">
        <v>12</v>
      </c>
      <c r="S575" s="30" t="s">
        <v>264</v>
      </c>
      <c r="T575" s="30" t="s">
        <v>300</v>
      </c>
      <c r="U575" s="30" t="s">
        <v>86</v>
      </c>
      <c r="V575" s="30" t="s">
        <v>87</v>
      </c>
      <c r="W575" s="30" t="s">
        <v>88</v>
      </c>
      <c r="X575" s="30" t="s">
        <v>1969</v>
      </c>
      <c r="Y575" s="30" t="s">
        <v>2373</v>
      </c>
      <c r="AB575" s="30" t="b">
        <v>0</v>
      </c>
      <c r="AC575" s="30"/>
      <c r="AD575" s="30" t="b">
        <v>1</v>
      </c>
      <c r="AE575" s="30">
        <v>1</v>
      </c>
      <c r="AF575" s="30" t="b">
        <v>0</v>
      </c>
      <c r="AH575" s="32" t="s">
        <v>91</v>
      </c>
      <c r="AI575" s="32"/>
      <c r="AJ575" s="32"/>
      <c r="AK575" s="32"/>
      <c r="AL575" s="30" t="s">
        <v>2365</v>
      </c>
      <c r="AM575" s="30" t="s">
        <v>251</v>
      </c>
      <c r="AN575" s="30" t="s">
        <v>266</v>
      </c>
      <c r="AO575" s="30" t="s">
        <v>267</v>
      </c>
      <c r="AP575" s="30" t="s">
        <v>268</v>
      </c>
      <c r="AQ575" s="30" t="s">
        <v>269</v>
      </c>
      <c r="AR575" s="30" t="s">
        <v>691</v>
      </c>
      <c r="AT575" s="30" t="s">
        <v>99</v>
      </c>
      <c r="AU575" s="30" t="s">
        <v>100</v>
      </c>
      <c r="AV575" s="30" t="s">
        <v>101</v>
      </c>
      <c r="AW575" s="30" t="s">
        <v>102</v>
      </c>
      <c r="AX575" s="34" t="s">
        <v>86</v>
      </c>
      <c r="AY575" s="34" t="s">
        <v>149</v>
      </c>
      <c r="AZ575" s="34" t="s">
        <v>149</v>
      </c>
      <c r="BA575" s="34"/>
      <c r="BB575" s="34"/>
      <c r="BC575" s="34">
        <v>0</v>
      </c>
      <c r="BD575" s="34"/>
      <c r="BE575" s="34"/>
      <c r="BF575" s="34" t="b">
        <v>0</v>
      </c>
      <c r="BG575" s="34"/>
      <c r="BH575" s="34"/>
      <c r="BI575" s="34"/>
      <c r="BJ575" s="34"/>
      <c r="BK575" s="34"/>
      <c r="BL575" s="34"/>
      <c r="BM575" s="34" t="s">
        <v>106</v>
      </c>
      <c r="BN575" s="34" t="s">
        <v>107</v>
      </c>
      <c r="BO575" s="35"/>
      <c r="BP575" s="35"/>
      <c r="BQ575" s="35" t="s">
        <v>108</v>
      </c>
      <c r="BR575" s="36" t="e">
        <f>VLOOKUP(BQ575, Cat_Indicadores!B:C, 2, FALSE)</f>
        <v>#N/A</v>
      </c>
      <c r="BS575" s="35" t="s">
        <v>5592</v>
      </c>
      <c r="BT575" s="35"/>
    </row>
    <row r="576" spans="1:72">
      <c r="A576" s="29" t="s">
        <v>2374</v>
      </c>
      <c r="B576" s="30" t="s">
        <v>2375</v>
      </c>
      <c r="C576" s="38">
        <v>46311.624456018515</v>
      </c>
      <c r="D576" s="30">
        <v>53</v>
      </c>
      <c r="E576" s="30" t="s">
        <v>2360</v>
      </c>
      <c r="F576" s="30" t="s">
        <v>2361</v>
      </c>
      <c r="G576" s="30" t="s">
        <v>2376</v>
      </c>
      <c r="H576" s="30" t="s">
        <v>1392</v>
      </c>
      <c r="I576" s="30" t="s">
        <v>2363</v>
      </c>
      <c r="J576" s="30" t="s">
        <v>1900</v>
      </c>
      <c r="K576" s="32">
        <v>20</v>
      </c>
      <c r="L576" s="32" t="s">
        <v>211</v>
      </c>
      <c r="M576" s="30" t="s">
        <v>2376</v>
      </c>
      <c r="N576" s="30" t="s">
        <v>2376</v>
      </c>
      <c r="O576" s="30" t="s">
        <v>2377</v>
      </c>
      <c r="P576" s="33">
        <v>46272</v>
      </c>
      <c r="Q576" s="37">
        <v>46325</v>
      </c>
      <c r="R576" s="32">
        <v>3</v>
      </c>
      <c r="S576" s="30" t="s">
        <v>243</v>
      </c>
      <c r="T576" s="30" t="s">
        <v>328</v>
      </c>
      <c r="U576" s="30" t="s">
        <v>86</v>
      </c>
      <c r="V576" s="30" t="s">
        <v>87</v>
      </c>
      <c r="W576" s="30" t="s">
        <v>88</v>
      </c>
      <c r="X576" s="30" t="s">
        <v>89</v>
      </c>
      <c r="Y576" s="30" t="s">
        <v>2378</v>
      </c>
      <c r="Z576" s="30" t="s">
        <v>2378</v>
      </c>
      <c r="AB576" s="30" t="b">
        <v>0</v>
      </c>
      <c r="AC576" s="30"/>
      <c r="AD576" s="30" t="b">
        <v>1</v>
      </c>
      <c r="AE576" s="30">
        <v>1</v>
      </c>
      <c r="AF576" s="30" t="b">
        <v>0</v>
      </c>
      <c r="AH576" s="32" t="s">
        <v>91</v>
      </c>
      <c r="AI576" s="32"/>
      <c r="AJ576" s="32"/>
      <c r="AK576" s="32"/>
      <c r="AL576" s="30" t="s">
        <v>2365</v>
      </c>
      <c r="AM576" s="30" t="s">
        <v>141</v>
      </c>
      <c r="AN576" s="30" t="s">
        <v>94</v>
      </c>
      <c r="AO576" s="30" t="s">
        <v>142</v>
      </c>
      <c r="AP576" s="30" t="s">
        <v>143</v>
      </c>
      <c r="AQ576" s="30" t="s">
        <v>232</v>
      </c>
      <c r="AR576" s="30" t="s">
        <v>691</v>
      </c>
      <c r="AT576" s="30" t="s">
        <v>99</v>
      </c>
      <c r="AU576" s="30" t="s">
        <v>100</v>
      </c>
      <c r="AV576" s="30" t="s">
        <v>101</v>
      </c>
      <c r="AW576" s="30" t="s">
        <v>102</v>
      </c>
      <c r="AX576" s="34" t="s">
        <v>86</v>
      </c>
      <c r="AY576" s="34" t="s">
        <v>149</v>
      </c>
      <c r="AZ576" s="34" t="s">
        <v>149</v>
      </c>
      <c r="BA576" s="34"/>
      <c r="BB576" s="34"/>
      <c r="BC576" s="34">
        <v>0</v>
      </c>
      <c r="BD576" s="34"/>
      <c r="BE576" s="34"/>
      <c r="BF576" s="34" t="b">
        <v>0</v>
      </c>
      <c r="BG576" s="34"/>
      <c r="BH576" s="34"/>
      <c r="BI576" s="34"/>
      <c r="BJ576" s="34"/>
      <c r="BK576" s="34"/>
      <c r="BL576" s="34"/>
      <c r="BM576" s="34" t="s">
        <v>106</v>
      </c>
      <c r="BN576" s="34" t="s">
        <v>107</v>
      </c>
      <c r="BO576" s="35"/>
      <c r="BP576" s="35"/>
      <c r="BQ576" s="35" t="s">
        <v>108</v>
      </c>
      <c r="BR576" s="36" t="e">
        <f>VLOOKUP(BQ576, Cat_Indicadores!B:C, 2, FALSE)</f>
        <v>#N/A</v>
      </c>
      <c r="BS576" s="35" t="s">
        <v>5592</v>
      </c>
      <c r="BT576" s="35"/>
    </row>
    <row r="577" spans="1:72">
      <c r="A577" s="29" t="s">
        <v>2379</v>
      </c>
      <c r="B577" s="30" t="s">
        <v>2380</v>
      </c>
      <c r="C577" s="38">
        <v>46316.479305555556</v>
      </c>
      <c r="D577" s="30">
        <v>91</v>
      </c>
      <c r="E577" s="30" t="s">
        <v>74</v>
      </c>
      <c r="F577" s="30" t="s">
        <v>75</v>
      </c>
      <c r="G577" s="30" t="s">
        <v>573</v>
      </c>
      <c r="H577" s="30" t="s">
        <v>77</v>
      </c>
      <c r="I577" s="30" t="s">
        <v>78</v>
      </c>
      <c r="J577" s="30" t="s">
        <v>574</v>
      </c>
      <c r="K577" s="32">
        <v>28</v>
      </c>
      <c r="L577" s="32" t="s">
        <v>211</v>
      </c>
      <c r="M577" s="30" t="s">
        <v>2381</v>
      </c>
      <c r="N577" s="30" t="s">
        <v>2382</v>
      </c>
      <c r="O577" s="30" t="s">
        <v>661</v>
      </c>
      <c r="P577" s="33">
        <v>46301</v>
      </c>
      <c r="Q577" s="33">
        <v>46488</v>
      </c>
      <c r="R577" s="32">
        <v>1</v>
      </c>
      <c r="S577" s="30" t="s">
        <v>243</v>
      </c>
      <c r="T577" s="30" t="s">
        <v>703</v>
      </c>
      <c r="U577" s="30" t="s">
        <v>367</v>
      </c>
      <c r="V577" s="30" t="s">
        <v>87</v>
      </c>
      <c r="W577" s="30" t="s">
        <v>88</v>
      </c>
      <c r="X577" s="30" t="s">
        <v>197</v>
      </c>
      <c r="Y577" s="30" t="s">
        <v>2383</v>
      </c>
      <c r="AB577" s="30" t="b">
        <v>0</v>
      </c>
      <c r="AC577" s="30"/>
      <c r="AD577" s="30" t="b">
        <v>1</v>
      </c>
      <c r="AE577" s="30">
        <v>2</v>
      </c>
      <c r="AF577" s="30" t="b">
        <v>0</v>
      </c>
      <c r="AH577" s="32" t="s">
        <v>91</v>
      </c>
      <c r="AI577" s="32"/>
      <c r="AJ577" s="32"/>
      <c r="AK577" s="32"/>
      <c r="AL577" s="30" t="s">
        <v>92</v>
      </c>
      <c r="AM577" s="30" t="s">
        <v>294</v>
      </c>
      <c r="AN577" s="30" t="s">
        <v>94</v>
      </c>
      <c r="AO577" s="30" t="s">
        <v>142</v>
      </c>
      <c r="AP577" s="30" t="s">
        <v>143</v>
      </c>
      <c r="AQ577" s="30" t="s">
        <v>144</v>
      </c>
      <c r="AR577" s="30" t="s">
        <v>691</v>
      </c>
      <c r="AT577" s="30" t="s">
        <v>99</v>
      </c>
      <c r="AU577" s="30" t="s">
        <v>100</v>
      </c>
      <c r="AV577" s="30" t="s">
        <v>101</v>
      </c>
      <c r="AW577" s="30" t="s">
        <v>102</v>
      </c>
      <c r="AX577" s="34" t="s">
        <v>367</v>
      </c>
      <c r="AY577" s="34" t="s">
        <v>167</v>
      </c>
      <c r="AZ577" s="34"/>
      <c r="BA577" s="34"/>
      <c r="BB577" s="34"/>
      <c r="BC577" s="34">
        <v>0</v>
      </c>
      <c r="BD577" s="34"/>
      <c r="BE577" s="34"/>
      <c r="BF577" s="34" t="b">
        <v>0</v>
      </c>
      <c r="BG577" s="34"/>
      <c r="BH577" s="34"/>
      <c r="BI577" s="34"/>
      <c r="BJ577" s="34"/>
      <c r="BK577" s="34"/>
      <c r="BL577" s="34"/>
      <c r="BM577" s="34" t="s">
        <v>106</v>
      </c>
      <c r="BN577" s="34"/>
      <c r="BO577" s="35"/>
      <c r="BP577" s="35"/>
      <c r="BQ577" s="35" t="s">
        <v>108</v>
      </c>
      <c r="BR577" s="36" t="e">
        <f>VLOOKUP(BQ577, Cat_Indicadores!B:C, 2, FALSE)</f>
        <v>#N/A</v>
      </c>
      <c r="BS577" s="35" t="s">
        <v>5592</v>
      </c>
      <c r="BT577" s="35"/>
    </row>
    <row r="578" spans="1:72">
      <c r="A578" s="29" t="s">
        <v>2384</v>
      </c>
      <c r="B578" s="30" t="s">
        <v>2385</v>
      </c>
      <c r="C578" s="38">
        <v>46316.491481481484</v>
      </c>
      <c r="D578" s="30">
        <v>91</v>
      </c>
      <c r="E578" s="30" t="s">
        <v>74</v>
      </c>
      <c r="F578" s="30" t="s">
        <v>75</v>
      </c>
      <c r="G578" s="30" t="s">
        <v>573</v>
      </c>
      <c r="H578" s="30" t="s">
        <v>77</v>
      </c>
      <c r="I578" s="30" t="s">
        <v>78</v>
      </c>
      <c r="J578" s="30" t="s">
        <v>574</v>
      </c>
      <c r="K578" s="32">
        <v>28</v>
      </c>
      <c r="L578" s="32" t="s">
        <v>211</v>
      </c>
      <c r="M578" s="30" t="s">
        <v>2386</v>
      </c>
      <c r="N578" s="30" t="s">
        <v>2387</v>
      </c>
      <c r="O578" s="30" t="s">
        <v>83</v>
      </c>
      <c r="P578" s="37">
        <v>46306</v>
      </c>
      <c r="Q578" s="37">
        <v>46306</v>
      </c>
      <c r="R578" s="32">
        <v>1</v>
      </c>
      <c r="S578" s="30" t="s">
        <v>194</v>
      </c>
      <c r="T578" s="30" t="s">
        <v>195</v>
      </c>
      <c r="U578" s="30" t="s">
        <v>367</v>
      </c>
      <c r="V578" s="30" t="s">
        <v>87</v>
      </c>
      <c r="W578" s="30" t="s">
        <v>88</v>
      </c>
      <c r="X578" s="30" t="s">
        <v>197</v>
      </c>
      <c r="Y578" s="30" t="s">
        <v>2388</v>
      </c>
      <c r="AB578" s="30" t="b">
        <v>0</v>
      </c>
      <c r="AC578" s="30"/>
      <c r="AD578" s="30" t="b">
        <v>1</v>
      </c>
      <c r="AE578" s="30">
        <v>2</v>
      </c>
      <c r="AF578" s="30" t="b">
        <v>0</v>
      </c>
      <c r="AH578" s="32" t="s">
        <v>91</v>
      </c>
      <c r="AI578" s="32"/>
      <c r="AJ578" s="32"/>
      <c r="AK578" s="32"/>
      <c r="AL578" s="30" t="s">
        <v>92</v>
      </c>
      <c r="AM578" s="30" t="s">
        <v>294</v>
      </c>
      <c r="AN578" s="30" t="s">
        <v>94</v>
      </c>
      <c r="AO578" s="30" t="s">
        <v>142</v>
      </c>
      <c r="AP578" s="30" t="s">
        <v>143</v>
      </c>
      <c r="AQ578" s="30" t="s">
        <v>144</v>
      </c>
      <c r="AR578" s="30" t="s">
        <v>691</v>
      </c>
      <c r="AT578" s="30" t="s">
        <v>99</v>
      </c>
      <c r="AU578" s="30" t="s">
        <v>100</v>
      </c>
      <c r="AV578" s="30" t="s">
        <v>101</v>
      </c>
      <c r="AW578" s="30" t="s">
        <v>102</v>
      </c>
      <c r="AX578" s="34" t="s">
        <v>367</v>
      </c>
      <c r="AY578" s="34" t="s">
        <v>167</v>
      </c>
      <c r="AZ578" s="34"/>
      <c r="BA578" s="34"/>
      <c r="BB578" s="34"/>
      <c r="BC578" s="34">
        <v>0</v>
      </c>
      <c r="BD578" s="34"/>
      <c r="BE578" s="34"/>
      <c r="BF578" s="34" t="b">
        <v>0</v>
      </c>
      <c r="BG578" s="34"/>
      <c r="BH578" s="34"/>
      <c r="BI578" s="34"/>
      <c r="BJ578" s="34"/>
      <c r="BK578" s="34"/>
      <c r="BL578" s="34"/>
      <c r="BM578" s="34" t="s">
        <v>168</v>
      </c>
      <c r="BN578" s="34"/>
      <c r="BO578" s="35"/>
      <c r="BP578" s="35"/>
      <c r="BQ578" s="35" t="s">
        <v>108</v>
      </c>
      <c r="BR578" s="36" t="e">
        <f>VLOOKUP(BQ578, Cat_Indicadores!B:C, 2, FALSE)</f>
        <v>#N/A</v>
      </c>
      <c r="BS578" s="35" t="s">
        <v>5592</v>
      </c>
      <c r="BT578" s="35"/>
    </row>
    <row r="579" spans="1:72">
      <c r="A579" s="29" t="s">
        <v>2389</v>
      </c>
      <c r="B579" s="30" t="s">
        <v>2390</v>
      </c>
      <c r="C579" s="38">
        <v>46316.598437499997</v>
      </c>
      <c r="D579" s="30">
        <v>54</v>
      </c>
      <c r="E579" s="30" t="s">
        <v>2360</v>
      </c>
      <c r="F579" s="30" t="s">
        <v>2361</v>
      </c>
      <c r="G579" s="30" t="s">
        <v>2391</v>
      </c>
      <c r="H579" s="30" t="s">
        <v>1392</v>
      </c>
      <c r="I579" s="30" t="s">
        <v>2363</v>
      </c>
      <c r="J579" s="30" t="s">
        <v>2392</v>
      </c>
      <c r="K579" s="32">
        <v>2</v>
      </c>
      <c r="L579" s="32" t="s">
        <v>211</v>
      </c>
      <c r="M579" s="30" t="s">
        <v>2393</v>
      </c>
      <c r="N579" s="30" t="s">
        <v>2391</v>
      </c>
      <c r="O579" s="30" t="s">
        <v>661</v>
      </c>
      <c r="P579" s="33">
        <v>46113</v>
      </c>
      <c r="Q579" s="33">
        <v>46265</v>
      </c>
      <c r="R579" s="32">
        <v>2</v>
      </c>
      <c r="S579" s="30" t="s">
        <v>249</v>
      </c>
      <c r="T579" s="30" t="s">
        <v>2394</v>
      </c>
      <c r="U579" s="30" t="s">
        <v>2006</v>
      </c>
      <c r="V579" s="30" t="s">
        <v>87</v>
      </c>
      <c r="W579" s="30" t="s">
        <v>88</v>
      </c>
      <c r="X579" s="30" t="s">
        <v>1969</v>
      </c>
      <c r="Y579" s="30" t="s">
        <v>1970</v>
      </c>
      <c r="AB579" s="30" t="b">
        <v>0</v>
      </c>
      <c r="AC579" s="30"/>
      <c r="AD579" s="30" t="b">
        <v>1</v>
      </c>
      <c r="AE579" s="30">
        <v>6</v>
      </c>
      <c r="AF579" s="30" t="b">
        <v>0</v>
      </c>
      <c r="AH579" s="32" t="s">
        <v>91</v>
      </c>
      <c r="AI579" s="32"/>
      <c r="AJ579" s="32"/>
      <c r="AK579" s="32"/>
      <c r="AL579" s="30" t="s">
        <v>2365</v>
      </c>
      <c r="AM579" s="30" t="s">
        <v>141</v>
      </c>
      <c r="AN579" s="30" t="s">
        <v>266</v>
      </c>
      <c r="AO579" s="30" t="s">
        <v>267</v>
      </c>
      <c r="AP579" s="30" t="s">
        <v>295</v>
      </c>
      <c r="AQ579" s="30" t="s">
        <v>295</v>
      </c>
      <c r="AR579" s="30" t="s">
        <v>691</v>
      </c>
      <c r="AT579" s="30" t="s">
        <v>99</v>
      </c>
      <c r="AU579" s="30" t="s">
        <v>100</v>
      </c>
      <c r="AV579" s="30" t="s">
        <v>101</v>
      </c>
      <c r="AW579" s="30" t="s">
        <v>102</v>
      </c>
      <c r="AX579" s="34" t="s">
        <v>2006</v>
      </c>
      <c r="AY579" s="34" t="s">
        <v>149</v>
      </c>
      <c r="AZ579" s="34" t="s">
        <v>149</v>
      </c>
      <c r="BA579" s="34"/>
      <c r="BB579" s="34"/>
      <c r="BC579" s="34">
        <v>336</v>
      </c>
      <c r="BD579" s="34" t="s">
        <v>1365</v>
      </c>
      <c r="BE579" s="34"/>
      <c r="BF579" s="34" t="b">
        <v>0</v>
      </c>
      <c r="BG579" s="34"/>
      <c r="BH579" s="34"/>
      <c r="BI579" s="34"/>
      <c r="BJ579" s="34"/>
      <c r="BK579" s="34"/>
      <c r="BL579" s="34"/>
      <c r="BM579" s="34" t="s">
        <v>106</v>
      </c>
      <c r="BN579" s="34" t="s">
        <v>107</v>
      </c>
      <c r="BO579" s="35"/>
      <c r="BP579" s="35"/>
      <c r="BQ579" s="35" t="s">
        <v>108</v>
      </c>
      <c r="BR579" s="36" t="e">
        <f>VLOOKUP(BQ579, Cat_Indicadores!B:C, 2, FALSE)</f>
        <v>#N/A</v>
      </c>
      <c r="BS579" s="35" t="s">
        <v>5592</v>
      </c>
      <c r="BT579" s="35"/>
    </row>
    <row r="580" spans="1:72">
      <c r="A580" s="29" t="s">
        <v>2395</v>
      </c>
      <c r="B580" s="30" t="s">
        <v>2396</v>
      </c>
      <c r="C580" s="38">
        <v>46316.523402777777</v>
      </c>
      <c r="D580" s="30">
        <v>92</v>
      </c>
      <c r="E580" s="30" t="s">
        <v>74</v>
      </c>
      <c r="F580" s="30" t="s">
        <v>75</v>
      </c>
      <c r="G580" s="30" t="s">
        <v>133</v>
      </c>
      <c r="H580" s="30" t="s">
        <v>77</v>
      </c>
      <c r="I580" s="30" t="s">
        <v>78</v>
      </c>
      <c r="J580" s="30" t="s">
        <v>79</v>
      </c>
      <c r="K580" s="32">
        <v>800</v>
      </c>
      <c r="L580" s="32" t="s">
        <v>211</v>
      </c>
      <c r="M580" s="30" t="s">
        <v>2397</v>
      </c>
      <c r="N580" s="30" t="s">
        <v>2357</v>
      </c>
      <c r="O580" s="30" t="s">
        <v>581</v>
      </c>
      <c r="P580" s="33">
        <v>46270</v>
      </c>
      <c r="Q580" s="33">
        <v>46292</v>
      </c>
      <c r="R580" s="32">
        <v>3</v>
      </c>
      <c r="S580" s="30" t="s">
        <v>84</v>
      </c>
      <c r="T580" s="30" t="s">
        <v>117</v>
      </c>
      <c r="U580" s="30" t="s">
        <v>86</v>
      </c>
      <c r="V580" s="30" t="s">
        <v>87</v>
      </c>
      <c r="W580" s="30" t="s">
        <v>88</v>
      </c>
      <c r="X580" s="30" t="s">
        <v>197</v>
      </c>
      <c r="Y580" s="30" t="s">
        <v>1046</v>
      </c>
      <c r="AB580" s="30" t="b">
        <v>0</v>
      </c>
      <c r="AC580" s="30"/>
      <c r="AD580" s="30" t="b">
        <v>0</v>
      </c>
      <c r="AF580" s="30" t="b">
        <v>0</v>
      </c>
      <c r="AH580" s="32" t="s">
        <v>91</v>
      </c>
      <c r="AI580" s="32"/>
      <c r="AJ580" s="32"/>
      <c r="AK580" s="32"/>
      <c r="AL580" s="30" t="s">
        <v>92</v>
      </c>
      <c r="AM580" s="30" t="s">
        <v>93</v>
      </c>
      <c r="AN580" s="30" t="s">
        <v>94</v>
      </c>
      <c r="AO580" s="30" t="s">
        <v>142</v>
      </c>
      <c r="AP580" s="30" t="s">
        <v>143</v>
      </c>
      <c r="AQ580" s="30" t="s">
        <v>144</v>
      </c>
      <c r="AR580" s="30" t="s">
        <v>691</v>
      </c>
      <c r="AT580" s="30" t="s">
        <v>99</v>
      </c>
      <c r="AU580" s="30" t="s">
        <v>100</v>
      </c>
      <c r="AV580" s="30" t="s">
        <v>101</v>
      </c>
      <c r="AW580" s="30" t="s">
        <v>102</v>
      </c>
      <c r="AX580" s="34" t="s">
        <v>86</v>
      </c>
      <c r="AY580" s="34" t="s">
        <v>149</v>
      </c>
      <c r="AZ580" s="34" t="s">
        <v>149</v>
      </c>
      <c r="BA580" s="34"/>
      <c r="BB580" s="34"/>
      <c r="BC580" s="34">
        <v>0</v>
      </c>
      <c r="BD580" s="34"/>
      <c r="BE580" s="34"/>
      <c r="BF580" s="34" t="b">
        <v>0</v>
      </c>
      <c r="BG580" s="34"/>
      <c r="BH580" s="34"/>
      <c r="BI580" s="34"/>
      <c r="BJ580" s="34"/>
      <c r="BK580" s="34"/>
      <c r="BL580" s="34"/>
      <c r="BM580" s="34" t="s">
        <v>168</v>
      </c>
      <c r="BN580" s="34"/>
      <c r="BO580" s="35"/>
      <c r="BP580" s="35"/>
      <c r="BQ580" s="35" t="s">
        <v>108</v>
      </c>
      <c r="BR580" s="36" t="e">
        <f>VLOOKUP(BQ580, Cat_Indicadores!B:C, 2, FALSE)</f>
        <v>#N/A</v>
      </c>
      <c r="BS580" s="35" t="s">
        <v>5592</v>
      </c>
      <c r="BT580" s="35"/>
    </row>
    <row r="581" spans="1:72">
      <c r="A581" s="29" t="s">
        <v>2398</v>
      </c>
      <c r="B581" s="30" t="s">
        <v>2399</v>
      </c>
      <c r="C581" s="38">
        <v>46316.705868055556</v>
      </c>
      <c r="D581" s="30">
        <v>92</v>
      </c>
      <c r="E581" s="30" t="s">
        <v>74</v>
      </c>
      <c r="F581" s="30" t="s">
        <v>75</v>
      </c>
      <c r="G581" s="30" t="s">
        <v>133</v>
      </c>
      <c r="H581" s="30" t="s">
        <v>77</v>
      </c>
      <c r="I581" s="30" t="s">
        <v>78</v>
      </c>
      <c r="J581" s="30" t="s">
        <v>79</v>
      </c>
      <c r="K581" s="32">
        <v>800</v>
      </c>
      <c r="L581" s="32" t="s">
        <v>211</v>
      </c>
      <c r="M581" s="30" t="s">
        <v>2400</v>
      </c>
      <c r="N581" s="30" t="s">
        <v>2401</v>
      </c>
      <c r="O581" s="30" t="s">
        <v>581</v>
      </c>
      <c r="P581" s="33">
        <v>46270</v>
      </c>
      <c r="Q581" s="33">
        <v>46292</v>
      </c>
      <c r="R581" s="32">
        <v>4</v>
      </c>
      <c r="S581" s="30" t="s">
        <v>84</v>
      </c>
      <c r="T581" s="30" t="s">
        <v>117</v>
      </c>
      <c r="U581" s="30" t="s">
        <v>86</v>
      </c>
      <c r="V581" s="30" t="s">
        <v>87</v>
      </c>
      <c r="W581" s="30" t="s">
        <v>88</v>
      </c>
      <c r="X581" s="30" t="s">
        <v>197</v>
      </c>
      <c r="Y581" s="30" t="s">
        <v>1046</v>
      </c>
      <c r="AB581" s="30" t="b">
        <v>0</v>
      </c>
      <c r="AC581" s="30"/>
      <c r="AD581" s="30" t="b">
        <v>0</v>
      </c>
      <c r="AF581" s="30" t="b">
        <v>0</v>
      </c>
      <c r="AH581" s="32" t="s">
        <v>91</v>
      </c>
      <c r="AI581" s="32"/>
      <c r="AJ581" s="32"/>
      <c r="AK581" s="32"/>
      <c r="AL581" s="30" t="s">
        <v>92</v>
      </c>
      <c r="AM581" s="30" t="s">
        <v>93</v>
      </c>
      <c r="AN581" s="30" t="s">
        <v>94</v>
      </c>
      <c r="AO581" s="30" t="s">
        <v>142</v>
      </c>
      <c r="AP581" s="30" t="s">
        <v>143</v>
      </c>
      <c r="AQ581" s="30" t="s">
        <v>144</v>
      </c>
      <c r="AR581" s="30" t="s">
        <v>691</v>
      </c>
      <c r="AT581" s="30" t="s">
        <v>99</v>
      </c>
      <c r="AU581" s="30" t="s">
        <v>100</v>
      </c>
      <c r="AV581" s="30" t="s">
        <v>101</v>
      </c>
      <c r="AW581" s="30" t="s">
        <v>102</v>
      </c>
      <c r="AX581" s="34" t="s">
        <v>86</v>
      </c>
      <c r="AY581" s="34" t="s">
        <v>149</v>
      </c>
      <c r="AZ581" s="34" t="s">
        <v>149</v>
      </c>
      <c r="BA581" s="34"/>
      <c r="BB581" s="34"/>
      <c r="BC581" s="34">
        <v>0</v>
      </c>
      <c r="BD581" s="34"/>
      <c r="BE581" s="34"/>
      <c r="BF581" s="34" t="b">
        <v>0</v>
      </c>
      <c r="BG581" s="34"/>
      <c r="BH581" s="34"/>
      <c r="BI581" s="34"/>
      <c r="BJ581" s="34"/>
      <c r="BK581" s="34"/>
      <c r="BL581" s="34"/>
      <c r="BM581" s="34" t="s">
        <v>168</v>
      </c>
      <c r="BN581" s="34"/>
      <c r="BO581" s="35"/>
      <c r="BP581" s="35"/>
      <c r="BQ581" s="35" t="s">
        <v>108</v>
      </c>
      <c r="BR581" s="36" t="e">
        <f>VLOOKUP(BQ581, Cat_Indicadores!B:C, 2, FALSE)</f>
        <v>#N/A</v>
      </c>
      <c r="BS581" s="35" t="s">
        <v>5592</v>
      </c>
      <c r="BT581" s="35"/>
    </row>
    <row r="582" spans="1:72">
      <c r="A582" s="29" t="s">
        <v>2402</v>
      </c>
      <c r="B582" s="30" t="s">
        <v>2403</v>
      </c>
      <c r="C582" s="38">
        <v>46317.449780092589</v>
      </c>
      <c r="D582" s="30">
        <v>92</v>
      </c>
      <c r="E582" s="30" t="s">
        <v>74</v>
      </c>
      <c r="F582" s="30" t="s">
        <v>75</v>
      </c>
      <c r="G582" s="30" t="s">
        <v>133</v>
      </c>
      <c r="H582" s="30" t="s">
        <v>77</v>
      </c>
      <c r="I582" s="30" t="s">
        <v>78</v>
      </c>
      <c r="J582" s="30" t="s">
        <v>79</v>
      </c>
      <c r="K582" s="32">
        <v>800</v>
      </c>
      <c r="L582" s="32" t="s">
        <v>211</v>
      </c>
      <c r="M582" s="30" t="s">
        <v>2404</v>
      </c>
      <c r="N582" s="30" t="s">
        <v>2405</v>
      </c>
      <c r="O582" s="30" t="s">
        <v>581</v>
      </c>
      <c r="P582" s="33">
        <v>46271</v>
      </c>
      <c r="Q582" s="33">
        <v>46293</v>
      </c>
      <c r="R582" s="32">
        <v>3</v>
      </c>
      <c r="S582" s="30" t="s">
        <v>84</v>
      </c>
      <c r="T582" s="30" t="s">
        <v>117</v>
      </c>
      <c r="U582" s="30" t="s">
        <v>86</v>
      </c>
      <c r="V582" s="30" t="s">
        <v>87</v>
      </c>
      <c r="W582" s="30" t="s">
        <v>88</v>
      </c>
      <c r="X582" s="30" t="s">
        <v>197</v>
      </c>
      <c r="Y582" s="30" t="s">
        <v>1046</v>
      </c>
      <c r="AB582" s="30" t="b">
        <v>1</v>
      </c>
      <c r="AC582" s="30"/>
      <c r="AD582" s="30" t="b">
        <v>1</v>
      </c>
      <c r="AE582" s="30">
        <v>1</v>
      </c>
      <c r="AF582" s="30" t="b">
        <v>0</v>
      </c>
      <c r="AH582" s="32" t="s">
        <v>963</v>
      </c>
      <c r="AI582" s="32">
        <v>2293</v>
      </c>
      <c r="AJ582" s="32">
        <v>3058</v>
      </c>
      <c r="AK582" s="32" t="s">
        <v>2406</v>
      </c>
      <c r="AL582" s="30" t="s">
        <v>92</v>
      </c>
      <c r="AM582" s="30" t="s">
        <v>93</v>
      </c>
      <c r="AN582" s="30" t="s">
        <v>94</v>
      </c>
      <c r="AO582" s="30" t="s">
        <v>142</v>
      </c>
      <c r="AP582" s="30" t="s">
        <v>143</v>
      </c>
      <c r="AQ582" s="30" t="s">
        <v>144</v>
      </c>
      <c r="AR582" s="30" t="s">
        <v>691</v>
      </c>
      <c r="AT582" s="30" t="s">
        <v>99</v>
      </c>
      <c r="AU582" s="30" t="s">
        <v>100</v>
      </c>
      <c r="AV582" s="30" t="s">
        <v>101</v>
      </c>
      <c r="AW582" s="30" t="s">
        <v>102</v>
      </c>
      <c r="AX582" s="34" t="s">
        <v>86</v>
      </c>
      <c r="AY582" s="34" t="s">
        <v>149</v>
      </c>
      <c r="AZ582" s="34" t="s">
        <v>149</v>
      </c>
      <c r="BA582" s="34"/>
      <c r="BB582" s="34"/>
      <c r="BC582" s="34">
        <v>0</v>
      </c>
      <c r="BD582" s="34"/>
      <c r="BE582" s="34"/>
      <c r="BF582" s="34" t="b">
        <v>0</v>
      </c>
      <c r="BG582" s="34"/>
      <c r="BH582" s="34"/>
      <c r="BI582" s="34"/>
      <c r="BJ582" s="34"/>
      <c r="BK582" s="34"/>
      <c r="BL582" s="34"/>
      <c r="BM582" s="34" t="s">
        <v>168</v>
      </c>
      <c r="BN582" s="34"/>
      <c r="BO582" s="35"/>
      <c r="BP582" s="35"/>
      <c r="BQ582" s="35" t="s">
        <v>108</v>
      </c>
      <c r="BR582" s="36" t="e">
        <f>VLOOKUP(BQ582, Cat_Indicadores!B:C, 2, FALSE)</f>
        <v>#N/A</v>
      </c>
      <c r="BS582" s="35" t="s">
        <v>5592</v>
      </c>
      <c r="BT582" s="35"/>
    </row>
    <row r="583" spans="1:72">
      <c r="A583" s="29" t="s">
        <v>2407</v>
      </c>
      <c r="B583" s="30" t="s">
        <v>2408</v>
      </c>
      <c r="C583" s="38">
        <v>46317.467442129629</v>
      </c>
      <c r="D583" s="30">
        <v>92</v>
      </c>
      <c r="E583" s="30" t="s">
        <v>74</v>
      </c>
      <c r="F583" s="30" t="s">
        <v>75</v>
      </c>
      <c r="G583" s="30" t="s">
        <v>133</v>
      </c>
      <c r="H583" s="30" t="s">
        <v>77</v>
      </c>
      <c r="I583" s="30" t="s">
        <v>78</v>
      </c>
      <c r="J583" s="30" t="s">
        <v>79</v>
      </c>
      <c r="K583" s="32">
        <v>800</v>
      </c>
      <c r="L583" s="32" t="s">
        <v>211</v>
      </c>
      <c r="M583" s="30" t="s">
        <v>2409</v>
      </c>
      <c r="N583" s="30" t="s">
        <v>2405</v>
      </c>
      <c r="O583" s="30" t="s">
        <v>581</v>
      </c>
      <c r="P583" s="33">
        <v>46272</v>
      </c>
      <c r="Q583" s="33">
        <v>46294</v>
      </c>
      <c r="R583" s="32">
        <v>4</v>
      </c>
      <c r="S583" s="30" t="s">
        <v>243</v>
      </c>
      <c r="T583" s="30" t="s">
        <v>740</v>
      </c>
      <c r="U583" s="30" t="s">
        <v>86</v>
      </c>
      <c r="V583" s="30" t="s">
        <v>87</v>
      </c>
      <c r="W583" s="30" t="s">
        <v>88</v>
      </c>
      <c r="X583" s="30" t="s">
        <v>197</v>
      </c>
      <c r="Y583" s="30" t="s">
        <v>1046</v>
      </c>
      <c r="AB583" s="30" t="b">
        <v>1</v>
      </c>
      <c r="AC583" s="30"/>
      <c r="AD583" s="30" t="b">
        <v>1</v>
      </c>
      <c r="AE583" s="30">
        <v>1</v>
      </c>
      <c r="AF583" s="30" t="b">
        <v>0</v>
      </c>
      <c r="AH583" s="32" t="s">
        <v>963</v>
      </c>
      <c r="AI583" s="32">
        <v>2293</v>
      </c>
      <c r="AJ583" s="32">
        <v>3058</v>
      </c>
      <c r="AK583" s="32" t="s">
        <v>964</v>
      </c>
      <c r="AL583" s="30" t="s">
        <v>92</v>
      </c>
      <c r="AM583" s="30" t="s">
        <v>93</v>
      </c>
      <c r="AN583" s="30" t="s">
        <v>94</v>
      </c>
      <c r="AO583" s="30" t="s">
        <v>142</v>
      </c>
      <c r="AP583" s="30" t="s">
        <v>143</v>
      </c>
      <c r="AQ583" s="30" t="s">
        <v>144</v>
      </c>
      <c r="AR583" s="30" t="s">
        <v>691</v>
      </c>
      <c r="AT583" s="30" t="s">
        <v>99</v>
      </c>
      <c r="AU583" s="30" t="s">
        <v>100</v>
      </c>
      <c r="AV583" s="30" t="s">
        <v>101</v>
      </c>
      <c r="AW583" s="30" t="s">
        <v>102</v>
      </c>
      <c r="AX583" s="34" t="s">
        <v>86</v>
      </c>
      <c r="AY583" s="34" t="s">
        <v>149</v>
      </c>
      <c r="AZ583" s="34" t="s">
        <v>149</v>
      </c>
      <c r="BA583" s="34"/>
      <c r="BB583" s="34"/>
      <c r="BC583" s="34">
        <v>0</v>
      </c>
      <c r="BD583" s="34"/>
      <c r="BE583" s="34"/>
      <c r="BF583" s="34" t="b">
        <v>0</v>
      </c>
      <c r="BG583" s="34"/>
      <c r="BH583" s="34"/>
      <c r="BI583" s="34"/>
      <c r="BJ583" s="34"/>
      <c r="BK583" s="34"/>
      <c r="BL583" s="34"/>
      <c r="BM583" s="34" t="s">
        <v>168</v>
      </c>
      <c r="BN583" s="34"/>
      <c r="BO583" s="35"/>
      <c r="BP583" s="35"/>
      <c r="BQ583" s="35" t="s">
        <v>108</v>
      </c>
      <c r="BR583" s="36" t="e">
        <f>VLOOKUP(BQ583, Cat_Indicadores!B:C, 2, FALSE)</f>
        <v>#N/A</v>
      </c>
      <c r="BS583" s="35" t="s">
        <v>5592</v>
      </c>
      <c r="BT583" s="35"/>
    </row>
    <row r="584" spans="1:72">
      <c r="A584" s="29" t="s">
        <v>2410</v>
      </c>
      <c r="B584" s="30" t="s">
        <v>2411</v>
      </c>
      <c r="C584" s="38">
        <v>46317.473182870373</v>
      </c>
      <c r="D584" s="30">
        <v>92</v>
      </c>
      <c r="E584" s="30" t="s">
        <v>74</v>
      </c>
      <c r="F584" s="30" t="s">
        <v>75</v>
      </c>
      <c r="G584" s="30" t="s">
        <v>133</v>
      </c>
      <c r="H584" s="30" t="s">
        <v>77</v>
      </c>
      <c r="I584" s="30" t="s">
        <v>78</v>
      </c>
      <c r="J584" s="30" t="s">
        <v>79</v>
      </c>
      <c r="K584" s="32">
        <v>800</v>
      </c>
      <c r="L584" s="32" t="s">
        <v>211</v>
      </c>
      <c r="M584" s="30" t="s">
        <v>2412</v>
      </c>
      <c r="N584" s="30" t="s">
        <v>2413</v>
      </c>
      <c r="O584" s="30" t="s">
        <v>1371</v>
      </c>
      <c r="P584" s="33">
        <v>46287</v>
      </c>
      <c r="Q584" s="33">
        <v>46288</v>
      </c>
      <c r="R584" s="32">
        <v>2</v>
      </c>
      <c r="S584" s="30" t="s">
        <v>243</v>
      </c>
      <c r="T584" s="30" t="s">
        <v>244</v>
      </c>
      <c r="U584" s="30" t="s">
        <v>86</v>
      </c>
      <c r="V584" s="30" t="s">
        <v>87</v>
      </c>
      <c r="W584" s="30" t="s">
        <v>1374</v>
      </c>
      <c r="X584" s="30" t="s">
        <v>197</v>
      </c>
      <c r="Y584" s="30" t="s">
        <v>2414</v>
      </c>
      <c r="AB584" s="30" t="b">
        <v>0</v>
      </c>
      <c r="AC584" s="30"/>
      <c r="AD584" s="30" t="b">
        <v>1</v>
      </c>
      <c r="AE584" s="30">
        <v>1</v>
      </c>
      <c r="AF584" s="30" t="b">
        <v>0</v>
      </c>
      <c r="AH584" s="32" t="s">
        <v>91</v>
      </c>
      <c r="AI584" s="32"/>
      <c r="AJ584" s="32"/>
      <c r="AK584" s="32"/>
      <c r="AL584" s="30" t="s">
        <v>92</v>
      </c>
      <c r="AM584" s="30" t="s">
        <v>141</v>
      </c>
      <c r="AN584" s="30" t="s">
        <v>94</v>
      </c>
      <c r="AO584" s="30" t="s">
        <v>142</v>
      </c>
      <c r="AP584" s="30" t="s">
        <v>143</v>
      </c>
      <c r="AQ584" s="30" t="s">
        <v>232</v>
      </c>
      <c r="AR584" s="30" t="s">
        <v>691</v>
      </c>
      <c r="AT584" s="30" t="s">
        <v>99</v>
      </c>
      <c r="AU584" s="30" t="s">
        <v>146</v>
      </c>
      <c r="AV584" s="30" t="s">
        <v>233</v>
      </c>
      <c r="AW584" s="30" t="s">
        <v>102</v>
      </c>
      <c r="AX584" s="34" t="s">
        <v>86</v>
      </c>
      <c r="AY584" s="34" t="s">
        <v>149</v>
      </c>
      <c r="AZ584" s="34" t="s">
        <v>149</v>
      </c>
      <c r="BA584" s="34"/>
      <c r="BB584" s="34"/>
      <c r="BC584" s="34">
        <v>0</v>
      </c>
      <c r="BD584" s="34"/>
      <c r="BE584" s="34"/>
      <c r="BF584" s="34" t="b">
        <v>1</v>
      </c>
      <c r="BG584" s="34" t="s">
        <v>2008</v>
      </c>
      <c r="BH584" s="34"/>
      <c r="BI584" s="34"/>
      <c r="BJ584" s="34"/>
      <c r="BK584" s="34"/>
      <c r="BL584" s="34"/>
      <c r="BM584" s="34" t="s">
        <v>106</v>
      </c>
      <c r="BN584" s="34" t="s">
        <v>107</v>
      </c>
      <c r="BO584" s="35"/>
      <c r="BP584" s="35"/>
      <c r="BQ584" s="35" t="s">
        <v>108</v>
      </c>
      <c r="BR584" s="36" t="e">
        <f>VLOOKUP(BQ584, Cat_Indicadores!B:C, 2, FALSE)</f>
        <v>#N/A</v>
      </c>
      <c r="BS584" s="35" t="s">
        <v>5592</v>
      </c>
      <c r="BT584" s="35"/>
    </row>
    <row r="585" spans="1:72">
      <c r="A585" s="29" t="s">
        <v>2415</v>
      </c>
      <c r="B585" s="30" t="s">
        <v>2416</v>
      </c>
      <c r="C585" s="38">
        <v>46317.490983796299</v>
      </c>
      <c r="D585" s="30">
        <v>93</v>
      </c>
      <c r="E585" s="30" t="s">
        <v>74</v>
      </c>
      <c r="F585" s="30" t="s">
        <v>75</v>
      </c>
      <c r="G585" s="30" t="s">
        <v>595</v>
      </c>
      <c r="H585" s="30" t="s">
        <v>77</v>
      </c>
      <c r="I585" s="30" t="s">
        <v>78</v>
      </c>
      <c r="J585" s="30" t="s">
        <v>79</v>
      </c>
      <c r="K585" s="32">
        <v>10</v>
      </c>
      <c r="L585" s="32" t="s">
        <v>211</v>
      </c>
      <c r="M585" s="30" t="s">
        <v>2417</v>
      </c>
      <c r="N585" s="30" t="s">
        <v>2418</v>
      </c>
      <c r="O585" s="30" t="s">
        <v>1371</v>
      </c>
      <c r="P585" s="33">
        <v>46291</v>
      </c>
      <c r="Q585" s="33">
        <v>46292</v>
      </c>
      <c r="R585" s="32">
        <v>2</v>
      </c>
      <c r="S585" s="30" t="s">
        <v>243</v>
      </c>
      <c r="T585" s="30" t="s">
        <v>662</v>
      </c>
      <c r="U585" s="30" t="s">
        <v>1069</v>
      </c>
      <c r="V585" s="30" t="s">
        <v>87</v>
      </c>
      <c r="W585" s="30" t="s">
        <v>88</v>
      </c>
      <c r="X585" s="30" t="s">
        <v>89</v>
      </c>
      <c r="Z585" s="30" t="s">
        <v>2419</v>
      </c>
      <c r="AB585" s="30" t="b">
        <v>0</v>
      </c>
      <c r="AC585" s="30"/>
      <c r="AD585" s="30" t="b">
        <v>0</v>
      </c>
      <c r="AF585" s="30" t="b">
        <v>0</v>
      </c>
      <c r="AH585" s="32" t="s">
        <v>91</v>
      </c>
      <c r="AI585" s="32"/>
      <c r="AJ585" s="32"/>
      <c r="AK585" s="32"/>
      <c r="AL585" s="30" t="s">
        <v>92</v>
      </c>
      <c r="AM585" s="30" t="s">
        <v>599</v>
      </c>
      <c r="AN585" s="30" t="s">
        <v>94</v>
      </c>
      <c r="AO585" s="30" t="s">
        <v>142</v>
      </c>
      <c r="AP585" s="30" t="s">
        <v>143</v>
      </c>
      <c r="AQ585" s="30" t="s">
        <v>144</v>
      </c>
      <c r="AR585" s="30" t="s">
        <v>691</v>
      </c>
      <c r="AT585" s="30" t="s">
        <v>99</v>
      </c>
      <c r="AU585" s="30" t="s">
        <v>100</v>
      </c>
      <c r="AV585" s="30" t="s">
        <v>101</v>
      </c>
      <c r="AW585" s="30" t="s">
        <v>102</v>
      </c>
      <c r="AX585" s="34" t="s">
        <v>1069</v>
      </c>
      <c r="AY585" s="34" t="s">
        <v>778</v>
      </c>
      <c r="AZ585" s="34"/>
      <c r="BA585" s="34"/>
      <c r="BB585" s="34"/>
      <c r="BC585" s="34">
        <v>0</v>
      </c>
      <c r="BD585" s="34"/>
      <c r="BE585" s="34"/>
      <c r="BF585" s="34" t="b">
        <v>1</v>
      </c>
      <c r="BG585" s="34" t="s">
        <v>2008</v>
      </c>
      <c r="BH585" s="34"/>
      <c r="BI585" s="34"/>
      <c r="BJ585" s="34"/>
      <c r="BK585" s="34"/>
      <c r="BL585" s="34"/>
      <c r="BM585" s="34" t="s">
        <v>106</v>
      </c>
      <c r="BN585" s="34" t="s">
        <v>107</v>
      </c>
      <c r="BO585" s="35"/>
      <c r="BP585" s="35"/>
      <c r="BQ585" s="35" t="s">
        <v>108</v>
      </c>
      <c r="BR585" s="36" t="e">
        <f>VLOOKUP(BQ585, Cat_Indicadores!B:C, 2, FALSE)</f>
        <v>#N/A</v>
      </c>
      <c r="BS585" s="35" t="s">
        <v>5592</v>
      </c>
      <c r="BT585" s="35"/>
    </row>
    <row r="586" spans="1:72">
      <c r="A586" s="29" t="s">
        <v>2420</v>
      </c>
      <c r="B586" s="30" t="s">
        <v>2421</v>
      </c>
      <c r="C586" s="38">
        <v>46317.503969907404</v>
      </c>
      <c r="D586" s="30">
        <v>92</v>
      </c>
      <c r="E586" s="30" t="s">
        <v>74</v>
      </c>
      <c r="F586" s="30" t="s">
        <v>75</v>
      </c>
      <c r="G586" s="30" t="s">
        <v>133</v>
      </c>
      <c r="H586" s="30" t="s">
        <v>77</v>
      </c>
      <c r="I586" s="30" t="s">
        <v>78</v>
      </c>
      <c r="J586" s="30" t="s">
        <v>79</v>
      </c>
      <c r="K586" s="32">
        <v>800</v>
      </c>
      <c r="L586" s="32" t="s">
        <v>211</v>
      </c>
      <c r="M586" s="30" t="s">
        <v>1551</v>
      </c>
      <c r="N586" s="30" t="s">
        <v>2422</v>
      </c>
      <c r="O586" s="30" t="s">
        <v>83</v>
      </c>
      <c r="P586" s="33">
        <v>46267</v>
      </c>
      <c r="Q586" s="33">
        <v>46267</v>
      </c>
      <c r="R586" s="32">
        <v>1</v>
      </c>
      <c r="S586" s="30" t="s">
        <v>84</v>
      </c>
      <c r="T586" s="30" t="s">
        <v>337</v>
      </c>
      <c r="U586" s="30" t="s">
        <v>160</v>
      </c>
      <c r="V586" s="30" t="s">
        <v>87</v>
      </c>
      <c r="W586" s="30" t="s">
        <v>88</v>
      </c>
      <c r="X586" s="30" t="s">
        <v>197</v>
      </c>
      <c r="Y586" s="30" t="s">
        <v>1270</v>
      </c>
      <c r="AB586" s="30" t="b">
        <v>0</v>
      </c>
      <c r="AC586" s="30"/>
      <c r="AD586" s="30" t="b">
        <v>0</v>
      </c>
      <c r="AF586" s="30" t="b">
        <v>0</v>
      </c>
      <c r="AH586" s="32" t="s">
        <v>91</v>
      </c>
      <c r="AI586" s="32"/>
      <c r="AJ586" s="32"/>
      <c r="AK586" s="32"/>
      <c r="AL586" s="30" t="s">
        <v>92</v>
      </c>
      <c r="AM586" s="30" t="s">
        <v>93</v>
      </c>
      <c r="AN586" s="30" t="s">
        <v>199</v>
      </c>
      <c r="AO586" s="30" t="s">
        <v>200</v>
      </c>
      <c r="AP586" s="30" t="s">
        <v>201</v>
      </c>
      <c r="AQ586" s="30" t="s">
        <v>202</v>
      </c>
      <c r="AR586" s="30" t="s">
        <v>145</v>
      </c>
      <c r="AT586" s="30" t="s">
        <v>99</v>
      </c>
      <c r="AU586" s="30" t="s">
        <v>100</v>
      </c>
      <c r="AV586" s="30" t="s">
        <v>101</v>
      </c>
      <c r="AW586" s="30" t="s">
        <v>102</v>
      </c>
      <c r="AX586" s="34" t="s">
        <v>160</v>
      </c>
      <c r="AY586" s="34" t="s">
        <v>149</v>
      </c>
      <c r="AZ586" s="34" t="s">
        <v>149</v>
      </c>
      <c r="BA586" s="34"/>
      <c r="BB586" s="34"/>
      <c r="BC586" s="34">
        <v>0</v>
      </c>
      <c r="BD586" s="34"/>
      <c r="BE586" s="34"/>
      <c r="BF586" s="34" t="b">
        <v>0</v>
      </c>
      <c r="BG586" s="34"/>
      <c r="BH586" s="34"/>
      <c r="BI586" s="34"/>
      <c r="BJ586" s="34"/>
      <c r="BK586" s="34"/>
      <c r="BL586" s="34"/>
      <c r="BM586" s="34" t="s">
        <v>168</v>
      </c>
      <c r="BN586" s="34"/>
      <c r="BO586" s="35"/>
      <c r="BP586" s="35"/>
      <c r="BQ586" s="35" t="s">
        <v>108</v>
      </c>
      <c r="BR586" s="36" t="e">
        <f>VLOOKUP(BQ586, Cat_Indicadores!B:C, 2, FALSE)</f>
        <v>#N/A</v>
      </c>
      <c r="BS586" s="35" t="s">
        <v>5592</v>
      </c>
      <c r="BT586" s="35"/>
    </row>
    <row r="587" spans="1:72">
      <c r="A587" s="29" t="s">
        <v>2423</v>
      </c>
      <c r="B587" s="30" t="s">
        <v>2424</v>
      </c>
      <c r="C587" s="38">
        <v>46317.508506944447</v>
      </c>
      <c r="D587" s="30">
        <v>92</v>
      </c>
      <c r="E587" s="30" t="s">
        <v>74</v>
      </c>
      <c r="F587" s="30" t="s">
        <v>75</v>
      </c>
      <c r="G587" s="30" t="s">
        <v>133</v>
      </c>
      <c r="H587" s="30" t="s">
        <v>77</v>
      </c>
      <c r="I587" s="30" t="s">
        <v>78</v>
      </c>
      <c r="J587" s="30" t="s">
        <v>79</v>
      </c>
      <c r="K587" s="32">
        <v>800</v>
      </c>
      <c r="L587" s="32" t="s">
        <v>211</v>
      </c>
      <c r="M587" s="30" t="s">
        <v>2425</v>
      </c>
      <c r="N587" s="30" t="s">
        <v>820</v>
      </c>
      <c r="O587" s="30" t="s">
        <v>83</v>
      </c>
      <c r="P587" s="33">
        <v>46270</v>
      </c>
      <c r="Q587" s="33">
        <v>46270</v>
      </c>
      <c r="R587" s="32">
        <v>1</v>
      </c>
      <c r="S587" s="30" t="s">
        <v>84</v>
      </c>
      <c r="T587" s="30" t="s">
        <v>337</v>
      </c>
      <c r="U587" s="30" t="s">
        <v>86</v>
      </c>
      <c r="V587" s="30" t="s">
        <v>87</v>
      </c>
      <c r="W587" s="30" t="s">
        <v>88</v>
      </c>
      <c r="X587" s="30" t="s">
        <v>197</v>
      </c>
      <c r="Y587" s="30" t="s">
        <v>1275</v>
      </c>
      <c r="AB587" s="30" t="b">
        <v>0</v>
      </c>
      <c r="AC587" s="30"/>
      <c r="AD587" s="30" t="b">
        <v>0</v>
      </c>
      <c r="AF587" s="30" t="b">
        <v>0</v>
      </c>
      <c r="AH587" s="32" t="s">
        <v>91</v>
      </c>
      <c r="AI587" s="32"/>
      <c r="AJ587" s="32"/>
      <c r="AK587" s="32"/>
      <c r="AL587" s="30" t="s">
        <v>92</v>
      </c>
      <c r="AM587" s="30" t="s">
        <v>93</v>
      </c>
      <c r="AN587" s="30" t="s">
        <v>199</v>
      </c>
      <c r="AO587" s="30" t="s">
        <v>200</v>
      </c>
      <c r="AP587" s="30" t="s">
        <v>201</v>
      </c>
      <c r="AQ587" s="30" t="s">
        <v>202</v>
      </c>
      <c r="AR587" s="30" t="s">
        <v>145</v>
      </c>
      <c r="AT587" s="30" t="s">
        <v>99</v>
      </c>
      <c r="AU587" s="30" t="s">
        <v>100</v>
      </c>
      <c r="AV587" s="30" t="s">
        <v>101</v>
      </c>
      <c r="AW587" s="30" t="s">
        <v>102</v>
      </c>
      <c r="AX587" s="34" t="s">
        <v>86</v>
      </c>
      <c r="AY587" s="34" t="s">
        <v>149</v>
      </c>
      <c r="AZ587" s="34" t="s">
        <v>149</v>
      </c>
      <c r="BA587" s="34"/>
      <c r="BB587" s="34"/>
      <c r="BC587" s="34">
        <v>0</v>
      </c>
      <c r="BD587" s="34"/>
      <c r="BE587" s="34"/>
      <c r="BF587" s="34" t="b">
        <v>0</v>
      </c>
      <c r="BG587" s="34"/>
      <c r="BH587" s="34"/>
      <c r="BI587" s="34"/>
      <c r="BJ587" s="34"/>
      <c r="BK587" s="34"/>
      <c r="BL587" s="34"/>
      <c r="BM587" s="34" t="s">
        <v>168</v>
      </c>
      <c r="BN587" s="34"/>
      <c r="BO587" s="35"/>
      <c r="BP587" s="35"/>
      <c r="BQ587" s="35" t="s">
        <v>108</v>
      </c>
      <c r="BR587" s="36" t="e">
        <f>VLOOKUP(BQ587, Cat_Indicadores!B:C, 2, FALSE)</f>
        <v>#N/A</v>
      </c>
      <c r="BS587" s="35" t="s">
        <v>5592</v>
      </c>
      <c r="BT587" s="35"/>
    </row>
    <row r="588" spans="1:72">
      <c r="A588" s="29" t="s">
        <v>2426</v>
      </c>
      <c r="B588" s="30" t="s">
        <v>2427</v>
      </c>
      <c r="C588" s="38">
        <v>46317.517708333333</v>
      </c>
      <c r="D588" s="30">
        <v>92</v>
      </c>
      <c r="E588" s="30" t="s">
        <v>74</v>
      </c>
      <c r="F588" s="30" t="s">
        <v>75</v>
      </c>
      <c r="G588" s="30" t="s">
        <v>133</v>
      </c>
      <c r="H588" s="30" t="s">
        <v>77</v>
      </c>
      <c r="I588" s="30" t="s">
        <v>78</v>
      </c>
      <c r="J588" s="30" t="s">
        <v>79</v>
      </c>
      <c r="K588" s="32">
        <v>800</v>
      </c>
      <c r="L588" s="32" t="s">
        <v>211</v>
      </c>
      <c r="M588" s="30" t="s">
        <v>555</v>
      </c>
      <c r="N588" s="30" t="s">
        <v>2428</v>
      </c>
      <c r="O588" s="30" t="s">
        <v>83</v>
      </c>
      <c r="P588" s="33">
        <v>46270</v>
      </c>
      <c r="Q588" s="33">
        <v>46270</v>
      </c>
      <c r="R588" s="32">
        <v>1</v>
      </c>
      <c r="S588" s="30" t="s">
        <v>84</v>
      </c>
      <c r="T588" s="30" t="s">
        <v>337</v>
      </c>
      <c r="U588" s="30" t="s">
        <v>86</v>
      </c>
      <c r="V588" s="30" t="s">
        <v>87</v>
      </c>
      <c r="W588" s="30" t="s">
        <v>88</v>
      </c>
      <c r="X588" s="30" t="s">
        <v>197</v>
      </c>
      <c r="Y588" s="30" t="s">
        <v>1282</v>
      </c>
      <c r="AB588" s="30" t="b">
        <v>0</v>
      </c>
      <c r="AC588" s="30"/>
      <c r="AD588" s="30" t="b">
        <v>0</v>
      </c>
      <c r="AF588" s="30" t="b">
        <v>0</v>
      </c>
      <c r="AH588" s="32" t="s">
        <v>91</v>
      </c>
      <c r="AI588" s="32"/>
      <c r="AJ588" s="32"/>
      <c r="AK588" s="32"/>
      <c r="AL588" s="30" t="s">
        <v>92</v>
      </c>
      <c r="AM588" s="30" t="s">
        <v>93</v>
      </c>
      <c r="AN588" s="30" t="s">
        <v>199</v>
      </c>
      <c r="AO588" s="30" t="s">
        <v>200</v>
      </c>
      <c r="AP588" s="30" t="s">
        <v>201</v>
      </c>
      <c r="AQ588" s="30" t="s">
        <v>202</v>
      </c>
      <c r="AR588" s="30" t="s">
        <v>145</v>
      </c>
      <c r="AT588" s="30" t="s">
        <v>99</v>
      </c>
      <c r="AU588" s="30" t="s">
        <v>100</v>
      </c>
      <c r="AV588" s="30" t="s">
        <v>101</v>
      </c>
      <c r="AW588" s="30" t="s">
        <v>102</v>
      </c>
      <c r="AX588" s="34" t="s">
        <v>86</v>
      </c>
      <c r="AY588" s="34" t="s">
        <v>149</v>
      </c>
      <c r="AZ588" s="34"/>
      <c r="BA588" s="34"/>
      <c r="BB588" s="34"/>
      <c r="BC588" s="34">
        <v>0</v>
      </c>
      <c r="BD588" s="34"/>
      <c r="BE588" s="34"/>
      <c r="BF588" s="34" t="b">
        <v>0</v>
      </c>
      <c r="BG588" s="34"/>
      <c r="BH588" s="34"/>
      <c r="BI588" s="34"/>
      <c r="BJ588" s="34"/>
      <c r="BK588" s="34"/>
      <c r="BL588" s="34"/>
      <c r="BM588" s="34" t="s">
        <v>168</v>
      </c>
      <c r="BN588" s="34"/>
      <c r="BO588" s="35"/>
      <c r="BP588" s="35"/>
      <c r="BQ588" s="35" t="s">
        <v>108</v>
      </c>
      <c r="BR588" s="36" t="e">
        <f>VLOOKUP(BQ588, Cat_Indicadores!B:C, 2, FALSE)</f>
        <v>#N/A</v>
      </c>
      <c r="BS588" s="35" t="s">
        <v>5592</v>
      </c>
      <c r="BT588" s="35"/>
    </row>
    <row r="589" spans="1:72">
      <c r="A589" s="29" t="s">
        <v>2429</v>
      </c>
      <c r="B589" s="30" t="s">
        <v>2430</v>
      </c>
      <c r="C589" s="38">
        <v>46318.502511574072</v>
      </c>
      <c r="D589" s="30">
        <v>92</v>
      </c>
      <c r="E589" s="30" t="s">
        <v>74</v>
      </c>
      <c r="F589" s="30" t="s">
        <v>75</v>
      </c>
      <c r="G589" s="30" t="s">
        <v>133</v>
      </c>
      <c r="H589" s="30" t="s">
        <v>77</v>
      </c>
      <c r="I589" s="30" t="s">
        <v>78</v>
      </c>
      <c r="J589" s="30" t="s">
        <v>79</v>
      </c>
      <c r="K589" s="32">
        <v>800</v>
      </c>
      <c r="L589" s="32" t="s">
        <v>211</v>
      </c>
      <c r="M589" s="30" t="s">
        <v>2431</v>
      </c>
      <c r="N589" s="30" t="s">
        <v>2432</v>
      </c>
      <c r="O589" s="30" t="s">
        <v>83</v>
      </c>
      <c r="P589" s="33">
        <v>46270</v>
      </c>
      <c r="Q589" s="33">
        <v>46270</v>
      </c>
      <c r="R589" s="32">
        <v>1</v>
      </c>
      <c r="S589" s="30" t="s">
        <v>84</v>
      </c>
      <c r="T589" s="30" t="s">
        <v>337</v>
      </c>
      <c r="U589" s="30" t="s">
        <v>86</v>
      </c>
      <c r="V589" s="30" t="s">
        <v>87</v>
      </c>
      <c r="W589" s="30" t="s">
        <v>88</v>
      </c>
      <c r="X589" s="30" t="s">
        <v>197</v>
      </c>
      <c r="Y589" s="30" t="s">
        <v>1288</v>
      </c>
      <c r="AB589" s="30" t="b">
        <v>0</v>
      </c>
      <c r="AC589" s="30"/>
      <c r="AD589" s="30" t="b">
        <v>0</v>
      </c>
      <c r="AF589" s="30" t="b">
        <v>0</v>
      </c>
      <c r="AH589" s="32" t="s">
        <v>91</v>
      </c>
      <c r="AI589" s="32"/>
      <c r="AJ589" s="32"/>
      <c r="AK589" s="32"/>
      <c r="AL589" s="30" t="s">
        <v>92</v>
      </c>
      <c r="AM589" s="30" t="s">
        <v>93</v>
      </c>
      <c r="AN589" s="30" t="s">
        <v>199</v>
      </c>
      <c r="AO589" s="30" t="s">
        <v>200</v>
      </c>
      <c r="AP589" s="30" t="s">
        <v>201</v>
      </c>
      <c r="AQ589" s="30" t="s">
        <v>202</v>
      </c>
      <c r="AR589" s="30" t="s">
        <v>145</v>
      </c>
      <c r="AT589" s="30" t="s">
        <v>99</v>
      </c>
      <c r="AU589" s="30" t="s">
        <v>100</v>
      </c>
      <c r="AV589" s="30" t="s">
        <v>101</v>
      </c>
      <c r="AW589" s="30" t="s">
        <v>102</v>
      </c>
      <c r="AX589" s="34" t="s">
        <v>86</v>
      </c>
      <c r="AY589" s="34" t="s">
        <v>149</v>
      </c>
      <c r="AZ589" s="34" t="s">
        <v>149</v>
      </c>
      <c r="BA589" s="34"/>
      <c r="BB589" s="34"/>
      <c r="BC589" s="34">
        <v>0</v>
      </c>
      <c r="BD589" s="34"/>
      <c r="BE589" s="34"/>
      <c r="BF589" s="34" t="b">
        <v>0</v>
      </c>
      <c r="BG589" s="34"/>
      <c r="BH589" s="34"/>
      <c r="BI589" s="34"/>
      <c r="BJ589" s="34"/>
      <c r="BK589" s="34"/>
      <c r="BL589" s="34"/>
      <c r="BM589" s="34" t="s">
        <v>168</v>
      </c>
      <c r="BN589" s="34"/>
      <c r="BO589" s="35"/>
      <c r="BP589" s="35"/>
      <c r="BQ589" s="35" t="s">
        <v>108</v>
      </c>
      <c r="BR589" s="36" t="e">
        <f>VLOOKUP(BQ589, Cat_Indicadores!B:C, 2, FALSE)</f>
        <v>#N/A</v>
      </c>
      <c r="BS589" s="35" t="s">
        <v>5592</v>
      </c>
      <c r="BT589" s="35"/>
    </row>
    <row r="590" spans="1:72">
      <c r="A590" s="29" t="s">
        <v>2433</v>
      </c>
      <c r="B590" s="30" t="s">
        <v>2434</v>
      </c>
      <c r="C590" s="38">
        <v>46318.505312499998</v>
      </c>
      <c r="D590" s="30">
        <v>92</v>
      </c>
      <c r="E590" s="30" t="s">
        <v>74</v>
      </c>
      <c r="F590" s="30" t="s">
        <v>75</v>
      </c>
      <c r="G590" s="30" t="s">
        <v>133</v>
      </c>
      <c r="H590" s="30" t="s">
        <v>77</v>
      </c>
      <c r="I590" s="30" t="s">
        <v>78</v>
      </c>
      <c r="J590" s="30" t="s">
        <v>79</v>
      </c>
      <c r="K590" s="32">
        <v>800</v>
      </c>
      <c r="L590" s="32" t="s">
        <v>211</v>
      </c>
      <c r="M590" s="30" t="s">
        <v>2431</v>
      </c>
      <c r="N590" s="30" t="s">
        <v>2432</v>
      </c>
      <c r="O590" s="30" t="s">
        <v>83</v>
      </c>
      <c r="P590" s="33">
        <v>46271</v>
      </c>
      <c r="Q590" s="33">
        <v>46271</v>
      </c>
      <c r="R590" s="32">
        <v>1</v>
      </c>
      <c r="S590" s="30" t="s">
        <v>84</v>
      </c>
      <c r="T590" s="30" t="s">
        <v>337</v>
      </c>
      <c r="U590" s="30" t="s">
        <v>86</v>
      </c>
      <c r="V590" s="30" t="s">
        <v>87</v>
      </c>
      <c r="W590" s="30" t="s">
        <v>88</v>
      </c>
      <c r="X590" s="30" t="s">
        <v>197</v>
      </c>
      <c r="Y590" s="30" t="s">
        <v>1288</v>
      </c>
      <c r="AB590" s="30" t="b">
        <v>0</v>
      </c>
      <c r="AC590" s="30"/>
      <c r="AD590" s="30" t="b">
        <v>0</v>
      </c>
      <c r="AF590" s="30" t="b">
        <v>0</v>
      </c>
      <c r="AH590" s="32" t="s">
        <v>91</v>
      </c>
      <c r="AI590" s="32"/>
      <c r="AJ590" s="32"/>
      <c r="AK590" s="32"/>
      <c r="AL590" s="30" t="s">
        <v>92</v>
      </c>
      <c r="AM590" s="30" t="s">
        <v>93</v>
      </c>
      <c r="AN590" s="30" t="s">
        <v>199</v>
      </c>
      <c r="AO590" s="30" t="s">
        <v>200</v>
      </c>
      <c r="AP590" s="30" t="s">
        <v>201</v>
      </c>
      <c r="AQ590" s="30" t="s">
        <v>202</v>
      </c>
      <c r="AR590" s="30" t="s">
        <v>145</v>
      </c>
      <c r="AT590" s="30" t="s">
        <v>99</v>
      </c>
      <c r="AU590" s="30" t="s">
        <v>100</v>
      </c>
      <c r="AV590" s="30" t="s">
        <v>101</v>
      </c>
      <c r="AW590" s="30" t="s">
        <v>102</v>
      </c>
      <c r="AX590" s="34" t="s">
        <v>86</v>
      </c>
      <c r="AY590" s="34" t="s">
        <v>149</v>
      </c>
      <c r="AZ590" s="34" t="s">
        <v>149</v>
      </c>
      <c r="BA590" s="34"/>
      <c r="BB590" s="34"/>
      <c r="BC590" s="34">
        <v>0</v>
      </c>
      <c r="BD590" s="34"/>
      <c r="BE590" s="34"/>
      <c r="BF590" s="34" t="b">
        <v>0</v>
      </c>
      <c r="BG590" s="34"/>
      <c r="BH590" s="34"/>
      <c r="BI590" s="34"/>
      <c r="BJ590" s="34"/>
      <c r="BK590" s="34"/>
      <c r="BL590" s="34"/>
      <c r="BM590" s="34" t="s">
        <v>168</v>
      </c>
      <c r="BN590" s="34"/>
      <c r="BO590" s="35"/>
      <c r="BP590" s="35"/>
      <c r="BQ590" s="35" t="s">
        <v>108</v>
      </c>
      <c r="BR590" s="36" t="e">
        <f>VLOOKUP(BQ590, Cat_Indicadores!B:C, 2, FALSE)</f>
        <v>#N/A</v>
      </c>
      <c r="BS590" s="35" t="s">
        <v>5592</v>
      </c>
      <c r="BT590" s="35"/>
    </row>
    <row r="591" spans="1:72">
      <c r="A591" s="29" t="s">
        <v>2435</v>
      </c>
      <c r="B591" s="30" t="s">
        <v>2436</v>
      </c>
      <c r="C591" s="38">
        <v>46318.510335648149</v>
      </c>
      <c r="D591" s="30">
        <v>92</v>
      </c>
      <c r="E591" s="30" t="s">
        <v>74</v>
      </c>
      <c r="F591" s="30" t="s">
        <v>75</v>
      </c>
      <c r="G591" s="30" t="s">
        <v>133</v>
      </c>
      <c r="H591" s="30" t="s">
        <v>77</v>
      </c>
      <c r="I591" s="30" t="s">
        <v>78</v>
      </c>
      <c r="J591" s="30" t="s">
        <v>79</v>
      </c>
      <c r="K591" s="32">
        <v>800</v>
      </c>
      <c r="L591" s="32" t="s">
        <v>211</v>
      </c>
      <c r="M591" s="30" t="s">
        <v>2425</v>
      </c>
      <c r="N591" s="30" t="s">
        <v>820</v>
      </c>
      <c r="O591" s="30" t="s">
        <v>83</v>
      </c>
      <c r="P591" s="33">
        <v>46277</v>
      </c>
      <c r="Q591" s="33">
        <v>46277</v>
      </c>
      <c r="R591" s="32">
        <v>1</v>
      </c>
      <c r="S591" s="30" t="s">
        <v>84</v>
      </c>
      <c r="T591" s="30" t="s">
        <v>337</v>
      </c>
      <c r="U591" s="30" t="s">
        <v>86</v>
      </c>
      <c r="V591" s="30" t="s">
        <v>87</v>
      </c>
      <c r="W591" s="30" t="s">
        <v>88</v>
      </c>
      <c r="X591" s="30" t="s">
        <v>197</v>
      </c>
      <c r="Y591" s="30" t="s">
        <v>1275</v>
      </c>
      <c r="AB591" s="30" t="b">
        <v>0</v>
      </c>
      <c r="AC591" s="30"/>
      <c r="AD591" s="30" t="b">
        <v>0</v>
      </c>
      <c r="AF591" s="30" t="b">
        <v>0</v>
      </c>
      <c r="AH591" s="32" t="s">
        <v>91</v>
      </c>
      <c r="AI591" s="32"/>
      <c r="AJ591" s="32"/>
      <c r="AK591" s="32"/>
      <c r="AL591" s="30" t="s">
        <v>92</v>
      </c>
      <c r="AM591" s="30" t="s">
        <v>93</v>
      </c>
      <c r="AN591" s="30" t="s">
        <v>199</v>
      </c>
      <c r="AO591" s="30" t="s">
        <v>200</v>
      </c>
      <c r="AP591" s="30" t="s">
        <v>201</v>
      </c>
      <c r="AQ591" s="30" t="s">
        <v>202</v>
      </c>
      <c r="AR591" s="30" t="s">
        <v>145</v>
      </c>
      <c r="AT591" s="30" t="s">
        <v>99</v>
      </c>
      <c r="AU591" s="30" t="s">
        <v>100</v>
      </c>
      <c r="AV591" s="30" t="s">
        <v>101</v>
      </c>
      <c r="AW591" s="30" t="s">
        <v>102</v>
      </c>
      <c r="AX591" s="34" t="s">
        <v>86</v>
      </c>
      <c r="AY591" s="34" t="s">
        <v>149</v>
      </c>
      <c r="AZ591" s="34" t="s">
        <v>149</v>
      </c>
      <c r="BA591" s="34"/>
      <c r="BB591" s="34"/>
      <c r="BC591" s="34">
        <v>0</v>
      </c>
      <c r="BD591" s="34"/>
      <c r="BE591" s="34"/>
      <c r="BF591" s="34" t="b">
        <v>0</v>
      </c>
      <c r="BG591" s="34"/>
      <c r="BH591" s="34"/>
      <c r="BI591" s="34"/>
      <c r="BJ591" s="34"/>
      <c r="BK591" s="34"/>
      <c r="BL591" s="34"/>
      <c r="BM591" s="34" t="s">
        <v>168</v>
      </c>
      <c r="BN591" s="34"/>
      <c r="BO591" s="35"/>
      <c r="BP591" s="35"/>
      <c r="BQ591" s="35" t="s">
        <v>108</v>
      </c>
      <c r="BR591" s="36" t="e">
        <f>VLOOKUP(BQ591, Cat_Indicadores!B:C, 2, FALSE)</f>
        <v>#N/A</v>
      </c>
      <c r="BS591" s="35" t="s">
        <v>5592</v>
      </c>
      <c r="BT591" s="35"/>
    </row>
    <row r="592" spans="1:72">
      <c r="A592" s="29" t="s">
        <v>2437</v>
      </c>
      <c r="B592" s="30" t="s">
        <v>2438</v>
      </c>
      <c r="C592" s="38">
        <v>46318.518796296295</v>
      </c>
      <c r="D592" s="30">
        <v>92</v>
      </c>
      <c r="E592" s="30" t="s">
        <v>74</v>
      </c>
      <c r="F592" s="30" t="s">
        <v>75</v>
      </c>
      <c r="G592" s="30" t="s">
        <v>133</v>
      </c>
      <c r="H592" s="30" t="s">
        <v>77</v>
      </c>
      <c r="I592" s="30" t="s">
        <v>78</v>
      </c>
      <c r="J592" s="30" t="s">
        <v>79</v>
      </c>
      <c r="K592" s="32">
        <v>800</v>
      </c>
      <c r="L592" s="32" t="s">
        <v>211</v>
      </c>
      <c r="M592" s="30" t="s">
        <v>555</v>
      </c>
      <c r="N592" s="30" t="s">
        <v>2428</v>
      </c>
      <c r="O592" s="30" t="s">
        <v>83</v>
      </c>
      <c r="P592" s="33">
        <v>46277</v>
      </c>
      <c r="Q592" s="33">
        <v>46277</v>
      </c>
      <c r="R592" s="32">
        <v>1</v>
      </c>
      <c r="S592" s="30" t="s">
        <v>84</v>
      </c>
      <c r="T592" s="30" t="s">
        <v>337</v>
      </c>
      <c r="U592" s="30" t="s">
        <v>86</v>
      </c>
      <c r="V592" s="30" t="s">
        <v>87</v>
      </c>
      <c r="W592" s="30" t="s">
        <v>88</v>
      </c>
      <c r="X592" s="30" t="s">
        <v>197</v>
      </c>
      <c r="Y592" s="30" t="s">
        <v>1282</v>
      </c>
      <c r="AB592" s="30" t="b">
        <v>0</v>
      </c>
      <c r="AC592" s="30"/>
      <c r="AD592" s="30" t="b">
        <v>0</v>
      </c>
      <c r="AF592" s="30" t="b">
        <v>0</v>
      </c>
      <c r="AH592" s="32" t="s">
        <v>91</v>
      </c>
      <c r="AI592" s="32"/>
      <c r="AJ592" s="32"/>
      <c r="AK592" s="32"/>
      <c r="AL592" s="30" t="s">
        <v>92</v>
      </c>
      <c r="AM592" s="30" t="s">
        <v>93</v>
      </c>
      <c r="AN592" s="30" t="s">
        <v>199</v>
      </c>
      <c r="AO592" s="30" t="s">
        <v>200</v>
      </c>
      <c r="AP592" s="30" t="s">
        <v>201</v>
      </c>
      <c r="AQ592" s="30" t="s">
        <v>202</v>
      </c>
      <c r="AR592" s="30" t="s">
        <v>145</v>
      </c>
      <c r="AT592" s="30" t="s">
        <v>99</v>
      </c>
      <c r="AU592" s="30" t="s">
        <v>100</v>
      </c>
      <c r="AV592" s="30" t="s">
        <v>101</v>
      </c>
      <c r="AW592" s="30" t="s">
        <v>102</v>
      </c>
      <c r="AX592" s="34" t="s">
        <v>86</v>
      </c>
      <c r="AY592" s="34" t="s">
        <v>149</v>
      </c>
      <c r="AZ592" s="34" t="s">
        <v>149</v>
      </c>
      <c r="BA592" s="34"/>
      <c r="BB592" s="34"/>
      <c r="BC592" s="34">
        <v>0</v>
      </c>
      <c r="BD592" s="34"/>
      <c r="BE592" s="34"/>
      <c r="BF592" s="34" t="b">
        <v>0</v>
      </c>
      <c r="BG592" s="34"/>
      <c r="BH592" s="34"/>
      <c r="BI592" s="34"/>
      <c r="BJ592" s="34"/>
      <c r="BK592" s="34"/>
      <c r="BL592" s="34"/>
      <c r="BM592" s="34" t="s">
        <v>168</v>
      </c>
      <c r="BN592" s="34"/>
      <c r="BO592" s="35"/>
      <c r="BP592" s="35"/>
      <c r="BQ592" s="35" t="s">
        <v>108</v>
      </c>
      <c r="BR592" s="36" t="e">
        <f>VLOOKUP(BQ592, Cat_Indicadores!B:C, 2, FALSE)</f>
        <v>#N/A</v>
      </c>
      <c r="BS592" s="35" t="s">
        <v>5592</v>
      </c>
      <c r="BT592" s="35"/>
    </row>
    <row r="593" spans="1:72">
      <c r="A593" s="29" t="s">
        <v>2439</v>
      </c>
      <c r="B593" s="30" t="s">
        <v>2440</v>
      </c>
      <c r="C593" s="38">
        <v>46318.527581018519</v>
      </c>
      <c r="D593" s="30">
        <v>92</v>
      </c>
      <c r="E593" s="30" t="s">
        <v>74</v>
      </c>
      <c r="F593" s="30" t="s">
        <v>75</v>
      </c>
      <c r="G593" s="30" t="s">
        <v>133</v>
      </c>
      <c r="H593" s="30" t="s">
        <v>77</v>
      </c>
      <c r="I593" s="30" t="s">
        <v>78</v>
      </c>
      <c r="J593" s="30" t="s">
        <v>79</v>
      </c>
      <c r="K593" s="32">
        <v>800</v>
      </c>
      <c r="L593" s="32" t="s">
        <v>211</v>
      </c>
      <c r="M593" s="30" t="s">
        <v>2431</v>
      </c>
      <c r="N593" s="30" t="s">
        <v>2432</v>
      </c>
      <c r="O593" s="30" t="s">
        <v>83</v>
      </c>
      <c r="P593" s="33">
        <v>46277</v>
      </c>
      <c r="Q593" s="33">
        <v>46277</v>
      </c>
      <c r="R593" s="32">
        <v>1</v>
      </c>
      <c r="S593" s="30" t="s">
        <v>84</v>
      </c>
      <c r="T593" s="30" t="s">
        <v>337</v>
      </c>
      <c r="U593" s="30" t="s">
        <v>86</v>
      </c>
      <c r="V593" s="30" t="s">
        <v>87</v>
      </c>
      <c r="W593" s="30" t="s">
        <v>88</v>
      </c>
      <c r="X593" s="30" t="s">
        <v>197</v>
      </c>
      <c r="Y593" s="30" t="s">
        <v>1288</v>
      </c>
      <c r="AB593" s="30" t="b">
        <v>0</v>
      </c>
      <c r="AC593" s="30"/>
      <c r="AD593" s="30" t="b">
        <v>0</v>
      </c>
      <c r="AF593" s="30" t="b">
        <v>0</v>
      </c>
      <c r="AH593" s="32" t="s">
        <v>91</v>
      </c>
      <c r="AI593" s="32"/>
      <c r="AJ593" s="32"/>
      <c r="AK593" s="32"/>
      <c r="AL593" s="30" t="s">
        <v>92</v>
      </c>
      <c r="AM593" s="30" t="s">
        <v>93</v>
      </c>
      <c r="AN593" s="30" t="s">
        <v>199</v>
      </c>
      <c r="AO593" s="30" t="s">
        <v>200</v>
      </c>
      <c r="AP593" s="30" t="s">
        <v>201</v>
      </c>
      <c r="AQ593" s="30" t="s">
        <v>202</v>
      </c>
      <c r="AR593" s="30" t="s">
        <v>145</v>
      </c>
      <c r="AT593" s="30" t="s">
        <v>99</v>
      </c>
      <c r="AU593" s="30" t="s">
        <v>100</v>
      </c>
      <c r="AV593" s="30" t="s">
        <v>101</v>
      </c>
      <c r="AW593" s="30" t="s">
        <v>102</v>
      </c>
      <c r="AX593" s="34" t="s">
        <v>86</v>
      </c>
      <c r="AY593" s="34" t="s">
        <v>149</v>
      </c>
      <c r="AZ593" s="34" t="s">
        <v>149</v>
      </c>
      <c r="BA593" s="34"/>
      <c r="BB593" s="34"/>
      <c r="BC593" s="34">
        <v>0</v>
      </c>
      <c r="BD593" s="34"/>
      <c r="BE593" s="34"/>
      <c r="BF593" s="34" t="b">
        <v>0</v>
      </c>
      <c r="BG593" s="34"/>
      <c r="BH593" s="34"/>
      <c r="BI593" s="34"/>
      <c r="BJ593" s="34"/>
      <c r="BK593" s="34"/>
      <c r="BL593" s="34"/>
      <c r="BM593" s="34" t="s">
        <v>168</v>
      </c>
      <c r="BN593" s="34"/>
      <c r="BO593" s="35"/>
      <c r="BP593" s="35"/>
      <c r="BQ593" s="35" t="s">
        <v>108</v>
      </c>
      <c r="BR593" s="36" t="e">
        <f>VLOOKUP(BQ593, Cat_Indicadores!B:C, 2, FALSE)</f>
        <v>#N/A</v>
      </c>
      <c r="BS593" s="35" t="s">
        <v>5592</v>
      </c>
      <c r="BT593" s="35"/>
    </row>
    <row r="594" spans="1:72">
      <c r="A594" s="29" t="s">
        <v>2441</v>
      </c>
      <c r="B594" s="30" t="s">
        <v>2442</v>
      </c>
      <c r="C594" s="38">
        <v>46318.535046296296</v>
      </c>
      <c r="D594" s="30">
        <v>92</v>
      </c>
      <c r="E594" s="30" t="s">
        <v>74</v>
      </c>
      <c r="F594" s="30" t="s">
        <v>75</v>
      </c>
      <c r="G594" s="30" t="s">
        <v>133</v>
      </c>
      <c r="H594" s="30" t="s">
        <v>77</v>
      </c>
      <c r="I594" s="30" t="s">
        <v>78</v>
      </c>
      <c r="J594" s="30" t="s">
        <v>79</v>
      </c>
      <c r="K594" s="32">
        <v>800</v>
      </c>
      <c r="L594" s="32" t="s">
        <v>211</v>
      </c>
      <c r="M594" s="30" t="s">
        <v>2431</v>
      </c>
      <c r="N594" s="30" t="s">
        <v>2432</v>
      </c>
      <c r="O594" s="30" t="s">
        <v>83</v>
      </c>
      <c r="P594" s="33">
        <v>46278</v>
      </c>
      <c r="Q594" s="33">
        <v>46278</v>
      </c>
      <c r="R594" s="32">
        <v>1</v>
      </c>
      <c r="S594" s="30" t="s">
        <v>84</v>
      </c>
      <c r="T594" s="30" t="s">
        <v>337</v>
      </c>
      <c r="U594" s="30" t="s">
        <v>86</v>
      </c>
      <c r="V594" s="30" t="s">
        <v>87</v>
      </c>
      <c r="W594" s="30" t="s">
        <v>88</v>
      </c>
      <c r="X594" s="30" t="s">
        <v>197</v>
      </c>
      <c r="Y594" s="30" t="s">
        <v>1288</v>
      </c>
      <c r="AB594" s="30" t="b">
        <v>0</v>
      </c>
      <c r="AC594" s="30"/>
      <c r="AD594" s="30" t="b">
        <v>0</v>
      </c>
      <c r="AF594" s="30" t="b">
        <v>0</v>
      </c>
      <c r="AH594" s="32" t="s">
        <v>91</v>
      </c>
      <c r="AI594" s="32"/>
      <c r="AJ594" s="32"/>
      <c r="AK594" s="32"/>
      <c r="AL594" s="30" t="s">
        <v>92</v>
      </c>
      <c r="AM594" s="30" t="s">
        <v>93</v>
      </c>
      <c r="AN594" s="30" t="s">
        <v>199</v>
      </c>
      <c r="AO594" s="30" t="s">
        <v>200</v>
      </c>
      <c r="AP594" s="30" t="s">
        <v>201</v>
      </c>
      <c r="AQ594" s="30" t="s">
        <v>202</v>
      </c>
      <c r="AR594" s="30" t="s">
        <v>145</v>
      </c>
      <c r="AT594" s="30" t="s">
        <v>99</v>
      </c>
      <c r="AU594" s="30" t="s">
        <v>100</v>
      </c>
      <c r="AV594" s="30" t="s">
        <v>101</v>
      </c>
      <c r="AW594" s="30" t="s">
        <v>102</v>
      </c>
      <c r="AX594" s="34" t="s">
        <v>86</v>
      </c>
      <c r="AY594" s="34" t="s">
        <v>149</v>
      </c>
      <c r="AZ594" s="34" t="s">
        <v>149</v>
      </c>
      <c r="BA594" s="34"/>
      <c r="BB594" s="34"/>
      <c r="BC594" s="34">
        <v>0</v>
      </c>
      <c r="BD594" s="34"/>
      <c r="BE594" s="34"/>
      <c r="BF594" s="34" t="b">
        <v>0</v>
      </c>
      <c r="BG594" s="34"/>
      <c r="BH594" s="34"/>
      <c r="BI594" s="34"/>
      <c r="BJ594" s="34"/>
      <c r="BK594" s="34"/>
      <c r="BL594" s="34"/>
      <c r="BM594" s="34" t="s">
        <v>168</v>
      </c>
      <c r="BN594" s="34"/>
      <c r="BO594" s="35"/>
      <c r="BP594" s="35"/>
      <c r="BQ594" s="35" t="s">
        <v>108</v>
      </c>
      <c r="BR594" s="36" t="e">
        <f>VLOOKUP(BQ594, Cat_Indicadores!B:C, 2, FALSE)</f>
        <v>#N/A</v>
      </c>
      <c r="BS594" s="35" t="s">
        <v>5592</v>
      </c>
      <c r="BT594" s="35"/>
    </row>
    <row r="595" spans="1:72">
      <c r="A595" s="29" t="s">
        <v>2443</v>
      </c>
      <c r="B595" s="30" t="s">
        <v>2444</v>
      </c>
      <c r="C595" s="38">
        <v>46318.59002314815</v>
      </c>
      <c r="D595" s="30">
        <v>92</v>
      </c>
      <c r="E595" s="30" t="s">
        <v>74</v>
      </c>
      <c r="F595" s="30" t="s">
        <v>75</v>
      </c>
      <c r="G595" s="30" t="s">
        <v>133</v>
      </c>
      <c r="H595" s="30" t="s">
        <v>77</v>
      </c>
      <c r="I595" s="30" t="s">
        <v>78</v>
      </c>
      <c r="J595" s="30" t="s">
        <v>79</v>
      </c>
      <c r="K595" s="32">
        <v>800</v>
      </c>
      <c r="L595" s="32" t="s">
        <v>211</v>
      </c>
      <c r="M595" s="30" t="s">
        <v>2445</v>
      </c>
      <c r="N595" s="30" t="s">
        <v>2446</v>
      </c>
      <c r="O595" s="30" t="s">
        <v>83</v>
      </c>
      <c r="P595" s="33">
        <v>46278</v>
      </c>
      <c r="Q595" s="33">
        <v>46278</v>
      </c>
      <c r="R595" s="32">
        <v>1</v>
      </c>
      <c r="S595" s="30" t="s">
        <v>84</v>
      </c>
      <c r="T595" s="30" t="s">
        <v>337</v>
      </c>
      <c r="U595" s="30" t="s">
        <v>221</v>
      </c>
      <c r="V595" s="30" t="s">
        <v>87</v>
      </c>
      <c r="W595" s="30" t="s">
        <v>88</v>
      </c>
      <c r="X595" s="30" t="s">
        <v>197</v>
      </c>
      <c r="Y595" s="30" t="s">
        <v>1288</v>
      </c>
      <c r="AB595" s="30" t="b">
        <v>0</v>
      </c>
      <c r="AC595" s="30"/>
      <c r="AD595" s="30" t="b">
        <v>0</v>
      </c>
      <c r="AF595" s="30" t="b">
        <v>0</v>
      </c>
      <c r="AH595" s="32" t="s">
        <v>91</v>
      </c>
      <c r="AI595" s="32"/>
      <c r="AJ595" s="32"/>
      <c r="AK595" s="32"/>
      <c r="AL595" s="30" t="s">
        <v>92</v>
      </c>
      <c r="AM595" s="30" t="s">
        <v>93</v>
      </c>
      <c r="AN595" s="30" t="s">
        <v>199</v>
      </c>
      <c r="AO595" s="30" t="s">
        <v>200</v>
      </c>
      <c r="AP595" s="30" t="s">
        <v>201</v>
      </c>
      <c r="AQ595" s="30" t="s">
        <v>202</v>
      </c>
      <c r="AR595" s="30" t="s">
        <v>145</v>
      </c>
      <c r="AT595" s="30" t="s">
        <v>99</v>
      </c>
      <c r="AU595" s="30" t="s">
        <v>100</v>
      </c>
      <c r="AV595" s="30" t="s">
        <v>101</v>
      </c>
      <c r="AW595" s="30" t="s">
        <v>102</v>
      </c>
      <c r="AX595" s="34" t="s">
        <v>221</v>
      </c>
      <c r="AY595" s="34" t="s">
        <v>149</v>
      </c>
      <c r="AZ595" s="34" t="s">
        <v>149</v>
      </c>
      <c r="BA595" s="34"/>
      <c r="BB595" s="34"/>
      <c r="BC595" s="34">
        <v>0</v>
      </c>
      <c r="BD595" s="34"/>
      <c r="BE595" s="34"/>
      <c r="BF595" s="34" t="b">
        <v>0</v>
      </c>
      <c r="BG595" s="34"/>
      <c r="BH595" s="34"/>
      <c r="BI595" s="34"/>
      <c r="BJ595" s="34"/>
      <c r="BK595" s="34"/>
      <c r="BL595" s="34"/>
      <c r="BM595" s="34" t="s">
        <v>168</v>
      </c>
      <c r="BN595" s="34"/>
      <c r="BO595" s="35"/>
      <c r="BP595" s="35"/>
      <c r="BQ595" s="35" t="s">
        <v>108</v>
      </c>
      <c r="BR595" s="36" t="e">
        <f>VLOOKUP(BQ595, Cat_Indicadores!B:C, 2, FALSE)</f>
        <v>#N/A</v>
      </c>
      <c r="BS595" s="35" t="s">
        <v>5592</v>
      </c>
      <c r="BT595" s="35"/>
    </row>
    <row r="596" spans="1:72">
      <c r="A596" s="29" t="s">
        <v>2447</v>
      </c>
      <c r="B596" s="30" t="s">
        <v>2448</v>
      </c>
      <c r="C596" s="38">
        <v>46318.594537037039</v>
      </c>
      <c r="D596" s="30">
        <v>92</v>
      </c>
      <c r="E596" s="30" t="s">
        <v>74</v>
      </c>
      <c r="F596" s="30" t="s">
        <v>75</v>
      </c>
      <c r="G596" s="30" t="s">
        <v>133</v>
      </c>
      <c r="H596" s="30" t="s">
        <v>77</v>
      </c>
      <c r="I596" s="30" t="s">
        <v>78</v>
      </c>
      <c r="J596" s="30" t="s">
        <v>79</v>
      </c>
      <c r="K596" s="32">
        <v>800</v>
      </c>
      <c r="L596" s="32" t="s">
        <v>211</v>
      </c>
      <c r="M596" s="30" t="s">
        <v>2449</v>
      </c>
      <c r="N596" s="30" t="s">
        <v>2450</v>
      </c>
      <c r="O596" s="30" t="s">
        <v>83</v>
      </c>
      <c r="P596" s="33">
        <v>46282</v>
      </c>
      <c r="Q596" s="33">
        <v>46282</v>
      </c>
      <c r="R596" s="32">
        <v>1</v>
      </c>
      <c r="S596" s="30" t="s">
        <v>84</v>
      </c>
      <c r="T596" s="30" t="s">
        <v>337</v>
      </c>
      <c r="U596" s="30" t="s">
        <v>221</v>
      </c>
      <c r="V596" s="30" t="s">
        <v>87</v>
      </c>
      <c r="W596" s="30" t="s">
        <v>88</v>
      </c>
      <c r="X596" s="30" t="s">
        <v>197</v>
      </c>
      <c r="Y596" s="30" t="s">
        <v>1282</v>
      </c>
      <c r="AB596" s="30" t="b">
        <v>0</v>
      </c>
      <c r="AC596" s="30"/>
      <c r="AD596" s="30" t="b">
        <v>0</v>
      </c>
      <c r="AF596" s="30" t="b">
        <v>0</v>
      </c>
      <c r="AH596" s="32" t="s">
        <v>91</v>
      </c>
      <c r="AI596" s="32"/>
      <c r="AJ596" s="32"/>
      <c r="AK596" s="32"/>
      <c r="AL596" s="30" t="s">
        <v>92</v>
      </c>
      <c r="AM596" s="30" t="s">
        <v>93</v>
      </c>
      <c r="AN596" s="30" t="s">
        <v>199</v>
      </c>
      <c r="AO596" s="30" t="s">
        <v>200</v>
      </c>
      <c r="AP596" s="30" t="s">
        <v>201</v>
      </c>
      <c r="AQ596" s="30" t="s">
        <v>202</v>
      </c>
      <c r="AR596" s="30" t="s">
        <v>145</v>
      </c>
      <c r="AT596" s="30" t="s">
        <v>99</v>
      </c>
      <c r="AU596" s="30" t="s">
        <v>100</v>
      </c>
      <c r="AV596" s="30" t="s">
        <v>101</v>
      </c>
      <c r="AW596" s="30" t="s">
        <v>102</v>
      </c>
      <c r="AX596" s="34" t="s">
        <v>221</v>
      </c>
      <c r="AY596" s="34" t="s">
        <v>149</v>
      </c>
      <c r="AZ596" s="34" t="s">
        <v>149</v>
      </c>
      <c r="BA596" s="34"/>
      <c r="BB596" s="34"/>
      <c r="BC596" s="34">
        <v>0</v>
      </c>
      <c r="BD596" s="34"/>
      <c r="BE596" s="34"/>
      <c r="BF596" s="34" t="b">
        <v>0</v>
      </c>
      <c r="BG596" s="34"/>
      <c r="BH596" s="34"/>
      <c r="BI596" s="34"/>
      <c r="BJ596" s="34"/>
      <c r="BK596" s="34"/>
      <c r="BL596" s="34"/>
      <c r="BM596" s="34" t="s">
        <v>168</v>
      </c>
      <c r="BN596" s="34"/>
      <c r="BO596" s="35"/>
      <c r="BP596" s="35"/>
      <c r="BQ596" s="35" t="s">
        <v>108</v>
      </c>
      <c r="BR596" s="36" t="e">
        <f>VLOOKUP(BQ596, Cat_Indicadores!B:C, 2, FALSE)</f>
        <v>#N/A</v>
      </c>
      <c r="BS596" s="35" t="s">
        <v>5592</v>
      </c>
      <c r="BT596" s="35"/>
    </row>
    <row r="597" spans="1:72">
      <c r="A597" s="29" t="s">
        <v>2451</v>
      </c>
      <c r="B597" s="30" t="s">
        <v>2452</v>
      </c>
      <c r="C597" s="38">
        <v>46318.598437499997</v>
      </c>
      <c r="D597" s="30">
        <v>92</v>
      </c>
      <c r="E597" s="30" t="s">
        <v>74</v>
      </c>
      <c r="F597" s="30" t="s">
        <v>75</v>
      </c>
      <c r="G597" s="30" t="s">
        <v>133</v>
      </c>
      <c r="H597" s="30" t="s">
        <v>77</v>
      </c>
      <c r="I597" s="30" t="s">
        <v>78</v>
      </c>
      <c r="J597" s="30" t="s">
        <v>79</v>
      </c>
      <c r="K597" s="32">
        <v>800</v>
      </c>
      <c r="L597" s="32" t="s">
        <v>211</v>
      </c>
      <c r="M597" s="30" t="s">
        <v>2453</v>
      </c>
      <c r="N597" s="30" t="s">
        <v>2454</v>
      </c>
      <c r="O597" s="30" t="s">
        <v>83</v>
      </c>
      <c r="P597" s="33">
        <v>46283</v>
      </c>
      <c r="Q597" s="33">
        <v>46283</v>
      </c>
      <c r="R597" s="32">
        <v>1</v>
      </c>
      <c r="S597" s="30" t="s">
        <v>84</v>
      </c>
      <c r="T597" s="30" t="s">
        <v>337</v>
      </c>
      <c r="U597" s="30" t="s">
        <v>86</v>
      </c>
      <c r="V597" s="30" t="s">
        <v>87</v>
      </c>
      <c r="W597" s="30" t="s">
        <v>88</v>
      </c>
      <c r="X597" s="30" t="s">
        <v>197</v>
      </c>
      <c r="Y597" s="30" t="s">
        <v>1282</v>
      </c>
      <c r="AB597" s="30" t="b">
        <v>0</v>
      </c>
      <c r="AC597" s="30"/>
      <c r="AD597" s="30" t="b">
        <v>0</v>
      </c>
      <c r="AF597" s="30" t="b">
        <v>0</v>
      </c>
      <c r="AH597" s="32" t="s">
        <v>91</v>
      </c>
      <c r="AI597" s="32"/>
      <c r="AJ597" s="32"/>
      <c r="AK597" s="32"/>
      <c r="AL597" s="30" t="s">
        <v>92</v>
      </c>
      <c r="AM597" s="30" t="s">
        <v>93</v>
      </c>
      <c r="AN597" s="30" t="s">
        <v>199</v>
      </c>
      <c r="AO597" s="30" t="s">
        <v>200</v>
      </c>
      <c r="AP597" s="30" t="s">
        <v>201</v>
      </c>
      <c r="AQ597" s="30" t="s">
        <v>202</v>
      </c>
      <c r="AR597" s="30" t="s">
        <v>145</v>
      </c>
      <c r="AT597" s="30" t="s">
        <v>99</v>
      </c>
      <c r="AU597" s="30" t="s">
        <v>100</v>
      </c>
      <c r="AV597" s="30" t="s">
        <v>101</v>
      </c>
      <c r="AW597" s="30" t="s">
        <v>102</v>
      </c>
      <c r="AX597" s="34" t="s">
        <v>86</v>
      </c>
      <c r="AY597" s="34" t="s">
        <v>149</v>
      </c>
      <c r="AZ597" s="34" t="s">
        <v>149</v>
      </c>
      <c r="BA597" s="34"/>
      <c r="BB597" s="34"/>
      <c r="BC597" s="34">
        <v>0</v>
      </c>
      <c r="BD597" s="34"/>
      <c r="BE597" s="34"/>
      <c r="BF597" s="34" t="b">
        <v>0</v>
      </c>
      <c r="BG597" s="34"/>
      <c r="BH597" s="34"/>
      <c r="BI597" s="34"/>
      <c r="BJ597" s="34"/>
      <c r="BK597" s="34"/>
      <c r="BL597" s="34"/>
      <c r="BM597" s="34" t="s">
        <v>168</v>
      </c>
      <c r="BN597" s="34"/>
      <c r="BO597" s="35"/>
      <c r="BP597" s="35"/>
      <c r="BQ597" s="35" t="s">
        <v>108</v>
      </c>
      <c r="BR597" s="36" t="e">
        <f>VLOOKUP(BQ597, Cat_Indicadores!B:C, 2, FALSE)</f>
        <v>#N/A</v>
      </c>
      <c r="BS597" s="35" t="s">
        <v>5592</v>
      </c>
      <c r="BT597" s="35"/>
    </row>
    <row r="598" spans="1:72">
      <c r="A598" s="29" t="s">
        <v>2455</v>
      </c>
      <c r="B598" s="30" t="s">
        <v>2456</v>
      </c>
      <c r="C598" s="38">
        <v>46318.601759259262</v>
      </c>
      <c r="D598" s="30">
        <v>92</v>
      </c>
      <c r="E598" s="30" t="s">
        <v>74</v>
      </c>
      <c r="F598" s="30" t="s">
        <v>75</v>
      </c>
      <c r="G598" s="30" t="s">
        <v>133</v>
      </c>
      <c r="H598" s="30" t="s">
        <v>77</v>
      </c>
      <c r="I598" s="30" t="s">
        <v>78</v>
      </c>
      <c r="J598" s="30" t="s">
        <v>79</v>
      </c>
      <c r="K598" s="32">
        <v>800</v>
      </c>
      <c r="L598" s="32" t="s">
        <v>211</v>
      </c>
      <c r="M598" s="30" t="s">
        <v>555</v>
      </c>
      <c r="N598" s="30" t="s">
        <v>2428</v>
      </c>
      <c r="O598" s="30" t="s">
        <v>83</v>
      </c>
      <c r="P598" s="33">
        <v>46284</v>
      </c>
      <c r="Q598" s="33">
        <v>46284</v>
      </c>
      <c r="R598" s="32">
        <v>1</v>
      </c>
      <c r="S598" s="30" t="s">
        <v>84</v>
      </c>
      <c r="T598" s="30" t="s">
        <v>337</v>
      </c>
      <c r="U598" s="30" t="s">
        <v>86</v>
      </c>
      <c r="V598" s="30" t="s">
        <v>87</v>
      </c>
      <c r="W598" s="30" t="s">
        <v>88</v>
      </c>
      <c r="X598" s="30" t="s">
        <v>197</v>
      </c>
      <c r="Y598" s="30" t="s">
        <v>1282</v>
      </c>
      <c r="AB598" s="30" t="b">
        <v>0</v>
      </c>
      <c r="AC598" s="30"/>
      <c r="AD598" s="30" t="b">
        <v>0</v>
      </c>
      <c r="AF598" s="30" t="b">
        <v>0</v>
      </c>
      <c r="AH598" s="32" t="s">
        <v>91</v>
      </c>
      <c r="AI598" s="32"/>
      <c r="AJ598" s="32"/>
      <c r="AK598" s="32"/>
      <c r="AL598" s="30" t="s">
        <v>92</v>
      </c>
      <c r="AM598" s="30" t="s">
        <v>93</v>
      </c>
      <c r="AN598" s="30" t="s">
        <v>199</v>
      </c>
      <c r="AO598" s="30" t="s">
        <v>200</v>
      </c>
      <c r="AP598" s="30" t="s">
        <v>201</v>
      </c>
      <c r="AQ598" s="30" t="s">
        <v>202</v>
      </c>
      <c r="AR598" s="30" t="s">
        <v>145</v>
      </c>
      <c r="AT598" s="30" t="s">
        <v>99</v>
      </c>
      <c r="AU598" s="30" t="s">
        <v>100</v>
      </c>
      <c r="AV598" s="30" t="s">
        <v>101</v>
      </c>
      <c r="AW598" s="30" t="s">
        <v>102</v>
      </c>
      <c r="AX598" s="34" t="s">
        <v>86</v>
      </c>
      <c r="AY598" s="34" t="s">
        <v>149</v>
      </c>
      <c r="AZ598" s="34" t="s">
        <v>149</v>
      </c>
      <c r="BA598" s="34"/>
      <c r="BB598" s="34"/>
      <c r="BC598" s="34">
        <v>0</v>
      </c>
      <c r="BD598" s="34"/>
      <c r="BE598" s="34"/>
      <c r="BF598" s="34" t="b">
        <v>0</v>
      </c>
      <c r="BG598" s="34"/>
      <c r="BH598" s="34"/>
      <c r="BI598" s="34"/>
      <c r="BJ598" s="34"/>
      <c r="BK598" s="34"/>
      <c r="BL598" s="34"/>
      <c r="BM598" s="34" t="s">
        <v>168</v>
      </c>
      <c r="BN598" s="34"/>
      <c r="BO598" s="35"/>
      <c r="BP598" s="35"/>
      <c r="BQ598" s="35" t="s">
        <v>108</v>
      </c>
      <c r="BR598" s="36" t="e">
        <f>VLOOKUP(BQ598, Cat_Indicadores!B:C, 2, FALSE)</f>
        <v>#N/A</v>
      </c>
      <c r="BS598" s="35" t="s">
        <v>5592</v>
      </c>
      <c r="BT598" s="35"/>
    </row>
    <row r="599" spans="1:72">
      <c r="A599" s="29" t="s">
        <v>2457</v>
      </c>
      <c r="B599" s="30" t="s">
        <v>2458</v>
      </c>
      <c r="C599" s="38">
        <v>46318.609155092592</v>
      </c>
      <c r="D599" s="30">
        <v>92</v>
      </c>
      <c r="E599" s="30" t="s">
        <v>74</v>
      </c>
      <c r="F599" s="30" t="s">
        <v>75</v>
      </c>
      <c r="G599" s="30" t="s">
        <v>133</v>
      </c>
      <c r="H599" s="30" t="s">
        <v>77</v>
      </c>
      <c r="I599" s="30" t="s">
        <v>78</v>
      </c>
      <c r="J599" s="30" t="s">
        <v>79</v>
      </c>
      <c r="K599" s="32">
        <v>800</v>
      </c>
      <c r="L599" s="32" t="s">
        <v>211</v>
      </c>
      <c r="M599" s="30" t="s">
        <v>2425</v>
      </c>
      <c r="N599" s="30" t="s">
        <v>820</v>
      </c>
      <c r="O599" s="30" t="s">
        <v>83</v>
      </c>
      <c r="P599" s="33">
        <v>46284</v>
      </c>
      <c r="Q599" s="33">
        <v>46284</v>
      </c>
      <c r="R599" s="32">
        <v>1</v>
      </c>
      <c r="S599" s="30" t="s">
        <v>84</v>
      </c>
      <c r="T599" s="30" t="s">
        <v>337</v>
      </c>
      <c r="U599" s="30" t="s">
        <v>86</v>
      </c>
      <c r="V599" s="30" t="s">
        <v>87</v>
      </c>
      <c r="W599" s="30" t="s">
        <v>88</v>
      </c>
      <c r="X599" s="30" t="s">
        <v>197</v>
      </c>
      <c r="Y599" s="30" t="s">
        <v>1275</v>
      </c>
      <c r="AB599" s="30" t="b">
        <v>0</v>
      </c>
      <c r="AC599" s="30"/>
      <c r="AD599" s="30" t="b">
        <v>0</v>
      </c>
      <c r="AF599" s="30" t="b">
        <v>0</v>
      </c>
      <c r="AH599" s="32" t="s">
        <v>91</v>
      </c>
      <c r="AI599" s="32"/>
      <c r="AJ599" s="32"/>
      <c r="AK599" s="32"/>
      <c r="AL599" s="30" t="s">
        <v>92</v>
      </c>
      <c r="AM599" s="30" t="s">
        <v>93</v>
      </c>
      <c r="AN599" s="30" t="s">
        <v>199</v>
      </c>
      <c r="AO599" s="30" t="s">
        <v>200</v>
      </c>
      <c r="AP599" s="30" t="s">
        <v>201</v>
      </c>
      <c r="AQ599" s="30" t="s">
        <v>202</v>
      </c>
      <c r="AR599" s="30" t="s">
        <v>145</v>
      </c>
      <c r="AT599" s="30" t="s">
        <v>99</v>
      </c>
      <c r="AU599" s="30" t="s">
        <v>100</v>
      </c>
      <c r="AV599" s="30" t="s">
        <v>101</v>
      </c>
      <c r="AW599" s="30" t="s">
        <v>102</v>
      </c>
      <c r="AX599" s="34" t="s">
        <v>86</v>
      </c>
      <c r="AY599" s="34" t="s">
        <v>149</v>
      </c>
      <c r="AZ599" s="34" t="s">
        <v>149</v>
      </c>
      <c r="BA599" s="34"/>
      <c r="BB599" s="34"/>
      <c r="BC599" s="34">
        <v>0</v>
      </c>
      <c r="BD599" s="34"/>
      <c r="BE599" s="34"/>
      <c r="BF599" s="34" t="b">
        <v>0</v>
      </c>
      <c r="BG599" s="34"/>
      <c r="BH599" s="34"/>
      <c r="BI599" s="34"/>
      <c r="BJ599" s="34"/>
      <c r="BK599" s="34"/>
      <c r="BL599" s="34"/>
      <c r="BM599" s="34" t="s">
        <v>168</v>
      </c>
      <c r="BN599" s="34"/>
      <c r="BO599" s="35"/>
      <c r="BP599" s="35"/>
      <c r="BQ599" s="35" t="s">
        <v>108</v>
      </c>
      <c r="BR599" s="36" t="e">
        <f>VLOOKUP(BQ599, Cat_Indicadores!B:C, 2, FALSE)</f>
        <v>#N/A</v>
      </c>
      <c r="BS599" s="35" t="s">
        <v>5592</v>
      </c>
      <c r="BT599" s="35"/>
    </row>
    <row r="600" spans="1:72">
      <c r="A600" s="29" t="s">
        <v>2459</v>
      </c>
      <c r="B600" s="30" t="s">
        <v>2460</v>
      </c>
      <c r="C600" s="38">
        <v>46318.615023148152</v>
      </c>
      <c r="D600" s="30">
        <v>92</v>
      </c>
      <c r="E600" s="30" t="s">
        <v>74</v>
      </c>
      <c r="F600" s="30" t="s">
        <v>75</v>
      </c>
      <c r="G600" s="30" t="s">
        <v>133</v>
      </c>
      <c r="H600" s="30" t="s">
        <v>77</v>
      </c>
      <c r="I600" s="30" t="s">
        <v>78</v>
      </c>
      <c r="J600" s="30" t="s">
        <v>79</v>
      </c>
      <c r="K600" s="32">
        <v>800</v>
      </c>
      <c r="L600" s="32" t="s">
        <v>211</v>
      </c>
      <c r="M600" s="30" t="s">
        <v>2431</v>
      </c>
      <c r="N600" s="30" t="s">
        <v>2432</v>
      </c>
      <c r="O600" s="30" t="s">
        <v>83</v>
      </c>
      <c r="P600" s="33">
        <v>46284</v>
      </c>
      <c r="Q600" s="33">
        <v>46284</v>
      </c>
      <c r="R600" s="32">
        <v>1</v>
      </c>
      <c r="S600" s="30" t="s">
        <v>84</v>
      </c>
      <c r="T600" s="30" t="s">
        <v>337</v>
      </c>
      <c r="U600" s="30" t="s">
        <v>86</v>
      </c>
      <c r="V600" s="30" t="s">
        <v>87</v>
      </c>
      <c r="W600" s="30" t="s">
        <v>88</v>
      </c>
      <c r="X600" s="30" t="s">
        <v>197</v>
      </c>
      <c r="Y600" s="30" t="s">
        <v>1288</v>
      </c>
      <c r="AB600" s="30" t="b">
        <v>0</v>
      </c>
      <c r="AC600" s="30"/>
      <c r="AD600" s="30" t="b">
        <v>0</v>
      </c>
      <c r="AF600" s="30" t="b">
        <v>0</v>
      </c>
      <c r="AH600" s="32" t="s">
        <v>91</v>
      </c>
      <c r="AI600" s="32"/>
      <c r="AJ600" s="32"/>
      <c r="AK600" s="32"/>
      <c r="AL600" s="30" t="s">
        <v>92</v>
      </c>
      <c r="AM600" s="30" t="s">
        <v>93</v>
      </c>
      <c r="AN600" s="30" t="s">
        <v>199</v>
      </c>
      <c r="AO600" s="30" t="s">
        <v>200</v>
      </c>
      <c r="AP600" s="30" t="s">
        <v>201</v>
      </c>
      <c r="AQ600" s="30" t="s">
        <v>202</v>
      </c>
      <c r="AR600" s="30" t="s">
        <v>145</v>
      </c>
      <c r="AT600" s="30" t="s">
        <v>99</v>
      </c>
      <c r="AU600" s="30" t="s">
        <v>100</v>
      </c>
      <c r="AV600" s="30" t="s">
        <v>101</v>
      </c>
      <c r="AW600" s="30" t="s">
        <v>102</v>
      </c>
      <c r="AX600" s="34" t="s">
        <v>86</v>
      </c>
      <c r="AY600" s="34" t="s">
        <v>149</v>
      </c>
      <c r="AZ600" s="34" t="s">
        <v>149</v>
      </c>
      <c r="BA600" s="34"/>
      <c r="BB600" s="34"/>
      <c r="BC600" s="34">
        <v>0</v>
      </c>
      <c r="BD600" s="34"/>
      <c r="BE600" s="34"/>
      <c r="BF600" s="34" t="b">
        <v>0</v>
      </c>
      <c r="BG600" s="34"/>
      <c r="BH600" s="34"/>
      <c r="BI600" s="34"/>
      <c r="BJ600" s="34"/>
      <c r="BK600" s="34"/>
      <c r="BL600" s="34"/>
      <c r="BM600" s="34" t="s">
        <v>168</v>
      </c>
      <c r="BN600" s="34"/>
      <c r="BO600" s="35"/>
      <c r="BP600" s="35"/>
      <c r="BQ600" s="35" t="s">
        <v>108</v>
      </c>
      <c r="BR600" s="36" t="e">
        <f>VLOOKUP(BQ600, Cat_Indicadores!B:C, 2, FALSE)</f>
        <v>#N/A</v>
      </c>
      <c r="BS600" s="35" t="s">
        <v>5592</v>
      </c>
      <c r="BT600" s="35"/>
    </row>
    <row r="601" spans="1:72">
      <c r="A601" s="29" t="s">
        <v>2461</v>
      </c>
      <c r="B601" s="30" t="s">
        <v>2462</v>
      </c>
      <c r="C601" s="38">
        <v>46318.623784722222</v>
      </c>
      <c r="D601" s="30">
        <v>92</v>
      </c>
      <c r="E601" s="30" t="s">
        <v>74</v>
      </c>
      <c r="F601" s="30" t="s">
        <v>75</v>
      </c>
      <c r="G601" s="30" t="s">
        <v>133</v>
      </c>
      <c r="H601" s="30" t="s">
        <v>77</v>
      </c>
      <c r="I601" s="30" t="s">
        <v>78</v>
      </c>
      <c r="J601" s="30" t="s">
        <v>79</v>
      </c>
      <c r="K601" s="32">
        <v>800</v>
      </c>
      <c r="L601" s="32" t="s">
        <v>211</v>
      </c>
      <c r="M601" s="30" t="s">
        <v>2431</v>
      </c>
      <c r="N601" s="30" t="s">
        <v>2432</v>
      </c>
      <c r="O601" s="30" t="s">
        <v>83</v>
      </c>
      <c r="P601" s="33">
        <v>46285</v>
      </c>
      <c r="Q601" s="33">
        <v>46285</v>
      </c>
      <c r="R601" s="32">
        <v>1</v>
      </c>
      <c r="S601" s="30" t="s">
        <v>84</v>
      </c>
      <c r="T601" s="30" t="s">
        <v>337</v>
      </c>
      <c r="U601" s="30" t="s">
        <v>86</v>
      </c>
      <c r="V601" s="30" t="s">
        <v>87</v>
      </c>
      <c r="W601" s="30" t="s">
        <v>88</v>
      </c>
      <c r="X601" s="30" t="s">
        <v>197</v>
      </c>
      <c r="Y601" s="30" t="s">
        <v>1288</v>
      </c>
      <c r="AB601" s="30" t="b">
        <v>0</v>
      </c>
      <c r="AC601" s="30"/>
      <c r="AD601" s="30" t="b">
        <v>0</v>
      </c>
      <c r="AF601" s="30" t="b">
        <v>0</v>
      </c>
      <c r="AH601" s="32" t="s">
        <v>91</v>
      </c>
      <c r="AI601" s="32"/>
      <c r="AJ601" s="32"/>
      <c r="AK601" s="32"/>
      <c r="AL601" s="30" t="s">
        <v>92</v>
      </c>
      <c r="AM601" s="30" t="s">
        <v>93</v>
      </c>
      <c r="AN601" s="30" t="s">
        <v>199</v>
      </c>
      <c r="AO601" s="30" t="s">
        <v>200</v>
      </c>
      <c r="AP601" s="30" t="s">
        <v>201</v>
      </c>
      <c r="AQ601" s="30" t="s">
        <v>202</v>
      </c>
      <c r="AR601" s="30" t="s">
        <v>145</v>
      </c>
      <c r="AT601" s="30" t="s">
        <v>99</v>
      </c>
      <c r="AU601" s="30" t="s">
        <v>100</v>
      </c>
      <c r="AV601" s="30" t="s">
        <v>101</v>
      </c>
      <c r="AW601" s="30" t="s">
        <v>102</v>
      </c>
      <c r="AX601" s="34" t="s">
        <v>86</v>
      </c>
      <c r="AY601" s="34" t="s">
        <v>149</v>
      </c>
      <c r="AZ601" s="34" t="s">
        <v>149</v>
      </c>
      <c r="BA601" s="34"/>
      <c r="BB601" s="34"/>
      <c r="BC601" s="34">
        <v>0</v>
      </c>
      <c r="BD601" s="34"/>
      <c r="BE601" s="34"/>
      <c r="BF601" s="34" t="b">
        <v>0</v>
      </c>
      <c r="BG601" s="34"/>
      <c r="BH601" s="34"/>
      <c r="BI601" s="34"/>
      <c r="BJ601" s="34"/>
      <c r="BK601" s="34"/>
      <c r="BL601" s="34"/>
      <c r="BM601" s="34" t="s">
        <v>168</v>
      </c>
      <c r="BN601" s="34"/>
      <c r="BO601" s="35"/>
      <c r="BP601" s="35"/>
      <c r="BQ601" s="35" t="s">
        <v>108</v>
      </c>
      <c r="BR601" s="36" t="e">
        <f>VLOOKUP(BQ601, Cat_Indicadores!B:C, 2, FALSE)</f>
        <v>#N/A</v>
      </c>
      <c r="BS601" s="35" t="s">
        <v>5592</v>
      </c>
      <c r="BT601" s="35"/>
    </row>
    <row r="602" spans="1:72">
      <c r="A602" s="29" t="s">
        <v>2463</v>
      </c>
      <c r="B602" s="30" t="s">
        <v>2464</v>
      </c>
      <c r="C602" s="38">
        <v>46318.648796296293</v>
      </c>
      <c r="D602" s="30">
        <v>92</v>
      </c>
      <c r="E602" s="30" t="s">
        <v>74</v>
      </c>
      <c r="F602" s="30" t="s">
        <v>75</v>
      </c>
      <c r="G602" s="30" t="s">
        <v>133</v>
      </c>
      <c r="H602" s="30" t="s">
        <v>77</v>
      </c>
      <c r="I602" s="30" t="s">
        <v>78</v>
      </c>
      <c r="J602" s="30" t="s">
        <v>79</v>
      </c>
      <c r="K602" s="32">
        <v>800</v>
      </c>
      <c r="L602" s="32" t="s">
        <v>211</v>
      </c>
      <c r="M602" s="30" t="s">
        <v>2465</v>
      </c>
      <c r="N602" s="30" t="s">
        <v>2466</v>
      </c>
      <c r="O602" s="30" t="s">
        <v>83</v>
      </c>
      <c r="P602" s="33">
        <v>46287</v>
      </c>
      <c r="Q602" s="33">
        <v>46287</v>
      </c>
      <c r="R602" s="32">
        <v>1</v>
      </c>
      <c r="S602" s="30" t="s">
        <v>84</v>
      </c>
      <c r="T602" s="30" t="s">
        <v>337</v>
      </c>
      <c r="U602" s="30" t="s">
        <v>86</v>
      </c>
      <c r="V602" s="30" t="s">
        <v>87</v>
      </c>
      <c r="W602" s="30" t="s">
        <v>88</v>
      </c>
      <c r="X602" s="30" t="s">
        <v>197</v>
      </c>
      <c r="Y602" s="30" t="s">
        <v>1275</v>
      </c>
      <c r="AB602" s="30" t="b">
        <v>0</v>
      </c>
      <c r="AC602" s="30"/>
      <c r="AD602" s="30" t="b">
        <v>0</v>
      </c>
      <c r="AF602" s="30" t="b">
        <v>0</v>
      </c>
      <c r="AH602" s="32" t="s">
        <v>91</v>
      </c>
      <c r="AI602" s="32"/>
      <c r="AJ602" s="32"/>
      <c r="AK602" s="32"/>
      <c r="AL602" s="30" t="s">
        <v>92</v>
      </c>
      <c r="AM602" s="30" t="s">
        <v>93</v>
      </c>
      <c r="AN602" s="30" t="s">
        <v>199</v>
      </c>
      <c r="AO602" s="30" t="s">
        <v>200</v>
      </c>
      <c r="AP602" s="30" t="s">
        <v>201</v>
      </c>
      <c r="AQ602" s="30" t="s">
        <v>202</v>
      </c>
      <c r="AR602" s="30" t="s">
        <v>145</v>
      </c>
      <c r="AT602" s="30" t="s">
        <v>99</v>
      </c>
      <c r="AU602" s="30" t="s">
        <v>100</v>
      </c>
      <c r="AV602" s="30" t="s">
        <v>101</v>
      </c>
      <c r="AW602" s="30" t="s">
        <v>102</v>
      </c>
      <c r="AX602" s="34" t="s">
        <v>86</v>
      </c>
      <c r="AY602" s="34" t="s">
        <v>149</v>
      </c>
      <c r="AZ602" s="34" t="s">
        <v>149</v>
      </c>
      <c r="BA602" s="34"/>
      <c r="BB602" s="34"/>
      <c r="BC602" s="34">
        <v>0</v>
      </c>
      <c r="BD602" s="34"/>
      <c r="BE602" s="34"/>
      <c r="BF602" s="34" t="b">
        <v>0</v>
      </c>
      <c r="BG602" s="34"/>
      <c r="BH602" s="34"/>
      <c r="BI602" s="34"/>
      <c r="BJ602" s="34"/>
      <c r="BK602" s="34"/>
      <c r="BL602" s="34"/>
      <c r="BM602" s="34" t="s">
        <v>168</v>
      </c>
      <c r="BN602" s="34"/>
      <c r="BO602" s="35"/>
      <c r="BP602" s="35"/>
      <c r="BQ602" s="35" t="s">
        <v>108</v>
      </c>
      <c r="BR602" s="36" t="e">
        <f>VLOOKUP(BQ602, Cat_Indicadores!B:C, 2, FALSE)</f>
        <v>#N/A</v>
      </c>
      <c r="BS602" s="35" t="s">
        <v>5592</v>
      </c>
      <c r="BT602" s="35"/>
    </row>
    <row r="603" spans="1:72">
      <c r="A603" s="29"/>
      <c r="K603" s="32"/>
      <c r="L603" s="32"/>
      <c r="R603" s="32"/>
      <c r="AC603" s="30"/>
      <c r="AH603" s="32"/>
      <c r="AI603" s="32"/>
      <c r="AJ603" s="32"/>
      <c r="AK603" s="32"/>
      <c r="AX603" s="34"/>
      <c r="AY603" s="34"/>
      <c r="AZ603" s="34"/>
      <c r="BA603" s="34"/>
      <c r="BB603" s="34"/>
      <c r="BC603" s="34"/>
      <c r="BD603" s="34"/>
      <c r="BE603" s="34"/>
      <c r="BF603" s="34"/>
      <c r="BG603" s="34"/>
      <c r="BH603" s="34"/>
      <c r="BI603" s="34"/>
      <c r="BJ603" s="34"/>
      <c r="BK603" s="34"/>
      <c r="BL603" s="34"/>
      <c r="BM603" s="34"/>
      <c r="BN603" s="34"/>
      <c r="BO603" s="35"/>
      <c r="BP603" s="35"/>
      <c r="BQ603" s="35"/>
      <c r="BR603" s="36"/>
      <c r="BS603" s="35"/>
      <c r="BT603" s="35"/>
    </row>
    <row r="604" spans="1:72">
      <c r="A604" s="29"/>
      <c r="K604" s="32"/>
      <c r="L604" s="32"/>
      <c r="R604" s="32"/>
      <c r="AC604" s="30"/>
      <c r="AH604" s="32"/>
      <c r="AI604" s="32"/>
      <c r="AJ604" s="32"/>
      <c r="AK604" s="32"/>
      <c r="AX604" s="34"/>
      <c r="AY604" s="34"/>
      <c r="AZ604" s="34"/>
      <c r="BA604" s="34"/>
      <c r="BB604" s="34"/>
      <c r="BC604" s="34"/>
      <c r="BD604" s="34"/>
      <c r="BE604" s="34"/>
      <c r="BF604" s="34"/>
      <c r="BG604" s="34"/>
      <c r="BH604" s="34"/>
      <c r="BI604" s="34"/>
      <c r="BJ604" s="34"/>
      <c r="BK604" s="34"/>
      <c r="BL604" s="34"/>
      <c r="BM604" s="34"/>
      <c r="BN604" s="34"/>
      <c r="BO604" s="35"/>
      <c r="BP604" s="35"/>
      <c r="BQ604" s="35"/>
      <c r="BR604" s="36"/>
      <c r="BS604" s="35"/>
      <c r="BT604" s="35"/>
    </row>
    <row r="605" spans="1:72">
      <c r="A605" s="29"/>
      <c r="K605" s="32"/>
      <c r="L605" s="32"/>
      <c r="R605" s="32"/>
      <c r="AC605" s="30"/>
      <c r="AH605" s="32"/>
      <c r="AI605" s="32"/>
      <c r="AJ605" s="32"/>
      <c r="AK605" s="32"/>
      <c r="AX605" s="34"/>
      <c r="AY605" s="34"/>
      <c r="AZ605" s="34"/>
      <c r="BA605" s="34"/>
      <c r="BB605" s="34"/>
      <c r="BC605" s="34"/>
      <c r="BD605" s="34"/>
      <c r="BE605" s="34"/>
      <c r="BF605" s="34"/>
      <c r="BG605" s="34"/>
      <c r="BH605" s="34"/>
      <c r="BI605" s="34"/>
      <c r="BJ605" s="34"/>
      <c r="BK605" s="34"/>
      <c r="BL605" s="34"/>
      <c r="BM605" s="34"/>
      <c r="BN605" s="34"/>
      <c r="BO605" s="35"/>
      <c r="BP605" s="35"/>
      <c r="BQ605" s="35"/>
      <c r="BR605" s="36"/>
      <c r="BS605" s="35"/>
      <c r="BT605" s="35"/>
    </row>
    <row r="606" spans="1:72">
      <c r="A606" s="29"/>
      <c r="K606" s="32"/>
      <c r="L606" s="32"/>
      <c r="R606" s="32"/>
      <c r="AC606" s="30"/>
      <c r="AH606" s="32"/>
      <c r="AI606" s="32"/>
      <c r="AJ606" s="32"/>
      <c r="AK606" s="32"/>
      <c r="AX606" s="34"/>
      <c r="AY606" s="34"/>
      <c r="AZ606" s="34"/>
      <c r="BA606" s="34"/>
      <c r="BB606" s="34"/>
      <c r="BC606" s="34"/>
      <c r="BD606" s="34"/>
      <c r="BE606" s="34"/>
      <c r="BF606" s="34"/>
      <c r="BG606" s="34"/>
      <c r="BH606" s="34"/>
      <c r="BI606" s="34"/>
      <c r="BJ606" s="34"/>
      <c r="BK606" s="34"/>
      <c r="BL606" s="34"/>
      <c r="BM606" s="34"/>
      <c r="BN606" s="34"/>
      <c r="BO606" s="35"/>
      <c r="BP606" s="35"/>
      <c r="BQ606" s="35"/>
      <c r="BR606" s="36"/>
      <c r="BS606" s="35"/>
      <c r="BT606" s="35"/>
    </row>
    <row r="607" spans="1:72">
      <c r="A607" s="29"/>
      <c r="K607" s="32"/>
      <c r="L607" s="32"/>
      <c r="R607" s="32"/>
      <c r="AC607" s="30"/>
      <c r="AH607" s="32"/>
      <c r="AI607" s="32"/>
      <c r="AJ607" s="32"/>
      <c r="AK607" s="32"/>
      <c r="AX607" s="34"/>
      <c r="AY607" s="34"/>
      <c r="AZ607" s="34"/>
      <c r="BA607" s="34"/>
      <c r="BB607" s="34"/>
      <c r="BC607" s="34"/>
      <c r="BD607" s="34"/>
      <c r="BE607" s="34"/>
      <c r="BF607" s="34"/>
      <c r="BG607" s="34"/>
      <c r="BH607" s="34"/>
      <c r="BI607" s="34"/>
      <c r="BJ607" s="34"/>
      <c r="BK607" s="34"/>
      <c r="BL607" s="34"/>
      <c r="BM607" s="34"/>
      <c r="BN607" s="34"/>
      <c r="BO607" s="35"/>
      <c r="BP607" s="35"/>
      <c r="BQ607" s="35"/>
      <c r="BR607" s="36"/>
      <c r="BS607" s="35"/>
      <c r="BT607" s="35"/>
    </row>
    <row r="608" spans="1:72">
      <c r="A608" s="29"/>
      <c r="K608" s="32"/>
      <c r="L608" s="32"/>
      <c r="R608" s="32"/>
      <c r="AC608" s="30"/>
      <c r="AH608" s="32"/>
      <c r="AI608" s="32"/>
      <c r="AJ608" s="32"/>
      <c r="AK608" s="32"/>
      <c r="AX608" s="34"/>
      <c r="AY608" s="34"/>
      <c r="AZ608" s="34"/>
      <c r="BA608" s="34"/>
      <c r="BB608" s="34"/>
      <c r="BC608" s="34"/>
      <c r="BD608" s="34"/>
      <c r="BE608" s="34"/>
      <c r="BF608" s="34"/>
      <c r="BG608" s="34"/>
      <c r="BH608" s="34"/>
      <c r="BI608" s="34"/>
      <c r="BJ608" s="34"/>
      <c r="BK608" s="34"/>
      <c r="BL608" s="34"/>
      <c r="BM608" s="34"/>
      <c r="BN608" s="34"/>
      <c r="BO608" s="35"/>
      <c r="BP608" s="35"/>
      <c r="BQ608" s="35"/>
      <c r="BR608" s="36"/>
      <c r="BS608" s="35"/>
      <c r="BT608" s="35"/>
    </row>
    <row r="609" spans="1:72">
      <c r="A609" s="29"/>
      <c r="K609" s="32"/>
      <c r="L609" s="32"/>
      <c r="R609" s="32"/>
      <c r="AC609" s="30"/>
      <c r="AH609" s="32"/>
      <c r="AI609" s="32"/>
      <c r="AJ609" s="32"/>
      <c r="AK609" s="32"/>
      <c r="AX609" s="34"/>
      <c r="AY609" s="34"/>
      <c r="AZ609" s="34"/>
      <c r="BA609" s="34"/>
      <c r="BB609" s="34"/>
      <c r="BC609" s="34"/>
      <c r="BD609" s="34"/>
      <c r="BE609" s="34"/>
      <c r="BF609" s="34"/>
      <c r="BG609" s="34"/>
      <c r="BH609" s="34"/>
      <c r="BI609" s="34"/>
      <c r="BJ609" s="34"/>
      <c r="BK609" s="34"/>
      <c r="BL609" s="34"/>
      <c r="BM609" s="34"/>
      <c r="BN609" s="34"/>
      <c r="BO609" s="35"/>
      <c r="BP609" s="35"/>
      <c r="BQ609" s="35"/>
      <c r="BR609" s="36"/>
      <c r="BS609" s="35"/>
      <c r="BT609" s="35"/>
    </row>
    <row r="610" spans="1:72">
      <c r="A610" s="29"/>
      <c r="K610" s="32"/>
      <c r="L610" s="32"/>
      <c r="R610" s="32"/>
      <c r="AC610" s="30"/>
      <c r="AH610" s="32"/>
      <c r="AI610" s="32"/>
      <c r="AJ610" s="32"/>
      <c r="AK610" s="32"/>
      <c r="AX610" s="34"/>
      <c r="AY610" s="34"/>
      <c r="AZ610" s="34"/>
      <c r="BA610" s="34"/>
      <c r="BB610" s="34"/>
      <c r="BC610" s="34"/>
      <c r="BD610" s="34"/>
      <c r="BE610" s="34"/>
      <c r="BF610" s="34"/>
      <c r="BG610" s="34"/>
      <c r="BH610" s="34"/>
      <c r="BI610" s="34"/>
      <c r="BJ610" s="34"/>
      <c r="BK610" s="34"/>
      <c r="BL610" s="34"/>
      <c r="BM610" s="34"/>
      <c r="BN610" s="34"/>
      <c r="BO610" s="35"/>
      <c r="BP610" s="35"/>
      <c r="BQ610" s="35"/>
      <c r="BR610" s="36"/>
      <c r="BS610" s="35"/>
      <c r="BT610" s="35"/>
    </row>
    <row r="611" spans="1:72">
      <c r="A611" s="29"/>
      <c r="K611" s="32"/>
      <c r="L611" s="32"/>
      <c r="R611" s="32"/>
      <c r="AC611" s="30"/>
      <c r="AH611" s="32"/>
      <c r="AI611" s="32"/>
      <c r="AJ611" s="32"/>
      <c r="AK611" s="32"/>
      <c r="AX611" s="34"/>
      <c r="AY611" s="34"/>
      <c r="AZ611" s="34"/>
      <c r="BA611" s="34"/>
      <c r="BB611" s="34"/>
      <c r="BC611" s="34"/>
      <c r="BD611" s="34"/>
      <c r="BE611" s="34"/>
      <c r="BF611" s="34"/>
      <c r="BG611" s="34"/>
      <c r="BH611" s="34"/>
      <c r="BI611" s="34"/>
      <c r="BJ611" s="34"/>
      <c r="BK611" s="34"/>
      <c r="BL611" s="34"/>
      <c r="BM611" s="34"/>
      <c r="BN611" s="34"/>
      <c r="BO611" s="35"/>
      <c r="BP611" s="35"/>
      <c r="BQ611" s="35"/>
      <c r="BR611" s="36"/>
      <c r="BS611" s="35"/>
      <c r="BT611" s="35"/>
    </row>
    <row r="612" spans="1:72">
      <c r="A612" s="29"/>
      <c r="K612" s="32"/>
      <c r="L612" s="32"/>
      <c r="R612" s="32"/>
      <c r="AC612" s="30"/>
      <c r="AH612" s="32"/>
      <c r="AI612" s="32"/>
      <c r="AJ612" s="32"/>
      <c r="AK612" s="32"/>
      <c r="AX612" s="34"/>
      <c r="AY612" s="34"/>
      <c r="AZ612" s="34"/>
      <c r="BA612" s="34"/>
      <c r="BB612" s="34"/>
      <c r="BC612" s="34"/>
      <c r="BD612" s="34"/>
      <c r="BE612" s="34"/>
      <c r="BF612" s="34"/>
      <c r="BG612" s="34"/>
      <c r="BH612" s="34"/>
      <c r="BI612" s="34"/>
      <c r="BJ612" s="34"/>
      <c r="BK612" s="34"/>
      <c r="BL612" s="34"/>
      <c r="BM612" s="34"/>
      <c r="BN612" s="34"/>
      <c r="BO612" s="35"/>
      <c r="BP612" s="35"/>
      <c r="BQ612" s="35"/>
      <c r="BR612" s="36"/>
      <c r="BS612" s="35"/>
      <c r="BT612" s="35"/>
    </row>
    <row r="613" spans="1:72">
      <c r="A613" s="29"/>
      <c r="K613" s="32"/>
      <c r="L613" s="32"/>
      <c r="R613" s="32"/>
      <c r="AC613" s="30"/>
      <c r="AH613" s="32"/>
      <c r="AI613" s="32"/>
      <c r="AJ613" s="32"/>
      <c r="AK613" s="32"/>
      <c r="AX613" s="34"/>
      <c r="AY613" s="34"/>
      <c r="AZ613" s="34"/>
      <c r="BA613" s="34"/>
      <c r="BB613" s="34"/>
      <c r="BC613" s="34"/>
      <c r="BD613" s="34"/>
      <c r="BE613" s="34"/>
      <c r="BF613" s="34"/>
      <c r="BG613" s="34"/>
      <c r="BH613" s="34"/>
      <c r="BI613" s="34"/>
      <c r="BJ613" s="34"/>
      <c r="BK613" s="34"/>
      <c r="BL613" s="34"/>
      <c r="BM613" s="34"/>
      <c r="BN613" s="34"/>
      <c r="BO613" s="35"/>
      <c r="BP613" s="35"/>
      <c r="BQ613" s="35"/>
      <c r="BR613" s="36"/>
      <c r="BS613" s="35"/>
      <c r="BT613" s="35"/>
    </row>
    <row r="614" spans="1:72">
      <c r="A614" s="29"/>
      <c r="K614" s="32"/>
      <c r="L614" s="32"/>
      <c r="R614" s="32"/>
      <c r="AC614" s="30"/>
      <c r="AH614" s="32"/>
      <c r="AI614" s="32"/>
      <c r="AJ614" s="32"/>
      <c r="AK614" s="32"/>
      <c r="AX614" s="34"/>
      <c r="AY614" s="34"/>
      <c r="AZ614" s="34"/>
      <c r="BA614" s="34"/>
      <c r="BB614" s="34"/>
      <c r="BC614" s="34"/>
      <c r="BD614" s="34"/>
      <c r="BE614" s="34"/>
      <c r="BF614" s="34"/>
      <c r="BG614" s="34"/>
      <c r="BH614" s="34"/>
      <c r="BI614" s="34"/>
      <c r="BJ614" s="34"/>
      <c r="BK614" s="34"/>
      <c r="BL614" s="34"/>
      <c r="BM614" s="34"/>
      <c r="BN614" s="34"/>
      <c r="BO614" s="35"/>
      <c r="BP614" s="35"/>
      <c r="BQ614" s="35"/>
      <c r="BR614" s="36"/>
      <c r="BS614" s="35"/>
      <c r="BT614" s="35"/>
    </row>
    <row r="615" spans="1:72">
      <c r="A615" s="29"/>
      <c r="K615" s="32"/>
      <c r="L615" s="32"/>
      <c r="R615" s="32"/>
      <c r="AC615" s="30"/>
      <c r="AH615" s="32"/>
      <c r="AI615" s="32"/>
      <c r="AJ615" s="32"/>
      <c r="AK615" s="32"/>
      <c r="AX615" s="34"/>
      <c r="AY615" s="34"/>
      <c r="AZ615" s="34"/>
      <c r="BA615" s="34"/>
      <c r="BB615" s="34"/>
      <c r="BC615" s="34"/>
      <c r="BD615" s="34"/>
      <c r="BE615" s="34"/>
      <c r="BF615" s="34"/>
      <c r="BG615" s="34"/>
      <c r="BH615" s="34"/>
      <c r="BI615" s="34"/>
      <c r="BJ615" s="34"/>
      <c r="BK615" s="34"/>
      <c r="BL615" s="34"/>
      <c r="BM615" s="34"/>
      <c r="BN615" s="34"/>
      <c r="BO615" s="35"/>
      <c r="BP615" s="35"/>
      <c r="BQ615" s="35"/>
      <c r="BR615" s="36"/>
      <c r="BS615" s="35"/>
      <c r="BT615" s="35"/>
    </row>
    <row r="616" spans="1:72">
      <c r="A616" s="29"/>
      <c r="K616" s="32"/>
      <c r="L616" s="32"/>
      <c r="R616" s="32"/>
      <c r="AC616" s="30"/>
      <c r="AH616" s="32"/>
      <c r="AI616" s="32"/>
      <c r="AJ616" s="32"/>
      <c r="AK616" s="32"/>
      <c r="AX616" s="34"/>
      <c r="AY616" s="34"/>
      <c r="AZ616" s="34"/>
      <c r="BA616" s="34"/>
      <c r="BB616" s="34"/>
      <c r="BC616" s="34"/>
      <c r="BD616" s="34"/>
      <c r="BE616" s="34"/>
      <c r="BF616" s="34"/>
      <c r="BG616" s="34"/>
      <c r="BH616" s="34"/>
      <c r="BI616" s="34"/>
      <c r="BJ616" s="34"/>
      <c r="BK616" s="34"/>
      <c r="BL616" s="34"/>
      <c r="BM616" s="34"/>
      <c r="BN616" s="34"/>
      <c r="BO616" s="35"/>
      <c r="BP616" s="35"/>
      <c r="BQ616" s="35"/>
      <c r="BR616" s="36"/>
      <c r="BS616" s="35"/>
      <c r="BT616" s="35"/>
    </row>
    <row r="617" spans="1:72">
      <c r="A617" s="29"/>
      <c r="K617" s="32"/>
      <c r="L617" s="32"/>
      <c r="R617" s="32"/>
      <c r="AC617" s="30"/>
      <c r="AH617" s="32"/>
      <c r="AI617" s="32"/>
      <c r="AJ617" s="32"/>
      <c r="AK617" s="32"/>
      <c r="AX617" s="34"/>
      <c r="AY617" s="34"/>
      <c r="AZ617" s="34"/>
      <c r="BA617" s="34"/>
      <c r="BB617" s="34"/>
      <c r="BC617" s="34"/>
      <c r="BD617" s="34"/>
      <c r="BE617" s="34"/>
      <c r="BF617" s="34"/>
      <c r="BG617" s="34"/>
      <c r="BH617" s="34"/>
      <c r="BI617" s="34"/>
      <c r="BJ617" s="34"/>
      <c r="BK617" s="34"/>
      <c r="BL617" s="34"/>
      <c r="BM617" s="34"/>
      <c r="BN617" s="34"/>
      <c r="BO617" s="35"/>
      <c r="BP617" s="35"/>
      <c r="BQ617" s="35"/>
      <c r="BR617" s="36"/>
      <c r="BS617" s="35"/>
      <c r="BT617" s="35"/>
    </row>
    <row r="618" spans="1:72">
      <c r="A618" s="29"/>
      <c r="K618" s="32"/>
      <c r="L618" s="32"/>
      <c r="R618" s="32"/>
      <c r="AC618" s="30"/>
      <c r="AH618" s="32"/>
      <c r="AI618" s="32"/>
      <c r="AJ618" s="32"/>
      <c r="AK618" s="32"/>
      <c r="AX618" s="34"/>
      <c r="AY618" s="34"/>
      <c r="AZ618" s="34"/>
      <c r="BA618" s="34"/>
      <c r="BB618" s="34"/>
      <c r="BC618" s="34"/>
      <c r="BD618" s="34"/>
      <c r="BE618" s="34"/>
      <c r="BF618" s="34"/>
      <c r="BG618" s="34"/>
      <c r="BH618" s="34"/>
      <c r="BI618" s="34"/>
      <c r="BJ618" s="34"/>
      <c r="BK618" s="34"/>
      <c r="BL618" s="34"/>
      <c r="BM618" s="34"/>
      <c r="BN618" s="34"/>
      <c r="BO618" s="35"/>
      <c r="BP618" s="35"/>
      <c r="BQ618" s="35"/>
      <c r="BR618" s="36"/>
      <c r="BS618" s="35"/>
      <c r="BT618" s="35"/>
    </row>
    <row r="619" spans="1:72">
      <c r="A619" s="29"/>
      <c r="K619" s="32"/>
      <c r="L619" s="32"/>
      <c r="R619" s="32"/>
      <c r="AC619" s="30"/>
      <c r="AH619" s="32"/>
      <c r="AI619" s="32"/>
      <c r="AJ619" s="32"/>
      <c r="AK619" s="32"/>
      <c r="AX619" s="34"/>
      <c r="AY619" s="34"/>
      <c r="AZ619" s="34"/>
      <c r="BA619" s="34"/>
      <c r="BB619" s="34"/>
      <c r="BC619" s="34"/>
      <c r="BD619" s="34"/>
      <c r="BE619" s="34"/>
      <c r="BF619" s="34"/>
      <c r="BG619" s="34"/>
      <c r="BH619" s="34"/>
      <c r="BI619" s="34"/>
      <c r="BJ619" s="34"/>
      <c r="BK619" s="34"/>
      <c r="BL619" s="34"/>
      <c r="BM619" s="34"/>
      <c r="BN619" s="34"/>
      <c r="BO619" s="35"/>
      <c r="BP619" s="35"/>
      <c r="BQ619" s="35"/>
      <c r="BR619" s="36"/>
      <c r="BS619" s="35"/>
      <c r="BT619" s="35"/>
    </row>
    <row r="620" spans="1:72">
      <c r="A620" s="29"/>
      <c r="K620" s="32"/>
      <c r="L620" s="32"/>
      <c r="R620" s="32"/>
      <c r="AC620" s="30"/>
      <c r="AH620" s="32"/>
      <c r="AI620" s="32"/>
      <c r="AJ620" s="32"/>
      <c r="AK620" s="32"/>
      <c r="AX620" s="34"/>
      <c r="AY620" s="34"/>
      <c r="AZ620" s="34"/>
      <c r="BA620" s="34"/>
      <c r="BB620" s="34"/>
      <c r="BC620" s="34"/>
      <c r="BD620" s="34"/>
      <c r="BE620" s="34"/>
      <c r="BF620" s="34"/>
      <c r="BG620" s="34"/>
      <c r="BH620" s="34"/>
      <c r="BI620" s="34"/>
      <c r="BJ620" s="34"/>
      <c r="BK620" s="34"/>
      <c r="BL620" s="34"/>
      <c r="BM620" s="34"/>
      <c r="BN620" s="34"/>
      <c r="BO620" s="35"/>
      <c r="BP620" s="35"/>
      <c r="BQ620" s="35"/>
      <c r="BR620" s="36"/>
      <c r="BS620" s="35"/>
      <c r="BT620" s="35"/>
    </row>
    <row r="621" spans="1:72">
      <c r="A621" s="29"/>
      <c r="K621" s="32"/>
      <c r="L621" s="32"/>
      <c r="R621" s="32"/>
      <c r="AC621" s="30"/>
      <c r="AH621" s="32"/>
      <c r="AI621" s="32"/>
      <c r="AJ621" s="32"/>
      <c r="AK621" s="32"/>
      <c r="AX621" s="34"/>
      <c r="AY621" s="34"/>
      <c r="AZ621" s="34"/>
      <c r="BA621" s="34"/>
      <c r="BB621" s="34"/>
      <c r="BC621" s="34"/>
      <c r="BD621" s="34"/>
      <c r="BE621" s="34"/>
      <c r="BF621" s="34"/>
      <c r="BG621" s="34"/>
      <c r="BH621" s="34"/>
      <c r="BI621" s="34"/>
      <c r="BJ621" s="34"/>
      <c r="BK621" s="34"/>
      <c r="BL621" s="34"/>
      <c r="BM621" s="34"/>
      <c r="BN621" s="34"/>
      <c r="BO621" s="35"/>
      <c r="BP621" s="35"/>
      <c r="BQ621" s="35"/>
      <c r="BR621" s="36"/>
      <c r="BS621" s="35"/>
      <c r="BT621" s="35"/>
    </row>
    <row r="622" spans="1:72">
      <c r="A622" s="29"/>
      <c r="K622" s="32"/>
      <c r="L622" s="32"/>
      <c r="R622" s="32"/>
      <c r="AC622" s="30"/>
      <c r="AH622" s="32"/>
      <c r="AI622" s="32"/>
      <c r="AJ622" s="32"/>
      <c r="AK622" s="32"/>
      <c r="AX622" s="34"/>
      <c r="AY622" s="34"/>
      <c r="AZ622" s="34"/>
      <c r="BA622" s="34"/>
      <c r="BB622" s="34"/>
      <c r="BC622" s="34"/>
      <c r="BD622" s="34"/>
      <c r="BE622" s="34"/>
      <c r="BF622" s="34"/>
      <c r="BG622" s="34"/>
      <c r="BH622" s="34"/>
      <c r="BI622" s="34"/>
      <c r="BJ622" s="34"/>
      <c r="BK622" s="34"/>
      <c r="BL622" s="34"/>
      <c r="BM622" s="34"/>
      <c r="BN622" s="34"/>
      <c r="BO622" s="35"/>
      <c r="BP622" s="35"/>
      <c r="BQ622" s="35"/>
      <c r="BR622" s="36"/>
      <c r="BS622" s="35"/>
      <c r="BT622" s="35"/>
    </row>
    <row r="623" spans="1:72">
      <c r="A623" s="29"/>
      <c r="K623" s="32"/>
      <c r="L623" s="32"/>
      <c r="R623" s="32"/>
      <c r="AC623" s="30"/>
      <c r="AH623" s="32"/>
      <c r="AI623" s="32"/>
      <c r="AJ623" s="32"/>
      <c r="AK623" s="32"/>
      <c r="AX623" s="34"/>
      <c r="AY623" s="34"/>
      <c r="AZ623" s="34"/>
      <c r="BA623" s="34"/>
      <c r="BB623" s="34"/>
      <c r="BC623" s="34"/>
      <c r="BD623" s="34"/>
      <c r="BE623" s="34"/>
      <c r="BF623" s="34"/>
      <c r="BG623" s="34"/>
      <c r="BH623" s="34"/>
      <c r="BI623" s="34"/>
      <c r="BJ623" s="34"/>
      <c r="BK623" s="34"/>
      <c r="BL623" s="34"/>
      <c r="BM623" s="34"/>
      <c r="BN623" s="34"/>
      <c r="BO623" s="35"/>
      <c r="BP623" s="35"/>
      <c r="BQ623" s="35"/>
      <c r="BR623" s="36"/>
      <c r="BS623" s="35"/>
      <c r="BT623" s="35"/>
    </row>
    <row r="624" spans="1:72">
      <c r="A624" s="29"/>
      <c r="K624" s="32"/>
      <c r="L624" s="32"/>
      <c r="R624" s="32"/>
      <c r="AC624" s="30"/>
      <c r="AH624" s="32"/>
      <c r="AI624" s="32"/>
      <c r="AJ624" s="32"/>
      <c r="AK624" s="32"/>
      <c r="AX624" s="34"/>
      <c r="AY624" s="34"/>
      <c r="AZ624" s="34"/>
      <c r="BA624" s="34"/>
      <c r="BB624" s="34"/>
      <c r="BC624" s="34"/>
      <c r="BD624" s="34"/>
      <c r="BE624" s="34"/>
      <c r="BF624" s="34"/>
      <c r="BG624" s="34"/>
      <c r="BH624" s="34"/>
      <c r="BI624" s="34"/>
      <c r="BJ624" s="34"/>
      <c r="BK624" s="34"/>
      <c r="BL624" s="34"/>
      <c r="BM624" s="34"/>
      <c r="BN624" s="34"/>
      <c r="BO624" s="35"/>
      <c r="BP624" s="35"/>
      <c r="BQ624" s="35"/>
      <c r="BR624" s="36"/>
      <c r="BS624" s="35"/>
      <c r="BT624" s="35"/>
    </row>
    <row r="625" spans="1:72">
      <c r="A625" s="29"/>
      <c r="K625" s="32"/>
      <c r="L625" s="32"/>
      <c r="R625" s="32"/>
      <c r="AC625" s="30"/>
      <c r="AH625" s="32"/>
      <c r="AI625" s="32"/>
      <c r="AJ625" s="32"/>
      <c r="AK625" s="32"/>
      <c r="AX625" s="34"/>
      <c r="AY625" s="34"/>
      <c r="AZ625" s="34"/>
      <c r="BA625" s="34"/>
      <c r="BB625" s="34"/>
      <c r="BC625" s="34"/>
      <c r="BD625" s="34"/>
      <c r="BE625" s="34"/>
      <c r="BF625" s="34"/>
      <c r="BG625" s="34"/>
      <c r="BH625" s="34"/>
      <c r="BI625" s="34"/>
      <c r="BJ625" s="34"/>
      <c r="BK625" s="34"/>
      <c r="BL625" s="34"/>
      <c r="BM625" s="34"/>
      <c r="BN625" s="34"/>
      <c r="BO625" s="35"/>
      <c r="BP625" s="35"/>
      <c r="BQ625" s="35"/>
      <c r="BR625" s="36"/>
      <c r="BS625" s="35"/>
      <c r="BT625" s="35"/>
    </row>
    <row r="626" spans="1:72">
      <c r="A626" s="29"/>
      <c r="K626" s="32"/>
      <c r="L626" s="32"/>
      <c r="R626" s="32"/>
      <c r="AC626" s="30"/>
      <c r="AH626" s="32"/>
      <c r="AI626" s="32"/>
      <c r="AJ626" s="32"/>
      <c r="AK626" s="32"/>
      <c r="AX626" s="34"/>
      <c r="AY626" s="34"/>
      <c r="AZ626" s="34"/>
      <c r="BA626" s="34"/>
      <c r="BB626" s="34"/>
      <c r="BC626" s="34"/>
      <c r="BD626" s="34"/>
      <c r="BE626" s="34"/>
      <c r="BF626" s="34"/>
      <c r="BG626" s="34"/>
      <c r="BH626" s="34"/>
      <c r="BI626" s="34"/>
      <c r="BJ626" s="34"/>
      <c r="BK626" s="34"/>
      <c r="BL626" s="34"/>
      <c r="BM626" s="34"/>
      <c r="BN626" s="34"/>
      <c r="BO626" s="35"/>
      <c r="BP626" s="35"/>
      <c r="BQ626" s="35"/>
      <c r="BR626" s="36"/>
      <c r="BS626" s="35"/>
      <c r="BT626" s="35"/>
    </row>
    <row r="627" spans="1:72">
      <c r="A627" s="29"/>
      <c r="K627" s="32"/>
      <c r="L627" s="32"/>
      <c r="R627" s="32"/>
      <c r="AC627" s="30"/>
      <c r="AH627" s="32"/>
      <c r="AI627" s="32"/>
      <c r="AJ627" s="32"/>
      <c r="AK627" s="32"/>
      <c r="AX627" s="34"/>
      <c r="AY627" s="34"/>
      <c r="AZ627" s="34"/>
      <c r="BA627" s="34"/>
      <c r="BB627" s="34"/>
      <c r="BC627" s="34"/>
      <c r="BD627" s="34"/>
      <c r="BE627" s="34"/>
      <c r="BF627" s="34"/>
      <c r="BG627" s="34"/>
      <c r="BH627" s="34"/>
      <c r="BI627" s="34"/>
      <c r="BJ627" s="34"/>
      <c r="BK627" s="34"/>
      <c r="BL627" s="34"/>
      <c r="BM627" s="34"/>
      <c r="BN627" s="34"/>
      <c r="BO627" s="35"/>
      <c r="BP627" s="35"/>
      <c r="BQ627" s="35"/>
      <c r="BR627" s="36"/>
      <c r="BS627" s="35"/>
      <c r="BT627" s="35"/>
    </row>
    <row r="628" spans="1:72">
      <c r="A628" s="29"/>
      <c r="K628" s="32"/>
      <c r="L628" s="32"/>
      <c r="R628" s="32"/>
      <c r="AC628" s="30"/>
      <c r="AH628" s="32"/>
      <c r="AI628" s="32"/>
      <c r="AJ628" s="32"/>
      <c r="AK628" s="32"/>
      <c r="AX628" s="34"/>
      <c r="AY628" s="34"/>
      <c r="AZ628" s="34"/>
      <c r="BA628" s="34"/>
      <c r="BB628" s="34"/>
      <c r="BC628" s="34"/>
      <c r="BD628" s="34"/>
      <c r="BE628" s="34"/>
      <c r="BF628" s="34"/>
      <c r="BG628" s="34"/>
      <c r="BH628" s="34"/>
      <c r="BI628" s="34"/>
      <c r="BJ628" s="34"/>
      <c r="BK628" s="34"/>
      <c r="BL628" s="34"/>
      <c r="BM628" s="34"/>
      <c r="BN628" s="34"/>
      <c r="BO628" s="35"/>
      <c r="BP628" s="35"/>
      <c r="BQ628" s="35"/>
      <c r="BR628" s="36"/>
      <c r="BS628" s="35"/>
      <c r="BT628" s="35"/>
    </row>
    <row r="629" spans="1:72">
      <c r="A629" s="29"/>
      <c r="K629" s="32"/>
      <c r="L629" s="32"/>
      <c r="R629" s="32"/>
      <c r="AC629" s="30"/>
      <c r="AH629" s="32"/>
      <c r="AI629" s="32"/>
      <c r="AJ629" s="32"/>
      <c r="AK629" s="32"/>
      <c r="AX629" s="34"/>
      <c r="AY629" s="34"/>
      <c r="AZ629" s="34"/>
      <c r="BA629" s="34"/>
      <c r="BB629" s="34"/>
      <c r="BC629" s="34"/>
      <c r="BD629" s="34"/>
      <c r="BE629" s="34"/>
      <c r="BF629" s="34"/>
      <c r="BG629" s="34"/>
      <c r="BH629" s="34"/>
      <c r="BI629" s="34"/>
      <c r="BJ629" s="34"/>
      <c r="BK629" s="34"/>
      <c r="BL629" s="34"/>
      <c r="BM629" s="34"/>
      <c r="BN629" s="34"/>
      <c r="BO629" s="35"/>
      <c r="BP629" s="35"/>
      <c r="BQ629" s="35"/>
      <c r="BR629" s="36"/>
      <c r="BS629" s="35"/>
      <c r="BT629" s="35"/>
    </row>
    <row r="630" spans="1:72">
      <c r="A630" s="29"/>
      <c r="K630" s="32"/>
      <c r="L630" s="32"/>
      <c r="R630" s="32"/>
      <c r="AC630" s="30"/>
      <c r="AH630" s="32"/>
      <c r="AI630" s="32"/>
      <c r="AJ630" s="32"/>
      <c r="AK630" s="32"/>
      <c r="AX630" s="34"/>
      <c r="AY630" s="34"/>
      <c r="AZ630" s="34"/>
      <c r="BA630" s="34"/>
      <c r="BB630" s="34"/>
      <c r="BC630" s="34"/>
      <c r="BD630" s="34"/>
      <c r="BE630" s="34"/>
      <c r="BF630" s="34"/>
      <c r="BG630" s="34"/>
      <c r="BH630" s="34"/>
      <c r="BI630" s="34"/>
      <c r="BJ630" s="34"/>
      <c r="BK630" s="34"/>
      <c r="BL630" s="34"/>
      <c r="BM630" s="34"/>
      <c r="BN630" s="34"/>
      <c r="BO630" s="35"/>
      <c r="BP630" s="35"/>
      <c r="BQ630" s="35"/>
      <c r="BR630" s="36"/>
      <c r="BS630" s="35"/>
      <c r="BT630" s="35"/>
    </row>
    <row r="631" spans="1:72">
      <c r="A631" s="29"/>
      <c r="K631" s="32"/>
      <c r="L631" s="32"/>
      <c r="R631" s="32"/>
      <c r="AC631" s="30"/>
      <c r="AH631" s="32"/>
      <c r="AI631" s="32"/>
      <c r="AJ631" s="32"/>
      <c r="AK631" s="32"/>
      <c r="AX631" s="34"/>
      <c r="AY631" s="34"/>
      <c r="AZ631" s="34"/>
      <c r="BA631" s="34"/>
      <c r="BB631" s="34"/>
      <c r="BC631" s="34"/>
      <c r="BD631" s="34"/>
      <c r="BE631" s="34"/>
      <c r="BF631" s="34"/>
      <c r="BG631" s="34"/>
      <c r="BH631" s="34"/>
      <c r="BI631" s="34"/>
      <c r="BJ631" s="34"/>
      <c r="BK631" s="34"/>
      <c r="BL631" s="34"/>
      <c r="BM631" s="34"/>
      <c r="BN631" s="34"/>
      <c r="BO631" s="35"/>
      <c r="BP631" s="35"/>
      <c r="BQ631" s="35"/>
      <c r="BR631" s="36"/>
      <c r="BS631" s="35"/>
      <c r="BT631" s="35"/>
    </row>
    <row r="632" spans="1:72">
      <c r="A632" s="29"/>
      <c r="K632" s="32"/>
      <c r="L632" s="32"/>
      <c r="R632" s="32"/>
      <c r="AC632" s="30"/>
      <c r="AH632" s="32"/>
      <c r="AI632" s="32"/>
      <c r="AJ632" s="32"/>
      <c r="AK632" s="32"/>
      <c r="AX632" s="34"/>
      <c r="AY632" s="34"/>
      <c r="AZ632" s="34"/>
      <c r="BA632" s="34"/>
      <c r="BB632" s="34"/>
      <c r="BC632" s="34"/>
      <c r="BD632" s="34"/>
      <c r="BE632" s="34"/>
      <c r="BF632" s="34"/>
      <c r="BG632" s="34"/>
      <c r="BH632" s="34"/>
      <c r="BI632" s="34"/>
      <c r="BJ632" s="34"/>
      <c r="BK632" s="34"/>
      <c r="BL632" s="34"/>
      <c r="BM632" s="34"/>
      <c r="BN632" s="34"/>
      <c r="BO632" s="35"/>
      <c r="BP632" s="35"/>
      <c r="BQ632" s="35"/>
      <c r="BR632" s="36"/>
      <c r="BS632" s="35"/>
      <c r="BT632" s="35"/>
    </row>
    <row r="633" spans="1:72">
      <c r="A633" s="29"/>
      <c r="K633" s="32"/>
      <c r="L633" s="32"/>
      <c r="R633" s="32"/>
      <c r="AC633" s="30"/>
      <c r="AH633" s="32"/>
      <c r="AI633" s="32"/>
      <c r="AJ633" s="32"/>
      <c r="AK633" s="32"/>
      <c r="AX633" s="34"/>
      <c r="AY633" s="34"/>
      <c r="AZ633" s="34"/>
      <c r="BA633" s="34"/>
      <c r="BB633" s="34"/>
      <c r="BC633" s="34"/>
      <c r="BD633" s="34"/>
      <c r="BE633" s="34"/>
      <c r="BF633" s="34"/>
      <c r="BG633" s="34"/>
      <c r="BH633" s="34"/>
      <c r="BI633" s="34"/>
      <c r="BJ633" s="34"/>
      <c r="BK633" s="34"/>
      <c r="BL633" s="34"/>
      <c r="BM633" s="34"/>
      <c r="BN633" s="34"/>
      <c r="BO633" s="35"/>
      <c r="BP633" s="35"/>
      <c r="BQ633" s="35"/>
      <c r="BR633" s="36"/>
      <c r="BS633" s="35"/>
      <c r="BT633" s="35"/>
    </row>
    <row r="634" spans="1:72">
      <c r="A634" s="29"/>
      <c r="K634" s="32"/>
      <c r="L634" s="32"/>
      <c r="R634" s="32"/>
      <c r="AC634" s="30"/>
      <c r="AH634" s="32"/>
      <c r="AI634" s="32"/>
      <c r="AJ634" s="32"/>
      <c r="AK634" s="32"/>
      <c r="AX634" s="34"/>
      <c r="AY634" s="34"/>
      <c r="AZ634" s="34"/>
      <c r="BA634" s="34"/>
      <c r="BB634" s="34"/>
      <c r="BC634" s="34"/>
      <c r="BD634" s="34"/>
      <c r="BE634" s="34"/>
      <c r="BF634" s="34"/>
      <c r="BG634" s="34"/>
      <c r="BH634" s="34"/>
      <c r="BI634" s="34"/>
      <c r="BJ634" s="34"/>
      <c r="BK634" s="34"/>
      <c r="BL634" s="34"/>
      <c r="BM634" s="34"/>
      <c r="BN634" s="34"/>
      <c r="BO634" s="35"/>
      <c r="BP634" s="35"/>
      <c r="BQ634" s="35"/>
      <c r="BR634" s="36"/>
      <c r="BS634" s="35"/>
      <c r="BT634" s="35"/>
    </row>
    <row r="635" spans="1:72">
      <c r="A635" s="29"/>
      <c r="K635" s="32"/>
      <c r="L635" s="32"/>
      <c r="R635" s="32"/>
      <c r="AC635" s="30"/>
      <c r="AH635" s="32"/>
      <c r="AI635" s="32"/>
      <c r="AJ635" s="32"/>
      <c r="AK635" s="32"/>
      <c r="AX635" s="34"/>
      <c r="AY635" s="34"/>
      <c r="AZ635" s="34"/>
      <c r="BA635" s="34"/>
      <c r="BB635" s="34"/>
      <c r="BC635" s="34"/>
      <c r="BD635" s="34"/>
      <c r="BE635" s="34"/>
      <c r="BF635" s="34"/>
      <c r="BG635" s="34"/>
      <c r="BH635" s="34"/>
      <c r="BI635" s="34"/>
      <c r="BJ635" s="34"/>
      <c r="BK635" s="34"/>
      <c r="BL635" s="34"/>
      <c r="BM635" s="34"/>
      <c r="BN635" s="34"/>
      <c r="BO635" s="35"/>
      <c r="BP635" s="35"/>
      <c r="BQ635" s="35"/>
      <c r="BR635" s="36"/>
      <c r="BS635" s="35"/>
      <c r="BT635" s="35"/>
    </row>
    <row r="636" spans="1:72">
      <c r="A636" s="29"/>
      <c r="K636" s="32"/>
      <c r="L636" s="32"/>
      <c r="R636" s="32"/>
      <c r="AC636" s="30"/>
      <c r="AH636" s="32"/>
      <c r="AI636" s="32"/>
      <c r="AJ636" s="32"/>
      <c r="AK636" s="32"/>
      <c r="AX636" s="34"/>
      <c r="AY636" s="34"/>
      <c r="AZ636" s="34"/>
      <c r="BA636" s="34"/>
      <c r="BB636" s="34"/>
      <c r="BC636" s="34"/>
      <c r="BD636" s="34"/>
      <c r="BE636" s="34"/>
      <c r="BF636" s="34"/>
      <c r="BG636" s="34"/>
      <c r="BH636" s="34"/>
      <c r="BI636" s="34"/>
      <c r="BJ636" s="34"/>
      <c r="BK636" s="34"/>
      <c r="BL636" s="34"/>
      <c r="BM636" s="34"/>
      <c r="BN636" s="34"/>
      <c r="BO636" s="35"/>
      <c r="BP636" s="35"/>
      <c r="BQ636" s="35"/>
      <c r="BR636" s="36"/>
      <c r="BS636" s="35"/>
      <c r="BT636" s="35"/>
    </row>
    <row r="637" spans="1:72">
      <c r="A637" s="29"/>
      <c r="K637" s="32"/>
      <c r="L637" s="32"/>
      <c r="R637" s="32"/>
      <c r="AC637" s="30"/>
      <c r="AH637" s="32"/>
      <c r="AI637" s="32"/>
      <c r="AJ637" s="32"/>
      <c r="AK637" s="32"/>
      <c r="AX637" s="34"/>
      <c r="AY637" s="34"/>
      <c r="AZ637" s="34"/>
      <c r="BA637" s="34"/>
      <c r="BB637" s="34"/>
      <c r="BC637" s="34"/>
      <c r="BD637" s="34"/>
      <c r="BE637" s="34"/>
      <c r="BF637" s="34"/>
      <c r="BG637" s="34"/>
      <c r="BH637" s="34"/>
      <c r="BI637" s="34"/>
      <c r="BJ637" s="34"/>
      <c r="BK637" s="34"/>
      <c r="BL637" s="34"/>
      <c r="BM637" s="34"/>
      <c r="BN637" s="34"/>
      <c r="BO637" s="35"/>
      <c r="BP637" s="35"/>
      <c r="BQ637" s="35"/>
      <c r="BR637" s="36"/>
      <c r="BS637" s="35"/>
      <c r="BT637" s="35"/>
    </row>
    <row r="638" spans="1:72">
      <c r="A638" s="29"/>
      <c r="K638" s="32"/>
      <c r="L638" s="32"/>
      <c r="R638" s="32"/>
      <c r="AC638" s="30"/>
      <c r="AH638" s="32"/>
      <c r="AI638" s="32"/>
      <c r="AJ638" s="32"/>
      <c r="AK638" s="32"/>
      <c r="AX638" s="34"/>
      <c r="AY638" s="34"/>
      <c r="AZ638" s="34"/>
      <c r="BA638" s="34"/>
      <c r="BB638" s="34"/>
      <c r="BC638" s="34"/>
      <c r="BD638" s="34"/>
      <c r="BE638" s="34"/>
      <c r="BF638" s="34"/>
      <c r="BG638" s="34"/>
      <c r="BH638" s="34"/>
      <c r="BI638" s="34"/>
      <c r="BJ638" s="34"/>
      <c r="BK638" s="34"/>
      <c r="BL638" s="34"/>
      <c r="BM638" s="34"/>
      <c r="BN638" s="34"/>
      <c r="BO638" s="35"/>
      <c r="BP638" s="35"/>
      <c r="BQ638" s="35"/>
      <c r="BR638" s="36"/>
      <c r="BS638" s="35"/>
      <c r="BT638" s="35"/>
    </row>
    <row r="639" spans="1:72">
      <c r="A639" s="29"/>
      <c r="K639" s="32"/>
      <c r="L639" s="32"/>
      <c r="R639" s="32"/>
      <c r="AC639" s="30"/>
      <c r="AH639" s="32"/>
      <c r="AI639" s="32"/>
      <c r="AJ639" s="32"/>
      <c r="AK639" s="32"/>
      <c r="AX639" s="34"/>
      <c r="AY639" s="34"/>
      <c r="AZ639" s="34"/>
      <c r="BA639" s="34"/>
      <c r="BB639" s="34"/>
      <c r="BC639" s="34"/>
      <c r="BD639" s="34"/>
      <c r="BE639" s="34"/>
      <c r="BF639" s="34"/>
      <c r="BG639" s="34"/>
      <c r="BH639" s="34"/>
      <c r="BI639" s="34"/>
      <c r="BJ639" s="34"/>
      <c r="BK639" s="34"/>
      <c r="BL639" s="34"/>
      <c r="BM639" s="34"/>
      <c r="BN639" s="34"/>
      <c r="BO639" s="35"/>
      <c r="BP639" s="35"/>
      <c r="BQ639" s="35"/>
      <c r="BR639" s="36"/>
      <c r="BS639" s="35"/>
      <c r="BT639" s="35"/>
    </row>
    <row r="640" spans="1:72">
      <c r="A640" s="29"/>
      <c r="K640" s="32"/>
      <c r="L640" s="32"/>
      <c r="R640" s="32"/>
      <c r="AC640" s="30"/>
      <c r="AH640" s="32"/>
      <c r="AI640" s="32"/>
      <c r="AJ640" s="32"/>
      <c r="AK640" s="32"/>
      <c r="AX640" s="34"/>
      <c r="AY640" s="34"/>
      <c r="AZ640" s="34"/>
      <c r="BA640" s="34"/>
      <c r="BB640" s="34"/>
      <c r="BC640" s="34"/>
      <c r="BD640" s="34"/>
      <c r="BE640" s="34"/>
      <c r="BF640" s="34"/>
      <c r="BG640" s="34"/>
      <c r="BH640" s="34"/>
      <c r="BI640" s="34"/>
      <c r="BJ640" s="34"/>
      <c r="BK640" s="34"/>
      <c r="BL640" s="34"/>
      <c r="BM640" s="34"/>
      <c r="BN640" s="34"/>
      <c r="BO640" s="35"/>
      <c r="BP640" s="35"/>
      <c r="BQ640" s="35"/>
      <c r="BR640" s="36"/>
      <c r="BS640" s="35"/>
      <c r="BT640" s="35"/>
    </row>
    <row r="641" spans="1:72">
      <c r="A641" s="29"/>
      <c r="K641" s="32"/>
      <c r="L641" s="32"/>
      <c r="R641" s="32"/>
      <c r="AC641" s="30"/>
      <c r="AH641" s="32"/>
      <c r="AI641" s="32"/>
      <c r="AJ641" s="32"/>
      <c r="AK641" s="32"/>
      <c r="AX641" s="34"/>
      <c r="AY641" s="34"/>
      <c r="AZ641" s="34"/>
      <c r="BA641" s="34"/>
      <c r="BB641" s="34"/>
      <c r="BC641" s="34"/>
      <c r="BD641" s="34"/>
      <c r="BE641" s="34"/>
      <c r="BF641" s="34"/>
      <c r="BG641" s="34"/>
      <c r="BH641" s="34"/>
      <c r="BI641" s="34"/>
      <c r="BJ641" s="34"/>
      <c r="BK641" s="34"/>
      <c r="BL641" s="34"/>
      <c r="BM641" s="34"/>
      <c r="BN641" s="34"/>
      <c r="BO641" s="35"/>
      <c r="BP641" s="35"/>
      <c r="BQ641" s="35"/>
      <c r="BR641" s="36"/>
      <c r="BS641" s="35"/>
      <c r="BT641" s="35"/>
    </row>
    <row r="642" spans="1:72">
      <c r="A642" s="29"/>
      <c r="K642" s="32"/>
      <c r="L642" s="32"/>
      <c r="R642" s="32"/>
      <c r="AC642" s="30"/>
      <c r="AH642" s="32"/>
      <c r="AI642" s="32"/>
      <c r="AJ642" s="32"/>
      <c r="AK642" s="32"/>
      <c r="AX642" s="34"/>
      <c r="AY642" s="34"/>
      <c r="AZ642" s="34"/>
      <c r="BA642" s="34"/>
      <c r="BB642" s="34"/>
      <c r="BC642" s="34"/>
      <c r="BD642" s="34"/>
      <c r="BE642" s="34"/>
      <c r="BF642" s="34"/>
      <c r="BG642" s="34"/>
      <c r="BH642" s="34"/>
      <c r="BI642" s="34"/>
      <c r="BJ642" s="34"/>
      <c r="BK642" s="34"/>
      <c r="BL642" s="34"/>
      <c r="BM642" s="34"/>
      <c r="BN642" s="34"/>
      <c r="BO642" s="35"/>
      <c r="BP642" s="35"/>
      <c r="BQ642" s="35"/>
      <c r="BR642" s="36"/>
      <c r="BS642" s="35"/>
      <c r="BT642" s="35"/>
    </row>
    <row r="643" spans="1:72">
      <c r="A643" s="29"/>
      <c r="K643" s="32"/>
      <c r="L643" s="32"/>
      <c r="R643" s="32"/>
      <c r="AC643" s="30"/>
      <c r="AH643" s="32"/>
      <c r="AI643" s="32"/>
      <c r="AJ643" s="32"/>
      <c r="AK643" s="32"/>
      <c r="AX643" s="34"/>
      <c r="AY643" s="34"/>
      <c r="AZ643" s="34"/>
      <c r="BA643" s="34"/>
      <c r="BB643" s="34"/>
      <c r="BC643" s="34"/>
      <c r="BD643" s="34"/>
      <c r="BE643" s="34"/>
      <c r="BF643" s="34"/>
      <c r="BG643" s="34"/>
      <c r="BH643" s="34"/>
      <c r="BI643" s="34"/>
      <c r="BJ643" s="34"/>
      <c r="BK643" s="34"/>
      <c r="BL643" s="34"/>
      <c r="BM643" s="34"/>
      <c r="BN643" s="34"/>
      <c r="BO643" s="35"/>
      <c r="BP643" s="35"/>
      <c r="BQ643" s="35"/>
      <c r="BR643" s="36"/>
      <c r="BS643" s="35"/>
      <c r="BT643" s="35"/>
    </row>
    <row r="644" spans="1:72">
      <c r="A644" s="29"/>
      <c r="K644" s="32"/>
      <c r="L644" s="32"/>
      <c r="R644" s="32"/>
      <c r="AC644" s="30"/>
      <c r="AH644" s="32"/>
      <c r="AI644" s="32"/>
      <c r="AJ644" s="32"/>
      <c r="AK644" s="32"/>
      <c r="AX644" s="34"/>
      <c r="AY644" s="34"/>
      <c r="AZ644" s="34"/>
      <c r="BA644" s="34"/>
      <c r="BB644" s="34"/>
      <c r="BC644" s="34"/>
      <c r="BD644" s="34"/>
      <c r="BE644" s="34"/>
      <c r="BF644" s="34"/>
      <c r="BG644" s="34"/>
      <c r="BH644" s="34"/>
      <c r="BI644" s="34"/>
      <c r="BJ644" s="34"/>
      <c r="BK644" s="34"/>
      <c r="BL644" s="34"/>
      <c r="BM644" s="34"/>
      <c r="BN644" s="34"/>
      <c r="BO644" s="35"/>
      <c r="BP644" s="35"/>
      <c r="BQ644" s="35"/>
      <c r="BR644" s="36"/>
      <c r="BS644" s="35"/>
      <c r="BT644" s="35"/>
    </row>
    <row r="645" spans="1:72">
      <c r="A645" s="29"/>
      <c r="K645" s="32"/>
      <c r="L645" s="32"/>
      <c r="R645" s="32"/>
      <c r="AC645" s="30"/>
      <c r="AH645" s="32"/>
      <c r="AI645" s="32"/>
      <c r="AJ645" s="32"/>
      <c r="AK645" s="32"/>
      <c r="AX645" s="34"/>
      <c r="AY645" s="34"/>
      <c r="AZ645" s="34"/>
      <c r="BA645" s="34"/>
      <c r="BB645" s="34"/>
      <c r="BC645" s="34"/>
      <c r="BD645" s="34"/>
      <c r="BE645" s="34"/>
      <c r="BF645" s="34"/>
      <c r="BG645" s="34"/>
      <c r="BH645" s="34"/>
      <c r="BI645" s="34"/>
      <c r="BJ645" s="34"/>
      <c r="BK645" s="34"/>
      <c r="BL645" s="34"/>
      <c r="BM645" s="34"/>
      <c r="BN645" s="34"/>
      <c r="BO645" s="35"/>
      <c r="BP645" s="35"/>
      <c r="BQ645" s="35"/>
      <c r="BR645" s="36"/>
      <c r="BS645" s="35"/>
      <c r="BT645" s="35"/>
    </row>
    <row r="646" spans="1:72">
      <c r="A646" s="29"/>
      <c r="K646" s="32"/>
      <c r="L646" s="32"/>
      <c r="R646" s="32"/>
      <c r="AC646" s="30"/>
      <c r="AH646" s="32"/>
      <c r="AI646" s="32"/>
      <c r="AJ646" s="32"/>
      <c r="AK646" s="32"/>
      <c r="AX646" s="34"/>
      <c r="AY646" s="34"/>
      <c r="AZ646" s="34"/>
      <c r="BA646" s="34"/>
      <c r="BB646" s="34"/>
      <c r="BC646" s="34"/>
      <c r="BD646" s="34"/>
      <c r="BE646" s="34"/>
      <c r="BF646" s="34"/>
      <c r="BG646" s="34"/>
      <c r="BH646" s="34"/>
      <c r="BI646" s="34"/>
      <c r="BJ646" s="34"/>
      <c r="BK646" s="34"/>
      <c r="BL646" s="34"/>
      <c r="BM646" s="34"/>
      <c r="BN646" s="34"/>
      <c r="BO646" s="35"/>
      <c r="BP646" s="35"/>
      <c r="BQ646" s="35"/>
      <c r="BR646" s="36"/>
      <c r="BS646" s="35"/>
      <c r="BT646" s="35"/>
    </row>
    <row r="647" spans="1:72">
      <c r="A647" s="29"/>
      <c r="K647" s="32"/>
      <c r="L647" s="32"/>
      <c r="R647" s="32"/>
      <c r="AC647" s="30"/>
      <c r="AH647" s="32"/>
      <c r="AI647" s="32"/>
      <c r="AJ647" s="32"/>
      <c r="AK647" s="32"/>
      <c r="AX647" s="34"/>
      <c r="AY647" s="34"/>
      <c r="AZ647" s="34"/>
      <c r="BA647" s="34"/>
      <c r="BB647" s="34"/>
      <c r="BC647" s="34"/>
      <c r="BD647" s="34"/>
      <c r="BE647" s="34"/>
      <c r="BF647" s="34"/>
      <c r="BG647" s="34"/>
      <c r="BH647" s="34"/>
      <c r="BI647" s="34"/>
      <c r="BJ647" s="34"/>
      <c r="BK647" s="34"/>
      <c r="BL647" s="34"/>
      <c r="BM647" s="34"/>
      <c r="BN647" s="34"/>
      <c r="BO647" s="35"/>
      <c r="BP647" s="35"/>
      <c r="BQ647" s="35"/>
      <c r="BR647" s="36"/>
      <c r="BS647" s="35"/>
      <c r="BT647" s="35"/>
    </row>
    <row r="648" spans="1:72">
      <c r="A648" s="29"/>
      <c r="K648" s="32"/>
      <c r="L648" s="32"/>
      <c r="R648" s="32"/>
      <c r="AC648" s="30"/>
      <c r="AH648" s="32"/>
      <c r="AI648" s="32"/>
      <c r="AJ648" s="32"/>
      <c r="AK648" s="32"/>
      <c r="AX648" s="34"/>
      <c r="AY648" s="34"/>
      <c r="AZ648" s="34"/>
      <c r="BA648" s="34"/>
      <c r="BB648" s="34"/>
      <c r="BC648" s="34"/>
      <c r="BD648" s="34"/>
      <c r="BE648" s="34"/>
      <c r="BF648" s="34"/>
      <c r="BG648" s="34"/>
      <c r="BH648" s="34"/>
      <c r="BI648" s="34"/>
      <c r="BJ648" s="34"/>
      <c r="BK648" s="34"/>
      <c r="BL648" s="34"/>
      <c r="BM648" s="34"/>
      <c r="BN648" s="34"/>
      <c r="BO648" s="35"/>
      <c r="BP648" s="35"/>
      <c r="BQ648" s="35"/>
      <c r="BR648" s="36"/>
      <c r="BS648" s="35"/>
      <c r="BT648" s="35"/>
    </row>
    <row r="649" spans="1:72">
      <c r="A649" s="29"/>
      <c r="K649" s="32"/>
      <c r="L649" s="32"/>
      <c r="R649" s="32"/>
      <c r="AC649" s="30"/>
      <c r="AH649" s="32"/>
      <c r="AI649" s="32"/>
      <c r="AJ649" s="32"/>
      <c r="AK649" s="32"/>
      <c r="AX649" s="34"/>
      <c r="AY649" s="34"/>
      <c r="AZ649" s="34"/>
      <c r="BA649" s="34"/>
      <c r="BB649" s="34"/>
      <c r="BC649" s="34"/>
      <c r="BD649" s="34"/>
      <c r="BE649" s="34"/>
      <c r="BF649" s="34"/>
      <c r="BG649" s="34"/>
      <c r="BH649" s="34"/>
      <c r="BI649" s="34"/>
      <c r="BJ649" s="34"/>
      <c r="BK649" s="34"/>
      <c r="BL649" s="34"/>
      <c r="BM649" s="34"/>
      <c r="BN649" s="34"/>
      <c r="BO649" s="35"/>
      <c r="BP649" s="35"/>
      <c r="BQ649" s="35"/>
      <c r="BR649" s="36"/>
      <c r="BS649" s="35"/>
      <c r="BT649" s="35"/>
    </row>
    <row r="650" spans="1:72">
      <c r="A650" s="29"/>
      <c r="K650" s="32"/>
      <c r="L650" s="32"/>
      <c r="R650" s="32"/>
      <c r="AC650" s="30"/>
      <c r="AH650" s="32"/>
      <c r="AI650" s="32"/>
      <c r="AJ650" s="32"/>
      <c r="AK650" s="32"/>
      <c r="AX650" s="34"/>
      <c r="AY650" s="34"/>
      <c r="AZ650" s="34"/>
      <c r="BA650" s="34"/>
      <c r="BB650" s="34"/>
      <c r="BC650" s="34"/>
      <c r="BD650" s="34"/>
      <c r="BE650" s="34"/>
      <c r="BF650" s="34"/>
      <c r="BG650" s="34"/>
      <c r="BH650" s="34"/>
      <c r="BI650" s="34"/>
      <c r="BJ650" s="34"/>
      <c r="BK650" s="34"/>
      <c r="BL650" s="34"/>
      <c r="BM650" s="34"/>
      <c r="BN650" s="34"/>
      <c r="BO650" s="35"/>
      <c r="BP650" s="35"/>
      <c r="BQ650" s="35"/>
      <c r="BR650" s="36"/>
      <c r="BS650" s="35"/>
      <c r="BT650" s="35"/>
    </row>
    <row r="651" spans="1:72">
      <c r="A651" s="29"/>
      <c r="K651" s="32"/>
      <c r="L651" s="32"/>
      <c r="R651" s="32"/>
      <c r="AC651" s="30"/>
      <c r="AH651" s="32"/>
      <c r="AI651" s="32"/>
      <c r="AJ651" s="32"/>
      <c r="AK651" s="32"/>
      <c r="AX651" s="34"/>
      <c r="AY651" s="34"/>
      <c r="AZ651" s="34"/>
      <c r="BA651" s="34"/>
      <c r="BB651" s="34"/>
      <c r="BC651" s="34"/>
      <c r="BD651" s="34"/>
      <c r="BE651" s="34"/>
      <c r="BF651" s="34"/>
      <c r="BG651" s="34"/>
      <c r="BH651" s="34"/>
      <c r="BI651" s="34"/>
      <c r="BJ651" s="34"/>
      <c r="BK651" s="34"/>
      <c r="BL651" s="34"/>
      <c r="BM651" s="34"/>
      <c r="BN651" s="34"/>
      <c r="BO651" s="35"/>
      <c r="BP651" s="35"/>
      <c r="BQ651" s="35"/>
      <c r="BR651" s="36"/>
      <c r="BS651" s="35"/>
      <c r="BT651" s="35"/>
    </row>
    <row r="652" spans="1:72">
      <c r="A652" s="29"/>
      <c r="K652" s="32"/>
      <c r="L652" s="32"/>
      <c r="R652" s="32"/>
      <c r="AC652" s="30"/>
      <c r="AH652" s="32"/>
      <c r="AI652" s="32"/>
      <c r="AJ652" s="32"/>
      <c r="AK652" s="32"/>
      <c r="AX652" s="34"/>
      <c r="AY652" s="34"/>
      <c r="AZ652" s="34"/>
      <c r="BA652" s="34"/>
      <c r="BB652" s="34"/>
      <c r="BC652" s="34"/>
      <c r="BD652" s="34"/>
      <c r="BE652" s="34"/>
      <c r="BF652" s="34"/>
      <c r="BG652" s="34"/>
      <c r="BH652" s="34"/>
      <c r="BI652" s="34"/>
      <c r="BJ652" s="34"/>
      <c r="BK652" s="34"/>
      <c r="BL652" s="34"/>
      <c r="BM652" s="34"/>
      <c r="BN652" s="34"/>
      <c r="BO652" s="35"/>
      <c r="BP652" s="35"/>
      <c r="BQ652" s="35"/>
      <c r="BR652" s="36"/>
      <c r="BS652" s="35"/>
      <c r="BT652" s="35"/>
    </row>
    <row r="653" spans="1:72">
      <c r="A653" s="29"/>
      <c r="K653" s="32"/>
      <c r="L653" s="32"/>
      <c r="R653" s="32"/>
      <c r="AC653" s="30"/>
      <c r="AH653" s="32"/>
      <c r="AI653" s="32"/>
      <c r="AJ653" s="32"/>
      <c r="AK653" s="32"/>
      <c r="AX653" s="34"/>
      <c r="AY653" s="34"/>
      <c r="AZ653" s="34"/>
      <c r="BA653" s="34"/>
      <c r="BB653" s="34"/>
      <c r="BC653" s="34"/>
      <c r="BD653" s="34"/>
      <c r="BE653" s="34"/>
      <c r="BF653" s="34"/>
      <c r="BG653" s="34"/>
      <c r="BH653" s="34"/>
      <c r="BI653" s="34"/>
      <c r="BJ653" s="34"/>
      <c r="BK653" s="34"/>
      <c r="BL653" s="34"/>
      <c r="BM653" s="34"/>
      <c r="BN653" s="34"/>
      <c r="BO653" s="35"/>
      <c r="BP653" s="35"/>
      <c r="BQ653" s="35"/>
      <c r="BR653" s="36"/>
      <c r="BS653" s="35"/>
      <c r="BT653" s="35"/>
    </row>
    <row r="654" spans="1:72">
      <c r="A654" s="29"/>
      <c r="K654" s="32"/>
      <c r="L654" s="32"/>
      <c r="R654" s="32"/>
      <c r="AC654" s="30"/>
      <c r="AH654" s="32"/>
      <c r="AI654" s="32"/>
      <c r="AJ654" s="32"/>
      <c r="AK654" s="32"/>
      <c r="AX654" s="34"/>
      <c r="AY654" s="34"/>
      <c r="AZ654" s="34"/>
      <c r="BA654" s="34"/>
      <c r="BB654" s="34"/>
      <c r="BC654" s="34"/>
      <c r="BD654" s="34"/>
      <c r="BE654" s="34"/>
      <c r="BF654" s="34"/>
      <c r="BG654" s="34"/>
      <c r="BH654" s="34"/>
      <c r="BI654" s="34"/>
      <c r="BJ654" s="34"/>
      <c r="BK654" s="34"/>
      <c r="BL654" s="34"/>
      <c r="BM654" s="34"/>
      <c r="BN654" s="34"/>
      <c r="BO654" s="35"/>
      <c r="BP654" s="35"/>
      <c r="BQ654" s="35"/>
      <c r="BR654" s="36"/>
      <c r="BS654" s="35"/>
      <c r="BT654" s="35"/>
    </row>
    <row r="655" spans="1:72">
      <c r="A655" s="29"/>
      <c r="K655" s="32"/>
      <c r="L655" s="32"/>
      <c r="R655" s="32"/>
      <c r="AC655" s="30"/>
      <c r="AH655" s="32"/>
      <c r="AI655" s="32"/>
      <c r="AJ655" s="32"/>
      <c r="AK655" s="32"/>
      <c r="AX655" s="34"/>
      <c r="AY655" s="34"/>
      <c r="AZ655" s="34"/>
      <c r="BA655" s="34"/>
      <c r="BB655" s="34"/>
      <c r="BC655" s="34"/>
      <c r="BD655" s="34"/>
      <c r="BE655" s="34"/>
      <c r="BF655" s="34"/>
      <c r="BG655" s="34"/>
      <c r="BH655" s="34"/>
      <c r="BI655" s="34"/>
      <c r="BJ655" s="34"/>
      <c r="BK655" s="34"/>
      <c r="BL655" s="34"/>
      <c r="BM655" s="34"/>
      <c r="BN655" s="34"/>
      <c r="BO655" s="35"/>
      <c r="BP655" s="35"/>
      <c r="BQ655" s="35"/>
      <c r="BR655" s="36"/>
      <c r="BS655" s="35"/>
      <c r="BT655" s="35"/>
    </row>
    <row r="656" spans="1:72">
      <c r="A656" s="29"/>
      <c r="K656" s="32"/>
      <c r="L656" s="32"/>
      <c r="R656" s="32"/>
      <c r="AC656" s="30"/>
      <c r="AH656" s="32"/>
      <c r="AI656" s="32"/>
      <c r="AJ656" s="32"/>
      <c r="AK656" s="32"/>
      <c r="AX656" s="34"/>
      <c r="AY656" s="34"/>
      <c r="AZ656" s="34"/>
      <c r="BA656" s="34"/>
      <c r="BB656" s="34"/>
      <c r="BC656" s="34"/>
      <c r="BD656" s="34"/>
      <c r="BE656" s="34"/>
      <c r="BF656" s="34"/>
      <c r="BG656" s="34"/>
      <c r="BH656" s="34"/>
      <c r="BI656" s="34"/>
      <c r="BJ656" s="34"/>
      <c r="BK656" s="34"/>
      <c r="BL656" s="34"/>
      <c r="BM656" s="34"/>
      <c r="BN656" s="34"/>
      <c r="BO656" s="35"/>
      <c r="BP656" s="35"/>
      <c r="BQ656" s="35"/>
      <c r="BR656" s="36"/>
      <c r="BS656" s="35"/>
      <c r="BT656" s="35"/>
    </row>
    <row r="657" spans="1:72">
      <c r="A657" s="29"/>
      <c r="K657" s="32"/>
      <c r="L657" s="32"/>
      <c r="R657" s="32"/>
      <c r="AC657" s="30"/>
      <c r="AH657" s="32"/>
      <c r="AI657" s="32"/>
      <c r="AJ657" s="32"/>
      <c r="AK657" s="32"/>
      <c r="AX657" s="34"/>
      <c r="AY657" s="34"/>
      <c r="AZ657" s="34"/>
      <c r="BA657" s="34"/>
      <c r="BB657" s="34"/>
      <c r="BC657" s="34"/>
      <c r="BD657" s="34"/>
      <c r="BE657" s="34"/>
      <c r="BF657" s="34"/>
      <c r="BG657" s="34"/>
      <c r="BH657" s="34"/>
      <c r="BI657" s="34"/>
      <c r="BJ657" s="34"/>
      <c r="BK657" s="34"/>
      <c r="BL657" s="34"/>
      <c r="BM657" s="34"/>
      <c r="BN657" s="34"/>
      <c r="BO657" s="35"/>
      <c r="BP657" s="35"/>
      <c r="BQ657" s="35"/>
      <c r="BR657" s="36"/>
      <c r="BS657" s="35"/>
      <c r="BT657" s="35"/>
    </row>
    <row r="658" spans="1:72">
      <c r="A658" s="29"/>
      <c r="K658" s="32"/>
      <c r="L658" s="32"/>
      <c r="R658" s="32"/>
      <c r="AC658" s="30"/>
      <c r="AH658" s="32"/>
      <c r="AI658" s="32"/>
      <c r="AJ658" s="32"/>
      <c r="AK658" s="32"/>
      <c r="AX658" s="34"/>
      <c r="AY658" s="34"/>
      <c r="AZ658" s="34"/>
      <c r="BA658" s="34"/>
      <c r="BB658" s="34"/>
      <c r="BC658" s="34"/>
      <c r="BD658" s="34"/>
      <c r="BE658" s="34"/>
      <c r="BF658" s="34"/>
      <c r="BG658" s="34"/>
      <c r="BH658" s="34"/>
      <c r="BI658" s="34"/>
      <c r="BJ658" s="34"/>
      <c r="BK658" s="34"/>
      <c r="BL658" s="34"/>
      <c r="BM658" s="34"/>
      <c r="BN658" s="34"/>
      <c r="BO658" s="35"/>
      <c r="BP658" s="35"/>
      <c r="BQ658" s="35"/>
      <c r="BR658" s="36"/>
      <c r="BS658" s="35"/>
      <c r="BT658" s="35"/>
    </row>
    <row r="659" spans="1:72">
      <c r="A659" s="29"/>
      <c r="K659" s="32"/>
      <c r="L659" s="32"/>
      <c r="R659" s="32"/>
      <c r="AC659" s="30"/>
      <c r="AH659" s="32"/>
      <c r="AI659" s="32"/>
      <c r="AJ659" s="32"/>
      <c r="AK659" s="32"/>
      <c r="AX659" s="34"/>
      <c r="AY659" s="34"/>
      <c r="AZ659" s="34"/>
      <c r="BA659" s="34"/>
      <c r="BB659" s="34"/>
      <c r="BC659" s="34"/>
      <c r="BD659" s="34"/>
      <c r="BE659" s="34"/>
      <c r="BF659" s="34"/>
      <c r="BG659" s="34"/>
      <c r="BH659" s="34"/>
      <c r="BI659" s="34"/>
      <c r="BJ659" s="34"/>
      <c r="BK659" s="34"/>
      <c r="BL659" s="34"/>
      <c r="BM659" s="34"/>
      <c r="BN659" s="34"/>
      <c r="BO659" s="35"/>
      <c r="BP659" s="35"/>
      <c r="BQ659" s="35"/>
      <c r="BR659" s="36"/>
      <c r="BS659" s="35"/>
      <c r="BT659" s="35"/>
    </row>
    <row r="660" spans="1:72">
      <c r="A660" s="29"/>
      <c r="K660" s="32"/>
      <c r="L660" s="32"/>
      <c r="R660" s="32"/>
      <c r="AC660" s="30"/>
      <c r="AH660" s="32"/>
      <c r="AI660" s="32"/>
      <c r="AJ660" s="32"/>
      <c r="AK660" s="32"/>
      <c r="AX660" s="34"/>
      <c r="AY660" s="34"/>
      <c r="AZ660" s="34"/>
      <c r="BA660" s="34"/>
      <c r="BB660" s="34"/>
      <c r="BC660" s="34"/>
      <c r="BD660" s="34"/>
      <c r="BE660" s="34"/>
      <c r="BF660" s="34"/>
      <c r="BG660" s="34"/>
      <c r="BH660" s="34"/>
      <c r="BI660" s="34"/>
      <c r="BJ660" s="34"/>
      <c r="BK660" s="34"/>
      <c r="BL660" s="34"/>
      <c r="BM660" s="34"/>
      <c r="BN660" s="34"/>
      <c r="BO660" s="35"/>
      <c r="BP660" s="35"/>
      <c r="BQ660" s="35"/>
      <c r="BR660" s="36"/>
      <c r="BS660" s="35"/>
      <c r="BT660" s="35"/>
    </row>
    <row r="661" spans="1:72">
      <c r="A661" s="29"/>
      <c r="K661" s="32"/>
      <c r="L661" s="32"/>
      <c r="R661" s="32"/>
      <c r="AC661" s="30"/>
      <c r="AH661" s="32"/>
      <c r="AI661" s="32"/>
      <c r="AJ661" s="32"/>
      <c r="AK661" s="32"/>
      <c r="AX661" s="34"/>
      <c r="AY661" s="34"/>
      <c r="AZ661" s="34"/>
      <c r="BA661" s="34"/>
      <c r="BB661" s="34"/>
      <c r="BC661" s="34"/>
      <c r="BD661" s="34"/>
      <c r="BE661" s="34"/>
      <c r="BF661" s="34"/>
      <c r="BG661" s="34"/>
      <c r="BH661" s="34"/>
      <c r="BI661" s="34"/>
      <c r="BJ661" s="34"/>
      <c r="BK661" s="34"/>
      <c r="BL661" s="34"/>
      <c r="BM661" s="34"/>
      <c r="BN661" s="34"/>
      <c r="BO661" s="35"/>
      <c r="BP661" s="35"/>
      <c r="BQ661" s="35"/>
      <c r="BR661" s="36"/>
      <c r="BS661" s="35"/>
      <c r="BT661" s="35"/>
    </row>
    <row r="662" spans="1:72">
      <c r="A662" s="29"/>
      <c r="K662" s="32"/>
      <c r="L662" s="32"/>
      <c r="R662" s="32"/>
      <c r="AC662" s="30"/>
      <c r="AH662" s="32"/>
      <c r="AI662" s="32"/>
      <c r="AJ662" s="32"/>
      <c r="AK662" s="32"/>
      <c r="AX662" s="34"/>
      <c r="AY662" s="34"/>
      <c r="AZ662" s="34"/>
      <c r="BA662" s="34"/>
      <c r="BB662" s="34"/>
      <c r="BC662" s="34"/>
      <c r="BD662" s="34"/>
      <c r="BE662" s="34"/>
      <c r="BF662" s="34"/>
      <c r="BG662" s="34"/>
      <c r="BH662" s="34"/>
      <c r="BI662" s="34"/>
      <c r="BJ662" s="34"/>
      <c r="BK662" s="34"/>
      <c r="BL662" s="34"/>
      <c r="BM662" s="34"/>
      <c r="BN662" s="34"/>
      <c r="BO662" s="35"/>
      <c r="BP662" s="35"/>
      <c r="BQ662" s="35"/>
      <c r="BR662" s="36"/>
      <c r="BS662" s="35"/>
      <c r="BT662" s="35"/>
    </row>
    <row r="663" spans="1:72">
      <c r="A663" s="29"/>
      <c r="K663" s="32"/>
      <c r="L663" s="32"/>
      <c r="R663" s="32"/>
      <c r="AC663" s="30"/>
      <c r="AH663" s="32"/>
      <c r="AI663" s="32"/>
      <c r="AJ663" s="32"/>
      <c r="AK663" s="32"/>
      <c r="AX663" s="34"/>
      <c r="AY663" s="34"/>
      <c r="AZ663" s="34"/>
      <c r="BA663" s="34"/>
      <c r="BB663" s="34"/>
      <c r="BC663" s="34"/>
      <c r="BD663" s="34"/>
      <c r="BE663" s="34"/>
      <c r="BF663" s="34"/>
      <c r="BG663" s="34"/>
      <c r="BH663" s="34"/>
      <c r="BI663" s="34"/>
      <c r="BJ663" s="34"/>
      <c r="BK663" s="34"/>
      <c r="BL663" s="34"/>
      <c r="BM663" s="34"/>
      <c r="BN663" s="34"/>
      <c r="BO663" s="35"/>
      <c r="BP663" s="35"/>
      <c r="BQ663" s="35"/>
      <c r="BR663" s="36"/>
      <c r="BS663" s="35"/>
      <c r="BT663" s="35"/>
    </row>
    <row r="664" spans="1:72">
      <c r="A664" s="29"/>
      <c r="K664" s="32"/>
      <c r="L664" s="32"/>
      <c r="R664" s="32"/>
      <c r="AC664" s="30"/>
      <c r="AH664" s="32"/>
      <c r="AI664" s="32"/>
      <c r="AJ664" s="32"/>
      <c r="AK664" s="32"/>
      <c r="AX664" s="34"/>
      <c r="AY664" s="34"/>
      <c r="AZ664" s="34"/>
      <c r="BA664" s="34"/>
      <c r="BB664" s="34"/>
      <c r="BC664" s="34"/>
      <c r="BD664" s="34"/>
      <c r="BE664" s="34"/>
      <c r="BF664" s="34"/>
      <c r="BG664" s="34"/>
      <c r="BH664" s="34"/>
      <c r="BI664" s="34"/>
      <c r="BJ664" s="34"/>
      <c r="BK664" s="34"/>
      <c r="BL664" s="34"/>
      <c r="BM664" s="34"/>
      <c r="BN664" s="34"/>
      <c r="BO664" s="35"/>
      <c r="BP664" s="35"/>
      <c r="BQ664" s="35"/>
      <c r="BR664" s="36"/>
      <c r="BS664" s="35"/>
      <c r="BT664" s="35"/>
    </row>
    <row r="665" spans="1:72">
      <c r="A665" s="29"/>
      <c r="K665" s="32"/>
      <c r="L665" s="32"/>
      <c r="R665" s="32"/>
      <c r="AC665" s="30"/>
      <c r="AH665" s="32"/>
      <c r="AI665" s="32"/>
      <c r="AJ665" s="32"/>
      <c r="AK665" s="32"/>
      <c r="AX665" s="34"/>
      <c r="AY665" s="34"/>
      <c r="AZ665" s="34"/>
      <c r="BA665" s="34"/>
      <c r="BB665" s="34"/>
      <c r="BC665" s="34"/>
      <c r="BD665" s="34"/>
      <c r="BE665" s="34"/>
      <c r="BF665" s="34"/>
      <c r="BG665" s="34"/>
      <c r="BH665" s="34"/>
      <c r="BI665" s="34"/>
      <c r="BJ665" s="34"/>
      <c r="BK665" s="34"/>
      <c r="BL665" s="34"/>
      <c r="BM665" s="34"/>
      <c r="BN665" s="34"/>
      <c r="BO665" s="35"/>
      <c r="BP665" s="35"/>
      <c r="BQ665" s="35"/>
      <c r="BR665" s="36"/>
      <c r="BS665" s="35"/>
      <c r="BT665" s="35"/>
    </row>
    <row r="666" spans="1:72">
      <c r="A666" s="29"/>
      <c r="K666" s="32"/>
      <c r="L666" s="32"/>
      <c r="R666" s="32"/>
      <c r="AC666" s="30"/>
      <c r="AH666" s="32"/>
      <c r="AI666" s="32"/>
      <c r="AJ666" s="32"/>
      <c r="AK666" s="32"/>
      <c r="AX666" s="34"/>
      <c r="AY666" s="34"/>
      <c r="AZ666" s="34"/>
      <c r="BA666" s="34"/>
      <c r="BB666" s="34"/>
      <c r="BC666" s="34"/>
      <c r="BD666" s="34"/>
      <c r="BE666" s="34"/>
      <c r="BF666" s="34"/>
      <c r="BG666" s="34"/>
      <c r="BH666" s="34"/>
      <c r="BI666" s="34"/>
      <c r="BJ666" s="34"/>
      <c r="BK666" s="34"/>
      <c r="BL666" s="34"/>
      <c r="BM666" s="34"/>
      <c r="BN666" s="34"/>
      <c r="BO666" s="35"/>
      <c r="BP666" s="35"/>
      <c r="BQ666" s="35"/>
      <c r="BR666" s="36"/>
      <c r="BS666" s="35"/>
      <c r="BT666" s="35"/>
    </row>
    <row r="667" spans="1:72">
      <c r="A667" s="29"/>
      <c r="K667" s="32"/>
      <c r="L667" s="32"/>
      <c r="R667" s="32"/>
      <c r="AC667" s="30"/>
      <c r="AH667" s="32"/>
      <c r="AI667" s="32"/>
      <c r="AJ667" s="32"/>
      <c r="AK667" s="32"/>
      <c r="AX667" s="34"/>
      <c r="AY667" s="34"/>
      <c r="AZ667" s="34"/>
      <c r="BA667" s="34"/>
      <c r="BB667" s="34"/>
      <c r="BC667" s="34"/>
      <c r="BD667" s="34"/>
      <c r="BE667" s="34"/>
      <c r="BF667" s="34"/>
      <c r="BG667" s="34"/>
      <c r="BH667" s="34"/>
      <c r="BI667" s="34"/>
      <c r="BJ667" s="34"/>
      <c r="BK667" s="34"/>
      <c r="BL667" s="34"/>
      <c r="BM667" s="34"/>
      <c r="BN667" s="34"/>
      <c r="BO667" s="35"/>
      <c r="BP667" s="35"/>
      <c r="BQ667" s="35"/>
      <c r="BR667" s="36"/>
      <c r="BS667" s="35"/>
      <c r="BT667" s="35"/>
    </row>
    <row r="668" spans="1:72">
      <c r="A668" s="29"/>
      <c r="K668" s="32"/>
      <c r="L668" s="32"/>
      <c r="R668" s="32"/>
      <c r="AC668" s="30"/>
      <c r="AH668" s="32"/>
      <c r="AI668" s="32"/>
      <c r="AJ668" s="32"/>
      <c r="AK668" s="32"/>
      <c r="AX668" s="34"/>
      <c r="AY668" s="34"/>
      <c r="AZ668" s="34"/>
      <c r="BA668" s="34"/>
      <c r="BB668" s="34"/>
      <c r="BC668" s="34"/>
      <c r="BD668" s="34"/>
      <c r="BE668" s="34"/>
      <c r="BF668" s="34"/>
      <c r="BG668" s="34"/>
      <c r="BH668" s="34"/>
      <c r="BI668" s="34"/>
      <c r="BJ668" s="34"/>
      <c r="BK668" s="34"/>
      <c r="BL668" s="34"/>
      <c r="BM668" s="34"/>
      <c r="BN668" s="34"/>
      <c r="BO668" s="35"/>
      <c r="BP668" s="35"/>
      <c r="BQ668" s="35"/>
      <c r="BR668" s="36"/>
      <c r="BS668" s="35"/>
      <c r="BT668" s="35"/>
    </row>
    <row r="669" spans="1:72">
      <c r="A669" s="29"/>
      <c r="K669" s="32"/>
      <c r="L669" s="32"/>
      <c r="R669" s="32"/>
      <c r="AC669" s="30"/>
      <c r="AH669" s="32"/>
      <c r="AI669" s="32"/>
      <c r="AJ669" s="32"/>
      <c r="AK669" s="32"/>
      <c r="AX669" s="34"/>
      <c r="AY669" s="34"/>
      <c r="AZ669" s="34"/>
      <c r="BA669" s="34"/>
      <c r="BB669" s="34"/>
      <c r="BC669" s="34"/>
      <c r="BD669" s="34"/>
      <c r="BE669" s="34"/>
      <c r="BF669" s="34"/>
      <c r="BG669" s="34"/>
      <c r="BH669" s="34"/>
      <c r="BI669" s="34"/>
      <c r="BJ669" s="34"/>
      <c r="BK669" s="34"/>
      <c r="BL669" s="34"/>
      <c r="BM669" s="34"/>
      <c r="BN669" s="34"/>
      <c r="BO669" s="35"/>
      <c r="BP669" s="35"/>
      <c r="BQ669" s="35"/>
      <c r="BR669" s="36"/>
      <c r="BS669" s="35"/>
      <c r="BT669" s="35"/>
    </row>
    <row r="670" spans="1:72">
      <c r="A670" s="29"/>
      <c r="K670" s="32"/>
      <c r="L670" s="32"/>
      <c r="R670" s="32"/>
      <c r="AC670" s="30"/>
      <c r="AH670" s="32"/>
      <c r="AI670" s="32"/>
      <c r="AJ670" s="32"/>
      <c r="AK670" s="32"/>
      <c r="AX670" s="34"/>
      <c r="AY670" s="34"/>
      <c r="AZ670" s="34"/>
      <c r="BA670" s="34"/>
      <c r="BB670" s="34"/>
      <c r="BC670" s="34"/>
      <c r="BD670" s="34"/>
      <c r="BE670" s="34"/>
      <c r="BF670" s="34"/>
      <c r="BG670" s="34"/>
      <c r="BH670" s="34"/>
      <c r="BI670" s="34"/>
      <c r="BJ670" s="34"/>
      <c r="BK670" s="34"/>
      <c r="BL670" s="34"/>
      <c r="BM670" s="34"/>
      <c r="BN670" s="34"/>
      <c r="BO670" s="35"/>
      <c r="BP670" s="35"/>
      <c r="BQ670" s="35"/>
      <c r="BR670" s="36"/>
      <c r="BS670" s="35"/>
      <c r="BT670" s="35"/>
    </row>
    <row r="671" spans="1:72">
      <c r="A671" s="29"/>
      <c r="K671" s="32"/>
      <c r="L671" s="32"/>
      <c r="R671" s="32"/>
      <c r="AC671" s="30"/>
      <c r="AH671" s="32"/>
      <c r="AI671" s="32"/>
      <c r="AJ671" s="32"/>
      <c r="AK671" s="32"/>
      <c r="AX671" s="34"/>
      <c r="AY671" s="34"/>
      <c r="AZ671" s="34"/>
      <c r="BA671" s="34"/>
      <c r="BB671" s="34"/>
      <c r="BC671" s="34"/>
      <c r="BD671" s="34"/>
      <c r="BE671" s="34"/>
      <c r="BF671" s="34"/>
      <c r="BG671" s="34"/>
      <c r="BH671" s="34"/>
      <c r="BI671" s="34"/>
      <c r="BJ671" s="34"/>
      <c r="BK671" s="34"/>
      <c r="BL671" s="34"/>
      <c r="BM671" s="34"/>
      <c r="BN671" s="34"/>
      <c r="BO671" s="35"/>
      <c r="BP671" s="35"/>
      <c r="BQ671" s="35"/>
      <c r="BR671" s="36"/>
      <c r="BS671" s="35"/>
      <c r="BT671" s="35"/>
    </row>
    <row r="672" spans="1:72">
      <c r="A672" s="29"/>
      <c r="K672" s="32"/>
      <c r="L672" s="32"/>
      <c r="R672" s="32"/>
      <c r="AC672" s="30"/>
      <c r="AH672" s="32"/>
      <c r="AI672" s="32"/>
      <c r="AJ672" s="32"/>
      <c r="AK672" s="32"/>
      <c r="AX672" s="34"/>
      <c r="AY672" s="34"/>
      <c r="AZ672" s="34"/>
      <c r="BA672" s="34"/>
      <c r="BB672" s="34"/>
      <c r="BC672" s="34"/>
      <c r="BD672" s="34"/>
      <c r="BE672" s="34"/>
      <c r="BF672" s="34"/>
      <c r="BG672" s="34"/>
      <c r="BH672" s="34"/>
      <c r="BI672" s="34"/>
      <c r="BJ672" s="34"/>
      <c r="BK672" s="34"/>
      <c r="BL672" s="34"/>
      <c r="BM672" s="34"/>
      <c r="BN672" s="34"/>
      <c r="BO672" s="35"/>
      <c r="BP672" s="35"/>
      <c r="BQ672" s="35"/>
      <c r="BR672" s="36"/>
      <c r="BS672" s="35"/>
      <c r="BT672" s="35"/>
    </row>
    <row r="673" spans="1:72">
      <c r="A673" s="29"/>
      <c r="K673" s="32"/>
      <c r="L673" s="32"/>
      <c r="R673" s="32"/>
      <c r="AC673" s="30"/>
      <c r="AH673" s="32"/>
      <c r="AI673" s="32"/>
      <c r="AJ673" s="32"/>
      <c r="AK673" s="32"/>
      <c r="AX673" s="34"/>
      <c r="AY673" s="34"/>
      <c r="AZ673" s="34"/>
      <c r="BA673" s="34"/>
      <c r="BB673" s="34"/>
      <c r="BC673" s="34"/>
      <c r="BD673" s="34"/>
      <c r="BE673" s="34"/>
      <c r="BF673" s="34"/>
      <c r="BG673" s="34"/>
      <c r="BH673" s="34"/>
      <c r="BI673" s="34"/>
      <c r="BJ673" s="34"/>
      <c r="BK673" s="34"/>
      <c r="BL673" s="34"/>
      <c r="BM673" s="34"/>
      <c r="BN673" s="34"/>
      <c r="BO673" s="35"/>
      <c r="BP673" s="35"/>
      <c r="BQ673" s="35"/>
      <c r="BR673" s="36"/>
      <c r="BS673" s="35"/>
      <c r="BT673" s="35"/>
    </row>
    <row r="674" spans="1:72">
      <c r="A674" s="29"/>
      <c r="K674" s="32"/>
      <c r="L674" s="32"/>
      <c r="R674" s="32"/>
      <c r="AC674" s="30"/>
      <c r="AH674" s="32"/>
      <c r="AI674" s="32"/>
      <c r="AJ674" s="32"/>
      <c r="AK674" s="32"/>
      <c r="AX674" s="34"/>
      <c r="AY674" s="34"/>
      <c r="AZ674" s="34"/>
      <c r="BA674" s="34"/>
      <c r="BB674" s="34"/>
      <c r="BC674" s="34"/>
      <c r="BD674" s="34"/>
      <c r="BE674" s="34"/>
      <c r="BF674" s="34"/>
      <c r="BG674" s="34"/>
      <c r="BH674" s="34"/>
      <c r="BI674" s="34"/>
      <c r="BJ674" s="34"/>
      <c r="BK674" s="34"/>
      <c r="BL674" s="34"/>
      <c r="BM674" s="34"/>
      <c r="BN674" s="34"/>
      <c r="BO674" s="35"/>
      <c r="BP674" s="35"/>
      <c r="BQ674" s="35"/>
      <c r="BR674" s="36"/>
      <c r="BS674" s="35"/>
      <c r="BT674" s="35"/>
    </row>
    <row r="675" spans="1:72">
      <c r="A675" s="29"/>
      <c r="K675" s="32"/>
      <c r="L675" s="32"/>
      <c r="R675" s="32"/>
      <c r="AC675" s="30"/>
      <c r="AH675" s="32"/>
      <c r="AI675" s="32"/>
      <c r="AJ675" s="32"/>
      <c r="AK675" s="32"/>
      <c r="AX675" s="34"/>
      <c r="AY675" s="34"/>
      <c r="AZ675" s="34"/>
      <c r="BA675" s="34"/>
      <c r="BB675" s="34"/>
      <c r="BC675" s="34"/>
      <c r="BD675" s="34"/>
      <c r="BE675" s="34"/>
      <c r="BF675" s="34"/>
      <c r="BG675" s="34"/>
      <c r="BH675" s="34"/>
      <c r="BI675" s="34"/>
      <c r="BJ675" s="34"/>
      <c r="BK675" s="34"/>
      <c r="BL675" s="34"/>
      <c r="BM675" s="34"/>
      <c r="BN675" s="34"/>
      <c r="BO675" s="35"/>
      <c r="BP675" s="35"/>
      <c r="BQ675" s="35"/>
      <c r="BR675" s="36"/>
      <c r="BS675" s="35"/>
      <c r="BT675" s="35"/>
    </row>
    <row r="676" spans="1:72">
      <c r="A676" s="29"/>
      <c r="K676" s="32"/>
      <c r="L676" s="32"/>
      <c r="R676" s="32"/>
      <c r="AC676" s="30"/>
      <c r="AH676" s="32"/>
      <c r="AI676" s="32"/>
      <c r="AJ676" s="32"/>
      <c r="AK676" s="32"/>
      <c r="AX676" s="34"/>
      <c r="AY676" s="34"/>
      <c r="AZ676" s="34"/>
      <c r="BA676" s="34"/>
      <c r="BB676" s="34"/>
      <c r="BC676" s="34"/>
      <c r="BD676" s="34"/>
      <c r="BE676" s="34"/>
      <c r="BF676" s="34"/>
      <c r="BG676" s="34"/>
      <c r="BH676" s="34"/>
      <c r="BI676" s="34"/>
      <c r="BJ676" s="34"/>
      <c r="BK676" s="34"/>
      <c r="BL676" s="34"/>
      <c r="BM676" s="34"/>
      <c r="BN676" s="34"/>
      <c r="BO676" s="35"/>
      <c r="BP676" s="35"/>
      <c r="BQ676" s="35"/>
      <c r="BR676" s="36"/>
      <c r="BS676" s="35"/>
      <c r="BT676" s="35"/>
    </row>
    <row r="677" spans="1:72">
      <c r="A677" s="29"/>
      <c r="K677" s="32"/>
      <c r="L677" s="32"/>
      <c r="R677" s="32"/>
      <c r="AC677" s="30"/>
      <c r="AH677" s="32"/>
      <c r="AI677" s="32"/>
      <c r="AJ677" s="32"/>
      <c r="AK677" s="32"/>
      <c r="AX677" s="34"/>
      <c r="AY677" s="34"/>
      <c r="AZ677" s="34"/>
      <c r="BA677" s="34"/>
      <c r="BB677" s="34"/>
      <c r="BC677" s="34"/>
      <c r="BD677" s="34"/>
      <c r="BE677" s="34"/>
      <c r="BF677" s="34"/>
      <c r="BG677" s="34"/>
      <c r="BH677" s="34"/>
      <c r="BI677" s="34"/>
      <c r="BJ677" s="34"/>
      <c r="BK677" s="34"/>
      <c r="BL677" s="34"/>
      <c r="BM677" s="34"/>
      <c r="BN677" s="34"/>
      <c r="BO677" s="35"/>
      <c r="BP677" s="35"/>
      <c r="BQ677" s="35"/>
      <c r="BR677" s="36"/>
      <c r="BS677" s="35"/>
      <c r="BT677" s="35"/>
    </row>
    <row r="678" spans="1:72">
      <c r="A678" s="29"/>
      <c r="K678" s="32"/>
      <c r="L678" s="32"/>
      <c r="R678" s="32"/>
      <c r="AC678" s="30"/>
      <c r="AH678" s="32"/>
      <c r="AI678" s="32"/>
      <c r="AJ678" s="32"/>
      <c r="AK678" s="32"/>
      <c r="AX678" s="34"/>
      <c r="AY678" s="34"/>
      <c r="AZ678" s="34"/>
      <c r="BA678" s="34"/>
      <c r="BB678" s="34"/>
      <c r="BC678" s="34"/>
      <c r="BD678" s="34"/>
      <c r="BE678" s="34"/>
      <c r="BF678" s="34"/>
      <c r="BG678" s="34"/>
      <c r="BH678" s="34"/>
      <c r="BI678" s="34"/>
      <c r="BJ678" s="34"/>
      <c r="BK678" s="34"/>
      <c r="BL678" s="34"/>
      <c r="BM678" s="34"/>
      <c r="BN678" s="34"/>
      <c r="BO678" s="35"/>
      <c r="BP678" s="35"/>
      <c r="BQ678" s="35"/>
      <c r="BR678" s="36"/>
      <c r="BS678" s="35"/>
      <c r="BT678" s="35"/>
    </row>
    <row r="679" spans="1:72">
      <c r="A679" s="29"/>
      <c r="K679" s="32"/>
      <c r="L679" s="32"/>
      <c r="R679" s="32"/>
      <c r="AC679" s="30"/>
      <c r="AH679" s="32"/>
      <c r="AI679" s="32"/>
      <c r="AJ679" s="32"/>
      <c r="AK679" s="32"/>
      <c r="AX679" s="34"/>
      <c r="AY679" s="34"/>
      <c r="AZ679" s="34"/>
      <c r="BA679" s="34"/>
      <c r="BB679" s="34"/>
      <c r="BC679" s="34"/>
      <c r="BD679" s="34"/>
      <c r="BE679" s="34"/>
      <c r="BF679" s="34"/>
      <c r="BG679" s="34"/>
      <c r="BH679" s="34"/>
      <c r="BI679" s="34"/>
      <c r="BJ679" s="34"/>
      <c r="BK679" s="34"/>
      <c r="BL679" s="34"/>
      <c r="BM679" s="34"/>
      <c r="BN679" s="34"/>
      <c r="BO679" s="35"/>
      <c r="BP679" s="35"/>
      <c r="BQ679" s="35"/>
      <c r="BR679" s="36"/>
      <c r="BS679" s="35"/>
      <c r="BT679" s="35"/>
    </row>
    <row r="680" spans="1:72">
      <c r="A680" s="29"/>
      <c r="K680" s="32"/>
      <c r="L680" s="32"/>
      <c r="R680" s="32"/>
      <c r="AC680" s="30"/>
      <c r="AH680" s="32"/>
      <c r="AI680" s="32"/>
      <c r="AJ680" s="32"/>
      <c r="AK680" s="32"/>
      <c r="AX680" s="34"/>
      <c r="AY680" s="34"/>
      <c r="AZ680" s="34"/>
      <c r="BA680" s="34"/>
      <c r="BB680" s="34"/>
      <c r="BC680" s="34"/>
      <c r="BD680" s="34"/>
      <c r="BE680" s="34"/>
      <c r="BF680" s="34"/>
      <c r="BG680" s="34"/>
      <c r="BH680" s="34"/>
      <c r="BI680" s="34"/>
      <c r="BJ680" s="34"/>
      <c r="BK680" s="34"/>
      <c r="BL680" s="34"/>
      <c r="BM680" s="34"/>
      <c r="BN680" s="34"/>
      <c r="BO680" s="35"/>
      <c r="BP680" s="35"/>
      <c r="BQ680" s="35"/>
      <c r="BR680" s="36"/>
      <c r="BS680" s="35"/>
      <c r="BT680" s="35"/>
    </row>
    <row r="681" spans="1:72">
      <c r="A681" s="29"/>
      <c r="K681" s="32"/>
      <c r="L681" s="32"/>
      <c r="R681" s="32"/>
      <c r="AC681" s="30"/>
      <c r="AH681" s="32"/>
      <c r="AI681" s="32"/>
      <c r="AJ681" s="32"/>
      <c r="AK681" s="32"/>
      <c r="AX681" s="34"/>
      <c r="AY681" s="34"/>
      <c r="AZ681" s="34"/>
      <c r="BA681" s="34"/>
      <c r="BB681" s="34"/>
      <c r="BC681" s="34"/>
      <c r="BD681" s="34"/>
      <c r="BE681" s="34"/>
      <c r="BF681" s="34"/>
      <c r="BG681" s="34"/>
      <c r="BH681" s="34"/>
      <c r="BI681" s="34"/>
      <c r="BJ681" s="34"/>
      <c r="BK681" s="34"/>
      <c r="BL681" s="34"/>
      <c r="BM681" s="34"/>
      <c r="BN681" s="34"/>
      <c r="BO681" s="35"/>
      <c r="BP681" s="35"/>
      <c r="BQ681" s="35"/>
      <c r="BR681" s="36"/>
      <c r="BS681" s="35"/>
      <c r="BT681" s="35"/>
    </row>
    <row r="682" spans="1:72">
      <c r="A682" s="29"/>
      <c r="K682" s="32"/>
      <c r="L682" s="32"/>
      <c r="R682" s="32"/>
      <c r="AC682" s="30"/>
      <c r="AH682" s="32"/>
      <c r="AI682" s="32"/>
      <c r="AJ682" s="32"/>
      <c r="AK682" s="32"/>
      <c r="AX682" s="34"/>
      <c r="AY682" s="34"/>
      <c r="AZ682" s="34"/>
      <c r="BA682" s="34"/>
      <c r="BB682" s="34"/>
      <c r="BC682" s="34"/>
      <c r="BD682" s="34"/>
      <c r="BE682" s="34"/>
      <c r="BF682" s="34"/>
      <c r="BG682" s="34"/>
      <c r="BH682" s="34"/>
      <c r="BI682" s="34"/>
      <c r="BJ682" s="34"/>
      <c r="BK682" s="34"/>
      <c r="BL682" s="34"/>
      <c r="BM682" s="34"/>
      <c r="BN682" s="34"/>
      <c r="BO682" s="35"/>
      <c r="BP682" s="35"/>
      <c r="BQ682" s="35"/>
      <c r="BR682" s="36"/>
      <c r="BS682" s="35"/>
      <c r="BT682" s="35"/>
    </row>
    <row r="683" spans="1:72">
      <c r="A683" s="29"/>
      <c r="K683" s="32"/>
      <c r="L683" s="32"/>
      <c r="R683" s="32"/>
      <c r="AC683" s="30"/>
      <c r="AH683" s="32"/>
      <c r="AI683" s="32"/>
      <c r="AJ683" s="32"/>
      <c r="AK683" s="32"/>
      <c r="AX683" s="34"/>
      <c r="AY683" s="34"/>
      <c r="AZ683" s="34"/>
      <c r="BA683" s="34"/>
      <c r="BB683" s="34"/>
      <c r="BC683" s="34"/>
      <c r="BD683" s="34"/>
      <c r="BE683" s="34"/>
      <c r="BF683" s="34"/>
      <c r="BG683" s="34"/>
      <c r="BH683" s="34"/>
      <c r="BI683" s="34"/>
      <c r="BJ683" s="34"/>
      <c r="BK683" s="34"/>
      <c r="BL683" s="34"/>
      <c r="BM683" s="34"/>
      <c r="BN683" s="34"/>
      <c r="BO683" s="35"/>
      <c r="BP683" s="35"/>
      <c r="BQ683" s="35"/>
      <c r="BR683" s="36"/>
      <c r="BS683" s="35"/>
      <c r="BT683" s="35"/>
    </row>
    <row r="684" spans="1:72">
      <c r="A684" s="29"/>
      <c r="K684" s="32"/>
      <c r="L684" s="32"/>
      <c r="R684" s="32"/>
      <c r="AC684" s="30"/>
      <c r="AH684" s="32"/>
      <c r="AI684" s="32"/>
      <c r="AJ684" s="32"/>
      <c r="AK684" s="32"/>
      <c r="AX684" s="34"/>
      <c r="AY684" s="34"/>
      <c r="AZ684" s="34"/>
      <c r="BA684" s="34"/>
      <c r="BB684" s="34"/>
      <c r="BC684" s="34"/>
      <c r="BD684" s="34"/>
      <c r="BE684" s="34"/>
      <c r="BF684" s="34"/>
      <c r="BG684" s="34"/>
      <c r="BH684" s="34"/>
      <c r="BI684" s="34"/>
      <c r="BJ684" s="34"/>
      <c r="BK684" s="34"/>
      <c r="BL684" s="34"/>
      <c r="BM684" s="34"/>
      <c r="BN684" s="34"/>
      <c r="BO684" s="35"/>
      <c r="BP684" s="35"/>
      <c r="BQ684" s="35"/>
      <c r="BR684" s="36"/>
      <c r="BS684" s="35"/>
      <c r="BT684" s="35"/>
    </row>
    <row r="685" spans="1:72">
      <c r="A685" s="29"/>
      <c r="K685" s="32"/>
      <c r="L685" s="32"/>
      <c r="R685" s="32"/>
      <c r="AC685" s="30"/>
      <c r="AH685" s="32"/>
      <c r="AI685" s="32"/>
      <c r="AJ685" s="32"/>
      <c r="AK685" s="32"/>
      <c r="AX685" s="34"/>
      <c r="AY685" s="34"/>
      <c r="AZ685" s="34"/>
      <c r="BA685" s="34"/>
      <c r="BB685" s="34"/>
      <c r="BC685" s="34"/>
      <c r="BD685" s="34"/>
      <c r="BE685" s="34"/>
      <c r="BF685" s="34"/>
      <c r="BG685" s="34"/>
      <c r="BH685" s="34"/>
      <c r="BI685" s="34"/>
      <c r="BJ685" s="34"/>
      <c r="BK685" s="34"/>
      <c r="BL685" s="34"/>
      <c r="BM685" s="34"/>
      <c r="BN685" s="34"/>
      <c r="BO685" s="35"/>
      <c r="BP685" s="35"/>
      <c r="BQ685" s="35"/>
      <c r="BR685" s="36"/>
      <c r="BS685" s="35"/>
      <c r="BT685" s="35"/>
    </row>
    <row r="686" spans="1:72">
      <c r="A686" s="29"/>
      <c r="K686" s="32"/>
      <c r="L686" s="32"/>
      <c r="R686" s="32"/>
      <c r="AC686" s="30"/>
      <c r="AH686" s="32"/>
      <c r="AI686" s="32"/>
      <c r="AJ686" s="32"/>
      <c r="AK686" s="32"/>
      <c r="AX686" s="34"/>
      <c r="AY686" s="34"/>
      <c r="AZ686" s="34"/>
      <c r="BA686" s="34"/>
      <c r="BB686" s="34"/>
      <c r="BC686" s="34"/>
      <c r="BD686" s="34"/>
      <c r="BE686" s="34"/>
      <c r="BF686" s="34"/>
      <c r="BG686" s="34"/>
      <c r="BH686" s="34"/>
      <c r="BI686" s="34"/>
      <c r="BJ686" s="34"/>
      <c r="BK686" s="34"/>
      <c r="BL686" s="34"/>
      <c r="BM686" s="34"/>
      <c r="BN686" s="34"/>
      <c r="BO686" s="35"/>
      <c r="BP686" s="35"/>
      <c r="BQ686" s="35"/>
      <c r="BR686" s="36"/>
      <c r="BS686" s="35"/>
      <c r="BT686" s="35"/>
    </row>
    <row r="687" spans="1:72">
      <c r="A687" s="29"/>
      <c r="K687" s="32"/>
      <c r="L687" s="32"/>
      <c r="R687" s="32"/>
      <c r="AC687" s="30"/>
      <c r="AH687" s="32"/>
      <c r="AI687" s="32"/>
      <c r="AJ687" s="32"/>
      <c r="AK687" s="32"/>
      <c r="AX687" s="34"/>
      <c r="AY687" s="34"/>
      <c r="AZ687" s="34"/>
      <c r="BA687" s="34"/>
      <c r="BB687" s="34"/>
      <c r="BC687" s="34"/>
      <c r="BD687" s="34"/>
      <c r="BE687" s="34"/>
      <c r="BF687" s="34"/>
      <c r="BG687" s="34"/>
      <c r="BH687" s="34"/>
      <c r="BI687" s="34"/>
      <c r="BJ687" s="34"/>
      <c r="BK687" s="34"/>
      <c r="BL687" s="34"/>
      <c r="BM687" s="34"/>
      <c r="BN687" s="34"/>
      <c r="BO687" s="35"/>
      <c r="BP687" s="35"/>
      <c r="BQ687" s="35"/>
      <c r="BR687" s="36"/>
      <c r="BS687" s="35"/>
      <c r="BT687" s="35"/>
    </row>
    <row r="688" spans="1:72">
      <c r="A688" s="29"/>
      <c r="K688" s="32"/>
      <c r="L688" s="32"/>
      <c r="R688" s="32"/>
      <c r="AC688" s="30"/>
      <c r="AH688" s="32"/>
      <c r="AI688" s="32"/>
      <c r="AJ688" s="32"/>
      <c r="AK688" s="32"/>
      <c r="AX688" s="34"/>
      <c r="AY688" s="34"/>
      <c r="AZ688" s="34"/>
      <c r="BA688" s="34"/>
      <c r="BB688" s="34"/>
      <c r="BC688" s="34"/>
      <c r="BD688" s="34"/>
      <c r="BE688" s="34"/>
      <c r="BF688" s="34"/>
      <c r="BG688" s="34"/>
      <c r="BH688" s="34"/>
      <c r="BI688" s="34"/>
      <c r="BJ688" s="34"/>
      <c r="BK688" s="34"/>
      <c r="BL688" s="34"/>
      <c r="BM688" s="34"/>
      <c r="BN688" s="34"/>
      <c r="BO688" s="35"/>
      <c r="BP688" s="35"/>
      <c r="BQ688" s="35"/>
      <c r="BR688" s="36"/>
      <c r="BS688" s="35"/>
      <c r="BT688" s="35"/>
    </row>
    <row r="689" spans="1:72">
      <c r="A689" s="29"/>
      <c r="K689" s="32"/>
      <c r="L689" s="32"/>
      <c r="R689" s="32"/>
      <c r="AC689" s="30"/>
      <c r="AH689" s="32"/>
      <c r="AI689" s="32"/>
      <c r="AJ689" s="32"/>
      <c r="AK689" s="32"/>
      <c r="AX689" s="34"/>
      <c r="AY689" s="34"/>
      <c r="AZ689" s="34"/>
      <c r="BA689" s="34"/>
      <c r="BB689" s="34"/>
      <c r="BC689" s="34"/>
      <c r="BD689" s="34"/>
      <c r="BE689" s="34"/>
      <c r="BF689" s="34"/>
      <c r="BG689" s="34"/>
      <c r="BH689" s="34"/>
      <c r="BI689" s="34"/>
      <c r="BJ689" s="34"/>
      <c r="BK689" s="34"/>
      <c r="BL689" s="34"/>
      <c r="BM689" s="34"/>
      <c r="BN689" s="34"/>
      <c r="BO689" s="35"/>
      <c r="BP689" s="35"/>
      <c r="BQ689" s="35"/>
      <c r="BR689" s="36"/>
      <c r="BS689" s="35"/>
      <c r="BT689" s="35"/>
    </row>
    <row r="690" spans="1:72">
      <c r="A690" s="29"/>
      <c r="K690" s="32"/>
      <c r="L690" s="32"/>
      <c r="R690" s="32"/>
      <c r="AC690" s="30"/>
      <c r="AH690" s="32"/>
      <c r="AI690" s="32"/>
      <c r="AJ690" s="32"/>
      <c r="AK690" s="32"/>
      <c r="AX690" s="34"/>
      <c r="AY690" s="34"/>
      <c r="AZ690" s="34"/>
      <c r="BA690" s="34"/>
      <c r="BB690" s="34"/>
      <c r="BC690" s="34"/>
      <c r="BD690" s="34"/>
      <c r="BE690" s="34"/>
      <c r="BF690" s="34"/>
      <c r="BG690" s="34"/>
      <c r="BH690" s="34"/>
      <c r="BI690" s="34"/>
      <c r="BJ690" s="34"/>
      <c r="BK690" s="34"/>
      <c r="BL690" s="34"/>
      <c r="BM690" s="34"/>
      <c r="BN690" s="34"/>
      <c r="BO690" s="35"/>
      <c r="BP690" s="35"/>
      <c r="BQ690" s="35"/>
      <c r="BR690" s="36"/>
      <c r="BS690" s="35"/>
      <c r="BT690" s="35"/>
    </row>
    <row r="691" spans="1:72">
      <c r="A691" s="29"/>
      <c r="K691" s="32"/>
      <c r="L691" s="32"/>
      <c r="R691" s="32"/>
      <c r="AC691" s="30"/>
      <c r="AH691" s="32"/>
      <c r="AI691" s="32"/>
      <c r="AJ691" s="32"/>
      <c r="AK691" s="32"/>
      <c r="AX691" s="34"/>
      <c r="AY691" s="34"/>
      <c r="AZ691" s="34"/>
      <c r="BA691" s="34"/>
      <c r="BB691" s="34"/>
      <c r="BC691" s="34"/>
      <c r="BD691" s="34"/>
      <c r="BE691" s="34"/>
      <c r="BF691" s="34"/>
      <c r="BG691" s="34"/>
      <c r="BH691" s="34"/>
      <c r="BI691" s="34"/>
      <c r="BJ691" s="34"/>
      <c r="BK691" s="34"/>
      <c r="BL691" s="34"/>
      <c r="BM691" s="34"/>
      <c r="BN691" s="34"/>
      <c r="BO691" s="35"/>
      <c r="BP691" s="35"/>
      <c r="BQ691" s="35"/>
      <c r="BR691" s="36"/>
      <c r="BS691" s="35"/>
      <c r="BT691" s="35"/>
    </row>
    <row r="692" spans="1:72">
      <c r="A692" s="29"/>
      <c r="K692" s="32"/>
      <c r="L692" s="32"/>
      <c r="R692" s="32"/>
      <c r="AC692" s="30"/>
      <c r="AH692" s="32"/>
      <c r="AI692" s="32"/>
      <c r="AJ692" s="32"/>
      <c r="AK692" s="32"/>
      <c r="AX692" s="34"/>
      <c r="AY692" s="34"/>
      <c r="AZ692" s="34"/>
      <c r="BA692" s="34"/>
      <c r="BB692" s="34"/>
      <c r="BC692" s="34"/>
      <c r="BD692" s="34"/>
      <c r="BE692" s="34"/>
      <c r="BF692" s="34"/>
      <c r="BG692" s="34"/>
      <c r="BH692" s="34"/>
      <c r="BI692" s="34"/>
      <c r="BJ692" s="34"/>
      <c r="BK692" s="34"/>
      <c r="BL692" s="34"/>
      <c r="BM692" s="34"/>
      <c r="BN692" s="34"/>
      <c r="BO692" s="35"/>
      <c r="BP692" s="35"/>
      <c r="BQ692" s="35"/>
      <c r="BR692" s="36"/>
      <c r="BS692" s="35"/>
      <c r="BT692" s="35"/>
    </row>
    <row r="693" spans="1:72">
      <c r="A693" s="29"/>
      <c r="K693" s="32"/>
      <c r="L693" s="32"/>
      <c r="R693" s="32"/>
      <c r="AC693" s="30"/>
      <c r="AH693" s="32"/>
      <c r="AI693" s="32"/>
      <c r="AJ693" s="32"/>
      <c r="AK693" s="32"/>
      <c r="AX693" s="34"/>
      <c r="AY693" s="34"/>
      <c r="AZ693" s="34"/>
      <c r="BA693" s="34"/>
      <c r="BB693" s="34"/>
      <c r="BC693" s="34"/>
      <c r="BD693" s="34"/>
      <c r="BE693" s="34"/>
      <c r="BF693" s="34"/>
      <c r="BG693" s="34"/>
      <c r="BH693" s="34"/>
      <c r="BI693" s="34"/>
      <c r="BJ693" s="34"/>
      <c r="BK693" s="34"/>
      <c r="BL693" s="34"/>
      <c r="BM693" s="34"/>
      <c r="BN693" s="34"/>
      <c r="BO693" s="35"/>
      <c r="BP693" s="35"/>
      <c r="BQ693" s="35"/>
      <c r="BR693" s="36"/>
      <c r="BS693" s="35"/>
      <c r="BT693" s="35"/>
    </row>
    <row r="694" spans="1:72">
      <c r="A694" s="29"/>
      <c r="K694" s="32"/>
      <c r="L694" s="32"/>
      <c r="R694" s="32"/>
      <c r="AC694" s="30"/>
      <c r="AH694" s="32"/>
      <c r="AI694" s="32"/>
      <c r="AJ694" s="32"/>
      <c r="AK694" s="32"/>
      <c r="AX694" s="34"/>
      <c r="AY694" s="34"/>
      <c r="AZ694" s="34"/>
      <c r="BA694" s="34"/>
      <c r="BB694" s="34"/>
      <c r="BC694" s="34"/>
      <c r="BD694" s="34"/>
      <c r="BE694" s="34"/>
      <c r="BF694" s="34"/>
      <c r="BG694" s="34"/>
      <c r="BH694" s="34"/>
      <c r="BI694" s="34"/>
      <c r="BJ694" s="34"/>
      <c r="BK694" s="34"/>
      <c r="BL694" s="34"/>
      <c r="BM694" s="34"/>
      <c r="BN694" s="34"/>
      <c r="BO694" s="35"/>
      <c r="BP694" s="35"/>
      <c r="BQ694" s="35"/>
      <c r="BR694" s="36"/>
      <c r="BS694" s="35"/>
      <c r="BT694" s="35"/>
    </row>
    <row r="695" spans="1:72">
      <c r="A695" s="29"/>
      <c r="K695" s="32"/>
      <c r="L695" s="32"/>
      <c r="R695" s="32"/>
      <c r="AC695" s="30"/>
      <c r="AH695" s="32"/>
      <c r="AI695" s="32"/>
      <c r="AJ695" s="32"/>
      <c r="AK695" s="32"/>
      <c r="AX695" s="34"/>
      <c r="AY695" s="34"/>
      <c r="AZ695" s="34"/>
      <c r="BA695" s="34"/>
      <c r="BB695" s="34"/>
      <c r="BC695" s="34"/>
      <c r="BD695" s="34"/>
      <c r="BE695" s="34"/>
      <c r="BF695" s="34"/>
      <c r="BG695" s="34"/>
      <c r="BH695" s="34"/>
      <c r="BI695" s="34"/>
      <c r="BJ695" s="34"/>
      <c r="BK695" s="34"/>
      <c r="BL695" s="34"/>
      <c r="BM695" s="34"/>
      <c r="BN695" s="34"/>
      <c r="BO695" s="35"/>
      <c r="BP695" s="35"/>
      <c r="BQ695" s="35"/>
      <c r="BR695" s="36"/>
      <c r="BS695" s="35"/>
      <c r="BT695" s="35"/>
    </row>
    <row r="696" spans="1:72">
      <c r="A696" s="29"/>
      <c r="K696" s="32"/>
      <c r="L696" s="32"/>
      <c r="R696" s="32"/>
      <c r="AC696" s="30"/>
      <c r="AH696" s="32"/>
      <c r="AI696" s="32"/>
      <c r="AJ696" s="32"/>
      <c r="AK696" s="32"/>
      <c r="AX696" s="34"/>
      <c r="AY696" s="34"/>
      <c r="AZ696" s="34"/>
      <c r="BA696" s="34"/>
      <c r="BB696" s="34"/>
      <c r="BC696" s="34"/>
      <c r="BD696" s="34"/>
      <c r="BE696" s="34"/>
      <c r="BF696" s="34"/>
      <c r="BG696" s="34"/>
      <c r="BH696" s="34"/>
      <c r="BI696" s="34"/>
      <c r="BJ696" s="34"/>
      <c r="BK696" s="34"/>
      <c r="BL696" s="34"/>
      <c r="BM696" s="34"/>
      <c r="BN696" s="34"/>
      <c r="BO696" s="35"/>
      <c r="BP696" s="35"/>
      <c r="BQ696" s="35"/>
      <c r="BR696" s="36"/>
      <c r="BS696" s="35"/>
      <c r="BT696" s="35"/>
    </row>
    <row r="697" spans="1:72">
      <c r="A697" s="29"/>
      <c r="K697" s="32"/>
      <c r="L697" s="32"/>
      <c r="R697" s="32"/>
      <c r="AC697" s="30"/>
      <c r="AH697" s="32"/>
      <c r="AI697" s="32"/>
      <c r="AJ697" s="32"/>
      <c r="AK697" s="32"/>
      <c r="AX697" s="34"/>
      <c r="AY697" s="34"/>
      <c r="AZ697" s="34"/>
      <c r="BA697" s="34"/>
      <c r="BB697" s="34"/>
      <c r="BC697" s="34"/>
      <c r="BD697" s="34"/>
      <c r="BE697" s="34"/>
      <c r="BF697" s="34"/>
      <c r="BG697" s="34"/>
      <c r="BH697" s="34"/>
      <c r="BI697" s="34"/>
      <c r="BJ697" s="34"/>
      <c r="BK697" s="34"/>
      <c r="BL697" s="34"/>
      <c r="BM697" s="34"/>
      <c r="BN697" s="34"/>
      <c r="BO697" s="35"/>
      <c r="BP697" s="35"/>
      <c r="BQ697" s="35"/>
      <c r="BR697" s="36"/>
      <c r="BS697" s="35"/>
      <c r="BT697" s="35"/>
    </row>
    <row r="698" spans="1:72">
      <c r="A698" s="29"/>
      <c r="K698" s="32"/>
      <c r="L698" s="32"/>
      <c r="R698" s="32"/>
      <c r="AC698" s="30"/>
      <c r="AH698" s="32"/>
      <c r="AI698" s="32"/>
      <c r="AJ698" s="32"/>
      <c r="AK698" s="32"/>
      <c r="AX698" s="34"/>
      <c r="AY698" s="34"/>
      <c r="AZ698" s="34"/>
      <c r="BA698" s="34"/>
      <c r="BB698" s="34"/>
      <c r="BC698" s="34"/>
      <c r="BD698" s="34"/>
      <c r="BE698" s="34"/>
      <c r="BF698" s="34"/>
      <c r="BG698" s="34"/>
      <c r="BH698" s="34"/>
      <c r="BI698" s="34"/>
      <c r="BJ698" s="34"/>
      <c r="BK698" s="34"/>
      <c r="BL698" s="34"/>
      <c r="BM698" s="34"/>
      <c r="BN698" s="34"/>
      <c r="BO698" s="35"/>
      <c r="BP698" s="35"/>
      <c r="BQ698" s="35"/>
      <c r="BR698" s="36"/>
      <c r="BS698" s="35"/>
      <c r="BT698" s="35"/>
    </row>
    <row r="699" spans="1:72">
      <c r="A699" s="29"/>
      <c r="K699" s="32"/>
      <c r="L699" s="32"/>
      <c r="R699" s="32"/>
      <c r="AC699" s="30"/>
      <c r="AH699" s="32"/>
      <c r="AI699" s="32"/>
      <c r="AJ699" s="32"/>
      <c r="AK699" s="32"/>
      <c r="AX699" s="34"/>
      <c r="AY699" s="34"/>
      <c r="AZ699" s="34"/>
      <c r="BA699" s="34"/>
      <c r="BB699" s="34"/>
      <c r="BC699" s="34"/>
      <c r="BD699" s="34"/>
      <c r="BE699" s="34"/>
      <c r="BF699" s="34"/>
      <c r="BG699" s="34"/>
      <c r="BH699" s="34"/>
      <c r="BI699" s="34"/>
      <c r="BJ699" s="34"/>
      <c r="BK699" s="34"/>
      <c r="BL699" s="34"/>
      <c r="BM699" s="34"/>
      <c r="BN699" s="34"/>
      <c r="BO699" s="35"/>
      <c r="BP699" s="35"/>
      <c r="BQ699" s="35"/>
      <c r="BR699" s="36"/>
      <c r="BS699" s="35"/>
      <c r="BT699" s="35"/>
    </row>
    <row r="700" spans="1:72">
      <c r="A700" s="29"/>
      <c r="K700" s="32"/>
      <c r="L700" s="32"/>
      <c r="R700" s="32"/>
      <c r="AC700" s="30"/>
      <c r="AH700" s="32"/>
      <c r="AI700" s="32"/>
      <c r="AJ700" s="32"/>
      <c r="AK700" s="32"/>
      <c r="AX700" s="34"/>
      <c r="AY700" s="34"/>
      <c r="AZ700" s="34"/>
      <c r="BA700" s="34"/>
      <c r="BB700" s="34"/>
      <c r="BC700" s="34"/>
      <c r="BD700" s="34"/>
      <c r="BE700" s="34"/>
      <c r="BF700" s="34"/>
      <c r="BG700" s="34"/>
      <c r="BH700" s="34"/>
      <c r="BI700" s="34"/>
      <c r="BJ700" s="34"/>
      <c r="BK700" s="34"/>
      <c r="BL700" s="34"/>
      <c r="BM700" s="34"/>
      <c r="BN700" s="34"/>
      <c r="BO700" s="35"/>
      <c r="BP700" s="35"/>
      <c r="BQ700" s="35"/>
      <c r="BR700" s="36"/>
      <c r="BS700" s="35"/>
      <c r="BT700" s="35"/>
    </row>
    <row r="701" spans="1:72">
      <c r="A701" s="29"/>
      <c r="K701" s="32"/>
      <c r="L701" s="32"/>
      <c r="R701" s="32"/>
      <c r="AC701" s="30"/>
      <c r="AH701" s="32"/>
      <c r="AI701" s="32"/>
      <c r="AJ701" s="32"/>
      <c r="AK701" s="32"/>
      <c r="AX701" s="34"/>
      <c r="AY701" s="34"/>
      <c r="AZ701" s="34"/>
      <c r="BA701" s="34"/>
      <c r="BB701" s="34"/>
      <c r="BC701" s="34"/>
      <c r="BD701" s="34"/>
      <c r="BE701" s="34"/>
      <c r="BF701" s="34"/>
      <c r="BG701" s="34"/>
      <c r="BH701" s="34"/>
      <c r="BI701" s="34"/>
      <c r="BJ701" s="34"/>
      <c r="BK701" s="34"/>
      <c r="BL701" s="34"/>
      <c r="BM701" s="34"/>
      <c r="BN701" s="34"/>
      <c r="BO701" s="35"/>
      <c r="BP701" s="35"/>
      <c r="BQ701" s="35"/>
      <c r="BR701" s="36"/>
      <c r="BS701" s="35"/>
      <c r="BT701" s="35"/>
    </row>
    <row r="702" spans="1:72">
      <c r="A702" s="29"/>
      <c r="K702" s="32"/>
      <c r="L702" s="32"/>
      <c r="R702" s="32"/>
      <c r="AC702" s="30"/>
      <c r="AH702" s="32"/>
      <c r="AI702" s="32"/>
      <c r="AJ702" s="32"/>
      <c r="AK702" s="32"/>
      <c r="AX702" s="34"/>
      <c r="AY702" s="34"/>
      <c r="AZ702" s="34"/>
      <c r="BA702" s="34"/>
      <c r="BB702" s="34"/>
      <c r="BC702" s="34"/>
      <c r="BD702" s="34"/>
      <c r="BE702" s="34"/>
      <c r="BF702" s="34"/>
      <c r="BG702" s="34"/>
      <c r="BH702" s="34"/>
      <c r="BI702" s="34"/>
      <c r="BJ702" s="34"/>
      <c r="BK702" s="34"/>
      <c r="BL702" s="34"/>
      <c r="BM702" s="34"/>
      <c r="BN702" s="34"/>
      <c r="BO702" s="35"/>
      <c r="BP702" s="35"/>
      <c r="BQ702" s="35"/>
      <c r="BR702" s="36"/>
      <c r="BS702" s="35"/>
      <c r="BT702" s="35"/>
    </row>
    <row r="703" spans="1:72">
      <c r="A703" s="29"/>
      <c r="K703" s="32"/>
      <c r="L703" s="32"/>
      <c r="R703" s="32"/>
      <c r="AC703" s="30"/>
      <c r="AH703" s="32"/>
      <c r="AI703" s="32"/>
      <c r="AJ703" s="32"/>
      <c r="AK703" s="32"/>
      <c r="AX703" s="34"/>
      <c r="AY703" s="34"/>
      <c r="AZ703" s="34"/>
      <c r="BA703" s="34"/>
      <c r="BB703" s="34"/>
      <c r="BC703" s="34"/>
      <c r="BD703" s="34"/>
      <c r="BE703" s="34"/>
      <c r="BF703" s="34"/>
      <c r="BG703" s="34"/>
      <c r="BH703" s="34"/>
      <c r="BI703" s="34"/>
      <c r="BJ703" s="34"/>
      <c r="BK703" s="34"/>
      <c r="BL703" s="34"/>
      <c r="BM703" s="34"/>
      <c r="BN703" s="34"/>
      <c r="BO703" s="35"/>
      <c r="BP703" s="35"/>
      <c r="BQ703" s="35"/>
      <c r="BR703" s="36"/>
      <c r="BS703" s="35"/>
      <c r="BT703" s="35"/>
    </row>
    <row r="704" spans="1:72">
      <c r="A704" s="29"/>
      <c r="K704" s="32"/>
      <c r="L704" s="32"/>
      <c r="R704" s="32"/>
      <c r="AC704" s="30"/>
      <c r="AH704" s="32"/>
      <c r="AI704" s="32"/>
      <c r="AJ704" s="32"/>
      <c r="AK704" s="32"/>
      <c r="AX704" s="34"/>
      <c r="AY704" s="34"/>
      <c r="AZ704" s="34"/>
      <c r="BA704" s="34"/>
      <c r="BB704" s="34"/>
      <c r="BC704" s="34"/>
      <c r="BD704" s="34"/>
      <c r="BE704" s="34"/>
      <c r="BF704" s="34"/>
      <c r="BG704" s="34"/>
      <c r="BH704" s="34"/>
      <c r="BI704" s="34"/>
      <c r="BJ704" s="34"/>
      <c r="BK704" s="34"/>
      <c r="BL704" s="34"/>
      <c r="BM704" s="34"/>
      <c r="BN704" s="34"/>
      <c r="BO704" s="35"/>
      <c r="BP704" s="35"/>
      <c r="BQ704" s="35"/>
      <c r="BR704" s="36"/>
      <c r="BS704" s="35"/>
      <c r="BT704" s="35"/>
    </row>
    <row r="705" spans="1:72">
      <c r="A705" s="29"/>
      <c r="K705" s="32"/>
      <c r="L705" s="32"/>
      <c r="R705" s="32"/>
      <c r="AC705" s="30"/>
      <c r="AH705" s="32"/>
      <c r="AI705" s="32"/>
      <c r="AJ705" s="32"/>
      <c r="AK705" s="32"/>
      <c r="AX705" s="34"/>
      <c r="AY705" s="34"/>
      <c r="AZ705" s="34"/>
      <c r="BA705" s="34"/>
      <c r="BB705" s="34"/>
      <c r="BC705" s="34"/>
      <c r="BD705" s="34"/>
      <c r="BE705" s="34"/>
      <c r="BF705" s="34"/>
      <c r="BG705" s="34"/>
      <c r="BH705" s="34"/>
      <c r="BI705" s="34"/>
      <c r="BJ705" s="34"/>
      <c r="BK705" s="34"/>
      <c r="BL705" s="34"/>
      <c r="BM705" s="34"/>
      <c r="BN705" s="34"/>
      <c r="BO705" s="35"/>
      <c r="BP705" s="35"/>
      <c r="BQ705" s="35"/>
      <c r="BR705" s="36"/>
      <c r="BS705" s="35"/>
      <c r="BT705" s="35"/>
    </row>
    <row r="706" spans="1:72">
      <c r="A706" s="29"/>
      <c r="K706" s="32"/>
      <c r="L706" s="32"/>
      <c r="R706" s="32"/>
      <c r="AC706" s="30"/>
      <c r="AH706" s="32"/>
      <c r="AI706" s="32"/>
      <c r="AJ706" s="32"/>
      <c r="AK706" s="32"/>
      <c r="AX706" s="34"/>
      <c r="AY706" s="34"/>
      <c r="AZ706" s="34"/>
      <c r="BA706" s="34"/>
      <c r="BB706" s="34"/>
      <c r="BC706" s="34"/>
      <c r="BD706" s="34"/>
      <c r="BE706" s="34"/>
      <c r="BF706" s="34"/>
      <c r="BG706" s="34"/>
      <c r="BH706" s="34"/>
      <c r="BI706" s="34"/>
      <c r="BJ706" s="34"/>
      <c r="BK706" s="34"/>
      <c r="BL706" s="34"/>
      <c r="BM706" s="34"/>
      <c r="BN706" s="34"/>
      <c r="BO706" s="35"/>
      <c r="BP706" s="35"/>
      <c r="BQ706" s="35"/>
      <c r="BR706" s="36"/>
      <c r="BS706" s="35"/>
      <c r="BT706" s="35"/>
    </row>
    <row r="707" spans="1:72">
      <c r="A707" s="29"/>
      <c r="K707" s="32"/>
      <c r="L707" s="32"/>
      <c r="R707" s="32"/>
      <c r="AC707" s="30"/>
      <c r="AH707" s="32"/>
      <c r="AI707" s="32"/>
      <c r="AJ707" s="32"/>
      <c r="AK707" s="32"/>
      <c r="AX707" s="34"/>
      <c r="AY707" s="34"/>
      <c r="AZ707" s="34"/>
      <c r="BA707" s="34"/>
      <c r="BB707" s="34"/>
      <c r="BC707" s="34"/>
      <c r="BD707" s="34"/>
      <c r="BE707" s="34"/>
      <c r="BF707" s="34"/>
      <c r="BG707" s="34"/>
      <c r="BH707" s="34"/>
      <c r="BI707" s="34"/>
      <c r="BJ707" s="34"/>
      <c r="BK707" s="34"/>
      <c r="BL707" s="34"/>
      <c r="BM707" s="34"/>
      <c r="BN707" s="34"/>
      <c r="BO707" s="35"/>
      <c r="BP707" s="35"/>
      <c r="BQ707" s="35"/>
      <c r="BR707" s="36"/>
      <c r="BS707" s="35"/>
      <c r="BT707" s="35"/>
    </row>
    <row r="708" spans="1:72">
      <c r="A708" s="29"/>
      <c r="K708" s="32"/>
      <c r="L708" s="32"/>
      <c r="R708" s="32"/>
      <c r="AC708" s="30"/>
      <c r="AH708" s="32"/>
      <c r="AI708" s="32"/>
      <c r="AJ708" s="32"/>
      <c r="AK708" s="32"/>
      <c r="AX708" s="34"/>
      <c r="AY708" s="34"/>
      <c r="AZ708" s="34"/>
      <c r="BA708" s="34"/>
      <c r="BB708" s="34"/>
      <c r="BC708" s="34"/>
      <c r="BD708" s="34"/>
      <c r="BE708" s="34"/>
      <c r="BF708" s="34"/>
      <c r="BG708" s="34"/>
      <c r="BH708" s="34"/>
      <c r="BI708" s="34"/>
      <c r="BJ708" s="34"/>
      <c r="BK708" s="34"/>
      <c r="BL708" s="34"/>
      <c r="BM708" s="34"/>
      <c r="BN708" s="34"/>
      <c r="BO708" s="35"/>
      <c r="BP708" s="35"/>
      <c r="BQ708" s="35"/>
      <c r="BR708" s="36"/>
      <c r="BS708" s="35"/>
      <c r="BT708" s="35"/>
    </row>
    <row r="709" spans="1:72">
      <c r="A709" s="29"/>
      <c r="K709" s="32"/>
      <c r="L709" s="32"/>
      <c r="R709" s="32"/>
      <c r="AC709" s="30"/>
      <c r="AH709" s="32"/>
      <c r="AI709" s="32"/>
      <c r="AJ709" s="32"/>
      <c r="AK709" s="32"/>
      <c r="AX709" s="34"/>
      <c r="AY709" s="34"/>
      <c r="AZ709" s="34"/>
      <c r="BA709" s="34"/>
      <c r="BB709" s="34"/>
      <c r="BC709" s="34"/>
      <c r="BD709" s="34"/>
      <c r="BE709" s="34"/>
      <c r="BF709" s="34"/>
      <c r="BG709" s="34"/>
      <c r="BH709" s="34"/>
      <c r="BI709" s="34"/>
      <c r="BJ709" s="34"/>
      <c r="BK709" s="34"/>
      <c r="BL709" s="34"/>
      <c r="BM709" s="34"/>
      <c r="BN709" s="34"/>
      <c r="BO709" s="35"/>
      <c r="BP709" s="35"/>
      <c r="BQ709" s="35"/>
      <c r="BR709" s="36"/>
      <c r="BS709" s="35"/>
      <c r="BT709" s="35"/>
    </row>
    <row r="710" spans="1:72">
      <c r="A710" s="29"/>
      <c r="K710" s="32"/>
      <c r="L710" s="32"/>
      <c r="R710" s="32"/>
      <c r="AC710" s="30"/>
      <c r="AH710" s="32"/>
      <c r="AI710" s="32"/>
      <c r="AJ710" s="32"/>
      <c r="AK710" s="32"/>
      <c r="AX710" s="34"/>
      <c r="AY710" s="34"/>
      <c r="AZ710" s="34"/>
      <c r="BA710" s="34"/>
      <c r="BB710" s="34"/>
      <c r="BC710" s="34"/>
      <c r="BD710" s="34"/>
      <c r="BE710" s="34"/>
      <c r="BF710" s="34"/>
      <c r="BG710" s="34"/>
      <c r="BH710" s="34"/>
      <c r="BI710" s="34"/>
      <c r="BJ710" s="34"/>
      <c r="BK710" s="34"/>
      <c r="BL710" s="34"/>
      <c r="BM710" s="34"/>
      <c r="BN710" s="34"/>
      <c r="BO710" s="35"/>
      <c r="BP710" s="35"/>
      <c r="BQ710" s="35"/>
      <c r="BR710" s="36"/>
      <c r="BS710" s="35"/>
      <c r="BT710" s="35"/>
    </row>
    <row r="711" spans="1:72">
      <c r="A711" s="29"/>
      <c r="K711" s="32"/>
      <c r="L711" s="32"/>
      <c r="R711" s="32"/>
      <c r="AC711" s="30"/>
      <c r="AH711" s="32"/>
      <c r="AI711" s="32"/>
      <c r="AJ711" s="32"/>
      <c r="AK711" s="32"/>
      <c r="AX711" s="34"/>
      <c r="AY711" s="34"/>
      <c r="AZ711" s="34"/>
      <c r="BA711" s="34"/>
      <c r="BB711" s="34"/>
      <c r="BC711" s="34"/>
      <c r="BD711" s="34"/>
      <c r="BE711" s="34"/>
      <c r="BF711" s="34"/>
      <c r="BG711" s="34"/>
      <c r="BH711" s="34"/>
      <c r="BI711" s="34"/>
      <c r="BJ711" s="34"/>
      <c r="BK711" s="34"/>
      <c r="BL711" s="34"/>
      <c r="BM711" s="34"/>
      <c r="BN711" s="34"/>
      <c r="BO711" s="35"/>
      <c r="BP711" s="35"/>
      <c r="BQ711" s="35"/>
      <c r="BR711" s="36"/>
      <c r="BS711" s="35"/>
      <c r="BT711" s="35"/>
    </row>
    <row r="712" spans="1:72">
      <c r="A712" s="29"/>
      <c r="K712" s="32"/>
      <c r="L712" s="32"/>
      <c r="R712" s="32"/>
      <c r="AC712" s="30"/>
      <c r="AH712" s="32"/>
      <c r="AI712" s="32"/>
      <c r="AJ712" s="32"/>
      <c r="AK712" s="32"/>
      <c r="AX712" s="34"/>
      <c r="AY712" s="34"/>
      <c r="AZ712" s="34"/>
      <c r="BA712" s="34"/>
      <c r="BB712" s="34"/>
      <c r="BC712" s="34"/>
      <c r="BD712" s="34"/>
      <c r="BE712" s="34"/>
      <c r="BF712" s="34"/>
      <c r="BG712" s="34"/>
      <c r="BH712" s="34"/>
      <c r="BI712" s="34"/>
      <c r="BJ712" s="34"/>
      <c r="BK712" s="34"/>
      <c r="BL712" s="34"/>
      <c r="BM712" s="34"/>
      <c r="BN712" s="34"/>
      <c r="BO712" s="35"/>
      <c r="BP712" s="35"/>
      <c r="BQ712" s="35"/>
      <c r="BR712" s="36"/>
      <c r="BS712" s="35"/>
      <c r="BT712" s="35"/>
    </row>
    <row r="713" spans="1:72">
      <c r="A713" s="29"/>
      <c r="K713" s="32"/>
      <c r="L713" s="32"/>
      <c r="R713" s="32"/>
      <c r="AC713" s="30"/>
      <c r="AH713" s="32"/>
      <c r="AI713" s="32"/>
      <c r="AJ713" s="32"/>
      <c r="AK713" s="32"/>
      <c r="AX713" s="34"/>
      <c r="AY713" s="34"/>
      <c r="AZ713" s="34"/>
      <c r="BA713" s="34"/>
      <c r="BB713" s="34"/>
      <c r="BC713" s="34"/>
      <c r="BD713" s="34"/>
      <c r="BE713" s="34"/>
      <c r="BF713" s="34"/>
      <c r="BG713" s="34"/>
      <c r="BH713" s="34"/>
      <c r="BI713" s="34"/>
      <c r="BJ713" s="34"/>
      <c r="BK713" s="34"/>
      <c r="BL713" s="34"/>
      <c r="BM713" s="34"/>
      <c r="BN713" s="34"/>
      <c r="BO713" s="35"/>
      <c r="BP713" s="35"/>
      <c r="BQ713" s="35"/>
      <c r="BR713" s="36"/>
      <c r="BS713" s="35"/>
      <c r="BT713" s="35"/>
    </row>
    <row r="714" spans="1:72">
      <c r="A714" s="29"/>
      <c r="K714" s="32"/>
      <c r="L714" s="32"/>
      <c r="R714" s="32"/>
      <c r="AC714" s="30"/>
      <c r="AH714" s="32"/>
      <c r="AI714" s="32"/>
      <c r="AJ714" s="32"/>
      <c r="AK714" s="32"/>
      <c r="AX714" s="34"/>
      <c r="AY714" s="34"/>
      <c r="AZ714" s="34"/>
      <c r="BA714" s="34"/>
      <c r="BB714" s="34"/>
      <c r="BC714" s="34"/>
      <c r="BD714" s="34"/>
      <c r="BE714" s="34"/>
      <c r="BF714" s="34"/>
      <c r="BG714" s="34"/>
      <c r="BH714" s="34"/>
      <c r="BI714" s="34"/>
      <c r="BJ714" s="34"/>
      <c r="BK714" s="34"/>
      <c r="BL714" s="34"/>
      <c r="BM714" s="34"/>
      <c r="BN714" s="34"/>
      <c r="BO714" s="35"/>
      <c r="BP714" s="35"/>
      <c r="BQ714" s="35"/>
      <c r="BR714" s="36"/>
      <c r="BS714" s="35"/>
      <c r="BT714" s="35"/>
    </row>
    <row r="715" spans="1:72">
      <c r="A715" s="29"/>
      <c r="K715" s="32"/>
      <c r="L715" s="32"/>
      <c r="R715" s="32"/>
      <c r="AC715" s="30"/>
      <c r="AH715" s="32"/>
      <c r="AI715" s="32"/>
      <c r="AJ715" s="32"/>
      <c r="AK715" s="32"/>
      <c r="AX715" s="34"/>
      <c r="AY715" s="34"/>
      <c r="AZ715" s="34"/>
      <c r="BA715" s="34"/>
      <c r="BB715" s="34"/>
      <c r="BC715" s="34"/>
      <c r="BD715" s="34"/>
      <c r="BE715" s="34"/>
      <c r="BF715" s="34"/>
      <c r="BG715" s="34"/>
      <c r="BH715" s="34"/>
      <c r="BI715" s="34"/>
      <c r="BJ715" s="34"/>
      <c r="BK715" s="34"/>
      <c r="BL715" s="34"/>
      <c r="BM715" s="34"/>
      <c r="BN715" s="34"/>
      <c r="BO715" s="35"/>
      <c r="BP715" s="35"/>
      <c r="BQ715" s="35"/>
      <c r="BR715" s="36"/>
      <c r="BS715" s="35"/>
      <c r="BT715" s="35"/>
    </row>
    <row r="716" spans="1:72">
      <c r="A716" s="29"/>
      <c r="K716" s="32"/>
      <c r="L716" s="32"/>
      <c r="R716" s="32"/>
      <c r="AC716" s="30"/>
      <c r="AH716" s="32"/>
      <c r="AI716" s="32"/>
      <c r="AJ716" s="32"/>
      <c r="AK716" s="32"/>
      <c r="AX716" s="34"/>
      <c r="AY716" s="34"/>
      <c r="AZ716" s="34"/>
      <c r="BA716" s="34"/>
      <c r="BB716" s="34"/>
      <c r="BC716" s="34"/>
      <c r="BD716" s="34"/>
      <c r="BE716" s="34"/>
      <c r="BF716" s="34"/>
      <c r="BG716" s="34"/>
      <c r="BH716" s="34"/>
      <c r="BI716" s="34"/>
      <c r="BJ716" s="34"/>
      <c r="BK716" s="34"/>
      <c r="BL716" s="34"/>
      <c r="BM716" s="34"/>
      <c r="BN716" s="34"/>
      <c r="BO716" s="35"/>
      <c r="BP716" s="35"/>
      <c r="BQ716" s="35"/>
      <c r="BR716" s="36"/>
      <c r="BS716" s="35"/>
      <c r="BT716" s="35"/>
    </row>
    <row r="717" spans="1:72">
      <c r="A717" s="29"/>
      <c r="K717" s="32"/>
      <c r="L717" s="32"/>
      <c r="R717" s="32"/>
      <c r="AC717" s="30"/>
      <c r="AH717" s="32"/>
      <c r="AI717" s="32"/>
      <c r="AJ717" s="32"/>
      <c r="AK717" s="32"/>
      <c r="AX717" s="34"/>
      <c r="AY717" s="34"/>
      <c r="AZ717" s="34"/>
      <c r="BA717" s="34"/>
      <c r="BB717" s="34"/>
      <c r="BC717" s="34"/>
      <c r="BD717" s="34"/>
      <c r="BE717" s="34"/>
      <c r="BF717" s="34"/>
      <c r="BG717" s="34"/>
      <c r="BH717" s="34"/>
      <c r="BI717" s="34"/>
      <c r="BJ717" s="34"/>
      <c r="BK717" s="34"/>
      <c r="BL717" s="34"/>
      <c r="BM717" s="34"/>
      <c r="BN717" s="34"/>
      <c r="BO717" s="35"/>
      <c r="BP717" s="35"/>
      <c r="BQ717" s="35"/>
      <c r="BR717" s="36"/>
      <c r="BS717" s="35"/>
      <c r="BT717" s="35"/>
    </row>
    <row r="718" spans="1:72">
      <c r="A718" s="29"/>
      <c r="K718" s="32"/>
      <c r="L718" s="32"/>
      <c r="R718" s="32"/>
      <c r="AC718" s="30"/>
      <c r="AH718" s="32"/>
      <c r="AI718" s="32"/>
      <c r="AJ718" s="32"/>
      <c r="AK718" s="32"/>
      <c r="AX718" s="34"/>
      <c r="AY718" s="34"/>
      <c r="AZ718" s="34"/>
      <c r="BA718" s="34"/>
      <c r="BB718" s="34"/>
      <c r="BC718" s="34"/>
      <c r="BD718" s="34"/>
      <c r="BE718" s="34"/>
      <c r="BF718" s="34"/>
      <c r="BG718" s="34"/>
      <c r="BH718" s="34"/>
      <c r="BI718" s="34"/>
      <c r="BJ718" s="34"/>
      <c r="BK718" s="34"/>
      <c r="BL718" s="34"/>
      <c r="BM718" s="34"/>
      <c r="BN718" s="34"/>
      <c r="BO718" s="35"/>
      <c r="BP718" s="35"/>
      <c r="BQ718" s="35"/>
      <c r="BR718" s="36"/>
      <c r="BS718" s="35"/>
      <c r="BT718" s="35"/>
    </row>
    <row r="719" spans="1:72">
      <c r="A719" s="29"/>
      <c r="K719" s="32"/>
      <c r="L719" s="32"/>
      <c r="R719" s="32"/>
      <c r="AC719" s="30"/>
      <c r="AH719" s="32"/>
      <c r="AI719" s="32"/>
      <c r="AJ719" s="32"/>
      <c r="AK719" s="32"/>
      <c r="AX719" s="34"/>
      <c r="AY719" s="34"/>
      <c r="AZ719" s="34"/>
      <c r="BA719" s="34"/>
      <c r="BB719" s="34"/>
      <c r="BC719" s="34"/>
      <c r="BD719" s="34"/>
      <c r="BE719" s="34"/>
      <c r="BF719" s="34"/>
      <c r="BG719" s="34"/>
      <c r="BH719" s="34"/>
      <c r="BI719" s="34"/>
      <c r="BJ719" s="34"/>
      <c r="BK719" s="34"/>
      <c r="BL719" s="34"/>
      <c r="BM719" s="34"/>
      <c r="BN719" s="34"/>
      <c r="BO719" s="35"/>
      <c r="BP719" s="35"/>
      <c r="BQ719" s="35"/>
      <c r="BR719" s="36"/>
      <c r="BS719" s="35"/>
      <c r="BT719" s="35"/>
    </row>
    <row r="720" spans="1:72">
      <c r="A720" s="29"/>
      <c r="K720" s="32"/>
      <c r="L720" s="32"/>
      <c r="R720" s="32"/>
      <c r="AC720" s="30"/>
      <c r="AH720" s="32"/>
      <c r="AI720" s="32"/>
      <c r="AJ720" s="32"/>
      <c r="AK720" s="32"/>
      <c r="AX720" s="34"/>
      <c r="AY720" s="34"/>
      <c r="AZ720" s="34"/>
      <c r="BA720" s="34"/>
      <c r="BB720" s="34"/>
      <c r="BC720" s="34"/>
      <c r="BD720" s="34"/>
      <c r="BE720" s="34"/>
      <c r="BF720" s="34"/>
      <c r="BG720" s="34"/>
      <c r="BH720" s="34"/>
      <c r="BI720" s="34"/>
      <c r="BJ720" s="34"/>
      <c r="BK720" s="34"/>
      <c r="BL720" s="34"/>
      <c r="BM720" s="34"/>
      <c r="BN720" s="34"/>
      <c r="BO720" s="35"/>
      <c r="BP720" s="35"/>
      <c r="BQ720" s="35"/>
      <c r="BR720" s="36"/>
      <c r="BS720" s="35"/>
      <c r="BT720" s="35"/>
    </row>
    <row r="721" spans="1:72">
      <c r="A721" s="29"/>
      <c r="K721" s="32"/>
      <c r="L721" s="32"/>
      <c r="R721" s="32"/>
      <c r="AC721" s="30"/>
      <c r="AH721" s="32"/>
      <c r="AI721" s="32"/>
      <c r="AJ721" s="32"/>
      <c r="AK721" s="32"/>
      <c r="AX721" s="34"/>
      <c r="AY721" s="34"/>
      <c r="AZ721" s="34"/>
      <c r="BA721" s="34"/>
      <c r="BB721" s="34"/>
      <c r="BC721" s="34"/>
      <c r="BD721" s="34"/>
      <c r="BE721" s="34"/>
      <c r="BF721" s="34"/>
      <c r="BG721" s="34"/>
      <c r="BH721" s="34"/>
      <c r="BI721" s="34"/>
      <c r="BJ721" s="34"/>
      <c r="BK721" s="34"/>
      <c r="BL721" s="34"/>
      <c r="BM721" s="34"/>
      <c r="BN721" s="34"/>
      <c r="BO721" s="35"/>
      <c r="BP721" s="35"/>
      <c r="BQ721" s="35"/>
      <c r="BR721" s="36"/>
      <c r="BS721" s="35"/>
      <c r="BT721" s="35"/>
    </row>
    <row r="722" spans="1:72">
      <c r="A722" s="29"/>
      <c r="K722" s="32"/>
      <c r="L722" s="32"/>
      <c r="R722" s="32"/>
      <c r="AC722" s="30"/>
      <c r="AH722" s="32"/>
      <c r="AI722" s="32"/>
      <c r="AJ722" s="32"/>
      <c r="AK722" s="32"/>
      <c r="AX722" s="34"/>
      <c r="AY722" s="34"/>
      <c r="AZ722" s="34"/>
      <c r="BA722" s="34"/>
      <c r="BB722" s="34"/>
      <c r="BC722" s="34"/>
      <c r="BD722" s="34"/>
      <c r="BE722" s="34"/>
      <c r="BF722" s="34"/>
      <c r="BG722" s="34"/>
      <c r="BH722" s="34"/>
      <c r="BI722" s="34"/>
      <c r="BJ722" s="34"/>
      <c r="BK722" s="34"/>
      <c r="BL722" s="34"/>
      <c r="BM722" s="34"/>
      <c r="BN722" s="34"/>
      <c r="BO722" s="35"/>
      <c r="BP722" s="35"/>
      <c r="BQ722" s="35"/>
      <c r="BR722" s="36"/>
      <c r="BS722" s="35"/>
      <c r="BT722" s="35"/>
    </row>
    <row r="723" spans="1:72">
      <c r="A723" s="29"/>
      <c r="K723" s="32"/>
      <c r="L723" s="32"/>
      <c r="R723" s="32"/>
      <c r="AC723" s="30"/>
      <c r="AH723" s="32"/>
      <c r="AI723" s="32"/>
      <c r="AJ723" s="32"/>
      <c r="AK723" s="32"/>
      <c r="AX723" s="34"/>
      <c r="AY723" s="34"/>
      <c r="AZ723" s="34"/>
      <c r="BA723" s="34"/>
      <c r="BB723" s="34"/>
      <c r="BC723" s="34"/>
      <c r="BD723" s="34"/>
      <c r="BE723" s="34"/>
      <c r="BF723" s="34"/>
      <c r="BG723" s="34"/>
      <c r="BH723" s="34"/>
      <c r="BI723" s="34"/>
      <c r="BJ723" s="34"/>
      <c r="BK723" s="34"/>
      <c r="BL723" s="34"/>
      <c r="BM723" s="34"/>
      <c r="BN723" s="34"/>
      <c r="BO723" s="35"/>
      <c r="BP723" s="35"/>
      <c r="BQ723" s="35"/>
      <c r="BR723" s="36"/>
      <c r="BS723" s="35"/>
      <c r="BT723" s="35"/>
    </row>
    <row r="724" spans="1:72">
      <c r="A724" s="29"/>
      <c r="K724" s="32"/>
      <c r="L724" s="32"/>
      <c r="R724" s="32"/>
      <c r="AC724" s="30"/>
      <c r="AH724" s="32"/>
      <c r="AI724" s="32"/>
      <c r="AJ724" s="32"/>
      <c r="AK724" s="32"/>
      <c r="AX724" s="34"/>
      <c r="AY724" s="34"/>
      <c r="AZ724" s="34"/>
      <c r="BA724" s="34"/>
      <c r="BB724" s="34"/>
      <c r="BC724" s="34"/>
      <c r="BD724" s="34"/>
      <c r="BE724" s="34"/>
      <c r="BF724" s="34"/>
      <c r="BG724" s="34"/>
      <c r="BH724" s="34"/>
      <c r="BI724" s="34"/>
      <c r="BJ724" s="34"/>
      <c r="BK724" s="34"/>
      <c r="BL724" s="34"/>
      <c r="BM724" s="34"/>
      <c r="BN724" s="34"/>
      <c r="BO724" s="35"/>
      <c r="BP724" s="35"/>
      <c r="BQ724" s="35"/>
      <c r="BR724" s="36"/>
      <c r="BS724" s="35"/>
      <c r="BT724" s="35"/>
    </row>
    <row r="725" spans="1:72">
      <c r="A725" s="29"/>
      <c r="K725" s="32"/>
      <c r="L725" s="32"/>
      <c r="R725" s="32"/>
      <c r="AC725" s="30"/>
      <c r="AH725" s="32"/>
      <c r="AI725" s="32"/>
      <c r="AJ725" s="32"/>
      <c r="AK725" s="32"/>
      <c r="AX725" s="34"/>
      <c r="AY725" s="34"/>
      <c r="AZ725" s="34"/>
      <c r="BA725" s="34"/>
      <c r="BB725" s="34"/>
      <c r="BC725" s="34"/>
      <c r="BD725" s="34"/>
      <c r="BE725" s="34"/>
      <c r="BF725" s="34"/>
      <c r="BG725" s="34"/>
      <c r="BH725" s="34"/>
      <c r="BI725" s="34"/>
      <c r="BJ725" s="34"/>
      <c r="BK725" s="34"/>
      <c r="BL725" s="34"/>
      <c r="BM725" s="34"/>
      <c r="BN725" s="34"/>
      <c r="BO725" s="35"/>
      <c r="BP725" s="35"/>
      <c r="BQ725" s="35"/>
      <c r="BR725" s="36"/>
      <c r="BS725" s="35"/>
      <c r="BT725" s="35"/>
    </row>
    <row r="726" spans="1:72">
      <c r="A726" s="29"/>
      <c r="K726" s="32"/>
      <c r="L726" s="32"/>
      <c r="R726" s="32"/>
      <c r="AC726" s="30"/>
      <c r="AH726" s="32"/>
      <c r="AI726" s="32"/>
      <c r="AJ726" s="32"/>
      <c r="AK726" s="32"/>
      <c r="AX726" s="34"/>
      <c r="AY726" s="34"/>
      <c r="AZ726" s="34"/>
      <c r="BA726" s="34"/>
      <c r="BB726" s="34"/>
      <c r="BC726" s="34"/>
      <c r="BD726" s="34"/>
      <c r="BE726" s="34"/>
      <c r="BF726" s="34"/>
      <c r="BG726" s="34"/>
      <c r="BH726" s="34"/>
      <c r="BI726" s="34"/>
      <c r="BJ726" s="34"/>
      <c r="BK726" s="34"/>
      <c r="BL726" s="34"/>
      <c r="BM726" s="34"/>
      <c r="BN726" s="34"/>
      <c r="BO726" s="35"/>
      <c r="BP726" s="35"/>
      <c r="BQ726" s="35"/>
      <c r="BR726" s="36"/>
      <c r="BS726" s="35"/>
      <c r="BT726" s="35"/>
    </row>
    <row r="727" spans="1:72">
      <c r="A727" s="29"/>
      <c r="K727" s="32"/>
      <c r="L727" s="32"/>
      <c r="R727" s="32"/>
      <c r="AC727" s="30"/>
      <c r="AH727" s="32"/>
      <c r="AI727" s="32"/>
      <c r="AJ727" s="32"/>
      <c r="AK727" s="32"/>
      <c r="AX727" s="34"/>
      <c r="AY727" s="34"/>
      <c r="AZ727" s="34"/>
      <c r="BA727" s="34"/>
      <c r="BB727" s="34"/>
      <c r="BC727" s="34"/>
      <c r="BD727" s="34"/>
      <c r="BE727" s="34"/>
      <c r="BF727" s="34"/>
      <c r="BG727" s="34"/>
      <c r="BH727" s="34"/>
      <c r="BI727" s="34"/>
      <c r="BJ727" s="34"/>
      <c r="BK727" s="34"/>
      <c r="BL727" s="34"/>
      <c r="BM727" s="34"/>
      <c r="BN727" s="34"/>
      <c r="BO727" s="35"/>
      <c r="BP727" s="35"/>
      <c r="BQ727" s="35"/>
      <c r="BR727" s="36"/>
      <c r="BS727" s="35"/>
      <c r="BT727" s="35"/>
    </row>
    <row r="728" spans="1:72">
      <c r="A728" s="29"/>
      <c r="K728" s="32"/>
      <c r="L728" s="32"/>
      <c r="R728" s="32"/>
      <c r="AC728" s="30"/>
      <c r="AH728" s="32"/>
      <c r="AI728" s="32"/>
      <c r="AJ728" s="32"/>
      <c r="AK728" s="32"/>
      <c r="AX728" s="34"/>
      <c r="AY728" s="34"/>
      <c r="AZ728" s="34"/>
      <c r="BA728" s="34"/>
      <c r="BB728" s="34"/>
      <c r="BC728" s="34"/>
      <c r="BD728" s="34"/>
      <c r="BE728" s="34"/>
      <c r="BF728" s="34"/>
      <c r="BG728" s="34"/>
      <c r="BH728" s="34"/>
      <c r="BI728" s="34"/>
      <c r="BJ728" s="34"/>
      <c r="BK728" s="34"/>
      <c r="BL728" s="34"/>
      <c r="BM728" s="34"/>
      <c r="BN728" s="34"/>
      <c r="BO728" s="35"/>
      <c r="BP728" s="35"/>
      <c r="BQ728" s="35"/>
      <c r="BR728" s="36"/>
      <c r="BS728" s="35"/>
      <c r="BT728" s="35"/>
    </row>
    <row r="729" spans="1:72">
      <c r="A729" s="29"/>
      <c r="K729" s="32"/>
      <c r="L729" s="32"/>
      <c r="R729" s="32"/>
      <c r="AC729" s="30"/>
      <c r="AH729" s="32"/>
      <c r="AI729" s="32"/>
      <c r="AJ729" s="32"/>
      <c r="AK729" s="32"/>
      <c r="AX729" s="34"/>
      <c r="AY729" s="34"/>
      <c r="AZ729" s="34"/>
      <c r="BA729" s="34"/>
      <c r="BB729" s="34"/>
      <c r="BC729" s="34"/>
      <c r="BD729" s="34"/>
      <c r="BE729" s="34"/>
      <c r="BF729" s="34"/>
      <c r="BG729" s="34"/>
      <c r="BH729" s="34"/>
      <c r="BI729" s="34"/>
      <c r="BJ729" s="34"/>
      <c r="BK729" s="34"/>
      <c r="BL729" s="34"/>
      <c r="BM729" s="34"/>
      <c r="BN729" s="34"/>
      <c r="BO729" s="35"/>
      <c r="BP729" s="35"/>
      <c r="BQ729" s="35"/>
      <c r="BR729" s="36"/>
      <c r="BS729" s="35"/>
      <c r="BT729" s="35"/>
    </row>
    <row r="730" spans="1:72">
      <c r="A730" s="29"/>
      <c r="K730" s="32"/>
      <c r="L730" s="32"/>
      <c r="R730" s="32"/>
      <c r="AC730" s="30"/>
      <c r="AH730" s="32"/>
      <c r="AI730" s="32"/>
      <c r="AJ730" s="32"/>
      <c r="AK730" s="32"/>
      <c r="AX730" s="34"/>
      <c r="AY730" s="34"/>
      <c r="AZ730" s="34"/>
      <c r="BA730" s="34"/>
      <c r="BB730" s="34"/>
      <c r="BC730" s="34"/>
      <c r="BD730" s="34"/>
      <c r="BE730" s="34"/>
      <c r="BF730" s="34"/>
      <c r="BG730" s="34"/>
      <c r="BH730" s="34"/>
      <c r="BI730" s="34"/>
      <c r="BJ730" s="34"/>
      <c r="BK730" s="34"/>
      <c r="BL730" s="34"/>
      <c r="BM730" s="34"/>
      <c r="BN730" s="34"/>
      <c r="BO730" s="35"/>
      <c r="BP730" s="35"/>
      <c r="BQ730" s="35"/>
      <c r="BR730" s="36"/>
      <c r="BS730" s="35"/>
      <c r="BT730" s="35"/>
    </row>
    <row r="731" spans="1:72">
      <c r="A731" s="29"/>
      <c r="K731" s="32"/>
      <c r="L731" s="32"/>
      <c r="R731" s="32"/>
      <c r="AC731" s="30"/>
      <c r="AH731" s="32"/>
      <c r="AI731" s="32"/>
      <c r="AJ731" s="32"/>
      <c r="AK731" s="32"/>
      <c r="AX731" s="34"/>
      <c r="AY731" s="34"/>
      <c r="AZ731" s="34"/>
      <c r="BA731" s="34"/>
      <c r="BB731" s="34"/>
      <c r="BC731" s="34"/>
      <c r="BD731" s="34"/>
      <c r="BE731" s="34"/>
      <c r="BF731" s="34"/>
      <c r="BG731" s="34"/>
      <c r="BH731" s="34"/>
      <c r="BI731" s="34"/>
      <c r="BJ731" s="34"/>
      <c r="BK731" s="34"/>
      <c r="BL731" s="34"/>
      <c r="BM731" s="34"/>
      <c r="BN731" s="34"/>
      <c r="BO731" s="35"/>
      <c r="BP731" s="35"/>
      <c r="BQ731" s="35"/>
      <c r="BR731" s="36"/>
      <c r="BS731" s="35"/>
      <c r="BT731" s="35"/>
    </row>
    <row r="732" spans="1:72">
      <c r="A732" s="29"/>
      <c r="K732" s="32"/>
      <c r="L732" s="32"/>
      <c r="R732" s="32"/>
      <c r="AC732" s="30"/>
      <c r="AH732" s="32"/>
      <c r="AI732" s="32"/>
      <c r="AJ732" s="32"/>
      <c r="AK732" s="32"/>
      <c r="AX732" s="34"/>
      <c r="AY732" s="34"/>
      <c r="AZ732" s="34"/>
      <c r="BA732" s="34"/>
      <c r="BB732" s="34"/>
      <c r="BC732" s="34"/>
      <c r="BD732" s="34"/>
      <c r="BE732" s="34"/>
      <c r="BF732" s="34"/>
      <c r="BG732" s="34"/>
      <c r="BH732" s="34"/>
      <c r="BI732" s="34"/>
      <c r="BJ732" s="34"/>
      <c r="BK732" s="34"/>
      <c r="BL732" s="34"/>
      <c r="BM732" s="34"/>
      <c r="BN732" s="34"/>
      <c r="BO732" s="35"/>
      <c r="BP732" s="35"/>
      <c r="BQ732" s="35"/>
      <c r="BR732" s="36"/>
      <c r="BS732" s="35"/>
      <c r="BT732" s="35"/>
    </row>
    <row r="733" spans="1:72">
      <c r="A733" s="29"/>
      <c r="K733" s="32"/>
      <c r="L733" s="32"/>
      <c r="R733" s="32"/>
      <c r="AC733" s="30"/>
      <c r="AH733" s="32"/>
      <c r="AI733" s="32"/>
      <c r="AJ733" s="32"/>
      <c r="AK733" s="32"/>
      <c r="AX733" s="34"/>
      <c r="AY733" s="34"/>
      <c r="AZ733" s="34"/>
      <c r="BA733" s="34"/>
      <c r="BB733" s="34"/>
      <c r="BC733" s="34"/>
      <c r="BD733" s="34"/>
      <c r="BE733" s="34"/>
      <c r="BF733" s="34"/>
      <c r="BG733" s="34"/>
      <c r="BH733" s="34"/>
      <c r="BI733" s="34"/>
      <c r="BJ733" s="34"/>
      <c r="BK733" s="34"/>
      <c r="BL733" s="34"/>
      <c r="BM733" s="34"/>
      <c r="BN733" s="34"/>
      <c r="BO733" s="35"/>
      <c r="BP733" s="35"/>
      <c r="BQ733" s="35"/>
      <c r="BR733" s="36"/>
      <c r="BS733" s="35"/>
      <c r="BT733" s="35"/>
    </row>
    <row r="734" spans="1:72">
      <c r="A734" s="29"/>
      <c r="K734" s="32"/>
      <c r="L734" s="32"/>
      <c r="R734" s="32"/>
      <c r="AC734" s="30"/>
      <c r="AH734" s="32"/>
      <c r="AI734" s="32"/>
      <c r="AJ734" s="32"/>
      <c r="AK734" s="32"/>
      <c r="AX734" s="34"/>
      <c r="AY734" s="34"/>
      <c r="AZ734" s="34"/>
      <c r="BA734" s="34"/>
      <c r="BB734" s="34"/>
      <c r="BC734" s="34"/>
      <c r="BD734" s="34"/>
      <c r="BE734" s="34"/>
      <c r="BF734" s="34"/>
      <c r="BG734" s="34"/>
      <c r="BH734" s="34"/>
      <c r="BI734" s="34"/>
      <c r="BJ734" s="34"/>
      <c r="BK734" s="34"/>
      <c r="BL734" s="34"/>
      <c r="BM734" s="34"/>
      <c r="BN734" s="34"/>
      <c r="BO734" s="35"/>
      <c r="BP734" s="35"/>
      <c r="BQ734" s="35"/>
      <c r="BR734" s="36"/>
      <c r="BS734" s="35"/>
      <c r="BT734" s="35"/>
    </row>
    <row r="735" spans="1:72">
      <c r="A735" s="29"/>
      <c r="K735" s="32"/>
      <c r="L735" s="32"/>
      <c r="R735" s="32"/>
      <c r="AC735" s="30"/>
      <c r="AH735" s="32"/>
      <c r="AI735" s="32"/>
      <c r="AJ735" s="32"/>
      <c r="AK735" s="32"/>
      <c r="AX735" s="34"/>
      <c r="AY735" s="34"/>
      <c r="AZ735" s="34"/>
      <c r="BA735" s="34"/>
      <c r="BB735" s="34"/>
      <c r="BC735" s="34"/>
      <c r="BD735" s="34"/>
      <c r="BE735" s="34"/>
      <c r="BF735" s="34"/>
      <c r="BG735" s="34"/>
      <c r="BH735" s="34"/>
      <c r="BI735" s="34"/>
      <c r="BJ735" s="34"/>
      <c r="BK735" s="34"/>
      <c r="BL735" s="34"/>
      <c r="BM735" s="34"/>
      <c r="BN735" s="34"/>
      <c r="BO735" s="35"/>
      <c r="BP735" s="35"/>
      <c r="BQ735" s="35"/>
      <c r="BR735" s="36"/>
      <c r="BS735" s="35"/>
      <c r="BT735" s="35"/>
    </row>
    <row r="736" spans="1:72">
      <c r="A736" s="29"/>
      <c r="K736" s="32"/>
      <c r="L736" s="32"/>
      <c r="R736" s="32"/>
      <c r="AC736" s="30"/>
      <c r="AH736" s="32"/>
      <c r="AI736" s="32"/>
      <c r="AJ736" s="32"/>
      <c r="AK736" s="32"/>
      <c r="AX736" s="34"/>
      <c r="AY736" s="34"/>
      <c r="AZ736" s="34"/>
      <c r="BA736" s="34"/>
      <c r="BB736" s="34"/>
      <c r="BC736" s="34"/>
      <c r="BD736" s="34"/>
      <c r="BE736" s="34"/>
      <c r="BF736" s="34"/>
      <c r="BG736" s="34"/>
      <c r="BH736" s="34"/>
      <c r="BI736" s="34"/>
      <c r="BJ736" s="34"/>
      <c r="BK736" s="34"/>
      <c r="BL736" s="34"/>
      <c r="BM736" s="34"/>
      <c r="BN736" s="34"/>
      <c r="BO736" s="35"/>
      <c r="BP736" s="35"/>
      <c r="BQ736" s="35"/>
      <c r="BR736" s="36"/>
      <c r="BS736" s="35"/>
      <c r="BT736" s="35"/>
    </row>
    <row r="737" spans="1:72">
      <c r="A737" s="29"/>
      <c r="K737" s="32"/>
      <c r="L737" s="32"/>
      <c r="R737" s="32"/>
      <c r="AC737" s="30"/>
      <c r="AH737" s="32"/>
      <c r="AI737" s="32"/>
      <c r="AJ737" s="32"/>
      <c r="AK737" s="32"/>
      <c r="AX737" s="34"/>
      <c r="AY737" s="34"/>
      <c r="AZ737" s="34"/>
      <c r="BA737" s="34"/>
      <c r="BB737" s="34"/>
      <c r="BC737" s="34"/>
      <c r="BD737" s="34"/>
      <c r="BE737" s="34"/>
      <c r="BF737" s="34"/>
      <c r="BG737" s="34"/>
      <c r="BH737" s="34"/>
      <c r="BI737" s="34"/>
      <c r="BJ737" s="34"/>
      <c r="BK737" s="34"/>
      <c r="BL737" s="34"/>
      <c r="BM737" s="34"/>
      <c r="BN737" s="34"/>
      <c r="BO737" s="35"/>
      <c r="BP737" s="35"/>
      <c r="BQ737" s="35"/>
      <c r="BR737" s="36"/>
      <c r="BS737" s="35"/>
      <c r="BT737" s="35"/>
    </row>
    <row r="738" spans="1:72">
      <c r="A738" s="29"/>
      <c r="K738" s="32"/>
      <c r="L738" s="32"/>
      <c r="R738" s="32"/>
      <c r="AC738" s="30"/>
      <c r="AH738" s="32"/>
      <c r="AI738" s="32"/>
      <c r="AJ738" s="32"/>
      <c r="AK738" s="32"/>
      <c r="AX738" s="34"/>
      <c r="AY738" s="34"/>
      <c r="AZ738" s="34"/>
      <c r="BA738" s="34"/>
      <c r="BB738" s="34"/>
      <c r="BC738" s="34"/>
      <c r="BD738" s="34"/>
      <c r="BE738" s="34"/>
      <c r="BF738" s="34"/>
      <c r="BG738" s="34"/>
      <c r="BH738" s="34"/>
      <c r="BI738" s="34"/>
      <c r="BJ738" s="34"/>
      <c r="BK738" s="34"/>
      <c r="BL738" s="34"/>
      <c r="BM738" s="34"/>
      <c r="BN738" s="34"/>
      <c r="BO738" s="35"/>
      <c r="BP738" s="35"/>
      <c r="BQ738" s="35"/>
      <c r="BR738" s="36"/>
      <c r="BS738" s="35"/>
      <c r="BT738" s="35"/>
    </row>
    <row r="739" spans="1:72">
      <c r="A739" s="29"/>
      <c r="K739" s="32"/>
      <c r="L739" s="32"/>
      <c r="R739" s="32"/>
      <c r="AC739" s="30"/>
      <c r="AH739" s="32"/>
      <c r="AI739" s="32"/>
      <c r="AJ739" s="32"/>
      <c r="AK739" s="32"/>
      <c r="AX739" s="34"/>
      <c r="AY739" s="34"/>
      <c r="AZ739" s="34"/>
      <c r="BA739" s="34"/>
      <c r="BB739" s="34"/>
      <c r="BC739" s="34"/>
      <c r="BD739" s="34"/>
      <c r="BE739" s="34"/>
      <c r="BF739" s="34"/>
      <c r="BG739" s="34"/>
      <c r="BH739" s="34"/>
      <c r="BI739" s="34"/>
      <c r="BJ739" s="34"/>
      <c r="BK739" s="34"/>
      <c r="BL739" s="34"/>
      <c r="BM739" s="34"/>
      <c r="BN739" s="34"/>
      <c r="BO739" s="35"/>
      <c r="BP739" s="35"/>
      <c r="BQ739" s="35"/>
      <c r="BR739" s="36"/>
      <c r="BS739" s="35"/>
      <c r="BT739" s="35"/>
    </row>
    <row r="740" spans="1:72">
      <c r="A740" s="29"/>
      <c r="K740" s="32"/>
      <c r="L740" s="32"/>
      <c r="R740" s="32"/>
      <c r="AC740" s="30"/>
      <c r="AH740" s="32"/>
      <c r="AI740" s="32"/>
      <c r="AJ740" s="32"/>
      <c r="AK740" s="32"/>
      <c r="AX740" s="34"/>
      <c r="AY740" s="34"/>
      <c r="AZ740" s="34"/>
      <c r="BA740" s="34"/>
      <c r="BB740" s="34"/>
      <c r="BC740" s="34"/>
      <c r="BD740" s="34"/>
      <c r="BE740" s="34"/>
      <c r="BF740" s="34"/>
      <c r="BG740" s="34"/>
      <c r="BH740" s="34"/>
      <c r="BI740" s="34"/>
      <c r="BJ740" s="34"/>
      <c r="BK740" s="34"/>
      <c r="BL740" s="34"/>
      <c r="BM740" s="34"/>
      <c r="BN740" s="34"/>
      <c r="BO740" s="35"/>
      <c r="BP740" s="35"/>
      <c r="BQ740" s="35"/>
      <c r="BR740" s="36"/>
      <c r="BS740" s="35"/>
      <c r="BT740" s="35"/>
    </row>
    <row r="741" spans="1:72">
      <c r="A741" s="29"/>
      <c r="K741" s="32"/>
      <c r="L741" s="32"/>
      <c r="R741" s="32"/>
      <c r="AC741" s="30"/>
      <c r="AH741" s="32"/>
      <c r="AI741" s="32"/>
      <c r="AJ741" s="32"/>
      <c r="AK741" s="32"/>
      <c r="AX741" s="34"/>
      <c r="AY741" s="34"/>
      <c r="AZ741" s="34"/>
      <c r="BA741" s="34"/>
      <c r="BB741" s="34"/>
      <c r="BC741" s="34"/>
      <c r="BD741" s="34"/>
      <c r="BE741" s="34"/>
      <c r="BF741" s="34"/>
      <c r="BG741" s="34"/>
      <c r="BH741" s="34"/>
      <c r="BI741" s="34"/>
      <c r="BJ741" s="34"/>
      <c r="BK741" s="34"/>
      <c r="BL741" s="34"/>
      <c r="BM741" s="34"/>
      <c r="BN741" s="34"/>
      <c r="BO741" s="35"/>
      <c r="BP741" s="35"/>
      <c r="BQ741" s="35"/>
      <c r="BR741" s="36"/>
      <c r="BS741" s="35"/>
      <c r="BT741" s="35"/>
    </row>
    <row r="742" spans="1:72">
      <c r="A742" s="29"/>
      <c r="K742" s="32"/>
      <c r="L742" s="32"/>
      <c r="R742" s="32"/>
      <c r="AC742" s="30"/>
      <c r="AH742" s="32"/>
      <c r="AI742" s="32"/>
      <c r="AJ742" s="32"/>
      <c r="AK742" s="32"/>
      <c r="AX742" s="34"/>
      <c r="AY742" s="34"/>
      <c r="AZ742" s="34"/>
      <c r="BA742" s="34"/>
      <c r="BB742" s="34"/>
      <c r="BC742" s="34"/>
      <c r="BD742" s="34"/>
      <c r="BE742" s="34"/>
      <c r="BF742" s="34"/>
      <c r="BG742" s="34"/>
      <c r="BH742" s="34"/>
      <c r="BI742" s="34"/>
      <c r="BJ742" s="34"/>
      <c r="BK742" s="34"/>
      <c r="BL742" s="34"/>
      <c r="BM742" s="34"/>
      <c r="BN742" s="34"/>
      <c r="BO742" s="35"/>
      <c r="BP742" s="35"/>
      <c r="BQ742" s="35"/>
      <c r="BR742" s="36"/>
      <c r="BS742" s="35"/>
      <c r="BT742" s="35"/>
    </row>
    <row r="743" spans="1:72">
      <c r="A743" s="29"/>
      <c r="K743" s="32"/>
      <c r="L743" s="32"/>
      <c r="R743" s="32"/>
      <c r="AC743" s="30"/>
      <c r="AH743" s="32"/>
      <c r="AI743" s="32"/>
      <c r="AJ743" s="32"/>
      <c r="AK743" s="32"/>
      <c r="AX743" s="34"/>
      <c r="AY743" s="34"/>
      <c r="AZ743" s="34"/>
      <c r="BA743" s="34"/>
      <c r="BB743" s="34"/>
      <c r="BC743" s="34"/>
      <c r="BD743" s="34"/>
      <c r="BE743" s="34"/>
      <c r="BF743" s="34"/>
      <c r="BG743" s="34"/>
      <c r="BH743" s="34"/>
      <c r="BI743" s="34"/>
      <c r="BJ743" s="34"/>
      <c r="BK743" s="34"/>
      <c r="BL743" s="34"/>
      <c r="BM743" s="34"/>
      <c r="BN743" s="34"/>
      <c r="BO743" s="35"/>
      <c r="BP743" s="35"/>
      <c r="BQ743" s="35"/>
      <c r="BR743" s="36"/>
      <c r="BS743" s="35"/>
      <c r="BT743" s="35"/>
    </row>
    <row r="744" spans="1:72">
      <c r="A744" s="29"/>
      <c r="K744" s="32"/>
      <c r="L744" s="32"/>
      <c r="R744" s="32"/>
      <c r="AC744" s="30"/>
      <c r="AH744" s="32"/>
      <c r="AI744" s="32"/>
      <c r="AJ744" s="32"/>
      <c r="AK744" s="32"/>
      <c r="AX744" s="34"/>
      <c r="AY744" s="34"/>
      <c r="AZ744" s="34"/>
      <c r="BA744" s="34"/>
      <c r="BB744" s="34"/>
      <c r="BC744" s="34"/>
      <c r="BD744" s="34"/>
      <c r="BE744" s="34"/>
      <c r="BF744" s="34"/>
      <c r="BG744" s="34"/>
      <c r="BH744" s="34"/>
      <c r="BI744" s="34"/>
      <c r="BJ744" s="34"/>
      <c r="BK744" s="34"/>
      <c r="BL744" s="34"/>
      <c r="BM744" s="34"/>
      <c r="BN744" s="34"/>
      <c r="BO744" s="35"/>
      <c r="BP744" s="35"/>
      <c r="BQ744" s="35"/>
      <c r="BR744" s="36"/>
      <c r="BS744" s="35"/>
      <c r="BT744" s="35"/>
    </row>
    <row r="745" spans="1:72">
      <c r="A745" s="29"/>
      <c r="K745" s="32"/>
      <c r="L745" s="32"/>
      <c r="R745" s="32"/>
      <c r="AC745" s="30"/>
      <c r="AH745" s="32"/>
      <c r="AI745" s="32"/>
      <c r="AJ745" s="32"/>
      <c r="AK745" s="32"/>
      <c r="AX745" s="34"/>
      <c r="AY745" s="34"/>
      <c r="AZ745" s="34"/>
      <c r="BA745" s="34"/>
      <c r="BB745" s="34"/>
      <c r="BC745" s="34"/>
      <c r="BD745" s="34"/>
      <c r="BE745" s="34"/>
      <c r="BF745" s="34"/>
      <c r="BG745" s="34"/>
      <c r="BH745" s="34"/>
      <c r="BI745" s="34"/>
      <c r="BJ745" s="34"/>
      <c r="BK745" s="34"/>
      <c r="BL745" s="34"/>
      <c r="BM745" s="34"/>
      <c r="BN745" s="34"/>
      <c r="BO745" s="35"/>
      <c r="BP745" s="35"/>
      <c r="BQ745" s="35"/>
      <c r="BR745" s="36"/>
      <c r="BS745" s="35"/>
      <c r="BT745" s="35"/>
    </row>
    <row r="746" spans="1:72">
      <c r="A746" s="29"/>
      <c r="K746" s="32"/>
      <c r="L746" s="32"/>
      <c r="R746" s="32"/>
      <c r="AC746" s="30"/>
      <c r="AH746" s="32"/>
      <c r="AI746" s="32"/>
      <c r="AJ746" s="32"/>
      <c r="AK746" s="32"/>
      <c r="AX746" s="34"/>
      <c r="AY746" s="34"/>
      <c r="AZ746" s="34"/>
      <c r="BA746" s="34"/>
      <c r="BB746" s="34"/>
      <c r="BC746" s="34"/>
      <c r="BD746" s="34"/>
      <c r="BE746" s="34"/>
      <c r="BF746" s="34"/>
      <c r="BG746" s="34"/>
      <c r="BH746" s="34"/>
      <c r="BI746" s="34"/>
      <c r="BJ746" s="34"/>
      <c r="BK746" s="34"/>
      <c r="BL746" s="34"/>
      <c r="BM746" s="34"/>
      <c r="BN746" s="34"/>
      <c r="BO746" s="35"/>
      <c r="BP746" s="35"/>
      <c r="BQ746" s="35"/>
      <c r="BR746" s="36"/>
      <c r="BS746" s="35"/>
      <c r="BT746" s="35"/>
    </row>
    <row r="747" spans="1:72">
      <c r="A747" s="29"/>
      <c r="K747" s="32"/>
      <c r="L747" s="32"/>
      <c r="R747" s="32"/>
      <c r="AC747" s="30"/>
      <c r="AH747" s="32"/>
      <c r="AI747" s="32"/>
      <c r="AJ747" s="32"/>
      <c r="AK747" s="32"/>
      <c r="AX747" s="34"/>
      <c r="AY747" s="34"/>
      <c r="AZ747" s="34"/>
      <c r="BA747" s="34"/>
      <c r="BB747" s="34"/>
      <c r="BC747" s="34"/>
      <c r="BD747" s="34"/>
      <c r="BE747" s="34"/>
      <c r="BF747" s="34"/>
      <c r="BG747" s="34"/>
      <c r="BH747" s="34"/>
      <c r="BI747" s="34"/>
      <c r="BJ747" s="34"/>
      <c r="BK747" s="34"/>
      <c r="BL747" s="34"/>
      <c r="BM747" s="34"/>
      <c r="BN747" s="34"/>
      <c r="BO747" s="35"/>
      <c r="BP747" s="35"/>
      <c r="BQ747" s="35"/>
      <c r="BR747" s="36"/>
      <c r="BS747" s="35"/>
      <c r="BT747" s="35"/>
    </row>
    <row r="748" spans="1:72">
      <c r="A748" s="29"/>
      <c r="K748" s="32"/>
      <c r="L748" s="32"/>
      <c r="R748" s="32"/>
      <c r="AC748" s="30"/>
      <c r="AH748" s="32"/>
      <c r="AI748" s="32"/>
      <c r="AJ748" s="32"/>
      <c r="AK748" s="32"/>
      <c r="AX748" s="34"/>
      <c r="AY748" s="34"/>
      <c r="AZ748" s="34"/>
      <c r="BA748" s="34"/>
      <c r="BB748" s="34"/>
      <c r="BC748" s="34"/>
      <c r="BD748" s="34"/>
      <c r="BE748" s="34"/>
      <c r="BF748" s="34"/>
      <c r="BG748" s="34"/>
      <c r="BH748" s="34"/>
      <c r="BI748" s="34"/>
      <c r="BJ748" s="34"/>
      <c r="BK748" s="34"/>
      <c r="BL748" s="34"/>
      <c r="BM748" s="34"/>
      <c r="BN748" s="34"/>
      <c r="BO748" s="35"/>
      <c r="BP748" s="35"/>
      <c r="BQ748" s="35"/>
      <c r="BR748" s="36"/>
      <c r="BS748" s="35"/>
      <c r="BT748" s="35"/>
    </row>
    <row r="749" spans="1:72">
      <c r="A749" s="29"/>
      <c r="K749" s="32"/>
      <c r="L749" s="32"/>
      <c r="R749" s="32"/>
      <c r="AC749" s="30"/>
      <c r="AH749" s="32"/>
      <c r="AI749" s="32"/>
      <c r="AJ749" s="32"/>
      <c r="AK749" s="32"/>
      <c r="AX749" s="34"/>
      <c r="AY749" s="34"/>
      <c r="AZ749" s="34"/>
      <c r="BA749" s="34"/>
      <c r="BB749" s="34"/>
      <c r="BC749" s="34"/>
      <c r="BD749" s="34"/>
      <c r="BE749" s="34"/>
      <c r="BF749" s="34"/>
      <c r="BG749" s="34"/>
      <c r="BH749" s="34"/>
      <c r="BI749" s="34"/>
      <c r="BJ749" s="34"/>
      <c r="BK749" s="34"/>
      <c r="BL749" s="34"/>
      <c r="BM749" s="34"/>
      <c r="BN749" s="34"/>
      <c r="BO749" s="35"/>
      <c r="BP749" s="35"/>
      <c r="BQ749" s="35"/>
      <c r="BR749" s="36"/>
      <c r="BS749" s="35"/>
      <c r="BT749" s="35"/>
    </row>
    <row r="750" spans="1:72">
      <c r="A750" s="29"/>
      <c r="K750" s="32"/>
      <c r="L750" s="32"/>
      <c r="R750" s="32"/>
      <c r="AC750" s="30"/>
      <c r="AH750" s="32"/>
      <c r="AI750" s="32"/>
      <c r="AJ750" s="32"/>
      <c r="AK750" s="32"/>
      <c r="AX750" s="34"/>
      <c r="AY750" s="34"/>
      <c r="AZ750" s="34"/>
      <c r="BA750" s="34"/>
      <c r="BB750" s="34"/>
      <c r="BC750" s="34"/>
      <c r="BD750" s="34"/>
      <c r="BE750" s="34"/>
      <c r="BF750" s="34"/>
      <c r="BG750" s="34"/>
      <c r="BH750" s="34"/>
      <c r="BI750" s="34"/>
      <c r="BJ750" s="34"/>
      <c r="BK750" s="34"/>
      <c r="BL750" s="34"/>
      <c r="BM750" s="34"/>
      <c r="BN750" s="34"/>
      <c r="BO750" s="35"/>
      <c r="BP750" s="35"/>
      <c r="BQ750" s="35"/>
      <c r="BR750" s="36"/>
      <c r="BS750" s="35"/>
      <c r="BT750" s="35"/>
    </row>
    <row r="751" spans="1:72">
      <c r="A751" s="29"/>
      <c r="K751" s="32"/>
      <c r="L751" s="32"/>
      <c r="R751" s="32"/>
      <c r="AC751" s="30"/>
      <c r="AH751" s="32"/>
      <c r="AI751" s="32"/>
      <c r="AJ751" s="32"/>
      <c r="AK751" s="32"/>
      <c r="AX751" s="34"/>
      <c r="AY751" s="34"/>
      <c r="AZ751" s="34"/>
      <c r="BA751" s="34"/>
      <c r="BB751" s="34"/>
      <c r="BC751" s="34"/>
      <c r="BD751" s="34"/>
      <c r="BE751" s="34"/>
      <c r="BF751" s="34"/>
      <c r="BG751" s="34"/>
      <c r="BH751" s="34"/>
      <c r="BI751" s="34"/>
      <c r="BJ751" s="34"/>
      <c r="BK751" s="34"/>
      <c r="BL751" s="34"/>
      <c r="BM751" s="34"/>
      <c r="BN751" s="34"/>
      <c r="BO751" s="35"/>
      <c r="BP751" s="35"/>
      <c r="BQ751" s="35"/>
      <c r="BR751" s="36"/>
      <c r="BS751" s="35"/>
      <c r="BT751" s="35"/>
    </row>
    <row r="752" spans="1:72">
      <c r="A752" s="29"/>
      <c r="K752" s="32"/>
      <c r="L752" s="32"/>
      <c r="R752" s="32"/>
      <c r="AC752" s="30"/>
      <c r="AH752" s="32"/>
      <c r="AI752" s="32"/>
      <c r="AJ752" s="32"/>
      <c r="AK752" s="32"/>
      <c r="AX752" s="34"/>
      <c r="AY752" s="34"/>
      <c r="AZ752" s="34"/>
      <c r="BA752" s="34"/>
      <c r="BB752" s="34"/>
      <c r="BC752" s="34"/>
      <c r="BD752" s="34"/>
      <c r="BE752" s="34"/>
      <c r="BF752" s="34"/>
      <c r="BG752" s="34"/>
      <c r="BH752" s="34"/>
      <c r="BI752" s="34"/>
      <c r="BJ752" s="34"/>
      <c r="BK752" s="34"/>
      <c r="BL752" s="34"/>
      <c r="BM752" s="34"/>
      <c r="BN752" s="34"/>
      <c r="BO752" s="35"/>
      <c r="BP752" s="35"/>
      <c r="BQ752" s="35"/>
      <c r="BR752" s="36"/>
      <c r="BS752" s="35"/>
      <c r="BT752" s="35"/>
    </row>
    <row r="753" spans="1:72">
      <c r="A753" s="29"/>
      <c r="K753" s="32"/>
      <c r="L753" s="32"/>
      <c r="R753" s="32"/>
      <c r="AC753" s="30"/>
      <c r="AH753" s="32"/>
      <c r="AI753" s="32"/>
      <c r="AJ753" s="32"/>
      <c r="AK753" s="32"/>
      <c r="AX753" s="34"/>
      <c r="AY753" s="34"/>
      <c r="AZ753" s="34"/>
      <c r="BA753" s="34"/>
      <c r="BB753" s="34"/>
      <c r="BC753" s="34"/>
      <c r="BD753" s="34"/>
      <c r="BE753" s="34"/>
      <c r="BF753" s="34"/>
      <c r="BG753" s="34"/>
      <c r="BH753" s="34"/>
      <c r="BI753" s="34"/>
      <c r="BJ753" s="34"/>
      <c r="BK753" s="34"/>
      <c r="BL753" s="34"/>
      <c r="BM753" s="34"/>
      <c r="BN753" s="34"/>
      <c r="BO753" s="35"/>
      <c r="BP753" s="35"/>
      <c r="BQ753" s="35"/>
      <c r="BR753" s="36"/>
      <c r="BS753" s="35"/>
      <c r="BT753" s="35"/>
    </row>
    <row r="754" spans="1:72">
      <c r="A754" s="29"/>
      <c r="K754" s="32"/>
      <c r="L754" s="32"/>
      <c r="R754" s="32"/>
      <c r="AC754" s="30"/>
      <c r="AH754" s="32"/>
      <c r="AI754" s="32"/>
      <c r="AJ754" s="32"/>
      <c r="AK754" s="32"/>
      <c r="AX754" s="34"/>
      <c r="AY754" s="34"/>
      <c r="AZ754" s="34"/>
      <c r="BA754" s="34"/>
      <c r="BB754" s="34"/>
      <c r="BC754" s="34"/>
      <c r="BD754" s="34"/>
      <c r="BE754" s="34"/>
      <c r="BF754" s="34"/>
      <c r="BG754" s="34"/>
      <c r="BH754" s="34"/>
      <c r="BI754" s="34"/>
      <c r="BJ754" s="34"/>
      <c r="BK754" s="34"/>
      <c r="BL754" s="34"/>
      <c r="BM754" s="34"/>
      <c r="BN754" s="34"/>
      <c r="BO754" s="35"/>
      <c r="BP754" s="35"/>
      <c r="BQ754" s="35"/>
      <c r="BR754" s="36"/>
      <c r="BS754" s="35"/>
      <c r="BT754" s="35"/>
    </row>
    <row r="755" spans="1:72">
      <c r="A755" s="29"/>
      <c r="K755" s="32"/>
      <c r="L755" s="32"/>
      <c r="R755" s="32"/>
      <c r="AC755" s="30"/>
      <c r="AH755" s="32"/>
      <c r="AI755" s="32"/>
      <c r="AJ755" s="32"/>
      <c r="AK755" s="32"/>
      <c r="AX755" s="34"/>
      <c r="AY755" s="34"/>
      <c r="AZ755" s="34"/>
      <c r="BA755" s="34"/>
      <c r="BB755" s="34"/>
      <c r="BC755" s="34"/>
      <c r="BD755" s="34"/>
      <c r="BE755" s="34"/>
      <c r="BF755" s="34"/>
      <c r="BG755" s="34"/>
      <c r="BH755" s="34"/>
      <c r="BI755" s="34"/>
      <c r="BJ755" s="34"/>
      <c r="BK755" s="34"/>
      <c r="BL755" s="34"/>
      <c r="BM755" s="34"/>
      <c r="BN755" s="34"/>
      <c r="BO755" s="35"/>
      <c r="BP755" s="35"/>
      <c r="BQ755" s="35"/>
      <c r="BR755" s="36"/>
      <c r="BS755" s="35"/>
      <c r="BT755" s="35"/>
    </row>
    <row r="756" spans="1:72">
      <c r="A756" s="29"/>
      <c r="K756" s="32"/>
      <c r="L756" s="32"/>
      <c r="R756" s="32"/>
      <c r="AC756" s="30"/>
      <c r="AH756" s="32"/>
      <c r="AI756" s="32"/>
      <c r="AJ756" s="32"/>
      <c r="AK756" s="32"/>
      <c r="AX756" s="34"/>
      <c r="AY756" s="34"/>
      <c r="AZ756" s="34"/>
      <c r="BA756" s="34"/>
      <c r="BB756" s="34"/>
      <c r="BC756" s="34"/>
      <c r="BD756" s="34"/>
      <c r="BE756" s="34"/>
      <c r="BF756" s="34"/>
      <c r="BG756" s="34"/>
      <c r="BH756" s="34"/>
      <c r="BI756" s="34"/>
      <c r="BJ756" s="34"/>
      <c r="BK756" s="34"/>
      <c r="BL756" s="34"/>
      <c r="BM756" s="34"/>
      <c r="BN756" s="34"/>
      <c r="BO756" s="35"/>
      <c r="BP756" s="35"/>
      <c r="BQ756" s="35"/>
      <c r="BR756" s="36"/>
      <c r="BS756" s="35"/>
      <c r="BT756" s="35"/>
    </row>
    <row r="757" spans="1:72">
      <c r="A757" s="29"/>
      <c r="K757" s="32"/>
      <c r="L757" s="32"/>
      <c r="R757" s="32"/>
      <c r="AC757" s="30"/>
      <c r="AH757" s="32"/>
      <c r="AI757" s="32"/>
      <c r="AJ757" s="32"/>
      <c r="AK757" s="32"/>
      <c r="AX757" s="34"/>
      <c r="AY757" s="34"/>
      <c r="AZ757" s="34"/>
      <c r="BA757" s="34"/>
      <c r="BB757" s="34"/>
      <c r="BC757" s="34"/>
      <c r="BD757" s="34"/>
      <c r="BE757" s="34"/>
      <c r="BF757" s="34"/>
      <c r="BG757" s="34"/>
      <c r="BH757" s="34"/>
      <c r="BI757" s="34"/>
      <c r="BJ757" s="34"/>
      <c r="BK757" s="34"/>
      <c r="BL757" s="34"/>
      <c r="BM757" s="34"/>
      <c r="BN757" s="34"/>
      <c r="BO757" s="35"/>
      <c r="BP757" s="35"/>
      <c r="BQ757" s="35"/>
      <c r="BR757" s="36"/>
      <c r="BS757" s="35"/>
      <c r="BT757" s="35"/>
    </row>
    <row r="758" spans="1:72">
      <c r="A758" s="29"/>
      <c r="K758" s="32"/>
      <c r="L758" s="32"/>
      <c r="R758" s="32"/>
      <c r="AC758" s="30"/>
      <c r="AH758" s="32"/>
      <c r="AI758" s="32"/>
      <c r="AJ758" s="32"/>
      <c r="AK758" s="32"/>
      <c r="AX758" s="34"/>
      <c r="AY758" s="34"/>
      <c r="AZ758" s="34"/>
      <c r="BA758" s="34"/>
      <c r="BB758" s="34"/>
      <c r="BC758" s="34"/>
      <c r="BD758" s="34"/>
      <c r="BE758" s="34"/>
      <c r="BF758" s="34"/>
      <c r="BG758" s="34"/>
      <c r="BH758" s="34"/>
      <c r="BI758" s="34"/>
      <c r="BJ758" s="34"/>
      <c r="BK758" s="34"/>
      <c r="BL758" s="34"/>
      <c r="BM758" s="34"/>
      <c r="BN758" s="34"/>
      <c r="BO758" s="35"/>
      <c r="BP758" s="35"/>
      <c r="BQ758" s="35"/>
      <c r="BR758" s="36"/>
      <c r="BS758" s="35"/>
      <c r="BT758" s="35"/>
    </row>
    <row r="759" spans="1:72">
      <c r="A759" s="29"/>
      <c r="K759" s="32"/>
      <c r="L759" s="32"/>
      <c r="R759" s="32"/>
      <c r="AC759" s="30"/>
      <c r="AH759" s="32"/>
      <c r="AI759" s="32"/>
      <c r="AJ759" s="32"/>
      <c r="AK759" s="32"/>
      <c r="AX759" s="34"/>
      <c r="AY759" s="34"/>
      <c r="AZ759" s="34"/>
      <c r="BA759" s="34"/>
      <c r="BB759" s="34"/>
      <c r="BC759" s="34"/>
      <c r="BD759" s="34"/>
      <c r="BE759" s="34"/>
      <c r="BF759" s="34"/>
      <c r="BG759" s="34"/>
      <c r="BH759" s="34"/>
      <c r="BI759" s="34"/>
      <c r="BJ759" s="34"/>
      <c r="BK759" s="34"/>
      <c r="BL759" s="34"/>
      <c r="BM759" s="34"/>
      <c r="BN759" s="34"/>
      <c r="BO759" s="35"/>
      <c r="BP759" s="35"/>
      <c r="BQ759" s="35"/>
      <c r="BR759" s="36"/>
      <c r="BS759" s="35"/>
      <c r="BT759" s="35"/>
    </row>
    <row r="760" spans="1:72">
      <c r="A760" s="29"/>
      <c r="K760" s="32"/>
      <c r="L760" s="32"/>
      <c r="R760" s="32"/>
      <c r="AC760" s="30"/>
      <c r="AH760" s="32"/>
      <c r="AI760" s="32"/>
      <c r="AJ760" s="32"/>
      <c r="AK760" s="32"/>
      <c r="AX760" s="34"/>
      <c r="AY760" s="34"/>
      <c r="AZ760" s="34"/>
      <c r="BA760" s="34"/>
      <c r="BB760" s="34"/>
      <c r="BC760" s="34"/>
      <c r="BD760" s="34"/>
      <c r="BE760" s="34"/>
      <c r="BF760" s="34"/>
      <c r="BG760" s="34"/>
      <c r="BH760" s="34"/>
      <c r="BI760" s="34"/>
      <c r="BJ760" s="34"/>
      <c r="BK760" s="34"/>
      <c r="BL760" s="34"/>
      <c r="BM760" s="34"/>
      <c r="BN760" s="34"/>
      <c r="BO760" s="35"/>
      <c r="BP760" s="35"/>
      <c r="BQ760" s="35"/>
      <c r="BR760" s="36"/>
      <c r="BS760" s="35"/>
      <c r="BT760" s="35"/>
    </row>
    <row r="761" spans="1:72">
      <c r="A761" s="29"/>
      <c r="K761" s="32"/>
      <c r="L761" s="32"/>
      <c r="R761" s="32"/>
      <c r="AC761" s="30"/>
      <c r="AH761" s="32"/>
      <c r="AI761" s="32"/>
      <c r="AJ761" s="32"/>
      <c r="AK761" s="32"/>
      <c r="AX761" s="34"/>
      <c r="AY761" s="34"/>
      <c r="AZ761" s="34"/>
      <c r="BA761" s="34"/>
      <c r="BB761" s="34"/>
      <c r="BC761" s="34"/>
      <c r="BD761" s="34"/>
      <c r="BE761" s="34"/>
      <c r="BF761" s="34"/>
      <c r="BG761" s="34"/>
      <c r="BH761" s="34"/>
      <c r="BI761" s="34"/>
      <c r="BJ761" s="34"/>
      <c r="BK761" s="34"/>
      <c r="BL761" s="34"/>
      <c r="BM761" s="34"/>
      <c r="BN761" s="34"/>
      <c r="BO761" s="35"/>
      <c r="BP761" s="35"/>
      <c r="BQ761" s="35"/>
      <c r="BR761" s="36"/>
      <c r="BS761" s="35"/>
      <c r="BT761" s="35"/>
    </row>
    <row r="762" spans="1:72">
      <c r="A762" s="29"/>
      <c r="K762" s="32"/>
      <c r="L762" s="32"/>
      <c r="R762" s="32"/>
      <c r="AC762" s="30"/>
      <c r="AH762" s="32"/>
      <c r="AI762" s="32"/>
      <c r="AJ762" s="32"/>
      <c r="AK762" s="32"/>
      <c r="AX762" s="34"/>
      <c r="AY762" s="34"/>
      <c r="AZ762" s="34"/>
      <c r="BA762" s="34"/>
      <c r="BB762" s="34"/>
      <c r="BC762" s="34"/>
      <c r="BD762" s="34"/>
      <c r="BE762" s="34"/>
      <c r="BF762" s="34"/>
      <c r="BG762" s="34"/>
      <c r="BH762" s="34"/>
      <c r="BI762" s="34"/>
      <c r="BJ762" s="34"/>
      <c r="BK762" s="34"/>
      <c r="BL762" s="34"/>
      <c r="BM762" s="34"/>
      <c r="BN762" s="34"/>
      <c r="BO762" s="35"/>
      <c r="BP762" s="35"/>
      <c r="BQ762" s="35"/>
      <c r="BR762" s="36"/>
      <c r="BS762" s="35"/>
      <c r="BT762" s="35"/>
    </row>
    <row r="763" spans="1:72">
      <c r="A763" s="29"/>
      <c r="K763" s="32"/>
      <c r="L763" s="32"/>
      <c r="R763" s="32"/>
      <c r="AC763" s="30"/>
      <c r="AH763" s="32"/>
      <c r="AI763" s="32"/>
      <c r="AJ763" s="32"/>
      <c r="AK763" s="32"/>
      <c r="AX763" s="34"/>
      <c r="AY763" s="34"/>
      <c r="AZ763" s="34"/>
      <c r="BA763" s="34"/>
      <c r="BB763" s="34"/>
      <c r="BC763" s="34"/>
      <c r="BD763" s="34"/>
      <c r="BE763" s="34"/>
      <c r="BF763" s="34"/>
      <c r="BG763" s="34"/>
      <c r="BH763" s="34"/>
      <c r="BI763" s="34"/>
      <c r="BJ763" s="34"/>
      <c r="BK763" s="34"/>
      <c r="BL763" s="34"/>
      <c r="BM763" s="34"/>
      <c r="BN763" s="34"/>
      <c r="BO763" s="35"/>
      <c r="BP763" s="35"/>
      <c r="BQ763" s="35"/>
      <c r="BR763" s="36"/>
      <c r="BS763" s="35"/>
      <c r="BT763" s="35"/>
    </row>
    <row r="764" spans="1:72">
      <c r="A764" s="29"/>
      <c r="K764" s="32"/>
      <c r="L764" s="32"/>
      <c r="R764" s="32"/>
      <c r="AC764" s="30"/>
      <c r="AH764" s="32"/>
      <c r="AI764" s="32"/>
      <c r="AJ764" s="32"/>
      <c r="AK764" s="32"/>
      <c r="AX764" s="34"/>
      <c r="AY764" s="34"/>
      <c r="AZ764" s="34"/>
      <c r="BA764" s="34"/>
      <c r="BB764" s="34"/>
      <c r="BC764" s="34"/>
      <c r="BD764" s="34"/>
      <c r="BE764" s="34"/>
      <c r="BF764" s="34"/>
      <c r="BG764" s="34"/>
      <c r="BH764" s="34"/>
      <c r="BI764" s="34"/>
      <c r="BJ764" s="34"/>
      <c r="BK764" s="34"/>
      <c r="BL764" s="34"/>
      <c r="BM764" s="34"/>
      <c r="BN764" s="34"/>
      <c r="BO764" s="35"/>
      <c r="BP764" s="35"/>
      <c r="BQ764" s="35"/>
      <c r="BR764" s="36"/>
      <c r="BS764" s="35"/>
      <c r="BT764" s="35"/>
    </row>
    <row r="765" spans="1:72">
      <c r="A765" s="29"/>
      <c r="K765" s="32"/>
      <c r="L765" s="32"/>
      <c r="R765" s="32"/>
      <c r="AC765" s="30"/>
      <c r="AH765" s="32"/>
      <c r="AI765" s="32"/>
      <c r="AJ765" s="32"/>
      <c r="AK765" s="32"/>
      <c r="AX765" s="34"/>
      <c r="AY765" s="34"/>
      <c r="AZ765" s="34"/>
      <c r="BA765" s="34"/>
      <c r="BB765" s="34"/>
      <c r="BC765" s="34"/>
      <c r="BD765" s="34"/>
      <c r="BE765" s="34"/>
      <c r="BF765" s="34"/>
      <c r="BG765" s="34"/>
      <c r="BH765" s="34"/>
      <c r="BI765" s="34"/>
      <c r="BJ765" s="34"/>
      <c r="BK765" s="34"/>
      <c r="BL765" s="34"/>
      <c r="BM765" s="34"/>
      <c r="BN765" s="34"/>
      <c r="BO765" s="35"/>
      <c r="BP765" s="35"/>
      <c r="BQ765" s="35"/>
      <c r="BR765" s="36"/>
      <c r="BS765" s="35"/>
      <c r="BT765" s="35"/>
    </row>
    <row r="766" spans="1:72">
      <c r="A766" s="29"/>
      <c r="K766" s="32"/>
      <c r="L766" s="32"/>
      <c r="R766" s="32"/>
      <c r="AC766" s="30"/>
      <c r="AH766" s="32"/>
      <c r="AI766" s="32"/>
      <c r="AJ766" s="32"/>
      <c r="AK766" s="32"/>
      <c r="AX766" s="34"/>
      <c r="AY766" s="34"/>
      <c r="AZ766" s="34"/>
      <c r="BA766" s="34"/>
      <c r="BB766" s="34"/>
      <c r="BC766" s="34"/>
      <c r="BD766" s="34"/>
      <c r="BE766" s="34"/>
      <c r="BF766" s="34"/>
      <c r="BG766" s="34"/>
      <c r="BH766" s="34"/>
      <c r="BI766" s="34"/>
      <c r="BJ766" s="34"/>
      <c r="BK766" s="34"/>
      <c r="BL766" s="34"/>
      <c r="BM766" s="34"/>
      <c r="BN766" s="34"/>
      <c r="BO766" s="35"/>
      <c r="BP766" s="35"/>
      <c r="BQ766" s="35"/>
      <c r="BR766" s="36"/>
      <c r="BS766" s="35"/>
      <c r="BT766" s="35"/>
    </row>
    <row r="767" spans="1:72">
      <c r="A767" s="29"/>
      <c r="K767" s="32"/>
      <c r="L767" s="32"/>
      <c r="R767" s="32"/>
      <c r="AC767" s="30"/>
      <c r="AH767" s="32"/>
      <c r="AI767" s="32"/>
      <c r="AJ767" s="32"/>
      <c r="AK767" s="32"/>
      <c r="AX767" s="34"/>
      <c r="AY767" s="34"/>
      <c r="AZ767" s="34"/>
      <c r="BA767" s="34"/>
      <c r="BB767" s="34"/>
      <c r="BC767" s="34"/>
      <c r="BD767" s="34"/>
      <c r="BE767" s="34"/>
      <c r="BF767" s="34"/>
      <c r="BG767" s="34"/>
      <c r="BH767" s="34"/>
      <c r="BI767" s="34"/>
      <c r="BJ767" s="34"/>
      <c r="BK767" s="34"/>
      <c r="BL767" s="34"/>
      <c r="BM767" s="34"/>
      <c r="BN767" s="34"/>
      <c r="BO767" s="35"/>
      <c r="BP767" s="35"/>
      <c r="BQ767" s="35"/>
      <c r="BR767" s="36"/>
      <c r="BS767" s="35"/>
      <c r="BT767" s="35"/>
    </row>
    <row r="768" spans="1:72">
      <c r="A768" s="29"/>
      <c r="K768" s="32"/>
      <c r="L768" s="32"/>
      <c r="R768" s="32"/>
      <c r="AC768" s="30"/>
      <c r="AH768" s="32"/>
      <c r="AI768" s="32"/>
      <c r="AJ768" s="32"/>
      <c r="AK768" s="32"/>
      <c r="AX768" s="34"/>
      <c r="AY768" s="34"/>
      <c r="AZ768" s="34"/>
      <c r="BA768" s="34"/>
      <c r="BB768" s="34"/>
      <c r="BC768" s="34"/>
      <c r="BD768" s="34"/>
      <c r="BE768" s="34"/>
      <c r="BF768" s="34"/>
      <c r="BG768" s="34"/>
      <c r="BH768" s="34"/>
      <c r="BI768" s="34"/>
      <c r="BJ768" s="34"/>
      <c r="BK768" s="34"/>
      <c r="BL768" s="34"/>
      <c r="BM768" s="34"/>
      <c r="BN768" s="34"/>
      <c r="BO768" s="35"/>
      <c r="BP768" s="35"/>
      <c r="BQ768" s="35"/>
      <c r="BR768" s="36"/>
      <c r="BS768" s="35"/>
      <c r="BT768" s="35"/>
    </row>
    <row r="769" spans="1:72">
      <c r="A769" s="29"/>
      <c r="K769" s="32"/>
      <c r="L769" s="32"/>
      <c r="R769" s="32"/>
      <c r="AC769" s="30"/>
      <c r="AH769" s="32"/>
      <c r="AI769" s="32"/>
      <c r="AJ769" s="32"/>
      <c r="AK769" s="32"/>
      <c r="AX769" s="34"/>
      <c r="AY769" s="34"/>
      <c r="AZ769" s="34"/>
      <c r="BA769" s="34"/>
      <c r="BB769" s="34"/>
      <c r="BC769" s="34"/>
      <c r="BD769" s="34"/>
      <c r="BE769" s="34"/>
      <c r="BF769" s="34"/>
      <c r="BG769" s="34"/>
      <c r="BH769" s="34"/>
      <c r="BI769" s="34"/>
      <c r="BJ769" s="34"/>
      <c r="BK769" s="34"/>
      <c r="BL769" s="34"/>
      <c r="BM769" s="34"/>
      <c r="BN769" s="34"/>
      <c r="BO769" s="35"/>
      <c r="BP769" s="35"/>
      <c r="BQ769" s="35"/>
      <c r="BR769" s="36"/>
      <c r="BS769" s="35"/>
      <c r="BT769" s="35"/>
    </row>
    <row r="770" spans="1:72">
      <c r="A770" s="29"/>
      <c r="K770" s="32"/>
      <c r="L770" s="32"/>
      <c r="R770" s="32"/>
      <c r="AC770" s="30"/>
      <c r="AH770" s="32"/>
      <c r="AI770" s="32"/>
      <c r="AJ770" s="32"/>
      <c r="AK770" s="32"/>
      <c r="AX770" s="34"/>
      <c r="AY770" s="34"/>
      <c r="AZ770" s="34"/>
      <c r="BA770" s="34"/>
      <c r="BB770" s="34"/>
      <c r="BC770" s="34"/>
      <c r="BD770" s="34"/>
      <c r="BE770" s="34"/>
      <c r="BF770" s="34"/>
      <c r="BG770" s="34"/>
      <c r="BH770" s="34"/>
      <c r="BI770" s="34"/>
      <c r="BJ770" s="34"/>
      <c r="BK770" s="34"/>
      <c r="BL770" s="34"/>
      <c r="BM770" s="34"/>
      <c r="BN770" s="34"/>
      <c r="BO770" s="35"/>
      <c r="BP770" s="35"/>
      <c r="BQ770" s="35"/>
      <c r="BR770" s="36"/>
      <c r="BS770" s="35"/>
      <c r="BT770" s="35"/>
    </row>
    <row r="771" spans="1:72">
      <c r="A771" s="29"/>
      <c r="K771" s="32"/>
      <c r="L771" s="32"/>
      <c r="R771" s="32"/>
      <c r="AC771" s="30"/>
      <c r="AH771" s="32"/>
      <c r="AI771" s="32"/>
      <c r="AJ771" s="32"/>
      <c r="AK771" s="32"/>
      <c r="AX771" s="34"/>
      <c r="AY771" s="34"/>
      <c r="AZ771" s="34"/>
      <c r="BA771" s="34"/>
      <c r="BB771" s="34"/>
      <c r="BC771" s="34"/>
      <c r="BD771" s="34"/>
      <c r="BE771" s="34"/>
      <c r="BF771" s="34"/>
      <c r="BG771" s="34"/>
      <c r="BH771" s="34"/>
      <c r="BI771" s="34"/>
      <c r="BJ771" s="34"/>
      <c r="BK771" s="34"/>
      <c r="BL771" s="34"/>
      <c r="BM771" s="34"/>
      <c r="BN771" s="34"/>
      <c r="BO771" s="35"/>
      <c r="BP771" s="35"/>
      <c r="BQ771" s="35"/>
      <c r="BR771" s="36"/>
      <c r="BS771" s="35"/>
      <c r="BT771" s="35"/>
    </row>
    <row r="772" spans="1:72">
      <c r="A772" s="29"/>
      <c r="K772" s="32"/>
      <c r="L772" s="32"/>
      <c r="R772" s="32"/>
      <c r="AC772" s="30"/>
      <c r="AH772" s="32"/>
      <c r="AI772" s="32"/>
      <c r="AJ772" s="32"/>
      <c r="AK772" s="32"/>
      <c r="AX772" s="34"/>
      <c r="AY772" s="34"/>
      <c r="AZ772" s="34"/>
      <c r="BA772" s="34"/>
      <c r="BB772" s="34"/>
      <c r="BC772" s="34"/>
      <c r="BD772" s="34"/>
      <c r="BE772" s="34"/>
      <c r="BF772" s="34"/>
      <c r="BG772" s="34"/>
      <c r="BH772" s="34"/>
      <c r="BI772" s="34"/>
      <c r="BJ772" s="34"/>
      <c r="BK772" s="34"/>
      <c r="BL772" s="34"/>
      <c r="BM772" s="34"/>
      <c r="BN772" s="34"/>
      <c r="BO772" s="35"/>
      <c r="BP772" s="35"/>
      <c r="BQ772" s="35"/>
      <c r="BR772" s="36"/>
      <c r="BS772" s="35"/>
      <c r="BT772" s="35"/>
    </row>
    <row r="773" spans="1:72">
      <c r="A773" s="29"/>
      <c r="K773" s="32"/>
      <c r="L773" s="32"/>
      <c r="R773" s="32"/>
      <c r="AC773" s="30"/>
      <c r="AH773" s="32"/>
      <c r="AI773" s="32"/>
      <c r="AJ773" s="32"/>
      <c r="AK773" s="32"/>
      <c r="AX773" s="34"/>
      <c r="AY773" s="34"/>
      <c r="AZ773" s="34"/>
      <c r="BA773" s="34"/>
      <c r="BB773" s="34"/>
      <c r="BC773" s="34"/>
      <c r="BD773" s="34"/>
      <c r="BE773" s="34"/>
      <c r="BF773" s="34"/>
      <c r="BG773" s="34"/>
      <c r="BH773" s="34"/>
      <c r="BI773" s="34"/>
      <c r="BJ773" s="34"/>
      <c r="BK773" s="34"/>
      <c r="BL773" s="34"/>
      <c r="BM773" s="34"/>
      <c r="BN773" s="34"/>
      <c r="BO773" s="35"/>
      <c r="BP773" s="35"/>
      <c r="BQ773" s="35"/>
      <c r="BR773" s="36"/>
      <c r="BS773" s="35"/>
      <c r="BT773" s="35"/>
    </row>
    <row r="774" spans="1:72">
      <c r="A774" s="29"/>
      <c r="K774" s="32"/>
      <c r="L774" s="32"/>
      <c r="R774" s="32"/>
      <c r="AC774" s="30"/>
      <c r="AH774" s="32"/>
      <c r="AI774" s="32"/>
      <c r="AJ774" s="32"/>
      <c r="AK774" s="32"/>
      <c r="AX774" s="34"/>
      <c r="AY774" s="34"/>
      <c r="AZ774" s="34"/>
      <c r="BA774" s="34"/>
      <c r="BB774" s="34"/>
      <c r="BC774" s="34"/>
      <c r="BD774" s="34"/>
      <c r="BE774" s="34"/>
      <c r="BF774" s="34"/>
      <c r="BG774" s="34"/>
      <c r="BH774" s="34"/>
      <c r="BI774" s="34"/>
      <c r="BJ774" s="34"/>
      <c r="BK774" s="34"/>
      <c r="BL774" s="34"/>
      <c r="BM774" s="34"/>
      <c r="BN774" s="34"/>
      <c r="BO774" s="35"/>
      <c r="BP774" s="35"/>
      <c r="BQ774" s="35"/>
      <c r="BR774" s="36"/>
      <c r="BS774" s="35"/>
      <c r="BT774" s="35"/>
    </row>
    <row r="775" spans="1:72">
      <c r="A775" s="29"/>
      <c r="K775" s="32"/>
      <c r="L775" s="32"/>
      <c r="R775" s="32"/>
      <c r="AC775" s="30"/>
      <c r="AH775" s="32"/>
      <c r="AI775" s="32"/>
      <c r="AJ775" s="32"/>
      <c r="AK775" s="32"/>
      <c r="AX775" s="34"/>
      <c r="AY775" s="34"/>
      <c r="AZ775" s="34"/>
      <c r="BA775" s="34"/>
      <c r="BB775" s="34"/>
      <c r="BC775" s="34"/>
      <c r="BD775" s="34"/>
      <c r="BE775" s="34"/>
      <c r="BF775" s="34"/>
      <c r="BG775" s="34"/>
      <c r="BH775" s="34"/>
      <c r="BI775" s="34"/>
      <c r="BJ775" s="34"/>
      <c r="BK775" s="34"/>
      <c r="BL775" s="34"/>
      <c r="BM775" s="34"/>
      <c r="BN775" s="34"/>
      <c r="BO775" s="35"/>
      <c r="BP775" s="35"/>
      <c r="BQ775" s="35"/>
      <c r="BR775" s="36"/>
      <c r="BS775" s="35"/>
      <c r="BT775" s="35"/>
    </row>
    <row r="776" spans="1:72">
      <c r="A776" s="29"/>
      <c r="K776" s="32"/>
      <c r="L776" s="32"/>
      <c r="R776" s="32"/>
      <c r="AC776" s="30"/>
      <c r="AH776" s="32"/>
      <c r="AI776" s="32"/>
      <c r="AJ776" s="32"/>
      <c r="AK776" s="32"/>
      <c r="AX776" s="34"/>
      <c r="AY776" s="34"/>
      <c r="AZ776" s="34"/>
      <c r="BA776" s="34"/>
      <c r="BB776" s="34"/>
      <c r="BC776" s="34"/>
      <c r="BD776" s="34"/>
      <c r="BE776" s="34"/>
      <c r="BF776" s="34"/>
      <c r="BG776" s="34"/>
      <c r="BH776" s="34"/>
      <c r="BI776" s="34"/>
      <c r="BJ776" s="34"/>
      <c r="BK776" s="34"/>
      <c r="BL776" s="34"/>
      <c r="BM776" s="34"/>
      <c r="BN776" s="34"/>
      <c r="BO776" s="35"/>
      <c r="BP776" s="35"/>
      <c r="BQ776" s="35"/>
      <c r="BR776" s="36"/>
      <c r="BS776" s="35"/>
      <c r="BT776" s="35"/>
    </row>
    <row r="777" spans="1:72">
      <c r="A777" s="29"/>
      <c r="K777" s="32"/>
      <c r="L777" s="32"/>
      <c r="R777" s="32"/>
      <c r="AC777" s="30"/>
      <c r="AH777" s="32"/>
      <c r="AI777" s="32"/>
      <c r="AJ777" s="32"/>
      <c r="AK777" s="32"/>
      <c r="AX777" s="34"/>
      <c r="AY777" s="34"/>
      <c r="AZ777" s="34"/>
      <c r="BA777" s="34"/>
      <c r="BB777" s="34"/>
      <c r="BC777" s="34"/>
      <c r="BD777" s="34"/>
      <c r="BE777" s="34"/>
      <c r="BF777" s="34"/>
      <c r="BG777" s="34"/>
      <c r="BH777" s="34"/>
      <c r="BI777" s="34"/>
      <c r="BJ777" s="34"/>
      <c r="BK777" s="34"/>
      <c r="BL777" s="34"/>
      <c r="BM777" s="34"/>
      <c r="BN777" s="34"/>
      <c r="BO777" s="35"/>
      <c r="BP777" s="35"/>
      <c r="BQ777" s="35"/>
      <c r="BR777" s="36"/>
      <c r="BS777" s="35"/>
      <c r="BT777" s="35"/>
    </row>
    <row r="778" spans="1:72">
      <c r="A778" s="29"/>
      <c r="K778" s="32"/>
      <c r="L778" s="32"/>
      <c r="R778" s="32"/>
      <c r="AC778" s="30"/>
      <c r="AH778" s="32"/>
      <c r="AI778" s="32"/>
      <c r="AJ778" s="32"/>
      <c r="AK778" s="32"/>
      <c r="AX778" s="34"/>
      <c r="AY778" s="34"/>
      <c r="AZ778" s="34"/>
      <c r="BA778" s="34"/>
      <c r="BB778" s="34"/>
      <c r="BC778" s="34"/>
      <c r="BD778" s="34"/>
      <c r="BE778" s="34"/>
      <c r="BF778" s="34"/>
      <c r="BG778" s="34"/>
      <c r="BH778" s="34"/>
      <c r="BI778" s="34"/>
      <c r="BJ778" s="34"/>
      <c r="BK778" s="34"/>
      <c r="BL778" s="34"/>
      <c r="BM778" s="34"/>
      <c r="BN778" s="34"/>
      <c r="BO778" s="35"/>
      <c r="BP778" s="35"/>
      <c r="BQ778" s="35"/>
      <c r="BR778" s="36"/>
      <c r="BS778" s="35"/>
      <c r="BT778" s="35"/>
    </row>
    <row r="779" spans="1:72">
      <c r="A779" s="29"/>
      <c r="K779" s="32"/>
      <c r="L779" s="32"/>
      <c r="R779" s="32"/>
      <c r="AC779" s="30"/>
      <c r="AH779" s="32"/>
      <c r="AI779" s="32"/>
      <c r="AJ779" s="32"/>
      <c r="AK779" s="32"/>
      <c r="AX779" s="34"/>
      <c r="AY779" s="34"/>
      <c r="AZ779" s="34"/>
      <c r="BA779" s="34"/>
      <c r="BB779" s="34"/>
      <c r="BC779" s="34"/>
      <c r="BD779" s="34"/>
      <c r="BE779" s="34"/>
      <c r="BF779" s="34"/>
      <c r="BG779" s="34"/>
      <c r="BH779" s="34"/>
      <c r="BI779" s="34"/>
      <c r="BJ779" s="34"/>
      <c r="BK779" s="34"/>
      <c r="BL779" s="34"/>
      <c r="BM779" s="34"/>
      <c r="BN779" s="34"/>
      <c r="BO779" s="35"/>
      <c r="BP779" s="35"/>
      <c r="BQ779" s="35"/>
      <c r="BR779" s="36"/>
      <c r="BS779" s="35"/>
      <c r="BT779" s="35"/>
    </row>
    <row r="780" spans="1:72">
      <c r="A780" s="29"/>
      <c r="K780" s="32"/>
      <c r="L780" s="32"/>
      <c r="R780" s="32"/>
      <c r="AC780" s="30"/>
      <c r="AH780" s="32"/>
      <c r="AI780" s="32"/>
      <c r="AJ780" s="32"/>
      <c r="AK780" s="32"/>
      <c r="AX780" s="34"/>
      <c r="AY780" s="34"/>
      <c r="AZ780" s="34"/>
      <c r="BA780" s="34"/>
      <c r="BB780" s="34"/>
      <c r="BC780" s="34"/>
      <c r="BD780" s="34"/>
      <c r="BE780" s="34"/>
      <c r="BF780" s="34"/>
      <c r="BG780" s="34"/>
      <c r="BH780" s="34"/>
      <c r="BI780" s="34"/>
      <c r="BJ780" s="34"/>
      <c r="BK780" s="34"/>
      <c r="BL780" s="34"/>
      <c r="BM780" s="34"/>
      <c r="BN780" s="34"/>
      <c r="BO780" s="35"/>
      <c r="BP780" s="35"/>
      <c r="BQ780" s="35"/>
      <c r="BR780" s="36"/>
      <c r="BS780" s="35"/>
      <c r="BT780" s="35"/>
    </row>
    <row r="781" spans="1:72">
      <c r="A781" s="29"/>
      <c r="K781" s="32"/>
      <c r="L781" s="32"/>
      <c r="R781" s="32"/>
      <c r="AC781" s="30"/>
      <c r="AH781" s="32"/>
      <c r="AI781" s="32"/>
      <c r="AJ781" s="32"/>
      <c r="AK781" s="32"/>
      <c r="AX781" s="34"/>
      <c r="AY781" s="34"/>
      <c r="AZ781" s="34"/>
      <c r="BA781" s="34"/>
      <c r="BB781" s="34"/>
      <c r="BC781" s="34"/>
      <c r="BD781" s="34"/>
      <c r="BE781" s="34"/>
      <c r="BF781" s="34"/>
      <c r="BG781" s="34"/>
      <c r="BH781" s="34"/>
      <c r="BI781" s="34"/>
      <c r="BJ781" s="34"/>
      <c r="BK781" s="34"/>
      <c r="BL781" s="34"/>
      <c r="BM781" s="34"/>
      <c r="BN781" s="34"/>
      <c r="BO781" s="35"/>
      <c r="BP781" s="35"/>
      <c r="BQ781" s="35"/>
      <c r="BR781" s="36"/>
      <c r="BS781" s="35"/>
      <c r="BT781" s="35"/>
    </row>
    <row r="782" spans="1:72">
      <c r="A782" s="29"/>
      <c r="K782" s="32"/>
      <c r="L782" s="32"/>
      <c r="R782" s="32"/>
      <c r="AC782" s="30"/>
      <c r="AH782" s="32"/>
      <c r="AI782" s="32"/>
      <c r="AJ782" s="32"/>
      <c r="AK782" s="32"/>
      <c r="AX782" s="34"/>
      <c r="AY782" s="34"/>
      <c r="AZ782" s="34"/>
      <c r="BA782" s="34"/>
      <c r="BB782" s="34"/>
      <c r="BC782" s="34"/>
      <c r="BD782" s="34"/>
      <c r="BE782" s="34"/>
      <c r="BF782" s="34"/>
      <c r="BG782" s="34"/>
      <c r="BH782" s="34"/>
      <c r="BI782" s="34"/>
      <c r="BJ782" s="34"/>
      <c r="BK782" s="34"/>
      <c r="BL782" s="34"/>
      <c r="BM782" s="34"/>
      <c r="BN782" s="34"/>
      <c r="BO782" s="35"/>
      <c r="BP782" s="35"/>
      <c r="BQ782" s="35"/>
      <c r="BR782" s="36"/>
      <c r="BS782" s="35"/>
      <c r="BT782" s="35"/>
    </row>
    <row r="783" spans="1:72">
      <c r="A783" s="29"/>
      <c r="K783" s="32"/>
      <c r="L783" s="32"/>
      <c r="R783" s="32"/>
      <c r="AC783" s="30"/>
      <c r="AH783" s="32"/>
      <c r="AI783" s="32"/>
      <c r="AJ783" s="32"/>
      <c r="AK783" s="32"/>
      <c r="AX783" s="34"/>
      <c r="AY783" s="34"/>
      <c r="AZ783" s="34"/>
      <c r="BA783" s="34"/>
      <c r="BB783" s="34"/>
      <c r="BC783" s="34"/>
      <c r="BD783" s="34"/>
      <c r="BE783" s="34"/>
      <c r="BF783" s="34"/>
      <c r="BG783" s="34"/>
      <c r="BH783" s="34"/>
      <c r="BI783" s="34"/>
      <c r="BJ783" s="34"/>
      <c r="BK783" s="34"/>
      <c r="BL783" s="34"/>
      <c r="BM783" s="34"/>
      <c r="BN783" s="34"/>
      <c r="BO783" s="35"/>
      <c r="BP783" s="35"/>
      <c r="BQ783" s="35"/>
      <c r="BR783" s="36"/>
      <c r="BS783" s="35"/>
      <c r="BT783" s="35"/>
    </row>
    <row r="784" spans="1:72">
      <c r="A784" s="29"/>
      <c r="K784" s="32"/>
      <c r="L784" s="32"/>
      <c r="R784" s="32"/>
      <c r="AC784" s="30"/>
      <c r="AH784" s="32"/>
      <c r="AI784" s="32"/>
      <c r="AJ784" s="32"/>
      <c r="AK784" s="32"/>
      <c r="AX784" s="34"/>
      <c r="AY784" s="34"/>
      <c r="AZ784" s="34"/>
      <c r="BA784" s="34"/>
      <c r="BB784" s="34"/>
      <c r="BC784" s="34"/>
      <c r="BD784" s="34"/>
      <c r="BE784" s="34"/>
      <c r="BF784" s="34"/>
      <c r="BG784" s="34"/>
      <c r="BH784" s="34"/>
      <c r="BI784" s="34"/>
      <c r="BJ784" s="34"/>
      <c r="BK784" s="34"/>
      <c r="BL784" s="34"/>
      <c r="BM784" s="34"/>
      <c r="BN784" s="34"/>
      <c r="BO784" s="35"/>
      <c r="BP784" s="35"/>
      <c r="BQ784" s="35"/>
      <c r="BR784" s="36"/>
      <c r="BS784" s="35"/>
      <c r="BT784" s="35"/>
    </row>
    <row r="785" spans="1:72">
      <c r="A785" s="29"/>
      <c r="K785" s="32"/>
      <c r="L785" s="32"/>
      <c r="R785" s="32"/>
      <c r="AC785" s="30"/>
      <c r="AH785" s="32"/>
      <c r="AI785" s="32"/>
      <c r="AJ785" s="32"/>
      <c r="AK785" s="32"/>
      <c r="AX785" s="34"/>
      <c r="AY785" s="34"/>
      <c r="AZ785" s="34"/>
      <c r="BA785" s="34"/>
      <c r="BB785" s="34"/>
      <c r="BC785" s="34"/>
      <c r="BD785" s="34"/>
      <c r="BE785" s="34"/>
      <c r="BF785" s="34"/>
      <c r="BG785" s="34"/>
      <c r="BH785" s="34"/>
      <c r="BI785" s="34"/>
      <c r="BJ785" s="34"/>
      <c r="BK785" s="34"/>
      <c r="BL785" s="34"/>
      <c r="BM785" s="34"/>
      <c r="BN785" s="34"/>
      <c r="BO785" s="35"/>
      <c r="BP785" s="35"/>
      <c r="BQ785" s="35"/>
      <c r="BR785" s="36"/>
      <c r="BS785" s="35"/>
      <c r="BT785" s="35"/>
    </row>
    <row r="786" spans="1:72">
      <c r="A786" s="29"/>
      <c r="K786" s="32"/>
      <c r="L786" s="32"/>
      <c r="R786" s="32"/>
      <c r="AC786" s="30"/>
      <c r="AH786" s="32"/>
      <c r="AI786" s="32"/>
      <c r="AJ786" s="32"/>
      <c r="AK786" s="32"/>
      <c r="AX786" s="34"/>
      <c r="AY786" s="34"/>
      <c r="AZ786" s="34"/>
      <c r="BA786" s="34"/>
      <c r="BB786" s="34"/>
      <c r="BC786" s="34"/>
      <c r="BD786" s="34"/>
      <c r="BE786" s="34"/>
      <c r="BF786" s="34"/>
      <c r="BG786" s="34"/>
      <c r="BH786" s="34"/>
      <c r="BI786" s="34"/>
      <c r="BJ786" s="34"/>
      <c r="BK786" s="34"/>
      <c r="BL786" s="34"/>
      <c r="BM786" s="34"/>
      <c r="BN786" s="34"/>
      <c r="BO786" s="35"/>
      <c r="BP786" s="35"/>
      <c r="BQ786" s="35"/>
      <c r="BR786" s="36"/>
      <c r="BS786" s="35"/>
      <c r="BT786" s="35"/>
    </row>
    <row r="787" spans="1:72">
      <c r="A787" s="29"/>
      <c r="K787" s="32"/>
      <c r="L787" s="32"/>
      <c r="R787" s="32"/>
      <c r="AC787" s="30"/>
      <c r="AH787" s="32"/>
      <c r="AI787" s="32"/>
      <c r="AJ787" s="32"/>
      <c r="AK787" s="32"/>
      <c r="AX787" s="34"/>
      <c r="AY787" s="34"/>
      <c r="AZ787" s="34"/>
      <c r="BA787" s="34"/>
      <c r="BB787" s="34"/>
      <c r="BC787" s="34"/>
      <c r="BD787" s="34"/>
      <c r="BE787" s="34"/>
      <c r="BF787" s="34"/>
      <c r="BG787" s="34"/>
      <c r="BH787" s="34"/>
      <c r="BI787" s="34"/>
      <c r="BJ787" s="34"/>
      <c r="BK787" s="34"/>
      <c r="BL787" s="34"/>
      <c r="BM787" s="34"/>
      <c r="BN787" s="34"/>
      <c r="BO787" s="35"/>
      <c r="BP787" s="35"/>
      <c r="BQ787" s="35"/>
      <c r="BR787" s="36"/>
      <c r="BS787" s="35"/>
      <c r="BT787" s="35"/>
    </row>
    <row r="788" spans="1:72">
      <c r="A788" s="29"/>
      <c r="K788" s="32"/>
      <c r="L788" s="32"/>
      <c r="R788" s="32"/>
      <c r="AC788" s="30"/>
      <c r="AH788" s="32"/>
      <c r="AI788" s="32"/>
      <c r="AJ788" s="32"/>
      <c r="AK788" s="32"/>
      <c r="AX788" s="34"/>
      <c r="AY788" s="34"/>
      <c r="AZ788" s="34"/>
      <c r="BA788" s="34"/>
      <c r="BB788" s="34"/>
      <c r="BC788" s="34"/>
      <c r="BD788" s="34"/>
      <c r="BE788" s="34"/>
      <c r="BF788" s="34"/>
      <c r="BG788" s="34"/>
      <c r="BH788" s="34"/>
      <c r="BI788" s="34"/>
      <c r="BJ788" s="34"/>
      <c r="BK788" s="34"/>
      <c r="BL788" s="34"/>
      <c r="BM788" s="34"/>
      <c r="BN788" s="34"/>
      <c r="BO788" s="35"/>
      <c r="BP788" s="35"/>
      <c r="BQ788" s="35"/>
      <c r="BR788" s="36"/>
      <c r="BS788" s="35"/>
      <c r="BT788" s="35"/>
    </row>
    <row r="789" spans="1:72">
      <c r="A789" s="29"/>
      <c r="K789" s="32"/>
      <c r="L789" s="32"/>
      <c r="R789" s="32"/>
      <c r="AC789" s="30"/>
      <c r="AH789" s="32"/>
      <c r="AI789" s="32"/>
      <c r="AJ789" s="32"/>
      <c r="AK789" s="32"/>
      <c r="AX789" s="34"/>
      <c r="AY789" s="34"/>
      <c r="AZ789" s="34"/>
      <c r="BA789" s="34"/>
      <c r="BB789" s="34"/>
      <c r="BC789" s="34"/>
      <c r="BD789" s="34"/>
      <c r="BE789" s="34"/>
      <c r="BF789" s="34"/>
      <c r="BG789" s="34"/>
      <c r="BH789" s="34"/>
      <c r="BI789" s="34"/>
      <c r="BJ789" s="34"/>
      <c r="BK789" s="34"/>
      <c r="BL789" s="34"/>
      <c r="BM789" s="34"/>
      <c r="BN789" s="34"/>
      <c r="BO789" s="35"/>
      <c r="BP789" s="35"/>
      <c r="BQ789" s="35"/>
      <c r="BR789" s="36"/>
      <c r="BS789" s="35"/>
      <c r="BT789" s="35"/>
    </row>
    <row r="790" spans="1:72">
      <c r="A790" s="29"/>
      <c r="K790" s="32"/>
      <c r="L790" s="32"/>
      <c r="R790" s="32"/>
      <c r="AC790" s="30"/>
      <c r="AH790" s="32"/>
      <c r="AI790" s="32"/>
      <c r="AJ790" s="32"/>
      <c r="AK790" s="32"/>
      <c r="AX790" s="34"/>
      <c r="AY790" s="34"/>
      <c r="AZ790" s="34"/>
      <c r="BA790" s="34"/>
      <c r="BB790" s="34"/>
      <c r="BC790" s="34"/>
      <c r="BD790" s="34"/>
      <c r="BE790" s="34"/>
      <c r="BF790" s="34"/>
      <c r="BG790" s="34"/>
      <c r="BH790" s="34"/>
      <c r="BI790" s="34"/>
      <c r="BJ790" s="34"/>
      <c r="BK790" s="34"/>
      <c r="BL790" s="34"/>
      <c r="BM790" s="34"/>
      <c r="BN790" s="34"/>
      <c r="BO790" s="35"/>
      <c r="BP790" s="35"/>
      <c r="BQ790" s="35"/>
      <c r="BR790" s="36"/>
      <c r="BS790" s="35"/>
      <c r="BT790" s="35"/>
    </row>
    <row r="791" spans="1:72">
      <c r="A791" s="29"/>
      <c r="K791" s="32"/>
      <c r="L791" s="32"/>
      <c r="R791" s="32"/>
      <c r="AC791" s="30"/>
      <c r="AH791" s="32"/>
      <c r="AI791" s="32"/>
      <c r="AJ791" s="32"/>
      <c r="AK791" s="32"/>
      <c r="AX791" s="34"/>
      <c r="AY791" s="34"/>
      <c r="AZ791" s="34"/>
      <c r="BA791" s="34"/>
      <c r="BB791" s="34"/>
      <c r="BC791" s="34"/>
      <c r="BD791" s="34"/>
      <c r="BE791" s="34"/>
      <c r="BF791" s="34"/>
      <c r="BG791" s="34"/>
      <c r="BH791" s="34"/>
      <c r="BI791" s="34"/>
      <c r="BJ791" s="34"/>
      <c r="BK791" s="34"/>
      <c r="BL791" s="34"/>
      <c r="BM791" s="34"/>
      <c r="BN791" s="34"/>
      <c r="BO791" s="35"/>
      <c r="BP791" s="35"/>
      <c r="BQ791" s="35"/>
      <c r="BR791" s="36"/>
      <c r="BS791" s="35"/>
      <c r="BT791" s="35"/>
    </row>
    <row r="792" spans="1:72">
      <c r="A792" s="29"/>
      <c r="K792" s="32"/>
      <c r="L792" s="32"/>
      <c r="R792" s="32"/>
      <c r="AC792" s="30"/>
      <c r="AH792" s="32"/>
      <c r="AI792" s="32"/>
      <c r="AJ792" s="32"/>
      <c r="AK792" s="32"/>
      <c r="AX792" s="34"/>
      <c r="AY792" s="34"/>
      <c r="AZ792" s="34"/>
      <c r="BA792" s="34"/>
      <c r="BB792" s="34"/>
      <c r="BC792" s="34"/>
      <c r="BD792" s="34"/>
      <c r="BE792" s="34"/>
      <c r="BF792" s="34"/>
      <c r="BG792" s="34"/>
      <c r="BH792" s="34"/>
      <c r="BI792" s="34"/>
      <c r="BJ792" s="34"/>
      <c r="BK792" s="34"/>
      <c r="BL792" s="34"/>
      <c r="BM792" s="34"/>
      <c r="BN792" s="34"/>
      <c r="BO792" s="35"/>
      <c r="BP792" s="35"/>
      <c r="BQ792" s="35"/>
      <c r="BR792" s="36"/>
      <c r="BS792" s="35"/>
      <c r="BT792" s="35"/>
    </row>
    <row r="793" spans="1:72">
      <c r="A793" s="29"/>
      <c r="K793" s="32"/>
      <c r="L793" s="32"/>
      <c r="R793" s="32"/>
      <c r="AC793" s="30"/>
      <c r="AH793" s="32"/>
      <c r="AI793" s="32"/>
      <c r="AJ793" s="32"/>
      <c r="AK793" s="32"/>
      <c r="AX793" s="34"/>
      <c r="AY793" s="34"/>
      <c r="AZ793" s="34"/>
      <c r="BA793" s="34"/>
      <c r="BB793" s="34"/>
      <c r="BC793" s="34"/>
      <c r="BD793" s="34"/>
      <c r="BE793" s="34"/>
      <c r="BF793" s="34"/>
      <c r="BG793" s="34"/>
      <c r="BH793" s="34"/>
      <c r="BI793" s="34"/>
      <c r="BJ793" s="34"/>
      <c r="BK793" s="34"/>
      <c r="BL793" s="34"/>
      <c r="BM793" s="34"/>
      <c r="BN793" s="34"/>
      <c r="BO793" s="35"/>
      <c r="BP793" s="35"/>
      <c r="BQ793" s="35"/>
      <c r="BR793" s="36"/>
      <c r="BS793" s="35"/>
      <c r="BT793" s="35"/>
    </row>
    <row r="794" spans="1:72">
      <c r="A794" s="29"/>
      <c r="K794" s="32"/>
      <c r="L794" s="32"/>
      <c r="R794" s="32"/>
      <c r="AC794" s="30"/>
      <c r="AH794" s="32"/>
      <c r="AI794" s="32"/>
      <c r="AJ794" s="32"/>
      <c r="AK794" s="32"/>
      <c r="AX794" s="34"/>
      <c r="AY794" s="34"/>
      <c r="AZ794" s="34"/>
      <c r="BA794" s="34"/>
      <c r="BB794" s="34"/>
      <c r="BC794" s="34"/>
      <c r="BD794" s="34"/>
      <c r="BE794" s="34"/>
      <c r="BF794" s="34"/>
      <c r="BG794" s="34"/>
      <c r="BH794" s="34"/>
      <c r="BI794" s="34"/>
      <c r="BJ794" s="34"/>
      <c r="BK794" s="34"/>
      <c r="BL794" s="34"/>
      <c r="BM794" s="34"/>
      <c r="BN794" s="34"/>
      <c r="BO794" s="35"/>
      <c r="BP794" s="35"/>
      <c r="BQ794" s="35"/>
      <c r="BR794" s="36"/>
      <c r="BS794" s="35"/>
      <c r="BT794" s="35"/>
    </row>
    <row r="795" spans="1:72">
      <c r="A795" s="29"/>
      <c r="K795" s="32"/>
      <c r="L795" s="32"/>
      <c r="R795" s="32"/>
      <c r="AC795" s="30"/>
      <c r="AH795" s="32"/>
      <c r="AI795" s="32"/>
      <c r="AJ795" s="32"/>
      <c r="AK795" s="32"/>
      <c r="AX795" s="34"/>
      <c r="AY795" s="34"/>
      <c r="AZ795" s="34"/>
      <c r="BA795" s="34"/>
      <c r="BB795" s="34"/>
      <c r="BC795" s="34"/>
      <c r="BD795" s="34"/>
      <c r="BE795" s="34"/>
      <c r="BF795" s="34"/>
      <c r="BG795" s="34"/>
      <c r="BH795" s="34"/>
      <c r="BI795" s="34"/>
      <c r="BJ795" s="34"/>
      <c r="BK795" s="34"/>
      <c r="BL795" s="34"/>
      <c r="BM795" s="34"/>
      <c r="BN795" s="34"/>
      <c r="BO795" s="35"/>
      <c r="BP795" s="35"/>
      <c r="BQ795" s="35"/>
      <c r="BR795" s="36"/>
      <c r="BS795" s="35"/>
      <c r="BT795" s="35"/>
    </row>
    <row r="796" spans="1:72">
      <c r="A796" s="29"/>
      <c r="K796" s="32"/>
      <c r="L796" s="32"/>
      <c r="R796" s="32"/>
      <c r="AC796" s="30"/>
      <c r="AH796" s="32"/>
      <c r="AI796" s="32"/>
      <c r="AJ796" s="32"/>
      <c r="AK796" s="32"/>
      <c r="AX796" s="34"/>
      <c r="AY796" s="34"/>
      <c r="AZ796" s="34"/>
      <c r="BA796" s="34"/>
      <c r="BB796" s="34"/>
      <c r="BC796" s="34"/>
      <c r="BD796" s="34"/>
      <c r="BE796" s="34"/>
      <c r="BF796" s="34"/>
      <c r="BG796" s="34"/>
      <c r="BH796" s="34"/>
      <c r="BI796" s="34"/>
      <c r="BJ796" s="34"/>
      <c r="BK796" s="34"/>
      <c r="BL796" s="34"/>
      <c r="BM796" s="34"/>
      <c r="BN796" s="34"/>
      <c r="BO796" s="35"/>
      <c r="BP796" s="35"/>
      <c r="BQ796" s="35"/>
      <c r="BR796" s="36"/>
      <c r="BS796" s="35"/>
      <c r="BT796" s="35"/>
    </row>
    <row r="797" spans="1:72">
      <c r="A797" s="29"/>
      <c r="K797" s="32"/>
      <c r="L797" s="32"/>
      <c r="R797" s="32"/>
      <c r="AC797" s="30"/>
      <c r="AH797" s="32"/>
      <c r="AI797" s="32"/>
      <c r="AJ797" s="32"/>
      <c r="AK797" s="32"/>
      <c r="AX797" s="34"/>
      <c r="AY797" s="34"/>
      <c r="AZ797" s="34"/>
      <c r="BA797" s="34"/>
      <c r="BB797" s="34"/>
      <c r="BC797" s="34"/>
      <c r="BD797" s="34"/>
      <c r="BE797" s="34"/>
      <c r="BF797" s="34"/>
      <c r="BG797" s="34"/>
      <c r="BH797" s="34"/>
      <c r="BI797" s="34"/>
      <c r="BJ797" s="34"/>
      <c r="BK797" s="34"/>
      <c r="BL797" s="34"/>
      <c r="BM797" s="34"/>
      <c r="BN797" s="34"/>
      <c r="BO797" s="35"/>
      <c r="BP797" s="35"/>
      <c r="BQ797" s="35"/>
      <c r="BR797" s="36"/>
      <c r="BS797" s="35"/>
      <c r="BT797" s="35"/>
    </row>
    <row r="798" spans="1:72">
      <c r="A798" s="29"/>
      <c r="K798" s="32"/>
      <c r="L798" s="32"/>
      <c r="R798" s="32"/>
      <c r="AC798" s="30"/>
      <c r="AH798" s="32"/>
      <c r="AI798" s="32"/>
      <c r="AJ798" s="32"/>
      <c r="AK798" s="32"/>
      <c r="AX798" s="34"/>
      <c r="AY798" s="34"/>
      <c r="AZ798" s="34"/>
      <c r="BA798" s="34"/>
      <c r="BB798" s="34"/>
      <c r="BC798" s="34"/>
      <c r="BD798" s="34"/>
      <c r="BE798" s="34"/>
      <c r="BF798" s="34"/>
      <c r="BG798" s="34"/>
      <c r="BH798" s="34"/>
      <c r="BI798" s="34"/>
      <c r="BJ798" s="34"/>
      <c r="BK798" s="34"/>
      <c r="BL798" s="34"/>
      <c r="BM798" s="34"/>
      <c r="BN798" s="34"/>
      <c r="BO798" s="35"/>
      <c r="BP798" s="35"/>
      <c r="BQ798" s="35"/>
      <c r="BR798" s="36"/>
      <c r="BS798" s="35"/>
      <c r="BT798" s="35"/>
    </row>
    <row r="799" spans="1:72">
      <c r="A799" s="29"/>
      <c r="K799" s="32"/>
      <c r="L799" s="32"/>
      <c r="R799" s="32"/>
      <c r="AC799" s="30"/>
      <c r="AH799" s="32"/>
      <c r="AI799" s="32"/>
      <c r="AJ799" s="32"/>
      <c r="AK799" s="32"/>
      <c r="AX799" s="34"/>
      <c r="AY799" s="34"/>
      <c r="AZ799" s="34"/>
      <c r="BA799" s="34"/>
      <c r="BB799" s="34"/>
      <c r="BC799" s="34"/>
      <c r="BD799" s="34"/>
      <c r="BE799" s="34"/>
      <c r="BF799" s="34"/>
      <c r="BG799" s="34"/>
      <c r="BH799" s="34"/>
      <c r="BI799" s="34"/>
      <c r="BJ799" s="34"/>
      <c r="BK799" s="34"/>
      <c r="BL799" s="34"/>
      <c r="BM799" s="34"/>
      <c r="BN799" s="34"/>
      <c r="BO799" s="35"/>
      <c r="BP799" s="35"/>
      <c r="BQ799" s="35"/>
      <c r="BR799" s="36"/>
      <c r="BS799" s="35"/>
      <c r="BT799" s="35"/>
    </row>
    <row r="800" spans="1:72">
      <c r="A800" s="29"/>
      <c r="K800" s="32"/>
      <c r="L800" s="32"/>
      <c r="R800" s="32"/>
      <c r="AC800" s="30"/>
      <c r="AH800" s="32"/>
      <c r="AI800" s="32"/>
      <c r="AJ800" s="32"/>
      <c r="AK800" s="32"/>
      <c r="AX800" s="34"/>
      <c r="AY800" s="34"/>
      <c r="AZ800" s="34"/>
      <c r="BA800" s="34"/>
      <c r="BB800" s="34"/>
      <c r="BC800" s="34"/>
      <c r="BD800" s="34"/>
      <c r="BE800" s="34"/>
      <c r="BF800" s="34"/>
      <c r="BG800" s="34"/>
      <c r="BH800" s="34"/>
      <c r="BI800" s="34"/>
      <c r="BJ800" s="34"/>
      <c r="BK800" s="34"/>
      <c r="BL800" s="34"/>
      <c r="BM800" s="34"/>
      <c r="BN800" s="34"/>
      <c r="BO800" s="35"/>
      <c r="BP800" s="35"/>
      <c r="BQ800" s="35"/>
      <c r="BR800" s="36"/>
      <c r="BS800" s="35"/>
      <c r="BT800" s="35"/>
    </row>
    <row r="801" spans="1:72">
      <c r="A801" s="29"/>
      <c r="K801" s="32"/>
      <c r="L801" s="32"/>
      <c r="R801" s="32"/>
      <c r="AC801" s="30"/>
      <c r="AH801" s="32"/>
      <c r="AI801" s="32"/>
      <c r="AJ801" s="32"/>
      <c r="AK801" s="32"/>
      <c r="AX801" s="34"/>
      <c r="AY801" s="34"/>
      <c r="AZ801" s="34"/>
      <c r="BA801" s="34"/>
      <c r="BB801" s="34"/>
      <c r="BC801" s="34"/>
      <c r="BD801" s="34"/>
      <c r="BE801" s="34"/>
      <c r="BF801" s="34"/>
      <c r="BG801" s="34"/>
      <c r="BH801" s="34"/>
      <c r="BI801" s="34"/>
      <c r="BJ801" s="34"/>
      <c r="BK801" s="34"/>
      <c r="BL801" s="34"/>
      <c r="BM801" s="34"/>
      <c r="BN801" s="34"/>
      <c r="BO801" s="35"/>
      <c r="BP801" s="35"/>
      <c r="BQ801" s="35"/>
      <c r="BR801" s="36"/>
      <c r="BS801" s="35"/>
      <c r="BT801" s="35"/>
    </row>
    <row r="802" spans="1:72">
      <c r="A802" s="29"/>
      <c r="K802" s="32"/>
      <c r="L802" s="32"/>
      <c r="R802" s="32"/>
      <c r="AC802" s="30"/>
      <c r="AH802" s="32"/>
      <c r="AI802" s="32"/>
      <c r="AJ802" s="32"/>
      <c r="AK802" s="32"/>
      <c r="AX802" s="34"/>
      <c r="AY802" s="34"/>
      <c r="AZ802" s="34"/>
      <c r="BA802" s="34"/>
      <c r="BB802" s="34"/>
      <c r="BC802" s="34"/>
      <c r="BD802" s="34"/>
      <c r="BE802" s="34"/>
      <c r="BF802" s="34"/>
      <c r="BG802" s="34"/>
      <c r="BH802" s="34"/>
      <c r="BI802" s="34"/>
      <c r="BJ802" s="34"/>
      <c r="BK802" s="34"/>
      <c r="BL802" s="34"/>
      <c r="BM802" s="34"/>
      <c r="BN802" s="34"/>
      <c r="BO802" s="35"/>
      <c r="BP802" s="35"/>
      <c r="BQ802" s="35"/>
      <c r="BR802" s="36"/>
      <c r="BS802" s="35"/>
      <c r="BT802" s="35"/>
    </row>
    <row r="803" spans="1:72">
      <c r="A803" s="29"/>
      <c r="K803" s="32"/>
      <c r="L803" s="32"/>
      <c r="R803" s="32"/>
      <c r="AC803" s="30"/>
      <c r="AH803" s="32"/>
      <c r="AI803" s="32"/>
      <c r="AJ803" s="32"/>
      <c r="AK803" s="32"/>
      <c r="AX803" s="34"/>
      <c r="AY803" s="34"/>
      <c r="AZ803" s="34"/>
      <c r="BA803" s="34"/>
      <c r="BB803" s="34"/>
      <c r="BC803" s="34"/>
      <c r="BD803" s="34"/>
      <c r="BE803" s="34"/>
      <c r="BF803" s="34"/>
      <c r="BG803" s="34"/>
      <c r="BH803" s="34"/>
      <c r="BI803" s="34"/>
      <c r="BJ803" s="34"/>
      <c r="BK803" s="34"/>
      <c r="BL803" s="34"/>
      <c r="BM803" s="34"/>
      <c r="BN803" s="34"/>
      <c r="BO803" s="35"/>
      <c r="BP803" s="35"/>
      <c r="BQ803" s="35"/>
      <c r="BR803" s="36"/>
      <c r="BS803" s="35"/>
      <c r="BT803" s="35"/>
    </row>
    <row r="804" spans="1:72">
      <c r="A804" s="29"/>
      <c r="K804" s="32"/>
      <c r="L804" s="32"/>
      <c r="R804" s="32"/>
      <c r="AC804" s="30"/>
      <c r="AH804" s="32"/>
      <c r="AI804" s="32"/>
      <c r="AJ804" s="32"/>
      <c r="AK804" s="32"/>
      <c r="AX804" s="34"/>
      <c r="AY804" s="34"/>
      <c r="AZ804" s="34"/>
      <c r="BA804" s="34"/>
      <c r="BB804" s="34"/>
      <c r="BC804" s="34"/>
      <c r="BD804" s="34"/>
      <c r="BE804" s="34"/>
      <c r="BF804" s="34"/>
      <c r="BG804" s="34"/>
      <c r="BH804" s="34"/>
      <c r="BI804" s="34"/>
      <c r="BJ804" s="34"/>
      <c r="BK804" s="34"/>
      <c r="BL804" s="34"/>
      <c r="BM804" s="34"/>
      <c r="BN804" s="34"/>
      <c r="BO804" s="35"/>
      <c r="BP804" s="35"/>
      <c r="BQ804" s="35"/>
      <c r="BR804" s="36"/>
      <c r="BS804" s="35"/>
      <c r="BT804" s="35"/>
    </row>
    <row r="805" spans="1:72">
      <c r="A805" s="29"/>
      <c r="K805" s="32"/>
      <c r="L805" s="32"/>
      <c r="R805" s="32"/>
      <c r="AC805" s="30"/>
      <c r="AH805" s="32"/>
      <c r="AI805" s="32"/>
      <c r="AJ805" s="32"/>
      <c r="AK805" s="32"/>
      <c r="AX805" s="34"/>
      <c r="AY805" s="34"/>
      <c r="AZ805" s="34"/>
      <c r="BA805" s="34"/>
      <c r="BB805" s="34"/>
      <c r="BC805" s="34"/>
      <c r="BD805" s="34"/>
      <c r="BE805" s="34"/>
      <c r="BF805" s="34"/>
      <c r="BG805" s="34"/>
      <c r="BH805" s="34"/>
      <c r="BI805" s="34"/>
      <c r="BJ805" s="34"/>
      <c r="BK805" s="34"/>
      <c r="BL805" s="34"/>
      <c r="BM805" s="34"/>
      <c r="BN805" s="34"/>
      <c r="BO805" s="35"/>
      <c r="BP805" s="35"/>
      <c r="BQ805" s="35"/>
      <c r="BR805" s="36"/>
      <c r="BS805" s="35"/>
      <c r="BT805" s="35"/>
    </row>
    <row r="806" spans="1:72">
      <c r="A806" s="29"/>
      <c r="K806" s="32"/>
      <c r="L806" s="32"/>
      <c r="R806" s="32"/>
      <c r="AC806" s="30"/>
      <c r="AH806" s="32"/>
      <c r="AI806" s="32"/>
      <c r="AJ806" s="32"/>
      <c r="AK806" s="32"/>
      <c r="AX806" s="34"/>
      <c r="AY806" s="34"/>
      <c r="AZ806" s="34"/>
      <c r="BA806" s="34"/>
      <c r="BB806" s="34"/>
      <c r="BC806" s="34"/>
      <c r="BD806" s="34"/>
      <c r="BE806" s="34"/>
      <c r="BF806" s="34"/>
      <c r="BG806" s="34"/>
      <c r="BH806" s="34"/>
      <c r="BI806" s="34"/>
      <c r="BJ806" s="34"/>
      <c r="BK806" s="34"/>
      <c r="BL806" s="34"/>
      <c r="BM806" s="34"/>
      <c r="BN806" s="34"/>
      <c r="BO806" s="35"/>
      <c r="BP806" s="35"/>
      <c r="BQ806" s="35"/>
      <c r="BR806" s="36"/>
      <c r="BS806" s="35"/>
      <c r="BT806" s="35"/>
    </row>
    <row r="807" spans="1:72">
      <c r="A807" s="29"/>
      <c r="K807" s="32"/>
      <c r="L807" s="32"/>
      <c r="R807" s="32"/>
      <c r="AC807" s="30"/>
      <c r="AH807" s="32"/>
      <c r="AI807" s="32"/>
      <c r="AJ807" s="32"/>
      <c r="AK807" s="32"/>
      <c r="AX807" s="34"/>
      <c r="AY807" s="34"/>
      <c r="AZ807" s="34"/>
      <c r="BA807" s="34"/>
      <c r="BB807" s="34"/>
      <c r="BC807" s="34"/>
      <c r="BD807" s="34"/>
      <c r="BE807" s="34"/>
      <c r="BF807" s="34"/>
      <c r="BG807" s="34"/>
      <c r="BH807" s="34"/>
      <c r="BI807" s="34"/>
      <c r="BJ807" s="34"/>
      <c r="BK807" s="34"/>
      <c r="BL807" s="34"/>
      <c r="BM807" s="34"/>
      <c r="BN807" s="34"/>
      <c r="BO807" s="35"/>
      <c r="BP807" s="35"/>
      <c r="BQ807" s="35"/>
      <c r="BR807" s="36"/>
      <c r="BS807" s="35"/>
      <c r="BT807" s="35"/>
    </row>
    <row r="808" spans="1:72">
      <c r="A808" s="29"/>
      <c r="K808" s="32"/>
      <c r="L808" s="32"/>
      <c r="R808" s="32"/>
      <c r="AC808" s="30"/>
      <c r="AH808" s="32"/>
      <c r="AI808" s="32"/>
      <c r="AJ808" s="32"/>
      <c r="AK808" s="32"/>
      <c r="AX808" s="34"/>
      <c r="AY808" s="34"/>
      <c r="AZ808" s="34"/>
      <c r="BA808" s="34"/>
      <c r="BB808" s="34"/>
      <c r="BC808" s="34"/>
      <c r="BD808" s="34"/>
      <c r="BE808" s="34"/>
      <c r="BF808" s="34"/>
      <c r="BG808" s="34"/>
      <c r="BH808" s="34"/>
      <c r="BI808" s="34"/>
      <c r="BJ808" s="34"/>
      <c r="BK808" s="34"/>
      <c r="BL808" s="34"/>
      <c r="BM808" s="34"/>
      <c r="BN808" s="34"/>
      <c r="BO808" s="35"/>
      <c r="BP808" s="35"/>
      <c r="BQ808" s="35"/>
      <c r="BR808" s="36"/>
      <c r="BS808" s="35"/>
      <c r="BT808" s="35"/>
    </row>
    <row r="809" spans="1:72">
      <c r="A809" s="29"/>
      <c r="K809" s="32"/>
      <c r="L809" s="32"/>
      <c r="R809" s="32"/>
      <c r="AC809" s="30"/>
      <c r="AH809" s="32"/>
      <c r="AI809" s="32"/>
      <c r="AJ809" s="32"/>
      <c r="AK809" s="32"/>
      <c r="AX809" s="34"/>
      <c r="AY809" s="34"/>
      <c r="AZ809" s="34"/>
      <c r="BA809" s="34"/>
      <c r="BB809" s="34"/>
      <c r="BC809" s="34"/>
      <c r="BD809" s="34"/>
      <c r="BE809" s="34"/>
      <c r="BF809" s="34"/>
      <c r="BG809" s="34"/>
      <c r="BH809" s="34"/>
      <c r="BI809" s="34"/>
      <c r="BJ809" s="34"/>
      <c r="BK809" s="34"/>
      <c r="BL809" s="34"/>
      <c r="BM809" s="34"/>
      <c r="BN809" s="34"/>
      <c r="BO809" s="35"/>
      <c r="BP809" s="35"/>
      <c r="BQ809" s="35"/>
      <c r="BR809" s="36"/>
      <c r="BS809" s="35"/>
      <c r="BT809" s="35"/>
    </row>
    <row r="810" spans="1:72">
      <c r="A810" s="29"/>
      <c r="K810" s="32"/>
      <c r="L810" s="32"/>
      <c r="R810" s="32"/>
      <c r="AC810" s="30"/>
      <c r="AH810" s="32"/>
      <c r="AI810" s="32"/>
      <c r="AJ810" s="32"/>
      <c r="AK810" s="32"/>
      <c r="AX810" s="34"/>
      <c r="AY810" s="34"/>
      <c r="AZ810" s="34"/>
      <c r="BA810" s="34"/>
      <c r="BB810" s="34"/>
      <c r="BC810" s="34"/>
      <c r="BD810" s="34"/>
      <c r="BE810" s="34"/>
      <c r="BF810" s="34"/>
      <c r="BG810" s="34"/>
      <c r="BH810" s="34"/>
      <c r="BI810" s="34"/>
      <c r="BJ810" s="34"/>
      <c r="BK810" s="34"/>
      <c r="BL810" s="34"/>
      <c r="BM810" s="34"/>
      <c r="BN810" s="34"/>
      <c r="BO810" s="35"/>
      <c r="BP810" s="35"/>
      <c r="BQ810" s="35"/>
      <c r="BR810" s="36"/>
      <c r="BS810" s="35"/>
      <c r="BT810" s="35"/>
    </row>
    <row r="811" spans="1:72">
      <c r="A811" s="29"/>
      <c r="K811" s="32"/>
      <c r="L811" s="32"/>
      <c r="R811" s="32"/>
      <c r="AC811" s="30"/>
      <c r="AH811" s="32"/>
      <c r="AI811" s="32"/>
      <c r="AJ811" s="32"/>
      <c r="AK811" s="32"/>
      <c r="AX811" s="34"/>
      <c r="AY811" s="34"/>
      <c r="AZ811" s="34"/>
      <c r="BA811" s="34"/>
      <c r="BB811" s="34"/>
      <c r="BC811" s="34"/>
      <c r="BD811" s="34"/>
      <c r="BE811" s="34"/>
      <c r="BF811" s="34"/>
      <c r="BG811" s="34"/>
      <c r="BH811" s="34"/>
      <c r="BI811" s="34"/>
      <c r="BJ811" s="34"/>
      <c r="BK811" s="34"/>
      <c r="BL811" s="34"/>
      <c r="BM811" s="34"/>
      <c r="BN811" s="34"/>
      <c r="BO811" s="35"/>
      <c r="BP811" s="35"/>
      <c r="BQ811" s="35"/>
      <c r="BR811" s="36"/>
      <c r="BS811" s="35"/>
      <c r="BT811" s="35"/>
    </row>
    <row r="812" spans="1:72">
      <c r="A812" s="29"/>
      <c r="K812" s="32"/>
      <c r="L812" s="32"/>
      <c r="R812" s="32"/>
      <c r="AC812" s="30"/>
      <c r="AH812" s="32"/>
      <c r="AI812" s="32"/>
      <c r="AJ812" s="32"/>
      <c r="AK812" s="32"/>
      <c r="AX812" s="34"/>
      <c r="AY812" s="34"/>
      <c r="AZ812" s="34"/>
      <c r="BA812" s="34"/>
      <c r="BB812" s="34"/>
      <c r="BC812" s="34"/>
      <c r="BD812" s="34"/>
      <c r="BE812" s="34"/>
      <c r="BF812" s="34"/>
      <c r="BG812" s="34"/>
      <c r="BH812" s="34"/>
      <c r="BI812" s="34"/>
      <c r="BJ812" s="34"/>
      <c r="BK812" s="34"/>
      <c r="BL812" s="34"/>
      <c r="BM812" s="34"/>
      <c r="BN812" s="34"/>
      <c r="BO812" s="35"/>
      <c r="BP812" s="35"/>
      <c r="BQ812" s="35"/>
      <c r="BR812" s="36"/>
      <c r="BS812" s="35"/>
      <c r="BT812" s="35"/>
    </row>
    <row r="813" spans="1:72">
      <c r="A813" s="29"/>
      <c r="K813" s="32"/>
      <c r="L813" s="32"/>
      <c r="R813" s="32"/>
      <c r="AC813" s="30"/>
      <c r="AH813" s="32"/>
      <c r="AI813" s="32"/>
      <c r="AJ813" s="32"/>
      <c r="AK813" s="32"/>
      <c r="AX813" s="34"/>
      <c r="AY813" s="34"/>
      <c r="AZ813" s="34"/>
      <c r="BA813" s="34"/>
      <c r="BB813" s="34"/>
      <c r="BC813" s="34"/>
      <c r="BD813" s="34"/>
      <c r="BE813" s="34"/>
      <c r="BF813" s="34"/>
      <c r="BG813" s="34"/>
      <c r="BH813" s="34"/>
      <c r="BI813" s="34"/>
      <c r="BJ813" s="34"/>
      <c r="BK813" s="34"/>
      <c r="BL813" s="34"/>
      <c r="BM813" s="34"/>
      <c r="BN813" s="34"/>
      <c r="BO813" s="35"/>
      <c r="BP813" s="35"/>
      <c r="BQ813" s="35"/>
      <c r="BR813" s="36"/>
      <c r="BS813" s="35"/>
      <c r="BT813" s="35"/>
    </row>
    <row r="814" spans="1:72">
      <c r="A814" s="29"/>
      <c r="K814" s="32"/>
      <c r="L814" s="32"/>
      <c r="R814" s="32"/>
      <c r="AC814" s="30"/>
      <c r="AH814" s="32"/>
      <c r="AI814" s="32"/>
      <c r="AJ814" s="32"/>
      <c r="AK814" s="32"/>
      <c r="AX814" s="34"/>
      <c r="AY814" s="34"/>
      <c r="AZ814" s="34"/>
      <c r="BA814" s="34"/>
      <c r="BB814" s="34"/>
      <c r="BC814" s="34"/>
      <c r="BD814" s="34"/>
      <c r="BE814" s="34"/>
      <c r="BF814" s="34"/>
      <c r="BG814" s="34"/>
      <c r="BH814" s="34"/>
      <c r="BI814" s="34"/>
      <c r="BJ814" s="34"/>
      <c r="BK814" s="34"/>
      <c r="BL814" s="34"/>
      <c r="BM814" s="34"/>
      <c r="BN814" s="34"/>
      <c r="BO814" s="35"/>
      <c r="BP814" s="35"/>
      <c r="BQ814" s="35"/>
      <c r="BR814" s="36"/>
      <c r="BS814" s="35"/>
      <c r="BT814" s="35"/>
    </row>
    <row r="815" spans="1:72">
      <c r="A815" s="29"/>
      <c r="K815" s="32"/>
      <c r="L815" s="32"/>
      <c r="R815" s="32"/>
      <c r="AC815" s="30"/>
      <c r="AH815" s="32"/>
      <c r="AI815" s="32"/>
      <c r="AJ815" s="32"/>
      <c r="AK815" s="32"/>
      <c r="AX815" s="34"/>
      <c r="AY815" s="34"/>
      <c r="AZ815" s="34"/>
      <c r="BA815" s="34"/>
      <c r="BB815" s="34"/>
      <c r="BC815" s="34"/>
      <c r="BD815" s="34"/>
      <c r="BE815" s="34"/>
      <c r="BF815" s="34"/>
      <c r="BG815" s="34"/>
      <c r="BH815" s="34"/>
      <c r="BI815" s="34"/>
      <c r="BJ815" s="34"/>
      <c r="BK815" s="34"/>
      <c r="BL815" s="34"/>
      <c r="BM815" s="34"/>
      <c r="BN815" s="34"/>
      <c r="BO815" s="35"/>
      <c r="BP815" s="35"/>
      <c r="BQ815" s="35"/>
      <c r="BR815" s="36"/>
      <c r="BS815" s="35"/>
      <c r="BT815" s="35"/>
    </row>
    <row r="816" spans="1:72">
      <c r="A816" s="29"/>
      <c r="K816" s="32"/>
      <c r="L816" s="32"/>
      <c r="R816" s="32"/>
      <c r="AC816" s="30"/>
      <c r="AH816" s="32"/>
      <c r="AI816" s="32"/>
      <c r="AJ816" s="32"/>
      <c r="AK816" s="32"/>
      <c r="AX816" s="34"/>
      <c r="AY816" s="34"/>
      <c r="AZ816" s="34"/>
      <c r="BA816" s="34"/>
      <c r="BB816" s="34"/>
      <c r="BC816" s="34"/>
      <c r="BD816" s="34"/>
      <c r="BE816" s="34"/>
      <c r="BF816" s="34"/>
      <c r="BG816" s="34"/>
      <c r="BH816" s="34"/>
      <c r="BI816" s="34"/>
      <c r="BJ816" s="34"/>
      <c r="BK816" s="34"/>
      <c r="BL816" s="34"/>
      <c r="BM816" s="34"/>
      <c r="BN816" s="34"/>
      <c r="BO816" s="35"/>
      <c r="BP816" s="35"/>
      <c r="BQ816" s="35"/>
      <c r="BR816" s="36"/>
      <c r="BS816" s="35"/>
      <c r="BT816" s="35"/>
    </row>
    <row r="817" spans="1:72">
      <c r="A817" s="29"/>
      <c r="K817" s="32"/>
      <c r="L817" s="32"/>
      <c r="R817" s="32"/>
      <c r="AC817" s="30"/>
      <c r="AH817" s="32"/>
      <c r="AI817" s="32"/>
      <c r="AJ817" s="32"/>
      <c r="AK817" s="32"/>
      <c r="AX817" s="34"/>
      <c r="AY817" s="34"/>
      <c r="AZ817" s="34"/>
      <c r="BA817" s="34"/>
      <c r="BB817" s="34"/>
      <c r="BC817" s="34"/>
      <c r="BD817" s="34"/>
      <c r="BE817" s="34"/>
      <c r="BF817" s="34"/>
      <c r="BG817" s="34"/>
      <c r="BH817" s="34"/>
      <c r="BI817" s="34"/>
      <c r="BJ817" s="34"/>
      <c r="BK817" s="34"/>
      <c r="BL817" s="34"/>
      <c r="BM817" s="34"/>
      <c r="BN817" s="34"/>
      <c r="BO817" s="35"/>
      <c r="BP817" s="35"/>
      <c r="BQ817" s="35"/>
      <c r="BR817" s="36"/>
      <c r="BS817" s="35"/>
      <c r="BT817" s="35"/>
    </row>
    <row r="818" spans="1:72">
      <c r="A818" s="29"/>
      <c r="K818" s="32"/>
      <c r="L818" s="32"/>
      <c r="R818" s="32"/>
      <c r="AC818" s="30"/>
      <c r="AH818" s="32"/>
      <c r="AI818" s="32"/>
      <c r="AJ818" s="32"/>
      <c r="AK818" s="32"/>
      <c r="AX818" s="34"/>
      <c r="AY818" s="34"/>
      <c r="AZ818" s="34"/>
      <c r="BA818" s="34"/>
      <c r="BB818" s="34"/>
      <c r="BC818" s="34"/>
      <c r="BD818" s="34"/>
      <c r="BE818" s="34"/>
      <c r="BF818" s="34"/>
      <c r="BG818" s="34"/>
      <c r="BH818" s="34"/>
      <c r="BI818" s="34"/>
      <c r="BJ818" s="34"/>
      <c r="BK818" s="34"/>
      <c r="BL818" s="34"/>
      <c r="BM818" s="34"/>
      <c r="BN818" s="34"/>
      <c r="BO818" s="35"/>
      <c r="BP818" s="35"/>
      <c r="BQ818" s="35"/>
      <c r="BR818" s="36"/>
      <c r="BS818" s="35"/>
      <c r="BT818" s="35"/>
    </row>
    <row r="819" spans="1:72">
      <c r="A819" s="29"/>
      <c r="K819" s="32"/>
      <c r="L819" s="32"/>
      <c r="R819" s="32"/>
      <c r="AC819" s="30"/>
      <c r="AH819" s="32"/>
      <c r="AI819" s="32"/>
      <c r="AJ819" s="32"/>
      <c r="AK819" s="32"/>
      <c r="AX819" s="34"/>
      <c r="AY819" s="34"/>
      <c r="AZ819" s="34"/>
      <c r="BA819" s="34"/>
      <c r="BB819" s="34"/>
      <c r="BC819" s="34"/>
      <c r="BD819" s="34"/>
      <c r="BE819" s="34"/>
      <c r="BF819" s="34"/>
      <c r="BG819" s="34"/>
      <c r="BH819" s="34"/>
      <c r="BI819" s="34"/>
      <c r="BJ819" s="34"/>
      <c r="BK819" s="34"/>
      <c r="BL819" s="34"/>
      <c r="BM819" s="34"/>
      <c r="BN819" s="34"/>
      <c r="BO819" s="35"/>
      <c r="BP819" s="35"/>
      <c r="BQ819" s="35"/>
      <c r="BR819" s="36"/>
      <c r="BS819" s="35"/>
      <c r="BT819" s="35"/>
    </row>
    <row r="820" spans="1:72">
      <c r="A820" s="29"/>
      <c r="K820" s="32"/>
      <c r="L820" s="32"/>
      <c r="R820" s="32"/>
      <c r="AC820" s="30"/>
      <c r="AH820" s="32"/>
      <c r="AI820" s="32"/>
      <c r="AJ820" s="32"/>
      <c r="AK820" s="32"/>
      <c r="AX820" s="34"/>
      <c r="AY820" s="34"/>
      <c r="AZ820" s="34"/>
      <c r="BA820" s="34"/>
      <c r="BB820" s="34"/>
      <c r="BC820" s="34"/>
      <c r="BD820" s="34"/>
      <c r="BE820" s="34"/>
      <c r="BF820" s="34"/>
      <c r="BG820" s="34"/>
      <c r="BH820" s="34"/>
      <c r="BI820" s="34"/>
      <c r="BJ820" s="34"/>
      <c r="BK820" s="34"/>
      <c r="BL820" s="34"/>
      <c r="BM820" s="34"/>
      <c r="BN820" s="34"/>
      <c r="BO820" s="35"/>
      <c r="BP820" s="35"/>
      <c r="BQ820" s="35"/>
      <c r="BR820" s="36"/>
      <c r="BS820" s="35"/>
      <c r="BT820" s="35"/>
    </row>
    <row r="821" spans="1:72">
      <c r="A821" s="29"/>
      <c r="K821" s="32"/>
      <c r="L821" s="32"/>
      <c r="R821" s="32"/>
      <c r="AC821" s="30"/>
      <c r="AH821" s="32"/>
      <c r="AI821" s="32"/>
      <c r="AJ821" s="32"/>
      <c r="AK821" s="32"/>
      <c r="AX821" s="34"/>
      <c r="AY821" s="34"/>
      <c r="AZ821" s="34"/>
      <c r="BA821" s="34"/>
      <c r="BB821" s="34"/>
      <c r="BC821" s="34"/>
      <c r="BD821" s="34"/>
      <c r="BE821" s="34"/>
      <c r="BF821" s="34"/>
      <c r="BG821" s="34"/>
      <c r="BH821" s="34"/>
      <c r="BI821" s="34"/>
      <c r="BJ821" s="34"/>
      <c r="BK821" s="34"/>
      <c r="BL821" s="34"/>
      <c r="BM821" s="34"/>
      <c r="BN821" s="34"/>
      <c r="BO821" s="35"/>
      <c r="BP821" s="35"/>
      <c r="BQ821" s="35"/>
      <c r="BR821" s="36"/>
      <c r="BS821" s="35"/>
      <c r="BT821" s="35"/>
    </row>
    <row r="822" spans="1:72">
      <c r="A822" s="29"/>
      <c r="K822" s="32"/>
      <c r="L822" s="32"/>
      <c r="R822" s="32"/>
      <c r="AC822" s="30"/>
      <c r="AH822" s="32"/>
      <c r="AI822" s="32"/>
      <c r="AJ822" s="32"/>
      <c r="AK822" s="32"/>
      <c r="AX822" s="34"/>
      <c r="AY822" s="34"/>
      <c r="AZ822" s="34"/>
      <c r="BA822" s="34"/>
      <c r="BB822" s="34"/>
      <c r="BC822" s="34"/>
      <c r="BD822" s="34"/>
      <c r="BE822" s="34"/>
      <c r="BF822" s="34"/>
      <c r="BG822" s="34"/>
      <c r="BH822" s="34"/>
      <c r="BI822" s="34"/>
      <c r="BJ822" s="34"/>
      <c r="BK822" s="34"/>
      <c r="BL822" s="34"/>
      <c r="BM822" s="34"/>
      <c r="BN822" s="34"/>
      <c r="BO822" s="35"/>
      <c r="BP822" s="35"/>
      <c r="BQ822" s="35"/>
      <c r="BR822" s="36"/>
      <c r="BS822" s="35"/>
      <c r="BT822" s="35"/>
    </row>
    <row r="823" spans="1:72">
      <c r="A823" s="29"/>
      <c r="K823" s="32"/>
      <c r="L823" s="32"/>
      <c r="R823" s="32"/>
      <c r="AC823" s="30"/>
      <c r="AH823" s="32"/>
      <c r="AI823" s="32"/>
      <c r="AJ823" s="32"/>
      <c r="AK823" s="32"/>
      <c r="AX823" s="34"/>
      <c r="AY823" s="34"/>
      <c r="AZ823" s="34"/>
      <c r="BA823" s="34"/>
      <c r="BB823" s="34"/>
      <c r="BC823" s="34"/>
      <c r="BD823" s="34"/>
      <c r="BE823" s="34"/>
      <c r="BF823" s="34"/>
      <c r="BG823" s="34"/>
      <c r="BH823" s="34"/>
      <c r="BI823" s="34"/>
      <c r="BJ823" s="34"/>
      <c r="BK823" s="34"/>
      <c r="BL823" s="34"/>
      <c r="BM823" s="34"/>
      <c r="BN823" s="34"/>
      <c r="BO823" s="35"/>
      <c r="BP823" s="35"/>
      <c r="BQ823" s="35"/>
      <c r="BR823" s="36"/>
      <c r="BS823" s="35"/>
      <c r="BT823" s="35"/>
    </row>
    <row r="824" spans="1:72">
      <c r="A824" s="29"/>
      <c r="K824" s="32"/>
      <c r="L824" s="32"/>
      <c r="R824" s="32"/>
      <c r="AC824" s="30"/>
      <c r="AH824" s="32"/>
      <c r="AI824" s="32"/>
      <c r="AJ824" s="32"/>
      <c r="AK824" s="32"/>
      <c r="AX824" s="34"/>
      <c r="AY824" s="34"/>
      <c r="AZ824" s="34"/>
      <c r="BA824" s="34"/>
      <c r="BB824" s="34"/>
      <c r="BC824" s="34"/>
      <c r="BD824" s="34"/>
      <c r="BE824" s="34"/>
      <c r="BF824" s="34"/>
      <c r="BG824" s="34"/>
      <c r="BH824" s="34"/>
      <c r="BI824" s="34"/>
      <c r="BJ824" s="34"/>
      <c r="BK824" s="34"/>
      <c r="BL824" s="34"/>
      <c r="BM824" s="34"/>
      <c r="BN824" s="34"/>
      <c r="BO824" s="35"/>
      <c r="BP824" s="35"/>
      <c r="BQ824" s="35"/>
      <c r="BR824" s="36"/>
      <c r="BS824" s="35"/>
      <c r="BT824" s="35"/>
    </row>
    <row r="825" spans="1:72">
      <c r="A825" s="29"/>
      <c r="K825" s="32"/>
      <c r="L825" s="32"/>
      <c r="R825" s="32"/>
      <c r="AC825" s="30"/>
      <c r="AH825" s="32"/>
      <c r="AI825" s="32"/>
      <c r="AJ825" s="32"/>
      <c r="AK825" s="32"/>
      <c r="AX825" s="34"/>
      <c r="AY825" s="34"/>
      <c r="AZ825" s="34"/>
      <c r="BA825" s="34"/>
      <c r="BB825" s="34"/>
      <c r="BC825" s="34"/>
      <c r="BD825" s="34"/>
      <c r="BE825" s="34"/>
      <c r="BF825" s="34"/>
      <c r="BG825" s="34"/>
      <c r="BH825" s="34"/>
      <c r="BI825" s="34"/>
      <c r="BJ825" s="34"/>
      <c r="BK825" s="34"/>
      <c r="BL825" s="34"/>
      <c r="BM825" s="34"/>
      <c r="BN825" s="34"/>
      <c r="BO825" s="35"/>
      <c r="BP825" s="35"/>
      <c r="BQ825" s="35"/>
      <c r="BR825" s="36"/>
      <c r="BS825" s="35"/>
      <c r="BT825" s="35"/>
    </row>
    <row r="826" spans="1:72">
      <c r="A826" s="29"/>
      <c r="K826" s="32"/>
      <c r="L826" s="32"/>
      <c r="R826" s="32"/>
      <c r="AC826" s="30"/>
      <c r="AH826" s="32"/>
      <c r="AI826" s="32"/>
      <c r="AJ826" s="32"/>
      <c r="AK826" s="32"/>
      <c r="AX826" s="34"/>
      <c r="AY826" s="34"/>
      <c r="AZ826" s="34"/>
      <c r="BA826" s="34"/>
      <c r="BB826" s="34"/>
      <c r="BC826" s="34"/>
      <c r="BD826" s="34"/>
      <c r="BE826" s="34"/>
      <c r="BF826" s="34"/>
      <c r="BG826" s="34"/>
      <c r="BH826" s="34"/>
      <c r="BI826" s="34"/>
      <c r="BJ826" s="34"/>
      <c r="BK826" s="34"/>
      <c r="BL826" s="34"/>
      <c r="BM826" s="34"/>
      <c r="BN826" s="34"/>
      <c r="BO826" s="35"/>
      <c r="BP826" s="35"/>
      <c r="BQ826" s="35"/>
      <c r="BR826" s="36"/>
      <c r="BS826" s="35"/>
      <c r="BT826" s="35"/>
    </row>
    <row r="827" spans="1:72">
      <c r="A827" s="29"/>
      <c r="K827" s="32"/>
      <c r="L827" s="32"/>
      <c r="R827" s="32"/>
      <c r="AC827" s="30"/>
      <c r="AH827" s="32"/>
      <c r="AI827" s="32"/>
      <c r="AJ827" s="32"/>
      <c r="AK827" s="32"/>
      <c r="AX827" s="34"/>
      <c r="AY827" s="34"/>
      <c r="AZ827" s="34"/>
      <c r="BA827" s="34"/>
      <c r="BB827" s="34"/>
      <c r="BC827" s="34"/>
      <c r="BD827" s="34"/>
      <c r="BE827" s="34"/>
      <c r="BF827" s="34"/>
      <c r="BG827" s="34"/>
      <c r="BH827" s="34"/>
      <c r="BI827" s="34"/>
      <c r="BJ827" s="34"/>
      <c r="BK827" s="34"/>
      <c r="BL827" s="34"/>
      <c r="BM827" s="34"/>
      <c r="BN827" s="34"/>
      <c r="BO827" s="35"/>
      <c r="BP827" s="35"/>
      <c r="BQ827" s="35"/>
      <c r="BR827" s="36"/>
      <c r="BS827" s="35"/>
      <c r="BT827" s="35"/>
    </row>
    <row r="828" spans="1:72">
      <c r="A828" s="29"/>
      <c r="K828" s="32"/>
      <c r="L828" s="32"/>
      <c r="R828" s="32"/>
      <c r="AC828" s="30"/>
      <c r="AH828" s="32"/>
      <c r="AI828" s="32"/>
      <c r="AJ828" s="32"/>
      <c r="AK828" s="32"/>
      <c r="AX828" s="34"/>
      <c r="AY828" s="34"/>
      <c r="AZ828" s="34"/>
      <c r="BA828" s="34"/>
      <c r="BB828" s="34"/>
      <c r="BC828" s="34"/>
      <c r="BD828" s="34"/>
      <c r="BE828" s="34"/>
      <c r="BF828" s="34"/>
      <c r="BG828" s="34"/>
      <c r="BH828" s="34"/>
      <c r="BI828" s="34"/>
      <c r="BJ828" s="34"/>
      <c r="BK828" s="34"/>
      <c r="BL828" s="34"/>
      <c r="BM828" s="34"/>
      <c r="BN828" s="34"/>
      <c r="BO828" s="35"/>
      <c r="BP828" s="35"/>
      <c r="BQ828" s="35"/>
      <c r="BR828" s="36"/>
      <c r="BS828" s="35"/>
      <c r="BT828" s="35"/>
    </row>
    <row r="829" spans="1:72">
      <c r="A829" s="29"/>
      <c r="K829" s="32"/>
      <c r="L829" s="32"/>
      <c r="R829" s="32"/>
      <c r="AC829" s="30"/>
      <c r="AH829" s="32"/>
      <c r="AI829" s="32"/>
      <c r="AJ829" s="32"/>
      <c r="AK829" s="32"/>
      <c r="AX829" s="34"/>
      <c r="AY829" s="34"/>
      <c r="AZ829" s="34"/>
      <c r="BA829" s="34"/>
      <c r="BB829" s="34"/>
      <c r="BC829" s="34"/>
      <c r="BD829" s="34"/>
      <c r="BE829" s="34"/>
      <c r="BF829" s="34"/>
      <c r="BG829" s="34"/>
      <c r="BH829" s="34"/>
      <c r="BI829" s="34"/>
      <c r="BJ829" s="34"/>
      <c r="BK829" s="34"/>
      <c r="BL829" s="34"/>
      <c r="BM829" s="34"/>
      <c r="BN829" s="34"/>
      <c r="BO829" s="35"/>
      <c r="BP829" s="35"/>
      <c r="BQ829" s="35"/>
      <c r="BR829" s="36"/>
      <c r="BS829" s="35"/>
      <c r="BT829" s="35"/>
    </row>
    <row r="830" spans="1:72">
      <c r="A830" s="29"/>
      <c r="K830" s="32"/>
      <c r="L830" s="32"/>
      <c r="R830" s="32"/>
      <c r="AC830" s="30"/>
      <c r="AH830" s="32"/>
      <c r="AI830" s="32"/>
      <c r="AJ830" s="32"/>
      <c r="AK830" s="32"/>
      <c r="AX830" s="34"/>
      <c r="AY830" s="34"/>
      <c r="AZ830" s="34"/>
      <c r="BA830" s="34"/>
      <c r="BB830" s="34"/>
      <c r="BC830" s="34"/>
      <c r="BD830" s="34"/>
      <c r="BE830" s="34"/>
      <c r="BF830" s="34"/>
      <c r="BG830" s="34"/>
      <c r="BH830" s="34"/>
      <c r="BI830" s="34"/>
      <c r="BJ830" s="34"/>
      <c r="BK830" s="34"/>
      <c r="BL830" s="34"/>
      <c r="BM830" s="34"/>
      <c r="BN830" s="34"/>
      <c r="BO830" s="35"/>
      <c r="BP830" s="35"/>
      <c r="BQ830" s="35"/>
      <c r="BR830" s="36"/>
      <c r="BS830" s="35"/>
      <c r="BT830" s="35"/>
    </row>
    <row r="831" spans="1:72">
      <c r="A831" s="29"/>
      <c r="K831" s="32"/>
      <c r="L831" s="32"/>
      <c r="R831" s="32"/>
      <c r="AC831" s="30"/>
      <c r="AH831" s="32"/>
      <c r="AI831" s="32"/>
      <c r="AJ831" s="32"/>
      <c r="AK831" s="32"/>
      <c r="AX831" s="34"/>
      <c r="AY831" s="34"/>
      <c r="AZ831" s="34"/>
      <c r="BA831" s="34"/>
      <c r="BB831" s="34"/>
      <c r="BC831" s="34"/>
      <c r="BD831" s="34"/>
      <c r="BE831" s="34"/>
      <c r="BF831" s="34"/>
      <c r="BG831" s="34"/>
      <c r="BH831" s="34"/>
      <c r="BI831" s="34"/>
      <c r="BJ831" s="34"/>
      <c r="BK831" s="34"/>
      <c r="BL831" s="34"/>
      <c r="BM831" s="34"/>
      <c r="BN831" s="34"/>
      <c r="BO831" s="35"/>
      <c r="BP831" s="35"/>
      <c r="BQ831" s="35"/>
      <c r="BR831" s="36"/>
      <c r="BS831" s="35"/>
      <c r="BT831" s="35"/>
    </row>
    <row r="832" spans="1:72">
      <c r="A832" s="29"/>
      <c r="K832" s="32"/>
      <c r="L832" s="32"/>
      <c r="R832" s="32"/>
      <c r="AC832" s="30"/>
      <c r="AH832" s="32"/>
      <c r="AI832" s="32"/>
      <c r="AJ832" s="32"/>
      <c r="AK832" s="32"/>
      <c r="AX832" s="34"/>
      <c r="AY832" s="34"/>
      <c r="AZ832" s="34"/>
      <c r="BA832" s="34"/>
      <c r="BB832" s="34"/>
      <c r="BC832" s="34"/>
      <c r="BD832" s="34"/>
      <c r="BE832" s="34"/>
      <c r="BF832" s="34"/>
      <c r="BG832" s="34"/>
      <c r="BH832" s="34"/>
      <c r="BI832" s="34"/>
      <c r="BJ832" s="34"/>
      <c r="BK832" s="34"/>
      <c r="BL832" s="34"/>
      <c r="BM832" s="34"/>
      <c r="BN832" s="34"/>
      <c r="BO832" s="35"/>
      <c r="BP832" s="35"/>
      <c r="BQ832" s="35"/>
      <c r="BR832" s="36"/>
      <c r="BS832" s="35"/>
      <c r="BT832" s="35"/>
    </row>
    <row r="833" spans="1:72">
      <c r="A833" s="29"/>
      <c r="K833" s="32"/>
      <c r="L833" s="32"/>
      <c r="R833" s="32"/>
      <c r="AC833" s="30"/>
      <c r="AH833" s="32"/>
      <c r="AI833" s="32"/>
      <c r="AJ833" s="32"/>
      <c r="AK833" s="32"/>
      <c r="AX833" s="34"/>
      <c r="AY833" s="34"/>
      <c r="AZ833" s="34"/>
      <c r="BA833" s="34"/>
      <c r="BB833" s="34"/>
      <c r="BC833" s="34"/>
      <c r="BD833" s="34"/>
      <c r="BE833" s="34"/>
      <c r="BF833" s="34"/>
      <c r="BG833" s="34"/>
      <c r="BH833" s="34"/>
      <c r="BI833" s="34"/>
      <c r="BJ833" s="34"/>
      <c r="BK833" s="34"/>
      <c r="BL833" s="34"/>
      <c r="BM833" s="34"/>
      <c r="BN833" s="34"/>
      <c r="BO833" s="35"/>
      <c r="BP833" s="35"/>
      <c r="BQ833" s="35"/>
      <c r="BR833" s="36"/>
      <c r="BS833" s="35"/>
      <c r="BT833" s="35"/>
    </row>
    <row r="834" spans="1:72">
      <c r="A834" s="29"/>
      <c r="K834" s="32"/>
      <c r="L834" s="32"/>
      <c r="R834" s="32"/>
      <c r="AC834" s="30"/>
      <c r="AH834" s="32"/>
      <c r="AI834" s="32"/>
      <c r="AJ834" s="32"/>
      <c r="AK834" s="32"/>
      <c r="AX834" s="34"/>
      <c r="AY834" s="34"/>
      <c r="AZ834" s="34"/>
      <c r="BA834" s="34"/>
      <c r="BB834" s="34"/>
      <c r="BC834" s="34"/>
      <c r="BD834" s="34"/>
      <c r="BE834" s="34"/>
      <c r="BF834" s="34"/>
      <c r="BG834" s="34"/>
      <c r="BH834" s="34"/>
      <c r="BI834" s="34"/>
      <c r="BJ834" s="34"/>
      <c r="BK834" s="34"/>
      <c r="BL834" s="34"/>
      <c r="BM834" s="34"/>
      <c r="BN834" s="34"/>
      <c r="BO834" s="35"/>
      <c r="BP834" s="35"/>
      <c r="BQ834" s="35"/>
      <c r="BR834" s="36"/>
      <c r="BS834" s="35"/>
      <c r="BT834" s="35"/>
    </row>
    <row r="835" spans="1:72">
      <c r="A835" s="29"/>
      <c r="K835" s="32"/>
      <c r="L835" s="32"/>
      <c r="R835" s="32"/>
      <c r="AC835" s="30"/>
      <c r="AH835" s="32"/>
      <c r="AI835" s="32"/>
      <c r="AJ835" s="32"/>
      <c r="AK835" s="32"/>
      <c r="AX835" s="34"/>
      <c r="AY835" s="34"/>
      <c r="AZ835" s="34"/>
      <c r="BA835" s="34"/>
      <c r="BB835" s="34"/>
      <c r="BC835" s="34"/>
      <c r="BD835" s="34"/>
      <c r="BE835" s="34"/>
      <c r="BF835" s="34"/>
      <c r="BG835" s="34"/>
      <c r="BH835" s="34"/>
      <c r="BI835" s="34"/>
      <c r="BJ835" s="34"/>
      <c r="BK835" s="34"/>
      <c r="BL835" s="34"/>
      <c r="BM835" s="34"/>
      <c r="BN835" s="34"/>
      <c r="BO835" s="35"/>
      <c r="BP835" s="35"/>
      <c r="BQ835" s="35"/>
      <c r="BR835" s="36"/>
      <c r="BS835" s="35"/>
      <c r="BT835" s="35"/>
    </row>
    <row r="836" spans="1:72">
      <c r="A836" s="29"/>
      <c r="K836" s="32"/>
      <c r="L836" s="32"/>
      <c r="R836" s="32"/>
      <c r="AC836" s="30"/>
      <c r="AH836" s="32"/>
      <c r="AI836" s="32"/>
      <c r="AJ836" s="32"/>
      <c r="AK836" s="32"/>
      <c r="AX836" s="34"/>
      <c r="AY836" s="34"/>
      <c r="AZ836" s="34"/>
      <c r="BA836" s="34"/>
      <c r="BB836" s="34"/>
      <c r="BC836" s="34"/>
      <c r="BD836" s="34"/>
      <c r="BE836" s="34"/>
      <c r="BF836" s="34"/>
      <c r="BG836" s="34"/>
      <c r="BH836" s="34"/>
      <c r="BI836" s="34"/>
      <c r="BJ836" s="34"/>
      <c r="BK836" s="34"/>
      <c r="BL836" s="34"/>
      <c r="BM836" s="34"/>
      <c r="BN836" s="34"/>
      <c r="BO836" s="35"/>
      <c r="BP836" s="35"/>
      <c r="BQ836" s="35"/>
      <c r="BR836" s="36"/>
      <c r="BS836" s="35"/>
      <c r="BT836" s="35"/>
    </row>
    <row r="837" spans="1:72">
      <c r="A837" s="29"/>
      <c r="K837" s="32"/>
      <c r="L837" s="32"/>
      <c r="R837" s="32"/>
      <c r="AC837" s="30"/>
      <c r="AH837" s="32"/>
      <c r="AI837" s="32"/>
      <c r="AJ837" s="32"/>
      <c r="AK837" s="32"/>
      <c r="AX837" s="34"/>
      <c r="AY837" s="34"/>
      <c r="AZ837" s="34"/>
      <c r="BA837" s="34"/>
      <c r="BB837" s="34"/>
      <c r="BC837" s="34"/>
      <c r="BD837" s="34"/>
      <c r="BE837" s="34"/>
      <c r="BF837" s="34"/>
      <c r="BG837" s="34"/>
      <c r="BH837" s="34"/>
      <c r="BI837" s="34"/>
      <c r="BJ837" s="34"/>
      <c r="BK837" s="34"/>
      <c r="BL837" s="34"/>
      <c r="BM837" s="34"/>
      <c r="BN837" s="34"/>
      <c r="BO837" s="35"/>
      <c r="BP837" s="35"/>
      <c r="BQ837" s="35"/>
      <c r="BR837" s="36"/>
      <c r="BS837" s="35"/>
      <c r="BT837" s="35"/>
    </row>
    <row r="838" spans="1:72">
      <c r="A838" s="29"/>
      <c r="K838" s="32"/>
      <c r="L838" s="32"/>
      <c r="R838" s="32"/>
      <c r="AC838" s="30"/>
      <c r="AH838" s="32"/>
      <c r="AI838" s="32"/>
      <c r="AJ838" s="32"/>
      <c r="AK838" s="32"/>
      <c r="AX838" s="34"/>
      <c r="AY838" s="34"/>
      <c r="AZ838" s="34"/>
      <c r="BA838" s="34"/>
      <c r="BB838" s="34"/>
      <c r="BC838" s="34"/>
      <c r="BD838" s="34"/>
      <c r="BE838" s="34"/>
      <c r="BF838" s="34"/>
      <c r="BG838" s="34"/>
      <c r="BH838" s="34"/>
      <c r="BI838" s="34"/>
      <c r="BJ838" s="34"/>
      <c r="BK838" s="34"/>
      <c r="BL838" s="34"/>
      <c r="BM838" s="34"/>
      <c r="BN838" s="34"/>
      <c r="BO838" s="35"/>
      <c r="BP838" s="35"/>
      <c r="BQ838" s="35"/>
      <c r="BR838" s="36"/>
      <c r="BS838" s="35"/>
      <c r="BT838" s="35"/>
    </row>
    <row r="839" spans="1:72">
      <c r="A839" s="29"/>
      <c r="K839" s="32"/>
      <c r="L839" s="32"/>
      <c r="R839" s="32"/>
      <c r="AC839" s="30"/>
      <c r="AH839" s="32"/>
      <c r="AI839" s="32"/>
      <c r="AJ839" s="32"/>
      <c r="AK839" s="32"/>
      <c r="AX839" s="34"/>
      <c r="AY839" s="34"/>
      <c r="AZ839" s="34"/>
      <c r="BA839" s="34"/>
      <c r="BB839" s="34"/>
      <c r="BC839" s="34"/>
      <c r="BD839" s="34"/>
      <c r="BE839" s="34"/>
      <c r="BF839" s="34"/>
      <c r="BG839" s="34"/>
      <c r="BH839" s="34"/>
      <c r="BI839" s="34"/>
      <c r="BJ839" s="34"/>
      <c r="BK839" s="34"/>
      <c r="BL839" s="34"/>
      <c r="BM839" s="34"/>
      <c r="BN839" s="34"/>
      <c r="BO839" s="35"/>
      <c r="BP839" s="35"/>
      <c r="BQ839" s="35"/>
      <c r="BR839" s="36"/>
      <c r="BS839" s="35"/>
      <c r="BT839" s="35"/>
    </row>
    <row r="840" spans="1:72">
      <c r="A840" s="29"/>
      <c r="K840" s="32"/>
      <c r="L840" s="32"/>
      <c r="R840" s="32"/>
      <c r="AC840" s="30"/>
      <c r="AH840" s="32"/>
      <c r="AI840" s="32"/>
      <c r="AJ840" s="32"/>
      <c r="AK840" s="32"/>
      <c r="AX840" s="34"/>
      <c r="AY840" s="34"/>
      <c r="AZ840" s="34"/>
      <c r="BA840" s="34"/>
      <c r="BB840" s="34"/>
      <c r="BC840" s="34"/>
      <c r="BD840" s="34"/>
      <c r="BE840" s="34"/>
      <c r="BF840" s="34"/>
      <c r="BG840" s="34"/>
      <c r="BH840" s="34"/>
      <c r="BI840" s="34"/>
      <c r="BJ840" s="34"/>
      <c r="BK840" s="34"/>
      <c r="BL840" s="34"/>
      <c r="BM840" s="34"/>
      <c r="BN840" s="34"/>
      <c r="BO840" s="35"/>
      <c r="BP840" s="35"/>
      <c r="BQ840" s="35"/>
      <c r="BR840" s="36"/>
      <c r="BS840" s="35"/>
      <c r="BT840" s="35"/>
    </row>
    <row r="841" spans="1:72">
      <c r="A841" s="29"/>
      <c r="K841" s="32"/>
      <c r="L841" s="32"/>
      <c r="R841" s="32"/>
      <c r="AC841" s="30"/>
      <c r="AH841" s="32"/>
      <c r="AI841" s="32"/>
      <c r="AJ841" s="32"/>
      <c r="AK841" s="32"/>
      <c r="AX841" s="34"/>
      <c r="AY841" s="34"/>
      <c r="AZ841" s="34"/>
      <c r="BA841" s="34"/>
      <c r="BB841" s="34"/>
      <c r="BC841" s="34"/>
      <c r="BD841" s="34"/>
      <c r="BE841" s="34"/>
      <c r="BF841" s="34"/>
      <c r="BG841" s="34"/>
      <c r="BH841" s="34"/>
      <c r="BI841" s="34"/>
      <c r="BJ841" s="34"/>
      <c r="BK841" s="34"/>
      <c r="BL841" s="34"/>
      <c r="BM841" s="34"/>
      <c r="BN841" s="34"/>
      <c r="BO841" s="35"/>
      <c r="BP841" s="35"/>
      <c r="BQ841" s="35"/>
      <c r="BR841" s="36"/>
      <c r="BS841" s="35"/>
      <c r="BT841" s="35"/>
    </row>
    <row r="842" spans="1:72">
      <c r="A842" s="29"/>
      <c r="K842" s="32"/>
      <c r="L842" s="32"/>
      <c r="R842" s="32"/>
      <c r="AC842" s="30"/>
      <c r="AH842" s="32"/>
      <c r="AI842" s="32"/>
      <c r="AJ842" s="32"/>
      <c r="AK842" s="32"/>
      <c r="AX842" s="34"/>
      <c r="AY842" s="34"/>
      <c r="AZ842" s="34"/>
      <c r="BA842" s="34"/>
      <c r="BB842" s="34"/>
      <c r="BC842" s="34"/>
      <c r="BD842" s="34"/>
      <c r="BE842" s="34"/>
      <c r="BF842" s="34"/>
      <c r="BG842" s="34"/>
      <c r="BH842" s="34"/>
      <c r="BI842" s="34"/>
      <c r="BJ842" s="34"/>
      <c r="BK842" s="34"/>
      <c r="BL842" s="34"/>
      <c r="BM842" s="34"/>
      <c r="BN842" s="34"/>
      <c r="BO842" s="35"/>
      <c r="BP842" s="35"/>
      <c r="BQ842" s="35"/>
      <c r="BR842" s="36"/>
      <c r="BS842" s="35"/>
      <c r="BT842" s="35"/>
    </row>
    <row r="843" spans="1:72">
      <c r="A843" s="29"/>
      <c r="K843" s="32"/>
      <c r="L843" s="32"/>
      <c r="R843" s="32"/>
      <c r="AC843" s="30"/>
      <c r="AH843" s="32"/>
      <c r="AI843" s="32"/>
      <c r="AJ843" s="32"/>
      <c r="AK843" s="32"/>
      <c r="AX843" s="34"/>
      <c r="AY843" s="34"/>
      <c r="AZ843" s="34"/>
      <c r="BA843" s="34"/>
      <c r="BB843" s="34"/>
      <c r="BC843" s="34"/>
      <c r="BD843" s="34"/>
      <c r="BE843" s="34"/>
      <c r="BF843" s="34"/>
      <c r="BG843" s="34"/>
      <c r="BH843" s="34"/>
      <c r="BI843" s="34"/>
      <c r="BJ843" s="34"/>
      <c r="BK843" s="34"/>
      <c r="BL843" s="34"/>
      <c r="BM843" s="34"/>
      <c r="BN843" s="34"/>
      <c r="BO843" s="35"/>
      <c r="BP843" s="35"/>
      <c r="BQ843" s="35"/>
      <c r="BR843" s="36"/>
      <c r="BS843" s="35"/>
      <c r="BT843" s="35"/>
    </row>
    <row r="844" spans="1:72">
      <c r="A844" s="29"/>
      <c r="K844" s="32"/>
      <c r="L844" s="32"/>
      <c r="R844" s="32"/>
      <c r="AC844" s="30"/>
      <c r="AH844" s="32"/>
      <c r="AI844" s="32"/>
      <c r="AJ844" s="32"/>
      <c r="AK844" s="32"/>
      <c r="AX844" s="34"/>
      <c r="AY844" s="34"/>
      <c r="AZ844" s="34"/>
      <c r="BA844" s="34"/>
      <c r="BB844" s="34"/>
      <c r="BC844" s="34"/>
      <c r="BD844" s="34"/>
      <c r="BE844" s="34"/>
      <c r="BF844" s="34"/>
      <c r="BG844" s="34"/>
      <c r="BH844" s="34"/>
      <c r="BI844" s="34"/>
      <c r="BJ844" s="34"/>
      <c r="BK844" s="34"/>
      <c r="BL844" s="34"/>
      <c r="BM844" s="34"/>
      <c r="BN844" s="34"/>
      <c r="BO844" s="35"/>
      <c r="BP844" s="35"/>
      <c r="BQ844" s="35"/>
      <c r="BR844" s="36"/>
      <c r="BS844" s="35"/>
      <c r="BT844" s="35"/>
    </row>
    <row r="845" spans="1:72">
      <c r="A845" s="29"/>
      <c r="K845" s="32"/>
      <c r="L845" s="32"/>
      <c r="R845" s="32"/>
      <c r="AC845" s="30"/>
      <c r="AH845" s="32"/>
      <c r="AI845" s="32"/>
      <c r="AJ845" s="32"/>
      <c r="AK845" s="32"/>
      <c r="AX845" s="34"/>
      <c r="AY845" s="34"/>
      <c r="AZ845" s="34"/>
      <c r="BA845" s="34"/>
      <c r="BB845" s="34"/>
      <c r="BC845" s="34"/>
      <c r="BD845" s="34"/>
      <c r="BE845" s="34"/>
      <c r="BF845" s="34"/>
      <c r="BG845" s="34"/>
      <c r="BH845" s="34"/>
      <c r="BI845" s="34"/>
      <c r="BJ845" s="34"/>
      <c r="BK845" s="34"/>
      <c r="BL845" s="34"/>
      <c r="BM845" s="34"/>
      <c r="BN845" s="34"/>
      <c r="BO845" s="35"/>
      <c r="BP845" s="35"/>
      <c r="BQ845" s="35"/>
      <c r="BR845" s="36"/>
      <c r="BS845" s="35"/>
      <c r="BT845" s="35"/>
    </row>
    <row r="846" spans="1:72">
      <c r="A846" s="29"/>
      <c r="K846" s="32"/>
      <c r="L846" s="32"/>
      <c r="R846" s="32"/>
      <c r="AC846" s="30"/>
      <c r="AH846" s="32"/>
      <c r="AI846" s="32"/>
      <c r="AJ846" s="32"/>
      <c r="AK846" s="32"/>
      <c r="AX846" s="34"/>
      <c r="AY846" s="34"/>
      <c r="AZ846" s="34"/>
      <c r="BA846" s="34"/>
      <c r="BB846" s="34"/>
      <c r="BC846" s="34"/>
      <c r="BD846" s="34"/>
      <c r="BE846" s="34"/>
      <c r="BF846" s="34"/>
      <c r="BG846" s="34"/>
      <c r="BH846" s="34"/>
      <c r="BI846" s="34"/>
      <c r="BJ846" s="34"/>
      <c r="BK846" s="34"/>
      <c r="BL846" s="34"/>
      <c r="BM846" s="34"/>
      <c r="BN846" s="34"/>
      <c r="BO846" s="35"/>
      <c r="BP846" s="35"/>
      <c r="BQ846" s="35"/>
      <c r="BR846" s="36"/>
      <c r="BS846" s="35"/>
      <c r="BT846" s="35"/>
    </row>
    <row r="847" spans="1:72">
      <c r="A847" s="29"/>
      <c r="K847" s="32"/>
      <c r="L847" s="32"/>
      <c r="R847" s="32"/>
      <c r="AC847" s="30"/>
      <c r="AH847" s="32"/>
      <c r="AI847" s="32"/>
      <c r="AJ847" s="32"/>
      <c r="AK847" s="32"/>
      <c r="AX847" s="34"/>
      <c r="AY847" s="34"/>
      <c r="AZ847" s="34"/>
      <c r="BA847" s="34"/>
      <c r="BB847" s="34"/>
      <c r="BC847" s="34"/>
      <c r="BD847" s="34"/>
      <c r="BE847" s="34"/>
      <c r="BF847" s="34"/>
      <c r="BG847" s="34"/>
      <c r="BH847" s="34"/>
      <c r="BI847" s="34"/>
      <c r="BJ847" s="34"/>
      <c r="BK847" s="34"/>
      <c r="BL847" s="34"/>
      <c r="BM847" s="34"/>
      <c r="BN847" s="34"/>
      <c r="BO847" s="35"/>
      <c r="BP847" s="35"/>
      <c r="BQ847" s="35"/>
      <c r="BR847" s="36"/>
      <c r="BS847" s="35"/>
      <c r="BT847" s="35"/>
    </row>
    <row r="848" spans="1:72">
      <c r="A848" s="29"/>
      <c r="K848" s="32"/>
      <c r="L848" s="32"/>
      <c r="R848" s="32"/>
      <c r="AC848" s="30"/>
      <c r="AH848" s="32"/>
      <c r="AI848" s="32"/>
      <c r="AJ848" s="32"/>
      <c r="AK848" s="32"/>
      <c r="AX848" s="34"/>
      <c r="AY848" s="34"/>
      <c r="AZ848" s="34"/>
      <c r="BA848" s="34"/>
      <c r="BB848" s="34"/>
      <c r="BC848" s="34"/>
      <c r="BD848" s="34"/>
      <c r="BE848" s="34"/>
      <c r="BF848" s="34"/>
      <c r="BG848" s="34"/>
      <c r="BH848" s="34"/>
      <c r="BI848" s="34"/>
      <c r="BJ848" s="34"/>
      <c r="BK848" s="34"/>
      <c r="BL848" s="34"/>
      <c r="BM848" s="34"/>
      <c r="BN848" s="34"/>
      <c r="BO848" s="35"/>
      <c r="BP848" s="35"/>
      <c r="BQ848" s="35"/>
      <c r="BR848" s="36"/>
      <c r="BS848" s="35"/>
      <c r="BT848" s="35"/>
    </row>
    <row r="849" spans="1:72">
      <c r="A849" s="29"/>
      <c r="K849" s="32"/>
      <c r="L849" s="32"/>
      <c r="R849" s="32"/>
      <c r="AC849" s="30"/>
      <c r="AH849" s="32"/>
      <c r="AI849" s="32"/>
      <c r="AJ849" s="32"/>
      <c r="AK849" s="32"/>
      <c r="AX849" s="34"/>
      <c r="AY849" s="34"/>
      <c r="AZ849" s="34"/>
      <c r="BA849" s="34"/>
      <c r="BB849" s="34"/>
      <c r="BC849" s="34"/>
      <c r="BD849" s="34"/>
      <c r="BE849" s="34"/>
      <c r="BF849" s="34"/>
      <c r="BG849" s="34"/>
      <c r="BH849" s="34"/>
      <c r="BI849" s="34"/>
      <c r="BJ849" s="34"/>
      <c r="BK849" s="34"/>
      <c r="BL849" s="34"/>
      <c r="BM849" s="34"/>
      <c r="BN849" s="34"/>
      <c r="BO849" s="35"/>
      <c r="BP849" s="35"/>
      <c r="BQ849" s="35"/>
      <c r="BR849" s="36"/>
      <c r="BS849" s="35"/>
      <c r="BT849" s="35"/>
    </row>
    <row r="850" spans="1:72">
      <c r="A850" s="29"/>
      <c r="K850" s="32"/>
      <c r="L850" s="32"/>
      <c r="R850" s="32"/>
      <c r="AC850" s="30"/>
      <c r="AH850" s="32"/>
      <c r="AI850" s="32"/>
      <c r="AJ850" s="32"/>
      <c r="AK850" s="32"/>
      <c r="AX850" s="34"/>
      <c r="AY850" s="34"/>
      <c r="AZ850" s="34"/>
      <c r="BA850" s="34"/>
      <c r="BB850" s="34"/>
      <c r="BC850" s="34"/>
      <c r="BD850" s="34"/>
      <c r="BE850" s="34"/>
      <c r="BF850" s="34"/>
      <c r="BG850" s="34"/>
      <c r="BH850" s="34"/>
      <c r="BI850" s="34"/>
      <c r="BJ850" s="34"/>
      <c r="BK850" s="34"/>
      <c r="BL850" s="34"/>
      <c r="BM850" s="34"/>
      <c r="BN850" s="34"/>
      <c r="BO850" s="35"/>
      <c r="BP850" s="35"/>
      <c r="BQ850" s="35"/>
      <c r="BR850" s="36"/>
      <c r="BS850" s="35"/>
      <c r="BT850" s="35"/>
    </row>
    <row r="851" spans="1:72">
      <c r="A851" s="29"/>
      <c r="K851" s="32"/>
      <c r="L851" s="32"/>
      <c r="R851" s="32"/>
      <c r="AC851" s="30"/>
      <c r="AH851" s="32"/>
      <c r="AI851" s="32"/>
      <c r="AJ851" s="32"/>
      <c r="AK851" s="32"/>
      <c r="AX851" s="34"/>
      <c r="AY851" s="34"/>
      <c r="AZ851" s="34"/>
      <c r="BA851" s="34"/>
      <c r="BB851" s="34"/>
      <c r="BC851" s="34"/>
      <c r="BD851" s="34"/>
      <c r="BE851" s="34"/>
      <c r="BF851" s="34"/>
      <c r="BG851" s="34"/>
      <c r="BH851" s="34"/>
      <c r="BI851" s="34"/>
      <c r="BJ851" s="34"/>
      <c r="BK851" s="34"/>
      <c r="BL851" s="34"/>
      <c r="BM851" s="34"/>
      <c r="BN851" s="34"/>
      <c r="BO851" s="35"/>
      <c r="BP851" s="35"/>
      <c r="BQ851" s="35"/>
      <c r="BR851" s="36"/>
      <c r="BS851" s="35"/>
      <c r="BT851" s="35"/>
    </row>
    <row r="852" spans="1:72">
      <c r="A852" s="29"/>
      <c r="K852" s="32"/>
      <c r="L852" s="32"/>
      <c r="R852" s="32"/>
      <c r="AC852" s="30"/>
      <c r="AH852" s="32"/>
      <c r="AI852" s="32"/>
      <c r="AJ852" s="32"/>
      <c r="AK852" s="32"/>
      <c r="AX852" s="34"/>
      <c r="AY852" s="34"/>
      <c r="AZ852" s="34"/>
      <c r="BA852" s="34"/>
      <c r="BB852" s="34"/>
      <c r="BC852" s="34"/>
      <c r="BD852" s="34"/>
      <c r="BE852" s="34"/>
      <c r="BF852" s="34"/>
      <c r="BG852" s="34"/>
      <c r="BH852" s="34"/>
      <c r="BI852" s="34"/>
      <c r="BJ852" s="34"/>
      <c r="BK852" s="34"/>
      <c r="BL852" s="34"/>
      <c r="BM852" s="34"/>
      <c r="BN852" s="34"/>
      <c r="BO852" s="35"/>
      <c r="BP852" s="35"/>
      <c r="BQ852" s="35"/>
      <c r="BR852" s="36"/>
      <c r="BS852" s="35"/>
      <c r="BT852" s="35"/>
    </row>
    <row r="853" spans="1:72">
      <c r="A853" s="29"/>
      <c r="K853" s="32"/>
      <c r="L853" s="32"/>
      <c r="R853" s="32"/>
      <c r="AC853" s="30"/>
      <c r="AH853" s="32"/>
      <c r="AI853" s="32"/>
      <c r="AJ853" s="32"/>
      <c r="AK853" s="32"/>
      <c r="AX853" s="34"/>
      <c r="AY853" s="34"/>
      <c r="AZ853" s="34"/>
      <c r="BA853" s="34"/>
      <c r="BB853" s="34"/>
      <c r="BC853" s="34"/>
      <c r="BD853" s="34"/>
      <c r="BE853" s="34"/>
      <c r="BF853" s="34"/>
      <c r="BG853" s="34"/>
      <c r="BH853" s="34"/>
      <c r="BI853" s="34"/>
      <c r="BJ853" s="34"/>
      <c r="BK853" s="34"/>
      <c r="BL853" s="34"/>
      <c r="BM853" s="34"/>
      <c r="BN853" s="34"/>
      <c r="BO853" s="35"/>
      <c r="BP853" s="35"/>
      <c r="BQ853" s="35"/>
      <c r="BR853" s="36"/>
      <c r="BS853" s="35"/>
      <c r="BT853" s="35"/>
    </row>
    <row r="854" spans="1:72">
      <c r="A854" s="29"/>
      <c r="K854" s="32"/>
      <c r="L854" s="32"/>
      <c r="R854" s="32"/>
      <c r="AC854" s="30"/>
      <c r="AH854" s="32"/>
      <c r="AI854" s="32"/>
      <c r="AJ854" s="32"/>
      <c r="AK854" s="32"/>
      <c r="AX854" s="34"/>
      <c r="AY854" s="34"/>
      <c r="AZ854" s="34"/>
      <c r="BA854" s="34"/>
      <c r="BB854" s="34"/>
      <c r="BC854" s="34"/>
      <c r="BD854" s="34"/>
      <c r="BE854" s="34"/>
      <c r="BF854" s="34"/>
      <c r="BG854" s="34"/>
      <c r="BH854" s="34"/>
      <c r="BI854" s="34"/>
      <c r="BJ854" s="34"/>
      <c r="BK854" s="34"/>
      <c r="BL854" s="34"/>
      <c r="BM854" s="34"/>
      <c r="BN854" s="34"/>
      <c r="BO854" s="35"/>
      <c r="BP854" s="35"/>
      <c r="BQ854" s="35"/>
      <c r="BR854" s="36"/>
      <c r="BS854" s="35"/>
      <c r="BT854" s="35"/>
    </row>
    <row r="855" spans="1:72">
      <c r="A855" s="29"/>
      <c r="K855" s="32"/>
      <c r="L855" s="32"/>
      <c r="R855" s="32"/>
      <c r="AC855" s="30"/>
      <c r="AH855" s="32"/>
      <c r="AI855" s="32"/>
      <c r="AJ855" s="32"/>
      <c r="AK855" s="32"/>
      <c r="AX855" s="34"/>
      <c r="AY855" s="34"/>
      <c r="AZ855" s="34"/>
      <c r="BA855" s="34"/>
      <c r="BB855" s="34"/>
      <c r="BC855" s="34"/>
      <c r="BD855" s="34"/>
      <c r="BE855" s="34"/>
      <c r="BF855" s="34"/>
      <c r="BG855" s="34"/>
      <c r="BH855" s="34"/>
      <c r="BI855" s="34"/>
      <c r="BJ855" s="34"/>
      <c r="BK855" s="34"/>
      <c r="BL855" s="34"/>
      <c r="BM855" s="34"/>
      <c r="BN855" s="34"/>
      <c r="BO855" s="35"/>
      <c r="BP855" s="35"/>
      <c r="BQ855" s="35"/>
      <c r="BR855" s="36"/>
      <c r="BS855" s="35"/>
      <c r="BT855" s="35"/>
    </row>
    <row r="856" spans="1:72">
      <c r="A856" s="29"/>
      <c r="K856" s="32"/>
      <c r="L856" s="32"/>
      <c r="R856" s="32"/>
      <c r="AC856" s="30"/>
      <c r="AH856" s="32"/>
      <c r="AI856" s="32"/>
      <c r="AJ856" s="32"/>
      <c r="AK856" s="32"/>
      <c r="AX856" s="34"/>
      <c r="AY856" s="34"/>
      <c r="AZ856" s="34"/>
      <c r="BA856" s="34"/>
      <c r="BB856" s="34"/>
      <c r="BC856" s="34"/>
      <c r="BD856" s="34"/>
      <c r="BE856" s="34"/>
      <c r="BF856" s="34"/>
      <c r="BG856" s="34"/>
      <c r="BH856" s="34"/>
      <c r="BI856" s="34"/>
      <c r="BJ856" s="34"/>
      <c r="BK856" s="34"/>
      <c r="BL856" s="34"/>
      <c r="BM856" s="34"/>
      <c r="BN856" s="34"/>
      <c r="BO856" s="35"/>
      <c r="BP856" s="35"/>
      <c r="BQ856" s="35"/>
      <c r="BR856" s="36"/>
      <c r="BS856" s="35"/>
      <c r="BT856" s="35"/>
    </row>
    <row r="857" spans="1:72">
      <c r="A857" s="29"/>
      <c r="K857" s="32"/>
      <c r="L857" s="32"/>
      <c r="R857" s="32"/>
      <c r="AC857" s="30"/>
      <c r="AH857" s="32"/>
      <c r="AI857" s="32"/>
      <c r="AJ857" s="32"/>
      <c r="AK857" s="32"/>
      <c r="AX857" s="34"/>
      <c r="AY857" s="34"/>
      <c r="AZ857" s="34"/>
      <c r="BA857" s="34"/>
      <c r="BB857" s="34"/>
      <c r="BC857" s="34"/>
      <c r="BD857" s="34"/>
      <c r="BE857" s="34"/>
      <c r="BF857" s="34"/>
      <c r="BG857" s="34"/>
      <c r="BH857" s="34"/>
      <c r="BI857" s="34"/>
      <c r="BJ857" s="34"/>
      <c r="BK857" s="34"/>
      <c r="BL857" s="34"/>
      <c r="BM857" s="34"/>
      <c r="BN857" s="34"/>
      <c r="BO857" s="35"/>
      <c r="BP857" s="35"/>
      <c r="BQ857" s="35"/>
      <c r="BR857" s="36"/>
      <c r="BS857" s="35"/>
      <c r="BT857" s="35"/>
    </row>
    <row r="858" spans="1:72">
      <c r="A858" s="29"/>
      <c r="K858" s="32"/>
      <c r="L858" s="32"/>
      <c r="R858" s="32"/>
      <c r="AC858" s="30"/>
      <c r="AH858" s="32"/>
      <c r="AI858" s="32"/>
      <c r="AJ858" s="32"/>
      <c r="AK858" s="32"/>
      <c r="AX858" s="34"/>
      <c r="AY858" s="34"/>
      <c r="AZ858" s="34"/>
      <c r="BA858" s="34"/>
      <c r="BB858" s="34"/>
      <c r="BC858" s="34"/>
      <c r="BD858" s="34"/>
      <c r="BE858" s="34"/>
      <c r="BF858" s="34"/>
      <c r="BG858" s="34"/>
      <c r="BH858" s="34"/>
      <c r="BI858" s="34"/>
      <c r="BJ858" s="34"/>
      <c r="BK858" s="34"/>
      <c r="BL858" s="34"/>
      <c r="BM858" s="34"/>
      <c r="BN858" s="34"/>
      <c r="BO858" s="35"/>
      <c r="BP858" s="35"/>
      <c r="BQ858" s="35"/>
      <c r="BR858" s="36"/>
      <c r="BS858" s="35"/>
      <c r="BT858" s="35"/>
    </row>
    <row r="859" spans="1:72">
      <c r="A859" s="29"/>
      <c r="K859" s="32"/>
      <c r="L859" s="32"/>
      <c r="R859" s="32"/>
      <c r="AC859" s="30"/>
      <c r="AH859" s="32"/>
      <c r="AI859" s="32"/>
      <c r="AJ859" s="32"/>
      <c r="AK859" s="32"/>
      <c r="AX859" s="34"/>
      <c r="AY859" s="34"/>
      <c r="AZ859" s="34"/>
      <c r="BA859" s="34"/>
      <c r="BB859" s="34"/>
      <c r="BC859" s="34"/>
      <c r="BD859" s="34"/>
      <c r="BE859" s="34"/>
      <c r="BF859" s="34"/>
      <c r="BG859" s="34"/>
      <c r="BH859" s="34"/>
      <c r="BI859" s="34"/>
      <c r="BJ859" s="34"/>
      <c r="BK859" s="34"/>
      <c r="BL859" s="34"/>
      <c r="BM859" s="34"/>
      <c r="BN859" s="34"/>
      <c r="BO859" s="35"/>
      <c r="BP859" s="35"/>
      <c r="BQ859" s="35"/>
      <c r="BR859" s="36"/>
      <c r="BS859" s="35"/>
      <c r="BT859" s="35"/>
    </row>
    <row r="860" spans="1:72">
      <c r="A860" s="29"/>
      <c r="K860" s="32"/>
      <c r="L860" s="32"/>
      <c r="R860" s="32"/>
      <c r="AC860" s="30"/>
      <c r="AH860" s="32"/>
      <c r="AI860" s="32"/>
      <c r="AJ860" s="32"/>
      <c r="AK860" s="32"/>
      <c r="AX860" s="34"/>
      <c r="AY860" s="34"/>
      <c r="AZ860" s="34"/>
      <c r="BA860" s="34"/>
      <c r="BB860" s="34"/>
      <c r="BC860" s="34"/>
      <c r="BD860" s="34"/>
      <c r="BE860" s="34"/>
      <c r="BF860" s="34"/>
      <c r="BG860" s="34"/>
      <c r="BH860" s="34"/>
      <c r="BI860" s="34"/>
      <c r="BJ860" s="34"/>
      <c r="BK860" s="34"/>
      <c r="BL860" s="34"/>
      <c r="BM860" s="34"/>
      <c r="BN860" s="34"/>
      <c r="BO860" s="35"/>
      <c r="BP860" s="35"/>
      <c r="BQ860" s="35"/>
      <c r="BR860" s="36"/>
      <c r="BS860" s="35"/>
      <c r="BT860" s="35"/>
    </row>
    <row r="861" spans="1:72">
      <c r="A861" s="29"/>
      <c r="K861" s="32"/>
      <c r="L861" s="32"/>
      <c r="R861" s="32"/>
      <c r="AC861" s="30"/>
      <c r="AH861" s="32"/>
      <c r="AI861" s="32"/>
      <c r="AJ861" s="32"/>
      <c r="AK861" s="32"/>
      <c r="AX861" s="34"/>
      <c r="AY861" s="34"/>
      <c r="AZ861" s="34"/>
      <c r="BA861" s="34"/>
      <c r="BB861" s="34"/>
      <c r="BC861" s="34"/>
      <c r="BD861" s="34"/>
      <c r="BE861" s="34"/>
      <c r="BF861" s="34"/>
      <c r="BG861" s="34"/>
      <c r="BH861" s="34"/>
      <c r="BI861" s="34"/>
      <c r="BJ861" s="34"/>
      <c r="BK861" s="34"/>
      <c r="BL861" s="34"/>
      <c r="BM861" s="34"/>
      <c r="BN861" s="34"/>
      <c r="BO861" s="35"/>
      <c r="BP861" s="35"/>
      <c r="BQ861" s="35"/>
      <c r="BR861" s="36"/>
      <c r="BS861" s="35"/>
      <c r="BT861" s="35"/>
    </row>
    <row r="862" spans="1:72">
      <c r="A862" s="29"/>
      <c r="K862" s="32"/>
      <c r="L862" s="32"/>
      <c r="R862" s="32"/>
      <c r="AC862" s="30"/>
      <c r="AH862" s="32"/>
      <c r="AI862" s="32"/>
      <c r="AJ862" s="32"/>
      <c r="AK862" s="32"/>
      <c r="AX862" s="34"/>
      <c r="AY862" s="34"/>
      <c r="AZ862" s="34"/>
      <c r="BA862" s="34"/>
      <c r="BB862" s="34"/>
      <c r="BC862" s="34"/>
      <c r="BD862" s="34"/>
      <c r="BE862" s="34"/>
      <c r="BF862" s="34"/>
      <c r="BG862" s="34"/>
      <c r="BH862" s="34"/>
      <c r="BI862" s="34"/>
      <c r="BJ862" s="34"/>
      <c r="BK862" s="34"/>
      <c r="BL862" s="34"/>
      <c r="BM862" s="34"/>
      <c r="BN862" s="34"/>
      <c r="BO862" s="35"/>
      <c r="BP862" s="35"/>
      <c r="BQ862" s="35"/>
      <c r="BR862" s="36"/>
      <c r="BS862" s="35"/>
      <c r="BT862" s="35"/>
    </row>
    <row r="863" spans="1:72">
      <c r="A863" s="29"/>
      <c r="K863" s="32"/>
      <c r="L863" s="32"/>
      <c r="R863" s="32"/>
      <c r="AC863" s="30"/>
      <c r="AH863" s="32"/>
      <c r="AI863" s="32"/>
      <c r="AJ863" s="32"/>
      <c r="AK863" s="32"/>
      <c r="AX863" s="34"/>
      <c r="AY863" s="34"/>
      <c r="AZ863" s="34"/>
      <c r="BA863" s="34"/>
      <c r="BB863" s="34"/>
      <c r="BC863" s="34"/>
      <c r="BD863" s="34"/>
      <c r="BE863" s="34"/>
      <c r="BF863" s="34"/>
      <c r="BG863" s="34"/>
      <c r="BH863" s="34"/>
      <c r="BI863" s="34"/>
      <c r="BJ863" s="34"/>
      <c r="BK863" s="34"/>
      <c r="BL863" s="34"/>
      <c r="BM863" s="34"/>
      <c r="BN863" s="34"/>
      <c r="BO863" s="35"/>
      <c r="BP863" s="35"/>
      <c r="BQ863" s="35"/>
      <c r="BR863" s="36"/>
      <c r="BS863" s="35"/>
      <c r="BT863" s="35"/>
    </row>
    <row r="864" spans="1:72">
      <c r="A864" s="29"/>
      <c r="K864" s="32"/>
      <c r="L864" s="32"/>
      <c r="R864" s="32"/>
      <c r="AC864" s="30"/>
      <c r="AH864" s="32"/>
      <c r="AI864" s="32"/>
      <c r="AJ864" s="32"/>
      <c r="AK864" s="32"/>
      <c r="AX864" s="34"/>
      <c r="AY864" s="34"/>
      <c r="AZ864" s="34"/>
      <c r="BA864" s="34"/>
      <c r="BB864" s="34"/>
      <c r="BC864" s="34"/>
      <c r="BD864" s="34"/>
      <c r="BE864" s="34"/>
      <c r="BF864" s="34"/>
      <c r="BG864" s="34"/>
      <c r="BH864" s="34"/>
      <c r="BI864" s="34"/>
      <c r="BJ864" s="34"/>
      <c r="BK864" s="34"/>
      <c r="BL864" s="34"/>
      <c r="BM864" s="34"/>
      <c r="BN864" s="34"/>
      <c r="BO864" s="35"/>
      <c r="BP864" s="35"/>
      <c r="BQ864" s="35"/>
      <c r="BR864" s="36"/>
      <c r="BS864" s="35"/>
      <c r="BT864" s="35"/>
    </row>
    <row r="865" spans="1:72">
      <c r="A865" s="29"/>
      <c r="K865" s="32"/>
      <c r="L865" s="32"/>
      <c r="R865" s="32"/>
      <c r="AC865" s="30"/>
      <c r="AH865" s="32"/>
      <c r="AI865" s="32"/>
      <c r="AJ865" s="32"/>
      <c r="AK865" s="32"/>
      <c r="AX865" s="34"/>
      <c r="AY865" s="34"/>
      <c r="AZ865" s="34"/>
      <c r="BA865" s="34"/>
      <c r="BB865" s="34"/>
      <c r="BC865" s="34"/>
      <c r="BD865" s="34"/>
      <c r="BE865" s="34"/>
      <c r="BF865" s="34"/>
      <c r="BG865" s="34"/>
      <c r="BH865" s="34"/>
      <c r="BI865" s="34"/>
      <c r="BJ865" s="34"/>
      <c r="BK865" s="34"/>
      <c r="BL865" s="34"/>
      <c r="BM865" s="34"/>
      <c r="BN865" s="34"/>
      <c r="BO865" s="35"/>
      <c r="BP865" s="35"/>
      <c r="BQ865" s="35"/>
      <c r="BR865" s="36"/>
      <c r="BS865" s="35"/>
      <c r="BT865" s="35"/>
    </row>
    <row r="866" spans="1:72">
      <c r="A866" s="29"/>
      <c r="K866" s="32"/>
      <c r="L866" s="32"/>
      <c r="R866" s="32"/>
      <c r="AC866" s="30"/>
      <c r="AH866" s="32"/>
      <c r="AI866" s="32"/>
      <c r="AJ866" s="32"/>
      <c r="AK866" s="32"/>
      <c r="AX866" s="34"/>
      <c r="AY866" s="34"/>
      <c r="AZ866" s="34"/>
      <c r="BA866" s="34"/>
      <c r="BB866" s="34"/>
      <c r="BC866" s="34"/>
      <c r="BD866" s="34"/>
      <c r="BE866" s="34"/>
      <c r="BF866" s="34"/>
      <c r="BG866" s="34"/>
      <c r="BH866" s="34"/>
      <c r="BI866" s="34"/>
      <c r="BJ866" s="34"/>
      <c r="BK866" s="34"/>
      <c r="BL866" s="34"/>
      <c r="BM866" s="34"/>
      <c r="BN866" s="34"/>
      <c r="BO866" s="35"/>
      <c r="BP866" s="35"/>
      <c r="BQ866" s="35"/>
      <c r="BR866" s="36"/>
      <c r="BS866" s="35"/>
      <c r="BT866" s="35"/>
    </row>
    <row r="867" spans="1:72">
      <c r="A867" s="29"/>
      <c r="K867" s="32"/>
      <c r="L867" s="32"/>
      <c r="R867" s="32"/>
      <c r="AC867" s="30"/>
      <c r="AH867" s="32"/>
      <c r="AI867" s="32"/>
      <c r="AJ867" s="32"/>
      <c r="AK867" s="32"/>
      <c r="AX867" s="34"/>
      <c r="AY867" s="34"/>
      <c r="AZ867" s="34"/>
      <c r="BA867" s="34"/>
      <c r="BB867" s="34"/>
      <c r="BC867" s="34"/>
      <c r="BD867" s="34"/>
      <c r="BE867" s="34"/>
      <c r="BF867" s="34"/>
      <c r="BG867" s="34"/>
      <c r="BH867" s="34"/>
      <c r="BI867" s="34"/>
      <c r="BJ867" s="34"/>
      <c r="BK867" s="34"/>
      <c r="BL867" s="34"/>
      <c r="BM867" s="34"/>
      <c r="BN867" s="34"/>
      <c r="BO867" s="35"/>
      <c r="BP867" s="35"/>
      <c r="BQ867" s="35"/>
      <c r="BR867" s="36"/>
      <c r="BS867" s="35"/>
      <c r="BT867" s="35"/>
    </row>
    <row r="868" spans="1:72">
      <c r="A868" s="29"/>
      <c r="K868" s="32"/>
      <c r="L868" s="32"/>
      <c r="R868" s="32"/>
      <c r="AC868" s="30"/>
      <c r="AH868" s="32"/>
      <c r="AI868" s="32"/>
      <c r="AJ868" s="32"/>
      <c r="AK868" s="32"/>
      <c r="AX868" s="34"/>
      <c r="AY868" s="34"/>
      <c r="AZ868" s="34"/>
      <c r="BA868" s="34"/>
      <c r="BB868" s="34"/>
      <c r="BC868" s="34"/>
      <c r="BD868" s="34"/>
      <c r="BE868" s="34"/>
      <c r="BF868" s="34"/>
      <c r="BG868" s="34"/>
      <c r="BH868" s="34"/>
      <c r="BI868" s="34"/>
      <c r="BJ868" s="34"/>
      <c r="BK868" s="34"/>
      <c r="BL868" s="34"/>
      <c r="BM868" s="34"/>
      <c r="BN868" s="34"/>
      <c r="BO868" s="35"/>
      <c r="BP868" s="35"/>
      <c r="BQ868" s="35"/>
      <c r="BR868" s="36"/>
      <c r="BS868" s="35"/>
      <c r="BT868" s="35"/>
    </row>
    <row r="869" spans="1:72">
      <c r="A869" s="29"/>
      <c r="K869" s="32"/>
      <c r="L869" s="32"/>
      <c r="R869" s="32"/>
      <c r="AC869" s="30"/>
      <c r="AH869" s="32"/>
      <c r="AI869" s="32"/>
      <c r="AJ869" s="32"/>
      <c r="AK869" s="32"/>
      <c r="AX869" s="34"/>
      <c r="AY869" s="34"/>
      <c r="AZ869" s="34"/>
      <c r="BA869" s="34"/>
      <c r="BB869" s="34"/>
      <c r="BC869" s="34"/>
      <c r="BD869" s="34"/>
      <c r="BE869" s="34"/>
      <c r="BF869" s="34"/>
      <c r="BG869" s="34"/>
      <c r="BH869" s="34"/>
      <c r="BI869" s="34"/>
      <c r="BJ869" s="34"/>
      <c r="BK869" s="34"/>
      <c r="BL869" s="34"/>
      <c r="BM869" s="34"/>
      <c r="BN869" s="34"/>
      <c r="BO869" s="35"/>
      <c r="BP869" s="35"/>
      <c r="BQ869" s="35"/>
      <c r="BR869" s="36"/>
      <c r="BS869" s="35"/>
      <c r="BT869" s="35"/>
    </row>
    <row r="870" spans="1:72">
      <c r="A870" s="29"/>
      <c r="K870" s="32"/>
      <c r="L870" s="32"/>
      <c r="R870" s="32"/>
      <c r="AC870" s="30"/>
      <c r="AH870" s="32"/>
      <c r="AI870" s="32"/>
      <c r="AJ870" s="32"/>
      <c r="AK870" s="32"/>
      <c r="AX870" s="34"/>
      <c r="AY870" s="34"/>
      <c r="AZ870" s="34"/>
      <c r="BA870" s="34"/>
      <c r="BB870" s="34"/>
      <c r="BC870" s="34"/>
      <c r="BD870" s="34"/>
      <c r="BE870" s="34"/>
      <c r="BF870" s="34"/>
      <c r="BG870" s="34"/>
      <c r="BH870" s="34"/>
      <c r="BI870" s="34"/>
      <c r="BJ870" s="34"/>
      <c r="BK870" s="34"/>
      <c r="BL870" s="34"/>
      <c r="BM870" s="34"/>
      <c r="BN870" s="34"/>
      <c r="BO870" s="35"/>
      <c r="BP870" s="35"/>
      <c r="BQ870" s="35"/>
      <c r="BR870" s="36"/>
      <c r="BS870" s="35"/>
      <c r="BT870" s="35"/>
    </row>
    <row r="871" spans="1:72">
      <c r="A871" s="29"/>
      <c r="K871" s="32"/>
      <c r="L871" s="32"/>
      <c r="R871" s="32"/>
      <c r="AC871" s="30"/>
      <c r="AH871" s="32"/>
      <c r="AI871" s="32"/>
      <c r="AJ871" s="32"/>
      <c r="AK871" s="32"/>
      <c r="AX871" s="34"/>
      <c r="AY871" s="34"/>
      <c r="AZ871" s="34"/>
      <c r="BA871" s="34"/>
      <c r="BB871" s="34"/>
      <c r="BC871" s="34"/>
      <c r="BD871" s="34"/>
      <c r="BE871" s="34"/>
      <c r="BF871" s="34"/>
      <c r="BG871" s="34"/>
      <c r="BH871" s="34"/>
      <c r="BI871" s="34"/>
      <c r="BJ871" s="34"/>
      <c r="BK871" s="34"/>
      <c r="BL871" s="34"/>
      <c r="BM871" s="34"/>
      <c r="BN871" s="34"/>
      <c r="BO871" s="35"/>
      <c r="BP871" s="35"/>
      <c r="BQ871" s="35"/>
      <c r="BR871" s="36"/>
      <c r="BS871" s="35"/>
      <c r="BT871" s="35"/>
    </row>
    <row r="872" spans="1:72">
      <c r="A872" s="29"/>
      <c r="K872" s="32"/>
      <c r="L872" s="32"/>
      <c r="R872" s="32"/>
      <c r="AC872" s="30"/>
      <c r="AH872" s="32"/>
      <c r="AI872" s="32"/>
      <c r="AJ872" s="32"/>
      <c r="AK872" s="32"/>
      <c r="AX872" s="34"/>
      <c r="AY872" s="34"/>
      <c r="AZ872" s="34"/>
      <c r="BA872" s="34"/>
      <c r="BB872" s="34"/>
      <c r="BC872" s="34"/>
      <c r="BD872" s="34"/>
      <c r="BE872" s="34"/>
      <c r="BF872" s="34"/>
      <c r="BG872" s="34"/>
      <c r="BH872" s="34"/>
      <c r="BI872" s="34"/>
      <c r="BJ872" s="34"/>
      <c r="BK872" s="34"/>
      <c r="BL872" s="34"/>
      <c r="BM872" s="34"/>
      <c r="BN872" s="34"/>
      <c r="BO872" s="35"/>
      <c r="BP872" s="35"/>
      <c r="BQ872" s="35"/>
      <c r="BR872" s="36"/>
      <c r="BS872" s="35"/>
      <c r="BT872" s="35"/>
    </row>
    <row r="873" spans="1:72">
      <c r="A873" s="29"/>
      <c r="K873" s="32"/>
      <c r="L873" s="32"/>
      <c r="R873" s="32"/>
      <c r="AC873" s="30"/>
      <c r="AH873" s="32"/>
      <c r="AI873" s="32"/>
      <c r="AJ873" s="32"/>
      <c r="AK873" s="32"/>
      <c r="AX873" s="34"/>
      <c r="AY873" s="34"/>
      <c r="AZ873" s="34"/>
      <c r="BA873" s="34"/>
      <c r="BB873" s="34"/>
      <c r="BC873" s="34"/>
      <c r="BD873" s="34"/>
      <c r="BE873" s="34"/>
      <c r="BF873" s="34"/>
      <c r="BG873" s="34"/>
      <c r="BH873" s="34"/>
      <c r="BI873" s="34"/>
      <c r="BJ873" s="34"/>
      <c r="BK873" s="34"/>
      <c r="BL873" s="34"/>
      <c r="BM873" s="34"/>
      <c r="BN873" s="34"/>
      <c r="BO873" s="35"/>
      <c r="BP873" s="35"/>
      <c r="BQ873" s="35"/>
      <c r="BR873" s="36"/>
      <c r="BS873" s="35"/>
      <c r="BT873" s="35"/>
    </row>
    <row r="874" spans="1:72">
      <c r="A874" s="29"/>
      <c r="K874" s="32"/>
      <c r="L874" s="32"/>
      <c r="R874" s="32"/>
      <c r="AC874" s="30"/>
      <c r="AH874" s="32"/>
      <c r="AI874" s="32"/>
      <c r="AJ874" s="32"/>
      <c r="AK874" s="32"/>
      <c r="AX874" s="34"/>
      <c r="AY874" s="34"/>
      <c r="AZ874" s="34"/>
      <c r="BA874" s="34"/>
      <c r="BB874" s="34"/>
      <c r="BC874" s="34"/>
      <c r="BD874" s="34"/>
      <c r="BE874" s="34"/>
      <c r="BF874" s="34"/>
      <c r="BG874" s="34"/>
      <c r="BH874" s="34"/>
      <c r="BI874" s="34"/>
      <c r="BJ874" s="34"/>
      <c r="BK874" s="34"/>
      <c r="BL874" s="34"/>
      <c r="BM874" s="34"/>
      <c r="BN874" s="34"/>
      <c r="BO874" s="35"/>
      <c r="BP874" s="35"/>
      <c r="BQ874" s="35"/>
      <c r="BR874" s="36"/>
      <c r="BS874" s="35"/>
      <c r="BT874" s="35"/>
    </row>
    <row r="875" spans="1:72">
      <c r="A875" s="29"/>
      <c r="K875" s="32"/>
      <c r="L875" s="32"/>
      <c r="R875" s="32"/>
      <c r="AC875" s="30"/>
      <c r="AH875" s="32"/>
      <c r="AI875" s="32"/>
      <c r="AJ875" s="32"/>
      <c r="AK875" s="32"/>
      <c r="AX875" s="34"/>
      <c r="AY875" s="34"/>
      <c r="AZ875" s="34"/>
      <c r="BA875" s="34"/>
      <c r="BB875" s="34"/>
      <c r="BC875" s="34"/>
      <c r="BD875" s="34"/>
      <c r="BE875" s="34"/>
      <c r="BF875" s="34"/>
      <c r="BG875" s="34"/>
      <c r="BH875" s="34"/>
      <c r="BI875" s="34"/>
      <c r="BJ875" s="34"/>
      <c r="BK875" s="34"/>
      <c r="BL875" s="34"/>
      <c r="BM875" s="34"/>
      <c r="BN875" s="34"/>
      <c r="BO875" s="35"/>
      <c r="BP875" s="35"/>
      <c r="BQ875" s="35"/>
      <c r="BR875" s="36"/>
      <c r="BS875" s="35"/>
      <c r="BT875" s="35"/>
    </row>
    <row r="876" spans="1:72">
      <c r="A876" s="29"/>
      <c r="K876" s="32"/>
      <c r="L876" s="32"/>
      <c r="R876" s="32"/>
      <c r="AC876" s="30"/>
      <c r="AH876" s="32"/>
      <c r="AI876" s="32"/>
      <c r="AJ876" s="32"/>
      <c r="AK876" s="32"/>
      <c r="AX876" s="34"/>
      <c r="AY876" s="34"/>
      <c r="AZ876" s="34"/>
      <c r="BA876" s="34"/>
      <c r="BB876" s="34"/>
      <c r="BC876" s="34"/>
      <c r="BD876" s="34"/>
      <c r="BE876" s="34"/>
      <c r="BF876" s="34"/>
      <c r="BG876" s="34"/>
      <c r="BH876" s="34"/>
      <c r="BI876" s="34"/>
      <c r="BJ876" s="34"/>
      <c r="BK876" s="34"/>
      <c r="BL876" s="34"/>
      <c r="BM876" s="34"/>
      <c r="BN876" s="34"/>
      <c r="BO876" s="35"/>
      <c r="BP876" s="35"/>
      <c r="BQ876" s="35"/>
      <c r="BR876" s="36"/>
      <c r="BS876" s="35"/>
      <c r="BT876" s="35"/>
    </row>
    <row r="877" spans="1:72">
      <c r="A877" s="29"/>
      <c r="K877" s="32"/>
      <c r="L877" s="32"/>
      <c r="R877" s="32"/>
      <c r="AC877" s="30"/>
      <c r="AH877" s="32"/>
      <c r="AI877" s="32"/>
      <c r="AJ877" s="32"/>
      <c r="AK877" s="32"/>
      <c r="AX877" s="34"/>
      <c r="AY877" s="34"/>
      <c r="AZ877" s="34"/>
      <c r="BA877" s="34"/>
      <c r="BB877" s="34"/>
      <c r="BC877" s="34"/>
      <c r="BD877" s="34"/>
      <c r="BE877" s="34"/>
      <c r="BF877" s="34"/>
      <c r="BG877" s="34"/>
      <c r="BH877" s="34"/>
      <c r="BI877" s="34"/>
      <c r="BJ877" s="34"/>
      <c r="BK877" s="34"/>
      <c r="BL877" s="34"/>
      <c r="BM877" s="34"/>
      <c r="BN877" s="34"/>
      <c r="BO877" s="35"/>
      <c r="BP877" s="35"/>
      <c r="BQ877" s="35"/>
      <c r="BR877" s="36"/>
      <c r="BS877" s="35"/>
      <c r="BT877" s="35"/>
    </row>
    <row r="878" spans="1:72">
      <c r="A878" s="29"/>
      <c r="K878" s="32"/>
      <c r="L878" s="32"/>
      <c r="R878" s="32"/>
      <c r="AC878" s="30"/>
      <c r="AH878" s="32"/>
      <c r="AI878" s="32"/>
      <c r="AJ878" s="32"/>
      <c r="AK878" s="32"/>
      <c r="AX878" s="34"/>
      <c r="AY878" s="34"/>
      <c r="AZ878" s="34"/>
      <c r="BA878" s="34"/>
      <c r="BB878" s="34"/>
      <c r="BC878" s="34"/>
      <c r="BD878" s="34"/>
      <c r="BE878" s="34"/>
      <c r="BF878" s="34"/>
      <c r="BG878" s="34"/>
      <c r="BH878" s="34"/>
      <c r="BI878" s="34"/>
      <c r="BJ878" s="34"/>
      <c r="BK878" s="34"/>
      <c r="BL878" s="34"/>
      <c r="BM878" s="34"/>
      <c r="BN878" s="34"/>
      <c r="BO878" s="35"/>
      <c r="BP878" s="35"/>
      <c r="BQ878" s="35"/>
      <c r="BR878" s="36"/>
      <c r="BS878" s="35"/>
      <c r="BT878" s="35"/>
    </row>
    <row r="879" spans="1:72">
      <c r="A879" s="29"/>
      <c r="K879" s="32"/>
      <c r="L879" s="32"/>
      <c r="R879" s="32"/>
      <c r="AC879" s="30"/>
      <c r="AH879" s="32"/>
      <c r="AI879" s="32"/>
      <c r="AJ879" s="32"/>
      <c r="AK879" s="32"/>
      <c r="AX879" s="34"/>
      <c r="AY879" s="34"/>
      <c r="AZ879" s="34"/>
      <c r="BA879" s="34"/>
      <c r="BB879" s="34"/>
      <c r="BC879" s="34"/>
      <c r="BD879" s="34"/>
      <c r="BE879" s="34"/>
      <c r="BF879" s="34"/>
      <c r="BG879" s="34"/>
      <c r="BH879" s="34"/>
      <c r="BI879" s="34"/>
      <c r="BJ879" s="34"/>
      <c r="BK879" s="34"/>
      <c r="BL879" s="34"/>
      <c r="BM879" s="34"/>
      <c r="BN879" s="34"/>
      <c r="BO879" s="35"/>
      <c r="BP879" s="35"/>
      <c r="BQ879" s="35"/>
      <c r="BR879" s="36"/>
      <c r="BS879" s="35"/>
      <c r="BT879" s="35"/>
    </row>
    <row r="880" spans="1:72">
      <c r="A880" s="29"/>
      <c r="K880" s="32"/>
      <c r="L880" s="32"/>
      <c r="R880" s="32"/>
      <c r="AC880" s="30"/>
      <c r="AH880" s="32"/>
      <c r="AI880" s="32"/>
      <c r="AJ880" s="32"/>
      <c r="AK880" s="32"/>
      <c r="AX880" s="34"/>
      <c r="AY880" s="34"/>
      <c r="AZ880" s="34"/>
      <c r="BA880" s="34"/>
      <c r="BB880" s="34"/>
      <c r="BC880" s="34"/>
      <c r="BD880" s="34"/>
      <c r="BE880" s="34"/>
      <c r="BF880" s="34"/>
      <c r="BG880" s="34"/>
      <c r="BH880" s="34"/>
      <c r="BI880" s="34"/>
      <c r="BJ880" s="34"/>
      <c r="BK880" s="34"/>
      <c r="BL880" s="34"/>
      <c r="BM880" s="34"/>
      <c r="BN880" s="34"/>
      <c r="BO880" s="35"/>
      <c r="BP880" s="35"/>
      <c r="BQ880" s="35"/>
      <c r="BR880" s="36"/>
      <c r="BS880" s="35"/>
      <c r="BT880" s="35"/>
    </row>
    <row r="881" spans="1:72">
      <c r="A881" s="29"/>
      <c r="K881" s="32"/>
      <c r="L881" s="32"/>
      <c r="R881" s="32"/>
      <c r="AC881" s="30"/>
      <c r="AH881" s="32"/>
      <c r="AI881" s="32"/>
      <c r="AJ881" s="32"/>
      <c r="AK881" s="32"/>
      <c r="AX881" s="34"/>
      <c r="AY881" s="34"/>
      <c r="AZ881" s="34"/>
      <c r="BA881" s="34"/>
      <c r="BB881" s="34"/>
      <c r="BC881" s="34"/>
      <c r="BD881" s="34"/>
      <c r="BE881" s="34"/>
      <c r="BF881" s="34"/>
      <c r="BG881" s="34"/>
      <c r="BH881" s="34"/>
      <c r="BI881" s="34"/>
      <c r="BJ881" s="34"/>
      <c r="BK881" s="34"/>
      <c r="BL881" s="34"/>
      <c r="BM881" s="34"/>
      <c r="BN881" s="34"/>
      <c r="BO881" s="35"/>
      <c r="BP881" s="35"/>
      <c r="BQ881" s="35"/>
      <c r="BR881" s="36"/>
      <c r="BS881" s="35"/>
      <c r="BT881" s="35"/>
    </row>
    <row r="882" spans="1:72">
      <c r="A882" s="29"/>
      <c r="K882" s="32"/>
      <c r="L882" s="32"/>
      <c r="R882" s="32"/>
      <c r="AC882" s="30"/>
      <c r="AH882" s="32"/>
      <c r="AI882" s="32"/>
      <c r="AJ882" s="32"/>
      <c r="AK882" s="32"/>
      <c r="AX882" s="34"/>
      <c r="AY882" s="34"/>
      <c r="AZ882" s="34"/>
      <c r="BA882" s="34"/>
      <c r="BB882" s="34"/>
      <c r="BC882" s="34"/>
      <c r="BD882" s="34"/>
      <c r="BE882" s="34"/>
      <c r="BF882" s="34"/>
      <c r="BG882" s="34"/>
      <c r="BH882" s="34"/>
      <c r="BI882" s="34"/>
      <c r="BJ882" s="34"/>
      <c r="BK882" s="34"/>
      <c r="BL882" s="34"/>
      <c r="BM882" s="34"/>
      <c r="BN882" s="34"/>
      <c r="BO882" s="35"/>
      <c r="BP882" s="35"/>
      <c r="BQ882" s="35"/>
      <c r="BR882" s="36"/>
      <c r="BS882" s="35"/>
      <c r="BT882" s="35"/>
    </row>
    <row r="883" spans="1:72">
      <c r="A883" s="29"/>
      <c r="K883" s="32"/>
      <c r="L883" s="32"/>
      <c r="R883" s="32"/>
      <c r="AC883" s="30"/>
      <c r="AH883" s="32"/>
      <c r="AI883" s="32"/>
      <c r="AJ883" s="32"/>
      <c r="AK883" s="32"/>
      <c r="AX883" s="34"/>
      <c r="AY883" s="34"/>
      <c r="AZ883" s="34"/>
      <c r="BA883" s="34"/>
      <c r="BB883" s="34"/>
      <c r="BC883" s="34"/>
      <c r="BD883" s="34"/>
      <c r="BE883" s="34"/>
      <c r="BF883" s="34"/>
      <c r="BG883" s="34"/>
      <c r="BH883" s="34"/>
      <c r="BI883" s="34"/>
      <c r="BJ883" s="34"/>
      <c r="BK883" s="34"/>
      <c r="BL883" s="34"/>
      <c r="BM883" s="34"/>
      <c r="BN883" s="34"/>
      <c r="BO883" s="35"/>
      <c r="BP883" s="35"/>
      <c r="BQ883" s="35"/>
      <c r="BR883" s="36"/>
      <c r="BS883" s="35"/>
      <c r="BT883" s="35"/>
    </row>
    <row r="884" spans="1:72">
      <c r="A884" s="29"/>
      <c r="K884" s="32"/>
      <c r="L884" s="32"/>
      <c r="R884" s="32"/>
      <c r="AC884" s="30"/>
      <c r="AH884" s="32"/>
      <c r="AI884" s="32"/>
      <c r="AJ884" s="32"/>
      <c r="AK884" s="32"/>
      <c r="AX884" s="34"/>
      <c r="AY884" s="34"/>
      <c r="AZ884" s="34"/>
      <c r="BA884" s="34"/>
      <c r="BB884" s="34"/>
      <c r="BC884" s="34"/>
      <c r="BD884" s="34"/>
      <c r="BE884" s="34"/>
      <c r="BF884" s="34"/>
      <c r="BG884" s="34"/>
      <c r="BH884" s="34"/>
      <c r="BI884" s="34"/>
      <c r="BJ884" s="34"/>
      <c r="BK884" s="34"/>
      <c r="BL884" s="34"/>
      <c r="BM884" s="34"/>
      <c r="BN884" s="34"/>
      <c r="BO884" s="35"/>
      <c r="BP884" s="35"/>
      <c r="BQ884" s="35"/>
      <c r="BR884" s="36"/>
      <c r="BS884" s="35"/>
      <c r="BT884" s="35"/>
    </row>
    <row r="885" spans="1:72">
      <c r="A885" s="29"/>
      <c r="K885" s="32"/>
      <c r="L885" s="32"/>
      <c r="R885" s="32"/>
      <c r="AC885" s="30"/>
      <c r="AH885" s="32"/>
      <c r="AI885" s="32"/>
      <c r="AJ885" s="32"/>
      <c r="AK885" s="32"/>
      <c r="AX885" s="34"/>
      <c r="AY885" s="34"/>
      <c r="AZ885" s="34"/>
      <c r="BA885" s="34"/>
      <c r="BB885" s="34"/>
      <c r="BC885" s="34"/>
      <c r="BD885" s="34"/>
      <c r="BE885" s="34"/>
      <c r="BF885" s="34"/>
      <c r="BG885" s="34"/>
      <c r="BH885" s="34"/>
      <c r="BI885" s="34"/>
      <c r="BJ885" s="34"/>
      <c r="BK885" s="34"/>
      <c r="BL885" s="34"/>
      <c r="BM885" s="34"/>
      <c r="BN885" s="34"/>
      <c r="BO885" s="35"/>
      <c r="BP885" s="35"/>
      <c r="BQ885" s="35"/>
      <c r="BR885" s="36"/>
      <c r="BS885" s="35"/>
      <c r="BT885" s="35"/>
    </row>
    <row r="886" spans="1:72">
      <c r="A886" s="29"/>
      <c r="K886" s="32"/>
      <c r="L886" s="32"/>
      <c r="R886" s="32"/>
      <c r="AC886" s="30"/>
      <c r="AH886" s="32"/>
      <c r="AI886" s="32"/>
      <c r="AJ886" s="32"/>
      <c r="AK886" s="32"/>
      <c r="AX886" s="34"/>
      <c r="AY886" s="34"/>
      <c r="AZ886" s="34"/>
      <c r="BA886" s="34"/>
      <c r="BB886" s="34"/>
      <c r="BC886" s="34"/>
      <c r="BD886" s="34"/>
      <c r="BE886" s="34"/>
      <c r="BF886" s="34"/>
      <c r="BG886" s="34"/>
      <c r="BH886" s="34"/>
      <c r="BI886" s="34"/>
      <c r="BJ886" s="34"/>
      <c r="BK886" s="34"/>
      <c r="BL886" s="34"/>
      <c r="BM886" s="34"/>
      <c r="BN886" s="34"/>
      <c r="BO886" s="35"/>
      <c r="BP886" s="35"/>
      <c r="BQ886" s="35"/>
      <c r="BR886" s="36"/>
      <c r="BS886" s="35"/>
      <c r="BT886" s="35"/>
    </row>
    <row r="887" spans="1:72">
      <c r="A887" s="29"/>
      <c r="K887" s="32"/>
      <c r="L887" s="32"/>
      <c r="R887" s="32"/>
      <c r="AC887" s="30"/>
      <c r="AH887" s="32"/>
      <c r="AI887" s="32"/>
      <c r="AJ887" s="32"/>
      <c r="AK887" s="32"/>
      <c r="AX887" s="34"/>
      <c r="AY887" s="34"/>
      <c r="AZ887" s="34"/>
      <c r="BA887" s="34"/>
      <c r="BB887" s="34"/>
      <c r="BC887" s="34"/>
      <c r="BD887" s="34"/>
      <c r="BE887" s="34"/>
      <c r="BF887" s="34"/>
      <c r="BG887" s="34"/>
      <c r="BH887" s="34"/>
      <c r="BI887" s="34"/>
      <c r="BJ887" s="34"/>
      <c r="BK887" s="34"/>
      <c r="BL887" s="34"/>
      <c r="BM887" s="34"/>
      <c r="BN887" s="34"/>
      <c r="BO887" s="35"/>
      <c r="BP887" s="35"/>
      <c r="BQ887" s="35"/>
      <c r="BR887" s="36"/>
      <c r="BS887" s="35"/>
      <c r="BT887" s="35"/>
    </row>
    <row r="888" spans="1:72">
      <c r="A888" s="29"/>
      <c r="K888" s="32"/>
      <c r="L888" s="32"/>
      <c r="R888" s="32"/>
      <c r="AC888" s="30"/>
      <c r="AH888" s="32"/>
      <c r="AI888" s="32"/>
      <c r="AJ888" s="32"/>
      <c r="AK888" s="32"/>
      <c r="AX888" s="34"/>
      <c r="AY888" s="34"/>
      <c r="AZ888" s="34"/>
      <c r="BA888" s="34"/>
      <c r="BB888" s="34"/>
      <c r="BC888" s="34"/>
      <c r="BD888" s="34"/>
      <c r="BE888" s="34"/>
      <c r="BF888" s="34"/>
      <c r="BG888" s="34"/>
      <c r="BH888" s="34"/>
      <c r="BI888" s="34"/>
      <c r="BJ888" s="34"/>
      <c r="BK888" s="34"/>
      <c r="BL888" s="34"/>
      <c r="BM888" s="34"/>
      <c r="BN888" s="34"/>
      <c r="BO888" s="35"/>
      <c r="BP888" s="35"/>
      <c r="BQ888" s="35"/>
      <c r="BR888" s="36"/>
      <c r="BS888" s="35"/>
      <c r="BT888" s="35"/>
    </row>
    <row r="889" spans="1:72">
      <c r="A889" s="29"/>
      <c r="K889" s="32"/>
      <c r="L889" s="32"/>
      <c r="R889" s="32"/>
      <c r="AC889" s="30"/>
      <c r="AH889" s="32"/>
      <c r="AI889" s="32"/>
      <c r="AJ889" s="32"/>
      <c r="AK889" s="32"/>
      <c r="AX889" s="34"/>
      <c r="AY889" s="34"/>
      <c r="AZ889" s="34"/>
      <c r="BA889" s="34"/>
      <c r="BB889" s="34"/>
      <c r="BC889" s="34"/>
      <c r="BD889" s="34"/>
      <c r="BE889" s="34"/>
      <c r="BF889" s="34"/>
      <c r="BG889" s="34"/>
      <c r="BH889" s="34"/>
      <c r="BI889" s="34"/>
      <c r="BJ889" s="34"/>
      <c r="BK889" s="34"/>
      <c r="BL889" s="34"/>
      <c r="BM889" s="34"/>
      <c r="BN889" s="34"/>
      <c r="BO889" s="35"/>
      <c r="BP889" s="35"/>
      <c r="BQ889" s="35"/>
      <c r="BR889" s="36"/>
      <c r="BS889" s="35"/>
      <c r="BT889" s="35"/>
    </row>
    <row r="890" spans="1:72">
      <c r="A890" s="29"/>
      <c r="K890" s="32"/>
      <c r="L890" s="32"/>
      <c r="R890" s="32"/>
      <c r="AC890" s="30"/>
      <c r="AH890" s="32"/>
      <c r="AI890" s="32"/>
      <c r="AJ890" s="32"/>
      <c r="AK890" s="32"/>
      <c r="AX890" s="34"/>
      <c r="AY890" s="34"/>
      <c r="AZ890" s="34"/>
      <c r="BA890" s="34"/>
      <c r="BB890" s="34"/>
      <c r="BC890" s="34"/>
      <c r="BD890" s="34"/>
      <c r="BE890" s="34"/>
      <c r="BF890" s="34"/>
      <c r="BG890" s="34"/>
      <c r="BH890" s="34"/>
      <c r="BI890" s="34"/>
      <c r="BJ890" s="34"/>
      <c r="BK890" s="34"/>
      <c r="BL890" s="34"/>
      <c r="BM890" s="34"/>
      <c r="BN890" s="34"/>
      <c r="BO890" s="35"/>
      <c r="BP890" s="35"/>
      <c r="BQ890" s="35"/>
      <c r="BR890" s="36"/>
      <c r="BS890" s="35"/>
      <c r="BT890" s="35"/>
    </row>
    <row r="891" spans="1:72">
      <c r="A891" s="29"/>
      <c r="K891" s="32"/>
      <c r="L891" s="32"/>
      <c r="R891" s="32"/>
      <c r="AC891" s="30"/>
      <c r="AH891" s="32"/>
      <c r="AI891" s="32"/>
      <c r="AJ891" s="32"/>
      <c r="AK891" s="32"/>
      <c r="AX891" s="34"/>
      <c r="AY891" s="34"/>
      <c r="AZ891" s="34"/>
      <c r="BA891" s="34"/>
      <c r="BB891" s="34"/>
      <c r="BC891" s="34"/>
      <c r="BD891" s="34"/>
      <c r="BE891" s="34"/>
      <c r="BF891" s="34"/>
      <c r="BG891" s="34"/>
      <c r="BH891" s="34"/>
      <c r="BI891" s="34"/>
      <c r="BJ891" s="34"/>
      <c r="BK891" s="34"/>
      <c r="BL891" s="34"/>
      <c r="BM891" s="34"/>
      <c r="BN891" s="34"/>
      <c r="BO891" s="35"/>
      <c r="BP891" s="35"/>
      <c r="BQ891" s="35"/>
      <c r="BR891" s="36"/>
      <c r="BS891" s="35"/>
      <c r="BT891" s="35"/>
    </row>
    <row r="892" spans="1:72">
      <c r="A892" s="29"/>
      <c r="K892" s="32"/>
      <c r="L892" s="32"/>
      <c r="R892" s="32"/>
      <c r="AC892" s="30"/>
      <c r="AH892" s="32"/>
      <c r="AI892" s="32"/>
      <c r="AJ892" s="32"/>
      <c r="AK892" s="32"/>
      <c r="AX892" s="34"/>
      <c r="AY892" s="34"/>
      <c r="AZ892" s="34"/>
      <c r="BA892" s="34"/>
      <c r="BB892" s="34"/>
      <c r="BC892" s="34"/>
      <c r="BD892" s="34"/>
      <c r="BE892" s="34"/>
      <c r="BF892" s="34"/>
      <c r="BG892" s="34"/>
      <c r="BH892" s="34"/>
      <c r="BI892" s="34"/>
      <c r="BJ892" s="34"/>
      <c r="BK892" s="34"/>
      <c r="BL892" s="34"/>
      <c r="BM892" s="34"/>
      <c r="BN892" s="34"/>
      <c r="BO892" s="35"/>
      <c r="BP892" s="35"/>
      <c r="BQ892" s="35"/>
      <c r="BR892" s="36"/>
      <c r="BS892" s="35"/>
      <c r="BT892" s="35"/>
    </row>
    <row r="893" spans="1:72">
      <c r="A893" s="29"/>
      <c r="K893" s="32"/>
      <c r="L893" s="32"/>
      <c r="R893" s="32"/>
      <c r="AC893" s="30"/>
      <c r="AH893" s="32"/>
      <c r="AI893" s="32"/>
      <c r="AJ893" s="32"/>
      <c r="AK893" s="32"/>
      <c r="AX893" s="34"/>
      <c r="AY893" s="34"/>
      <c r="AZ893" s="34"/>
      <c r="BA893" s="34"/>
      <c r="BB893" s="34"/>
      <c r="BC893" s="34"/>
      <c r="BD893" s="34"/>
      <c r="BE893" s="34"/>
      <c r="BF893" s="34"/>
      <c r="BG893" s="34"/>
      <c r="BH893" s="34"/>
      <c r="BI893" s="34"/>
      <c r="BJ893" s="34"/>
      <c r="BK893" s="34"/>
      <c r="BL893" s="34"/>
      <c r="BM893" s="34"/>
      <c r="BN893" s="34"/>
      <c r="BO893" s="35"/>
      <c r="BP893" s="35"/>
      <c r="BQ893" s="35"/>
      <c r="BR893" s="36"/>
      <c r="BS893" s="35"/>
      <c r="BT893" s="35"/>
    </row>
    <row r="894" spans="1:72">
      <c r="A894" s="29"/>
      <c r="K894" s="32"/>
      <c r="L894" s="32"/>
      <c r="R894" s="32"/>
      <c r="AC894" s="30"/>
      <c r="AH894" s="32"/>
      <c r="AI894" s="32"/>
      <c r="AJ894" s="32"/>
      <c r="AK894" s="32"/>
      <c r="AX894" s="34"/>
      <c r="AY894" s="34"/>
      <c r="AZ894" s="34"/>
      <c r="BA894" s="34"/>
      <c r="BB894" s="34"/>
      <c r="BC894" s="34"/>
      <c r="BD894" s="34"/>
      <c r="BE894" s="34"/>
      <c r="BF894" s="34"/>
      <c r="BG894" s="34"/>
      <c r="BH894" s="34"/>
      <c r="BI894" s="34"/>
      <c r="BJ894" s="34"/>
      <c r="BK894" s="34"/>
      <c r="BL894" s="34"/>
      <c r="BM894" s="34"/>
      <c r="BN894" s="34"/>
      <c r="BO894" s="35"/>
      <c r="BP894" s="35"/>
      <c r="BQ894" s="35"/>
      <c r="BR894" s="36"/>
      <c r="BS894" s="35"/>
      <c r="BT894" s="35"/>
    </row>
    <row r="895" spans="1:72">
      <c r="A895" s="29"/>
      <c r="K895" s="32"/>
      <c r="L895" s="32"/>
      <c r="R895" s="32"/>
      <c r="AC895" s="30"/>
      <c r="AH895" s="32"/>
      <c r="AI895" s="32"/>
      <c r="AJ895" s="32"/>
      <c r="AK895" s="32"/>
      <c r="AX895" s="34"/>
      <c r="AY895" s="34"/>
      <c r="AZ895" s="34"/>
      <c r="BA895" s="34"/>
      <c r="BB895" s="34"/>
      <c r="BC895" s="34"/>
      <c r="BD895" s="34"/>
      <c r="BE895" s="34"/>
      <c r="BF895" s="34"/>
      <c r="BG895" s="34"/>
      <c r="BH895" s="34"/>
      <c r="BI895" s="34"/>
      <c r="BJ895" s="34"/>
      <c r="BK895" s="34"/>
      <c r="BL895" s="34"/>
      <c r="BM895" s="34"/>
      <c r="BN895" s="34"/>
      <c r="BO895" s="35"/>
      <c r="BP895" s="35"/>
      <c r="BQ895" s="35"/>
      <c r="BR895" s="36"/>
      <c r="BS895" s="35"/>
      <c r="BT895" s="35"/>
    </row>
    <row r="896" spans="1:72">
      <c r="A896" s="29"/>
      <c r="K896" s="32"/>
      <c r="L896" s="32"/>
      <c r="R896" s="32"/>
      <c r="AC896" s="30"/>
      <c r="AH896" s="32"/>
      <c r="AI896" s="32"/>
      <c r="AJ896" s="32"/>
      <c r="AK896" s="32"/>
      <c r="AX896" s="34"/>
      <c r="AY896" s="34"/>
      <c r="AZ896" s="34"/>
      <c r="BA896" s="34"/>
      <c r="BB896" s="34"/>
      <c r="BC896" s="34"/>
      <c r="BD896" s="34"/>
      <c r="BE896" s="34"/>
      <c r="BF896" s="34"/>
      <c r="BG896" s="34"/>
      <c r="BH896" s="34"/>
      <c r="BI896" s="34"/>
      <c r="BJ896" s="34"/>
      <c r="BK896" s="34"/>
      <c r="BL896" s="34"/>
      <c r="BM896" s="34"/>
      <c r="BN896" s="34"/>
      <c r="BO896" s="35"/>
      <c r="BP896" s="35"/>
      <c r="BQ896" s="35"/>
      <c r="BR896" s="36"/>
      <c r="BS896" s="35"/>
      <c r="BT896" s="35"/>
    </row>
    <row r="897" spans="1:72">
      <c r="A897" s="29"/>
      <c r="K897" s="32"/>
      <c r="L897" s="32"/>
      <c r="R897" s="32"/>
      <c r="AC897" s="30"/>
      <c r="AH897" s="32"/>
      <c r="AI897" s="32"/>
      <c r="AJ897" s="32"/>
      <c r="AK897" s="32"/>
      <c r="AX897" s="34"/>
      <c r="AY897" s="34"/>
      <c r="AZ897" s="34"/>
      <c r="BA897" s="34"/>
      <c r="BB897" s="34"/>
      <c r="BC897" s="34"/>
      <c r="BD897" s="34"/>
      <c r="BE897" s="34"/>
      <c r="BF897" s="34"/>
      <c r="BG897" s="34"/>
      <c r="BH897" s="34"/>
      <c r="BI897" s="34"/>
      <c r="BJ897" s="34"/>
      <c r="BK897" s="34"/>
      <c r="BL897" s="34"/>
      <c r="BM897" s="34"/>
      <c r="BN897" s="34"/>
      <c r="BO897" s="35"/>
      <c r="BP897" s="35"/>
      <c r="BQ897" s="35"/>
      <c r="BR897" s="36"/>
      <c r="BS897" s="35"/>
      <c r="BT897" s="35"/>
    </row>
    <row r="898" spans="1:72">
      <c r="A898" s="29"/>
      <c r="K898" s="32"/>
      <c r="L898" s="32"/>
      <c r="R898" s="32"/>
      <c r="AC898" s="30"/>
      <c r="AH898" s="32"/>
      <c r="AI898" s="32"/>
      <c r="AJ898" s="32"/>
      <c r="AK898" s="32"/>
      <c r="AX898" s="34"/>
      <c r="AY898" s="34"/>
      <c r="AZ898" s="34"/>
      <c r="BA898" s="34"/>
      <c r="BB898" s="34"/>
      <c r="BC898" s="34"/>
      <c r="BD898" s="34"/>
      <c r="BE898" s="34"/>
      <c r="BF898" s="34"/>
      <c r="BG898" s="34"/>
      <c r="BH898" s="34"/>
      <c r="BI898" s="34"/>
      <c r="BJ898" s="34"/>
      <c r="BK898" s="34"/>
      <c r="BL898" s="34"/>
      <c r="BM898" s="34"/>
      <c r="BN898" s="34"/>
      <c r="BO898" s="35"/>
      <c r="BP898" s="35"/>
      <c r="BQ898" s="35"/>
      <c r="BR898" s="36"/>
      <c r="BS898" s="35"/>
      <c r="BT898" s="35"/>
    </row>
    <row r="899" spans="1:72">
      <c r="A899" s="29"/>
      <c r="K899" s="32"/>
      <c r="L899" s="32"/>
      <c r="R899" s="32"/>
      <c r="AC899" s="30"/>
      <c r="AH899" s="32"/>
      <c r="AI899" s="32"/>
      <c r="AJ899" s="32"/>
      <c r="AK899" s="32"/>
      <c r="AX899" s="34"/>
      <c r="AY899" s="34"/>
      <c r="AZ899" s="34"/>
      <c r="BA899" s="34"/>
      <c r="BB899" s="34"/>
      <c r="BC899" s="34"/>
      <c r="BD899" s="34"/>
      <c r="BE899" s="34"/>
      <c r="BF899" s="34"/>
      <c r="BG899" s="34"/>
      <c r="BH899" s="34"/>
      <c r="BI899" s="34"/>
      <c r="BJ899" s="34"/>
      <c r="BK899" s="34"/>
      <c r="BL899" s="34"/>
      <c r="BM899" s="34"/>
      <c r="BN899" s="34"/>
      <c r="BO899" s="35"/>
      <c r="BP899" s="35"/>
      <c r="BQ899" s="35"/>
      <c r="BR899" s="36"/>
      <c r="BS899" s="35"/>
      <c r="BT899" s="35"/>
    </row>
    <row r="900" spans="1:72">
      <c r="A900" s="29"/>
      <c r="K900" s="32"/>
      <c r="L900" s="32"/>
      <c r="R900" s="32"/>
      <c r="AC900" s="30"/>
      <c r="AH900" s="32"/>
      <c r="AI900" s="32"/>
      <c r="AJ900" s="32"/>
      <c r="AK900" s="32"/>
      <c r="AX900" s="34"/>
      <c r="AY900" s="34"/>
      <c r="AZ900" s="34"/>
      <c r="BA900" s="34"/>
      <c r="BB900" s="34"/>
      <c r="BC900" s="34"/>
      <c r="BD900" s="34"/>
      <c r="BE900" s="34"/>
      <c r="BF900" s="34"/>
      <c r="BG900" s="34"/>
      <c r="BH900" s="34"/>
      <c r="BI900" s="34"/>
      <c r="BJ900" s="34"/>
      <c r="BK900" s="34"/>
      <c r="BL900" s="34"/>
      <c r="BM900" s="34"/>
      <c r="BN900" s="34"/>
      <c r="BO900" s="35"/>
      <c r="BP900" s="35"/>
      <c r="BQ900" s="35"/>
      <c r="BR900" s="36"/>
      <c r="BS900" s="35"/>
      <c r="BT900" s="35"/>
    </row>
    <row r="901" spans="1:72">
      <c r="A901" s="29"/>
      <c r="K901" s="32"/>
      <c r="L901" s="32"/>
      <c r="R901" s="32"/>
      <c r="AC901" s="30"/>
      <c r="AH901" s="32"/>
      <c r="AI901" s="32"/>
      <c r="AJ901" s="32"/>
      <c r="AK901" s="32"/>
      <c r="AX901" s="34"/>
      <c r="AY901" s="34"/>
      <c r="AZ901" s="34"/>
      <c r="BA901" s="34"/>
      <c r="BB901" s="34"/>
      <c r="BC901" s="34"/>
      <c r="BD901" s="34"/>
      <c r="BE901" s="34"/>
      <c r="BF901" s="34"/>
      <c r="BG901" s="34"/>
      <c r="BH901" s="34"/>
      <c r="BI901" s="34"/>
      <c r="BJ901" s="34"/>
      <c r="BK901" s="34"/>
      <c r="BL901" s="34"/>
      <c r="BM901" s="34"/>
      <c r="BN901" s="34"/>
      <c r="BO901" s="35"/>
      <c r="BP901" s="35"/>
      <c r="BQ901" s="35"/>
      <c r="BR901" s="36"/>
      <c r="BS901" s="35"/>
      <c r="BT901" s="35"/>
    </row>
    <row r="902" spans="1:72">
      <c r="A902" s="29"/>
      <c r="K902" s="32"/>
      <c r="L902" s="32"/>
      <c r="R902" s="32"/>
      <c r="AC902" s="30"/>
      <c r="AH902" s="32"/>
      <c r="AI902" s="32"/>
      <c r="AJ902" s="32"/>
      <c r="AK902" s="32"/>
      <c r="AX902" s="34"/>
      <c r="AY902" s="34"/>
      <c r="AZ902" s="34"/>
      <c r="BA902" s="34"/>
      <c r="BB902" s="34"/>
      <c r="BC902" s="34"/>
      <c r="BD902" s="34"/>
      <c r="BE902" s="34"/>
      <c r="BF902" s="34"/>
      <c r="BG902" s="34"/>
      <c r="BH902" s="34"/>
      <c r="BI902" s="34"/>
      <c r="BJ902" s="34"/>
      <c r="BK902" s="34"/>
      <c r="BL902" s="34"/>
      <c r="BM902" s="34"/>
      <c r="BN902" s="34"/>
      <c r="BO902" s="35"/>
      <c r="BP902" s="35"/>
      <c r="BQ902" s="35"/>
      <c r="BR902" s="36"/>
      <c r="BS902" s="35"/>
      <c r="BT902" s="35"/>
    </row>
    <row r="903" spans="1:72">
      <c r="A903" s="29"/>
      <c r="K903" s="32"/>
      <c r="L903" s="32"/>
      <c r="R903" s="32"/>
      <c r="AC903" s="30"/>
      <c r="AH903" s="32"/>
      <c r="AI903" s="32"/>
      <c r="AJ903" s="32"/>
      <c r="AK903" s="32"/>
      <c r="AX903" s="34"/>
      <c r="AY903" s="34"/>
      <c r="AZ903" s="34"/>
      <c r="BA903" s="34"/>
      <c r="BB903" s="34"/>
      <c r="BC903" s="34"/>
      <c r="BD903" s="34"/>
      <c r="BE903" s="34"/>
      <c r="BF903" s="34"/>
      <c r="BG903" s="34"/>
      <c r="BH903" s="34"/>
      <c r="BI903" s="34"/>
      <c r="BJ903" s="34"/>
      <c r="BK903" s="34"/>
      <c r="BL903" s="34"/>
      <c r="BM903" s="34"/>
      <c r="BN903" s="34"/>
      <c r="BO903" s="35"/>
      <c r="BP903" s="35"/>
      <c r="BQ903" s="35"/>
      <c r="BR903" s="36"/>
      <c r="BS903" s="35"/>
      <c r="BT903" s="35"/>
    </row>
    <row r="904" spans="1:72">
      <c r="A904" s="29"/>
      <c r="K904" s="32"/>
      <c r="L904" s="32"/>
      <c r="R904" s="32"/>
      <c r="AC904" s="30"/>
      <c r="AH904" s="32"/>
      <c r="AI904" s="32"/>
      <c r="AJ904" s="32"/>
      <c r="AK904" s="32"/>
      <c r="AX904" s="34"/>
      <c r="AY904" s="34"/>
      <c r="AZ904" s="34"/>
      <c r="BA904" s="34"/>
      <c r="BB904" s="34"/>
      <c r="BC904" s="34"/>
      <c r="BD904" s="34"/>
      <c r="BE904" s="34"/>
      <c r="BF904" s="34"/>
      <c r="BG904" s="34"/>
      <c r="BH904" s="34"/>
      <c r="BI904" s="34"/>
      <c r="BJ904" s="34"/>
      <c r="BK904" s="34"/>
      <c r="BL904" s="34"/>
      <c r="BM904" s="34"/>
      <c r="BN904" s="34"/>
      <c r="BO904" s="35"/>
      <c r="BP904" s="35"/>
      <c r="BQ904" s="35"/>
      <c r="BR904" s="36"/>
      <c r="BS904" s="35"/>
      <c r="BT904" s="35"/>
    </row>
    <row r="905" spans="1:72">
      <c r="A905" s="29"/>
      <c r="K905" s="32"/>
      <c r="L905" s="32"/>
      <c r="R905" s="32"/>
      <c r="AC905" s="30"/>
      <c r="AH905" s="32"/>
      <c r="AI905" s="32"/>
      <c r="AJ905" s="32"/>
      <c r="AK905" s="32"/>
      <c r="AX905" s="34"/>
      <c r="AY905" s="34"/>
      <c r="AZ905" s="34"/>
      <c r="BA905" s="34"/>
      <c r="BB905" s="34"/>
      <c r="BC905" s="34"/>
      <c r="BD905" s="34"/>
      <c r="BE905" s="34"/>
      <c r="BF905" s="34"/>
      <c r="BG905" s="34"/>
      <c r="BH905" s="34"/>
      <c r="BI905" s="34"/>
      <c r="BJ905" s="34"/>
      <c r="BK905" s="34"/>
      <c r="BL905" s="34"/>
      <c r="BM905" s="34"/>
      <c r="BN905" s="34"/>
      <c r="BO905" s="35"/>
      <c r="BP905" s="35"/>
      <c r="BQ905" s="35"/>
      <c r="BR905" s="36"/>
      <c r="BS905" s="35"/>
      <c r="BT905" s="35"/>
    </row>
    <row r="906" spans="1:72">
      <c r="A906" s="29"/>
      <c r="K906" s="32"/>
      <c r="L906" s="32"/>
      <c r="R906" s="32"/>
      <c r="AC906" s="30"/>
      <c r="AH906" s="32"/>
      <c r="AI906" s="32"/>
      <c r="AJ906" s="32"/>
      <c r="AK906" s="32"/>
      <c r="AX906" s="34"/>
      <c r="AY906" s="34"/>
      <c r="AZ906" s="34"/>
      <c r="BA906" s="34"/>
      <c r="BB906" s="34"/>
      <c r="BC906" s="34"/>
      <c r="BD906" s="34"/>
      <c r="BE906" s="34"/>
      <c r="BF906" s="34"/>
      <c r="BG906" s="34"/>
      <c r="BH906" s="34"/>
      <c r="BI906" s="34"/>
      <c r="BJ906" s="34"/>
      <c r="BK906" s="34"/>
      <c r="BL906" s="34"/>
      <c r="BM906" s="34"/>
      <c r="BN906" s="34"/>
      <c r="BO906" s="35"/>
      <c r="BP906" s="35"/>
      <c r="BQ906" s="35"/>
      <c r="BR906" s="36"/>
      <c r="BS906" s="35"/>
      <c r="BT906" s="35"/>
    </row>
    <row r="907" spans="1:72">
      <c r="A907" s="29"/>
      <c r="K907" s="32"/>
      <c r="L907" s="32"/>
      <c r="R907" s="32"/>
      <c r="AC907" s="30"/>
      <c r="AH907" s="32"/>
      <c r="AI907" s="32"/>
      <c r="AJ907" s="32"/>
      <c r="AK907" s="32"/>
      <c r="AX907" s="34"/>
      <c r="AY907" s="34"/>
      <c r="AZ907" s="34"/>
      <c r="BA907" s="34"/>
      <c r="BB907" s="34"/>
      <c r="BC907" s="34"/>
      <c r="BD907" s="34"/>
      <c r="BE907" s="34"/>
      <c r="BF907" s="34"/>
      <c r="BG907" s="34"/>
      <c r="BH907" s="34"/>
      <c r="BI907" s="34"/>
      <c r="BJ907" s="34"/>
      <c r="BK907" s="34"/>
      <c r="BL907" s="34"/>
      <c r="BM907" s="34"/>
      <c r="BN907" s="34"/>
      <c r="BO907" s="35"/>
      <c r="BP907" s="35"/>
      <c r="BQ907" s="35"/>
      <c r="BR907" s="36"/>
      <c r="BS907" s="35"/>
      <c r="BT907" s="35"/>
    </row>
    <row r="908" spans="1:72">
      <c r="A908" s="29"/>
      <c r="K908" s="32"/>
      <c r="L908" s="32"/>
      <c r="R908" s="32"/>
      <c r="AC908" s="30"/>
      <c r="AH908" s="32"/>
      <c r="AI908" s="32"/>
      <c r="AJ908" s="32"/>
      <c r="AK908" s="32"/>
      <c r="AX908" s="34"/>
      <c r="AY908" s="34"/>
      <c r="AZ908" s="34"/>
      <c r="BA908" s="34"/>
      <c r="BB908" s="34"/>
      <c r="BC908" s="34"/>
      <c r="BD908" s="34"/>
      <c r="BE908" s="34"/>
      <c r="BF908" s="34"/>
      <c r="BG908" s="34"/>
      <c r="BH908" s="34"/>
      <c r="BI908" s="34"/>
      <c r="BJ908" s="34"/>
      <c r="BK908" s="34"/>
      <c r="BL908" s="34"/>
      <c r="BM908" s="34"/>
      <c r="BN908" s="34"/>
      <c r="BO908" s="35"/>
      <c r="BP908" s="35"/>
      <c r="BQ908" s="35"/>
      <c r="BR908" s="36"/>
      <c r="BS908" s="35"/>
      <c r="BT908" s="35"/>
    </row>
    <row r="909" spans="1:72">
      <c r="A909" s="29"/>
      <c r="K909" s="32"/>
      <c r="L909" s="32"/>
      <c r="R909" s="32"/>
      <c r="AC909" s="30"/>
      <c r="AH909" s="32"/>
      <c r="AI909" s="32"/>
      <c r="AJ909" s="32"/>
      <c r="AK909" s="32"/>
      <c r="AX909" s="34"/>
      <c r="AY909" s="34"/>
      <c r="AZ909" s="34"/>
      <c r="BA909" s="34"/>
      <c r="BB909" s="34"/>
      <c r="BC909" s="34"/>
      <c r="BD909" s="34"/>
      <c r="BE909" s="34"/>
      <c r="BF909" s="34"/>
      <c r="BG909" s="34"/>
      <c r="BH909" s="34"/>
      <c r="BI909" s="34"/>
      <c r="BJ909" s="34"/>
      <c r="BK909" s="34"/>
      <c r="BL909" s="34"/>
      <c r="BM909" s="34"/>
      <c r="BN909" s="34"/>
      <c r="BO909" s="35"/>
      <c r="BP909" s="35"/>
      <c r="BQ909" s="35"/>
      <c r="BR909" s="36"/>
      <c r="BS909" s="35"/>
      <c r="BT909" s="35"/>
    </row>
    <row r="910" spans="1:72">
      <c r="A910" s="29"/>
      <c r="K910" s="32"/>
      <c r="L910" s="32"/>
      <c r="R910" s="32"/>
      <c r="AC910" s="30"/>
      <c r="AH910" s="32"/>
      <c r="AI910" s="32"/>
      <c r="AJ910" s="32"/>
      <c r="AK910" s="32"/>
      <c r="AX910" s="34"/>
      <c r="AY910" s="34"/>
      <c r="AZ910" s="34"/>
      <c r="BA910" s="34"/>
      <c r="BB910" s="34"/>
      <c r="BC910" s="34"/>
      <c r="BD910" s="34"/>
      <c r="BE910" s="34"/>
      <c r="BF910" s="34"/>
      <c r="BG910" s="34"/>
      <c r="BH910" s="34"/>
      <c r="BI910" s="34"/>
      <c r="BJ910" s="34"/>
      <c r="BK910" s="34"/>
      <c r="BL910" s="34"/>
      <c r="BM910" s="34"/>
      <c r="BN910" s="34"/>
      <c r="BO910" s="35"/>
      <c r="BP910" s="35"/>
      <c r="BQ910" s="35"/>
      <c r="BR910" s="36"/>
      <c r="BS910" s="35"/>
      <c r="BT910" s="35"/>
    </row>
    <row r="911" spans="1:72">
      <c r="A911" s="29"/>
      <c r="K911" s="32"/>
      <c r="L911" s="32"/>
      <c r="R911" s="32"/>
      <c r="AC911" s="30"/>
      <c r="AH911" s="32"/>
      <c r="AI911" s="32"/>
      <c r="AJ911" s="32"/>
      <c r="AK911" s="32"/>
      <c r="AX911" s="34"/>
      <c r="AY911" s="34"/>
      <c r="AZ911" s="34"/>
      <c r="BA911" s="34"/>
      <c r="BB911" s="34"/>
      <c r="BC911" s="34"/>
      <c r="BD911" s="34"/>
      <c r="BE911" s="34"/>
      <c r="BF911" s="34"/>
      <c r="BG911" s="34"/>
      <c r="BH911" s="34"/>
      <c r="BI911" s="34"/>
      <c r="BJ911" s="34"/>
      <c r="BK911" s="34"/>
      <c r="BL911" s="34"/>
      <c r="BM911" s="34"/>
      <c r="BN911" s="34"/>
      <c r="BO911" s="35"/>
      <c r="BP911" s="35"/>
      <c r="BQ911" s="35"/>
      <c r="BR911" s="36"/>
      <c r="BS911" s="35"/>
      <c r="BT911" s="35"/>
    </row>
    <row r="912" spans="1:72">
      <c r="A912" s="29"/>
      <c r="K912" s="32"/>
      <c r="L912" s="32"/>
      <c r="R912" s="32"/>
      <c r="AC912" s="30"/>
      <c r="AH912" s="32"/>
      <c r="AI912" s="32"/>
      <c r="AJ912" s="32"/>
      <c r="AK912" s="32"/>
      <c r="AX912" s="34"/>
      <c r="AY912" s="34"/>
      <c r="AZ912" s="34"/>
      <c r="BA912" s="34"/>
      <c r="BB912" s="34"/>
      <c r="BC912" s="34"/>
      <c r="BD912" s="34"/>
      <c r="BE912" s="34"/>
      <c r="BF912" s="34"/>
      <c r="BG912" s="34"/>
      <c r="BH912" s="34"/>
      <c r="BI912" s="34"/>
      <c r="BJ912" s="34"/>
      <c r="BK912" s="34"/>
      <c r="BL912" s="34"/>
      <c r="BM912" s="34"/>
      <c r="BN912" s="34"/>
      <c r="BO912" s="35"/>
      <c r="BP912" s="35"/>
      <c r="BQ912" s="35"/>
      <c r="BR912" s="36"/>
      <c r="BS912" s="35"/>
      <c r="BT912" s="35"/>
    </row>
    <row r="913" spans="1:72">
      <c r="A913" s="29"/>
      <c r="K913" s="32"/>
      <c r="L913" s="32"/>
      <c r="R913" s="32"/>
      <c r="AC913" s="30"/>
      <c r="AH913" s="32"/>
      <c r="AI913" s="32"/>
      <c r="AJ913" s="32"/>
      <c r="AK913" s="32"/>
      <c r="AX913" s="34"/>
      <c r="AY913" s="34"/>
      <c r="AZ913" s="34"/>
      <c r="BA913" s="34"/>
      <c r="BB913" s="34"/>
      <c r="BC913" s="34"/>
      <c r="BD913" s="34"/>
      <c r="BE913" s="34"/>
      <c r="BF913" s="34"/>
      <c r="BG913" s="34"/>
      <c r="BH913" s="34"/>
      <c r="BI913" s="34"/>
      <c r="BJ913" s="34"/>
      <c r="BK913" s="34"/>
      <c r="BL913" s="34"/>
      <c r="BM913" s="34"/>
      <c r="BN913" s="34"/>
      <c r="BO913" s="35"/>
      <c r="BP913" s="35"/>
      <c r="BQ913" s="35"/>
      <c r="BR913" s="36"/>
      <c r="BS913" s="35"/>
      <c r="BT913" s="35"/>
    </row>
    <row r="914" spans="1:72">
      <c r="A914" s="29"/>
      <c r="K914" s="32"/>
      <c r="L914" s="32"/>
      <c r="R914" s="32"/>
      <c r="AC914" s="30"/>
      <c r="AH914" s="32"/>
      <c r="AI914" s="32"/>
      <c r="AJ914" s="32"/>
      <c r="AK914" s="32"/>
      <c r="AX914" s="34"/>
      <c r="AY914" s="34"/>
      <c r="AZ914" s="34"/>
      <c r="BA914" s="34"/>
      <c r="BB914" s="34"/>
      <c r="BC914" s="34"/>
      <c r="BD914" s="34"/>
      <c r="BE914" s="34"/>
      <c r="BF914" s="34"/>
      <c r="BG914" s="34"/>
      <c r="BH914" s="34"/>
      <c r="BI914" s="34"/>
      <c r="BJ914" s="34"/>
      <c r="BK914" s="34"/>
      <c r="BL914" s="34"/>
      <c r="BM914" s="34"/>
      <c r="BN914" s="34"/>
      <c r="BO914" s="35"/>
      <c r="BP914" s="35"/>
      <c r="BQ914" s="35"/>
      <c r="BR914" s="36"/>
      <c r="BS914" s="35"/>
      <c r="BT914" s="35"/>
    </row>
    <row r="915" spans="1:72">
      <c r="A915" s="29"/>
      <c r="K915" s="32"/>
      <c r="L915" s="32"/>
      <c r="R915" s="32"/>
      <c r="AC915" s="30"/>
      <c r="AH915" s="32"/>
      <c r="AI915" s="32"/>
      <c r="AJ915" s="32"/>
      <c r="AK915" s="32"/>
      <c r="AX915" s="34"/>
      <c r="AY915" s="34"/>
      <c r="AZ915" s="34"/>
      <c r="BA915" s="34"/>
      <c r="BB915" s="34"/>
      <c r="BC915" s="34"/>
      <c r="BD915" s="34"/>
      <c r="BE915" s="34"/>
      <c r="BF915" s="34"/>
      <c r="BG915" s="34"/>
      <c r="BH915" s="34"/>
      <c r="BI915" s="34"/>
      <c r="BJ915" s="34"/>
      <c r="BK915" s="34"/>
      <c r="BL915" s="34"/>
      <c r="BM915" s="34"/>
      <c r="BN915" s="34"/>
      <c r="BO915" s="35"/>
      <c r="BP915" s="35"/>
      <c r="BQ915" s="35"/>
      <c r="BR915" s="36"/>
      <c r="BS915" s="35"/>
      <c r="BT915" s="35"/>
    </row>
    <row r="916" spans="1:72">
      <c r="A916" s="29"/>
      <c r="K916" s="32"/>
      <c r="L916" s="32"/>
      <c r="R916" s="32"/>
      <c r="AC916" s="30"/>
      <c r="AH916" s="32"/>
      <c r="AI916" s="32"/>
      <c r="AJ916" s="32"/>
      <c r="AK916" s="32"/>
      <c r="AX916" s="34"/>
      <c r="AY916" s="34"/>
      <c r="AZ916" s="34"/>
      <c r="BA916" s="34"/>
      <c r="BB916" s="34"/>
      <c r="BC916" s="34"/>
      <c r="BD916" s="34"/>
      <c r="BE916" s="34"/>
      <c r="BF916" s="34"/>
      <c r="BG916" s="34"/>
      <c r="BH916" s="34"/>
      <c r="BI916" s="34"/>
      <c r="BJ916" s="34"/>
      <c r="BK916" s="34"/>
      <c r="BL916" s="34"/>
      <c r="BM916" s="34"/>
      <c r="BN916" s="34"/>
      <c r="BO916" s="35"/>
      <c r="BP916" s="35"/>
      <c r="BQ916" s="35"/>
      <c r="BR916" s="36"/>
      <c r="BS916" s="35"/>
      <c r="BT916" s="35"/>
    </row>
    <row r="917" spans="1:72">
      <c r="A917" s="29"/>
      <c r="K917" s="32"/>
      <c r="L917" s="32"/>
      <c r="R917" s="32"/>
      <c r="AC917" s="30"/>
      <c r="AH917" s="32"/>
      <c r="AI917" s="32"/>
      <c r="AJ917" s="32"/>
      <c r="AK917" s="32"/>
      <c r="AX917" s="34"/>
      <c r="AY917" s="34"/>
      <c r="AZ917" s="34"/>
      <c r="BA917" s="34"/>
      <c r="BB917" s="34"/>
      <c r="BC917" s="34"/>
      <c r="BD917" s="34"/>
      <c r="BE917" s="34"/>
      <c r="BF917" s="34"/>
      <c r="BG917" s="34"/>
      <c r="BH917" s="34"/>
      <c r="BI917" s="34"/>
      <c r="BJ917" s="34"/>
      <c r="BK917" s="34"/>
      <c r="BL917" s="34"/>
      <c r="BM917" s="34"/>
      <c r="BN917" s="34"/>
      <c r="BO917" s="35"/>
      <c r="BP917" s="35"/>
      <c r="BQ917" s="35"/>
      <c r="BR917" s="36"/>
      <c r="BS917" s="35"/>
      <c r="BT917" s="35"/>
    </row>
    <row r="918" spans="1:72">
      <c r="A918" s="29"/>
      <c r="K918" s="32"/>
      <c r="L918" s="32"/>
      <c r="R918" s="32"/>
      <c r="AC918" s="30"/>
      <c r="AH918" s="32"/>
      <c r="AI918" s="32"/>
      <c r="AJ918" s="32"/>
      <c r="AK918" s="32"/>
      <c r="AX918" s="34"/>
      <c r="AY918" s="34"/>
      <c r="AZ918" s="34"/>
      <c r="BA918" s="34"/>
      <c r="BB918" s="34"/>
      <c r="BC918" s="34"/>
      <c r="BD918" s="34"/>
      <c r="BE918" s="34"/>
      <c r="BF918" s="34"/>
      <c r="BG918" s="34"/>
      <c r="BH918" s="34"/>
      <c r="BI918" s="34"/>
      <c r="BJ918" s="34"/>
      <c r="BK918" s="34"/>
      <c r="BL918" s="34"/>
      <c r="BM918" s="34"/>
      <c r="BN918" s="34"/>
      <c r="BO918" s="35"/>
      <c r="BP918" s="35"/>
      <c r="BQ918" s="35"/>
      <c r="BR918" s="36"/>
      <c r="BS918" s="35"/>
      <c r="BT918" s="35"/>
    </row>
    <row r="919" spans="1:72">
      <c r="A919" s="29"/>
      <c r="K919" s="32"/>
      <c r="L919" s="32"/>
      <c r="R919" s="32"/>
      <c r="AC919" s="30"/>
      <c r="AH919" s="32"/>
      <c r="AI919" s="32"/>
      <c r="AJ919" s="32"/>
      <c r="AK919" s="32"/>
      <c r="AX919" s="34"/>
      <c r="AY919" s="34"/>
      <c r="AZ919" s="34"/>
      <c r="BA919" s="34"/>
      <c r="BB919" s="34"/>
      <c r="BC919" s="34"/>
      <c r="BD919" s="34"/>
      <c r="BE919" s="34"/>
      <c r="BF919" s="34"/>
      <c r="BG919" s="34"/>
      <c r="BH919" s="34"/>
      <c r="BI919" s="34"/>
      <c r="BJ919" s="34"/>
      <c r="BK919" s="34"/>
      <c r="BL919" s="34"/>
      <c r="BM919" s="34"/>
      <c r="BN919" s="34"/>
      <c r="BO919" s="35"/>
      <c r="BP919" s="35"/>
      <c r="BQ919" s="35"/>
      <c r="BR919" s="36"/>
      <c r="BS919" s="35"/>
      <c r="BT919" s="35"/>
    </row>
    <row r="920" spans="1:72">
      <c r="A920" s="29"/>
      <c r="K920" s="32"/>
      <c r="L920" s="32"/>
      <c r="R920" s="32"/>
      <c r="AC920" s="30"/>
      <c r="AH920" s="32"/>
      <c r="AI920" s="32"/>
      <c r="AJ920" s="32"/>
      <c r="AK920" s="32"/>
      <c r="AX920" s="34"/>
      <c r="AY920" s="34"/>
      <c r="AZ920" s="34"/>
      <c r="BA920" s="34"/>
      <c r="BB920" s="34"/>
      <c r="BC920" s="34"/>
      <c r="BD920" s="34"/>
      <c r="BE920" s="34"/>
      <c r="BF920" s="34"/>
      <c r="BG920" s="34"/>
      <c r="BH920" s="34"/>
      <c r="BI920" s="34"/>
      <c r="BJ920" s="34"/>
      <c r="BK920" s="34"/>
      <c r="BL920" s="34"/>
      <c r="BM920" s="34"/>
      <c r="BN920" s="34"/>
      <c r="BO920" s="35"/>
      <c r="BP920" s="35"/>
      <c r="BQ920" s="35"/>
      <c r="BR920" s="36"/>
      <c r="BS920" s="35"/>
      <c r="BT920" s="35"/>
    </row>
    <row r="921" spans="1:72">
      <c r="A921" s="29"/>
      <c r="K921" s="32"/>
      <c r="L921" s="32"/>
      <c r="R921" s="32"/>
      <c r="AC921" s="30"/>
      <c r="AH921" s="32"/>
      <c r="AI921" s="32"/>
      <c r="AJ921" s="32"/>
      <c r="AK921" s="32"/>
      <c r="AX921" s="34"/>
      <c r="AY921" s="34"/>
      <c r="AZ921" s="34"/>
      <c r="BA921" s="34"/>
      <c r="BB921" s="34"/>
      <c r="BC921" s="34"/>
      <c r="BD921" s="34"/>
      <c r="BE921" s="34"/>
      <c r="BF921" s="34"/>
      <c r="BG921" s="34"/>
      <c r="BH921" s="34"/>
      <c r="BI921" s="34"/>
      <c r="BJ921" s="34"/>
      <c r="BK921" s="34"/>
      <c r="BL921" s="34"/>
      <c r="BM921" s="34"/>
      <c r="BN921" s="34"/>
      <c r="BO921" s="35"/>
      <c r="BP921" s="35"/>
      <c r="BQ921" s="35"/>
      <c r="BR921" s="36"/>
      <c r="BS921" s="35"/>
      <c r="BT921" s="35"/>
    </row>
    <row r="922" spans="1:72">
      <c r="A922" s="29"/>
      <c r="K922" s="32"/>
      <c r="L922" s="32"/>
      <c r="R922" s="32"/>
      <c r="AC922" s="30"/>
      <c r="AH922" s="32"/>
      <c r="AI922" s="32"/>
      <c r="AJ922" s="32"/>
      <c r="AK922" s="32"/>
      <c r="AX922" s="34"/>
      <c r="AY922" s="34"/>
      <c r="AZ922" s="34"/>
      <c r="BA922" s="34"/>
      <c r="BB922" s="34"/>
      <c r="BC922" s="34"/>
      <c r="BD922" s="34"/>
      <c r="BE922" s="34"/>
      <c r="BF922" s="34"/>
      <c r="BG922" s="34"/>
      <c r="BH922" s="34"/>
      <c r="BI922" s="34"/>
      <c r="BJ922" s="34"/>
      <c r="BK922" s="34"/>
      <c r="BL922" s="34"/>
      <c r="BM922" s="34"/>
      <c r="BN922" s="34"/>
      <c r="BO922" s="35"/>
      <c r="BP922" s="35"/>
      <c r="BQ922" s="35"/>
      <c r="BR922" s="36"/>
      <c r="BS922" s="35"/>
      <c r="BT922" s="35"/>
    </row>
    <row r="923" spans="1:72">
      <c r="A923" s="29"/>
      <c r="K923" s="32"/>
      <c r="L923" s="32"/>
      <c r="R923" s="32"/>
      <c r="AC923" s="30"/>
      <c r="AH923" s="32"/>
      <c r="AI923" s="32"/>
      <c r="AJ923" s="32"/>
      <c r="AK923" s="32"/>
      <c r="AX923" s="34"/>
      <c r="AY923" s="34"/>
      <c r="AZ923" s="34"/>
      <c r="BA923" s="34"/>
      <c r="BB923" s="34"/>
      <c r="BC923" s="34"/>
      <c r="BD923" s="34"/>
      <c r="BE923" s="34"/>
      <c r="BF923" s="34"/>
      <c r="BG923" s="34"/>
      <c r="BH923" s="34"/>
      <c r="BI923" s="34"/>
      <c r="BJ923" s="34"/>
      <c r="BK923" s="34"/>
      <c r="BL923" s="34"/>
      <c r="BM923" s="34"/>
      <c r="BN923" s="34"/>
      <c r="BO923" s="35"/>
      <c r="BP923" s="35"/>
      <c r="BQ923" s="35"/>
      <c r="BR923" s="36"/>
      <c r="BS923" s="35"/>
      <c r="BT923" s="35"/>
    </row>
    <row r="924" spans="1:72">
      <c r="A924" s="29"/>
      <c r="K924" s="32"/>
      <c r="L924" s="32"/>
      <c r="R924" s="32"/>
      <c r="AC924" s="30"/>
      <c r="AH924" s="32"/>
      <c r="AI924" s="32"/>
      <c r="AJ924" s="32"/>
      <c r="AK924" s="32"/>
      <c r="AX924" s="34"/>
      <c r="AY924" s="34"/>
      <c r="AZ924" s="34"/>
      <c r="BA924" s="34"/>
      <c r="BB924" s="34"/>
      <c r="BC924" s="34"/>
      <c r="BD924" s="34"/>
      <c r="BE924" s="34"/>
      <c r="BF924" s="34"/>
      <c r="BG924" s="34"/>
      <c r="BH924" s="34"/>
      <c r="BI924" s="34"/>
      <c r="BJ924" s="34"/>
      <c r="BK924" s="34"/>
      <c r="BL924" s="34"/>
      <c r="BM924" s="34"/>
      <c r="BN924" s="34"/>
      <c r="BO924" s="35"/>
      <c r="BP924" s="35"/>
      <c r="BQ924" s="35"/>
      <c r="BR924" s="36"/>
      <c r="BS924" s="35"/>
      <c r="BT924" s="35"/>
    </row>
    <row r="925" spans="1:72">
      <c r="A925" s="29"/>
      <c r="K925" s="32"/>
      <c r="L925" s="32"/>
      <c r="R925" s="32"/>
      <c r="AC925" s="30"/>
      <c r="AH925" s="32"/>
      <c r="AI925" s="32"/>
      <c r="AJ925" s="32"/>
      <c r="AK925" s="32"/>
      <c r="AX925" s="34"/>
      <c r="AY925" s="34"/>
      <c r="AZ925" s="34"/>
      <c r="BA925" s="34"/>
      <c r="BB925" s="34"/>
      <c r="BC925" s="34"/>
      <c r="BD925" s="34"/>
      <c r="BE925" s="34"/>
      <c r="BF925" s="34"/>
      <c r="BG925" s="34"/>
      <c r="BH925" s="34"/>
      <c r="BI925" s="34"/>
      <c r="BJ925" s="34"/>
      <c r="BK925" s="34"/>
      <c r="BL925" s="34"/>
      <c r="BM925" s="34"/>
      <c r="BN925" s="34"/>
      <c r="BO925" s="35"/>
      <c r="BP925" s="35"/>
      <c r="BQ925" s="35"/>
      <c r="BR925" s="36"/>
      <c r="BS925" s="35"/>
      <c r="BT925" s="35"/>
    </row>
    <row r="926" spans="1:72">
      <c r="A926" s="29"/>
      <c r="K926" s="32"/>
      <c r="L926" s="32"/>
      <c r="R926" s="32"/>
      <c r="AC926" s="30"/>
      <c r="AH926" s="32"/>
      <c r="AI926" s="32"/>
      <c r="AJ926" s="32"/>
      <c r="AK926" s="32"/>
      <c r="AX926" s="34"/>
      <c r="AY926" s="34"/>
      <c r="AZ926" s="34"/>
      <c r="BA926" s="34"/>
      <c r="BB926" s="34"/>
      <c r="BC926" s="34"/>
      <c r="BD926" s="34"/>
      <c r="BE926" s="34"/>
      <c r="BF926" s="34"/>
      <c r="BG926" s="34"/>
      <c r="BH926" s="34"/>
      <c r="BI926" s="34"/>
      <c r="BJ926" s="34"/>
      <c r="BK926" s="34"/>
      <c r="BL926" s="34"/>
      <c r="BM926" s="34"/>
      <c r="BN926" s="34"/>
      <c r="BO926" s="35"/>
      <c r="BP926" s="35"/>
      <c r="BQ926" s="35"/>
      <c r="BR926" s="36"/>
      <c r="BS926" s="35"/>
      <c r="BT926" s="35"/>
    </row>
    <row r="927" spans="1:72">
      <c r="A927" s="29"/>
      <c r="K927" s="32"/>
      <c r="L927" s="32"/>
      <c r="R927" s="32"/>
      <c r="AC927" s="30"/>
      <c r="AH927" s="32"/>
      <c r="AI927" s="32"/>
      <c r="AJ927" s="32"/>
      <c r="AK927" s="32"/>
      <c r="AX927" s="34"/>
      <c r="AY927" s="34"/>
      <c r="AZ927" s="34"/>
      <c r="BA927" s="34"/>
      <c r="BB927" s="34"/>
      <c r="BC927" s="34"/>
      <c r="BD927" s="34"/>
      <c r="BE927" s="34"/>
      <c r="BF927" s="34"/>
      <c r="BG927" s="34"/>
      <c r="BH927" s="34"/>
      <c r="BI927" s="34"/>
      <c r="BJ927" s="34"/>
      <c r="BK927" s="34"/>
      <c r="BL927" s="34"/>
      <c r="BM927" s="34"/>
      <c r="BN927" s="34"/>
      <c r="BO927" s="35"/>
      <c r="BP927" s="35"/>
      <c r="BQ927" s="35"/>
      <c r="BR927" s="36"/>
      <c r="BS927" s="35"/>
      <c r="BT927" s="35"/>
    </row>
    <row r="928" spans="1:72">
      <c r="A928" s="29"/>
      <c r="K928" s="32"/>
      <c r="L928" s="32"/>
      <c r="R928" s="32"/>
      <c r="AC928" s="30"/>
      <c r="AH928" s="32"/>
      <c r="AI928" s="32"/>
      <c r="AJ928" s="32"/>
      <c r="AK928" s="32"/>
      <c r="AX928" s="34"/>
      <c r="AY928" s="34"/>
      <c r="AZ928" s="34"/>
      <c r="BA928" s="34"/>
      <c r="BB928" s="34"/>
      <c r="BC928" s="34"/>
      <c r="BD928" s="34"/>
      <c r="BE928" s="34"/>
      <c r="BF928" s="34"/>
      <c r="BG928" s="34"/>
      <c r="BH928" s="34"/>
      <c r="BI928" s="34"/>
      <c r="BJ928" s="34"/>
      <c r="BK928" s="34"/>
      <c r="BL928" s="34"/>
      <c r="BM928" s="34"/>
      <c r="BN928" s="34"/>
      <c r="BO928" s="35"/>
      <c r="BP928" s="35"/>
      <c r="BQ928" s="35"/>
      <c r="BR928" s="36"/>
      <c r="BS928" s="35"/>
      <c r="BT928" s="35"/>
    </row>
    <row r="929" spans="1:72">
      <c r="A929" s="29"/>
      <c r="K929" s="32"/>
      <c r="L929" s="32"/>
      <c r="R929" s="32"/>
      <c r="AC929" s="30"/>
      <c r="AH929" s="32"/>
      <c r="AI929" s="32"/>
      <c r="AJ929" s="32"/>
      <c r="AK929" s="32"/>
      <c r="AX929" s="34"/>
      <c r="AY929" s="34"/>
      <c r="AZ929" s="34"/>
      <c r="BA929" s="34"/>
      <c r="BB929" s="34"/>
      <c r="BC929" s="34"/>
      <c r="BD929" s="34"/>
      <c r="BE929" s="34"/>
      <c r="BF929" s="34"/>
      <c r="BG929" s="34"/>
      <c r="BH929" s="34"/>
      <c r="BI929" s="34"/>
      <c r="BJ929" s="34"/>
      <c r="BK929" s="34"/>
      <c r="BL929" s="34"/>
      <c r="BM929" s="34"/>
      <c r="BN929" s="34"/>
      <c r="BO929" s="35"/>
      <c r="BP929" s="35"/>
      <c r="BQ929" s="35"/>
      <c r="BR929" s="36"/>
      <c r="BS929" s="35"/>
      <c r="BT929" s="35"/>
    </row>
    <row r="930" spans="1:72">
      <c r="A930" s="29"/>
      <c r="K930" s="32"/>
      <c r="L930" s="32"/>
      <c r="R930" s="32"/>
      <c r="AC930" s="30"/>
      <c r="AH930" s="32"/>
      <c r="AI930" s="32"/>
      <c r="AJ930" s="32"/>
      <c r="AK930" s="32"/>
      <c r="AX930" s="34"/>
      <c r="AY930" s="34"/>
      <c r="AZ930" s="34"/>
      <c r="BA930" s="34"/>
      <c r="BB930" s="34"/>
      <c r="BC930" s="34"/>
      <c r="BD930" s="34"/>
      <c r="BE930" s="34"/>
      <c r="BF930" s="34"/>
      <c r="BG930" s="34"/>
      <c r="BH930" s="34"/>
      <c r="BI930" s="34"/>
      <c r="BJ930" s="34"/>
      <c r="BK930" s="34"/>
      <c r="BL930" s="34"/>
      <c r="BM930" s="34"/>
      <c r="BN930" s="34"/>
      <c r="BO930" s="35"/>
      <c r="BP930" s="35"/>
      <c r="BQ930" s="35"/>
      <c r="BR930" s="36"/>
      <c r="BS930" s="35"/>
      <c r="BT930" s="35"/>
    </row>
    <row r="931" spans="1:72">
      <c r="A931" s="29"/>
      <c r="K931" s="32"/>
      <c r="L931" s="32"/>
      <c r="R931" s="32"/>
      <c r="AC931" s="30"/>
      <c r="AH931" s="32"/>
      <c r="AI931" s="32"/>
      <c r="AJ931" s="32"/>
      <c r="AK931" s="32"/>
      <c r="AX931" s="34"/>
      <c r="AY931" s="34"/>
      <c r="AZ931" s="34"/>
      <c r="BA931" s="34"/>
      <c r="BB931" s="34"/>
      <c r="BC931" s="34"/>
      <c r="BD931" s="34"/>
      <c r="BE931" s="34"/>
      <c r="BF931" s="34"/>
      <c r="BG931" s="34"/>
      <c r="BH931" s="34"/>
      <c r="BI931" s="34"/>
      <c r="BJ931" s="34"/>
      <c r="BK931" s="34"/>
      <c r="BL931" s="34"/>
      <c r="BM931" s="34"/>
      <c r="BN931" s="34"/>
      <c r="BO931" s="35"/>
      <c r="BP931" s="35"/>
      <c r="BQ931" s="35"/>
      <c r="BR931" s="36"/>
      <c r="BS931" s="35"/>
      <c r="BT931" s="35"/>
    </row>
    <row r="932" spans="1:72">
      <c r="A932" s="29"/>
      <c r="K932" s="32"/>
      <c r="L932" s="32"/>
      <c r="R932" s="32"/>
      <c r="AC932" s="30"/>
      <c r="AH932" s="32"/>
      <c r="AI932" s="32"/>
      <c r="AJ932" s="32"/>
      <c r="AK932" s="32"/>
      <c r="AX932" s="34"/>
      <c r="AY932" s="34"/>
      <c r="AZ932" s="34"/>
      <c r="BA932" s="34"/>
      <c r="BB932" s="34"/>
      <c r="BC932" s="34"/>
      <c r="BD932" s="34"/>
      <c r="BE932" s="34"/>
      <c r="BF932" s="34"/>
      <c r="BG932" s="34"/>
      <c r="BH932" s="34"/>
      <c r="BI932" s="34"/>
      <c r="BJ932" s="34"/>
      <c r="BK932" s="34"/>
      <c r="BL932" s="34"/>
      <c r="BM932" s="34"/>
      <c r="BN932" s="34"/>
      <c r="BO932" s="35"/>
      <c r="BP932" s="35"/>
      <c r="BQ932" s="35"/>
      <c r="BR932" s="36"/>
      <c r="BS932" s="35"/>
      <c r="BT932" s="35"/>
    </row>
    <row r="933" spans="1:72">
      <c r="A933" s="29"/>
      <c r="K933" s="32"/>
      <c r="L933" s="32"/>
      <c r="R933" s="32"/>
      <c r="AC933" s="30"/>
      <c r="AH933" s="32"/>
      <c r="AI933" s="32"/>
      <c r="AJ933" s="32"/>
      <c r="AK933" s="32"/>
      <c r="AX933" s="34"/>
      <c r="AY933" s="34"/>
      <c r="AZ933" s="34"/>
      <c r="BA933" s="34"/>
      <c r="BB933" s="34"/>
      <c r="BC933" s="34"/>
      <c r="BD933" s="34"/>
      <c r="BE933" s="34"/>
      <c r="BF933" s="34"/>
      <c r="BG933" s="34"/>
      <c r="BH933" s="34"/>
      <c r="BI933" s="34"/>
      <c r="BJ933" s="34"/>
      <c r="BK933" s="34"/>
      <c r="BL933" s="34"/>
      <c r="BM933" s="34"/>
      <c r="BN933" s="34"/>
      <c r="BO933" s="35"/>
      <c r="BP933" s="35"/>
      <c r="BQ933" s="35"/>
      <c r="BR933" s="36"/>
      <c r="BS933" s="35"/>
      <c r="BT933" s="35"/>
    </row>
    <row r="934" spans="1:72">
      <c r="A934" s="29"/>
      <c r="K934" s="32"/>
      <c r="L934" s="32"/>
      <c r="R934" s="32"/>
      <c r="AC934" s="30"/>
      <c r="AH934" s="32"/>
      <c r="AI934" s="32"/>
      <c r="AJ934" s="32"/>
      <c r="AK934" s="32"/>
      <c r="AX934" s="34"/>
      <c r="AY934" s="34"/>
      <c r="AZ934" s="34"/>
      <c r="BA934" s="34"/>
      <c r="BB934" s="34"/>
      <c r="BC934" s="34"/>
      <c r="BD934" s="34"/>
      <c r="BE934" s="34"/>
      <c r="BF934" s="34"/>
      <c r="BG934" s="34"/>
      <c r="BH934" s="34"/>
      <c r="BI934" s="34"/>
      <c r="BJ934" s="34"/>
      <c r="BK934" s="34"/>
      <c r="BL934" s="34"/>
      <c r="BM934" s="34"/>
      <c r="BN934" s="34"/>
      <c r="BO934" s="35"/>
      <c r="BP934" s="35"/>
      <c r="BQ934" s="35"/>
      <c r="BR934" s="36"/>
      <c r="BS934" s="35"/>
      <c r="BT934" s="35"/>
    </row>
    <row r="935" spans="1:72">
      <c r="A935" s="29"/>
      <c r="K935" s="32"/>
      <c r="L935" s="32"/>
      <c r="R935" s="32"/>
      <c r="AC935" s="30"/>
      <c r="AH935" s="32"/>
      <c r="AI935" s="32"/>
      <c r="AJ935" s="32"/>
      <c r="AK935" s="32"/>
      <c r="AX935" s="34"/>
      <c r="AY935" s="34"/>
      <c r="AZ935" s="34"/>
      <c r="BA935" s="34"/>
      <c r="BB935" s="34"/>
      <c r="BC935" s="34"/>
      <c r="BD935" s="34"/>
      <c r="BE935" s="34"/>
      <c r="BF935" s="34"/>
      <c r="BG935" s="34"/>
      <c r="BH935" s="34"/>
      <c r="BI935" s="34"/>
      <c r="BJ935" s="34"/>
      <c r="BK935" s="34"/>
      <c r="BL935" s="34"/>
      <c r="BM935" s="34"/>
      <c r="BN935" s="34"/>
      <c r="BO935" s="35"/>
      <c r="BP935" s="35"/>
      <c r="BQ935" s="35"/>
      <c r="BR935" s="36"/>
      <c r="BS935" s="35"/>
      <c r="BT935" s="35"/>
    </row>
    <row r="936" spans="1:72">
      <c r="A936" s="29"/>
      <c r="K936" s="32"/>
      <c r="L936" s="32"/>
      <c r="R936" s="32"/>
      <c r="AC936" s="30"/>
      <c r="AH936" s="32"/>
      <c r="AI936" s="32"/>
      <c r="AJ936" s="32"/>
      <c r="AK936" s="32"/>
      <c r="AX936" s="34"/>
      <c r="AY936" s="34"/>
      <c r="AZ936" s="34"/>
      <c r="BA936" s="34"/>
      <c r="BB936" s="34"/>
      <c r="BC936" s="34"/>
      <c r="BD936" s="34"/>
      <c r="BE936" s="34"/>
      <c r="BF936" s="34"/>
      <c r="BG936" s="34"/>
      <c r="BH936" s="34"/>
      <c r="BI936" s="34"/>
      <c r="BJ936" s="34"/>
      <c r="BK936" s="34"/>
      <c r="BL936" s="34"/>
      <c r="BM936" s="34"/>
      <c r="BN936" s="34"/>
      <c r="BO936" s="35"/>
      <c r="BP936" s="35"/>
      <c r="BQ936" s="35"/>
      <c r="BR936" s="36"/>
      <c r="BS936" s="35"/>
      <c r="BT936" s="35"/>
    </row>
    <row r="937" spans="1:72">
      <c r="A937" s="29"/>
      <c r="K937" s="32"/>
      <c r="L937" s="32"/>
      <c r="R937" s="32"/>
      <c r="AC937" s="30"/>
      <c r="AH937" s="32"/>
      <c r="AI937" s="32"/>
      <c r="AJ937" s="32"/>
      <c r="AK937" s="32"/>
      <c r="AX937" s="34"/>
      <c r="AY937" s="34"/>
      <c r="AZ937" s="34"/>
      <c r="BA937" s="34"/>
      <c r="BB937" s="34"/>
      <c r="BC937" s="34"/>
      <c r="BD937" s="34"/>
      <c r="BE937" s="34"/>
      <c r="BF937" s="34"/>
      <c r="BG937" s="34"/>
      <c r="BH937" s="34"/>
      <c r="BI937" s="34"/>
      <c r="BJ937" s="34"/>
      <c r="BK937" s="34"/>
      <c r="BL937" s="34"/>
      <c r="BM937" s="34"/>
      <c r="BN937" s="34"/>
      <c r="BO937" s="35"/>
      <c r="BP937" s="35"/>
      <c r="BQ937" s="35"/>
      <c r="BR937" s="36"/>
      <c r="BS937" s="35"/>
      <c r="BT937" s="35"/>
    </row>
    <row r="938" spans="1:72">
      <c r="A938" s="29"/>
      <c r="K938" s="32"/>
      <c r="L938" s="32"/>
      <c r="R938" s="32"/>
      <c r="AC938" s="30"/>
      <c r="AH938" s="32"/>
      <c r="AI938" s="32"/>
      <c r="AJ938" s="32"/>
      <c r="AK938" s="32"/>
      <c r="AX938" s="34"/>
      <c r="AY938" s="34"/>
      <c r="AZ938" s="34"/>
      <c r="BA938" s="34"/>
      <c r="BB938" s="34"/>
      <c r="BC938" s="34"/>
      <c r="BD938" s="34"/>
      <c r="BE938" s="34"/>
      <c r="BF938" s="34"/>
      <c r="BG938" s="34"/>
      <c r="BH938" s="34"/>
      <c r="BI938" s="34"/>
      <c r="BJ938" s="34"/>
      <c r="BK938" s="34"/>
      <c r="BL938" s="34"/>
      <c r="BM938" s="34"/>
      <c r="BN938" s="34"/>
      <c r="BO938" s="35"/>
      <c r="BP938" s="35"/>
      <c r="BQ938" s="35"/>
      <c r="BR938" s="36"/>
      <c r="BS938" s="35"/>
      <c r="BT938" s="35"/>
    </row>
    <row r="939" spans="1:72">
      <c r="A939" s="29"/>
      <c r="K939" s="32"/>
      <c r="L939" s="32"/>
      <c r="R939" s="32"/>
      <c r="AC939" s="30"/>
      <c r="AH939" s="32"/>
      <c r="AI939" s="32"/>
      <c r="AJ939" s="32"/>
      <c r="AK939" s="32"/>
      <c r="AX939" s="34"/>
      <c r="AY939" s="34"/>
      <c r="AZ939" s="34"/>
      <c r="BA939" s="34"/>
      <c r="BB939" s="34"/>
      <c r="BC939" s="34"/>
      <c r="BD939" s="34"/>
      <c r="BE939" s="34"/>
      <c r="BF939" s="34"/>
      <c r="BG939" s="34"/>
      <c r="BH939" s="34"/>
      <c r="BI939" s="34"/>
      <c r="BJ939" s="34"/>
      <c r="BK939" s="34"/>
      <c r="BL939" s="34"/>
      <c r="BM939" s="34"/>
      <c r="BN939" s="34"/>
      <c r="BO939" s="35"/>
      <c r="BP939" s="35"/>
      <c r="BQ939" s="35"/>
      <c r="BR939" s="36"/>
      <c r="BS939" s="35"/>
      <c r="BT939" s="35"/>
    </row>
    <row r="940" spans="1:72">
      <c r="A940" s="29"/>
      <c r="K940" s="32"/>
      <c r="L940" s="32"/>
      <c r="R940" s="32"/>
      <c r="AC940" s="30"/>
      <c r="AH940" s="32"/>
      <c r="AI940" s="32"/>
      <c r="AJ940" s="32"/>
      <c r="AK940" s="32"/>
      <c r="AX940" s="34"/>
      <c r="AY940" s="34"/>
      <c r="AZ940" s="34"/>
      <c r="BA940" s="34"/>
      <c r="BB940" s="34"/>
      <c r="BC940" s="34"/>
      <c r="BD940" s="34"/>
      <c r="BE940" s="34"/>
      <c r="BF940" s="34"/>
      <c r="BG940" s="34"/>
      <c r="BH940" s="34"/>
      <c r="BI940" s="34"/>
      <c r="BJ940" s="34"/>
      <c r="BK940" s="34"/>
      <c r="BL940" s="34"/>
      <c r="BM940" s="34"/>
      <c r="BN940" s="34"/>
      <c r="BO940" s="35"/>
      <c r="BP940" s="35"/>
      <c r="BQ940" s="35"/>
      <c r="BR940" s="36"/>
      <c r="BS940" s="35"/>
      <c r="BT940" s="35"/>
    </row>
    <row r="941" spans="1:72">
      <c r="A941" s="29"/>
      <c r="K941" s="32"/>
      <c r="L941" s="32"/>
      <c r="R941" s="32"/>
      <c r="AC941" s="30"/>
      <c r="AH941" s="32"/>
      <c r="AI941" s="32"/>
      <c r="AJ941" s="32"/>
      <c r="AK941" s="32"/>
      <c r="AX941" s="34"/>
      <c r="AY941" s="34"/>
      <c r="AZ941" s="34"/>
      <c r="BA941" s="34"/>
      <c r="BB941" s="34"/>
      <c r="BC941" s="34"/>
      <c r="BD941" s="34"/>
      <c r="BE941" s="34"/>
      <c r="BF941" s="34"/>
      <c r="BG941" s="34"/>
      <c r="BH941" s="34"/>
      <c r="BI941" s="34"/>
      <c r="BJ941" s="34"/>
      <c r="BK941" s="34"/>
      <c r="BL941" s="34"/>
      <c r="BM941" s="34"/>
      <c r="BN941" s="34"/>
      <c r="BO941" s="35"/>
      <c r="BP941" s="35"/>
      <c r="BQ941" s="35"/>
      <c r="BR941" s="36"/>
      <c r="BS941" s="35"/>
      <c r="BT941" s="35"/>
    </row>
    <row r="942" spans="1:72">
      <c r="A942" s="29"/>
      <c r="K942" s="32"/>
      <c r="L942" s="32"/>
      <c r="R942" s="32"/>
      <c r="AC942" s="30"/>
      <c r="AH942" s="32"/>
      <c r="AI942" s="32"/>
      <c r="AJ942" s="32"/>
      <c r="AK942" s="32"/>
      <c r="AX942" s="34"/>
      <c r="AY942" s="34"/>
      <c r="AZ942" s="34"/>
      <c r="BA942" s="34"/>
      <c r="BB942" s="34"/>
      <c r="BC942" s="34"/>
      <c r="BD942" s="34"/>
      <c r="BE942" s="34"/>
      <c r="BF942" s="34"/>
      <c r="BG942" s="34"/>
      <c r="BH942" s="34"/>
      <c r="BI942" s="34"/>
      <c r="BJ942" s="34"/>
      <c r="BK942" s="34"/>
      <c r="BL942" s="34"/>
      <c r="BM942" s="34"/>
      <c r="BN942" s="34"/>
      <c r="BO942" s="35"/>
      <c r="BP942" s="35"/>
      <c r="BQ942" s="35"/>
      <c r="BR942" s="36"/>
      <c r="BS942" s="35"/>
      <c r="BT942" s="35"/>
    </row>
    <row r="943" spans="1:72">
      <c r="A943" s="29"/>
      <c r="K943" s="32"/>
      <c r="L943" s="32"/>
      <c r="R943" s="32"/>
      <c r="AC943" s="30"/>
      <c r="AH943" s="32"/>
      <c r="AI943" s="32"/>
      <c r="AJ943" s="32"/>
      <c r="AK943" s="32"/>
      <c r="AX943" s="34"/>
      <c r="AY943" s="34"/>
      <c r="AZ943" s="34"/>
      <c r="BA943" s="34"/>
      <c r="BB943" s="34"/>
      <c r="BC943" s="34"/>
      <c r="BD943" s="34"/>
      <c r="BE943" s="34"/>
      <c r="BF943" s="34"/>
      <c r="BG943" s="34"/>
      <c r="BH943" s="34"/>
      <c r="BI943" s="34"/>
      <c r="BJ943" s="34"/>
      <c r="BK943" s="34"/>
      <c r="BL943" s="34"/>
      <c r="BM943" s="34"/>
      <c r="BN943" s="34"/>
      <c r="BO943" s="35"/>
      <c r="BP943" s="35"/>
      <c r="BQ943" s="35"/>
      <c r="BR943" s="36"/>
      <c r="BS943" s="35"/>
      <c r="BT943" s="35"/>
    </row>
    <row r="944" spans="1:72">
      <c r="A944" s="29"/>
      <c r="K944" s="32"/>
      <c r="L944" s="32"/>
      <c r="R944" s="32"/>
      <c r="AC944" s="30"/>
      <c r="AH944" s="32"/>
      <c r="AI944" s="32"/>
      <c r="AJ944" s="32"/>
      <c r="AK944" s="32"/>
      <c r="AX944" s="34"/>
      <c r="AY944" s="34"/>
      <c r="AZ944" s="34"/>
      <c r="BA944" s="34"/>
      <c r="BB944" s="34"/>
      <c r="BC944" s="34"/>
      <c r="BD944" s="34"/>
      <c r="BE944" s="34"/>
      <c r="BF944" s="34"/>
      <c r="BG944" s="34"/>
      <c r="BH944" s="34"/>
      <c r="BI944" s="34"/>
      <c r="BJ944" s="34"/>
      <c r="BK944" s="34"/>
      <c r="BL944" s="34"/>
      <c r="BM944" s="34"/>
      <c r="BN944" s="34"/>
      <c r="BO944" s="35"/>
      <c r="BP944" s="35"/>
      <c r="BQ944" s="35"/>
      <c r="BR944" s="36"/>
      <c r="BS944" s="35"/>
      <c r="BT944" s="35"/>
    </row>
    <row r="945" spans="1:72">
      <c r="A945" s="29"/>
      <c r="K945" s="32"/>
      <c r="L945" s="32"/>
      <c r="R945" s="32"/>
      <c r="AC945" s="30"/>
      <c r="AH945" s="32"/>
      <c r="AI945" s="32"/>
      <c r="AJ945" s="32"/>
      <c r="AK945" s="32"/>
      <c r="AX945" s="34"/>
      <c r="AY945" s="34"/>
      <c r="AZ945" s="34"/>
      <c r="BA945" s="34"/>
      <c r="BB945" s="34"/>
      <c r="BC945" s="34"/>
      <c r="BD945" s="34"/>
      <c r="BE945" s="34"/>
      <c r="BF945" s="34"/>
      <c r="BG945" s="34"/>
      <c r="BH945" s="34"/>
      <c r="BI945" s="34"/>
      <c r="BJ945" s="34"/>
      <c r="BK945" s="34"/>
      <c r="BL945" s="34"/>
      <c r="BM945" s="34"/>
      <c r="BN945" s="34"/>
      <c r="BO945" s="35"/>
      <c r="BP945" s="35"/>
      <c r="BQ945" s="35"/>
      <c r="BR945" s="36"/>
      <c r="BS945" s="35"/>
      <c r="BT945" s="35"/>
    </row>
    <row r="946" spans="1:72">
      <c r="A946" s="29"/>
      <c r="K946" s="32"/>
      <c r="L946" s="32"/>
      <c r="R946" s="32"/>
      <c r="AC946" s="30"/>
      <c r="AH946" s="32"/>
      <c r="AI946" s="32"/>
      <c r="AJ946" s="32"/>
      <c r="AK946" s="32"/>
      <c r="AX946" s="34"/>
      <c r="AY946" s="34"/>
      <c r="AZ946" s="34"/>
      <c r="BA946" s="34"/>
      <c r="BB946" s="34"/>
      <c r="BC946" s="34"/>
      <c r="BD946" s="34"/>
      <c r="BE946" s="34"/>
      <c r="BF946" s="34"/>
      <c r="BG946" s="34"/>
      <c r="BH946" s="34"/>
      <c r="BI946" s="34"/>
      <c r="BJ946" s="34"/>
      <c r="BK946" s="34"/>
      <c r="BL946" s="34"/>
      <c r="BM946" s="34"/>
      <c r="BN946" s="34"/>
      <c r="BO946" s="35"/>
      <c r="BP946" s="35"/>
      <c r="BQ946" s="35"/>
      <c r="BR946" s="36"/>
      <c r="BS946" s="35"/>
      <c r="BT946" s="35"/>
    </row>
    <row r="947" spans="1:72">
      <c r="A947" s="29"/>
      <c r="K947" s="32"/>
      <c r="L947" s="32"/>
      <c r="R947" s="32"/>
      <c r="AC947" s="30"/>
      <c r="AH947" s="32"/>
      <c r="AI947" s="32"/>
      <c r="AJ947" s="32"/>
      <c r="AK947" s="32"/>
      <c r="AX947" s="34"/>
      <c r="AY947" s="34"/>
      <c r="AZ947" s="34"/>
      <c r="BA947" s="34"/>
      <c r="BB947" s="34"/>
      <c r="BC947" s="34"/>
      <c r="BD947" s="34"/>
      <c r="BE947" s="34"/>
      <c r="BF947" s="34"/>
      <c r="BG947" s="34"/>
      <c r="BH947" s="34"/>
      <c r="BI947" s="34"/>
      <c r="BJ947" s="34"/>
      <c r="BK947" s="34"/>
      <c r="BL947" s="34"/>
      <c r="BM947" s="34"/>
      <c r="BN947" s="34"/>
      <c r="BO947" s="35"/>
      <c r="BP947" s="35"/>
      <c r="BQ947" s="35"/>
      <c r="BR947" s="36"/>
      <c r="BS947" s="35"/>
      <c r="BT947" s="35"/>
    </row>
    <row r="948" spans="1:72">
      <c r="A948" s="29"/>
      <c r="K948" s="32"/>
      <c r="L948" s="32"/>
      <c r="R948" s="32"/>
      <c r="AC948" s="30"/>
      <c r="AH948" s="32"/>
      <c r="AI948" s="32"/>
      <c r="AJ948" s="32"/>
      <c r="AK948" s="32"/>
      <c r="AX948" s="34"/>
      <c r="AY948" s="34"/>
      <c r="AZ948" s="34"/>
      <c r="BA948" s="34"/>
      <c r="BB948" s="34"/>
      <c r="BC948" s="34"/>
      <c r="BD948" s="34"/>
      <c r="BE948" s="34"/>
      <c r="BF948" s="34"/>
      <c r="BG948" s="34"/>
      <c r="BH948" s="34"/>
      <c r="BI948" s="34"/>
      <c r="BJ948" s="34"/>
      <c r="BK948" s="34"/>
      <c r="BL948" s="34"/>
      <c r="BM948" s="34"/>
      <c r="BN948" s="34"/>
      <c r="BO948" s="35"/>
      <c r="BP948" s="35"/>
      <c r="BQ948" s="35"/>
      <c r="BR948" s="36"/>
      <c r="BS948" s="35"/>
      <c r="BT948" s="35"/>
    </row>
    <row r="949" spans="1:72">
      <c r="A949" s="29"/>
      <c r="K949" s="32"/>
      <c r="L949" s="32"/>
      <c r="R949" s="32"/>
      <c r="AC949" s="30"/>
      <c r="AH949" s="32"/>
      <c r="AI949" s="32"/>
      <c r="AJ949" s="32"/>
      <c r="AK949" s="32"/>
      <c r="AX949" s="34"/>
      <c r="AY949" s="34"/>
      <c r="AZ949" s="34"/>
      <c r="BA949" s="34"/>
      <c r="BB949" s="34"/>
      <c r="BC949" s="34"/>
      <c r="BD949" s="34"/>
      <c r="BE949" s="34"/>
      <c r="BF949" s="34"/>
      <c r="BG949" s="34"/>
      <c r="BH949" s="34"/>
      <c r="BI949" s="34"/>
      <c r="BJ949" s="34"/>
      <c r="BK949" s="34"/>
      <c r="BL949" s="34"/>
      <c r="BM949" s="34"/>
      <c r="BN949" s="34"/>
      <c r="BO949" s="35"/>
      <c r="BP949" s="35"/>
      <c r="BQ949" s="35"/>
      <c r="BR949" s="36"/>
      <c r="BS949" s="35"/>
      <c r="BT949" s="35"/>
    </row>
    <row r="950" spans="1:72">
      <c r="A950" s="29"/>
      <c r="K950" s="32"/>
      <c r="L950" s="32"/>
      <c r="R950" s="32"/>
      <c r="AC950" s="30"/>
      <c r="AH950" s="32"/>
      <c r="AI950" s="32"/>
      <c r="AJ950" s="32"/>
      <c r="AK950" s="32"/>
      <c r="AX950" s="34"/>
      <c r="AY950" s="34"/>
      <c r="AZ950" s="34"/>
      <c r="BA950" s="34"/>
      <c r="BB950" s="34"/>
      <c r="BC950" s="34"/>
      <c r="BD950" s="34"/>
      <c r="BE950" s="34"/>
      <c r="BF950" s="34"/>
      <c r="BG950" s="34"/>
      <c r="BH950" s="34"/>
      <c r="BI950" s="34"/>
      <c r="BJ950" s="34"/>
      <c r="BK950" s="34"/>
      <c r="BL950" s="34"/>
      <c r="BM950" s="34"/>
      <c r="BN950" s="34"/>
      <c r="BO950" s="35"/>
      <c r="BP950" s="35"/>
      <c r="BQ950" s="35"/>
      <c r="BR950" s="36"/>
      <c r="BS950" s="35"/>
      <c r="BT950" s="35"/>
    </row>
    <row r="951" spans="1:72">
      <c r="A951" s="29"/>
      <c r="K951" s="32"/>
      <c r="L951" s="32"/>
      <c r="R951" s="32"/>
      <c r="AC951" s="30"/>
      <c r="AH951" s="32"/>
      <c r="AI951" s="32"/>
      <c r="AJ951" s="32"/>
      <c r="AK951" s="32"/>
      <c r="AX951" s="34"/>
      <c r="AY951" s="34"/>
      <c r="AZ951" s="34"/>
      <c r="BA951" s="34"/>
      <c r="BB951" s="34"/>
      <c r="BC951" s="34"/>
      <c r="BD951" s="34"/>
      <c r="BE951" s="34"/>
      <c r="BF951" s="34"/>
      <c r="BG951" s="34"/>
      <c r="BH951" s="34"/>
      <c r="BI951" s="34"/>
      <c r="BJ951" s="34"/>
      <c r="BK951" s="34"/>
      <c r="BL951" s="34"/>
      <c r="BM951" s="34"/>
      <c r="BN951" s="34"/>
      <c r="BO951" s="35"/>
      <c r="BP951" s="35"/>
      <c r="BQ951" s="35"/>
      <c r="BR951" s="36"/>
      <c r="BS951" s="35"/>
      <c r="BT951" s="35"/>
    </row>
    <row r="952" spans="1:72">
      <c r="A952" s="29"/>
      <c r="K952" s="32"/>
      <c r="L952" s="32"/>
      <c r="R952" s="32"/>
      <c r="AC952" s="30"/>
      <c r="AH952" s="32"/>
      <c r="AI952" s="32"/>
      <c r="AJ952" s="32"/>
      <c r="AK952" s="32"/>
      <c r="AX952" s="34"/>
      <c r="AY952" s="34"/>
      <c r="AZ952" s="34"/>
      <c r="BA952" s="34"/>
      <c r="BB952" s="34"/>
      <c r="BC952" s="34"/>
      <c r="BD952" s="34"/>
      <c r="BE952" s="34"/>
      <c r="BF952" s="34"/>
      <c r="BG952" s="34"/>
      <c r="BH952" s="34"/>
      <c r="BI952" s="34"/>
      <c r="BJ952" s="34"/>
      <c r="BK952" s="34"/>
      <c r="BL952" s="34"/>
      <c r="BM952" s="34"/>
      <c r="BN952" s="34"/>
      <c r="BO952" s="35"/>
      <c r="BP952" s="35"/>
      <c r="BQ952" s="35"/>
      <c r="BR952" s="36"/>
      <c r="BS952" s="35"/>
      <c r="BT952" s="35"/>
    </row>
    <row r="953" spans="1:72">
      <c r="A953" s="29"/>
      <c r="K953" s="32"/>
      <c r="L953" s="32"/>
      <c r="R953" s="32"/>
      <c r="AC953" s="30"/>
      <c r="AH953" s="32"/>
      <c r="AI953" s="32"/>
      <c r="AJ953" s="32"/>
      <c r="AK953" s="32"/>
      <c r="AX953" s="34"/>
      <c r="AY953" s="34"/>
      <c r="AZ953" s="34"/>
      <c r="BA953" s="34"/>
      <c r="BB953" s="34"/>
      <c r="BC953" s="34"/>
      <c r="BD953" s="34"/>
      <c r="BE953" s="34"/>
      <c r="BF953" s="34"/>
      <c r="BG953" s="34"/>
      <c r="BH953" s="34"/>
      <c r="BI953" s="34"/>
      <c r="BJ953" s="34"/>
      <c r="BK953" s="34"/>
      <c r="BL953" s="34"/>
      <c r="BM953" s="34"/>
      <c r="BN953" s="34"/>
      <c r="BO953" s="35"/>
      <c r="BP953" s="35"/>
      <c r="BQ953" s="35"/>
      <c r="BR953" s="36"/>
      <c r="BS953" s="35"/>
      <c r="BT953" s="35"/>
    </row>
    <row r="954" spans="1:72">
      <c r="A954" s="29"/>
      <c r="K954" s="32"/>
      <c r="L954" s="32"/>
      <c r="R954" s="32"/>
      <c r="AC954" s="30"/>
      <c r="AH954" s="32"/>
      <c r="AI954" s="32"/>
      <c r="AJ954" s="32"/>
      <c r="AK954" s="32"/>
      <c r="AX954" s="34"/>
      <c r="AY954" s="34"/>
      <c r="AZ954" s="34"/>
      <c r="BA954" s="34"/>
      <c r="BB954" s="34"/>
      <c r="BC954" s="34"/>
      <c r="BD954" s="34"/>
      <c r="BE954" s="34"/>
      <c r="BF954" s="34"/>
      <c r="BG954" s="34"/>
      <c r="BH954" s="34"/>
      <c r="BI954" s="34"/>
      <c r="BJ954" s="34"/>
      <c r="BK954" s="34"/>
      <c r="BL954" s="34"/>
      <c r="BM954" s="34"/>
      <c r="BN954" s="34"/>
      <c r="BO954" s="35"/>
      <c r="BP954" s="35"/>
      <c r="BQ954" s="35"/>
      <c r="BR954" s="36"/>
      <c r="BS954" s="35"/>
      <c r="BT954" s="35"/>
    </row>
    <row r="955" spans="1:72">
      <c r="A955" s="29"/>
      <c r="K955" s="32"/>
      <c r="L955" s="32"/>
      <c r="R955" s="32"/>
      <c r="AC955" s="30"/>
      <c r="AH955" s="32"/>
      <c r="AI955" s="32"/>
      <c r="AJ955" s="32"/>
      <c r="AK955" s="32"/>
      <c r="AX955" s="34"/>
      <c r="AY955" s="34"/>
      <c r="AZ955" s="34"/>
      <c r="BA955" s="34"/>
      <c r="BB955" s="34"/>
      <c r="BC955" s="34"/>
      <c r="BD955" s="34"/>
      <c r="BE955" s="34"/>
      <c r="BF955" s="34"/>
      <c r="BG955" s="34"/>
      <c r="BH955" s="34"/>
      <c r="BI955" s="34"/>
      <c r="BJ955" s="34"/>
      <c r="BK955" s="34"/>
      <c r="BL955" s="34"/>
      <c r="BM955" s="34"/>
      <c r="BN955" s="34"/>
      <c r="BO955" s="35"/>
      <c r="BP955" s="35"/>
      <c r="BQ955" s="35"/>
      <c r="BR955" s="36"/>
      <c r="BS955" s="35"/>
      <c r="BT955" s="35"/>
    </row>
    <row r="956" spans="1:72">
      <c r="A956" s="29"/>
      <c r="K956" s="32"/>
      <c r="L956" s="32"/>
      <c r="R956" s="32"/>
      <c r="AC956" s="30"/>
      <c r="AH956" s="32"/>
      <c r="AI956" s="32"/>
      <c r="AJ956" s="32"/>
      <c r="AK956" s="32"/>
      <c r="AX956" s="34"/>
      <c r="AY956" s="34"/>
      <c r="AZ956" s="34"/>
      <c r="BA956" s="34"/>
      <c r="BB956" s="34"/>
      <c r="BC956" s="34"/>
      <c r="BD956" s="34"/>
      <c r="BE956" s="34"/>
      <c r="BF956" s="34"/>
      <c r="BG956" s="34"/>
      <c r="BH956" s="34"/>
      <c r="BI956" s="34"/>
      <c r="BJ956" s="34"/>
      <c r="BK956" s="34"/>
      <c r="BL956" s="34"/>
      <c r="BM956" s="34"/>
      <c r="BN956" s="34"/>
      <c r="BO956" s="35"/>
      <c r="BP956" s="35"/>
      <c r="BQ956" s="35"/>
      <c r="BR956" s="36"/>
      <c r="BS956" s="35"/>
      <c r="BT956" s="35"/>
    </row>
    <row r="957" spans="1:72">
      <c r="A957" s="29"/>
      <c r="K957" s="32"/>
      <c r="L957" s="32"/>
      <c r="R957" s="32"/>
      <c r="AC957" s="30"/>
      <c r="AH957" s="32"/>
      <c r="AI957" s="32"/>
      <c r="AJ957" s="32"/>
      <c r="AK957" s="32"/>
      <c r="AX957" s="34"/>
      <c r="AY957" s="34"/>
      <c r="AZ957" s="34"/>
      <c r="BA957" s="34"/>
      <c r="BB957" s="34"/>
      <c r="BC957" s="34"/>
      <c r="BD957" s="34"/>
      <c r="BE957" s="34"/>
      <c r="BF957" s="34"/>
      <c r="BG957" s="34"/>
      <c r="BH957" s="34"/>
      <c r="BI957" s="34"/>
      <c r="BJ957" s="34"/>
      <c r="BK957" s="34"/>
      <c r="BL957" s="34"/>
      <c r="BM957" s="34"/>
      <c r="BN957" s="34"/>
      <c r="BO957" s="35"/>
      <c r="BP957" s="35"/>
      <c r="BQ957" s="35"/>
      <c r="BR957" s="36"/>
      <c r="BS957" s="35"/>
      <c r="BT957" s="35"/>
    </row>
    <row r="958" spans="1:72">
      <c r="A958" s="29"/>
      <c r="K958" s="32"/>
      <c r="L958" s="32"/>
      <c r="R958" s="32"/>
      <c r="AC958" s="30"/>
      <c r="AH958" s="32"/>
      <c r="AI958" s="32"/>
      <c r="AJ958" s="32"/>
      <c r="AK958" s="32"/>
      <c r="AX958" s="34"/>
      <c r="AY958" s="34"/>
      <c r="AZ958" s="34"/>
      <c r="BA958" s="34"/>
      <c r="BB958" s="34"/>
      <c r="BC958" s="34"/>
      <c r="BD958" s="34"/>
      <c r="BE958" s="34"/>
      <c r="BF958" s="34"/>
      <c r="BG958" s="34"/>
      <c r="BH958" s="34"/>
      <c r="BI958" s="34"/>
      <c r="BJ958" s="34"/>
      <c r="BK958" s="34"/>
      <c r="BL958" s="34"/>
      <c r="BM958" s="34"/>
      <c r="BN958" s="34"/>
      <c r="BO958" s="35"/>
      <c r="BP958" s="35"/>
      <c r="BQ958" s="35"/>
      <c r="BR958" s="36"/>
      <c r="BS958" s="35"/>
      <c r="BT958" s="35"/>
    </row>
    <row r="959" spans="1:72">
      <c r="A959" s="29"/>
      <c r="K959" s="32"/>
      <c r="L959" s="32"/>
      <c r="R959" s="32"/>
      <c r="AC959" s="30"/>
      <c r="AH959" s="32"/>
      <c r="AI959" s="32"/>
      <c r="AJ959" s="32"/>
      <c r="AK959" s="32"/>
      <c r="AX959" s="34"/>
      <c r="AY959" s="34"/>
      <c r="AZ959" s="34"/>
      <c r="BA959" s="34"/>
      <c r="BB959" s="34"/>
      <c r="BC959" s="34"/>
      <c r="BD959" s="34"/>
      <c r="BE959" s="34"/>
      <c r="BF959" s="34"/>
      <c r="BG959" s="34"/>
      <c r="BH959" s="34"/>
      <c r="BI959" s="34"/>
      <c r="BJ959" s="34"/>
      <c r="BK959" s="34"/>
      <c r="BL959" s="34"/>
      <c r="BM959" s="34"/>
      <c r="BN959" s="34"/>
      <c r="BO959" s="35"/>
      <c r="BP959" s="35"/>
      <c r="BQ959" s="35"/>
      <c r="BR959" s="36"/>
      <c r="BS959" s="35"/>
      <c r="BT959" s="35"/>
    </row>
    <row r="960" spans="1:72">
      <c r="A960" s="29"/>
      <c r="K960" s="32"/>
      <c r="L960" s="32"/>
      <c r="R960" s="32"/>
      <c r="AC960" s="30"/>
      <c r="AH960" s="32"/>
      <c r="AI960" s="32"/>
      <c r="AJ960" s="32"/>
      <c r="AK960" s="32"/>
      <c r="AX960" s="34"/>
      <c r="AY960" s="34"/>
      <c r="AZ960" s="34"/>
      <c r="BA960" s="34"/>
      <c r="BB960" s="34"/>
      <c r="BC960" s="34"/>
      <c r="BD960" s="34"/>
      <c r="BE960" s="34"/>
      <c r="BF960" s="34"/>
      <c r="BG960" s="34"/>
      <c r="BH960" s="34"/>
      <c r="BI960" s="34"/>
      <c r="BJ960" s="34"/>
      <c r="BK960" s="34"/>
      <c r="BL960" s="34"/>
      <c r="BM960" s="34"/>
      <c r="BN960" s="34"/>
      <c r="BO960" s="35"/>
      <c r="BP960" s="35"/>
      <c r="BQ960" s="35"/>
      <c r="BR960" s="36"/>
      <c r="BS960" s="35"/>
      <c r="BT960" s="35"/>
    </row>
    <row r="961" spans="1:72">
      <c r="A961" s="29"/>
      <c r="K961" s="32"/>
      <c r="L961" s="32"/>
      <c r="R961" s="32"/>
      <c r="AC961" s="30"/>
      <c r="AH961" s="32"/>
      <c r="AI961" s="32"/>
      <c r="AJ961" s="32"/>
      <c r="AK961" s="32"/>
      <c r="AX961" s="34"/>
      <c r="AY961" s="34"/>
      <c r="AZ961" s="34"/>
      <c r="BA961" s="34"/>
      <c r="BB961" s="34"/>
      <c r="BC961" s="34"/>
      <c r="BD961" s="34"/>
      <c r="BE961" s="34"/>
      <c r="BF961" s="34"/>
      <c r="BG961" s="34"/>
      <c r="BH961" s="34"/>
      <c r="BI961" s="34"/>
      <c r="BJ961" s="34"/>
      <c r="BK961" s="34"/>
      <c r="BL961" s="34"/>
      <c r="BM961" s="34"/>
      <c r="BN961" s="34"/>
      <c r="BO961" s="35"/>
      <c r="BP961" s="35"/>
      <c r="BQ961" s="35"/>
      <c r="BR961" s="36"/>
      <c r="BS961" s="35"/>
      <c r="BT961" s="35"/>
    </row>
    <row r="962" spans="1:72">
      <c r="A962" s="29"/>
      <c r="K962" s="32"/>
      <c r="L962" s="32"/>
      <c r="R962" s="32"/>
      <c r="AC962" s="30"/>
      <c r="AH962" s="32"/>
      <c r="AI962" s="32"/>
      <c r="AJ962" s="32"/>
      <c r="AK962" s="32"/>
      <c r="AX962" s="34"/>
      <c r="AY962" s="34"/>
      <c r="AZ962" s="34"/>
      <c r="BA962" s="34"/>
      <c r="BB962" s="34"/>
      <c r="BC962" s="34"/>
      <c r="BD962" s="34"/>
      <c r="BE962" s="34"/>
      <c r="BF962" s="34"/>
      <c r="BG962" s="34"/>
      <c r="BH962" s="34"/>
      <c r="BI962" s="34"/>
      <c r="BJ962" s="34"/>
      <c r="BK962" s="34"/>
      <c r="BL962" s="34"/>
      <c r="BM962" s="34"/>
      <c r="BN962" s="34"/>
      <c r="BO962" s="35"/>
      <c r="BP962" s="35"/>
      <c r="BQ962" s="35"/>
      <c r="BR962" s="36"/>
      <c r="BS962" s="35"/>
      <c r="BT962" s="35"/>
    </row>
    <row r="963" spans="1:72">
      <c r="A963" s="29"/>
      <c r="K963" s="32"/>
      <c r="L963" s="32"/>
      <c r="R963" s="32"/>
      <c r="AC963" s="30"/>
      <c r="AH963" s="32"/>
      <c r="AI963" s="32"/>
      <c r="AJ963" s="32"/>
      <c r="AK963" s="32"/>
      <c r="AX963" s="34"/>
      <c r="AY963" s="34"/>
      <c r="AZ963" s="34"/>
      <c r="BA963" s="34"/>
      <c r="BB963" s="34"/>
      <c r="BC963" s="34"/>
      <c r="BD963" s="34"/>
      <c r="BE963" s="34"/>
      <c r="BF963" s="34"/>
      <c r="BG963" s="34"/>
      <c r="BH963" s="34"/>
      <c r="BI963" s="34"/>
      <c r="BJ963" s="34"/>
      <c r="BK963" s="34"/>
      <c r="BL963" s="34"/>
      <c r="BM963" s="34"/>
      <c r="BN963" s="34"/>
      <c r="BO963" s="35"/>
      <c r="BP963" s="35"/>
      <c r="BQ963" s="35"/>
      <c r="BR963" s="36"/>
      <c r="BS963" s="35"/>
      <c r="BT963" s="35"/>
    </row>
    <row r="964" spans="1:72">
      <c r="A964" s="29"/>
      <c r="K964" s="32"/>
      <c r="L964" s="32"/>
      <c r="R964" s="32"/>
      <c r="AC964" s="30"/>
      <c r="AH964" s="32"/>
      <c r="AI964" s="32"/>
      <c r="AJ964" s="32"/>
      <c r="AK964" s="32"/>
      <c r="AX964" s="34"/>
      <c r="AY964" s="34"/>
      <c r="AZ964" s="34"/>
      <c r="BA964" s="34"/>
      <c r="BB964" s="34"/>
      <c r="BC964" s="34"/>
      <c r="BD964" s="34"/>
      <c r="BE964" s="34"/>
      <c r="BF964" s="34"/>
      <c r="BG964" s="34"/>
      <c r="BH964" s="34"/>
      <c r="BI964" s="34"/>
      <c r="BJ964" s="34"/>
      <c r="BK964" s="34"/>
      <c r="BL964" s="34"/>
      <c r="BM964" s="34"/>
      <c r="BN964" s="34"/>
      <c r="BO964" s="35"/>
      <c r="BP964" s="35"/>
      <c r="BQ964" s="35"/>
      <c r="BR964" s="36"/>
      <c r="BS964" s="35"/>
      <c r="BT964" s="35"/>
    </row>
    <row r="965" spans="1:72">
      <c r="A965" s="29"/>
      <c r="K965" s="32"/>
      <c r="L965" s="32"/>
      <c r="R965" s="32"/>
      <c r="AC965" s="30"/>
      <c r="AH965" s="32"/>
      <c r="AI965" s="32"/>
      <c r="AJ965" s="32"/>
      <c r="AK965" s="32"/>
      <c r="AX965" s="34"/>
      <c r="AY965" s="34"/>
      <c r="AZ965" s="34"/>
      <c r="BA965" s="34"/>
      <c r="BB965" s="34"/>
      <c r="BC965" s="34"/>
      <c r="BD965" s="34"/>
      <c r="BE965" s="34"/>
      <c r="BF965" s="34"/>
      <c r="BG965" s="34"/>
      <c r="BH965" s="34"/>
      <c r="BI965" s="34"/>
      <c r="BJ965" s="34"/>
      <c r="BK965" s="34"/>
      <c r="BL965" s="34"/>
      <c r="BM965" s="34"/>
      <c r="BN965" s="34"/>
      <c r="BO965" s="35"/>
      <c r="BP965" s="35"/>
      <c r="BQ965" s="35"/>
      <c r="BR965" s="36"/>
      <c r="BS965" s="35"/>
      <c r="BT965" s="35"/>
    </row>
  </sheetData>
  <autoFilter ref="A1:BT96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C78D8"/>
    <outlinePr summaryBelow="0" summaryRight="0"/>
  </sheetPr>
  <dimension ref="A1:AA971"/>
  <sheetViews>
    <sheetView workbookViewId="0">
      <pane ySplit="1" topLeftCell="A2" activePane="bottomLeft" state="frozen"/>
      <selection pane="bottomLeft" activeCell="B3" sqref="B3"/>
    </sheetView>
  </sheetViews>
  <sheetFormatPr baseColWidth="10" defaultColWidth="12.6328125" defaultRowHeight="15.75" customHeight="1"/>
  <sheetData>
    <row r="1" spans="1:27">
      <c r="A1" s="7" t="s">
        <v>2467</v>
      </c>
      <c r="B1" s="39" t="s">
        <v>0</v>
      </c>
      <c r="C1" s="10" t="s">
        <v>2468</v>
      </c>
      <c r="D1" s="10" t="s">
        <v>2469</v>
      </c>
      <c r="E1" s="40" t="s">
        <v>2470</v>
      </c>
      <c r="F1" s="10" t="s">
        <v>2471</v>
      </c>
      <c r="G1" s="10" t="s">
        <v>2472</v>
      </c>
      <c r="H1" s="10" t="s">
        <v>2473</v>
      </c>
      <c r="I1" s="10" t="s">
        <v>2474</v>
      </c>
      <c r="J1" s="10" t="s">
        <v>2475</v>
      </c>
      <c r="K1" s="8" t="s">
        <v>2476</v>
      </c>
      <c r="L1" s="8" t="s">
        <v>2477</v>
      </c>
      <c r="M1" s="41" t="s">
        <v>2478</v>
      </c>
      <c r="N1" s="42" t="s">
        <v>2479</v>
      </c>
      <c r="O1" s="42" t="s">
        <v>2480</v>
      </c>
      <c r="P1" s="41" t="s">
        <v>2481</v>
      </c>
      <c r="Q1" s="43"/>
      <c r="R1" s="43"/>
      <c r="S1" s="43"/>
      <c r="T1" s="43"/>
      <c r="U1" s="43"/>
      <c r="V1" s="43"/>
      <c r="W1" s="43"/>
      <c r="X1" s="43"/>
      <c r="Y1" s="43"/>
      <c r="Z1" s="43"/>
      <c r="AA1" s="43"/>
    </row>
    <row r="2" spans="1:27">
      <c r="A2" s="30" t="s">
        <v>2482</v>
      </c>
      <c r="B2" s="29" t="s">
        <v>72</v>
      </c>
      <c r="C2" s="30" t="s">
        <v>2483</v>
      </c>
      <c r="D2" s="30" t="s">
        <v>2484</v>
      </c>
      <c r="E2" s="32">
        <v>100</v>
      </c>
      <c r="F2" s="30" t="s">
        <v>2485</v>
      </c>
      <c r="H2" s="30" t="s">
        <v>2486</v>
      </c>
      <c r="I2" s="30" t="s">
        <v>168</v>
      </c>
      <c r="J2" s="30">
        <v>11</v>
      </c>
      <c r="K2" s="30">
        <v>11</v>
      </c>
      <c r="L2" s="30">
        <v>0</v>
      </c>
      <c r="M2" s="44" t="str">
        <f t="shared" ref="M2:M30" si="0">IF(F2&lt;&gt;"", F2, G2)</f>
        <v>Las Joyas</v>
      </c>
      <c r="N2" s="45" t="str">
        <f t="shared" ref="N2:N30" si="1">IF(ISNUMBER(FIND("ZP", H2)), "Si", "No")</f>
        <v>No</v>
      </c>
      <c r="O2" s="45" t="str">
        <f t="shared" ref="O2:O30" si="2">IF(I2=TRUE, "Si", "No")</f>
        <v>No</v>
      </c>
      <c r="P2" s="44"/>
    </row>
    <row r="3" spans="1:27">
      <c r="A3" s="30" t="s">
        <v>2487</v>
      </c>
      <c r="B3" s="29" t="s">
        <v>109</v>
      </c>
      <c r="C3" s="30" t="s">
        <v>2483</v>
      </c>
      <c r="D3" s="30" t="s">
        <v>2484</v>
      </c>
      <c r="E3" s="32">
        <v>115</v>
      </c>
      <c r="F3" s="30" t="s">
        <v>2488</v>
      </c>
      <c r="H3" s="30" t="s">
        <v>2486</v>
      </c>
      <c r="I3" s="30" t="s">
        <v>168</v>
      </c>
      <c r="J3" s="30">
        <v>8</v>
      </c>
      <c r="L3" s="30">
        <v>8</v>
      </c>
      <c r="M3" s="44" t="str">
        <f t="shared" si="0"/>
        <v>El Carmen</v>
      </c>
      <c r="N3" s="45" t="str">
        <f t="shared" si="1"/>
        <v>No</v>
      </c>
      <c r="O3" s="45" t="str">
        <f t="shared" si="2"/>
        <v>No</v>
      </c>
      <c r="P3" s="44"/>
    </row>
    <row r="4" spans="1:27">
      <c r="A4" s="30" t="s">
        <v>2489</v>
      </c>
      <c r="B4" s="29" t="s">
        <v>114</v>
      </c>
      <c r="C4" s="30" t="s">
        <v>2490</v>
      </c>
      <c r="D4" s="30" t="s">
        <v>2491</v>
      </c>
      <c r="E4" s="32">
        <v>215</v>
      </c>
      <c r="F4" s="30" t="s">
        <v>2492</v>
      </c>
      <c r="H4" s="30" t="s">
        <v>2486</v>
      </c>
      <c r="I4" s="30" t="s">
        <v>2486</v>
      </c>
      <c r="J4" s="30">
        <v>15</v>
      </c>
      <c r="K4" s="30">
        <v>15</v>
      </c>
      <c r="L4" s="30">
        <v>0</v>
      </c>
      <c r="M4" s="44" t="str">
        <f t="shared" si="0"/>
        <v>Silao</v>
      </c>
      <c r="N4" s="45" t="str">
        <f t="shared" si="1"/>
        <v>No</v>
      </c>
      <c r="O4" s="45" t="str">
        <f t="shared" si="2"/>
        <v>No</v>
      </c>
      <c r="P4" s="44"/>
    </row>
    <row r="5" spans="1:27">
      <c r="A5" s="30" t="s">
        <v>2493</v>
      </c>
      <c r="B5" s="29" t="s">
        <v>119</v>
      </c>
      <c r="C5" s="30" t="s">
        <v>2490</v>
      </c>
      <c r="D5" s="30" t="s">
        <v>2491</v>
      </c>
      <c r="E5" s="32">
        <v>215</v>
      </c>
      <c r="F5" s="30" t="s">
        <v>2492</v>
      </c>
      <c r="H5" s="30" t="s">
        <v>2486</v>
      </c>
      <c r="I5" s="30" t="s">
        <v>2486</v>
      </c>
      <c r="J5" s="30">
        <v>12</v>
      </c>
      <c r="K5" s="30">
        <v>12</v>
      </c>
      <c r="L5" s="30">
        <v>0</v>
      </c>
      <c r="M5" s="44" t="str">
        <f t="shared" si="0"/>
        <v>Silao</v>
      </c>
      <c r="N5" s="45" t="str">
        <f t="shared" si="1"/>
        <v>No</v>
      </c>
      <c r="O5" s="45" t="str">
        <f t="shared" si="2"/>
        <v>No</v>
      </c>
      <c r="P5" s="44"/>
    </row>
    <row r="6" spans="1:27">
      <c r="A6" s="30" t="s">
        <v>2494</v>
      </c>
      <c r="B6" s="29" t="s">
        <v>123</v>
      </c>
      <c r="C6" s="30" t="s">
        <v>2490</v>
      </c>
      <c r="D6" s="30" t="s">
        <v>2491</v>
      </c>
      <c r="E6" s="32">
        <v>215</v>
      </c>
      <c r="F6" s="30" t="s">
        <v>2492</v>
      </c>
      <c r="H6" s="30" t="s">
        <v>2486</v>
      </c>
      <c r="I6" s="30" t="s">
        <v>2486</v>
      </c>
      <c r="J6" s="30">
        <v>28</v>
      </c>
      <c r="K6" s="30">
        <v>28</v>
      </c>
      <c r="L6" s="30">
        <v>0</v>
      </c>
      <c r="M6" s="44" t="str">
        <f t="shared" si="0"/>
        <v>Silao</v>
      </c>
      <c r="N6" s="45" t="str">
        <f t="shared" si="1"/>
        <v>No</v>
      </c>
      <c r="O6" s="45" t="str">
        <f t="shared" si="2"/>
        <v>No</v>
      </c>
      <c r="P6" s="44"/>
    </row>
    <row r="7" spans="1:27">
      <c r="A7" s="30" t="s">
        <v>2495</v>
      </c>
      <c r="B7" s="29" t="s">
        <v>126</v>
      </c>
      <c r="C7" s="30" t="s">
        <v>2483</v>
      </c>
      <c r="D7" s="30" t="s">
        <v>2484</v>
      </c>
      <c r="E7" s="32">
        <v>100</v>
      </c>
      <c r="F7" s="30" t="s">
        <v>2485</v>
      </c>
      <c r="H7" s="30" t="s">
        <v>2486</v>
      </c>
      <c r="I7" s="30" t="s">
        <v>168</v>
      </c>
      <c r="J7" s="30">
        <v>24</v>
      </c>
      <c r="K7" s="30">
        <v>24</v>
      </c>
      <c r="L7" s="30">
        <v>0</v>
      </c>
      <c r="M7" s="44" t="str">
        <f t="shared" si="0"/>
        <v>Las Joyas</v>
      </c>
      <c r="N7" s="45" t="str">
        <f t="shared" si="1"/>
        <v>No</v>
      </c>
      <c r="O7" s="45" t="str">
        <f t="shared" si="2"/>
        <v>No</v>
      </c>
      <c r="P7" s="44"/>
    </row>
    <row r="8" spans="1:27">
      <c r="A8" s="30" t="s">
        <v>2496</v>
      </c>
      <c r="B8" s="29" t="s">
        <v>129</v>
      </c>
      <c r="C8" s="30" t="s">
        <v>2483</v>
      </c>
      <c r="D8" s="30" t="s">
        <v>2484</v>
      </c>
      <c r="E8" s="32">
        <v>100</v>
      </c>
      <c r="F8" s="30" t="s">
        <v>2485</v>
      </c>
      <c r="H8" s="30" t="s">
        <v>2486</v>
      </c>
      <c r="I8" s="30" t="s">
        <v>168</v>
      </c>
      <c r="J8" s="30">
        <v>10</v>
      </c>
      <c r="K8" s="30">
        <v>10</v>
      </c>
      <c r="L8" s="30">
        <v>0</v>
      </c>
      <c r="M8" s="44" t="str">
        <f t="shared" si="0"/>
        <v>Las Joyas</v>
      </c>
      <c r="N8" s="45" t="str">
        <f t="shared" si="1"/>
        <v>No</v>
      </c>
      <c r="O8" s="45" t="str">
        <f t="shared" si="2"/>
        <v>No</v>
      </c>
      <c r="P8" s="44"/>
    </row>
    <row r="9" spans="1:27">
      <c r="A9" s="30" t="s">
        <v>2497</v>
      </c>
      <c r="B9" s="29" t="s">
        <v>131</v>
      </c>
      <c r="C9" s="30" t="s">
        <v>2490</v>
      </c>
      <c r="D9" s="30" t="s">
        <v>2491</v>
      </c>
      <c r="E9" s="32">
        <v>215</v>
      </c>
      <c r="F9" s="30" t="s">
        <v>2492</v>
      </c>
      <c r="H9" s="30" t="s">
        <v>2486</v>
      </c>
      <c r="I9" s="30" t="s">
        <v>2486</v>
      </c>
      <c r="J9" s="30">
        <v>101</v>
      </c>
      <c r="K9" s="30">
        <v>101</v>
      </c>
      <c r="L9" s="30">
        <v>0</v>
      </c>
      <c r="M9" s="44" t="str">
        <f t="shared" si="0"/>
        <v>Silao</v>
      </c>
      <c r="N9" s="45" t="str">
        <f t="shared" si="1"/>
        <v>No</v>
      </c>
      <c r="O9" s="45" t="str">
        <f t="shared" si="2"/>
        <v>No</v>
      </c>
      <c r="P9" s="44"/>
    </row>
    <row r="10" spans="1:27">
      <c r="A10" s="30" t="s">
        <v>2498</v>
      </c>
      <c r="B10" s="29" t="s">
        <v>152</v>
      </c>
      <c r="C10" s="30" t="s">
        <v>2490</v>
      </c>
      <c r="D10" s="30" t="s">
        <v>2491</v>
      </c>
      <c r="E10" s="32">
        <v>215</v>
      </c>
      <c r="F10" s="30" t="s">
        <v>2492</v>
      </c>
      <c r="H10" s="30" t="s">
        <v>2486</v>
      </c>
      <c r="I10" s="30" t="s">
        <v>2486</v>
      </c>
      <c r="J10" s="30">
        <v>101</v>
      </c>
      <c r="K10" s="30">
        <v>101</v>
      </c>
      <c r="L10" s="30">
        <v>0</v>
      </c>
      <c r="M10" s="44" t="str">
        <f t="shared" si="0"/>
        <v>Silao</v>
      </c>
      <c r="N10" s="45" t="str">
        <f t="shared" si="1"/>
        <v>No</v>
      </c>
      <c r="O10" s="45" t="str">
        <f t="shared" si="2"/>
        <v>No</v>
      </c>
      <c r="P10" s="44"/>
    </row>
    <row r="11" spans="1:27">
      <c r="A11" s="30" t="s">
        <v>2499</v>
      </c>
      <c r="B11" s="29" t="s">
        <v>156</v>
      </c>
      <c r="C11" s="30" t="s">
        <v>2490</v>
      </c>
      <c r="D11" s="30" t="s">
        <v>2491</v>
      </c>
      <c r="E11" s="32">
        <v>215</v>
      </c>
      <c r="F11" s="30" t="s">
        <v>2492</v>
      </c>
      <c r="H11" s="30" t="s">
        <v>2486</v>
      </c>
      <c r="I11" s="30" t="s">
        <v>2486</v>
      </c>
      <c r="J11" s="30">
        <v>101</v>
      </c>
      <c r="L11" s="30">
        <v>101</v>
      </c>
      <c r="M11" s="44" t="str">
        <f t="shared" si="0"/>
        <v>Silao</v>
      </c>
      <c r="N11" s="45" t="str">
        <f t="shared" si="1"/>
        <v>No</v>
      </c>
      <c r="O11" s="45" t="str">
        <f t="shared" si="2"/>
        <v>No</v>
      </c>
      <c r="P11" s="44"/>
    </row>
    <row r="12" spans="1:27">
      <c r="A12" s="30" t="s">
        <v>2500</v>
      </c>
      <c r="B12" s="29" t="s">
        <v>162</v>
      </c>
      <c r="C12" s="30" t="s">
        <v>2490</v>
      </c>
      <c r="D12" s="30" t="s">
        <v>2491</v>
      </c>
      <c r="E12" s="32">
        <v>215</v>
      </c>
      <c r="F12" s="30" t="s">
        <v>2492</v>
      </c>
      <c r="H12" s="30" t="s">
        <v>2486</v>
      </c>
      <c r="I12" s="30" t="s">
        <v>2486</v>
      </c>
      <c r="J12" s="30">
        <v>101</v>
      </c>
      <c r="K12" s="30">
        <v>101</v>
      </c>
      <c r="L12" s="30">
        <v>0</v>
      </c>
      <c r="M12" s="44" t="str">
        <f t="shared" si="0"/>
        <v>Silao</v>
      </c>
      <c r="N12" s="45" t="str">
        <f t="shared" si="1"/>
        <v>No</v>
      </c>
      <c r="O12" s="45" t="str">
        <f t="shared" si="2"/>
        <v>No</v>
      </c>
      <c r="P12" s="44"/>
    </row>
    <row r="13" spans="1:27">
      <c r="A13" s="30" t="s">
        <v>2501</v>
      </c>
      <c r="B13" s="29" t="s">
        <v>169</v>
      </c>
      <c r="C13" s="30" t="s">
        <v>2490</v>
      </c>
      <c r="D13" s="30" t="s">
        <v>2491</v>
      </c>
      <c r="E13" s="32">
        <v>215</v>
      </c>
      <c r="F13" s="30" t="s">
        <v>2492</v>
      </c>
      <c r="H13" s="30" t="s">
        <v>2486</v>
      </c>
      <c r="I13" s="30" t="s">
        <v>2486</v>
      </c>
      <c r="J13" s="30">
        <v>101</v>
      </c>
      <c r="L13" s="30">
        <v>101</v>
      </c>
      <c r="M13" s="44" t="str">
        <f t="shared" si="0"/>
        <v>Silao</v>
      </c>
      <c r="N13" s="45" t="str">
        <f t="shared" si="1"/>
        <v>No</v>
      </c>
      <c r="O13" s="45" t="str">
        <f t="shared" si="2"/>
        <v>No</v>
      </c>
      <c r="P13" s="44"/>
    </row>
    <row r="14" spans="1:27">
      <c r="A14" s="30" t="s">
        <v>2502</v>
      </c>
      <c r="B14" s="29" t="s">
        <v>173</v>
      </c>
      <c r="C14" s="30" t="s">
        <v>2490</v>
      </c>
      <c r="D14" s="30" t="s">
        <v>2491</v>
      </c>
      <c r="E14" s="32">
        <v>215</v>
      </c>
      <c r="F14" s="30" t="s">
        <v>2492</v>
      </c>
      <c r="H14" s="30" t="s">
        <v>2486</v>
      </c>
      <c r="I14" s="30" t="s">
        <v>2486</v>
      </c>
      <c r="J14" s="30">
        <v>101</v>
      </c>
      <c r="L14" s="30">
        <v>101</v>
      </c>
      <c r="M14" s="44" t="str">
        <f t="shared" si="0"/>
        <v>Silao</v>
      </c>
      <c r="N14" s="45" t="str">
        <f t="shared" si="1"/>
        <v>No</v>
      </c>
      <c r="O14" s="45" t="str">
        <f t="shared" si="2"/>
        <v>No</v>
      </c>
      <c r="P14" s="44"/>
    </row>
    <row r="15" spans="1:27">
      <c r="A15" s="30" t="s">
        <v>2503</v>
      </c>
      <c r="B15" s="29" t="s">
        <v>176</v>
      </c>
      <c r="C15" s="30" t="s">
        <v>2490</v>
      </c>
      <c r="D15" s="30" t="s">
        <v>2491</v>
      </c>
      <c r="E15" s="32">
        <v>215</v>
      </c>
      <c r="F15" s="30" t="s">
        <v>2492</v>
      </c>
      <c r="H15" s="30" t="s">
        <v>2486</v>
      </c>
      <c r="I15" s="30" t="s">
        <v>2486</v>
      </c>
      <c r="J15" s="30">
        <v>101</v>
      </c>
      <c r="L15" s="30">
        <v>101</v>
      </c>
      <c r="M15" s="44" t="str">
        <f t="shared" si="0"/>
        <v>Silao</v>
      </c>
      <c r="N15" s="45" t="str">
        <f t="shared" si="1"/>
        <v>No</v>
      </c>
      <c r="O15" s="45" t="str">
        <f t="shared" si="2"/>
        <v>No</v>
      </c>
      <c r="P15" s="44"/>
    </row>
    <row r="16" spans="1:27">
      <c r="A16" s="30" t="s">
        <v>2504</v>
      </c>
      <c r="B16" s="29" t="s">
        <v>180</v>
      </c>
      <c r="C16" s="30" t="s">
        <v>2490</v>
      </c>
      <c r="D16" s="30" t="s">
        <v>2491</v>
      </c>
      <c r="E16" s="32">
        <v>215</v>
      </c>
      <c r="F16" s="30" t="s">
        <v>2492</v>
      </c>
      <c r="H16" s="30" t="s">
        <v>2486</v>
      </c>
      <c r="I16" s="30" t="s">
        <v>2486</v>
      </c>
      <c r="J16" s="30">
        <v>101</v>
      </c>
      <c r="L16" s="30">
        <v>101</v>
      </c>
      <c r="M16" s="44" t="str">
        <f t="shared" si="0"/>
        <v>Silao</v>
      </c>
      <c r="N16" s="45" t="str">
        <f t="shared" si="1"/>
        <v>No</v>
      </c>
      <c r="O16" s="45" t="str">
        <f t="shared" si="2"/>
        <v>No</v>
      </c>
      <c r="P16" s="44"/>
    </row>
    <row r="17" spans="1:16">
      <c r="A17" s="30" t="s">
        <v>2505</v>
      </c>
      <c r="B17" s="29" t="s">
        <v>186</v>
      </c>
      <c r="C17" s="30" t="s">
        <v>2490</v>
      </c>
      <c r="D17" s="30" t="s">
        <v>2491</v>
      </c>
      <c r="E17" s="32">
        <v>215</v>
      </c>
      <c r="F17" s="30" t="s">
        <v>2492</v>
      </c>
      <c r="H17" s="30" t="s">
        <v>2486</v>
      </c>
      <c r="I17" s="30" t="s">
        <v>2486</v>
      </c>
      <c r="J17" s="30">
        <v>101</v>
      </c>
      <c r="L17" s="30">
        <v>101</v>
      </c>
      <c r="M17" s="44" t="str">
        <f t="shared" si="0"/>
        <v>Silao</v>
      </c>
      <c r="N17" s="45" t="str">
        <f t="shared" si="1"/>
        <v>No</v>
      </c>
      <c r="O17" s="45" t="str">
        <f t="shared" si="2"/>
        <v>No</v>
      </c>
      <c r="P17" s="44"/>
    </row>
    <row r="18" spans="1:16">
      <c r="A18" s="30" t="s">
        <v>2506</v>
      </c>
      <c r="B18" s="29" t="s">
        <v>190</v>
      </c>
      <c r="C18" s="30" t="s">
        <v>2483</v>
      </c>
      <c r="D18" s="30" t="s">
        <v>2491</v>
      </c>
      <c r="E18" s="32"/>
      <c r="H18" s="30" t="s">
        <v>168</v>
      </c>
      <c r="I18" s="30" t="s">
        <v>168</v>
      </c>
      <c r="J18" s="30">
        <v>62</v>
      </c>
      <c r="K18" s="30">
        <v>20</v>
      </c>
      <c r="L18" s="30">
        <v>42</v>
      </c>
      <c r="M18" s="44">
        <f t="shared" si="0"/>
        <v>0</v>
      </c>
      <c r="N18" s="45" t="str">
        <f t="shared" si="1"/>
        <v>No</v>
      </c>
      <c r="O18" s="45" t="str">
        <f t="shared" si="2"/>
        <v>No</v>
      </c>
      <c r="P18" s="44"/>
    </row>
    <row r="19" spans="1:16">
      <c r="A19" s="30" t="s">
        <v>2507</v>
      </c>
      <c r="B19" s="29" t="s">
        <v>209</v>
      </c>
      <c r="C19" s="30" t="s">
        <v>2483</v>
      </c>
      <c r="D19" s="30" t="s">
        <v>2491</v>
      </c>
      <c r="E19" s="32"/>
      <c r="G19" s="30" t="s">
        <v>2508</v>
      </c>
      <c r="H19" s="30" t="s">
        <v>168</v>
      </c>
      <c r="I19" s="30" t="s">
        <v>168</v>
      </c>
      <c r="J19" s="30">
        <v>146</v>
      </c>
      <c r="K19" s="30">
        <v>17</v>
      </c>
      <c r="L19" s="30">
        <v>129</v>
      </c>
      <c r="M19" s="44" t="str">
        <f t="shared" si="0"/>
        <v>La Martinica</v>
      </c>
      <c r="N19" s="45" t="str">
        <f t="shared" si="1"/>
        <v>No</v>
      </c>
      <c r="O19" s="45" t="str">
        <f t="shared" si="2"/>
        <v>No</v>
      </c>
      <c r="P19" s="44"/>
    </row>
    <row r="20" spans="1:16">
      <c r="A20" s="30" t="s">
        <v>2509</v>
      </c>
      <c r="B20" s="29" t="s">
        <v>222</v>
      </c>
      <c r="C20" s="30" t="s">
        <v>2483</v>
      </c>
      <c r="D20" s="30" t="s">
        <v>2491</v>
      </c>
      <c r="E20" s="32"/>
      <c r="G20" s="30" t="s">
        <v>2508</v>
      </c>
      <c r="H20" s="30" t="s">
        <v>168</v>
      </c>
      <c r="I20" s="30" t="s">
        <v>168</v>
      </c>
      <c r="J20" s="30">
        <v>26</v>
      </c>
      <c r="K20" s="30">
        <v>26</v>
      </c>
      <c r="L20" s="30">
        <v>0</v>
      </c>
      <c r="M20" s="44" t="str">
        <f t="shared" si="0"/>
        <v>La Martinica</v>
      </c>
      <c r="N20" s="45" t="str">
        <f t="shared" si="1"/>
        <v>No</v>
      </c>
      <c r="O20" s="45" t="str">
        <f t="shared" si="2"/>
        <v>No</v>
      </c>
      <c r="P20" s="44"/>
    </row>
    <row r="21" spans="1:16">
      <c r="A21" s="30" t="s">
        <v>2510</v>
      </c>
      <c r="B21" s="29" t="s">
        <v>228</v>
      </c>
      <c r="C21" s="30" t="s">
        <v>2483</v>
      </c>
      <c r="D21" s="30" t="s">
        <v>2491</v>
      </c>
      <c r="E21" s="32"/>
      <c r="G21" s="30" t="s">
        <v>2508</v>
      </c>
      <c r="H21" s="30" t="s">
        <v>168</v>
      </c>
      <c r="I21" s="30" t="s">
        <v>168</v>
      </c>
      <c r="J21" s="30">
        <v>16</v>
      </c>
      <c r="K21" s="30">
        <v>16</v>
      </c>
      <c r="L21" s="30">
        <v>0</v>
      </c>
      <c r="M21" s="44" t="str">
        <f t="shared" si="0"/>
        <v>La Martinica</v>
      </c>
      <c r="N21" s="45" t="str">
        <f t="shared" si="1"/>
        <v>No</v>
      </c>
      <c r="O21" s="45" t="str">
        <f t="shared" si="2"/>
        <v>No</v>
      </c>
      <c r="P21" s="44"/>
    </row>
    <row r="22" spans="1:16">
      <c r="A22" s="30" t="s">
        <v>2511</v>
      </c>
      <c r="B22" s="29" t="s">
        <v>234</v>
      </c>
      <c r="C22" s="30" t="s">
        <v>2483</v>
      </c>
      <c r="D22" s="30" t="s">
        <v>2491</v>
      </c>
      <c r="E22" s="32"/>
      <c r="G22" s="30" t="s">
        <v>2508</v>
      </c>
      <c r="H22" s="30" t="s">
        <v>168</v>
      </c>
      <c r="I22" s="30" t="s">
        <v>168</v>
      </c>
      <c r="J22" s="30">
        <v>146</v>
      </c>
      <c r="K22" s="30">
        <v>17</v>
      </c>
      <c r="L22" s="30">
        <v>129</v>
      </c>
      <c r="M22" s="44" t="str">
        <f t="shared" si="0"/>
        <v>La Martinica</v>
      </c>
      <c r="N22" s="45" t="str">
        <f t="shared" si="1"/>
        <v>No</v>
      </c>
      <c r="O22" s="45" t="str">
        <f t="shared" si="2"/>
        <v>No</v>
      </c>
      <c r="P22" s="44"/>
    </row>
    <row r="23" spans="1:16">
      <c r="A23" s="30" t="s">
        <v>2512</v>
      </c>
      <c r="B23" s="29" t="s">
        <v>245</v>
      </c>
      <c r="C23" s="30" t="s">
        <v>2483</v>
      </c>
      <c r="D23" s="30" t="s">
        <v>2491</v>
      </c>
      <c r="E23" s="32"/>
      <c r="G23" s="30" t="s">
        <v>2508</v>
      </c>
      <c r="H23" s="30" t="s">
        <v>168</v>
      </c>
      <c r="I23" s="30" t="s">
        <v>168</v>
      </c>
      <c r="J23" s="30">
        <v>352</v>
      </c>
      <c r="L23" s="30">
        <v>352</v>
      </c>
      <c r="M23" s="44" t="str">
        <f t="shared" si="0"/>
        <v>La Martinica</v>
      </c>
      <c r="N23" s="45" t="str">
        <f t="shared" si="1"/>
        <v>No</v>
      </c>
      <c r="O23" s="45" t="str">
        <f t="shared" si="2"/>
        <v>No</v>
      </c>
      <c r="P23" s="44"/>
    </row>
    <row r="24" spans="1:16">
      <c r="A24" s="30" t="s">
        <v>2513</v>
      </c>
      <c r="B24" s="29" t="s">
        <v>255</v>
      </c>
      <c r="C24" s="30" t="s">
        <v>2483</v>
      </c>
      <c r="D24" s="30" t="s">
        <v>2491</v>
      </c>
      <c r="E24" s="32"/>
      <c r="G24" s="30" t="s">
        <v>2508</v>
      </c>
      <c r="H24" s="30" t="s">
        <v>168</v>
      </c>
      <c r="I24" s="30" t="s">
        <v>168</v>
      </c>
      <c r="J24" s="30">
        <v>214</v>
      </c>
      <c r="L24" s="30">
        <v>214</v>
      </c>
      <c r="M24" s="44" t="str">
        <f t="shared" si="0"/>
        <v>La Martinica</v>
      </c>
      <c r="N24" s="45" t="str">
        <f t="shared" si="1"/>
        <v>No</v>
      </c>
      <c r="O24" s="45" t="str">
        <f t="shared" si="2"/>
        <v>No</v>
      </c>
      <c r="P24" s="44"/>
    </row>
    <row r="25" spans="1:16">
      <c r="A25" s="30" t="s">
        <v>2514</v>
      </c>
      <c r="B25" s="29" t="s">
        <v>260</v>
      </c>
      <c r="C25" s="30" t="s">
        <v>2483</v>
      </c>
      <c r="D25" s="30" t="s">
        <v>2491</v>
      </c>
      <c r="E25" s="32"/>
      <c r="G25" s="30" t="s">
        <v>2508</v>
      </c>
      <c r="H25" s="30" t="s">
        <v>168</v>
      </c>
      <c r="I25" s="30" t="s">
        <v>168</v>
      </c>
      <c r="J25" s="30">
        <v>30</v>
      </c>
      <c r="K25" s="30">
        <v>1</v>
      </c>
      <c r="L25" s="30">
        <v>29</v>
      </c>
      <c r="M25" s="44" t="str">
        <f t="shared" si="0"/>
        <v>La Martinica</v>
      </c>
      <c r="N25" s="45" t="str">
        <f t="shared" si="1"/>
        <v>No</v>
      </c>
      <c r="O25" s="45" t="str">
        <f t="shared" si="2"/>
        <v>No</v>
      </c>
      <c r="P25" s="44"/>
    </row>
    <row r="26" spans="1:16">
      <c r="A26" s="30" t="s">
        <v>2515</v>
      </c>
      <c r="B26" s="29" t="s">
        <v>270</v>
      </c>
      <c r="C26" s="30" t="s">
        <v>2483</v>
      </c>
      <c r="D26" s="30" t="s">
        <v>2491</v>
      </c>
      <c r="E26" s="32"/>
      <c r="G26" s="30" t="s">
        <v>2508</v>
      </c>
      <c r="H26" s="30" t="s">
        <v>168</v>
      </c>
      <c r="I26" s="30" t="s">
        <v>168</v>
      </c>
      <c r="J26" s="30">
        <v>7</v>
      </c>
      <c r="K26" s="30">
        <v>7</v>
      </c>
      <c r="L26" s="30">
        <v>0</v>
      </c>
      <c r="M26" s="44" t="str">
        <f t="shared" si="0"/>
        <v>La Martinica</v>
      </c>
      <c r="N26" s="45" t="str">
        <f t="shared" si="1"/>
        <v>No</v>
      </c>
      <c r="O26" s="45" t="str">
        <f t="shared" si="2"/>
        <v>No</v>
      </c>
      <c r="P26" s="44"/>
    </row>
    <row r="27" spans="1:16">
      <c r="A27" s="30" t="s">
        <v>2516</v>
      </c>
      <c r="B27" s="29" t="s">
        <v>280</v>
      </c>
      <c r="C27" s="30" t="s">
        <v>2483</v>
      </c>
      <c r="D27" s="30" t="s">
        <v>2491</v>
      </c>
      <c r="E27" s="32"/>
      <c r="G27" s="30" t="s">
        <v>2508</v>
      </c>
      <c r="H27" s="30" t="s">
        <v>168</v>
      </c>
      <c r="I27" s="30" t="s">
        <v>168</v>
      </c>
      <c r="J27" s="30">
        <v>119</v>
      </c>
      <c r="L27" s="30">
        <v>119</v>
      </c>
      <c r="M27" s="44" t="str">
        <f t="shared" si="0"/>
        <v>La Martinica</v>
      </c>
      <c r="N27" s="45" t="str">
        <f t="shared" si="1"/>
        <v>No</v>
      </c>
      <c r="O27" s="45" t="str">
        <f t="shared" si="2"/>
        <v>No</v>
      </c>
      <c r="P27" s="44"/>
    </row>
    <row r="28" spans="1:16">
      <c r="A28" s="30" t="s">
        <v>2517</v>
      </c>
      <c r="B28" s="29" t="s">
        <v>284</v>
      </c>
      <c r="C28" s="30" t="s">
        <v>2483</v>
      </c>
      <c r="D28" s="30" t="s">
        <v>2491</v>
      </c>
      <c r="E28" s="32"/>
      <c r="G28" s="30" t="s">
        <v>2508</v>
      </c>
      <c r="H28" s="30" t="s">
        <v>168</v>
      </c>
      <c r="I28" s="30" t="s">
        <v>168</v>
      </c>
      <c r="J28" s="30">
        <v>67</v>
      </c>
      <c r="K28" s="30">
        <v>8</v>
      </c>
      <c r="L28" s="30">
        <v>59</v>
      </c>
      <c r="M28" s="44" t="str">
        <f t="shared" si="0"/>
        <v>La Martinica</v>
      </c>
      <c r="N28" s="45" t="str">
        <f t="shared" si="1"/>
        <v>No</v>
      </c>
      <c r="O28" s="45" t="str">
        <f t="shared" si="2"/>
        <v>No</v>
      </c>
      <c r="P28" s="44"/>
    </row>
    <row r="29" spans="1:16">
      <c r="A29" s="30" t="s">
        <v>2518</v>
      </c>
      <c r="B29" s="29" t="s">
        <v>289</v>
      </c>
      <c r="C29" s="30" t="s">
        <v>2483</v>
      </c>
      <c r="D29" s="30" t="s">
        <v>2491</v>
      </c>
      <c r="E29" s="32"/>
      <c r="G29" s="30" t="s">
        <v>2508</v>
      </c>
      <c r="H29" s="30" t="s">
        <v>168</v>
      </c>
      <c r="I29" s="30" t="s">
        <v>168</v>
      </c>
      <c r="J29" s="30">
        <v>44</v>
      </c>
      <c r="K29" s="30">
        <v>1</v>
      </c>
      <c r="L29" s="30">
        <v>43</v>
      </c>
      <c r="M29" s="44" t="str">
        <f t="shared" si="0"/>
        <v>La Martinica</v>
      </c>
      <c r="N29" s="45" t="str">
        <f t="shared" si="1"/>
        <v>No</v>
      </c>
      <c r="O29" s="45" t="str">
        <f t="shared" si="2"/>
        <v>No</v>
      </c>
      <c r="P29" s="44"/>
    </row>
    <row r="30" spans="1:16">
      <c r="A30" s="30" t="s">
        <v>2519</v>
      </c>
      <c r="B30" s="29" t="s">
        <v>296</v>
      </c>
      <c r="C30" s="30" t="s">
        <v>2483</v>
      </c>
      <c r="D30" s="30" t="s">
        <v>2491</v>
      </c>
      <c r="E30" s="32"/>
      <c r="G30" s="30" t="s">
        <v>2508</v>
      </c>
      <c r="H30" s="30" t="s">
        <v>168</v>
      </c>
      <c r="I30" s="30" t="s">
        <v>168</v>
      </c>
      <c r="J30" s="30">
        <v>82</v>
      </c>
      <c r="K30" s="30">
        <v>1</v>
      </c>
      <c r="L30" s="30">
        <v>81</v>
      </c>
      <c r="M30" s="44" t="str">
        <f t="shared" si="0"/>
        <v>La Martinica</v>
      </c>
      <c r="N30" s="45" t="str">
        <f t="shared" si="1"/>
        <v>No</v>
      </c>
      <c r="O30" s="45" t="str">
        <f t="shared" si="2"/>
        <v>No</v>
      </c>
      <c r="P30" s="44"/>
    </row>
    <row r="31" spans="1:16">
      <c r="A31" s="30"/>
      <c r="B31" s="29"/>
      <c r="C31" s="30"/>
      <c r="D31" s="30"/>
      <c r="E31" s="32"/>
      <c r="F31" s="30"/>
      <c r="H31" s="30"/>
      <c r="I31" s="30"/>
      <c r="J31" s="30"/>
      <c r="K31" s="30"/>
      <c r="L31" s="30"/>
      <c r="M31" s="44"/>
      <c r="N31" s="45"/>
      <c r="O31" s="45"/>
      <c r="P31" s="44"/>
    </row>
    <row r="32" spans="1:16">
      <c r="A32" s="30" t="s">
        <v>2520</v>
      </c>
      <c r="B32" s="29" t="s">
        <v>309</v>
      </c>
      <c r="C32" s="30" t="s">
        <v>2521</v>
      </c>
      <c r="D32" s="30" t="s">
        <v>2491</v>
      </c>
      <c r="E32" s="32">
        <v>49</v>
      </c>
      <c r="F32" s="30" t="s">
        <v>2521</v>
      </c>
      <c r="H32" s="30" t="s">
        <v>2486</v>
      </c>
      <c r="I32" s="30" t="s">
        <v>2486</v>
      </c>
      <c r="J32" s="30">
        <v>33</v>
      </c>
      <c r="L32" s="30">
        <v>33</v>
      </c>
      <c r="M32" s="44" t="str">
        <f t="shared" ref="M32:M132" si="3">IF(F32&lt;&gt;"", F32, G32)</f>
        <v>Guanajuato</v>
      </c>
      <c r="N32" s="45" t="str">
        <f t="shared" ref="N32:N132" si="4">IF(ISNUMBER(FIND("ZP", H32)), "Si", "No")</f>
        <v>No</v>
      </c>
      <c r="O32" s="45" t="str">
        <f t="shared" ref="O32:O132" si="5">IF(I32=TRUE, "Si", "No")</f>
        <v>No</v>
      </c>
      <c r="P32" s="44"/>
    </row>
    <row r="33" spans="1:16">
      <c r="A33" s="30" t="s">
        <v>2522</v>
      </c>
      <c r="B33" s="29" t="s">
        <v>314</v>
      </c>
      <c r="C33" s="30" t="s">
        <v>2521</v>
      </c>
      <c r="D33" s="30" t="s">
        <v>2491</v>
      </c>
      <c r="E33" s="32">
        <v>49</v>
      </c>
      <c r="F33" s="30" t="s">
        <v>2521</v>
      </c>
      <c r="H33" s="30" t="s">
        <v>2486</v>
      </c>
      <c r="I33" s="30" t="s">
        <v>2486</v>
      </c>
      <c r="J33" s="30">
        <v>11</v>
      </c>
      <c r="K33" s="30">
        <v>11</v>
      </c>
      <c r="L33" s="30">
        <v>0</v>
      </c>
      <c r="M33" s="44" t="str">
        <f t="shared" si="3"/>
        <v>Guanajuato</v>
      </c>
      <c r="N33" s="45" t="str">
        <f t="shared" si="4"/>
        <v>No</v>
      </c>
      <c r="O33" s="45" t="str">
        <f t="shared" si="5"/>
        <v>No</v>
      </c>
      <c r="P33" s="44"/>
    </row>
    <row r="34" spans="1:16">
      <c r="A34" s="30" t="s">
        <v>2523</v>
      </c>
      <c r="B34" s="29" t="s">
        <v>318</v>
      </c>
      <c r="C34" s="30" t="s">
        <v>2521</v>
      </c>
      <c r="D34" s="30" t="s">
        <v>2491</v>
      </c>
      <c r="E34" s="32">
        <v>49</v>
      </c>
      <c r="F34" s="30" t="s">
        <v>2521</v>
      </c>
      <c r="H34" s="30" t="s">
        <v>2486</v>
      </c>
      <c r="I34" s="30" t="s">
        <v>2486</v>
      </c>
      <c r="J34" s="30">
        <v>20</v>
      </c>
      <c r="L34" s="30">
        <v>20</v>
      </c>
      <c r="M34" s="44" t="str">
        <f t="shared" si="3"/>
        <v>Guanajuato</v>
      </c>
      <c r="N34" s="45" t="str">
        <f t="shared" si="4"/>
        <v>No</v>
      </c>
      <c r="O34" s="45" t="str">
        <f t="shared" si="5"/>
        <v>No</v>
      </c>
      <c r="P34" s="44"/>
    </row>
    <row r="35" spans="1:16">
      <c r="A35" s="30" t="s">
        <v>2524</v>
      </c>
      <c r="B35" s="29" t="s">
        <v>324</v>
      </c>
      <c r="C35" s="30" t="s">
        <v>2521</v>
      </c>
      <c r="D35" s="30" t="s">
        <v>2491</v>
      </c>
      <c r="E35" s="32">
        <v>49</v>
      </c>
      <c r="F35" s="30" t="s">
        <v>2521</v>
      </c>
      <c r="H35" s="30" t="s">
        <v>2486</v>
      </c>
      <c r="I35" s="30" t="s">
        <v>2486</v>
      </c>
      <c r="J35" s="30">
        <v>53</v>
      </c>
      <c r="K35" s="30">
        <v>53</v>
      </c>
      <c r="L35" s="30">
        <v>0</v>
      </c>
      <c r="M35" s="44" t="str">
        <f t="shared" si="3"/>
        <v>Guanajuato</v>
      </c>
      <c r="N35" s="45" t="str">
        <f t="shared" si="4"/>
        <v>No</v>
      </c>
      <c r="O35" s="45" t="str">
        <f t="shared" si="5"/>
        <v>No</v>
      </c>
      <c r="P35" s="44"/>
    </row>
    <row r="36" spans="1:16">
      <c r="A36" s="30" t="s">
        <v>2525</v>
      </c>
      <c r="B36" s="29" t="s">
        <v>329</v>
      </c>
      <c r="C36" s="30" t="s">
        <v>2521</v>
      </c>
      <c r="D36" s="30" t="s">
        <v>2491</v>
      </c>
      <c r="E36" s="32"/>
      <c r="G36" s="30" t="s">
        <v>2526</v>
      </c>
      <c r="H36" s="30" t="s">
        <v>168</v>
      </c>
      <c r="I36" s="30" t="s">
        <v>168</v>
      </c>
      <c r="J36" s="30">
        <v>49</v>
      </c>
      <c r="L36" s="30">
        <v>49</v>
      </c>
      <c r="M36" s="44" t="str">
        <f t="shared" si="3"/>
        <v>GUANAJUATO CENTRO</v>
      </c>
      <c r="N36" s="45" t="str">
        <f t="shared" si="4"/>
        <v>No</v>
      </c>
      <c r="O36" s="45" t="str">
        <f t="shared" si="5"/>
        <v>No</v>
      </c>
      <c r="P36" s="44"/>
    </row>
    <row r="37" spans="1:16">
      <c r="A37" s="30" t="s">
        <v>2527</v>
      </c>
      <c r="B37" s="29" t="s">
        <v>334</v>
      </c>
      <c r="C37" s="30" t="s">
        <v>2521</v>
      </c>
      <c r="D37" s="30" t="s">
        <v>2491</v>
      </c>
      <c r="E37" s="32">
        <v>49</v>
      </c>
      <c r="F37" s="30" t="s">
        <v>2521</v>
      </c>
      <c r="H37" s="30" t="s">
        <v>2486</v>
      </c>
      <c r="I37" s="30" t="s">
        <v>2486</v>
      </c>
      <c r="J37" s="30">
        <v>44</v>
      </c>
      <c r="K37" s="30">
        <v>44</v>
      </c>
      <c r="L37" s="30">
        <v>0</v>
      </c>
      <c r="M37" s="44" t="str">
        <f t="shared" si="3"/>
        <v>Guanajuato</v>
      </c>
      <c r="N37" s="45" t="str">
        <f t="shared" si="4"/>
        <v>No</v>
      </c>
      <c r="O37" s="45" t="str">
        <f t="shared" si="5"/>
        <v>No</v>
      </c>
      <c r="P37" s="44"/>
    </row>
    <row r="38" spans="1:16">
      <c r="A38" s="30" t="s">
        <v>2528</v>
      </c>
      <c r="B38" s="29" t="s">
        <v>340</v>
      </c>
      <c r="C38" s="30" t="s">
        <v>2521</v>
      </c>
      <c r="D38" s="30" t="s">
        <v>2491</v>
      </c>
      <c r="E38" s="32">
        <v>49</v>
      </c>
      <c r="F38" s="30" t="s">
        <v>2521</v>
      </c>
      <c r="H38" s="30" t="s">
        <v>2486</v>
      </c>
      <c r="I38" s="30" t="s">
        <v>2486</v>
      </c>
      <c r="J38" s="30">
        <v>3</v>
      </c>
      <c r="L38" s="30">
        <v>3</v>
      </c>
      <c r="M38" s="44" t="str">
        <f t="shared" si="3"/>
        <v>Guanajuato</v>
      </c>
      <c r="N38" s="45" t="str">
        <f t="shared" si="4"/>
        <v>No</v>
      </c>
      <c r="O38" s="45" t="str">
        <f t="shared" si="5"/>
        <v>No</v>
      </c>
      <c r="P38" s="44"/>
    </row>
    <row r="39" spans="1:16">
      <c r="A39" s="30" t="s">
        <v>2529</v>
      </c>
      <c r="B39" s="29" t="s">
        <v>345</v>
      </c>
      <c r="C39" s="30" t="s">
        <v>2521</v>
      </c>
      <c r="D39" s="30" t="s">
        <v>2491</v>
      </c>
      <c r="E39" s="32">
        <v>49</v>
      </c>
      <c r="F39" s="30" t="s">
        <v>2521</v>
      </c>
      <c r="H39" s="30" t="s">
        <v>2486</v>
      </c>
      <c r="I39" s="30" t="s">
        <v>2486</v>
      </c>
      <c r="J39" s="30">
        <v>15</v>
      </c>
      <c r="L39" s="30">
        <v>15</v>
      </c>
      <c r="M39" s="44" t="str">
        <f t="shared" si="3"/>
        <v>Guanajuato</v>
      </c>
      <c r="N39" s="45" t="str">
        <f t="shared" si="4"/>
        <v>No</v>
      </c>
      <c r="O39" s="45" t="str">
        <f t="shared" si="5"/>
        <v>No</v>
      </c>
      <c r="P39" s="44"/>
    </row>
    <row r="40" spans="1:16">
      <c r="A40" s="30" t="s">
        <v>2530</v>
      </c>
      <c r="B40" s="29" t="s">
        <v>350</v>
      </c>
      <c r="C40" s="30" t="s">
        <v>2521</v>
      </c>
      <c r="D40" s="30" t="s">
        <v>2491</v>
      </c>
      <c r="E40" s="32">
        <v>49</v>
      </c>
      <c r="F40" s="30" t="s">
        <v>2521</v>
      </c>
      <c r="H40" s="30" t="s">
        <v>2486</v>
      </c>
      <c r="I40" s="30" t="s">
        <v>2486</v>
      </c>
      <c r="J40" s="30">
        <v>16</v>
      </c>
      <c r="L40" s="30">
        <v>16</v>
      </c>
      <c r="M40" s="44" t="str">
        <f t="shared" si="3"/>
        <v>Guanajuato</v>
      </c>
      <c r="N40" s="45" t="str">
        <f t="shared" si="4"/>
        <v>No</v>
      </c>
      <c r="O40" s="45" t="str">
        <f t="shared" si="5"/>
        <v>No</v>
      </c>
      <c r="P40" s="44"/>
    </row>
    <row r="41" spans="1:16">
      <c r="A41" s="30" t="s">
        <v>2531</v>
      </c>
      <c r="B41" s="29" t="s">
        <v>355</v>
      </c>
      <c r="C41" s="30" t="s">
        <v>2521</v>
      </c>
      <c r="D41" s="30" t="s">
        <v>2491</v>
      </c>
      <c r="E41" s="32">
        <v>49</v>
      </c>
      <c r="F41" s="30" t="s">
        <v>2521</v>
      </c>
      <c r="H41" s="30" t="s">
        <v>2486</v>
      </c>
      <c r="I41" s="30" t="s">
        <v>2486</v>
      </c>
      <c r="J41" s="30">
        <v>42</v>
      </c>
      <c r="L41" s="30">
        <v>42</v>
      </c>
      <c r="M41" s="44" t="str">
        <f t="shared" si="3"/>
        <v>Guanajuato</v>
      </c>
      <c r="N41" s="45" t="str">
        <f t="shared" si="4"/>
        <v>No</v>
      </c>
      <c r="O41" s="45" t="str">
        <f t="shared" si="5"/>
        <v>No</v>
      </c>
      <c r="P41" s="44"/>
    </row>
    <row r="42" spans="1:16">
      <c r="A42" s="30" t="s">
        <v>2532</v>
      </c>
      <c r="B42" s="29" t="s">
        <v>359</v>
      </c>
      <c r="C42" s="30" t="s">
        <v>2521</v>
      </c>
      <c r="D42" s="30" t="s">
        <v>2491</v>
      </c>
      <c r="E42" s="32">
        <v>49</v>
      </c>
      <c r="F42" s="30" t="s">
        <v>2521</v>
      </c>
      <c r="H42" s="30" t="s">
        <v>2486</v>
      </c>
      <c r="I42" s="30" t="s">
        <v>2486</v>
      </c>
      <c r="J42" s="30">
        <v>13</v>
      </c>
      <c r="K42" s="30">
        <v>13</v>
      </c>
      <c r="L42" s="30">
        <v>0</v>
      </c>
      <c r="M42" s="44" t="str">
        <f t="shared" si="3"/>
        <v>Guanajuato</v>
      </c>
      <c r="N42" s="45" t="str">
        <f t="shared" si="4"/>
        <v>No</v>
      </c>
      <c r="O42" s="45" t="str">
        <f t="shared" si="5"/>
        <v>No</v>
      </c>
      <c r="P42" s="44"/>
    </row>
    <row r="43" spans="1:16">
      <c r="A43" s="30" t="s">
        <v>2533</v>
      </c>
      <c r="B43" s="29" t="s">
        <v>363</v>
      </c>
      <c r="C43" s="30" t="s">
        <v>2521</v>
      </c>
      <c r="D43" s="30" t="s">
        <v>2491</v>
      </c>
      <c r="E43" s="32">
        <v>49</v>
      </c>
      <c r="F43" s="30" t="s">
        <v>2521</v>
      </c>
      <c r="H43" s="30" t="s">
        <v>2486</v>
      </c>
      <c r="I43" s="30" t="s">
        <v>2486</v>
      </c>
      <c r="J43" s="30">
        <v>78</v>
      </c>
      <c r="L43" s="30">
        <v>78</v>
      </c>
      <c r="M43" s="44" t="str">
        <f t="shared" si="3"/>
        <v>Guanajuato</v>
      </c>
      <c r="N43" s="45" t="str">
        <f t="shared" si="4"/>
        <v>No</v>
      </c>
      <c r="O43" s="45" t="str">
        <f t="shared" si="5"/>
        <v>No</v>
      </c>
      <c r="P43" s="44"/>
    </row>
    <row r="44" spans="1:16">
      <c r="A44" s="30" t="s">
        <v>2534</v>
      </c>
      <c r="B44" s="29" t="s">
        <v>368</v>
      </c>
      <c r="C44" s="30" t="s">
        <v>2521</v>
      </c>
      <c r="D44" s="30" t="s">
        <v>2491</v>
      </c>
      <c r="E44" s="32">
        <v>49</v>
      </c>
      <c r="F44" s="30" t="s">
        <v>2521</v>
      </c>
      <c r="H44" s="30" t="s">
        <v>2486</v>
      </c>
      <c r="I44" s="30" t="s">
        <v>2486</v>
      </c>
      <c r="J44" s="30">
        <v>4</v>
      </c>
      <c r="K44" s="30">
        <v>4</v>
      </c>
      <c r="L44" s="30">
        <v>0</v>
      </c>
      <c r="M44" s="44" t="str">
        <f t="shared" si="3"/>
        <v>Guanajuato</v>
      </c>
      <c r="N44" s="45" t="str">
        <f t="shared" si="4"/>
        <v>No</v>
      </c>
      <c r="O44" s="45" t="str">
        <f t="shared" si="5"/>
        <v>No</v>
      </c>
      <c r="P44" s="44"/>
    </row>
    <row r="45" spans="1:16">
      <c r="A45" s="30" t="s">
        <v>2535</v>
      </c>
      <c r="B45" s="29" t="s">
        <v>372</v>
      </c>
      <c r="C45" s="30" t="s">
        <v>2521</v>
      </c>
      <c r="D45" s="30" t="s">
        <v>2491</v>
      </c>
      <c r="E45" s="32">
        <v>49</v>
      </c>
      <c r="F45" s="30" t="s">
        <v>2521</v>
      </c>
      <c r="H45" s="30" t="s">
        <v>2486</v>
      </c>
      <c r="I45" s="30" t="s">
        <v>2486</v>
      </c>
      <c r="J45" s="30">
        <v>3</v>
      </c>
      <c r="K45" s="30">
        <v>3</v>
      </c>
      <c r="L45" s="30">
        <v>0</v>
      </c>
      <c r="M45" s="44" t="str">
        <f t="shared" si="3"/>
        <v>Guanajuato</v>
      </c>
      <c r="N45" s="45" t="str">
        <f t="shared" si="4"/>
        <v>No</v>
      </c>
      <c r="O45" s="45" t="str">
        <f t="shared" si="5"/>
        <v>No</v>
      </c>
      <c r="P45" s="44"/>
    </row>
    <row r="46" spans="1:16">
      <c r="A46" s="30" t="s">
        <v>2536</v>
      </c>
      <c r="B46" s="29" t="s">
        <v>374</v>
      </c>
      <c r="C46" s="30" t="s">
        <v>2521</v>
      </c>
      <c r="D46" s="30" t="s">
        <v>2491</v>
      </c>
      <c r="E46" s="32">
        <v>49</v>
      </c>
      <c r="F46" s="30" t="s">
        <v>2521</v>
      </c>
      <c r="H46" s="30" t="s">
        <v>2486</v>
      </c>
      <c r="I46" s="30" t="s">
        <v>2486</v>
      </c>
      <c r="J46" s="30">
        <v>22</v>
      </c>
      <c r="K46" s="30">
        <v>22</v>
      </c>
      <c r="L46" s="30">
        <v>0</v>
      </c>
      <c r="M46" s="44" t="str">
        <f t="shared" si="3"/>
        <v>Guanajuato</v>
      </c>
      <c r="N46" s="45" t="str">
        <f t="shared" si="4"/>
        <v>No</v>
      </c>
      <c r="O46" s="45" t="str">
        <f t="shared" si="5"/>
        <v>No</v>
      </c>
      <c r="P46" s="44"/>
    </row>
    <row r="47" spans="1:16">
      <c r="A47" s="30" t="s">
        <v>2537</v>
      </c>
      <c r="B47" s="29" t="s">
        <v>380</v>
      </c>
      <c r="C47" s="30" t="s">
        <v>2521</v>
      </c>
      <c r="D47" s="30" t="s">
        <v>2491</v>
      </c>
      <c r="E47" s="32">
        <v>49</v>
      </c>
      <c r="F47" s="30" t="s">
        <v>2521</v>
      </c>
      <c r="H47" s="30" t="s">
        <v>2486</v>
      </c>
      <c r="I47" s="30" t="s">
        <v>2486</v>
      </c>
      <c r="J47" s="30">
        <v>79</v>
      </c>
      <c r="K47" s="30">
        <v>79</v>
      </c>
      <c r="L47" s="30">
        <v>0</v>
      </c>
      <c r="M47" s="44" t="str">
        <f t="shared" si="3"/>
        <v>Guanajuato</v>
      </c>
      <c r="N47" s="45" t="str">
        <f t="shared" si="4"/>
        <v>No</v>
      </c>
      <c r="O47" s="45" t="str">
        <f t="shared" si="5"/>
        <v>No</v>
      </c>
      <c r="P47" s="44"/>
    </row>
    <row r="48" spans="1:16">
      <c r="A48" s="30" t="s">
        <v>2538</v>
      </c>
      <c r="B48" s="29" t="s">
        <v>384</v>
      </c>
      <c r="C48" s="30" t="s">
        <v>2521</v>
      </c>
      <c r="D48" s="30" t="s">
        <v>2491</v>
      </c>
      <c r="E48" s="32">
        <v>49</v>
      </c>
      <c r="F48" s="30" t="s">
        <v>2521</v>
      </c>
      <c r="H48" s="30" t="s">
        <v>2486</v>
      </c>
      <c r="I48" s="30" t="s">
        <v>2486</v>
      </c>
      <c r="J48" s="30">
        <v>115</v>
      </c>
      <c r="K48" s="30">
        <v>115</v>
      </c>
      <c r="L48" s="30">
        <v>0</v>
      </c>
      <c r="M48" s="44" t="str">
        <f t="shared" si="3"/>
        <v>Guanajuato</v>
      </c>
      <c r="N48" s="45" t="str">
        <f t="shared" si="4"/>
        <v>No</v>
      </c>
      <c r="O48" s="45" t="str">
        <f t="shared" si="5"/>
        <v>No</v>
      </c>
      <c r="P48" s="44"/>
    </row>
    <row r="49" spans="1:16">
      <c r="A49" s="30" t="s">
        <v>2539</v>
      </c>
      <c r="B49" s="29" t="s">
        <v>388</v>
      </c>
      <c r="C49" s="30" t="s">
        <v>2521</v>
      </c>
      <c r="D49" s="30" t="s">
        <v>2491</v>
      </c>
      <c r="E49" s="32">
        <v>49</v>
      </c>
      <c r="F49" s="30" t="s">
        <v>2521</v>
      </c>
      <c r="H49" s="30" t="s">
        <v>2486</v>
      </c>
      <c r="I49" s="30" t="s">
        <v>2486</v>
      </c>
      <c r="J49" s="30">
        <v>170</v>
      </c>
      <c r="K49" s="30">
        <v>170</v>
      </c>
      <c r="L49" s="30">
        <v>0</v>
      </c>
      <c r="M49" s="44" t="str">
        <f t="shared" si="3"/>
        <v>Guanajuato</v>
      </c>
      <c r="N49" s="45" t="str">
        <f t="shared" si="4"/>
        <v>No</v>
      </c>
      <c r="O49" s="45" t="str">
        <f t="shared" si="5"/>
        <v>No</v>
      </c>
      <c r="P49" s="44"/>
    </row>
    <row r="50" spans="1:16">
      <c r="A50" s="30" t="s">
        <v>2540</v>
      </c>
      <c r="B50" s="29" t="s">
        <v>391</v>
      </c>
      <c r="C50" s="30" t="s">
        <v>2521</v>
      </c>
      <c r="D50" s="30" t="s">
        <v>2491</v>
      </c>
      <c r="E50" s="32">
        <v>49</v>
      </c>
      <c r="F50" s="30" t="s">
        <v>2521</v>
      </c>
      <c r="H50" s="30" t="s">
        <v>2486</v>
      </c>
      <c r="I50" s="30" t="s">
        <v>2486</v>
      </c>
      <c r="J50" s="30">
        <v>4</v>
      </c>
      <c r="K50" s="30">
        <v>4</v>
      </c>
      <c r="L50" s="30">
        <v>0</v>
      </c>
      <c r="M50" s="44" t="str">
        <f t="shared" si="3"/>
        <v>Guanajuato</v>
      </c>
      <c r="N50" s="45" t="str">
        <f t="shared" si="4"/>
        <v>No</v>
      </c>
      <c r="O50" s="45" t="str">
        <f t="shared" si="5"/>
        <v>No</v>
      </c>
      <c r="P50" s="44"/>
    </row>
    <row r="51" spans="1:16">
      <c r="A51" s="30" t="s">
        <v>2541</v>
      </c>
      <c r="B51" s="29" t="s">
        <v>394</v>
      </c>
      <c r="C51" s="30" t="s">
        <v>2521</v>
      </c>
      <c r="D51" s="30" t="s">
        <v>2491</v>
      </c>
      <c r="E51" s="32">
        <v>49</v>
      </c>
      <c r="F51" s="30" t="s">
        <v>2521</v>
      </c>
      <c r="H51" s="30" t="s">
        <v>2486</v>
      </c>
      <c r="I51" s="30" t="s">
        <v>2486</v>
      </c>
      <c r="J51" s="30">
        <v>40</v>
      </c>
      <c r="L51" s="30">
        <v>40</v>
      </c>
      <c r="M51" s="44" t="str">
        <f t="shared" si="3"/>
        <v>Guanajuato</v>
      </c>
      <c r="N51" s="45" t="str">
        <f t="shared" si="4"/>
        <v>No</v>
      </c>
      <c r="O51" s="45" t="str">
        <f t="shared" si="5"/>
        <v>No</v>
      </c>
      <c r="P51" s="44"/>
    </row>
    <row r="52" spans="1:16">
      <c r="A52" s="30" t="s">
        <v>2542</v>
      </c>
      <c r="B52" s="29" t="s">
        <v>399</v>
      </c>
      <c r="C52" s="30" t="s">
        <v>2521</v>
      </c>
      <c r="D52" s="30" t="s">
        <v>2491</v>
      </c>
      <c r="E52" s="32">
        <v>49</v>
      </c>
      <c r="F52" s="30" t="s">
        <v>2521</v>
      </c>
      <c r="H52" s="30" t="s">
        <v>2486</v>
      </c>
      <c r="I52" s="30" t="s">
        <v>2486</v>
      </c>
      <c r="J52" s="30">
        <v>5</v>
      </c>
      <c r="K52" s="30">
        <v>5</v>
      </c>
      <c r="L52" s="30">
        <v>0</v>
      </c>
      <c r="M52" s="44" t="str">
        <f t="shared" si="3"/>
        <v>Guanajuato</v>
      </c>
      <c r="N52" s="45" t="str">
        <f t="shared" si="4"/>
        <v>No</v>
      </c>
      <c r="O52" s="45" t="str">
        <f t="shared" si="5"/>
        <v>No</v>
      </c>
      <c r="P52" s="44"/>
    </row>
    <row r="53" spans="1:16">
      <c r="A53" s="30" t="s">
        <v>2543</v>
      </c>
      <c r="B53" s="29" t="s">
        <v>403</v>
      </c>
      <c r="C53" s="30" t="s">
        <v>2521</v>
      </c>
      <c r="D53" s="30" t="s">
        <v>2491</v>
      </c>
      <c r="E53" s="32">
        <v>49</v>
      </c>
      <c r="F53" s="30" t="s">
        <v>2521</v>
      </c>
      <c r="H53" s="30" t="s">
        <v>2486</v>
      </c>
      <c r="I53" s="30" t="s">
        <v>2486</v>
      </c>
      <c r="J53" s="30">
        <v>8</v>
      </c>
      <c r="K53" s="30">
        <v>8</v>
      </c>
      <c r="L53" s="30">
        <v>0</v>
      </c>
      <c r="M53" s="44" t="str">
        <f t="shared" si="3"/>
        <v>Guanajuato</v>
      </c>
      <c r="N53" s="45" t="str">
        <f t="shared" si="4"/>
        <v>No</v>
      </c>
      <c r="O53" s="45" t="str">
        <f t="shared" si="5"/>
        <v>No</v>
      </c>
      <c r="P53" s="44"/>
    </row>
    <row r="54" spans="1:16">
      <c r="A54" s="30" t="s">
        <v>2544</v>
      </c>
      <c r="B54" s="29" t="s">
        <v>405</v>
      </c>
      <c r="C54" s="30" t="s">
        <v>2521</v>
      </c>
      <c r="D54" s="30" t="s">
        <v>2491</v>
      </c>
      <c r="E54" s="32">
        <v>49</v>
      </c>
      <c r="F54" s="30" t="s">
        <v>2521</v>
      </c>
      <c r="H54" s="30" t="s">
        <v>2486</v>
      </c>
      <c r="I54" s="30" t="s">
        <v>2486</v>
      </c>
      <c r="J54" s="30">
        <v>2</v>
      </c>
      <c r="K54" s="30">
        <v>2</v>
      </c>
      <c r="L54" s="30">
        <v>0</v>
      </c>
      <c r="M54" s="44" t="str">
        <f t="shared" si="3"/>
        <v>Guanajuato</v>
      </c>
      <c r="N54" s="45" t="str">
        <f t="shared" si="4"/>
        <v>No</v>
      </c>
      <c r="O54" s="45" t="str">
        <f t="shared" si="5"/>
        <v>No</v>
      </c>
      <c r="P54" s="44"/>
    </row>
    <row r="55" spans="1:16">
      <c r="A55" s="30" t="s">
        <v>2545</v>
      </c>
      <c r="B55" s="29" t="s">
        <v>410</v>
      </c>
      <c r="C55" s="30" t="s">
        <v>2521</v>
      </c>
      <c r="D55" s="30" t="s">
        <v>2491</v>
      </c>
      <c r="E55" s="32">
        <v>49</v>
      </c>
      <c r="F55" s="30" t="s">
        <v>2521</v>
      </c>
      <c r="H55" s="30" t="s">
        <v>2486</v>
      </c>
      <c r="I55" s="30" t="s">
        <v>2486</v>
      </c>
      <c r="J55" s="30">
        <v>42</v>
      </c>
      <c r="K55" s="30">
        <v>42</v>
      </c>
      <c r="L55" s="30">
        <v>0</v>
      </c>
      <c r="M55" s="44" t="str">
        <f t="shared" si="3"/>
        <v>Guanajuato</v>
      </c>
      <c r="N55" s="45" t="str">
        <f t="shared" si="4"/>
        <v>No</v>
      </c>
      <c r="O55" s="45" t="str">
        <f t="shared" si="5"/>
        <v>No</v>
      </c>
      <c r="P55" s="44"/>
    </row>
    <row r="56" spans="1:16">
      <c r="A56" s="30" t="s">
        <v>2546</v>
      </c>
      <c r="B56" s="29" t="s">
        <v>412</v>
      </c>
      <c r="C56" s="30" t="s">
        <v>2521</v>
      </c>
      <c r="D56" s="30" t="s">
        <v>2491</v>
      </c>
      <c r="E56" s="32">
        <v>49</v>
      </c>
      <c r="F56" s="30" t="s">
        <v>2521</v>
      </c>
      <c r="H56" s="30" t="s">
        <v>2486</v>
      </c>
      <c r="I56" s="30" t="s">
        <v>2486</v>
      </c>
      <c r="J56" s="30">
        <v>15</v>
      </c>
      <c r="K56" s="30">
        <v>15</v>
      </c>
      <c r="L56" s="30">
        <v>0</v>
      </c>
      <c r="M56" s="44" t="str">
        <f t="shared" si="3"/>
        <v>Guanajuato</v>
      </c>
      <c r="N56" s="45" t="str">
        <f t="shared" si="4"/>
        <v>No</v>
      </c>
      <c r="O56" s="45" t="str">
        <f t="shared" si="5"/>
        <v>No</v>
      </c>
      <c r="P56" s="44"/>
    </row>
    <row r="57" spans="1:16">
      <c r="A57" s="30" t="s">
        <v>2547</v>
      </c>
      <c r="B57" s="29" t="s">
        <v>414</v>
      </c>
      <c r="C57" s="30" t="s">
        <v>2521</v>
      </c>
      <c r="D57" s="30" t="s">
        <v>2491</v>
      </c>
      <c r="E57" s="32">
        <v>49</v>
      </c>
      <c r="F57" s="30" t="s">
        <v>2521</v>
      </c>
      <c r="H57" s="30" t="s">
        <v>2486</v>
      </c>
      <c r="I57" s="30" t="s">
        <v>2486</v>
      </c>
      <c r="J57" s="30">
        <v>5</v>
      </c>
      <c r="K57" s="30">
        <v>5</v>
      </c>
      <c r="L57" s="30">
        <v>0</v>
      </c>
      <c r="M57" s="44" t="str">
        <f t="shared" si="3"/>
        <v>Guanajuato</v>
      </c>
      <c r="N57" s="45" t="str">
        <f t="shared" si="4"/>
        <v>No</v>
      </c>
      <c r="O57" s="45" t="str">
        <f t="shared" si="5"/>
        <v>No</v>
      </c>
      <c r="P57" s="44"/>
    </row>
    <row r="58" spans="1:16">
      <c r="A58" s="30" t="s">
        <v>2548</v>
      </c>
      <c r="B58" s="29" t="s">
        <v>416</v>
      </c>
      <c r="C58" s="30" t="s">
        <v>2521</v>
      </c>
      <c r="D58" s="30" t="s">
        <v>2491</v>
      </c>
      <c r="E58" s="32">
        <v>49</v>
      </c>
      <c r="F58" s="30" t="s">
        <v>2521</v>
      </c>
      <c r="H58" s="30" t="s">
        <v>2486</v>
      </c>
      <c r="I58" s="30" t="s">
        <v>2486</v>
      </c>
      <c r="J58" s="30">
        <v>4</v>
      </c>
      <c r="K58" s="30">
        <v>4</v>
      </c>
      <c r="L58" s="30">
        <v>0</v>
      </c>
      <c r="M58" s="44" t="str">
        <f t="shared" si="3"/>
        <v>Guanajuato</v>
      </c>
      <c r="N58" s="45" t="str">
        <f t="shared" si="4"/>
        <v>No</v>
      </c>
      <c r="O58" s="45" t="str">
        <f t="shared" si="5"/>
        <v>No</v>
      </c>
      <c r="P58" s="44"/>
    </row>
    <row r="59" spans="1:16">
      <c r="A59" s="30" t="s">
        <v>2549</v>
      </c>
      <c r="B59" s="29" t="s">
        <v>418</v>
      </c>
      <c r="C59" s="30" t="s">
        <v>2521</v>
      </c>
      <c r="D59" s="30" t="s">
        <v>2491</v>
      </c>
      <c r="E59" s="32">
        <v>49</v>
      </c>
      <c r="F59" s="30" t="s">
        <v>2521</v>
      </c>
      <c r="H59" s="30" t="s">
        <v>2486</v>
      </c>
      <c r="I59" s="30" t="s">
        <v>2486</v>
      </c>
      <c r="J59" s="30">
        <v>4</v>
      </c>
      <c r="K59" s="30">
        <v>4</v>
      </c>
      <c r="L59" s="30">
        <v>0</v>
      </c>
      <c r="M59" s="44" t="str">
        <f t="shared" si="3"/>
        <v>Guanajuato</v>
      </c>
      <c r="N59" s="45" t="str">
        <f t="shared" si="4"/>
        <v>No</v>
      </c>
      <c r="O59" s="45" t="str">
        <f t="shared" si="5"/>
        <v>No</v>
      </c>
      <c r="P59" s="44"/>
    </row>
    <row r="60" spans="1:16">
      <c r="A60" s="46" t="s">
        <v>2550</v>
      </c>
      <c r="B60" s="29" t="s">
        <v>420</v>
      </c>
      <c r="C60" s="30" t="s">
        <v>2521</v>
      </c>
      <c r="D60" s="30" t="s">
        <v>2491</v>
      </c>
      <c r="E60" s="32">
        <v>49</v>
      </c>
      <c r="F60" s="30" t="s">
        <v>2521</v>
      </c>
      <c r="H60" s="30" t="s">
        <v>2486</v>
      </c>
      <c r="I60" s="30" t="s">
        <v>2486</v>
      </c>
      <c r="J60" s="30">
        <v>50</v>
      </c>
      <c r="K60" s="30">
        <v>50</v>
      </c>
      <c r="L60" s="30">
        <v>0</v>
      </c>
      <c r="M60" s="44" t="str">
        <f t="shared" si="3"/>
        <v>Guanajuato</v>
      </c>
      <c r="N60" s="45" t="str">
        <f t="shared" si="4"/>
        <v>No</v>
      </c>
      <c r="O60" s="45" t="str">
        <f t="shared" si="5"/>
        <v>No</v>
      </c>
      <c r="P60" s="44"/>
    </row>
    <row r="61" spans="1:16">
      <c r="A61" s="30" t="s">
        <v>2551</v>
      </c>
      <c r="B61" s="29" t="s">
        <v>423</v>
      </c>
      <c r="C61" s="30" t="s">
        <v>2521</v>
      </c>
      <c r="D61" s="30" t="s">
        <v>2552</v>
      </c>
      <c r="E61" s="32">
        <v>49</v>
      </c>
      <c r="F61" s="30" t="s">
        <v>2521</v>
      </c>
      <c r="H61" s="30" t="s">
        <v>2486</v>
      </c>
      <c r="I61" s="30" t="s">
        <v>2486</v>
      </c>
      <c r="J61" s="30">
        <v>41</v>
      </c>
      <c r="K61" s="30">
        <v>41</v>
      </c>
      <c r="L61" s="30">
        <v>0</v>
      </c>
      <c r="M61" s="44" t="str">
        <f t="shared" si="3"/>
        <v>Guanajuato</v>
      </c>
      <c r="N61" s="45" t="str">
        <f t="shared" si="4"/>
        <v>No</v>
      </c>
      <c r="O61" s="45" t="str">
        <f t="shared" si="5"/>
        <v>No</v>
      </c>
      <c r="P61" s="44"/>
    </row>
    <row r="62" spans="1:16">
      <c r="A62" s="30" t="s">
        <v>2553</v>
      </c>
      <c r="B62" s="29" t="s">
        <v>426</v>
      </c>
      <c r="C62" s="30" t="s">
        <v>2521</v>
      </c>
      <c r="D62" s="30" t="s">
        <v>2491</v>
      </c>
      <c r="E62" s="32">
        <v>49</v>
      </c>
      <c r="F62" s="30" t="s">
        <v>2521</v>
      </c>
      <c r="H62" s="30" t="s">
        <v>2486</v>
      </c>
      <c r="I62" s="30" t="s">
        <v>2486</v>
      </c>
      <c r="J62" s="30">
        <v>18</v>
      </c>
      <c r="K62" s="30">
        <v>18</v>
      </c>
      <c r="L62" s="30">
        <v>0</v>
      </c>
      <c r="M62" s="44" t="str">
        <f t="shared" si="3"/>
        <v>Guanajuato</v>
      </c>
      <c r="N62" s="45" t="str">
        <f t="shared" si="4"/>
        <v>No</v>
      </c>
      <c r="O62" s="45" t="str">
        <f t="shared" si="5"/>
        <v>No</v>
      </c>
      <c r="P62" s="44"/>
    </row>
    <row r="63" spans="1:16">
      <c r="A63" s="30" t="s">
        <v>2554</v>
      </c>
      <c r="B63" s="29" t="s">
        <v>429</v>
      </c>
      <c r="C63" s="30" t="s">
        <v>2521</v>
      </c>
      <c r="D63" s="30" t="s">
        <v>2491</v>
      </c>
      <c r="E63" s="32">
        <v>49</v>
      </c>
      <c r="F63" s="30" t="s">
        <v>2521</v>
      </c>
      <c r="H63" s="30" t="s">
        <v>2486</v>
      </c>
      <c r="I63" s="30" t="s">
        <v>2486</v>
      </c>
      <c r="J63" s="30">
        <v>29</v>
      </c>
      <c r="K63" s="30">
        <v>29</v>
      </c>
      <c r="L63" s="30">
        <v>0</v>
      </c>
      <c r="M63" s="44" t="str">
        <f t="shared" si="3"/>
        <v>Guanajuato</v>
      </c>
      <c r="N63" s="45" t="str">
        <f t="shared" si="4"/>
        <v>No</v>
      </c>
      <c r="O63" s="45" t="str">
        <f t="shared" si="5"/>
        <v>No</v>
      </c>
      <c r="P63" s="44"/>
    </row>
    <row r="64" spans="1:16">
      <c r="A64" s="30" t="s">
        <v>2555</v>
      </c>
      <c r="B64" s="29" t="s">
        <v>431</v>
      </c>
      <c r="C64" s="30" t="s">
        <v>2521</v>
      </c>
      <c r="D64" s="30" t="s">
        <v>2491</v>
      </c>
      <c r="E64" s="32"/>
      <c r="H64" s="30" t="s">
        <v>168</v>
      </c>
      <c r="I64" s="30" t="s">
        <v>168</v>
      </c>
      <c r="J64" s="30">
        <v>29</v>
      </c>
      <c r="K64" s="30">
        <v>29</v>
      </c>
      <c r="L64" s="30">
        <v>0</v>
      </c>
      <c r="M64" s="44">
        <f t="shared" si="3"/>
        <v>0</v>
      </c>
      <c r="N64" s="45" t="str">
        <f t="shared" si="4"/>
        <v>No</v>
      </c>
      <c r="O64" s="45" t="str">
        <f t="shared" si="5"/>
        <v>No</v>
      </c>
      <c r="P64" s="44"/>
    </row>
    <row r="65" spans="1:16">
      <c r="A65" s="30" t="s">
        <v>2556</v>
      </c>
      <c r="B65" s="29" t="s">
        <v>434</v>
      </c>
      <c r="C65" s="30" t="s">
        <v>2521</v>
      </c>
      <c r="D65" s="30" t="s">
        <v>2552</v>
      </c>
      <c r="E65" s="32">
        <v>49</v>
      </c>
      <c r="F65" s="30" t="s">
        <v>2521</v>
      </c>
      <c r="H65" s="30" t="s">
        <v>2486</v>
      </c>
      <c r="I65" s="30" t="s">
        <v>2486</v>
      </c>
      <c r="J65" s="30">
        <v>86</v>
      </c>
      <c r="K65" s="30">
        <v>86</v>
      </c>
      <c r="L65" s="30">
        <v>0</v>
      </c>
      <c r="M65" s="44" t="str">
        <f t="shared" si="3"/>
        <v>Guanajuato</v>
      </c>
      <c r="N65" s="45" t="str">
        <f t="shared" si="4"/>
        <v>No</v>
      </c>
      <c r="O65" s="45" t="str">
        <f t="shared" si="5"/>
        <v>No</v>
      </c>
      <c r="P65" s="44"/>
    </row>
    <row r="66" spans="1:16">
      <c r="A66" s="30" t="s">
        <v>2557</v>
      </c>
      <c r="B66" s="29" t="s">
        <v>437</v>
      </c>
      <c r="C66" s="30" t="s">
        <v>2521</v>
      </c>
      <c r="D66" s="30" t="s">
        <v>2491</v>
      </c>
      <c r="E66" s="32">
        <v>49</v>
      </c>
      <c r="F66" s="30" t="s">
        <v>2521</v>
      </c>
      <c r="H66" s="30" t="s">
        <v>2486</v>
      </c>
      <c r="I66" s="30" t="s">
        <v>2486</v>
      </c>
      <c r="J66" s="30">
        <v>22</v>
      </c>
      <c r="K66" s="30">
        <v>22</v>
      </c>
      <c r="L66" s="30">
        <v>0</v>
      </c>
      <c r="M66" s="44" t="str">
        <f t="shared" si="3"/>
        <v>Guanajuato</v>
      </c>
      <c r="N66" s="45" t="str">
        <f t="shared" si="4"/>
        <v>No</v>
      </c>
      <c r="O66" s="45" t="str">
        <f t="shared" si="5"/>
        <v>No</v>
      </c>
      <c r="P66" s="44"/>
    </row>
    <row r="67" spans="1:16">
      <c r="A67" s="30" t="s">
        <v>2558</v>
      </c>
      <c r="B67" s="29" t="s">
        <v>440</v>
      </c>
      <c r="C67" s="30" t="s">
        <v>2521</v>
      </c>
      <c r="D67" s="30" t="s">
        <v>2491</v>
      </c>
      <c r="E67" s="32"/>
      <c r="H67" s="30" t="s">
        <v>168</v>
      </c>
      <c r="I67" s="30" t="s">
        <v>168</v>
      </c>
      <c r="J67" s="30">
        <v>22</v>
      </c>
      <c r="K67" s="30">
        <v>22</v>
      </c>
      <c r="L67" s="30">
        <v>0</v>
      </c>
      <c r="M67" s="44">
        <f t="shared" si="3"/>
        <v>0</v>
      </c>
      <c r="N67" s="45" t="str">
        <f t="shared" si="4"/>
        <v>No</v>
      </c>
      <c r="O67" s="45" t="str">
        <f t="shared" si="5"/>
        <v>No</v>
      </c>
      <c r="P67" s="44"/>
    </row>
    <row r="68" spans="1:16">
      <c r="A68" s="30" t="s">
        <v>2559</v>
      </c>
      <c r="B68" s="29" t="s">
        <v>442</v>
      </c>
      <c r="C68" s="30" t="s">
        <v>2521</v>
      </c>
      <c r="D68" s="30" t="s">
        <v>2491</v>
      </c>
      <c r="E68" s="32"/>
      <c r="H68" s="30" t="s">
        <v>168</v>
      </c>
      <c r="I68" s="30" t="s">
        <v>168</v>
      </c>
      <c r="J68" s="30">
        <v>61</v>
      </c>
      <c r="K68" s="30">
        <v>61</v>
      </c>
      <c r="L68" s="30">
        <v>0</v>
      </c>
      <c r="M68" s="44">
        <f t="shared" si="3"/>
        <v>0</v>
      </c>
      <c r="N68" s="45" t="str">
        <f t="shared" si="4"/>
        <v>No</v>
      </c>
      <c r="O68" s="45" t="str">
        <f t="shared" si="5"/>
        <v>No</v>
      </c>
      <c r="P68" s="44"/>
    </row>
    <row r="69" spans="1:16">
      <c r="A69" s="30" t="s">
        <v>2560</v>
      </c>
      <c r="B69" s="29" t="s">
        <v>447</v>
      </c>
      <c r="C69" s="30" t="s">
        <v>2521</v>
      </c>
      <c r="D69" s="30" t="s">
        <v>2491</v>
      </c>
      <c r="E69" s="32"/>
      <c r="H69" s="30" t="s">
        <v>168</v>
      </c>
      <c r="I69" s="30" t="s">
        <v>168</v>
      </c>
      <c r="J69" s="30">
        <v>92</v>
      </c>
      <c r="L69" s="30">
        <v>92</v>
      </c>
      <c r="M69" s="44">
        <f t="shared" si="3"/>
        <v>0</v>
      </c>
      <c r="N69" s="45" t="str">
        <f t="shared" si="4"/>
        <v>No</v>
      </c>
      <c r="O69" s="45" t="str">
        <f t="shared" si="5"/>
        <v>No</v>
      </c>
      <c r="P69" s="44"/>
    </row>
    <row r="70" spans="1:16">
      <c r="A70" s="30" t="s">
        <v>2561</v>
      </c>
      <c r="B70" s="29" t="s">
        <v>450</v>
      </c>
      <c r="C70" s="30" t="s">
        <v>2521</v>
      </c>
      <c r="D70" s="30" t="s">
        <v>2491</v>
      </c>
      <c r="E70" s="32"/>
      <c r="H70" s="30" t="s">
        <v>168</v>
      </c>
      <c r="I70" s="30" t="s">
        <v>168</v>
      </c>
      <c r="J70" s="30">
        <v>45</v>
      </c>
      <c r="K70" s="30">
        <v>45</v>
      </c>
      <c r="L70" s="30">
        <v>0</v>
      </c>
      <c r="M70" s="44">
        <f t="shared" si="3"/>
        <v>0</v>
      </c>
      <c r="N70" s="45" t="str">
        <f t="shared" si="4"/>
        <v>No</v>
      </c>
      <c r="O70" s="45" t="str">
        <f t="shared" si="5"/>
        <v>No</v>
      </c>
      <c r="P70" s="44"/>
    </row>
    <row r="71" spans="1:16">
      <c r="A71" s="30" t="s">
        <v>2562</v>
      </c>
      <c r="B71" s="29" t="s">
        <v>454</v>
      </c>
      <c r="C71" s="30" t="s">
        <v>2521</v>
      </c>
      <c r="D71" s="30" t="s">
        <v>2491</v>
      </c>
      <c r="E71" s="32"/>
      <c r="H71" s="30" t="s">
        <v>168</v>
      </c>
      <c r="I71" s="30" t="s">
        <v>168</v>
      </c>
      <c r="J71" s="30">
        <v>20</v>
      </c>
      <c r="K71" s="30">
        <v>20</v>
      </c>
      <c r="L71" s="30">
        <v>0</v>
      </c>
      <c r="M71" s="44">
        <f t="shared" si="3"/>
        <v>0</v>
      </c>
      <c r="N71" s="45" t="str">
        <f t="shared" si="4"/>
        <v>No</v>
      </c>
      <c r="O71" s="45" t="str">
        <f t="shared" si="5"/>
        <v>No</v>
      </c>
      <c r="P71" s="44"/>
    </row>
    <row r="72" spans="1:16">
      <c r="A72" s="30" t="s">
        <v>2563</v>
      </c>
      <c r="B72" s="29" t="s">
        <v>457</v>
      </c>
      <c r="C72" s="30" t="s">
        <v>2521</v>
      </c>
      <c r="D72" s="30" t="s">
        <v>2491</v>
      </c>
      <c r="E72" s="32"/>
      <c r="G72" s="30" t="s">
        <v>2526</v>
      </c>
      <c r="H72" s="30" t="s">
        <v>168</v>
      </c>
      <c r="I72" s="30" t="s">
        <v>168</v>
      </c>
      <c r="J72" s="30">
        <v>24</v>
      </c>
      <c r="K72" s="30">
        <v>24</v>
      </c>
      <c r="L72" s="30">
        <v>0</v>
      </c>
      <c r="M72" s="44" t="str">
        <f t="shared" si="3"/>
        <v>GUANAJUATO CENTRO</v>
      </c>
      <c r="N72" s="45" t="str">
        <f t="shared" si="4"/>
        <v>No</v>
      </c>
      <c r="O72" s="45" t="str">
        <f t="shared" si="5"/>
        <v>No</v>
      </c>
      <c r="P72" s="44"/>
    </row>
    <row r="73" spans="1:16">
      <c r="A73" s="46" t="s">
        <v>2564</v>
      </c>
      <c r="B73" s="29" t="s">
        <v>459</v>
      </c>
      <c r="C73" s="30" t="s">
        <v>2521</v>
      </c>
      <c r="D73" s="30" t="s">
        <v>2491</v>
      </c>
      <c r="E73" s="32"/>
      <c r="G73" s="30" t="s">
        <v>2526</v>
      </c>
      <c r="H73" s="30" t="s">
        <v>168</v>
      </c>
      <c r="I73" s="30" t="s">
        <v>168</v>
      </c>
      <c r="J73" s="30">
        <v>22</v>
      </c>
      <c r="L73" s="30">
        <v>22</v>
      </c>
      <c r="M73" s="44" t="str">
        <f t="shared" si="3"/>
        <v>GUANAJUATO CENTRO</v>
      </c>
      <c r="N73" s="45" t="str">
        <f t="shared" si="4"/>
        <v>No</v>
      </c>
      <c r="O73" s="45" t="str">
        <f t="shared" si="5"/>
        <v>No</v>
      </c>
      <c r="P73" s="44"/>
    </row>
    <row r="74" spans="1:16">
      <c r="A74" s="30" t="s">
        <v>2565</v>
      </c>
      <c r="B74" s="29" t="s">
        <v>465</v>
      </c>
      <c r="C74" s="30" t="s">
        <v>2521</v>
      </c>
      <c r="D74" s="30" t="s">
        <v>2491</v>
      </c>
      <c r="E74" s="32"/>
      <c r="G74" s="30" t="s">
        <v>2526</v>
      </c>
      <c r="H74" s="30" t="s">
        <v>168</v>
      </c>
      <c r="I74" s="30" t="s">
        <v>168</v>
      </c>
      <c r="J74" s="30">
        <v>26</v>
      </c>
      <c r="L74" s="30">
        <v>26</v>
      </c>
      <c r="M74" s="44" t="str">
        <f t="shared" si="3"/>
        <v>GUANAJUATO CENTRO</v>
      </c>
      <c r="N74" s="45" t="str">
        <f t="shared" si="4"/>
        <v>No</v>
      </c>
      <c r="O74" s="45" t="str">
        <f t="shared" si="5"/>
        <v>No</v>
      </c>
      <c r="P74" s="44"/>
    </row>
    <row r="75" spans="1:16">
      <c r="A75" s="30" t="s">
        <v>2566</v>
      </c>
      <c r="B75" s="29" t="s">
        <v>469</v>
      </c>
      <c r="C75" s="30" t="s">
        <v>2521</v>
      </c>
      <c r="D75" s="30" t="s">
        <v>2491</v>
      </c>
      <c r="E75" s="32"/>
      <c r="G75" s="30" t="s">
        <v>2567</v>
      </c>
      <c r="H75" s="30" t="s">
        <v>168</v>
      </c>
      <c r="I75" s="30" t="s">
        <v>168</v>
      </c>
      <c r="J75" s="30">
        <v>20</v>
      </c>
      <c r="L75" s="30">
        <v>20</v>
      </c>
      <c r="M75" s="44" t="str">
        <f t="shared" si="3"/>
        <v>ZONA CENTRO</v>
      </c>
      <c r="N75" s="45" t="str">
        <f t="shared" si="4"/>
        <v>No</v>
      </c>
      <c r="O75" s="45" t="str">
        <f t="shared" si="5"/>
        <v>No</v>
      </c>
      <c r="P75" s="44"/>
    </row>
    <row r="76" spans="1:16">
      <c r="A76" s="30" t="s">
        <v>2568</v>
      </c>
      <c r="B76" s="29" t="s">
        <v>472</v>
      </c>
      <c r="C76" s="30" t="s">
        <v>2521</v>
      </c>
      <c r="D76" s="30" t="s">
        <v>2491</v>
      </c>
      <c r="E76" s="32"/>
      <c r="G76" s="30" t="s">
        <v>2526</v>
      </c>
      <c r="H76" s="30" t="s">
        <v>168</v>
      </c>
      <c r="I76" s="30" t="s">
        <v>168</v>
      </c>
      <c r="J76" s="30">
        <v>50</v>
      </c>
      <c r="L76" s="30">
        <v>50</v>
      </c>
      <c r="M76" s="44" t="str">
        <f t="shared" si="3"/>
        <v>GUANAJUATO CENTRO</v>
      </c>
      <c r="N76" s="45" t="str">
        <f t="shared" si="4"/>
        <v>No</v>
      </c>
      <c r="O76" s="45" t="str">
        <f t="shared" si="5"/>
        <v>No</v>
      </c>
      <c r="P76" s="44"/>
    </row>
    <row r="77" spans="1:16">
      <c r="A77" s="30" t="s">
        <v>2569</v>
      </c>
      <c r="B77" s="29" t="s">
        <v>476</v>
      </c>
      <c r="C77" s="30" t="s">
        <v>2521</v>
      </c>
      <c r="D77" s="30" t="s">
        <v>2491</v>
      </c>
      <c r="E77" s="32"/>
      <c r="H77" s="30" t="s">
        <v>168</v>
      </c>
      <c r="I77" s="30" t="s">
        <v>168</v>
      </c>
      <c r="J77" s="30">
        <v>375</v>
      </c>
      <c r="L77" s="30">
        <v>375</v>
      </c>
      <c r="M77" s="44">
        <f t="shared" si="3"/>
        <v>0</v>
      </c>
      <c r="N77" s="45" t="str">
        <f t="shared" si="4"/>
        <v>No</v>
      </c>
      <c r="O77" s="45" t="str">
        <f t="shared" si="5"/>
        <v>No</v>
      </c>
      <c r="P77" s="44"/>
    </row>
    <row r="78" spans="1:16">
      <c r="A78" s="30" t="s">
        <v>2570</v>
      </c>
      <c r="B78" s="29" t="s">
        <v>481</v>
      </c>
      <c r="C78" s="30" t="s">
        <v>2521</v>
      </c>
      <c r="D78" s="30" t="s">
        <v>2491</v>
      </c>
      <c r="E78" s="32"/>
      <c r="G78" s="30" t="s">
        <v>2567</v>
      </c>
      <c r="H78" s="30" t="s">
        <v>168</v>
      </c>
      <c r="I78" s="30" t="s">
        <v>168</v>
      </c>
      <c r="J78" s="30">
        <v>31</v>
      </c>
      <c r="L78" s="30">
        <v>31</v>
      </c>
      <c r="M78" s="44" t="str">
        <f t="shared" si="3"/>
        <v>ZONA CENTRO</v>
      </c>
      <c r="N78" s="45" t="str">
        <f t="shared" si="4"/>
        <v>No</v>
      </c>
      <c r="O78" s="45" t="str">
        <f t="shared" si="5"/>
        <v>No</v>
      </c>
      <c r="P78" s="44"/>
    </row>
    <row r="79" spans="1:16">
      <c r="A79" s="30" t="s">
        <v>2571</v>
      </c>
      <c r="B79" s="29" t="s">
        <v>485</v>
      </c>
      <c r="C79" s="30" t="s">
        <v>2521</v>
      </c>
      <c r="D79" s="30" t="s">
        <v>2491</v>
      </c>
      <c r="E79" s="32"/>
      <c r="G79" s="30" t="s">
        <v>2567</v>
      </c>
      <c r="H79" s="30" t="s">
        <v>168</v>
      </c>
      <c r="I79" s="30" t="s">
        <v>168</v>
      </c>
      <c r="J79" s="30">
        <v>268</v>
      </c>
      <c r="L79" s="30">
        <v>268</v>
      </c>
      <c r="M79" s="44" t="str">
        <f t="shared" si="3"/>
        <v>ZONA CENTRO</v>
      </c>
      <c r="N79" s="45" t="str">
        <f t="shared" si="4"/>
        <v>No</v>
      </c>
      <c r="O79" s="45" t="str">
        <f t="shared" si="5"/>
        <v>No</v>
      </c>
      <c r="P79" s="44"/>
    </row>
    <row r="80" spans="1:16">
      <c r="A80" s="30" t="s">
        <v>2572</v>
      </c>
      <c r="B80" s="29" t="s">
        <v>490</v>
      </c>
      <c r="C80" s="30" t="s">
        <v>2521</v>
      </c>
      <c r="D80" s="30" t="s">
        <v>2491</v>
      </c>
      <c r="E80" s="32"/>
      <c r="G80" s="30" t="s">
        <v>2567</v>
      </c>
      <c r="H80" s="30" t="s">
        <v>168</v>
      </c>
      <c r="I80" s="30" t="s">
        <v>168</v>
      </c>
      <c r="J80" s="30">
        <v>12</v>
      </c>
      <c r="L80" s="30">
        <v>12</v>
      </c>
      <c r="M80" s="44" t="str">
        <f t="shared" si="3"/>
        <v>ZONA CENTRO</v>
      </c>
      <c r="N80" s="45" t="str">
        <f t="shared" si="4"/>
        <v>No</v>
      </c>
      <c r="O80" s="45" t="str">
        <f t="shared" si="5"/>
        <v>No</v>
      </c>
      <c r="P80" s="44"/>
    </row>
    <row r="81" spans="1:16">
      <c r="A81" s="30" t="s">
        <v>2573</v>
      </c>
      <c r="B81" s="29" t="s">
        <v>494</v>
      </c>
      <c r="C81" s="30" t="s">
        <v>2521</v>
      </c>
      <c r="D81" s="30" t="s">
        <v>2491</v>
      </c>
      <c r="E81" s="32"/>
      <c r="G81" s="30" t="s">
        <v>2567</v>
      </c>
      <c r="H81" s="30" t="s">
        <v>168</v>
      </c>
      <c r="I81" s="30" t="s">
        <v>168</v>
      </c>
      <c r="J81" s="30">
        <v>13</v>
      </c>
      <c r="L81" s="30">
        <v>13</v>
      </c>
      <c r="M81" s="44" t="str">
        <f t="shared" si="3"/>
        <v>ZONA CENTRO</v>
      </c>
      <c r="N81" s="45" t="str">
        <f t="shared" si="4"/>
        <v>No</v>
      </c>
      <c r="O81" s="45" t="str">
        <f t="shared" si="5"/>
        <v>No</v>
      </c>
      <c r="P81" s="44"/>
    </row>
    <row r="82" spans="1:16">
      <c r="A82" s="30" t="s">
        <v>2574</v>
      </c>
      <c r="B82" s="29" t="s">
        <v>498</v>
      </c>
      <c r="C82" s="30" t="s">
        <v>2521</v>
      </c>
      <c r="D82" s="30" t="s">
        <v>2491</v>
      </c>
      <c r="E82" s="32"/>
      <c r="H82" s="30" t="s">
        <v>168</v>
      </c>
      <c r="I82" s="30" t="s">
        <v>168</v>
      </c>
      <c r="J82" s="30">
        <v>0</v>
      </c>
      <c r="L82" s="30">
        <v>0</v>
      </c>
      <c r="M82" s="44">
        <f t="shared" si="3"/>
        <v>0</v>
      </c>
      <c r="N82" s="45" t="str">
        <f t="shared" si="4"/>
        <v>No</v>
      </c>
      <c r="O82" s="45" t="str">
        <f t="shared" si="5"/>
        <v>No</v>
      </c>
      <c r="P82" s="44"/>
    </row>
    <row r="83" spans="1:16">
      <c r="A83" s="30" t="s">
        <v>2575</v>
      </c>
      <c r="B83" s="29" t="s">
        <v>502</v>
      </c>
      <c r="C83" s="30" t="s">
        <v>2521</v>
      </c>
      <c r="D83" s="30" t="s">
        <v>2491</v>
      </c>
      <c r="E83" s="32"/>
      <c r="G83" s="30" t="s">
        <v>2567</v>
      </c>
      <c r="H83" s="30" t="s">
        <v>168</v>
      </c>
      <c r="I83" s="30" t="s">
        <v>168</v>
      </c>
      <c r="J83" s="30">
        <v>255</v>
      </c>
      <c r="L83" s="30">
        <v>255</v>
      </c>
      <c r="M83" s="44" t="str">
        <f t="shared" si="3"/>
        <v>ZONA CENTRO</v>
      </c>
      <c r="N83" s="45" t="str">
        <f t="shared" si="4"/>
        <v>No</v>
      </c>
      <c r="O83" s="45" t="str">
        <f t="shared" si="5"/>
        <v>No</v>
      </c>
      <c r="P83" s="44"/>
    </row>
    <row r="84" spans="1:16">
      <c r="A84" s="30" t="s">
        <v>2576</v>
      </c>
      <c r="B84" s="29" t="s">
        <v>509</v>
      </c>
      <c r="C84" s="30" t="s">
        <v>2521</v>
      </c>
      <c r="D84" s="30" t="s">
        <v>2491</v>
      </c>
      <c r="E84" s="32"/>
      <c r="G84" s="30" t="s">
        <v>2567</v>
      </c>
      <c r="H84" s="30" t="s">
        <v>168</v>
      </c>
      <c r="I84" s="30" t="s">
        <v>168</v>
      </c>
      <c r="J84" s="30">
        <v>3</v>
      </c>
      <c r="L84" s="30">
        <v>3</v>
      </c>
      <c r="M84" s="44" t="str">
        <f t="shared" si="3"/>
        <v>ZONA CENTRO</v>
      </c>
      <c r="N84" s="45" t="str">
        <f t="shared" si="4"/>
        <v>No</v>
      </c>
      <c r="O84" s="45" t="str">
        <f t="shared" si="5"/>
        <v>No</v>
      </c>
      <c r="P84" s="44"/>
    </row>
    <row r="85" spans="1:16">
      <c r="A85" s="30" t="s">
        <v>2577</v>
      </c>
      <c r="B85" s="29" t="s">
        <v>511</v>
      </c>
      <c r="C85" s="30" t="s">
        <v>2521</v>
      </c>
      <c r="D85" s="30" t="s">
        <v>2491</v>
      </c>
      <c r="E85" s="32"/>
      <c r="G85" s="30" t="s">
        <v>2526</v>
      </c>
      <c r="H85" s="30" t="s">
        <v>168</v>
      </c>
      <c r="I85" s="30" t="s">
        <v>168</v>
      </c>
      <c r="J85" s="30">
        <v>4</v>
      </c>
      <c r="L85" s="30">
        <v>4</v>
      </c>
      <c r="M85" s="44" t="str">
        <f t="shared" si="3"/>
        <v>GUANAJUATO CENTRO</v>
      </c>
      <c r="N85" s="45" t="str">
        <f t="shared" si="4"/>
        <v>No</v>
      </c>
      <c r="O85" s="45" t="str">
        <f t="shared" si="5"/>
        <v>No</v>
      </c>
      <c r="P85" s="44"/>
    </row>
    <row r="86" spans="1:16">
      <c r="A86" s="30" t="s">
        <v>2578</v>
      </c>
      <c r="B86" s="29" t="s">
        <v>513</v>
      </c>
      <c r="C86" s="30" t="s">
        <v>2521</v>
      </c>
      <c r="D86" s="30" t="s">
        <v>2491</v>
      </c>
      <c r="E86" s="32"/>
      <c r="G86" s="30" t="s">
        <v>2567</v>
      </c>
      <c r="H86" s="30" t="s">
        <v>168</v>
      </c>
      <c r="I86" s="30" t="s">
        <v>168</v>
      </c>
      <c r="J86" s="30">
        <v>3</v>
      </c>
      <c r="L86" s="30">
        <v>3</v>
      </c>
      <c r="M86" s="44" t="str">
        <f t="shared" si="3"/>
        <v>ZONA CENTRO</v>
      </c>
      <c r="N86" s="45" t="str">
        <f t="shared" si="4"/>
        <v>No</v>
      </c>
      <c r="O86" s="45" t="str">
        <f t="shared" si="5"/>
        <v>No</v>
      </c>
      <c r="P86" s="44"/>
    </row>
    <row r="87" spans="1:16">
      <c r="A87" s="30" t="s">
        <v>2579</v>
      </c>
      <c r="B87" s="29" t="s">
        <v>515</v>
      </c>
      <c r="C87" s="30" t="s">
        <v>2521</v>
      </c>
      <c r="D87" s="30" t="s">
        <v>2491</v>
      </c>
      <c r="E87" s="32"/>
      <c r="H87" s="30" t="s">
        <v>168</v>
      </c>
      <c r="I87" s="30" t="s">
        <v>168</v>
      </c>
      <c r="J87" s="30">
        <v>2</v>
      </c>
      <c r="L87" s="30">
        <v>2</v>
      </c>
      <c r="M87" s="44">
        <f t="shared" si="3"/>
        <v>0</v>
      </c>
      <c r="N87" s="45" t="str">
        <f t="shared" si="4"/>
        <v>No</v>
      </c>
      <c r="O87" s="45" t="str">
        <f t="shared" si="5"/>
        <v>No</v>
      </c>
      <c r="P87" s="44"/>
    </row>
    <row r="88" spans="1:16">
      <c r="A88" s="30" t="s">
        <v>2580</v>
      </c>
      <c r="B88" s="29" t="s">
        <v>517</v>
      </c>
      <c r="C88" s="30" t="s">
        <v>2521</v>
      </c>
      <c r="D88" s="30" t="s">
        <v>2491</v>
      </c>
      <c r="E88" s="32"/>
      <c r="H88" s="30" t="s">
        <v>168</v>
      </c>
      <c r="I88" s="30" t="s">
        <v>168</v>
      </c>
      <c r="J88" s="30">
        <v>2</v>
      </c>
      <c r="L88" s="30">
        <v>2</v>
      </c>
      <c r="M88" s="44">
        <f t="shared" si="3"/>
        <v>0</v>
      </c>
      <c r="N88" s="45" t="str">
        <f t="shared" si="4"/>
        <v>No</v>
      </c>
      <c r="O88" s="45" t="str">
        <f t="shared" si="5"/>
        <v>No</v>
      </c>
      <c r="P88" s="44"/>
    </row>
    <row r="89" spans="1:16">
      <c r="A89" s="30" t="s">
        <v>2581</v>
      </c>
      <c r="B89" s="29" t="s">
        <v>519</v>
      </c>
      <c r="C89" s="30" t="s">
        <v>2521</v>
      </c>
      <c r="D89" s="30" t="s">
        <v>2491</v>
      </c>
      <c r="E89" s="32"/>
      <c r="H89" s="30" t="s">
        <v>168</v>
      </c>
      <c r="I89" s="30" t="s">
        <v>168</v>
      </c>
      <c r="J89" s="30">
        <v>2</v>
      </c>
      <c r="L89" s="30">
        <v>2</v>
      </c>
      <c r="M89" s="44">
        <f t="shared" si="3"/>
        <v>0</v>
      </c>
      <c r="N89" s="45" t="str">
        <f t="shared" si="4"/>
        <v>No</v>
      </c>
      <c r="O89" s="45" t="str">
        <f t="shared" si="5"/>
        <v>No</v>
      </c>
      <c r="P89" s="44"/>
    </row>
    <row r="90" spans="1:16">
      <c r="A90" s="30" t="s">
        <v>2582</v>
      </c>
      <c r="B90" s="29" t="s">
        <v>521</v>
      </c>
      <c r="C90" s="30" t="s">
        <v>2521</v>
      </c>
      <c r="D90" s="30" t="s">
        <v>2491</v>
      </c>
      <c r="E90" s="32"/>
      <c r="H90" s="30" t="s">
        <v>168</v>
      </c>
      <c r="I90" s="30" t="s">
        <v>168</v>
      </c>
      <c r="J90" s="30">
        <v>2</v>
      </c>
      <c r="L90" s="30">
        <v>2</v>
      </c>
      <c r="M90" s="44">
        <f t="shared" si="3"/>
        <v>0</v>
      </c>
      <c r="N90" s="45" t="str">
        <f t="shared" si="4"/>
        <v>No</v>
      </c>
      <c r="O90" s="45" t="str">
        <f t="shared" si="5"/>
        <v>No</v>
      </c>
      <c r="P90" s="44"/>
    </row>
    <row r="91" spans="1:16">
      <c r="A91" s="30" t="s">
        <v>2583</v>
      </c>
      <c r="B91" s="29" t="s">
        <v>523</v>
      </c>
      <c r="C91" s="30" t="s">
        <v>2521</v>
      </c>
      <c r="D91" s="30" t="s">
        <v>2491</v>
      </c>
      <c r="E91" s="32"/>
      <c r="H91" s="30" t="s">
        <v>168</v>
      </c>
      <c r="I91" s="30" t="s">
        <v>168</v>
      </c>
      <c r="J91" s="30">
        <v>2</v>
      </c>
      <c r="L91" s="30">
        <v>2</v>
      </c>
      <c r="M91" s="44">
        <f t="shared" si="3"/>
        <v>0</v>
      </c>
      <c r="N91" s="45" t="str">
        <f t="shared" si="4"/>
        <v>No</v>
      </c>
      <c r="O91" s="45" t="str">
        <f t="shared" si="5"/>
        <v>No</v>
      </c>
      <c r="P91" s="44"/>
    </row>
    <row r="92" spans="1:16">
      <c r="A92" s="30" t="s">
        <v>2584</v>
      </c>
      <c r="B92" s="29" t="s">
        <v>525</v>
      </c>
      <c r="C92" s="30" t="s">
        <v>2521</v>
      </c>
      <c r="D92" s="30" t="s">
        <v>2491</v>
      </c>
      <c r="E92" s="32"/>
      <c r="H92" s="30" t="s">
        <v>168</v>
      </c>
      <c r="I92" s="30" t="s">
        <v>168</v>
      </c>
      <c r="J92" s="30">
        <v>26</v>
      </c>
      <c r="L92" s="30">
        <v>26</v>
      </c>
      <c r="M92" s="44">
        <f t="shared" si="3"/>
        <v>0</v>
      </c>
      <c r="N92" s="45" t="str">
        <f t="shared" si="4"/>
        <v>No</v>
      </c>
      <c r="O92" s="45" t="str">
        <f t="shared" si="5"/>
        <v>No</v>
      </c>
      <c r="P92" s="44"/>
    </row>
    <row r="93" spans="1:16">
      <c r="A93" s="46" t="s">
        <v>2585</v>
      </c>
      <c r="B93" s="29" t="s">
        <v>528</v>
      </c>
      <c r="C93" s="30" t="s">
        <v>2521</v>
      </c>
      <c r="D93" s="30" t="s">
        <v>2491</v>
      </c>
      <c r="E93" s="32"/>
      <c r="H93" s="30" t="s">
        <v>168</v>
      </c>
      <c r="I93" s="30" t="s">
        <v>168</v>
      </c>
      <c r="J93" s="30">
        <v>17</v>
      </c>
      <c r="L93" s="30">
        <v>17</v>
      </c>
      <c r="M93" s="44">
        <f t="shared" si="3"/>
        <v>0</v>
      </c>
      <c r="N93" s="45" t="str">
        <f t="shared" si="4"/>
        <v>No</v>
      </c>
      <c r="O93" s="45" t="str">
        <f t="shared" si="5"/>
        <v>No</v>
      </c>
      <c r="P93" s="44"/>
    </row>
    <row r="94" spans="1:16">
      <c r="A94" s="30" t="s">
        <v>2586</v>
      </c>
      <c r="B94" s="29" t="s">
        <v>531</v>
      </c>
      <c r="C94" s="30" t="s">
        <v>2521</v>
      </c>
      <c r="D94" s="30" t="s">
        <v>2491</v>
      </c>
      <c r="E94" s="32"/>
      <c r="H94" s="30" t="s">
        <v>168</v>
      </c>
      <c r="I94" s="30" t="s">
        <v>168</v>
      </c>
      <c r="J94" s="30">
        <v>22</v>
      </c>
      <c r="L94" s="30">
        <v>22</v>
      </c>
      <c r="M94" s="44">
        <f t="shared" si="3"/>
        <v>0</v>
      </c>
      <c r="N94" s="45" t="str">
        <f t="shared" si="4"/>
        <v>No</v>
      </c>
      <c r="O94" s="45" t="str">
        <f t="shared" si="5"/>
        <v>No</v>
      </c>
      <c r="P94" s="44"/>
    </row>
    <row r="95" spans="1:16">
      <c r="A95" s="30" t="s">
        <v>2587</v>
      </c>
      <c r="B95" s="29" t="s">
        <v>533</v>
      </c>
      <c r="C95" s="30" t="s">
        <v>2521</v>
      </c>
      <c r="D95" s="30" t="s">
        <v>2491</v>
      </c>
      <c r="E95" s="32"/>
      <c r="G95" s="30" t="s">
        <v>2567</v>
      </c>
      <c r="H95" s="30" t="s">
        <v>168</v>
      </c>
      <c r="I95" s="30" t="s">
        <v>168</v>
      </c>
      <c r="J95" s="30">
        <v>74</v>
      </c>
      <c r="L95" s="30">
        <v>74</v>
      </c>
      <c r="M95" s="44" t="str">
        <f t="shared" si="3"/>
        <v>ZONA CENTRO</v>
      </c>
      <c r="N95" s="45" t="str">
        <f t="shared" si="4"/>
        <v>No</v>
      </c>
      <c r="O95" s="45" t="str">
        <f t="shared" si="5"/>
        <v>No</v>
      </c>
      <c r="P95" s="44"/>
    </row>
    <row r="96" spans="1:16">
      <c r="A96" s="30" t="s">
        <v>2588</v>
      </c>
      <c r="B96" s="29" t="s">
        <v>537</v>
      </c>
      <c r="C96" s="30" t="s">
        <v>2521</v>
      </c>
      <c r="D96" s="30" t="s">
        <v>2491</v>
      </c>
      <c r="E96" s="32"/>
      <c r="H96" s="30" t="s">
        <v>168</v>
      </c>
      <c r="I96" s="30" t="s">
        <v>168</v>
      </c>
      <c r="J96" s="30">
        <v>65</v>
      </c>
      <c r="L96" s="30">
        <v>65</v>
      </c>
      <c r="M96" s="44">
        <f t="shared" si="3"/>
        <v>0</v>
      </c>
      <c r="N96" s="45" t="str">
        <f t="shared" si="4"/>
        <v>No</v>
      </c>
      <c r="O96" s="45" t="str">
        <f t="shared" si="5"/>
        <v>No</v>
      </c>
      <c r="P96" s="44"/>
    </row>
    <row r="97" spans="1:16">
      <c r="A97" s="30" t="s">
        <v>2589</v>
      </c>
      <c r="B97" s="29" t="s">
        <v>541</v>
      </c>
      <c r="C97" s="30" t="s">
        <v>2521</v>
      </c>
      <c r="D97" s="30" t="s">
        <v>2491</v>
      </c>
      <c r="E97" s="32"/>
      <c r="G97" s="30" t="s">
        <v>2567</v>
      </c>
      <c r="H97" s="30" t="s">
        <v>168</v>
      </c>
      <c r="I97" s="30" t="s">
        <v>168</v>
      </c>
      <c r="J97" s="30">
        <v>8</v>
      </c>
      <c r="L97" s="30">
        <v>8</v>
      </c>
      <c r="M97" s="44" t="str">
        <f t="shared" si="3"/>
        <v>ZONA CENTRO</v>
      </c>
      <c r="N97" s="45" t="str">
        <f t="shared" si="4"/>
        <v>No</v>
      </c>
      <c r="O97" s="45" t="str">
        <f t="shared" si="5"/>
        <v>No</v>
      </c>
      <c r="P97" s="44"/>
    </row>
    <row r="98" spans="1:16">
      <c r="A98" s="30" t="s">
        <v>2590</v>
      </c>
      <c r="B98" s="29" t="s">
        <v>545</v>
      </c>
      <c r="C98" s="30" t="s">
        <v>2521</v>
      </c>
      <c r="D98" s="30" t="s">
        <v>2491</v>
      </c>
      <c r="E98" s="32"/>
      <c r="G98" s="30" t="s">
        <v>2567</v>
      </c>
      <c r="H98" s="30" t="s">
        <v>168</v>
      </c>
      <c r="I98" s="30" t="s">
        <v>168</v>
      </c>
      <c r="J98" s="30">
        <v>12</v>
      </c>
      <c r="L98" s="30">
        <v>12</v>
      </c>
      <c r="M98" s="44" t="str">
        <f t="shared" si="3"/>
        <v>ZONA CENTRO</v>
      </c>
      <c r="N98" s="45" t="str">
        <f t="shared" si="4"/>
        <v>No</v>
      </c>
      <c r="O98" s="45" t="str">
        <f t="shared" si="5"/>
        <v>No</v>
      </c>
      <c r="P98" s="44"/>
    </row>
    <row r="99" spans="1:16">
      <c r="A99" s="30" t="s">
        <v>2591</v>
      </c>
      <c r="B99" s="29" t="s">
        <v>549</v>
      </c>
      <c r="C99" s="30" t="s">
        <v>2521</v>
      </c>
      <c r="D99" s="30" t="s">
        <v>2491</v>
      </c>
      <c r="E99" s="32"/>
      <c r="G99" s="30" t="s">
        <v>2567</v>
      </c>
      <c r="H99" s="30" t="s">
        <v>168</v>
      </c>
      <c r="I99" s="30" t="s">
        <v>168</v>
      </c>
      <c r="J99" s="30">
        <v>13</v>
      </c>
      <c r="L99" s="30">
        <v>13</v>
      </c>
      <c r="M99" s="44" t="str">
        <f t="shared" si="3"/>
        <v>ZONA CENTRO</v>
      </c>
      <c r="N99" s="45" t="str">
        <f t="shared" si="4"/>
        <v>No</v>
      </c>
      <c r="O99" s="45" t="str">
        <f t="shared" si="5"/>
        <v>No</v>
      </c>
      <c r="P99" s="44"/>
    </row>
    <row r="100" spans="1:16">
      <c r="A100" s="30" t="s">
        <v>2592</v>
      </c>
      <c r="B100" s="29" t="s">
        <v>553</v>
      </c>
      <c r="C100" s="30" t="s">
        <v>2521</v>
      </c>
      <c r="D100" s="30" t="s">
        <v>2491</v>
      </c>
      <c r="E100" s="32"/>
      <c r="G100" s="30" t="s">
        <v>2567</v>
      </c>
      <c r="H100" s="30" t="s">
        <v>168</v>
      </c>
      <c r="I100" s="30" t="s">
        <v>168</v>
      </c>
      <c r="J100" s="30">
        <v>27</v>
      </c>
      <c r="K100" s="30">
        <v>27</v>
      </c>
      <c r="L100" s="30">
        <v>0</v>
      </c>
      <c r="M100" s="44" t="str">
        <f t="shared" si="3"/>
        <v>ZONA CENTRO</v>
      </c>
      <c r="N100" s="45" t="str">
        <f t="shared" si="4"/>
        <v>No</v>
      </c>
      <c r="O100" s="45" t="str">
        <f t="shared" si="5"/>
        <v>No</v>
      </c>
      <c r="P100" s="44"/>
    </row>
    <row r="101" spans="1:16">
      <c r="A101" s="30" t="s">
        <v>2593</v>
      </c>
      <c r="B101" s="29" t="s">
        <v>557</v>
      </c>
      <c r="C101" s="30" t="s">
        <v>2521</v>
      </c>
      <c r="D101" s="30" t="s">
        <v>2491</v>
      </c>
      <c r="E101" s="32"/>
      <c r="G101" s="30" t="s">
        <v>2567</v>
      </c>
      <c r="H101" s="30" t="s">
        <v>168</v>
      </c>
      <c r="I101" s="30" t="s">
        <v>168</v>
      </c>
      <c r="J101" s="30">
        <v>19</v>
      </c>
      <c r="L101" s="30">
        <v>19</v>
      </c>
      <c r="M101" s="44" t="str">
        <f t="shared" si="3"/>
        <v>ZONA CENTRO</v>
      </c>
      <c r="N101" s="45" t="str">
        <f t="shared" si="4"/>
        <v>No</v>
      </c>
      <c r="O101" s="45" t="str">
        <f t="shared" si="5"/>
        <v>No</v>
      </c>
      <c r="P101" s="44"/>
    </row>
    <row r="102" spans="1:16">
      <c r="A102" s="30" t="s">
        <v>2594</v>
      </c>
      <c r="B102" s="29" t="s">
        <v>563</v>
      </c>
      <c r="C102" s="30" t="s">
        <v>2521</v>
      </c>
      <c r="D102" s="30" t="s">
        <v>2491</v>
      </c>
      <c r="E102" s="32"/>
      <c r="G102" s="30" t="s">
        <v>2567</v>
      </c>
      <c r="H102" s="30" t="s">
        <v>168</v>
      </c>
      <c r="I102" s="30" t="s">
        <v>168</v>
      </c>
      <c r="J102" s="30">
        <v>7</v>
      </c>
      <c r="K102" s="30">
        <v>7</v>
      </c>
      <c r="L102" s="30">
        <v>0</v>
      </c>
      <c r="M102" s="44" t="str">
        <f t="shared" si="3"/>
        <v>ZONA CENTRO</v>
      </c>
      <c r="N102" s="45" t="str">
        <f t="shared" si="4"/>
        <v>No</v>
      </c>
      <c r="O102" s="45" t="str">
        <f t="shared" si="5"/>
        <v>No</v>
      </c>
      <c r="P102" s="44"/>
    </row>
    <row r="103" spans="1:16">
      <c r="A103" s="30" t="s">
        <v>2595</v>
      </c>
      <c r="B103" s="29" t="s">
        <v>567</v>
      </c>
      <c r="C103" s="30" t="s">
        <v>2521</v>
      </c>
      <c r="D103" s="30" t="s">
        <v>2552</v>
      </c>
      <c r="E103" s="32"/>
      <c r="G103" s="30" t="s">
        <v>2567</v>
      </c>
      <c r="H103" s="30" t="s">
        <v>168</v>
      </c>
      <c r="I103" s="30" t="s">
        <v>168</v>
      </c>
      <c r="J103" s="30">
        <v>19</v>
      </c>
      <c r="K103" s="30">
        <v>19</v>
      </c>
      <c r="L103" s="30">
        <v>0</v>
      </c>
      <c r="M103" s="44" t="str">
        <f t="shared" si="3"/>
        <v>ZONA CENTRO</v>
      </c>
      <c r="N103" s="45" t="str">
        <f t="shared" si="4"/>
        <v>No</v>
      </c>
      <c r="O103" s="45" t="str">
        <f t="shared" si="5"/>
        <v>No</v>
      </c>
      <c r="P103" s="44"/>
    </row>
    <row r="104" spans="1:16">
      <c r="A104" s="30" t="s">
        <v>2596</v>
      </c>
      <c r="B104" s="29" t="s">
        <v>571</v>
      </c>
      <c r="C104" s="30" t="s">
        <v>2521</v>
      </c>
      <c r="D104" s="30" t="s">
        <v>2491</v>
      </c>
      <c r="E104" s="32"/>
      <c r="G104" s="30" t="s">
        <v>2567</v>
      </c>
      <c r="H104" s="30" t="s">
        <v>168</v>
      </c>
      <c r="I104" s="30" t="s">
        <v>168</v>
      </c>
      <c r="J104" s="30">
        <v>103</v>
      </c>
      <c r="L104" s="30">
        <v>103</v>
      </c>
      <c r="M104" s="44" t="str">
        <f t="shared" si="3"/>
        <v>ZONA CENTRO</v>
      </c>
      <c r="N104" s="45" t="str">
        <f t="shared" si="4"/>
        <v>No</v>
      </c>
      <c r="O104" s="45" t="str">
        <f t="shared" si="5"/>
        <v>No</v>
      </c>
      <c r="P104" s="44"/>
    </row>
    <row r="105" spans="1:16">
      <c r="A105" s="30" t="s">
        <v>2597</v>
      </c>
      <c r="B105" s="29" t="s">
        <v>577</v>
      </c>
      <c r="C105" s="30" t="s">
        <v>2598</v>
      </c>
      <c r="D105" s="30" t="s">
        <v>2491</v>
      </c>
      <c r="E105" s="32">
        <v>171</v>
      </c>
      <c r="F105" s="30" t="s">
        <v>2599</v>
      </c>
      <c r="H105" s="30" t="s">
        <v>2486</v>
      </c>
      <c r="I105" s="30" t="s">
        <v>168</v>
      </c>
      <c r="J105" s="30">
        <v>55</v>
      </c>
      <c r="L105" s="30">
        <v>55</v>
      </c>
      <c r="M105" s="44" t="str">
        <f t="shared" si="3"/>
        <v>Purísima</v>
      </c>
      <c r="N105" s="45" t="str">
        <f t="shared" si="4"/>
        <v>No</v>
      </c>
      <c r="O105" s="45" t="str">
        <f t="shared" si="5"/>
        <v>No</v>
      </c>
      <c r="P105" s="44"/>
    </row>
    <row r="106" spans="1:16">
      <c r="A106" s="30" t="s">
        <v>2600</v>
      </c>
      <c r="B106" s="29" t="s">
        <v>585</v>
      </c>
      <c r="C106" s="30" t="s">
        <v>2598</v>
      </c>
      <c r="D106" s="30" t="s">
        <v>2491</v>
      </c>
      <c r="E106" s="32">
        <v>171</v>
      </c>
      <c r="F106" s="30" t="s">
        <v>2599</v>
      </c>
      <c r="H106" s="30" t="s">
        <v>2486</v>
      </c>
      <c r="I106" s="30" t="s">
        <v>168</v>
      </c>
      <c r="J106" s="30">
        <v>22</v>
      </c>
      <c r="K106" s="30">
        <v>22</v>
      </c>
      <c r="L106" s="30">
        <v>0</v>
      </c>
      <c r="M106" s="44" t="str">
        <f t="shared" si="3"/>
        <v>Purísima</v>
      </c>
      <c r="N106" s="45" t="str">
        <f t="shared" si="4"/>
        <v>No</v>
      </c>
      <c r="O106" s="45" t="str">
        <f t="shared" si="5"/>
        <v>No</v>
      </c>
      <c r="P106" s="44"/>
    </row>
    <row r="107" spans="1:16">
      <c r="A107" s="30" t="s">
        <v>2601</v>
      </c>
      <c r="B107" s="29" t="s">
        <v>593</v>
      </c>
      <c r="C107" s="30" t="s">
        <v>2598</v>
      </c>
      <c r="D107" s="30" t="s">
        <v>2491</v>
      </c>
      <c r="E107" s="32">
        <v>171</v>
      </c>
      <c r="F107" s="30" t="s">
        <v>2599</v>
      </c>
      <c r="H107" s="30" t="s">
        <v>2486</v>
      </c>
      <c r="I107" s="30" t="s">
        <v>168</v>
      </c>
      <c r="J107" s="30">
        <v>159</v>
      </c>
      <c r="L107" s="30">
        <v>159</v>
      </c>
      <c r="M107" s="44" t="str">
        <f t="shared" si="3"/>
        <v>Purísima</v>
      </c>
      <c r="N107" s="45" t="str">
        <f t="shared" si="4"/>
        <v>No</v>
      </c>
      <c r="O107" s="45" t="str">
        <f t="shared" si="5"/>
        <v>No</v>
      </c>
      <c r="P107" s="44"/>
    </row>
    <row r="108" spans="1:16">
      <c r="A108" s="30" t="s">
        <v>2602</v>
      </c>
      <c r="B108" s="29" t="s">
        <v>600</v>
      </c>
      <c r="C108" s="30" t="s">
        <v>2598</v>
      </c>
      <c r="D108" s="30" t="s">
        <v>2491</v>
      </c>
      <c r="E108" s="32">
        <v>171</v>
      </c>
      <c r="F108" s="30" t="s">
        <v>2599</v>
      </c>
      <c r="H108" s="30" t="s">
        <v>2486</v>
      </c>
      <c r="I108" s="30" t="s">
        <v>168</v>
      </c>
      <c r="J108" s="30">
        <v>32</v>
      </c>
      <c r="K108" s="30">
        <v>32</v>
      </c>
      <c r="L108" s="30">
        <v>0</v>
      </c>
      <c r="M108" s="44" t="str">
        <f t="shared" si="3"/>
        <v>Purísima</v>
      </c>
      <c r="N108" s="45" t="str">
        <f t="shared" si="4"/>
        <v>No</v>
      </c>
      <c r="O108" s="45" t="str">
        <f t="shared" si="5"/>
        <v>No</v>
      </c>
      <c r="P108" s="44"/>
    </row>
    <row r="109" spans="1:16">
      <c r="A109" s="30" t="s">
        <v>2603</v>
      </c>
      <c r="B109" s="29" t="s">
        <v>602</v>
      </c>
      <c r="C109" s="30" t="s">
        <v>2598</v>
      </c>
      <c r="D109" s="30" t="s">
        <v>2491</v>
      </c>
      <c r="E109" s="32">
        <v>171</v>
      </c>
      <c r="F109" s="30" t="s">
        <v>2599</v>
      </c>
      <c r="H109" s="30" t="s">
        <v>2486</v>
      </c>
      <c r="I109" s="30" t="s">
        <v>168</v>
      </c>
      <c r="J109" s="30">
        <v>32</v>
      </c>
      <c r="K109" s="30">
        <v>32</v>
      </c>
      <c r="L109" s="30">
        <v>0</v>
      </c>
      <c r="M109" s="44" t="str">
        <f t="shared" si="3"/>
        <v>Purísima</v>
      </c>
      <c r="N109" s="45" t="str">
        <f t="shared" si="4"/>
        <v>No</v>
      </c>
      <c r="O109" s="45" t="str">
        <f t="shared" si="5"/>
        <v>No</v>
      </c>
      <c r="P109" s="44"/>
    </row>
    <row r="110" spans="1:16">
      <c r="A110" s="30" t="s">
        <v>2604</v>
      </c>
      <c r="B110" s="29" t="s">
        <v>604</v>
      </c>
      <c r="C110" s="30" t="s">
        <v>2598</v>
      </c>
      <c r="D110" s="30" t="s">
        <v>2491</v>
      </c>
      <c r="E110" s="32">
        <v>171</v>
      </c>
      <c r="F110" s="30" t="s">
        <v>2599</v>
      </c>
      <c r="H110" s="30" t="s">
        <v>2486</v>
      </c>
      <c r="I110" s="30" t="s">
        <v>168</v>
      </c>
      <c r="J110" s="30">
        <v>15</v>
      </c>
      <c r="K110" s="30">
        <v>15</v>
      </c>
      <c r="L110" s="30">
        <v>0</v>
      </c>
      <c r="M110" s="44" t="str">
        <f t="shared" si="3"/>
        <v>Purísima</v>
      </c>
      <c r="N110" s="45" t="str">
        <f t="shared" si="4"/>
        <v>No</v>
      </c>
      <c r="O110" s="45" t="str">
        <f t="shared" si="5"/>
        <v>No</v>
      </c>
      <c r="P110" s="44"/>
    </row>
    <row r="111" spans="1:16">
      <c r="A111" s="30" t="s">
        <v>2605</v>
      </c>
      <c r="B111" s="29" t="s">
        <v>608</v>
      </c>
      <c r="C111" s="30" t="s">
        <v>2598</v>
      </c>
      <c r="D111" s="30" t="s">
        <v>2491</v>
      </c>
      <c r="E111" s="32">
        <v>171</v>
      </c>
      <c r="F111" s="30" t="s">
        <v>2599</v>
      </c>
      <c r="H111" s="30" t="s">
        <v>2486</v>
      </c>
      <c r="I111" s="30" t="s">
        <v>168</v>
      </c>
      <c r="J111" s="30">
        <v>61</v>
      </c>
      <c r="K111" s="30">
        <v>61</v>
      </c>
      <c r="L111" s="30">
        <v>0</v>
      </c>
      <c r="M111" s="44" t="str">
        <f t="shared" si="3"/>
        <v>Purísima</v>
      </c>
      <c r="N111" s="45" t="str">
        <f t="shared" si="4"/>
        <v>No</v>
      </c>
      <c r="O111" s="45" t="str">
        <f t="shared" si="5"/>
        <v>No</v>
      </c>
      <c r="P111" s="44"/>
    </row>
    <row r="112" spans="1:16">
      <c r="A112" s="30" t="s">
        <v>2606</v>
      </c>
      <c r="B112" s="29" t="s">
        <v>612</v>
      </c>
      <c r="C112" s="30" t="s">
        <v>2598</v>
      </c>
      <c r="D112" s="30" t="s">
        <v>2491</v>
      </c>
      <c r="E112" s="32">
        <v>171</v>
      </c>
      <c r="F112" s="30" t="s">
        <v>2599</v>
      </c>
      <c r="H112" s="30" t="s">
        <v>2486</v>
      </c>
      <c r="I112" s="30" t="s">
        <v>168</v>
      </c>
      <c r="J112" s="30">
        <v>30</v>
      </c>
      <c r="K112" s="30">
        <v>30</v>
      </c>
      <c r="L112" s="30">
        <v>0</v>
      </c>
      <c r="M112" s="44" t="str">
        <f t="shared" si="3"/>
        <v>Purísima</v>
      </c>
      <c r="N112" s="45" t="str">
        <f t="shared" si="4"/>
        <v>No</v>
      </c>
      <c r="O112" s="45" t="str">
        <f t="shared" si="5"/>
        <v>No</v>
      </c>
      <c r="P112" s="44"/>
    </row>
    <row r="113" spans="1:16">
      <c r="A113" s="30" t="s">
        <v>2607</v>
      </c>
      <c r="B113" s="29" t="s">
        <v>614</v>
      </c>
      <c r="C113" s="30" t="s">
        <v>2598</v>
      </c>
      <c r="D113" s="30" t="s">
        <v>2491</v>
      </c>
      <c r="E113" s="32">
        <v>171</v>
      </c>
      <c r="F113" s="30" t="s">
        <v>2599</v>
      </c>
      <c r="H113" s="30" t="s">
        <v>2486</v>
      </c>
      <c r="I113" s="30" t="s">
        <v>168</v>
      </c>
      <c r="J113" s="30">
        <v>4</v>
      </c>
      <c r="K113" s="30">
        <v>4</v>
      </c>
      <c r="L113" s="30">
        <v>0</v>
      </c>
      <c r="M113" s="44" t="str">
        <f t="shared" si="3"/>
        <v>Purísima</v>
      </c>
      <c r="N113" s="45" t="str">
        <f t="shared" si="4"/>
        <v>No</v>
      </c>
      <c r="O113" s="45" t="str">
        <f t="shared" si="5"/>
        <v>No</v>
      </c>
      <c r="P113" s="44"/>
    </row>
    <row r="114" spans="1:16">
      <c r="A114" s="30" t="s">
        <v>2608</v>
      </c>
      <c r="B114" s="29" t="s">
        <v>621</v>
      </c>
      <c r="C114" s="30" t="s">
        <v>2598</v>
      </c>
      <c r="D114" s="30" t="s">
        <v>2491</v>
      </c>
      <c r="E114" s="32">
        <v>171</v>
      </c>
      <c r="F114" s="30" t="s">
        <v>2599</v>
      </c>
      <c r="H114" s="30" t="s">
        <v>2486</v>
      </c>
      <c r="I114" s="30" t="s">
        <v>168</v>
      </c>
      <c r="J114" s="30">
        <v>15</v>
      </c>
      <c r="L114" s="30">
        <v>15</v>
      </c>
      <c r="M114" s="44" t="str">
        <f t="shared" si="3"/>
        <v>Purísima</v>
      </c>
      <c r="N114" s="45" t="str">
        <f t="shared" si="4"/>
        <v>No</v>
      </c>
      <c r="O114" s="45" t="str">
        <f t="shared" si="5"/>
        <v>No</v>
      </c>
      <c r="P114" s="44"/>
    </row>
    <row r="115" spans="1:16">
      <c r="A115" s="30" t="s">
        <v>2609</v>
      </c>
      <c r="B115" s="29" t="s">
        <v>625</v>
      </c>
      <c r="C115" s="30" t="s">
        <v>2598</v>
      </c>
      <c r="D115" s="30" t="s">
        <v>2491</v>
      </c>
      <c r="E115" s="32">
        <v>171</v>
      </c>
      <c r="F115" s="30" t="s">
        <v>2599</v>
      </c>
      <c r="H115" s="30" t="s">
        <v>2486</v>
      </c>
      <c r="I115" s="30" t="s">
        <v>168</v>
      </c>
      <c r="J115" s="30">
        <v>27</v>
      </c>
      <c r="K115" s="30">
        <v>27</v>
      </c>
      <c r="L115" s="30">
        <v>0</v>
      </c>
      <c r="M115" s="44" t="str">
        <f t="shared" si="3"/>
        <v>Purísima</v>
      </c>
      <c r="N115" s="45" t="str">
        <f t="shared" si="4"/>
        <v>No</v>
      </c>
      <c r="O115" s="45" t="str">
        <f t="shared" si="5"/>
        <v>No</v>
      </c>
      <c r="P115" s="44"/>
    </row>
    <row r="116" spans="1:16">
      <c r="A116" s="30" t="s">
        <v>2610</v>
      </c>
      <c r="B116" s="29" t="s">
        <v>627</v>
      </c>
      <c r="C116" s="30" t="s">
        <v>2598</v>
      </c>
      <c r="D116" s="30" t="s">
        <v>2491</v>
      </c>
      <c r="E116" s="32">
        <v>171</v>
      </c>
      <c r="F116" s="30" t="s">
        <v>2599</v>
      </c>
      <c r="H116" s="30" t="s">
        <v>2486</v>
      </c>
      <c r="I116" s="30" t="s">
        <v>168</v>
      </c>
      <c r="J116" s="30">
        <v>54</v>
      </c>
      <c r="K116" s="30">
        <v>54</v>
      </c>
      <c r="L116" s="30">
        <v>0</v>
      </c>
      <c r="M116" s="44" t="str">
        <f t="shared" si="3"/>
        <v>Purísima</v>
      </c>
      <c r="N116" s="45" t="str">
        <f t="shared" si="4"/>
        <v>No</v>
      </c>
      <c r="O116" s="45" t="str">
        <f t="shared" si="5"/>
        <v>No</v>
      </c>
      <c r="P116" s="44"/>
    </row>
    <row r="117" spans="1:16">
      <c r="A117" s="30" t="s">
        <v>2611</v>
      </c>
      <c r="B117" s="29" t="s">
        <v>629</v>
      </c>
      <c r="C117" s="30" t="s">
        <v>2598</v>
      </c>
      <c r="D117" s="30" t="s">
        <v>2491</v>
      </c>
      <c r="E117" s="32">
        <v>171</v>
      </c>
      <c r="F117" s="30" t="s">
        <v>2599</v>
      </c>
      <c r="H117" s="30" t="s">
        <v>2486</v>
      </c>
      <c r="I117" s="30" t="s">
        <v>168</v>
      </c>
      <c r="J117" s="30">
        <v>45</v>
      </c>
      <c r="K117" s="30">
        <v>45</v>
      </c>
      <c r="L117" s="30">
        <v>0</v>
      </c>
      <c r="M117" s="44" t="str">
        <f t="shared" si="3"/>
        <v>Purísima</v>
      </c>
      <c r="N117" s="45" t="str">
        <f t="shared" si="4"/>
        <v>No</v>
      </c>
      <c r="O117" s="45" t="str">
        <f t="shared" si="5"/>
        <v>No</v>
      </c>
      <c r="P117" s="44"/>
    </row>
    <row r="118" spans="1:16">
      <c r="A118" s="30" t="s">
        <v>2612</v>
      </c>
      <c r="B118" s="29" t="s">
        <v>631</v>
      </c>
      <c r="C118" s="30" t="s">
        <v>2598</v>
      </c>
      <c r="D118" s="30" t="s">
        <v>2491</v>
      </c>
      <c r="E118" s="32">
        <v>171</v>
      </c>
      <c r="F118" s="30" t="s">
        <v>2599</v>
      </c>
      <c r="H118" s="30" t="s">
        <v>2486</v>
      </c>
      <c r="I118" s="30" t="s">
        <v>168</v>
      </c>
      <c r="J118" s="30">
        <v>30</v>
      </c>
      <c r="K118" s="30">
        <v>30</v>
      </c>
      <c r="L118" s="30">
        <v>0</v>
      </c>
      <c r="M118" s="44" t="str">
        <f t="shared" si="3"/>
        <v>Purísima</v>
      </c>
      <c r="N118" s="45" t="str">
        <f t="shared" si="4"/>
        <v>No</v>
      </c>
      <c r="O118" s="45" t="str">
        <f t="shared" si="5"/>
        <v>No</v>
      </c>
      <c r="P118" s="44"/>
    </row>
    <row r="119" spans="1:16">
      <c r="A119" s="30" t="s">
        <v>2613</v>
      </c>
      <c r="B119" s="29" t="s">
        <v>633</v>
      </c>
      <c r="C119" s="30" t="s">
        <v>2598</v>
      </c>
      <c r="D119" s="30" t="s">
        <v>2491</v>
      </c>
      <c r="E119" s="32">
        <v>171</v>
      </c>
      <c r="F119" s="30" t="s">
        <v>2599</v>
      </c>
      <c r="H119" s="30" t="s">
        <v>2486</v>
      </c>
      <c r="I119" s="30" t="s">
        <v>168</v>
      </c>
      <c r="J119" s="30">
        <v>70</v>
      </c>
      <c r="K119" s="30">
        <v>70</v>
      </c>
      <c r="L119" s="30">
        <v>0</v>
      </c>
      <c r="M119" s="44" t="str">
        <f t="shared" si="3"/>
        <v>Purísima</v>
      </c>
      <c r="N119" s="45" t="str">
        <f t="shared" si="4"/>
        <v>No</v>
      </c>
      <c r="O119" s="45" t="str">
        <f t="shared" si="5"/>
        <v>No</v>
      </c>
      <c r="P119" s="44"/>
    </row>
    <row r="120" spans="1:16">
      <c r="A120" s="30" t="s">
        <v>2614</v>
      </c>
      <c r="B120" s="29" t="s">
        <v>635</v>
      </c>
      <c r="C120" s="30" t="s">
        <v>2598</v>
      </c>
      <c r="D120" s="30" t="s">
        <v>2491</v>
      </c>
      <c r="E120" s="32">
        <v>171</v>
      </c>
      <c r="F120" s="30" t="s">
        <v>2599</v>
      </c>
      <c r="H120" s="30" t="s">
        <v>2486</v>
      </c>
      <c r="I120" s="30" t="s">
        <v>168</v>
      </c>
      <c r="J120" s="30">
        <v>43</v>
      </c>
      <c r="K120" s="30">
        <v>43</v>
      </c>
      <c r="L120" s="30">
        <v>0</v>
      </c>
      <c r="M120" s="44" t="str">
        <f t="shared" si="3"/>
        <v>Purísima</v>
      </c>
      <c r="N120" s="45" t="str">
        <f t="shared" si="4"/>
        <v>No</v>
      </c>
      <c r="O120" s="45" t="str">
        <f t="shared" si="5"/>
        <v>No</v>
      </c>
      <c r="P120" s="44"/>
    </row>
    <row r="121" spans="1:16">
      <c r="A121" s="30" t="s">
        <v>2615</v>
      </c>
      <c r="B121" s="29" t="s">
        <v>637</v>
      </c>
      <c r="C121" s="30" t="s">
        <v>2598</v>
      </c>
      <c r="D121" s="30" t="s">
        <v>2491</v>
      </c>
      <c r="E121" s="32">
        <v>171</v>
      </c>
      <c r="F121" s="30" t="s">
        <v>2599</v>
      </c>
      <c r="H121" s="30" t="s">
        <v>2486</v>
      </c>
      <c r="I121" s="30" t="s">
        <v>168</v>
      </c>
      <c r="J121" s="30">
        <v>18</v>
      </c>
      <c r="K121" s="30">
        <v>18</v>
      </c>
      <c r="L121" s="30">
        <v>0</v>
      </c>
      <c r="M121" s="44" t="str">
        <f t="shared" si="3"/>
        <v>Purísima</v>
      </c>
      <c r="N121" s="45" t="str">
        <f t="shared" si="4"/>
        <v>No</v>
      </c>
      <c r="O121" s="45" t="str">
        <f t="shared" si="5"/>
        <v>No</v>
      </c>
      <c r="P121" s="44"/>
    </row>
    <row r="122" spans="1:16">
      <c r="A122" s="30" t="s">
        <v>2616</v>
      </c>
      <c r="B122" s="29" t="s">
        <v>639</v>
      </c>
      <c r="C122" s="30" t="s">
        <v>2598</v>
      </c>
      <c r="D122" s="30" t="s">
        <v>2491</v>
      </c>
      <c r="E122" s="32">
        <v>171</v>
      </c>
      <c r="F122" s="30" t="s">
        <v>2599</v>
      </c>
      <c r="H122" s="30" t="s">
        <v>2486</v>
      </c>
      <c r="I122" s="30" t="s">
        <v>168</v>
      </c>
      <c r="J122" s="30">
        <v>29</v>
      </c>
      <c r="K122" s="30">
        <v>29</v>
      </c>
      <c r="L122" s="30">
        <v>0</v>
      </c>
      <c r="M122" s="44" t="str">
        <f t="shared" si="3"/>
        <v>Purísima</v>
      </c>
      <c r="N122" s="45" t="str">
        <f t="shared" si="4"/>
        <v>No</v>
      </c>
      <c r="O122" s="45" t="str">
        <f t="shared" si="5"/>
        <v>No</v>
      </c>
      <c r="P122" s="44"/>
    </row>
    <row r="123" spans="1:16">
      <c r="A123" s="30" t="s">
        <v>2617</v>
      </c>
      <c r="B123" s="29" t="s">
        <v>641</v>
      </c>
      <c r="C123" s="30" t="s">
        <v>2598</v>
      </c>
      <c r="D123" s="30" t="s">
        <v>2491</v>
      </c>
      <c r="E123" s="32">
        <v>171</v>
      </c>
      <c r="F123" s="30" t="s">
        <v>2599</v>
      </c>
      <c r="H123" s="30" t="s">
        <v>2486</v>
      </c>
      <c r="I123" s="30" t="s">
        <v>168</v>
      </c>
      <c r="J123" s="30">
        <v>14</v>
      </c>
      <c r="K123" s="30">
        <v>14</v>
      </c>
      <c r="L123" s="30">
        <v>0</v>
      </c>
      <c r="M123" s="44" t="str">
        <f t="shared" si="3"/>
        <v>Purísima</v>
      </c>
      <c r="N123" s="45" t="str">
        <f t="shared" si="4"/>
        <v>No</v>
      </c>
      <c r="O123" s="45" t="str">
        <f t="shared" si="5"/>
        <v>No</v>
      </c>
      <c r="P123" s="44"/>
    </row>
    <row r="124" spans="1:16">
      <c r="A124" s="30" t="s">
        <v>2618</v>
      </c>
      <c r="B124" s="29" t="s">
        <v>643</v>
      </c>
      <c r="C124" s="30" t="s">
        <v>2598</v>
      </c>
      <c r="D124" s="30" t="s">
        <v>2491</v>
      </c>
      <c r="E124" s="32">
        <v>171</v>
      </c>
      <c r="F124" s="30" t="s">
        <v>2599</v>
      </c>
      <c r="H124" s="30" t="s">
        <v>2486</v>
      </c>
      <c r="I124" s="30" t="s">
        <v>168</v>
      </c>
      <c r="J124" s="30">
        <v>67</v>
      </c>
      <c r="K124" s="30">
        <v>67</v>
      </c>
      <c r="L124" s="30">
        <v>0</v>
      </c>
      <c r="M124" s="44" t="str">
        <f t="shared" si="3"/>
        <v>Purísima</v>
      </c>
      <c r="N124" s="45" t="str">
        <f t="shared" si="4"/>
        <v>No</v>
      </c>
      <c r="O124" s="45" t="str">
        <f t="shared" si="5"/>
        <v>No</v>
      </c>
      <c r="P124" s="44"/>
    </row>
    <row r="125" spans="1:16">
      <c r="A125" s="30" t="s">
        <v>2619</v>
      </c>
      <c r="B125" s="29" t="s">
        <v>645</v>
      </c>
      <c r="C125" s="30" t="s">
        <v>2598</v>
      </c>
      <c r="D125" s="30" t="s">
        <v>2491</v>
      </c>
      <c r="E125" s="32">
        <v>171</v>
      </c>
      <c r="F125" s="30" t="s">
        <v>2599</v>
      </c>
      <c r="H125" s="30" t="s">
        <v>2486</v>
      </c>
      <c r="I125" s="30" t="s">
        <v>168</v>
      </c>
      <c r="J125" s="30">
        <v>19</v>
      </c>
      <c r="K125" s="30">
        <v>19</v>
      </c>
      <c r="L125" s="30">
        <v>0</v>
      </c>
      <c r="M125" s="44" t="str">
        <f t="shared" si="3"/>
        <v>Purísima</v>
      </c>
      <c r="N125" s="45" t="str">
        <f t="shared" si="4"/>
        <v>No</v>
      </c>
      <c r="O125" s="45" t="str">
        <f t="shared" si="5"/>
        <v>No</v>
      </c>
      <c r="P125" s="44"/>
    </row>
    <row r="126" spans="1:16">
      <c r="A126" s="30" t="s">
        <v>2620</v>
      </c>
      <c r="B126" s="29" t="s">
        <v>651</v>
      </c>
      <c r="C126" s="30" t="s">
        <v>2598</v>
      </c>
      <c r="D126" s="30" t="s">
        <v>2491</v>
      </c>
      <c r="E126" s="32">
        <v>171</v>
      </c>
      <c r="F126" s="30" t="s">
        <v>2599</v>
      </c>
      <c r="H126" s="30" t="s">
        <v>2486</v>
      </c>
      <c r="I126" s="30" t="s">
        <v>168</v>
      </c>
      <c r="J126" s="30">
        <v>78</v>
      </c>
      <c r="L126" s="30">
        <v>78</v>
      </c>
      <c r="M126" s="44" t="str">
        <f t="shared" si="3"/>
        <v>Purísima</v>
      </c>
      <c r="N126" s="45" t="str">
        <f t="shared" si="4"/>
        <v>No</v>
      </c>
      <c r="O126" s="45" t="str">
        <f t="shared" si="5"/>
        <v>No</v>
      </c>
      <c r="P126" s="44"/>
    </row>
    <row r="127" spans="1:16">
      <c r="A127" s="30" t="s">
        <v>2621</v>
      </c>
      <c r="B127" s="29" t="s">
        <v>655</v>
      </c>
      <c r="C127" s="30" t="s">
        <v>2598</v>
      </c>
      <c r="D127" s="30" t="s">
        <v>2491</v>
      </c>
      <c r="E127" s="32">
        <v>171</v>
      </c>
      <c r="F127" s="30" t="s">
        <v>2599</v>
      </c>
      <c r="H127" s="30" t="s">
        <v>2486</v>
      </c>
      <c r="I127" s="30" t="s">
        <v>168</v>
      </c>
      <c r="J127" s="30">
        <v>54</v>
      </c>
      <c r="K127" s="30">
        <v>54</v>
      </c>
      <c r="L127" s="30">
        <v>0</v>
      </c>
      <c r="M127" s="44" t="str">
        <f t="shared" si="3"/>
        <v>Purísima</v>
      </c>
      <c r="N127" s="45" t="str">
        <f t="shared" si="4"/>
        <v>No</v>
      </c>
      <c r="O127" s="45" t="str">
        <f t="shared" si="5"/>
        <v>No</v>
      </c>
      <c r="P127" s="44"/>
    </row>
    <row r="128" spans="1:16">
      <c r="A128" s="30" t="s">
        <v>2622</v>
      </c>
      <c r="B128" s="29" t="s">
        <v>657</v>
      </c>
      <c r="C128" s="30" t="s">
        <v>2623</v>
      </c>
      <c r="D128" s="30" t="s">
        <v>2491</v>
      </c>
      <c r="E128" s="32">
        <v>223</v>
      </c>
      <c r="F128" s="30" t="s">
        <v>2623</v>
      </c>
      <c r="H128" s="30" t="s">
        <v>2486</v>
      </c>
      <c r="I128" s="30" t="s">
        <v>168</v>
      </c>
      <c r="J128" s="30">
        <v>10900</v>
      </c>
      <c r="L128" s="30">
        <v>10900</v>
      </c>
      <c r="M128" s="44" t="str">
        <f t="shared" si="3"/>
        <v>Tierra Blanca</v>
      </c>
      <c r="N128" s="45" t="str">
        <f t="shared" si="4"/>
        <v>No</v>
      </c>
      <c r="O128" s="45" t="str">
        <f t="shared" si="5"/>
        <v>No</v>
      </c>
      <c r="P128" s="44"/>
    </row>
    <row r="129" spans="1:16">
      <c r="A129" s="46" t="s">
        <v>2624</v>
      </c>
      <c r="B129" s="29" t="s">
        <v>666</v>
      </c>
      <c r="C129" s="30" t="s">
        <v>2625</v>
      </c>
      <c r="D129" s="30" t="s">
        <v>2491</v>
      </c>
      <c r="E129" s="32">
        <v>201</v>
      </c>
      <c r="F129" s="30" t="s">
        <v>2625</v>
      </c>
      <c r="H129" s="30" t="s">
        <v>2486</v>
      </c>
      <c r="I129" s="30" t="s">
        <v>2486</v>
      </c>
      <c r="J129" s="30">
        <v>61000</v>
      </c>
      <c r="L129" s="30">
        <v>61000</v>
      </c>
      <c r="M129" s="44" t="str">
        <f t="shared" si="3"/>
        <v>San Luis de la Paz</v>
      </c>
      <c r="N129" s="45" t="str">
        <f t="shared" si="4"/>
        <v>No</v>
      </c>
      <c r="O129" s="45" t="str">
        <f t="shared" si="5"/>
        <v>No</v>
      </c>
      <c r="P129" s="44"/>
    </row>
    <row r="130" spans="1:16">
      <c r="A130" s="30" t="s">
        <v>2626</v>
      </c>
      <c r="B130" s="29" t="s">
        <v>671</v>
      </c>
      <c r="C130" s="30" t="s">
        <v>2598</v>
      </c>
      <c r="D130" s="30" t="s">
        <v>2491</v>
      </c>
      <c r="E130" s="32">
        <v>171</v>
      </c>
      <c r="F130" s="30" t="s">
        <v>2599</v>
      </c>
      <c r="H130" s="30" t="s">
        <v>2486</v>
      </c>
      <c r="I130" s="30" t="s">
        <v>168</v>
      </c>
      <c r="J130" s="30">
        <v>2</v>
      </c>
      <c r="K130" s="30">
        <v>2</v>
      </c>
      <c r="L130" s="30">
        <v>0</v>
      </c>
      <c r="M130" s="44" t="str">
        <f t="shared" si="3"/>
        <v>Purísima</v>
      </c>
      <c r="N130" s="45" t="str">
        <f t="shared" si="4"/>
        <v>No</v>
      </c>
      <c r="O130" s="45" t="str">
        <f t="shared" si="5"/>
        <v>No</v>
      </c>
      <c r="P130" s="44"/>
    </row>
    <row r="131" spans="1:16">
      <c r="A131" s="30" t="s">
        <v>2627</v>
      </c>
      <c r="B131" s="29" t="s">
        <v>675</v>
      </c>
      <c r="C131" s="30" t="s">
        <v>2598</v>
      </c>
      <c r="D131" s="30" t="s">
        <v>2491</v>
      </c>
      <c r="E131" s="32">
        <v>171</v>
      </c>
      <c r="F131" s="30" t="s">
        <v>2599</v>
      </c>
      <c r="H131" s="30" t="s">
        <v>2486</v>
      </c>
      <c r="I131" s="30" t="s">
        <v>168</v>
      </c>
      <c r="J131" s="30">
        <v>23</v>
      </c>
      <c r="L131" s="30">
        <v>23</v>
      </c>
      <c r="M131" s="44" t="str">
        <f t="shared" si="3"/>
        <v>Purísima</v>
      </c>
      <c r="N131" s="45" t="str">
        <f t="shared" si="4"/>
        <v>No</v>
      </c>
      <c r="O131" s="45" t="str">
        <f t="shared" si="5"/>
        <v>No</v>
      </c>
      <c r="P131" s="44"/>
    </row>
    <row r="132" spans="1:16">
      <c r="A132" s="30" t="s">
        <v>2628</v>
      </c>
      <c r="B132" s="29" t="s">
        <v>680</v>
      </c>
      <c r="C132" s="30" t="s">
        <v>2598</v>
      </c>
      <c r="D132" s="30" t="s">
        <v>2491</v>
      </c>
      <c r="E132" s="32">
        <v>171</v>
      </c>
      <c r="F132" s="30" t="s">
        <v>2599</v>
      </c>
      <c r="H132" s="30" t="s">
        <v>2486</v>
      </c>
      <c r="I132" s="30" t="s">
        <v>168</v>
      </c>
      <c r="J132" s="30">
        <v>4</v>
      </c>
      <c r="K132" s="30">
        <v>4</v>
      </c>
      <c r="L132" s="30">
        <v>0</v>
      </c>
      <c r="M132" s="44" t="str">
        <f t="shared" si="3"/>
        <v>Purísima</v>
      </c>
      <c r="N132" s="45" t="str">
        <f t="shared" si="4"/>
        <v>No</v>
      </c>
      <c r="O132" s="45" t="str">
        <f t="shared" si="5"/>
        <v>No</v>
      </c>
      <c r="P132" s="44"/>
    </row>
    <row r="133" spans="1:16">
      <c r="A133" s="30"/>
      <c r="B133" s="29"/>
      <c r="C133" s="30"/>
      <c r="D133" s="30"/>
      <c r="E133" s="32"/>
      <c r="G133" s="30"/>
      <c r="H133" s="30"/>
      <c r="I133" s="30"/>
      <c r="J133" s="30"/>
      <c r="L133" s="30"/>
      <c r="M133" s="44"/>
      <c r="N133" s="45"/>
      <c r="O133" s="45"/>
      <c r="P133" s="44"/>
    </row>
    <row r="134" spans="1:16">
      <c r="A134" s="30" t="s">
        <v>2629</v>
      </c>
      <c r="B134" s="29" t="s">
        <v>686</v>
      </c>
      <c r="C134" s="30" t="s">
        <v>2521</v>
      </c>
      <c r="D134" s="30" t="s">
        <v>2491</v>
      </c>
      <c r="E134" s="32">
        <v>49</v>
      </c>
      <c r="F134" s="30" t="s">
        <v>2521</v>
      </c>
      <c r="H134" s="30" t="s">
        <v>2486</v>
      </c>
      <c r="I134" s="30" t="s">
        <v>2486</v>
      </c>
      <c r="J134" s="30">
        <v>2180</v>
      </c>
      <c r="L134" s="30">
        <v>2180</v>
      </c>
      <c r="M134" s="44" t="str">
        <f t="shared" ref="M134:M372" si="6">IF(F134&lt;&gt;"", F134, G134)</f>
        <v>Guanajuato</v>
      </c>
      <c r="N134" s="45" t="str">
        <f t="shared" ref="N134:N372" si="7">IF(ISNUMBER(FIND("ZP", H134)), "Si", "No")</f>
        <v>No</v>
      </c>
      <c r="O134" s="45" t="str">
        <f t="shared" ref="O134:O372" si="8">IF(I134=TRUE, "Si", "No")</f>
        <v>No</v>
      </c>
      <c r="P134" s="44"/>
    </row>
    <row r="135" spans="1:16">
      <c r="A135" s="30" t="s">
        <v>2630</v>
      </c>
      <c r="B135" s="29" t="s">
        <v>692</v>
      </c>
      <c r="C135" s="30" t="s">
        <v>2521</v>
      </c>
      <c r="D135" s="30" t="s">
        <v>2491</v>
      </c>
      <c r="E135" s="32">
        <v>49</v>
      </c>
      <c r="F135" s="30" t="s">
        <v>2521</v>
      </c>
      <c r="H135" s="30" t="s">
        <v>2486</v>
      </c>
      <c r="I135" s="30" t="s">
        <v>2486</v>
      </c>
      <c r="J135" s="30">
        <v>2180</v>
      </c>
      <c r="L135" s="30">
        <v>2180</v>
      </c>
      <c r="M135" s="44" t="str">
        <f t="shared" si="6"/>
        <v>Guanajuato</v>
      </c>
      <c r="N135" s="45" t="str">
        <f t="shared" si="7"/>
        <v>No</v>
      </c>
      <c r="O135" s="45" t="str">
        <f t="shared" si="8"/>
        <v>No</v>
      </c>
      <c r="P135" s="44"/>
    </row>
    <row r="136" spans="1:16">
      <c r="A136" s="30" t="s">
        <v>2631</v>
      </c>
      <c r="B136" s="29" t="s">
        <v>695</v>
      </c>
      <c r="C136" s="30" t="s">
        <v>2521</v>
      </c>
      <c r="D136" s="30" t="s">
        <v>2491</v>
      </c>
      <c r="E136" s="32">
        <v>49</v>
      </c>
      <c r="F136" s="30" t="s">
        <v>2521</v>
      </c>
      <c r="H136" s="30" t="s">
        <v>2486</v>
      </c>
      <c r="I136" s="30" t="s">
        <v>2486</v>
      </c>
      <c r="J136" s="30">
        <v>150</v>
      </c>
      <c r="L136" s="30">
        <v>150</v>
      </c>
      <c r="M136" s="44" t="str">
        <f t="shared" si="6"/>
        <v>Guanajuato</v>
      </c>
      <c r="N136" s="45" t="str">
        <f t="shared" si="7"/>
        <v>No</v>
      </c>
      <c r="O136" s="45" t="str">
        <f t="shared" si="8"/>
        <v>No</v>
      </c>
      <c r="P136" s="44"/>
    </row>
    <row r="137" spans="1:16">
      <c r="A137" s="30" t="s">
        <v>2632</v>
      </c>
      <c r="B137" s="29" t="s">
        <v>699</v>
      </c>
      <c r="C137" s="30" t="s">
        <v>2521</v>
      </c>
      <c r="D137" s="30" t="s">
        <v>2491</v>
      </c>
      <c r="E137" s="32"/>
      <c r="G137" s="30" t="s">
        <v>2567</v>
      </c>
      <c r="H137" s="30" t="s">
        <v>168</v>
      </c>
      <c r="I137" s="30" t="s">
        <v>168</v>
      </c>
      <c r="J137" s="30">
        <v>100</v>
      </c>
      <c r="L137" s="30">
        <v>100</v>
      </c>
      <c r="M137" s="44" t="str">
        <f t="shared" si="6"/>
        <v>ZONA CENTRO</v>
      </c>
      <c r="N137" s="45" t="str">
        <f t="shared" si="7"/>
        <v>No</v>
      </c>
      <c r="O137" s="45" t="str">
        <f t="shared" si="8"/>
        <v>No</v>
      </c>
      <c r="P137" s="44"/>
    </row>
    <row r="138" spans="1:16">
      <c r="A138" s="30" t="s">
        <v>2633</v>
      </c>
      <c r="B138" s="29" t="s">
        <v>704</v>
      </c>
      <c r="C138" s="30" t="s">
        <v>2521</v>
      </c>
      <c r="D138" s="30" t="s">
        <v>2491</v>
      </c>
      <c r="E138" s="32">
        <v>49</v>
      </c>
      <c r="F138" s="30" t="s">
        <v>2521</v>
      </c>
      <c r="H138" s="30" t="s">
        <v>2486</v>
      </c>
      <c r="I138" s="30" t="s">
        <v>2486</v>
      </c>
      <c r="J138" s="30">
        <v>2180</v>
      </c>
      <c r="L138" s="30">
        <v>2180</v>
      </c>
      <c r="M138" s="44" t="str">
        <f t="shared" si="6"/>
        <v>Guanajuato</v>
      </c>
      <c r="N138" s="45" t="str">
        <f t="shared" si="7"/>
        <v>No</v>
      </c>
      <c r="O138" s="45" t="str">
        <f t="shared" si="8"/>
        <v>No</v>
      </c>
      <c r="P138" s="44"/>
    </row>
    <row r="139" spans="1:16">
      <c r="A139" s="30" t="s">
        <v>2634</v>
      </c>
      <c r="B139" s="29" t="s">
        <v>707</v>
      </c>
      <c r="C139" s="30" t="s">
        <v>2521</v>
      </c>
      <c r="D139" s="30" t="s">
        <v>2491</v>
      </c>
      <c r="E139" s="32">
        <v>49</v>
      </c>
      <c r="F139" s="30" t="s">
        <v>2521</v>
      </c>
      <c r="H139" s="30" t="s">
        <v>2486</v>
      </c>
      <c r="I139" s="30" t="s">
        <v>2486</v>
      </c>
      <c r="J139" s="30">
        <v>2180</v>
      </c>
      <c r="L139" s="30">
        <v>2180</v>
      </c>
      <c r="M139" s="44" t="str">
        <f t="shared" si="6"/>
        <v>Guanajuato</v>
      </c>
      <c r="N139" s="45" t="str">
        <f t="shared" si="7"/>
        <v>No</v>
      </c>
      <c r="O139" s="45" t="str">
        <f t="shared" si="8"/>
        <v>No</v>
      </c>
      <c r="P139" s="44"/>
    </row>
    <row r="140" spans="1:16">
      <c r="A140" s="30" t="s">
        <v>2635</v>
      </c>
      <c r="B140" s="29" t="s">
        <v>709</v>
      </c>
      <c r="C140" s="30" t="s">
        <v>2521</v>
      </c>
      <c r="D140" s="30" t="s">
        <v>2491</v>
      </c>
      <c r="E140" s="32">
        <v>49</v>
      </c>
      <c r="F140" s="30" t="s">
        <v>2521</v>
      </c>
      <c r="H140" s="30" t="s">
        <v>2486</v>
      </c>
      <c r="I140" s="30" t="s">
        <v>2486</v>
      </c>
      <c r="J140" s="30">
        <v>78</v>
      </c>
      <c r="L140" s="30">
        <v>78</v>
      </c>
      <c r="M140" s="44" t="str">
        <f t="shared" si="6"/>
        <v>Guanajuato</v>
      </c>
      <c r="N140" s="45" t="str">
        <f t="shared" si="7"/>
        <v>No</v>
      </c>
      <c r="O140" s="45" t="str">
        <f t="shared" si="8"/>
        <v>No</v>
      </c>
      <c r="P140" s="44"/>
    </row>
    <row r="141" spans="1:16">
      <c r="A141" s="30" t="s">
        <v>2636</v>
      </c>
      <c r="B141" s="29" t="s">
        <v>713</v>
      </c>
      <c r="C141" s="30" t="s">
        <v>2521</v>
      </c>
      <c r="D141" s="30" t="s">
        <v>2491</v>
      </c>
      <c r="E141" s="32"/>
      <c r="G141" s="30" t="s">
        <v>2526</v>
      </c>
      <c r="H141" s="30" t="s">
        <v>168</v>
      </c>
      <c r="I141" s="30" t="s">
        <v>168</v>
      </c>
      <c r="J141" s="30">
        <v>40</v>
      </c>
      <c r="L141" s="30">
        <v>40</v>
      </c>
      <c r="M141" s="44" t="str">
        <f t="shared" si="6"/>
        <v>GUANAJUATO CENTRO</v>
      </c>
      <c r="N141" s="45" t="str">
        <f t="shared" si="7"/>
        <v>No</v>
      </c>
      <c r="O141" s="45" t="str">
        <f t="shared" si="8"/>
        <v>No</v>
      </c>
      <c r="P141" s="44"/>
    </row>
    <row r="142" spans="1:16">
      <c r="A142" s="30" t="s">
        <v>2637</v>
      </c>
      <c r="B142" s="29" t="s">
        <v>719</v>
      </c>
      <c r="C142" s="30" t="s">
        <v>2521</v>
      </c>
      <c r="D142" s="30" t="s">
        <v>2491</v>
      </c>
      <c r="E142" s="32">
        <v>49</v>
      </c>
      <c r="F142" s="30" t="s">
        <v>2521</v>
      </c>
      <c r="H142" s="30" t="s">
        <v>2486</v>
      </c>
      <c r="I142" s="30" t="s">
        <v>2486</v>
      </c>
      <c r="J142" s="30">
        <v>268</v>
      </c>
      <c r="L142" s="30">
        <v>268</v>
      </c>
      <c r="M142" s="44" t="str">
        <f t="shared" si="6"/>
        <v>Guanajuato</v>
      </c>
      <c r="N142" s="45" t="str">
        <f t="shared" si="7"/>
        <v>No</v>
      </c>
      <c r="O142" s="45" t="str">
        <f t="shared" si="8"/>
        <v>No</v>
      </c>
      <c r="P142" s="44"/>
    </row>
    <row r="143" spans="1:16">
      <c r="A143" s="30" t="s">
        <v>2638</v>
      </c>
      <c r="B143" s="29" t="s">
        <v>726</v>
      </c>
      <c r="C143" s="30" t="s">
        <v>2521</v>
      </c>
      <c r="D143" s="30" t="s">
        <v>2491</v>
      </c>
      <c r="E143" s="32"/>
      <c r="H143" s="30" t="s">
        <v>168</v>
      </c>
      <c r="I143" s="30" t="s">
        <v>168</v>
      </c>
      <c r="J143" s="30">
        <v>103</v>
      </c>
      <c r="L143" s="30">
        <v>103</v>
      </c>
      <c r="M143" s="44">
        <f t="shared" si="6"/>
        <v>0</v>
      </c>
      <c r="N143" s="45" t="str">
        <f t="shared" si="7"/>
        <v>No</v>
      </c>
      <c r="O143" s="45" t="str">
        <f t="shared" si="8"/>
        <v>No</v>
      </c>
      <c r="P143" s="44"/>
    </row>
    <row r="144" spans="1:16">
      <c r="A144" s="30" t="s">
        <v>2639</v>
      </c>
      <c r="B144" s="29" t="s">
        <v>731</v>
      </c>
      <c r="C144" s="30" t="s">
        <v>2598</v>
      </c>
      <c r="D144" s="30" t="s">
        <v>2491</v>
      </c>
      <c r="E144" s="32">
        <v>171</v>
      </c>
      <c r="F144" s="30" t="s">
        <v>2599</v>
      </c>
      <c r="H144" s="30" t="s">
        <v>2486</v>
      </c>
      <c r="I144" s="30" t="s">
        <v>168</v>
      </c>
      <c r="J144" s="30">
        <v>23</v>
      </c>
      <c r="K144" s="30">
        <v>23</v>
      </c>
      <c r="L144" s="30">
        <v>0</v>
      </c>
      <c r="M144" s="44" t="str">
        <f t="shared" si="6"/>
        <v>Purísima</v>
      </c>
      <c r="N144" s="45" t="str">
        <f t="shared" si="7"/>
        <v>No</v>
      </c>
      <c r="O144" s="45" t="str">
        <f t="shared" si="8"/>
        <v>No</v>
      </c>
      <c r="P144" s="44"/>
    </row>
    <row r="145" spans="1:16">
      <c r="A145" s="30" t="s">
        <v>2640</v>
      </c>
      <c r="B145" s="29" t="s">
        <v>736</v>
      </c>
      <c r="C145" s="30" t="s">
        <v>2521</v>
      </c>
      <c r="D145" s="30" t="s">
        <v>2491</v>
      </c>
      <c r="E145" s="32">
        <v>49</v>
      </c>
      <c r="F145" s="30" t="s">
        <v>2521</v>
      </c>
      <c r="H145" s="30" t="s">
        <v>2486</v>
      </c>
      <c r="I145" s="30" t="s">
        <v>2486</v>
      </c>
      <c r="J145" s="30">
        <v>60</v>
      </c>
      <c r="L145" s="30">
        <v>60</v>
      </c>
      <c r="M145" s="44" t="str">
        <f t="shared" si="6"/>
        <v>Guanajuato</v>
      </c>
      <c r="N145" s="45" t="str">
        <f t="shared" si="7"/>
        <v>No</v>
      </c>
      <c r="O145" s="45" t="str">
        <f t="shared" si="8"/>
        <v>No</v>
      </c>
      <c r="P145" s="44"/>
    </row>
    <row r="146" spans="1:16">
      <c r="A146" s="30" t="s">
        <v>2641</v>
      </c>
      <c r="B146" s="29" t="s">
        <v>742</v>
      </c>
      <c r="C146" s="30" t="s">
        <v>2483</v>
      </c>
      <c r="D146" s="30" t="s">
        <v>2491</v>
      </c>
      <c r="E146" s="32"/>
      <c r="G146" s="30" t="s">
        <v>2508</v>
      </c>
      <c r="H146" s="30" t="s">
        <v>168</v>
      </c>
      <c r="I146" s="30" t="s">
        <v>168</v>
      </c>
      <c r="J146" s="30">
        <v>24</v>
      </c>
      <c r="L146" s="30">
        <v>24</v>
      </c>
      <c r="M146" s="44" t="str">
        <f t="shared" si="6"/>
        <v>La Martinica</v>
      </c>
      <c r="N146" s="45" t="str">
        <f t="shared" si="7"/>
        <v>No</v>
      </c>
      <c r="O146" s="45" t="str">
        <f t="shared" si="8"/>
        <v>No</v>
      </c>
      <c r="P146" s="44"/>
    </row>
    <row r="147" spans="1:16">
      <c r="A147" s="30" t="s">
        <v>2642</v>
      </c>
      <c r="B147" s="29" t="s">
        <v>746</v>
      </c>
      <c r="C147" s="30" t="s">
        <v>2483</v>
      </c>
      <c r="D147" s="30" t="s">
        <v>2491</v>
      </c>
      <c r="E147" s="32"/>
      <c r="G147" s="30" t="s">
        <v>2508</v>
      </c>
      <c r="H147" s="30" t="s">
        <v>168</v>
      </c>
      <c r="I147" s="30" t="s">
        <v>168</v>
      </c>
      <c r="J147" s="30">
        <v>8</v>
      </c>
      <c r="L147" s="30">
        <v>8</v>
      </c>
      <c r="M147" s="44" t="str">
        <f t="shared" si="6"/>
        <v>La Martinica</v>
      </c>
      <c r="N147" s="45" t="str">
        <f t="shared" si="7"/>
        <v>No</v>
      </c>
      <c r="O147" s="45" t="str">
        <f t="shared" si="8"/>
        <v>No</v>
      </c>
      <c r="P147" s="44"/>
    </row>
    <row r="148" spans="1:16">
      <c r="A148" s="30" t="s">
        <v>2643</v>
      </c>
      <c r="B148" s="29" t="s">
        <v>751</v>
      </c>
      <c r="C148" s="30" t="s">
        <v>2483</v>
      </c>
      <c r="D148" s="30" t="s">
        <v>2491</v>
      </c>
      <c r="E148" s="32"/>
      <c r="G148" s="30" t="s">
        <v>2508</v>
      </c>
      <c r="H148" s="30" t="s">
        <v>168</v>
      </c>
      <c r="I148" s="30" t="s">
        <v>168</v>
      </c>
      <c r="J148" s="30">
        <v>34</v>
      </c>
      <c r="L148" s="30">
        <v>34</v>
      </c>
      <c r="M148" s="44" t="str">
        <f t="shared" si="6"/>
        <v>La Martinica</v>
      </c>
      <c r="N148" s="45" t="str">
        <f t="shared" si="7"/>
        <v>No</v>
      </c>
      <c r="O148" s="45" t="str">
        <f t="shared" si="8"/>
        <v>No</v>
      </c>
      <c r="P148" s="44"/>
    </row>
    <row r="149" spans="1:16">
      <c r="A149" s="30" t="s">
        <v>2644</v>
      </c>
      <c r="B149" s="29" t="s">
        <v>759</v>
      </c>
      <c r="C149" s="30" t="s">
        <v>2483</v>
      </c>
      <c r="D149" s="30" t="s">
        <v>2491</v>
      </c>
      <c r="E149" s="32"/>
      <c r="G149" s="30" t="s">
        <v>2508</v>
      </c>
      <c r="H149" s="30" t="s">
        <v>168</v>
      </c>
      <c r="I149" s="30" t="s">
        <v>168</v>
      </c>
      <c r="J149" s="30">
        <v>7</v>
      </c>
      <c r="L149" s="30">
        <v>7</v>
      </c>
      <c r="M149" s="44" t="str">
        <f t="shared" si="6"/>
        <v>La Martinica</v>
      </c>
      <c r="N149" s="45" t="str">
        <f t="shared" si="7"/>
        <v>No</v>
      </c>
      <c r="O149" s="45" t="str">
        <f t="shared" si="8"/>
        <v>No</v>
      </c>
      <c r="P149" s="44"/>
    </row>
    <row r="150" spans="1:16">
      <c r="A150" s="30" t="s">
        <v>2645</v>
      </c>
      <c r="B150" s="29" t="s">
        <v>763</v>
      </c>
      <c r="C150" s="30" t="s">
        <v>2483</v>
      </c>
      <c r="D150" s="30" t="s">
        <v>2491</v>
      </c>
      <c r="E150" s="32"/>
      <c r="G150" s="30" t="s">
        <v>2508</v>
      </c>
      <c r="H150" s="30" t="s">
        <v>168</v>
      </c>
      <c r="I150" s="30" t="s">
        <v>168</v>
      </c>
      <c r="J150" s="30">
        <v>70</v>
      </c>
      <c r="L150" s="30">
        <v>70</v>
      </c>
      <c r="M150" s="44" t="str">
        <f t="shared" si="6"/>
        <v>La Martinica</v>
      </c>
      <c r="N150" s="45" t="str">
        <f t="shared" si="7"/>
        <v>No</v>
      </c>
      <c r="O150" s="45" t="str">
        <f t="shared" si="8"/>
        <v>No</v>
      </c>
      <c r="P150" s="44"/>
    </row>
    <row r="151" spans="1:16">
      <c r="A151" s="30" t="s">
        <v>2646</v>
      </c>
      <c r="B151" s="29" t="s">
        <v>768</v>
      </c>
      <c r="C151" s="30" t="s">
        <v>2483</v>
      </c>
      <c r="D151" s="30" t="s">
        <v>2491</v>
      </c>
      <c r="E151" s="32"/>
      <c r="G151" s="30" t="s">
        <v>2508</v>
      </c>
      <c r="H151" s="30" t="s">
        <v>168</v>
      </c>
      <c r="I151" s="30" t="s">
        <v>168</v>
      </c>
      <c r="J151" s="30">
        <v>30</v>
      </c>
      <c r="L151" s="30">
        <v>30</v>
      </c>
      <c r="M151" s="44" t="str">
        <f t="shared" si="6"/>
        <v>La Martinica</v>
      </c>
      <c r="N151" s="45" t="str">
        <f t="shared" si="7"/>
        <v>No</v>
      </c>
      <c r="O151" s="45" t="str">
        <f t="shared" si="8"/>
        <v>No</v>
      </c>
      <c r="P151" s="44"/>
    </row>
    <row r="152" spans="1:16">
      <c r="A152" s="30" t="s">
        <v>2647</v>
      </c>
      <c r="B152" s="29" t="s">
        <v>773</v>
      </c>
      <c r="C152" s="30" t="s">
        <v>2483</v>
      </c>
      <c r="D152" s="30" t="s">
        <v>2491</v>
      </c>
      <c r="E152" s="32"/>
      <c r="G152" s="30" t="s">
        <v>2508</v>
      </c>
      <c r="H152" s="30" t="s">
        <v>168</v>
      </c>
      <c r="I152" s="30" t="s">
        <v>168</v>
      </c>
      <c r="J152" s="30">
        <v>23</v>
      </c>
      <c r="L152" s="30">
        <v>23</v>
      </c>
      <c r="M152" s="44" t="str">
        <f t="shared" si="6"/>
        <v>La Martinica</v>
      </c>
      <c r="N152" s="45" t="str">
        <f t="shared" si="7"/>
        <v>No</v>
      </c>
      <c r="O152" s="45" t="str">
        <f t="shared" si="8"/>
        <v>No</v>
      </c>
      <c r="P152" s="44"/>
    </row>
    <row r="153" spans="1:16">
      <c r="A153" s="30" t="s">
        <v>2648</v>
      </c>
      <c r="B153" s="29" t="s">
        <v>779</v>
      </c>
      <c r="C153" s="30" t="s">
        <v>2483</v>
      </c>
      <c r="D153" s="30" t="s">
        <v>2491</v>
      </c>
      <c r="E153" s="32"/>
      <c r="G153" s="30" t="s">
        <v>2508</v>
      </c>
      <c r="H153" s="30" t="s">
        <v>168</v>
      </c>
      <c r="I153" s="30" t="s">
        <v>168</v>
      </c>
      <c r="J153" s="30">
        <v>142</v>
      </c>
      <c r="L153" s="30">
        <v>142</v>
      </c>
      <c r="M153" s="44" t="str">
        <f t="shared" si="6"/>
        <v>La Martinica</v>
      </c>
      <c r="N153" s="45" t="str">
        <f t="shared" si="7"/>
        <v>No</v>
      </c>
      <c r="O153" s="45" t="str">
        <f t="shared" si="8"/>
        <v>No</v>
      </c>
      <c r="P153" s="44"/>
    </row>
    <row r="154" spans="1:16">
      <c r="A154" s="46" t="s">
        <v>2649</v>
      </c>
      <c r="B154" s="29" t="s">
        <v>784</v>
      </c>
      <c r="C154" s="30" t="s">
        <v>2490</v>
      </c>
      <c r="D154" s="30" t="s">
        <v>2491</v>
      </c>
      <c r="E154" s="32">
        <v>215</v>
      </c>
      <c r="F154" s="30" t="s">
        <v>2492</v>
      </c>
      <c r="H154" s="30" t="s">
        <v>2486</v>
      </c>
      <c r="I154" s="30" t="s">
        <v>2486</v>
      </c>
      <c r="J154" s="30">
        <v>13</v>
      </c>
      <c r="K154" s="30">
        <v>13</v>
      </c>
      <c r="L154" s="30">
        <v>0</v>
      </c>
      <c r="M154" s="44" t="str">
        <f t="shared" si="6"/>
        <v>Silao</v>
      </c>
      <c r="N154" s="45" t="str">
        <f t="shared" si="7"/>
        <v>No</v>
      </c>
      <c r="O154" s="45" t="str">
        <f t="shared" si="8"/>
        <v>No</v>
      </c>
      <c r="P154" s="44"/>
    </row>
    <row r="155" spans="1:16">
      <c r="A155" s="30" t="s">
        <v>2650</v>
      </c>
      <c r="B155" s="29" t="s">
        <v>787</v>
      </c>
      <c r="C155" s="30" t="s">
        <v>2490</v>
      </c>
      <c r="D155" s="30" t="s">
        <v>2491</v>
      </c>
      <c r="E155" s="32">
        <v>215</v>
      </c>
      <c r="F155" s="30" t="s">
        <v>2492</v>
      </c>
      <c r="H155" s="30" t="s">
        <v>2486</v>
      </c>
      <c r="I155" s="30" t="s">
        <v>2486</v>
      </c>
      <c r="J155" s="30">
        <v>37</v>
      </c>
      <c r="K155" s="30">
        <v>37</v>
      </c>
      <c r="L155" s="30">
        <v>0</v>
      </c>
      <c r="M155" s="44" t="str">
        <f t="shared" si="6"/>
        <v>Silao</v>
      </c>
      <c r="N155" s="45" t="str">
        <f t="shared" si="7"/>
        <v>No</v>
      </c>
      <c r="O155" s="45" t="str">
        <f t="shared" si="8"/>
        <v>No</v>
      </c>
      <c r="P155" s="44"/>
    </row>
    <row r="156" spans="1:16">
      <c r="A156" s="30" t="s">
        <v>2651</v>
      </c>
      <c r="B156" s="29" t="s">
        <v>790</v>
      </c>
      <c r="C156" s="30" t="s">
        <v>2490</v>
      </c>
      <c r="D156" s="30" t="s">
        <v>2491</v>
      </c>
      <c r="E156" s="32">
        <v>215</v>
      </c>
      <c r="F156" s="30" t="s">
        <v>2492</v>
      </c>
      <c r="H156" s="30" t="s">
        <v>2486</v>
      </c>
      <c r="I156" s="30" t="s">
        <v>2486</v>
      </c>
      <c r="J156" s="30">
        <v>80</v>
      </c>
      <c r="K156" s="30">
        <v>80</v>
      </c>
      <c r="L156" s="30">
        <v>0</v>
      </c>
      <c r="M156" s="44" t="str">
        <f t="shared" si="6"/>
        <v>Silao</v>
      </c>
      <c r="N156" s="45" t="str">
        <f t="shared" si="7"/>
        <v>No</v>
      </c>
      <c r="O156" s="45" t="str">
        <f t="shared" si="8"/>
        <v>No</v>
      </c>
      <c r="P156" s="44"/>
    </row>
    <row r="157" spans="1:16">
      <c r="A157" s="30" t="s">
        <v>2652</v>
      </c>
      <c r="B157" s="29" t="s">
        <v>794</v>
      </c>
      <c r="C157" s="30" t="s">
        <v>2490</v>
      </c>
      <c r="D157" s="30" t="s">
        <v>2491</v>
      </c>
      <c r="E157" s="32">
        <v>215</v>
      </c>
      <c r="F157" s="30" t="s">
        <v>2492</v>
      </c>
      <c r="H157" s="30" t="s">
        <v>2486</v>
      </c>
      <c r="I157" s="30" t="s">
        <v>2486</v>
      </c>
      <c r="J157" s="30">
        <v>25</v>
      </c>
      <c r="K157" s="30">
        <v>25</v>
      </c>
      <c r="L157" s="30">
        <v>0</v>
      </c>
      <c r="M157" s="44" t="str">
        <f t="shared" si="6"/>
        <v>Silao</v>
      </c>
      <c r="N157" s="45" t="str">
        <f t="shared" si="7"/>
        <v>No</v>
      </c>
      <c r="O157" s="45" t="str">
        <f t="shared" si="8"/>
        <v>No</v>
      </c>
      <c r="P157" s="44"/>
    </row>
    <row r="158" spans="1:16">
      <c r="A158" s="30" t="s">
        <v>2653</v>
      </c>
      <c r="B158" s="29" t="s">
        <v>797</v>
      </c>
      <c r="C158" s="30" t="s">
        <v>2490</v>
      </c>
      <c r="D158" s="30" t="s">
        <v>2491</v>
      </c>
      <c r="E158" s="32">
        <v>215</v>
      </c>
      <c r="F158" s="30" t="s">
        <v>2492</v>
      </c>
      <c r="H158" s="30" t="s">
        <v>2486</v>
      </c>
      <c r="I158" s="30" t="s">
        <v>2486</v>
      </c>
      <c r="J158" s="30">
        <v>31</v>
      </c>
      <c r="K158" s="30">
        <v>31</v>
      </c>
      <c r="L158" s="30">
        <v>0</v>
      </c>
      <c r="M158" s="44" t="str">
        <f t="shared" si="6"/>
        <v>Silao</v>
      </c>
      <c r="N158" s="45" t="str">
        <f t="shared" si="7"/>
        <v>No</v>
      </c>
      <c r="O158" s="45" t="str">
        <f t="shared" si="8"/>
        <v>No</v>
      </c>
      <c r="P158" s="44"/>
    </row>
    <row r="159" spans="1:16">
      <c r="A159" s="30" t="s">
        <v>2654</v>
      </c>
      <c r="B159" s="29" t="s">
        <v>800</v>
      </c>
      <c r="C159" s="30" t="s">
        <v>2490</v>
      </c>
      <c r="D159" s="30" t="s">
        <v>2491</v>
      </c>
      <c r="E159" s="32">
        <v>215</v>
      </c>
      <c r="F159" s="30" t="s">
        <v>2492</v>
      </c>
      <c r="H159" s="30" t="s">
        <v>2486</v>
      </c>
      <c r="I159" s="30" t="s">
        <v>2486</v>
      </c>
      <c r="J159" s="30">
        <v>29</v>
      </c>
      <c r="K159" s="30">
        <v>29</v>
      </c>
      <c r="L159" s="30">
        <v>0</v>
      </c>
      <c r="M159" s="44" t="str">
        <f t="shared" si="6"/>
        <v>Silao</v>
      </c>
      <c r="N159" s="45" t="str">
        <f t="shared" si="7"/>
        <v>No</v>
      </c>
      <c r="O159" s="45" t="str">
        <f t="shared" si="8"/>
        <v>No</v>
      </c>
      <c r="P159" s="44"/>
    </row>
    <row r="160" spans="1:16">
      <c r="A160" s="30" t="s">
        <v>2655</v>
      </c>
      <c r="B160" s="29" t="s">
        <v>802</v>
      </c>
      <c r="C160" s="30" t="s">
        <v>2490</v>
      </c>
      <c r="D160" s="30" t="s">
        <v>2491</v>
      </c>
      <c r="E160" s="32">
        <v>215</v>
      </c>
      <c r="F160" s="30" t="s">
        <v>2492</v>
      </c>
      <c r="H160" s="30" t="s">
        <v>2486</v>
      </c>
      <c r="I160" s="30" t="s">
        <v>2486</v>
      </c>
      <c r="J160" s="30">
        <v>15</v>
      </c>
      <c r="L160" s="30">
        <v>15</v>
      </c>
      <c r="M160" s="44" t="str">
        <f t="shared" si="6"/>
        <v>Silao</v>
      </c>
      <c r="N160" s="45" t="str">
        <f t="shared" si="7"/>
        <v>No</v>
      </c>
      <c r="O160" s="45" t="str">
        <f t="shared" si="8"/>
        <v>No</v>
      </c>
      <c r="P160" s="44"/>
    </row>
    <row r="161" spans="1:16">
      <c r="A161" s="30" t="s">
        <v>2656</v>
      </c>
      <c r="B161" s="29" t="s">
        <v>806</v>
      </c>
      <c r="C161" s="30" t="s">
        <v>2490</v>
      </c>
      <c r="D161" s="30" t="s">
        <v>2491</v>
      </c>
      <c r="E161" s="32">
        <v>215</v>
      </c>
      <c r="F161" s="30" t="s">
        <v>2492</v>
      </c>
      <c r="H161" s="30" t="s">
        <v>2486</v>
      </c>
      <c r="I161" s="30" t="s">
        <v>2486</v>
      </c>
      <c r="J161" s="30">
        <v>29</v>
      </c>
      <c r="L161" s="30">
        <v>29</v>
      </c>
      <c r="M161" s="44" t="str">
        <f t="shared" si="6"/>
        <v>Silao</v>
      </c>
      <c r="N161" s="45" t="str">
        <f t="shared" si="7"/>
        <v>No</v>
      </c>
      <c r="O161" s="45" t="str">
        <f t="shared" si="8"/>
        <v>No</v>
      </c>
      <c r="P161" s="44"/>
    </row>
    <row r="162" spans="1:16">
      <c r="A162" s="30" t="s">
        <v>2657</v>
      </c>
      <c r="B162" s="29" t="s">
        <v>809</v>
      </c>
      <c r="C162" s="30" t="s">
        <v>2490</v>
      </c>
      <c r="D162" s="30" t="s">
        <v>2491</v>
      </c>
      <c r="E162" s="32">
        <v>215</v>
      </c>
      <c r="F162" s="30" t="s">
        <v>2492</v>
      </c>
      <c r="H162" s="30" t="s">
        <v>2486</v>
      </c>
      <c r="I162" s="30" t="s">
        <v>2486</v>
      </c>
      <c r="J162" s="30">
        <v>28</v>
      </c>
      <c r="K162" s="30">
        <v>28</v>
      </c>
      <c r="L162" s="30">
        <v>0</v>
      </c>
      <c r="M162" s="44" t="str">
        <f t="shared" si="6"/>
        <v>Silao</v>
      </c>
      <c r="N162" s="45" t="str">
        <f t="shared" si="7"/>
        <v>No</v>
      </c>
      <c r="O162" s="45" t="str">
        <f t="shared" si="8"/>
        <v>No</v>
      </c>
      <c r="P162" s="44"/>
    </row>
    <row r="163" spans="1:16">
      <c r="A163" s="30" t="s">
        <v>2658</v>
      </c>
      <c r="B163" s="29" t="s">
        <v>813</v>
      </c>
      <c r="C163" s="30" t="s">
        <v>2490</v>
      </c>
      <c r="D163" s="30" t="s">
        <v>2491</v>
      </c>
      <c r="E163" s="32">
        <v>215</v>
      </c>
      <c r="F163" s="30" t="s">
        <v>2492</v>
      </c>
      <c r="H163" s="30" t="s">
        <v>2486</v>
      </c>
      <c r="I163" s="30" t="s">
        <v>2486</v>
      </c>
      <c r="J163" s="30">
        <v>6</v>
      </c>
      <c r="K163" s="30">
        <v>6</v>
      </c>
      <c r="L163" s="30">
        <v>0</v>
      </c>
      <c r="M163" s="44" t="str">
        <f t="shared" si="6"/>
        <v>Silao</v>
      </c>
      <c r="N163" s="45" t="str">
        <f t="shared" si="7"/>
        <v>No</v>
      </c>
      <c r="O163" s="45" t="str">
        <f t="shared" si="8"/>
        <v>No</v>
      </c>
      <c r="P163" s="44"/>
    </row>
    <row r="164" spans="1:16">
      <c r="A164" s="30" t="s">
        <v>2659</v>
      </c>
      <c r="B164" s="29" t="s">
        <v>817</v>
      </c>
      <c r="C164" s="30" t="s">
        <v>2490</v>
      </c>
      <c r="D164" s="30" t="s">
        <v>2491</v>
      </c>
      <c r="E164" s="32">
        <v>215</v>
      </c>
      <c r="F164" s="30" t="s">
        <v>2492</v>
      </c>
      <c r="H164" s="30" t="s">
        <v>2486</v>
      </c>
      <c r="I164" s="30" t="s">
        <v>2486</v>
      </c>
      <c r="J164" s="30">
        <v>2</v>
      </c>
      <c r="L164" s="30">
        <v>2</v>
      </c>
      <c r="M164" s="44" t="str">
        <f t="shared" si="6"/>
        <v>Silao</v>
      </c>
      <c r="N164" s="45" t="str">
        <f t="shared" si="7"/>
        <v>No</v>
      </c>
      <c r="O164" s="45" t="str">
        <f t="shared" si="8"/>
        <v>No</v>
      </c>
      <c r="P164" s="44"/>
    </row>
    <row r="165" spans="1:16">
      <c r="A165" s="30" t="s">
        <v>2660</v>
      </c>
      <c r="B165" s="29" t="s">
        <v>821</v>
      </c>
      <c r="C165" s="30" t="s">
        <v>2490</v>
      </c>
      <c r="D165" s="30" t="s">
        <v>2491</v>
      </c>
      <c r="E165" s="32">
        <v>215</v>
      </c>
      <c r="F165" s="30" t="s">
        <v>2492</v>
      </c>
      <c r="H165" s="30" t="s">
        <v>2486</v>
      </c>
      <c r="I165" s="30" t="s">
        <v>2486</v>
      </c>
      <c r="J165" s="30">
        <v>155</v>
      </c>
      <c r="L165" s="30">
        <v>155</v>
      </c>
      <c r="M165" s="44" t="str">
        <f t="shared" si="6"/>
        <v>Silao</v>
      </c>
      <c r="N165" s="45" t="str">
        <f t="shared" si="7"/>
        <v>No</v>
      </c>
      <c r="O165" s="45" t="str">
        <f t="shared" si="8"/>
        <v>No</v>
      </c>
      <c r="P165" s="44"/>
    </row>
    <row r="166" spans="1:16">
      <c r="A166" s="30" t="s">
        <v>2661</v>
      </c>
      <c r="B166" s="29" t="s">
        <v>825</v>
      </c>
      <c r="C166" s="30" t="s">
        <v>2490</v>
      </c>
      <c r="D166" s="30" t="s">
        <v>2491</v>
      </c>
      <c r="E166" s="32">
        <v>215</v>
      </c>
      <c r="F166" s="30" t="s">
        <v>2492</v>
      </c>
      <c r="H166" s="30" t="s">
        <v>2486</v>
      </c>
      <c r="I166" s="30" t="s">
        <v>2486</v>
      </c>
      <c r="J166" s="30">
        <v>89</v>
      </c>
      <c r="L166" s="30">
        <v>89</v>
      </c>
      <c r="M166" s="44" t="str">
        <f t="shared" si="6"/>
        <v>Silao</v>
      </c>
      <c r="N166" s="45" t="str">
        <f t="shared" si="7"/>
        <v>No</v>
      </c>
      <c r="O166" s="45" t="str">
        <f t="shared" si="8"/>
        <v>No</v>
      </c>
      <c r="P166" s="44"/>
    </row>
    <row r="167" spans="1:16">
      <c r="A167" s="30" t="s">
        <v>2662</v>
      </c>
      <c r="B167" s="29" t="s">
        <v>827</v>
      </c>
      <c r="C167" s="30" t="s">
        <v>2490</v>
      </c>
      <c r="D167" s="30" t="s">
        <v>2491</v>
      </c>
      <c r="E167" s="32">
        <v>215</v>
      </c>
      <c r="F167" s="30" t="s">
        <v>2492</v>
      </c>
      <c r="H167" s="30" t="s">
        <v>2486</v>
      </c>
      <c r="I167" s="30" t="s">
        <v>2486</v>
      </c>
      <c r="J167" s="30">
        <v>82</v>
      </c>
      <c r="L167" s="30">
        <v>82</v>
      </c>
      <c r="M167" s="44" t="str">
        <f t="shared" si="6"/>
        <v>Silao</v>
      </c>
      <c r="N167" s="45" t="str">
        <f t="shared" si="7"/>
        <v>No</v>
      </c>
      <c r="O167" s="45" t="str">
        <f t="shared" si="8"/>
        <v>No</v>
      </c>
      <c r="P167" s="44"/>
    </row>
    <row r="168" spans="1:16">
      <c r="A168" s="30" t="s">
        <v>2663</v>
      </c>
      <c r="B168" s="29" t="s">
        <v>829</v>
      </c>
      <c r="C168" s="30" t="s">
        <v>2490</v>
      </c>
      <c r="D168" s="30" t="s">
        <v>2491</v>
      </c>
      <c r="E168" s="32">
        <v>215</v>
      </c>
      <c r="F168" s="30" t="s">
        <v>2492</v>
      </c>
      <c r="H168" s="30" t="s">
        <v>2486</v>
      </c>
      <c r="I168" s="30" t="s">
        <v>2486</v>
      </c>
      <c r="J168" s="30">
        <v>101</v>
      </c>
      <c r="L168" s="30">
        <v>101</v>
      </c>
      <c r="M168" s="44" t="str">
        <f t="shared" si="6"/>
        <v>Silao</v>
      </c>
      <c r="N168" s="45" t="str">
        <f t="shared" si="7"/>
        <v>No</v>
      </c>
      <c r="O168" s="45" t="str">
        <f t="shared" si="8"/>
        <v>No</v>
      </c>
      <c r="P168" s="44"/>
    </row>
    <row r="169" spans="1:16">
      <c r="A169" s="30" t="s">
        <v>2664</v>
      </c>
      <c r="B169" s="29" t="s">
        <v>831</v>
      </c>
      <c r="C169" s="30" t="s">
        <v>2490</v>
      </c>
      <c r="D169" s="30" t="s">
        <v>2491</v>
      </c>
      <c r="E169" s="32">
        <v>215</v>
      </c>
      <c r="F169" s="30" t="s">
        <v>2492</v>
      </c>
      <c r="H169" s="30" t="s">
        <v>2486</v>
      </c>
      <c r="I169" s="30" t="s">
        <v>2486</v>
      </c>
      <c r="J169" s="30">
        <v>4</v>
      </c>
      <c r="K169" s="30">
        <v>4</v>
      </c>
      <c r="L169" s="30">
        <v>0</v>
      </c>
      <c r="M169" s="44" t="str">
        <f t="shared" si="6"/>
        <v>Silao</v>
      </c>
      <c r="N169" s="45" t="str">
        <f t="shared" si="7"/>
        <v>No</v>
      </c>
      <c r="O169" s="45" t="str">
        <f t="shared" si="8"/>
        <v>No</v>
      </c>
      <c r="P169" s="44"/>
    </row>
    <row r="170" spans="1:16">
      <c r="A170" s="30" t="s">
        <v>2665</v>
      </c>
      <c r="B170" s="29" t="s">
        <v>835</v>
      </c>
      <c r="C170" s="30" t="s">
        <v>2490</v>
      </c>
      <c r="D170" s="30" t="s">
        <v>2491</v>
      </c>
      <c r="E170" s="32">
        <v>215</v>
      </c>
      <c r="F170" s="30" t="s">
        <v>2492</v>
      </c>
      <c r="H170" s="30" t="s">
        <v>2486</v>
      </c>
      <c r="I170" s="30" t="s">
        <v>2486</v>
      </c>
      <c r="J170" s="30">
        <v>27</v>
      </c>
      <c r="L170" s="30">
        <v>27</v>
      </c>
      <c r="M170" s="44" t="str">
        <f t="shared" si="6"/>
        <v>Silao</v>
      </c>
      <c r="N170" s="45" t="str">
        <f t="shared" si="7"/>
        <v>No</v>
      </c>
      <c r="O170" s="45" t="str">
        <f t="shared" si="8"/>
        <v>No</v>
      </c>
      <c r="P170" s="44"/>
    </row>
    <row r="171" spans="1:16">
      <c r="A171" s="30" t="s">
        <v>2666</v>
      </c>
      <c r="B171" s="29" t="s">
        <v>840</v>
      </c>
      <c r="C171" s="30" t="s">
        <v>2490</v>
      </c>
      <c r="D171" s="30" t="s">
        <v>2491</v>
      </c>
      <c r="E171" s="32">
        <v>215</v>
      </c>
      <c r="F171" s="30" t="s">
        <v>2492</v>
      </c>
      <c r="H171" s="30" t="s">
        <v>2486</v>
      </c>
      <c r="I171" s="30" t="s">
        <v>2486</v>
      </c>
      <c r="J171" s="30">
        <v>34</v>
      </c>
      <c r="L171" s="30">
        <v>34</v>
      </c>
      <c r="M171" s="44" t="str">
        <f t="shared" si="6"/>
        <v>Silao</v>
      </c>
      <c r="N171" s="45" t="str">
        <f t="shared" si="7"/>
        <v>No</v>
      </c>
      <c r="O171" s="45" t="str">
        <f t="shared" si="8"/>
        <v>No</v>
      </c>
      <c r="P171" s="44"/>
    </row>
    <row r="172" spans="1:16">
      <c r="A172" s="30" t="s">
        <v>2667</v>
      </c>
      <c r="B172" s="29" t="s">
        <v>844</v>
      </c>
      <c r="C172" s="30" t="s">
        <v>2490</v>
      </c>
      <c r="D172" s="30" t="s">
        <v>2491</v>
      </c>
      <c r="E172" s="32">
        <v>215</v>
      </c>
      <c r="F172" s="30" t="s">
        <v>2492</v>
      </c>
      <c r="H172" s="30" t="s">
        <v>2486</v>
      </c>
      <c r="I172" s="30" t="s">
        <v>2486</v>
      </c>
      <c r="J172" s="30">
        <v>25</v>
      </c>
      <c r="L172" s="30">
        <v>25</v>
      </c>
      <c r="M172" s="44" t="str">
        <f t="shared" si="6"/>
        <v>Silao</v>
      </c>
      <c r="N172" s="45" t="str">
        <f t="shared" si="7"/>
        <v>No</v>
      </c>
      <c r="O172" s="45" t="str">
        <f t="shared" si="8"/>
        <v>No</v>
      </c>
      <c r="P172" s="44"/>
    </row>
    <row r="173" spans="1:16">
      <c r="A173" s="30" t="s">
        <v>2668</v>
      </c>
      <c r="B173" s="29" t="s">
        <v>847</v>
      </c>
      <c r="C173" s="30" t="s">
        <v>2490</v>
      </c>
      <c r="D173" s="30" t="s">
        <v>2491</v>
      </c>
      <c r="E173" s="32">
        <v>215</v>
      </c>
      <c r="F173" s="30" t="s">
        <v>2492</v>
      </c>
      <c r="H173" s="30" t="s">
        <v>2486</v>
      </c>
      <c r="I173" s="30" t="s">
        <v>2486</v>
      </c>
      <c r="J173" s="30">
        <v>29</v>
      </c>
      <c r="K173" s="30">
        <v>29</v>
      </c>
      <c r="L173" s="30">
        <v>0</v>
      </c>
      <c r="M173" s="44" t="str">
        <f t="shared" si="6"/>
        <v>Silao</v>
      </c>
      <c r="N173" s="45" t="str">
        <f t="shared" si="7"/>
        <v>No</v>
      </c>
      <c r="O173" s="45" t="str">
        <f t="shared" si="8"/>
        <v>No</v>
      </c>
      <c r="P173" s="44"/>
    </row>
    <row r="174" spans="1:16">
      <c r="A174" s="30" t="s">
        <v>2669</v>
      </c>
      <c r="B174" s="29" t="s">
        <v>850</v>
      </c>
      <c r="C174" s="30" t="s">
        <v>2490</v>
      </c>
      <c r="D174" s="30" t="s">
        <v>2491</v>
      </c>
      <c r="E174" s="32">
        <v>215</v>
      </c>
      <c r="F174" s="30" t="s">
        <v>2492</v>
      </c>
      <c r="H174" s="30" t="s">
        <v>2486</v>
      </c>
      <c r="I174" s="30" t="s">
        <v>2486</v>
      </c>
      <c r="J174" s="30">
        <v>18</v>
      </c>
      <c r="K174" s="30">
        <v>18</v>
      </c>
      <c r="L174" s="30">
        <v>0</v>
      </c>
      <c r="M174" s="44" t="str">
        <f t="shared" si="6"/>
        <v>Silao</v>
      </c>
      <c r="N174" s="45" t="str">
        <f t="shared" si="7"/>
        <v>No</v>
      </c>
      <c r="O174" s="45" t="str">
        <f t="shared" si="8"/>
        <v>No</v>
      </c>
      <c r="P174" s="44"/>
    </row>
    <row r="175" spans="1:16">
      <c r="A175" s="30" t="s">
        <v>2670</v>
      </c>
      <c r="B175" s="29" t="s">
        <v>852</v>
      </c>
      <c r="C175" s="30" t="s">
        <v>2490</v>
      </c>
      <c r="D175" s="30" t="s">
        <v>2491</v>
      </c>
      <c r="E175" s="32">
        <v>215</v>
      </c>
      <c r="F175" s="30" t="s">
        <v>2492</v>
      </c>
      <c r="H175" s="30" t="s">
        <v>2486</v>
      </c>
      <c r="I175" s="30" t="s">
        <v>2486</v>
      </c>
      <c r="J175" s="30">
        <v>16</v>
      </c>
      <c r="K175" s="30">
        <v>16</v>
      </c>
      <c r="L175" s="30">
        <v>0</v>
      </c>
      <c r="M175" s="44" t="str">
        <f t="shared" si="6"/>
        <v>Silao</v>
      </c>
      <c r="N175" s="45" t="str">
        <f t="shared" si="7"/>
        <v>No</v>
      </c>
      <c r="O175" s="45" t="str">
        <f t="shared" si="8"/>
        <v>No</v>
      </c>
      <c r="P175" s="44"/>
    </row>
    <row r="176" spans="1:16">
      <c r="A176" s="30" t="s">
        <v>2671</v>
      </c>
      <c r="B176" s="29" t="s">
        <v>855</v>
      </c>
      <c r="C176" s="30" t="s">
        <v>2490</v>
      </c>
      <c r="D176" s="30" t="s">
        <v>2491</v>
      </c>
      <c r="E176" s="32">
        <v>215</v>
      </c>
      <c r="F176" s="30" t="s">
        <v>2492</v>
      </c>
      <c r="H176" s="30" t="s">
        <v>2486</v>
      </c>
      <c r="I176" s="30" t="s">
        <v>2486</v>
      </c>
      <c r="J176" s="30">
        <v>18</v>
      </c>
      <c r="L176" s="30">
        <v>18</v>
      </c>
      <c r="M176" s="44" t="str">
        <f t="shared" si="6"/>
        <v>Silao</v>
      </c>
      <c r="N176" s="45" t="str">
        <f t="shared" si="7"/>
        <v>No</v>
      </c>
      <c r="O176" s="45" t="str">
        <f t="shared" si="8"/>
        <v>No</v>
      </c>
      <c r="P176" s="44"/>
    </row>
    <row r="177" spans="1:16">
      <c r="A177" s="30" t="s">
        <v>2672</v>
      </c>
      <c r="B177" s="29" t="s">
        <v>858</v>
      </c>
      <c r="C177" s="30" t="s">
        <v>2490</v>
      </c>
      <c r="D177" s="30" t="s">
        <v>2491</v>
      </c>
      <c r="E177" s="32">
        <v>215</v>
      </c>
      <c r="F177" s="30" t="s">
        <v>2492</v>
      </c>
      <c r="H177" s="30" t="s">
        <v>2486</v>
      </c>
      <c r="I177" s="30" t="s">
        <v>2486</v>
      </c>
      <c r="J177" s="30">
        <v>34</v>
      </c>
      <c r="L177" s="30">
        <v>34</v>
      </c>
      <c r="M177" s="44" t="str">
        <f t="shared" si="6"/>
        <v>Silao</v>
      </c>
      <c r="N177" s="45" t="str">
        <f t="shared" si="7"/>
        <v>No</v>
      </c>
      <c r="O177" s="45" t="str">
        <f t="shared" si="8"/>
        <v>No</v>
      </c>
      <c r="P177" s="44"/>
    </row>
    <row r="178" spans="1:16">
      <c r="A178" s="30" t="s">
        <v>2673</v>
      </c>
      <c r="B178" s="29" t="s">
        <v>861</v>
      </c>
      <c r="C178" s="30" t="s">
        <v>2490</v>
      </c>
      <c r="D178" s="30" t="s">
        <v>2491</v>
      </c>
      <c r="E178" s="32">
        <v>215</v>
      </c>
      <c r="F178" s="30" t="s">
        <v>2492</v>
      </c>
      <c r="H178" s="30" t="s">
        <v>2486</v>
      </c>
      <c r="I178" s="30" t="s">
        <v>2486</v>
      </c>
      <c r="J178" s="30">
        <v>29</v>
      </c>
      <c r="L178" s="30">
        <v>29</v>
      </c>
      <c r="M178" s="44" t="str">
        <f t="shared" si="6"/>
        <v>Silao</v>
      </c>
      <c r="N178" s="45" t="str">
        <f t="shared" si="7"/>
        <v>No</v>
      </c>
      <c r="O178" s="45" t="str">
        <f t="shared" si="8"/>
        <v>No</v>
      </c>
      <c r="P178" s="44"/>
    </row>
    <row r="179" spans="1:16">
      <c r="A179" s="30" t="s">
        <v>2674</v>
      </c>
      <c r="B179" s="29" t="s">
        <v>864</v>
      </c>
      <c r="C179" s="30" t="s">
        <v>2675</v>
      </c>
      <c r="D179" s="30" t="s">
        <v>2491</v>
      </c>
      <c r="E179" s="32">
        <v>187</v>
      </c>
      <c r="F179" s="30" t="s">
        <v>2675</v>
      </c>
      <c r="H179" s="30" t="s">
        <v>2486</v>
      </c>
      <c r="I179" s="30" t="s">
        <v>2486</v>
      </c>
      <c r="J179" s="30">
        <v>34255</v>
      </c>
      <c r="L179" s="30">
        <v>34255</v>
      </c>
      <c r="M179" s="44" t="str">
        <f t="shared" si="6"/>
        <v>Salvatierra</v>
      </c>
      <c r="N179" s="45" t="str">
        <f t="shared" si="7"/>
        <v>No</v>
      </c>
      <c r="O179" s="45" t="str">
        <f t="shared" si="8"/>
        <v>No</v>
      </c>
      <c r="P179" s="44"/>
    </row>
    <row r="180" spans="1:16">
      <c r="A180" s="30" t="s">
        <v>2676</v>
      </c>
      <c r="B180" s="29" t="s">
        <v>869</v>
      </c>
      <c r="C180" s="30" t="s">
        <v>2677</v>
      </c>
      <c r="D180" s="30" t="s">
        <v>2491</v>
      </c>
      <c r="E180" s="32"/>
      <c r="H180" s="30" t="s">
        <v>168</v>
      </c>
      <c r="I180" s="30" t="s">
        <v>168</v>
      </c>
      <c r="J180" s="30">
        <v>33843</v>
      </c>
      <c r="L180" s="30">
        <v>33843</v>
      </c>
      <c r="M180" s="44">
        <f t="shared" si="6"/>
        <v>0</v>
      </c>
      <c r="N180" s="45" t="str">
        <f t="shared" si="7"/>
        <v>No</v>
      </c>
      <c r="O180" s="45" t="str">
        <f t="shared" si="8"/>
        <v>No</v>
      </c>
      <c r="P180" s="44"/>
    </row>
    <row r="181" spans="1:16">
      <c r="A181" s="30" t="s">
        <v>2678</v>
      </c>
      <c r="B181" s="29" t="s">
        <v>874</v>
      </c>
      <c r="C181" s="30" t="s">
        <v>2675</v>
      </c>
      <c r="D181" s="30" t="s">
        <v>2491</v>
      </c>
      <c r="E181" s="32">
        <v>187</v>
      </c>
      <c r="F181" s="30" t="s">
        <v>2675</v>
      </c>
      <c r="H181" s="30" t="s">
        <v>2486</v>
      </c>
      <c r="I181" s="30" t="s">
        <v>2486</v>
      </c>
      <c r="J181" s="30">
        <v>40</v>
      </c>
      <c r="K181" s="30">
        <v>40</v>
      </c>
      <c r="L181" s="30">
        <v>0</v>
      </c>
      <c r="M181" s="44" t="str">
        <f t="shared" si="6"/>
        <v>Salvatierra</v>
      </c>
      <c r="N181" s="45" t="str">
        <f t="shared" si="7"/>
        <v>No</v>
      </c>
      <c r="O181" s="45" t="str">
        <f t="shared" si="8"/>
        <v>No</v>
      </c>
      <c r="P181" s="44"/>
    </row>
    <row r="182" spans="1:16">
      <c r="A182" s="30" t="s">
        <v>2679</v>
      </c>
      <c r="B182" s="29" t="s">
        <v>878</v>
      </c>
      <c r="C182" s="30" t="s">
        <v>2677</v>
      </c>
      <c r="D182" s="30" t="s">
        <v>2491</v>
      </c>
      <c r="E182" s="32"/>
      <c r="H182" s="30" t="s">
        <v>168</v>
      </c>
      <c r="I182" s="30" t="s">
        <v>168</v>
      </c>
      <c r="J182" s="30">
        <v>11</v>
      </c>
      <c r="K182" s="30">
        <v>11</v>
      </c>
      <c r="L182" s="30">
        <v>0</v>
      </c>
      <c r="M182" s="44">
        <f t="shared" si="6"/>
        <v>0</v>
      </c>
      <c r="N182" s="45" t="str">
        <f t="shared" si="7"/>
        <v>No</v>
      </c>
      <c r="O182" s="45" t="str">
        <f t="shared" si="8"/>
        <v>No</v>
      </c>
      <c r="P182" s="44"/>
    </row>
    <row r="183" spans="1:16">
      <c r="A183" s="30" t="s">
        <v>2680</v>
      </c>
      <c r="B183" s="29" t="s">
        <v>882</v>
      </c>
      <c r="C183" s="30" t="s">
        <v>2677</v>
      </c>
      <c r="D183" s="30" t="s">
        <v>2491</v>
      </c>
      <c r="E183" s="32"/>
      <c r="H183" s="30" t="s">
        <v>168</v>
      </c>
      <c r="I183" s="30" t="s">
        <v>168</v>
      </c>
      <c r="J183" s="30">
        <v>22</v>
      </c>
      <c r="K183" s="30">
        <v>22</v>
      </c>
      <c r="L183" s="30">
        <v>0</v>
      </c>
      <c r="M183" s="44">
        <f t="shared" si="6"/>
        <v>0</v>
      </c>
      <c r="N183" s="45" t="str">
        <f t="shared" si="7"/>
        <v>No</v>
      </c>
      <c r="O183" s="45" t="str">
        <f t="shared" si="8"/>
        <v>No</v>
      </c>
      <c r="P183" s="44"/>
    </row>
    <row r="184" spans="1:16">
      <c r="A184" s="30" t="s">
        <v>2681</v>
      </c>
      <c r="B184" s="29" t="s">
        <v>884</v>
      </c>
      <c r="C184" s="30" t="s">
        <v>2677</v>
      </c>
      <c r="D184" s="30" t="s">
        <v>2491</v>
      </c>
      <c r="E184" s="32"/>
      <c r="H184" s="30" t="s">
        <v>168</v>
      </c>
      <c r="I184" s="30" t="s">
        <v>168</v>
      </c>
      <c r="J184" s="30">
        <v>11</v>
      </c>
      <c r="K184" s="30">
        <v>11</v>
      </c>
      <c r="L184" s="30">
        <v>0</v>
      </c>
      <c r="M184" s="44">
        <f t="shared" si="6"/>
        <v>0</v>
      </c>
      <c r="N184" s="45" t="str">
        <f t="shared" si="7"/>
        <v>No</v>
      </c>
      <c r="O184" s="45" t="str">
        <f t="shared" si="8"/>
        <v>No</v>
      </c>
      <c r="P184" s="44"/>
    </row>
    <row r="185" spans="1:16">
      <c r="A185" s="30" t="s">
        <v>2682</v>
      </c>
      <c r="B185" s="29" t="s">
        <v>886</v>
      </c>
      <c r="C185" s="30" t="s">
        <v>2598</v>
      </c>
      <c r="D185" s="30" t="s">
        <v>2491</v>
      </c>
      <c r="E185" s="32">
        <v>171</v>
      </c>
      <c r="F185" s="30" t="s">
        <v>2599</v>
      </c>
      <c r="H185" s="30" t="s">
        <v>2486</v>
      </c>
      <c r="I185" s="30" t="s">
        <v>168</v>
      </c>
      <c r="J185" s="30">
        <v>21</v>
      </c>
      <c r="K185" s="30">
        <v>21</v>
      </c>
      <c r="L185" s="30">
        <v>0</v>
      </c>
      <c r="M185" s="44" t="str">
        <f t="shared" si="6"/>
        <v>Purísima</v>
      </c>
      <c r="N185" s="45" t="str">
        <f t="shared" si="7"/>
        <v>No</v>
      </c>
      <c r="O185" s="45" t="str">
        <f t="shared" si="8"/>
        <v>No</v>
      </c>
      <c r="P185" s="44"/>
    </row>
    <row r="186" spans="1:16">
      <c r="A186" s="30" t="s">
        <v>2683</v>
      </c>
      <c r="B186" s="29" t="s">
        <v>892</v>
      </c>
      <c r="C186" s="30" t="s">
        <v>2625</v>
      </c>
      <c r="D186" s="30" t="s">
        <v>2491</v>
      </c>
      <c r="E186" s="32">
        <v>201</v>
      </c>
      <c r="F186" s="30" t="s">
        <v>2625</v>
      </c>
      <c r="H186" s="30" t="s">
        <v>2486</v>
      </c>
      <c r="I186" s="30" t="s">
        <v>2486</v>
      </c>
      <c r="J186" s="30">
        <v>7</v>
      </c>
      <c r="K186" s="30">
        <v>7</v>
      </c>
      <c r="L186" s="30">
        <v>0</v>
      </c>
      <c r="M186" s="44" t="str">
        <f t="shared" si="6"/>
        <v>San Luis de la Paz</v>
      </c>
      <c r="N186" s="45" t="str">
        <f t="shared" si="7"/>
        <v>No</v>
      </c>
      <c r="O186" s="45" t="str">
        <f t="shared" si="8"/>
        <v>No</v>
      </c>
      <c r="P186" s="44"/>
    </row>
    <row r="187" spans="1:16">
      <c r="A187" s="30" t="s">
        <v>2684</v>
      </c>
      <c r="B187" s="29" t="s">
        <v>896</v>
      </c>
      <c r="C187" s="30" t="s">
        <v>2483</v>
      </c>
      <c r="D187" s="30" t="s">
        <v>2491</v>
      </c>
      <c r="E187" s="32"/>
      <c r="G187" s="30" t="s">
        <v>2508</v>
      </c>
      <c r="H187" s="30" t="s">
        <v>168</v>
      </c>
      <c r="I187" s="30" t="s">
        <v>168</v>
      </c>
      <c r="J187" s="30">
        <v>52</v>
      </c>
      <c r="K187" s="30">
        <v>52</v>
      </c>
      <c r="L187" s="30">
        <v>0</v>
      </c>
      <c r="M187" s="44" t="str">
        <f t="shared" si="6"/>
        <v>La Martinica</v>
      </c>
      <c r="N187" s="45" t="str">
        <f t="shared" si="7"/>
        <v>No</v>
      </c>
      <c r="O187" s="45" t="str">
        <f t="shared" si="8"/>
        <v>No</v>
      </c>
      <c r="P187" s="44"/>
    </row>
    <row r="188" spans="1:16">
      <c r="A188" s="30" t="s">
        <v>2685</v>
      </c>
      <c r="B188" s="29" t="s">
        <v>900</v>
      </c>
      <c r="C188" s="30" t="s">
        <v>2483</v>
      </c>
      <c r="D188" s="30" t="s">
        <v>2491</v>
      </c>
      <c r="E188" s="32"/>
      <c r="G188" s="30" t="s">
        <v>2508</v>
      </c>
      <c r="H188" s="30" t="s">
        <v>168</v>
      </c>
      <c r="I188" s="30" t="s">
        <v>168</v>
      </c>
      <c r="J188" s="30">
        <v>40</v>
      </c>
      <c r="K188" s="30">
        <v>40</v>
      </c>
      <c r="L188" s="30">
        <v>0</v>
      </c>
      <c r="M188" s="44" t="str">
        <f t="shared" si="6"/>
        <v>La Martinica</v>
      </c>
      <c r="N188" s="45" t="str">
        <f t="shared" si="7"/>
        <v>No</v>
      </c>
      <c r="O188" s="45" t="str">
        <f t="shared" si="8"/>
        <v>No</v>
      </c>
      <c r="P188" s="44"/>
    </row>
    <row r="189" spans="1:16">
      <c r="A189" s="30" t="s">
        <v>2686</v>
      </c>
      <c r="B189" s="29" t="s">
        <v>903</v>
      </c>
      <c r="C189" s="30" t="s">
        <v>2483</v>
      </c>
      <c r="D189" s="30" t="s">
        <v>2491</v>
      </c>
      <c r="E189" s="32"/>
      <c r="G189" s="30" t="s">
        <v>2508</v>
      </c>
      <c r="H189" s="30" t="s">
        <v>168</v>
      </c>
      <c r="I189" s="30" t="s">
        <v>168</v>
      </c>
      <c r="J189" s="30">
        <v>45</v>
      </c>
      <c r="K189" s="30">
        <v>45</v>
      </c>
      <c r="L189" s="30">
        <v>0</v>
      </c>
      <c r="M189" s="44" t="str">
        <f t="shared" si="6"/>
        <v>La Martinica</v>
      </c>
      <c r="N189" s="45" t="str">
        <f t="shared" si="7"/>
        <v>No</v>
      </c>
      <c r="O189" s="45" t="str">
        <f t="shared" si="8"/>
        <v>No</v>
      </c>
      <c r="P189" s="44"/>
    </row>
    <row r="190" spans="1:16">
      <c r="A190" s="30" t="s">
        <v>2687</v>
      </c>
      <c r="B190" s="29" t="s">
        <v>906</v>
      </c>
      <c r="C190" s="30" t="s">
        <v>2483</v>
      </c>
      <c r="D190" s="30" t="s">
        <v>2491</v>
      </c>
      <c r="E190" s="32"/>
      <c r="G190" s="30" t="s">
        <v>2508</v>
      </c>
      <c r="H190" s="30" t="s">
        <v>168</v>
      </c>
      <c r="I190" s="30" t="s">
        <v>168</v>
      </c>
      <c r="J190" s="30">
        <v>62</v>
      </c>
      <c r="K190" s="30">
        <v>62</v>
      </c>
      <c r="L190" s="30">
        <v>0</v>
      </c>
      <c r="M190" s="44" t="str">
        <f t="shared" si="6"/>
        <v>La Martinica</v>
      </c>
      <c r="N190" s="45" t="str">
        <f t="shared" si="7"/>
        <v>No</v>
      </c>
      <c r="O190" s="45" t="str">
        <f t="shared" si="8"/>
        <v>No</v>
      </c>
      <c r="P190" s="44"/>
    </row>
    <row r="191" spans="1:16">
      <c r="A191" s="30" t="s">
        <v>2688</v>
      </c>
      <c r="B191" s="29" t="s">
        <v>909</v>
      </c>
      <c r="C191" s="30" t="s">
        <v>2483</v>
      </c>
      <c r="D191" s="30" t="s">
        <v>2491</v>
      </c>
      <c r="E191" s="32"/>
      <c r="G191" s="30" t="s">
        <v>2508</v>
      </c>
      <c r="H191" s="30" t="s">
        <v>168</v>
      </c>
      <c r="I191" s="30" t="s">
        <v>168</v>
      </c>
      <c r="J191" s="30">
        <v>20</v>
      </c>
      <c r="K191" s="30">
        <v>20</v>
      </c>
      <c r="L191" s="30">
        <v>0</v>
      </c>
      <c r="M191" s="44" t="str">
        <f t="shared" si="6"/>
        <v>La Martinica</v>
      </c>
      <c r="N191" s="45" t="str">
        <f t="shared" si="7"/>
        <v>No</v>
      </c>
      <c r="O191" s="45" t="str">
        <f t="shared" si="8"/>
        <v>No</v>
      </c>
      <c r="P191" s="44"/>
    </row>
    <row r="192" spans="1:16">
      <c r="A192" s="30" t="s">
        <v>2689</v>
      </c>
      <c r="B192" s="29" t="s">
        <v>912</v>
      </c>
      <c r="C192" s="30" t="s">
        <v>2483</v>
      </c>
      <c r="D192" s="30" t="s">
        <v>2491</v>
      </c>
      <c r="E192" s="32"/>
      <c r="G192" s="30" t="s">
        <v>2508</v>
      </c>
      <c r="H192" s="30" t="s">
        <v>168</v>
      </c>
      <c r="I192" s="30" t="s">
        <v>168</v>
      </c>
      <c r="J192" s="30">
        <v>45</v>
      </c>
      <c r="K192" s="30">
        <v>45</v>
      </c>
      <c r="L192" s="30">
        <v>0</v>
      </c>
      <c r="M192" s="44" t="str">
        <f t="shared" si="6"/>
        <v>La Martinica</v>
      </c>
      <c r="N192" s="45" t="str">
        <f t="shared" si="7"/>
        <v>No</v>
      </c>
      <c r="O192" s="45" t="str">
        <f t="shared" si="8"/>
        <v>No</v>
      </c>
      <c r="P192" s="44"/>
    </row>
    <row r="193" spans="1:16">
      <c r="A193" s="30" t="s">
        <v>2690</v>
      </c>
      <c r="B193" s="29" t="s">
        <v>916</v>
      </c>
      <c r="C193" s="30" t="s">
        <v>2483</v>
      </c>
      <c r="D193" s="30" t="s">
        <v>2491</v>
      </c>
      <c r="E193" s="32"/>
      <c r="G193" s="30" t="s">
        <v>2508</v>
      </c>
      <c r="H193" s="30" t="s">
        <v>168</v>
      </c>
      <c r="I193" s="30" t="s">
        <v>168</v>
      </c>
      <c r="J193" s="30">
        <v>50</v>
      </c>
      <c r="L193" s="30">
        <v>50</v>
      </c>
      <c r="M193" s="44" t="str">
        <f t="shared" si="6"/>
        <v>La Martinica</v>
      </c>
      <c r="N193" s="45" t="str">
        <f t="shared" si="7"/>
        <v>No</v>
      </c>
      <c r="O193" s="45" t="str">
        <f t="shared" si="8"/>
        <v>No</v>
      </c>
      <c r="P193" s="44"/>
    </row>
    <row r="194" spans="1:16">
      <c r="A194" s="30" t="s">
        <v>2691</v>
      </c>
      <c r="B194" s="29" t="s">
        <v>920</v>
      </c>
      <c r="C194" s="30" t="s">
        <v>2483</v>
      </c>
      <c r="D194" s="30" t="s">
        <v>2491</v>
      </c>
      <c r="E194" s="32"/>
      <c r="G194" s="30" t="s">
        <v>2508</v>
      </c>
      <c r="H194" s="30" t="s">
        <v>168</v>
      </c>
      <c r="I194" s="30" t="s">
        <v>168</v>
      </c>
      <c r="J194" s="30">
        <v>50</v>
      </c>
      <c r="L194" s="30">
        <v>50</v>
      </c>
      <c r="M194" s="44" t="str">
        <f t="shared" si="6"/>
        <v>La Martinica</v>
      </c>
      <c r="N194" s="45" t="str">
        <f t="shared" si="7"/>
        <v>No</v>
      </c>
      <c r="O194" s="45" t="str">
        <f t="shared" si="8"/>
        <v>No</v>
      </c>
      <c r="P194" s="44"/>
    </row>
    <row r="195" spans="1:16">
      <c r="A195" s="30" t="s">
        <v>2692</v>
      </c>
      <c r="B195" s="29" t="s">
        <v>922</v>
      </c>
      <c r="C195" s="30" t="s">
        <v>2483</v>
      </c>
      <c r="D195" s="30" t="s">
        <v>2491</v>
      </c>
      <c r="E195" s="32"/>
      <c r="G195" s="30" t="s">
        <v>2508</v>
      </c>
      <c r="H195" s="30" t="s">
        <v>168</v>
      </c>
      <c r="I195" s="30" t="s">
        <v>168</v>
      </c>
      <c r="J195" s="30">
        <v>42</v>
      </c>
      <c r="L195" s="30">
        <v>42</v>
      </c>
      <c r="M195" s="44" t="str">
        <f t="shared" si="6"/>
        <v>La Martinica</v>
      </c>
      <c r="N195" s="45" t="str">
        <f t="shared" si="7"/>
        <v>No</v>
      </c>
      <c r="O195" s="45" t="str">
        <f t="shared" si="8"/>
        <v>No</v>
      </c>
      <c r="P195" s="44"/>
    </row>
    <row r="196" spans="1:16">
      <c r="A196" s="30" t="s">
        <v>2693</v>
      </c>
      <c r="B196" s="29" t="s">
        <v>925</v>
      </c>
      <c r="C196" s="30" t="s">
        <v>2483</v>
      </c>
      <c r="D196" s="30" t="s">
        <v>2491</v>
      </c>
      <c r="E196" s="32"/>
      <c r="G196" s="30" t="s">
        <v>2508</v>
      </c>
      <c r="H196" s="30" t="s">
        <v>168</v>
      </c>
      <c r="I196" s="30" t="s">
        <v>168</v>
      </c>
      <c r="J196" s="30">
        <v>43</v>
      </c>
      <c r="L196" s="30">
        <v>43</v>
      </c>
      <c r="M196" s="44" t="str">
        <f t="shared" si="6"/>
        <v>La Martinica</v>
      </c>
      <c r="N196" s="45" t="str">
        <f t="shared" si="7"/>
        <v>No</v>
      </c>
      <c r="O196" s="45" t="str">
        <f t="shared" si="8"/>
        <v>No</v>
      </c>
      <c r="P196" s="44"/>
    </row>
    <row r="197" spans="1:16">
      <c r="A197" s="30" t="s">
        <v>2694</v>
      </c>
      <c r="B197" s="29" t="s">
        <v>928</v>
      </c>
      <c r="C197" s="30" t="s">
        <v>2483</v>
      </c>
      <c r="D197" s="30" t="s">
        <v>2491</v>
      </c>
      <c r="E197" s="32"/>
      <c r="G197" s="30" t="s">
        <v>2508</v>
      </c>
      <c r="H197" s="30" t="s">
        <v>168</v>
      </c>
      <c r="I197" s="30" t="s">
        <v>168</v>
      </c>
      <c r="J197" s="30">
        <v>50</v>
      </c>
      <c r="L197" s="30">
        <v>50</v>
      </c>
      <c r="M197" s="44" t="str">
        <f t="shared" si="6"/>
        <v>La Martinica</v>
      </c>
      <c r="N197" s="45" t="str">
        <f t="shared" si="7"/>
        <v>No</v>
      </c>
      <c r="O197" s="45" t="str">
        <f t="shared" si="8"/>
        <v>No</v>
      </c>
      <c r="P197" s="44"/>
    </row>
    <row r="198" spans="1:16">
      <c r="A198" s="30" t="s">
        <v>2695</v>
      </c>
      <c r="B198" s="29" t="s">
        <v>931</v>
      </c>
      <c r="C198" s="30" t="s">
        <v>2483</v>
      </c>
      <c r="D198" s="30" t="s">
        <v>2491</v>
      </c>
      <c r="E198" s="32"/>
      <c r="G198" s="30" t="s">
        <v>2508</v>
      </c>
      <c r="H198" s="30" t="s">
        <v>168</v>
      </c>
      <c r="I198" s="30" t="s">
        <v>168</v>
      </c>
      <c r="J198" s="30">
        <v>51</v>
      </c>
      <c r="L198" s="30">
        <v>51</v>
      </c>
      <c r="M198" s="44" t="str">
        <f t="shared" si="6"/>
        <v>La Martinica</v>
      </c>
      <c r="N198" s="45" t="str">
        <f t="shared" si="7"/>
        <v>No</v>
      </c>
      <c r="O198" s="45" t="str">
        <f t="shared" si="8"/>
        <v>No</v>
      </c>
      <c r="P198" s="44"/>
    </row>
    <row r="199" spans="1:16">
      <c r="A199" s="30" t="s">
        <v>2696</v>
      </c>
      <c r="B199" s="29" t="s">
        <v>934</v>
      </c>
      <c r="C199" s="30" t="s">
        <v>2483</v>
      </c>
      <c r="D199" s="30" t="s">
        <v>2491</v>
      </c>
      <c r="E199" s="32"/>
      <c r="G199" s="30" t="s">
        <v>2508</v>
      </c>
      <c r="H199" s="30" t="s">
        <v>168</v>
      </c>
      <c r="I199" s="30" t="s">
        <v>168</v>
      </c>
      <c r="J199" s="30">
        <v>43</v>
      </c>
      <c r="L199" s="30">
        <v>43</v>
      </c>
      <c r="M199" s="44" t="str">
        <f t="shared" si="6"/>
        <v>La Martinica</v>
      </c>
      <c r="N199" s="45" t="str">
        <f t="shared" si="7"/>
        <v>No</v>
      </c>
      <c r="O199" s="45" t="str">
        <f t="shared" si="8"/>
        <v>No</v>
      </c>
      <c r="P199" s="44"/>
    </row>
    <row r="200" spans="1:16">
      <c r="A200" s="30" t="s">
        <v>2697</v>
      </c>
      <c r="B200" s="29" t="s">
        <v>937</v>
      </c>
      <c r="C200" s="30" t="s">
        <v>2483</v>
      </c>
      <c r="D200" s="30" t="s">
        <v>2491</v>
      </c>
      <c r="E200" s="32"/>
      <c r="G200" s="30" t="s">
        <v>2508</v>
      </c>
      <c r="H200" s="30" t="s">
        <v>168</v>
      </c>
      <c r="I200" s="30" t="s">
        <v>168</v>
      </c>
      <c r="J200" s="30">
        <v>70</v>
      </c>
      <c r="L200" s="30">
        <v>70</v>
      </c>
      <c r="M200" s="44" t="str">
        <f t="shared" si="6"/>
        <v>La Martinica</v>
      </c>
      <c r="N200" s="45" t="str">
        <f t="shared" si="7"/>
        <v>No</v>
      </c>
      <c r="O200" s="45" t="str">
        <f t="shared" si="8"/>
        <v>No</v>
      </c>
      <c r="P200" s="44"/>
    </row>
    <row r="201" spans="1:16">
      <c r="A201" s="30" t="s">
        <v>2698</v>
      </c>
      <c r="B201" s="29" t="s">
        <v>939</v>
      </c>
      <c r="C201" s="30" t="s">
        <v>2483</v>
      </c>
      <c r="D201" s="30" t="s">
        <v>2491</v>
      </c>
      <c r="E201" s="32"/>
      <c r="G201" s="30" t="s">
        <v>2508</v>
      </c>
      <c r="H201" s="30" t="s">
        <v>168</v>
      </c>
      <c r="I201" s="30" t="s">
        <v>168</v>
      </c>
      <c r="J201" s="30">
        <v>60</v>
      </c>
      <c r="L201" s="30">
        <v>60</v>
      </c>
      <c r="M201" s="44" t="str">
        <f t="shared" si="6"/>
        <v>La Martinica</v>
      </c>
      <c r="N201" s="45" t="str">
        <f t="shared" si="7"/>
        <v>No</v>
      </c>
      <c r="O201" s="45" t="str">
        <f t="shared" si="8"/>
        <v>No</v>
      </c>
      <c r="P201" s="44"/>
    </row>
    <row r="202" spans="1:16">
      <c r="A202" s="30" t="s">
        <v>2699</v>
      </c>
      <c r="B202" s="29" t="s">
        <v>941</v>
      </c>
      <c r="C202" s="30" t="s">
        <v>2483</v>
      </c>
      <c r="D202" s="30" t="s">
        <v>2491</v>
      </c>
      <c r="E202" s="32"/>
      <c r="G202" s="30" t="s">
        <v>2508</v>
      </c>
      <c r="H202" s="30" t="s">
        <v>168</v>
      </c>
      <c r="I202" s="30" t="s">
        <v>168</v>
      </c>
      <c r="J202" s="30">
        <v>42</v>
      </c>
      <c r="L202" s="30">
        <v>42</v>
      </c>
      <c r="M202" s="44" t="str">
        <f t="shared" si="6"/>
        <v>La Martinica</v>
      </c>
      <c r="N202" s="45" t="str">
        <f t="shared" si="7"/>
        <v>No</v>
      </c>
      <c r="O202" s="45" t="str">
        <f t="shared" si="8"/>
        <v>No</v>
      </c>
      <c r="P202" s="44"/>
    </row>
    <row r="203" spans="1:16">
      <c r="A203" s="30" t="s">
        <v>2700</v>
      </c>
      <c r="B203" s="29" t="s">
        <v>944</v>
      </c>
      <c r="C203" s="30" t="s">
        <v>2483</v>
      </c>
      <c r="D203" s="30" t="s">
        <v>2491</v>
      </c>
      <c r="E203" s="32"/>
      <c r="G203" s="30" t="s">
        <v>2508</v>
      </c>
      <c r="H203" s="30" t="s">
        <v>168</v>
      </c>
      <c r="I203" s="30" t="s">
        <v>168</v>
      </c>
      <c r="J203" s="30">
        <v>42</v>
      </c>
      <c r="L203" s="30">
        <v>42</v>
      </c>
      <c r="M203" s="44" t="str">
        <f t="shared" si="6"/>
        <v>La Martinica</v>
      </c>
      <c r="N203" s="45" t="str">
        <f t="shared" si="7"/>
        <v>No</v>
      </c>
      <c r="O203" s="45" t="str">
        <f t="shared" si="8"/>
        <v>No</v>
      </c>
      <c r="P203" s="44"/>
    </row>
    <row r="204" spans="1:16">
      <c r="A204" s="30" t="s">
        <v>2701</v>
      </c>
      <c r="B204" s="29" t="s">
        <v>946</v>
      </c>
      <c r="C204" s="30" t="s">
        <v>2483</v>
      </c>
      <c r="D204" s="30" t="s">
        <v>2491</v>
      </c>
      <c r="E204" s="32"/>
      <c r="G204" s="30" t="s">
        <v>2508</v>
      </c>
      <c r="H204" s="30" t="s">
        <v>168</v>
      </c>
      <c r="I204" s="30" t="s">
        <v>168</v>
      </c>
      <c r="J204" s="30">
        <v>220</v>
      </c>
      <c r="K204" s="30">
        <v>220</v>
      </c>
      <c r="L204" s="30">
        <v>0</v>
      </c>
      <c r="M204" s="44" t="str">
        <f t="shared" si="6"/>
        <v>La Martinica</v>
      </c>
      <c r="N204" s="45" t="str">
        <f t="shared" si="7"/>
        <v>No</v>
      </c>
      <c r="O204" s="45" t="str">
        <f t="shared" si="8"/>
        <v>No</v>
      </c>
      <c r="P204" s="44"/>
    </row>
    <row r="205" spans="1:16">
      <c r="A205" s="30" t="s">
        <v>2702</v>
      </c>
      <c r="B205" s="29" t="s">
        <v>948</v>
      </c>
      <c r="C205" s="30" t="s">
        <v>2483</v>
      </c>
      <c r="D205" s="30" t="s">
        <v>2491</v>
      </c>
      <c r="E205" s="32"/>
      <c r="G205" s="30" t="s">
        <v>2508</v>
      </c>
      <c r="H205" s="30" t="s">
        <v>168</v>
      </c>
      <c r="I205" s="30" t="s">
        <v>168</v>
      </c>
      <c r="J205" s="30">
        <v>75</v>
      </c>
      <c r="L205" s="30">
        <v>75</v>
      </c>
      <c r="M205" s="44" t="str">
        <f t="shared" si="6"/>
        <v>La Martinica</v>
      </c>
      <c r="N205" s="45" t="str">
        <f t="shared" si="7"/>
        <v>No</v>
      </c>
      <c r="O205" s="45" t="str">
        <f t="shared" si="8"/>
        <v>No</v>
      </c>
      <c r="P205" s="44"/>
    </row>
    <row r="206" spans="1:16">
      <c r="A206" s="30" t="s">
        <v>2703</v>
      </c>
      <c r="B206" s="29" t="s">
        <v>951</v>
      </c>
      <c r="C206" s="30" t="s">
        <v>2483</v>
      </c>
      <c r="D206" s="30" t="s">
        <v>2491</v>
      </c>
      <c r="E206" s="32"/>
      <c r="G206" s="30" t="s">
        <v>2508</v>
      </c>
      <c r="H206" s="30" t="s">
        <v>168</v>
      </c>
      <c r="I206" s="30" t="s">
        <v>168</v>
      </c>
      <c r="J206" s="30">
        <v>43</v>
      </c>
      <c r="L206" s="30">
        <v>43</v>
      </c>
      <c r="M206" s="44" t="str">
        <f t="shared" si="6"/>
        <v>La Martinica</v>
      </c>
      <c r="N206" s="45" t="str">
        <f t="shared" si="7"/>
        <v>No</v>
      </c>
      <c r="O206" s="45" t="str">
        <f t="shared" si="8"/>
        <v>No</v>
      </c>
      <c r="P206" s="44"/>
    </row>
    <row r="207" spans="1:16">
      <c r="A207" s="46" t="s">
        <v>2704</v>
      </c>
      <c r="B207" s="29" t="s">
        <v>954</v>
      </c>
      <c r="C207" s="30" t="s">
        <v>2483</v>
      </c>
      <c r="D207" s="30" t="s">
        <v>2491</v>
      </c>
      <c r="E207" s="32"/>
      <c r="G207" s="30" t="s">
        <v>2508</v>
      </c>
      <c r="H207" s="30" t="s">
        <v>168</v>
      </c>
      <c r="I207" s="30" t="s">
        <v>168</v>
      </c>
      <c r="J207" s="30">
        <v>41</v>
      </c>
      <c r="L207" s="30">
        <v>41</v>
      </c>
      <c r="M207" s="44" t="str">
        <f t="shared" si="6"/>
        <v>La Martinica</v>
      </c>
      <c r="N207" s="45" t="str">
        <f t="shared" si="7"/>
        <v>No</v>
      </c>
      <c r="O207" s="45" t="str">
        <f t="shared" si="8"/>
        <v>No</v>
      </c>
      <c r="P207" s="44"/>
    </row>
    <row r="208" spans="1:16">
      <c r="A208" s="30" t="s">
        <v>2705</v>
      </c>
      <c r="B208" s="29" t="s">
        <v>956</v>
      </c>
      <c r="C208" s="30" t="s">
        <v>2483</v>
      </c>
      <c r="D208" s="30" t="s">
        <v>2491</v>
      </c>
      <c r="E208" s="32"/>
      <c r="G208" s="30" t="s">
        <v>2508</v>
      </c>
      <c r="H208" s="30" t="s">
        <v>168</v>
      </c>
      <c r="I208" s="30" t="s">
        <v>168</v>
      </c>
      <c r="J208" s="30">
        <v>49</v>
      </c>
      <c r="L208" s="30">
        <v>49</v>
      </c>
      <c r="M208" s="44" t="str">
        <f t="shared" si="6"/>
        <v>La Martinica</v>
      </c>
      <c r="N208" s="45" t="str">
        <f t="shared" si="7"/>
        <v>No</v>
      </c>
      <c r="O208" s="45" t="str">
        <f t="shared" si="8"/>
        <v>No</v>
      </c>
      <c r="P208" s="44"/>
    </row>
    <row r="209" spans="1:16">
      <c r="A209" s="30" t="s">
        <v>2706</v>
      </c>
      <c r="B209" s="29" t="s">
        <v>959</v>
      </c>
      <c r="C209" s="30" t="s">
        <v>2483</v>
      </c>
      <c r="D209" s="30" t="s">
        <v>2491</v>
      </c>
      <c r="E209" s="32"/>
      <c r="G209" s="30" t="s">
        <v>2508</v>
      </c>
      <c r="H209" s="30" t="s">
        <v>168</v>
      </c>
      <c r="I209" s="30" t="s">
        <v>168</v>
      </c>
      <c r="J209" s="30">
        <v>8</v>
      </c>
      <c r="K209" s="30">
        <v>8</v>
      </c>
      <c r="L209" s="30">
        <v>0</v>
      </c>
      <c r="M209" s="44" t="str">
        <f t="shared" si="6"/>
        <v>La Martinica</v>
      </c>
      <c r="N209" s="45" t="str">
        <f t="shared" si="7"/>
        <v>No</v>
      </c>
      <c r="O209" s="45" t="str">
        <f t="shared" si="8"/>
        <v>No</v>
      </c>
      <c r="P209" s="44"/>
    </row>
    <row r="210" spans="1:16">
      <c r="A210" s="30" t="s">
        <v>2707</v>
      </c>
      <c r="B210" s="29" t="s">
        <v>965</v>
      </c>
      <c r="C210" s="30" t="s">
        <v>2483</v>
      </c>
      <c r="D210" s="30" t="s">
        <v>2491</v>
      </c>
      <c r="E210" s="32"/>
      <c r="G210" s="30" t="s">
        <v>2508</v>
      </c>
      <c r="H210" s="30" t="s">
        <v>168</v>
      </c>
      <c r="I210" s="30" t="s">
        <v>168</v>
      </c>
      <c r="J210" s="30">
        <v>41</v>
      </c>
      <c r="K210" s="30">
        <v>41</v>
      </c>
      <c r="L210" s="30">
        <v>0</v>
      </c>
      <c r="M210" s="44" t="str">
        <f t="shared" si="6"/>
        <v>La Martinica</v>
      </c>
      <c r="N210" s="45" t="str">
        <f t="shared" si="7"/>
        <v>No</v>
      </c>
      <c r="O210" s="45" t="str">
        <f t="shared" si="8"/>
        <v>No</v>
      </c>
      <c r="P210" s="44"/>
    </row>
    <row r="211" spans="1:16">
      <c r="A211" s="30" t="s">
        <v>2708</v>
      </c>
      <c r="B211" s="29" t="s">
        <v>969</v>
      </c>
      <c r="C211" s="30" t="s">
        <v>2483</v>
      </c>
      <c r="D211" s="30" t="s">
        <v>2491</v>
      </c>
      <c r="E211" s="32"/>
      <c r="G211" s="30" t="s">
        <v>2508</v>
      </c>
      <c r="H211" s="30" t="s">
        <v>168</v>
      </c>
      <c r="I211" s="30" t="s">
        <v>168</v>
      </c>
      <c r="J211" s="30">
        <v>43</v>
      </c>
      <c r="L211" s="30">
        <v>43</v>
      </c>
      <c r="M211" s="44" t="str">
        <f t="shared" si="6"/>
        <v>La Martinica</v>
      </c>
      <c r="N211" s="45" t="str">
        <f t="shared" si="7"/>
        <v>No</v>
      </c>
      <c r="O211" s="45" t="str">
        <f t="shared" si="8"/>
        <v>No</v>
      </c>
      <c r="P211" s="44"/>
    </row>
    <row r="212" spans="1:16">
      <c r="A212" s="30" t="s">
        <v>2709</v>
      </c>
      <c r="B212" s="29" t="s">
        <v>972</v>
      </c>
      <c r="C212" s="30" t="s">
        <v>2483</v>
      </c>
      <c r="D212" s="30" t="s">
        <v>2491</v>
      </c>
      <c r="E212" s="32"/>
      <c r="G212" s="30" t="s">
        <v>2508</v>
      </c>
      <c r="H212" s="30" t="s">
        <v>168</v>
      </c>
      <c r="I212" s="30" t="s">
        <v>168</v>
      </c>
      <c r="J212" s="30">
        <v>39</v>
      </c>
      <c r="L212" s="30">
        <v>39</v>
      </c>
      <c r="M212" s="44" t="str">
        <f t="shared" si="6"/>
        <v>La Martinica</v>
      </c>
      <c r="N212" s="45" t="str">
        <f t="shared" si="7"/>
        <v>No</v>
      </c>
      <c r="O212" s="45" t="str">
        <f t="shared" si="8"/>
        <v>No</v>
      </c>
      <c r="P212" s="44"/>
    </row>
    <row r="213" spans="1:16">
      <c r="A213" s="30" t="s">
        <v>2710</v>
      </c>
      <c r="B213" s="29" t="s">
        <v>974</v>
      </c>
      <c r="C213" s="30" t="s">
        <v>2483</v>
      </c>
      <c r="D213" s="30" t="s">
        <v>2491</v>
      </c>
      <c r="E213" s="32"/>
      <c r="G213" s="30" t="s">
        <v>2508</v>
      </c>
      <c r="H213" s="30" t="s">
        <v>168</v>
      </c>
      <c r="I213" s="30" t="s">
        <v>168</v>
      </c>
      <c r="J213" s="30">
        <v>52</v>
      </c>
      <c r="L213" s="30">
        <v>52</v>
      </c>
      <c r="M213" s="44" t="str">
        <f t="shared" si="6"/>
        <v>La Martinica</v>
      </c>
      <c r="N213" s="45" t="str">
        <f t="shared" si="7"/>
        <v>No</v>
      </c>
      <c r="O213" s="45" t="str">
        <f t="shared" si="8"/>
        <v>No</v>
      </c>
      <c r="P213" s="44"/>
    </row>
    <row r="214" spans="1:16">
      <c r="A214" s="30" t="s">
        <v>2711</v>
      </c>
      <c r="B214" s="29" t="s">
        <v>977</v>
      </c>
      <c r="C214" s="30" t="s">
        <v>2483</v>
      </c>
      <c r="D214" s="30" t="s">
        <v>2491</v>
      </c>
      <c r="E214" s="32"/>
      <c r="G214" s="30" t="s">
        <v>2508</v>
      </c>
      <c r="H214" s="30" t="s">
        <v>168</v>
      </c>
      <c r="I214" s="30" t="s">
        <v>168</v>
      </c>
      <c r="J214" s="30">
        <v>52</v>
      </c>
      <c r="L214" s="30">
        <v>52</v>
      </c>
      <c r="M214" s="44" t="str">
        <f t="shared" si="6"/>
        <v>La Martinica</v>
      </c>
      <c r="N214" s="45" t="str">
        <f t="shared" si="7"/>
        <v>No</v>
      </c>
      <c r="O214" s="45" t="str">
        <f t="shared" si="8"/>
        <v>No</v>
      </c>
      <c r="P214" s="44"/>
    </row>
    <row r="215" spans="1:16">
      <c r="A215" s="30" t="s">
        <v>2712</v>
      </c>
      <c r="B215" s="29" t="s">
        <v>979</v>
      </c>
      <c r="C215" s="30" t="s">
        <v>2483</v>
      </c>
      <c r="D215" s="30" t="s">
        <v>2491</v>
      </c>
      <c r="E215" s="32"/>
      <c r="G215" s="30" t="s">
        <v>2508</v>
      </c>
      <c r="H215" s="30" t="s">
        <v>168</v>
      </c>
      <c r="I215" s="30" t="s">
        <v>168</v>
      </c>
      <c r="J215" s="30">
        <v>135</v>
      </c>
      <c r="L215" s="30">
        <v>135</v>
      </c>
      <c r="M215" s="44" t="str">
        <f t="shared" si="6"/>
        <v>La Martinica</v>
      </c>
      <c r="N215" s="45" t="str">
        <f t="shared" si="7"/>
        <v>No</v>
      </c>
      <c r="O215" s="45" t="str">
        <f t="shared" si="8"/>
        <v>No</v>
      </c>
      <c r="P215" s="44"/>
    </row>
    <row r="216" spans="1:16">
      <c r="A216" s="30" t="s">
        <v>2713</v>
      </c>
      <c r="B216" s="29" t="s">
        <v>982</v>
      </c>
      <c r="C216" s="30" t="s">
        <v>2483</v>
      </c>
      <c r="D216" s="30" t="s">
        <v>2491</v>
      </c>
      <c r="E216" s="32"/>
      <c r="G216" s="30" t="s">
        <v>2508</v>
      </c>
      <c r="H216" s="30" t="s">
        <v>168</v>
      </c>
      <c r="I216" s="30" t="s">
        <v>168</v>
      </c>
      <c r="J216" s="30">
        <v>83</v>
      </c>
      <c r="L216" s="30">
        <v>83</v>
      </c>
      <c r="M216" s="44" t="str">
        <f t="shared" si="6"/>
        <v>La Martinica</v>
      </c>
      <c r="N216" s="45" t="str">
        <f t="shared" si="7"/>
        <v>No</v>
      </c>
      <c r="O216" s="45" t="str">
        <f t="shared" si="8"/>
        <v>No</v>
      </c>
      <c r="P216" s="44"/>
    </row>
    <row r="217" spans="1:16">
      <c r="A217" s="30" t="s">
        <v>2714</v>
      </c>
      <c r="B217" s="29" t="s">
        <v>985</v>
      </c>
      <c r="C217" s="30" t="s">
        <v>2483</v>
      </c>
      <c r="D217" s="30" t="s">
        <v>2491</v>
      </c>
      <c r="E217" s="32"/>
      <c r="G217" s="30" t="s">
        <v>2508</v>
      </c>
      <c r="H217" s="30" t="s">
        <v>168</v>
      </c>
      <c r="I217" s="30" t="s">
        <v>168</v>
      </c>
      <c r="J217" s="30">
        <v>92</v>
      </c>
      <c r="L217" s="30">
        <v>92</v>
      </c>
      <c r="M217" s="44" t="str">
        <f t="shared" si="6"/>
        <v>La Martinica</v>
      </c>
      <c r="N217" s="45" t="str">
        <f t="shared" si="7"/>
        <v>No</v>
      </c>
      <c r="O217" s="45" t="str">
        <f t="shared" si="8"/>
        <v>No</v>
      </c>
      <c r="P217" s="44"/>
    </row>
    <row r="218" spans="1:16">
      <c r="A218" s="30" t="s">
        <v>2715</v>
      </c>
      <c r="B218" s="29" t="s">
        <v>988</v>
      </c>
      <c r="C218" s="30" t="s">
        <v>2483</v>
      </c>
      <c r="D218" s="30" t="s">
        <v>2491</v>
      </c>
      <c r="E218" s="32"/>
      <c r="G218" s="30" t="s">
        <v>2508</v>
      </c>
      <c r="H218" s="30" t="s">
        <v>168</v>
      </c>
      <c r="I218" s="30" t="s">
        <v>168</v>
      </c>
      <c r="J218" s="30">
        <v>83</v>
      </c>
      <c r="L218" s="30">
        <v>83</v>
      </c>
      <c r="M218" s="44" t="str">
        <f t="shared" si="6"/>
        <v>La Martinica</v>
      </c>
      <c r="N218" s="45" t="str">
        <f t="shared" si="7"/>
        <v>No</v>
      </c>
      <c r="O218" s="45" t="str">
        <f t="shared" si="8"/>
        <v>No</v>
      </c>
      <c r="P218" s="44"/>
    </row>
    <row r="219" spans="1:16">
      <c r="A219" s="30" t="s">
        <v>2716</v>
      </c>
      <c r="B219" s="29" t="s">
        <v>990</v>
      </c>
      <c r="C219" s="30" t="s">
        <v>2483</v>
      </c>
      <c r="D219" s="30" t="s">
        <v>2491</v>
      </c>
      <c r="E219" s="32"/>
      <c r="G219" s="30" t="s">
        <v>2508</v>
      </c>
      <c r="H219" s="30" t="s">
        <v>168</v>
      </c>
      <c r="I219" s="30" t="s">
        <v>168</v>
      </c>
      <c r="J219" s="30">
        <v>47</v>
      </c>
      <c r="L219" s="30">
        <v>47</v>
      </c>
      <c r="M219" s="44" t="str">
        <f t="shared" si="6"/>
        <v>La Martinica</v>
      </c>
      <c r="N219" s="45" t="str">
        <f t="shared" si="7"/>
        <v>No</v>
      </c>
      <c r="O219" s="45" t="str">
        <f t="shared" si="8"/>
        <v>No</v>
      </c>
      <c r="P219" s="44"/>
    </row>
    <row r="220" spans="1:16">
      <c r="A220" s="30" t="s">
        <v>2717</v>
      </c>
      <c r="B220" s="29" t="s">
        <v>993</v>
      </c>
      <c r="C220" s="30" t="s">
        <v>2483</v>
      </c>
      <c r="D220" s="30" t="s">
        <v>2491</v>
      </c>
      <c r="E220" s="32"/>
      <c r="G220" s="30" t="s">
        <v>2508</v>
      </c>
      <c r="H220" s="30" t="s">
        <v>168</v>
      </c>
      <c r="I220" s="30" t="s">
        <v>168</v>
      </c>
      <c r="J220" s="30">
        <v>37</v>
      </c>
      <c r="L220" s="30">
        <v>37</v>
      </c>
      <c r="M220" s="44" t="str">
        <f t="shared" si="6"/>
        <v>La Martinica</v>
      </c>
      <c r="N220" s="45" t="str">
        <f t="shared" si="7"/>
        <v>No</v>
      </c>
      <c r="O220" s="45" t="str">
        <f t="shared" si="8"/>
        <v>No</v>
      </c>
      <c r="P220" s="44"/>
    </row>
    <row r="221" spans="1:16">
      <c r="A221" s="30" t="s">
        <v>2718</v>
      </c>
      <c r="B221" s="29" t="s">
        <v>996</v>
      </c>
      <c r="C221" s="30" t="s">
        <v>2483</v>
      </c>
      <c r="D221" s="30" t="s">
        <v>2491</v>
      </c>
      <c r="E221" s="32"/>
      <c r="G221" s="30" t="s">
        <v>2508</v>
      </c>
      <c r="H221" s="30" t="s">
        <v>168</v>
      </c>
      <c r="I221" s="30" t="s">
        <v>168</v>
      </c>
      <c r="J221" s="30">
        <v>122</v>
      </c>
      <c r="L221" s="30">
        <v>122</v>
      </c>
      <c r="M221" s="44" t="str">
        <f t="shared" si="6"/>
        <v>La Martinica</v>
      </c>
      <c r="N221" s="45" t="str">
        <f t="shared" si="7"/>
        <v>No</v>
      </c>
      <c r="O221" s="45" t="str">
        <f t="shared" si="8"/>
        <v>No</v>
      </c>
      <c r="P221" s="44"/>
    </row>
    <row r="222" spans="1:16">
      <c r="A222" s="30" t="s">
        <v>2719</v>
      </c>
      <c r="B222" s="29" t="s">
        <v>999</v>
      </c>
      <c r="C222" s="30" t="s">
        <v>2483</v>
      </c>
      <c r="D222" s="30" t="s">
        <v>2491</v>
      </c>
      <c r="E222" s="32"/>
      <c r="G222" s="30" t="s">
        <v>2508</v>
      </c>
      <c r="H222" s="30" t="s">
        <v>168</v>
      </c>
      <c r="I222" s="30" t="s">
        <v>168</v>
      </c>
      <c r="J222" s="30">
        <v>4</v>
      </c>
      <c r="K222" s="30">
        <v>4</v>
      </c>
      <c r="L222" s="30">
        <v>0</v>
      </c>
      <c r="M222" s="44" t="str">
        <f t="shared" si="6"/>
        <v>La Martinica</v>
      </c>
      <c r="N222" s="45" t="str">
        <f t="shared" si="7"/>
        <v>No</v>
      </c>
      <c r="O222" s="45" t="str">
        <f t="shared" si="8"/>
        <v>No</v>
      </c>
      <c r="P222" s="44"/>
    </row>
    <row r="223" spans="1:16">
      <c r="A223" s="30" t="s">
        <v>2720</v>
      </c>
      <c r="B223" s="29" t="s">
        <v>1002</v>
      </c>
      <c r="C223" s="30" t="s">
        <v>2483</v>
      </c>
      <c r="D223" s="30" t="s">
        <v>2491</v>
      </c>
      <c r="E223" s="32"/>
      <c r="G223" s="30" t="s">
        <v>2508</v>
      </c>
      <c r="H223" s="30" t="s">
        <v>168</v>
      </c>
      <c r="I223" s="30" t="s">
        <v>168</v>
      </c>
      <c r="J223" s="30">
        <v>24</v>
      </c>
      <c r="K223" s="30">
        <v>24</v>
      </c>
      <c r="L223" s="30">
        <v>0</v>
      </c>
      <c r="M223" s="44" t="str">
        <f t="shared" si="6"/>
        <v>La Martinica</v>
      </c>
      <c r="N223" s="45" t="str">
        <f t="shared" si="7"/>
        <v>No</v>
      </c>
      <c r="O223" s="45" t="str">
        <f t="shared" si="8"/>
        <v>No</v>
      </c>
      <c r="P223" s="44"/>
    </row>
    <row r="224" spans="1:16">
      <c r="A224" s="30" t="s">
        <v>2721</v>
      </c>
      <c r="B224" s="29" t="s">
        <v>1005</v>
      </c>
      <c r="C224" s="30" t="s">
        <v>2483</v>
      </c>
      <c r="D224" s="30" t="s">
        <v>2491</v>
      </c>
      <c r="E224" s="32"/>
      <c r="G224" s="30" t="s">
        <v>2508</v>
      </c>
      <c r="H224" s="30" t="s">
        <v>168</v>
      </c>
      <c r="I224" s="30" t="s">
        <v>168</v>
      </c>
      <c r="J224" s="30">
        <v>19</v>
      </c>
      <c r="K224" s="30">
        <v>19</v>
      </c>
      <c r="L224" s="30">
        <v>0</v>
      </c>
      <c r="M224" s="44" t="str">
        <f t="shared" si="6"/>
        <v>La Martinica</v>
      </c>
      <c r="N224" s="45" t="str">
        <f t="shared" si="7"/>
        <v>No</v>
      </c>
      <c r="O224" s="45" t="str">
        <f t="shared" si="8"/>
        <v>No</v>
      </c>
      <c r="P224" s="44"/>
    </row>
    <row r="225" spans="1:16">
      <c r="A225" s="30" t="s">
        <v>2722</v>
      </c>
      <c r="B225" s="29" t="s">
        <v>1008</v>
      </c>
      <c r="C225" s="30" t="s">
        <v>2483</v>
      </c>
      <c r="D225" s="30" t="s">
        <v>2491</v>
      </c>
      <c r="E225" s="32"/>
      <c r="G225" s="30" t="s">
        <v>2508</v>
      </c>
      <c r="H225" s="30" t="s">
        <v>168</v>
      </c>
      <c r="I225" s="30" t="s">
        <v>168</v>
      </c>
      <c r="J225" s="30">
        <v>25</v>
      </c>
      <c r="K225" s="30">
        <v>25</v>
      </c>
      <c r="L225" s="30">
        <v>0</v>
      </c>
      <c r="M225" s="44" t="str">
        <f t="shared" si="6"/>
        <v>La Martinica</v>
      </c>
      <c r="N225" s="45" t="str">
        <f t="shared" si="7"/>
        <v>No</v>
      </c>
      <c r="O225" s="45" t="str">
        <f t="shared" si="8"/>
        <v>No</v>
      </c>
      <c r="P225" s="44"/>
    </row>
    <row r="226" spans="1:16">
      <c r="A226" s="30" t="s">
        <v>2723</v>
      </c>
      <c r="B226" s="29" t="s">
        <v>1011</v>
      </c>
      <c r="C226" s="30" t="s">
        <v>2483</v>
      </c>
      <c r="D226" s="30" t="s">
        <v>2491</v>
      </c>
      <c r="E226" s="32"/>
      <c r="G226" s="30" t="s">
        <v>2508</v>
      </c>
      <c r="H226" s="30" t="s">
        <v>168</v>
      </c>
      <c r="I226" s="30" t="s">
        <v>168</v>
      </c>
      <c r="J226" s="30">
        <v>369</v>
      </c>
      <c r="L226" s="30">
        <v>369</v>
      </c>
      <c r="M226" s="44" t="str">
        <f t="shared" si="6"/>
        <v>La Martinica</v>
      </c>
      <c r="N226" s="45" t="str">
        <f t="shared" si="7"/>
        <v>No</v>
      </c>
      <c r="O226" s="45" t="str">
        <f t="shared" si="8"/>
        <v>No</v>
      </c>
      <c r="P226" s="44"/>
    </row>
    <row r="227" spans="1:16">
      <c r="A227" s="30" t="s">
        <v>2724</v>
      </c>
      <c r="B227" s="29" t="s">
        <v>1016</v>
      </c>
      <c r="C227" s="30" t="s">
        <v>2483</v>
      </c>
      <c r="D227" s="30" t="s">
        <v>2491</v>
      </c>
      <c r="E227" s="32"/>
      <c r="G227" s="30" t="s">
        <v>2508</v>
      </c>
      <c r="H227" s="30" t="s">
        <v>168</v>
      </c>
      <c r="I227" s="30" t="s">
        <v>168</v>
      </c>
      <c r="J227" s="30">
        <v>9</v>
      </c>
      <c r="L227" s="30">
        <v>9</v>
      </c>
      <c r="M227" s="44" t="str">
        <f t="shared" si="6"/>
        <v>La Martinica</v>
      </c>
      <c r="N227" s="45" t="str">
        <f t="shared" si="7"/>
        <v>No</v>
      </c>
      <c r="O227" s="45" t="str">
        <f t="shared" si="8"/>
        <v>No</v>
      </c>
      <c r="P227" s="44"/>
    </row>
    <row r="228" spans="1:16">
      <c r="A228" s="30" t="s">
        <v>2725</v>
      </c>
      <c r="B228" s="29" t="s">
        <v>1020</v>
      </c>
      <c r="C228" s="30" t="s">
        <v>2483</v>
      </c>
      <c r="D228" s="30" t="s">
        <v>2491</v>
      </c>
      <c r="E228" s="32"/>
      <c r="G228" s="30" t="s">
        <v>2508</v>
      </c>
      <c r="H228" s="30" t="s">
        <v>168</v>
      </c>
      <c r="I228" s="30" t="s">
        <v>168</v>
      </c>
      <c r="J228" s="30">
        <v>40</v>
      </c>
      <c r="L228" s="30">
        <v>40</v>
      </c>
      <c r="M228" s="44" t="str">
        <f t="shared" si="6"/>
        <v>La Martinica</v>
      </c>
      <c r="N228" s="45" t="str">
        <f t="shared" si="7"/>
        <v>No</v>
      </c>
      <c r="O228" s="45" t="str">
        <f t="shared" si="8"/>
        <v>No</v>
      </c>
      <c r="P228" s="44"/>
    </row>
    <row r="229" spans="1:16">
      <c r="A229" s="30" t="s">
        <v>2726</v>
      </c>
      <c r="B229" s="29" t="s">
        <v>1024</v>
      </c>
      <c r="C229" s="30" t="s">
        <v>2483</v>
      </c>
      <c r="D229" s="30" t="s">
        <v>2491</v>
      </c>
      <c r="E229" s="32"/>
      <c r="G229" s="30" t="s">
        <v>2508</v>
      </c>
      <c r="H229" s="30" t="s">
        <v>168</v>
      </c>
      <c r="I229" s="30" t="s">
        <v>168</v>
      </c>
      <c r="J229" s="30">
        <v>220</v>
      </c>
      <c r="L229" s="30">
        <v>220</v>
      </c>
      <c r="M229" s="44" t="str">
        <f t="shared" si="6"/>
        <v>La Martinica</v>
      </c>
      <c r="N229" s="45" t="str">
        <f t="shared" si="7"/>
        <v>No</v>
      </c>
      <c r="O229" s="45" t="str">
        <f t="shared" si="8"/>
        <v>No</v>
      </c>
      <c r="P229" s="44"/>
    </row>
    <row r="230" spans="1:16">
      <c r="A230" s="30" t="s">
        <v>2727</v>
      </c>
      <c r="B230" s="29" t="s">
        <v>1027</v>
      </c>
      <c r="C230" s="30" t="s">
        <v>2490</v>
      </c>
      <c r="D230" s="30" t="s">
        <v>2491</v>
      </c>
      <c r="E230" s="32">
        <v>215</v>
      </c>
      <c r="F230" s="30" t="s">
        <v>2492</v>
      </c>
      <c r="H230" s="30" t="s">
        <v>2486</v>
      </c>
      <c r="I230" s="30" t="s">
        <v>2486</v>
      </c>
      <c r="J230" s="30">
        <v>234</v>
      </c>
      <c r="L230" s="30">
        <v>234</v>
      </c>
      <c r="M230" s="44" t="str">
        <f t="shared" si="6"/>
        <v>Silao</v>
      </c>
      <c r="N230" s="45" t="str">
        <f t="shared" si="7"/>
        <v>No</v>
      </c>
      <c r="O230" s="45" t="str">
        <f t="shared" si="8"/>
        <v>No</v>
      </c>
      <c r="P230" s="44"/>
    </row>
    <row r="231" spans="1:16">
      <c r="A231" s="30" t="s">
        <v>2728</v>
      </c>
      <c r="B231" s="29" t="s">
        <v>1031</v>
      </c>
      <c r="C231" s="30" t="s">
        <v>2598</v>
      </c>
      <c r="D231" s="30" t="s">
        <v>2491</v>
      </c>
      <c r="E231" s="32">
        <v>171</v>
      </c>
      <c r="F231" s="30" t="s">
        <v>2599</v>
      </c>
      <c r="H231" s="30" t="s">
        <v>2486</v>
      </c>
      <c r="I231" s="30" t="s">
        <v>168</v>
      </c>
      <c r="J231" s="30">
        <v>5</v>
      </c>
      <c r="L231" s="30">
        <v>5</v>
      </c>
      <c r="M231" s="44" t="str">
        <f t="shared" si="6"/>
        <v>Purísima</v>
      </c>
      <c r="N231" s="45" t="str">
        <f t="shared" si="7"/>
        <v>No</v>
      </c>
      <c r="O231" s="45" t="str">
        <f t="shared" si="8"/>
        <v>No</v>
      </c>
      <c r="P231" s="44"/>
    </row>
    <row r="232" spans="1:16">
      <c r="A232" s="30" t="s">
        <v>2729</v>
      </c>
      <c r="B232" s="29" t="s">
        <v>1035</v>
      </c>
      <c r="C232" s="30" t="s">
        <v>2521</v>
      </c>
      <c r="D232" s="30" t="s">
        <v>2491</v>
      </c>
      <c r="E232" s="32">
        <v>49</v>
      </c>
      <c r="F232" s="30" t="s">
        <v>2521</v>
      </c>
      <c r="H232" s="30" t="s">
        <v>2486</v>
      </c>
      <c r="I232" s="30" t="s">
        <v>2486</v>
      </c>
      <c r="J232" s="30">
        <v>26</v>
      </c>
      <c r="K232" s="30">
        <v>26</v>
      </c>
      <c r="L232" s="30">
        <v>0</v>
      </c>
      <c r="M232" s="44" t="str">
        <f t="shared" si="6"/>
        <v>Guanajuato</v>
      </c>
      <c r="N232" s="45" t="str">
        <f t="shared" si="7"/>
        <v>No</v>
      </c>
      <c r="O232" s="45" t="str">
        <f t="shared" si="8"/>
        <v>No</v>
      </c>
      <c r="P232" s="44"/>
    </row>
    <row r="233" spans="1:16">
      <c r="A233" s="30" t="s">
        <v>2730</v>
      </c>
      <c r="B233" s="29" t="s">
        <v>1043</v>
      </c>
      <c r="C233" s="30" t="s">
        <v>2483</v>
      </c>
      <c r="D233" s="30" t="s">
        <v>2491</v>
      </c>
      <c r="E233" s="32"/>
      <c r="G233" s="30" t="s">
        <v>2508</v>
      </c>
      <c r="H233" s="30" t="s">
        <v>168</v>
      </c>
      <c r="I233" s="30" t="s">
        <v>168</v>
      </c>
      <c r="J233" s="30">
        <v>44</v>
      </c>
      <c r="L233" s="30">
        <v>44</v>
      </c>
      <c r="M233" s="44" t="str">
        <f t="shared" si="6"/>
        <v>La Martinica</v>
      </c>
      <c r="N233" s="45" t="str">
        <f t="shared" si="7"/>
        <v>No</v>
      </c>
      <c r="O233" s="45" t="str">
        <f t="shared" si="8"/>
        <v>No</v>
      </c>
      <c r="P233" s="44"/>
    </row>
    <row r="234" spans="1:16">
      <c r="A234" s="30" t="s">
        <v>2731</v>
      </c>
      <c r="B234" s="29" t="s">
        <v>1047</v>
      </c>
      <c r="C234" s="30" t="s">
        <v>2483</v>
      </c>
      <c r="D234" s="30" t="s">
        <v>2491</v>
      </c>
      <c r="E234" s="32"/>
      <c r="G234" s="30" t="s">
        <v>2508</v>
      </c>
      <c r="H234" s="30" t="s">
        <v>168</v>
      </c>
      <c r="I234" s="30" t="s">
        <v>168</v>
      </c>
      <c r="J234" s="30">
        <v>29</v>
      </c>
      <c r="L234" s="30">
        <v>29</v>
      </c>
      <c r="M234" s="44" t="str">
        <f t="shared" si="6"/>
        <v>La Martinica</v>
      </c>
      <c r="N234" s="45" t="str">
        <f t="shared" si="7"/>
        <v>No</v>
      </c>
      <c r="O234" s="45" t="str">
        <f t="shared" si="8"/>
        <v>No</v>
      </c>
      <c r="P234" s="44"/>
    </row>
    <row r="235" spans="1:16">
      <c r="A235" s="30" t="s">
        <v>2732</v>
      </c>
      <c r="B235" s="29" t="s">
        <v>1050</v>
      </c>
      <c r="C235" s="30" t="s">
        <v>2483</v>
      </c>
      <c r="D235" s="30" t="s">
        <v>2491</v>
      </c>
      <c r="E235" s="32"/>
      <c r="G235" s="30" t="s">
        <v>2508</v>
      </c>
      <c r="H235" s="30" t="s">
        <v>168</v>
      </c>
      <c r="I235" s="30" t="s">
        <v>168</v>
      </c>
      <c r="J235" s="30">
        <v>21</v>
      </c>
      <c r="L235" s="30">
        <v>21</v>
      </c>
      <c r="M235" s="44" t="str">
        <f t="shared" si="6"/>
        <v>La Martinica</v>
      </c>
      <c r="N235" s="45" t="str">
        <f t="shared" si="7"/>
        <v>No</v>
      </c>
      <c r="O235" s="45" t="str">
        <f t="shared" si="8"/>
        <v>No</v>
      </c>
      <c r="P235" s="44"/>
    </row>
    <row r="236" spans="1:16">
      <c r="A236" s="30" t="s">
        <v>2733</v>
      </c>
      <c r="B236" s="29" t="s">
        <v>1053</v>
      </c>
      <c r="C236" s="30" t="s">
        <v>2483</v>
      </c>
      <c r="D236" s="30" t="s">
        <v>2491</v>
      </c>
      <c r="E236" s="32"/>
      <c r="G236" s="30" t="s">
        <v>2508</v>
      </c>
      <c r="H236" s="30" t="s">
        <v>168</v>
      </c>
      <c r="I236" s="30" t="s">
        <v>168</v>
      </c>
      <c r="J236" s="30">
        <v>9</v>
      </c>
      <c r="L236" s="30">
        <v>9</v>
      </c>
      <c r="M236" s="44" t="str">
        <f t="shared" si="6"/>
        <v>La Martinica</v>
      </c>
      <c r="N236" s="45" t="str">
        <f t="shared" si="7"/>
        <v>No</v>
      </c>
      <c r="O236" s="45" t="str">
        <f t="shared" si="8"/>
        <v>No</v>
      </c>
      <c r="P236" s="44"/>
    </row>
    <row r="237" spans="1:16">
      <c r="A237" s="30" t="s">
        <v>2734</v>
      </c>
      <c r="B237" s="29" t="s">
        <v>1056</v>
      </c>
      <c r="C237" s="30" t="s">
        <v>2483</v>
      </c>
      <c r="D237" s="30" t="s">
        <v>2491</v>
      </c>
      <c r="E237" s="32"/>
      <c r="G237" s="30" t="s">
        <v>2508</v>
      </c>
      <c r="H237" s="30" t="s">
        <v>168</v>
      </c>
      <c r="I237" s="30" t="s">
        <v>168</v>
      </c>
      <c r="J237" s="30">
        <v>9</v>
      </c>
      <c r="L237" s="30">
        <v>9</v>
      </c>
      <c r="M237" s="44" t="str">
        <f t="shared" si="6"/>
        <v>La Martinica</v>
      </c>
      <c r="N237" s="45" t="str">
        <f t="shared" si="7"/>
        <v>No</v>
      </c>
      <c r="O237" s="45" t="str">
        <f t="shared" si="8"/>
        <v>No</v>
      </c>
      <c r="P237" s="44"/>
    </row>
    <row r="238" spans="1:16">
      <c r="A238" s="30" t="s">
        <v>2735</v>
      </c>
      <c r="B238" s="29" t="s">
        <v>1058</v>
      </c>
      <c r="C238" s="30" t="s">
        <v>2483</v>
      </c>
      <c r="D238" s="30" t="s">
        <v>2491</v>
      </c>
      <c r="E238" s="32"/>
      <c r="G238" s="30" t="s">
        <v>2508</v>
      </c>
      <c r="H238" s="30" t="s">
        <v>168</v>
      </c>
      <c r="I238" s="30" t="s">
        <v>168</v>
      </c>
      <c r="J238" s="30">
        <v>26</v>
      </c>
      <c r="L238" s="30">
        <v>26</v>
      </c>
      <c r="M238" s="44" t="str">
        <f t="shared" si="6"/>
        <v>La Martinica</v>
      </c>
      <c r="N238" s="45" t="str">
        <f t="shared" si="7"/>
        <v>No</v>
      </c>
      <c r="O238" s="45" t="str">
        <f t="shared" si="8"/>
        <v>No</v>
      </c>
      <c r="P238" s="44"/>
    </row>
    <row r="239" spans="1:16">
      <c r="A239" s="30" t="s">
        <v>2736</v>
      </c>
      <c r="B239" s="29" t="s">
        <v>1061</v>
      </c>
      <c r="C239" s="30" t="s">
        <v>2490</v>
      </c>
      <c r="D239" s="30" t="s">
        <v>2491</v>
      </c>
      <c r="E239" s="32">
        <v>215</v>
      </c>
      <c r="F239" s="30" t="s">
        <v>2492</v>
      </c>
      <c r="H239" s="30" t="s">
        <v>2486</v>
      </c>
      <c r="I239" s="30" t="s">
        <v>2486</v>
      </c>
      <c r="J239" s="30">
        <v>11</v>
      </c>
      <c r="K239" s="30">
        <v>11</v>
      </c>
      <c r="L239" s="30">
        <v>0</v>
      </c>
      <c r="M239" s="44" t="str">
        <f t="shared" si="6"/>
        <v>Silao</v>
      </c>
      <c r="N239" s="45" t="str">
        <f t="shared" si="7"/>
        <v>No</v>
      </c>
      <c r="O239" s="45" t="str">
        <f t="shared" si="8"/>
        <v>No</v>
      </c>
      <c r="P239" s="44"/>
    </row>
    <row r="240" spans="1:16">
      <c r="A240" s="30" t="s">
        <v>2737</v>
      </c>
      <c r="B240" s="29" t="s">
        <v>1064</v>
      </c>
      <c r="C240" s="30" t="s">
        <v>2598</v>
      </c>
      <c r="D240" s="30" t="s">
        <v>2484</v>
      </c>
      <c r="E240" s="32">
        <v>171</v>
      </c>
      <c r="F240" s="30" t="s">
        <v>2599</v>
      </c>
      <c r="H240" s="30" t="s">
        <v>2486</v>
      </c>
      <c r="I240" s="30" t="s">
        <v>168</v>
      </c>
      <c r="J240" s="30">
        <v>66</v>
      </c>
      <c r="K240" s="30">
        <v>66</v>
      </c>
      <c r="L240" s="30">
        <v>0</v>
      </c>
      <c r="M240" s="44" t="str">
        <f t="shared" si="6"/>
        <v>Purísima</v>
      </c>
      <c r="N240" s="45" t="str">
        <f t="shared" si="7"/>
        <v>No</v>
      </c>
      <c r="O240" s="45" t="str">
        <f t="shared" si="8"/>
        <v>No</v>
      </c>
      <c r="P240" s="44"/>
    </row>
    <row r="241" spans="1:16">
      <c r="A241" s="30" t="s">
        <v>2738</v>
      </c>
      <c r="B241" s="29" t="s">
        <v>1071</v>
      </c>
      <c r="C241" s="30" t="s">
        <v>2598</v>
      </c>
      <c r="D241" s="30" t="s">
        <v>2484</v>
      </c>
      <c r="E241" s="32">
        <v>171</v>
      </c>
      <c r="F241" s="30" t="s">
        <v>2599</v>
      </c>
      <c r="H241" s="30" t="s">
        <v>2486</v>
      </c>
      <c r="I241" s="30" t="s">
        <v>168</v>
      </c>
      <c r="J241" s="30">
        <v>38</v>
      </c>
      <c r="K241" s="30">
        <v>38</v>
      </c>
      <c r="L241" s="30">
        <v>0</v>
      </c>
      <c r="M241" s="44" t="str">
        <f t="shared" si="6"/>
        <v>Purísima</v>
      </c>
      <c r="N241" s="45" t="str">
        <f t="shared" si="7"/>
        <v>No</v>
      </c>
      <c r="O241" s="45" t="str">
        <f t="shared" si="8"/>
        <v>No</v>
      </c>
      <c r="P241" s="44"/>
    </row>
    <row r="242" spans="1:16">
      <c r="A242" s="30" t="s">
        <v>2739</v>
      </c>
      <c r="B242" s="29" t="s">
        <v>1074</v>
      </c>
      <c r="C242" s="30" t="s">
        <v>2598</v>
      </c>
      <c r="D242" s="30" t="s">
        <v>2484</v>
      </c>
      <c r="E242" s="32">
        <v>171</v>
      </c>
      <c r="F242" s="30" t="s">
        <v>2599</v>
      </c>
      <c r="H242" s="30" t="s">
        <v>2486</v>
      </c>
      <c r="I242" s="30" t="s">
        <v>168</v>
      </c>
      <c r="J242" s="30">
        <v>1</v>
      </c>
      <c r="L242" s="30">
        <v>1</v>
      </c>
      <c r="M242" s="44" t="str">
        <f t="shared" si="6"/>
        <v>Purísima</v>
      </c>
      <c r="N242" s="45" t="str">
        <f t="shared" si="7"/>
        <v>No</v>
      </c>
      <c r="O242" s="45" t="str">
        <f t="shared" si="8"/>
        <v>No</v>
      </c>
      <c r="P242" s="44"/>
    </row>
    <row r="243" spans="1:16">
      <c r="A243" s="30" t="s">
        <v>2740</v>
      </c>
      <c r="B243" s="29" t="s">
        <v>1077</v>
      </c>
      <c r="C243" s="30" t="s">
        <v>2483</v>
      </c>
      <c r="D243" s="30" t="s">
        <v>2491</v>
      </c>
      <c r="E243" s="32"/>
      <c r="G243" s="30" t="s">
        <v>2508</v>
      </c>
      <c r="H243" s="30" t="s">
        <v>168</v>
      </c>
      <c r="I243" s="30" t="s">
        <v>168</v>
      </c>
      <c r="J243" s="30">
        <v>44</v>
      </c>
      <c r="L243" s="30">
        <v>44</v>
      </c>
      <c r="M243" s="44" t="str">
        <f t="shared" si="6"/>
        <v>La Martinica</v>
      </c>
      <c r="N243" s="45" t="str">
        <f t="shared" si="7"/>
        <v>No</v>
      </c>
      <c r="O243" s="45" t="str">
        <f t="shared" si="8"/>
        <v>No</v>
      </c>
      <c r="P243" s="44"/>
    </row>
    <row r="244" spans="1:16">
      <c r="A244" s="30" t="s">
        <v>2741</v>
      </c>
      <c r="B244" s="29" t="s">
        <v>1079</v>
      </c>
      <c r="C244" s="30" t="s">
        <v>2483</v>
      </c>
      <c r="D244" s="30" t="s">
        <v>2491</v>
      </c>
      <c r="E244" s="32"/>
      <c r="G244" s="30" t="s">
        <v>2508</v>
      </c>
      <c r="H244" s="30" t="s">
        <v>168</v>
      </c>
      <c r="I244" s="30" t="s">
        <v>168</v>
      </c>
      <c r="J244" s="30">
        <v>29</v>
      </c>
      <c r="L244" s="30">
        <v>29</v>
      </c>
      <c r="M244" s="44" t="str">
        <f t="shared" si="6"/>
        <v>La Martinica</v>
      </c>
      <c r="N244" s="45" t="str">
        <f t="shared" si="7"/>
        <v>No</v>
      </c>
      <c r="O244" s="45" t="str">
        <f t="shared" si="8"/>
        <v>No</v>
      </c>
      <c r="P244" s="44"/>
    </row>
    <row r="245" spans="1:16">
      <c r="A245" s="30" t="s">
        <v>2742</v>
      </c>
      <c r="B245" s="29" t="s">
        <v>1082</v>
      </c>
      <c r="C245" s="30" t="s">
        <v>2483</v>
      </c>
      <c r="D245" s="30" t="s">
        <v>2491</v>
      </c>
      <c r="E245" s="32"/>
      <c r="G245" s="30" t="s">
        <v>2508</v>
      </c>
      <c r="H245" s="30" t="s">
        <v>168</v>
      </c>
      <c r="I245" s="30" t="s">
        <v>168</v>
      </c>
      <c r="J245" s="30">
        <v>21</v>
      </c>
      <c r="L245" s="30">
        <v>21</v>
      </c>
      <c r="M245" s="44" t="str">
        <f t="shared" si="6"/>
        <v>La Martinica</v>
      </c>
      <c r="N245" s="45" t="str">
        <f t="shared" si="7"/>
        <v>No</v>
      </c>
      <c r="O245" s="45" t="str">
        <f t="shared" si="8"/>
        <v>No</v>
      </c>
      <c r="P245" s="44"/>
    </row>
    <row r="246" spans="1:16">
      <c r="A246" s="30" t="s">
        <v>2743</v>
      </c>
      <c r="B246" s="29" t="s">
        <v>1085</v>
      </c>
      <c r="C246" s="30" t="s">
        <v>2483</v>
      </c>
      <c r="D246" s="30" t="s">
        <v>2491</v>
      </c>
      <c r="E246" s="32"/>
      <c r="G246" s="30" t="s">
        <v>2508</v>
      </c>
      <c r="H246" s="30" t="s">
        <v>168</v>
      </c>
      <c r="I246" s="30" t="s">
        <v>168</v>
      </c>
      <c r="J246" s="30">
        <v>9</v>
      </c>
      <c r="L246" s="30">
        <v>9</v>
      </c>
      <c r="M246" s="44" t="str">
        <f t="shared" si="6"/>
        <v>La Martinica</v>
      </c>
      <c r="N246" s="45" t="str">
        <f t="shared" si="7"/>
        <v>No</v>
      </c>
      <c r="O246" s="45" t="str">
        <f t="shared" si="8"/>
        <v>No</v>
      </c>
      <c r="P246" s="44"/>
    </row>
    <row r="247" spans="1:16">
      <c r="A247" s="30" t="s">
        <v>2744</v>
      </c>
      <c r="B247" s="29" t="s">
        <v>1088</v>
      </c>
      <c r="C247" s="30" t="s">
        <v>2483</v>
      </c>
      <c r="D247" s="30" t="s">
        <v>2491</v>
      </c>
      <c r="E247" s="32"/>
      <c r="G247" s="30" t="s">
        <v>2508</v>
      </c>
      <c r="H247" s="30" t="s">
        <v>168</v>
      </c>
      <c r="I247" s="30" t="s">
        <v>168</v>
      </c>
      <c r="J247" s="30">
        <v>9</v>
      </c>
      <c r="L247" s="30">
        <v>9</v>
      </c>
      <c r="M247" s="44" t="str">
        <f t="shared" si="6"/>
        <v>La Martinica</v>
      </c>
      <c r="N247" s="45" t="str">
        <f t="shared" si="7"/>
        <v>No</v>
      </c>
      <c r="O247" s="45" t="str">
        <f t="shared" si="8"/>
        <v>No</v>
      </c>
      <c r="P247" s="44"/>
    </row>
    <row r="248" spans="1:16">
      <c r="A248" s="30" t="s">
        <v>2745</v>
      </c>
      <c r="B248" s="29" t="s">
        <v>1090</v>
      </c>
      <c r="C248" s="30" t="s">
        <v>2483</v>
      </c>
      <c r="D248" s="30" t="s">
        <v>2491</v>
      </c>
      <c r="E248" s="32"/>
      <c r="G248" s="30" t="s">
        <v>2508</v>
      </c>
      <c r="H248" s="30" t="s">
        <v>168</v>
      </c>
      <c r="I248" s="30" t="s">
        <v>168</v>
      </c>
      <c r="J248" s="30">
        <v>26</v>
      </c>
      <c r="L248" s="30">
        <v>26</v>
      </c>
      <c r="M248" s="44" t="str">
        <f t="shared" si="6"/>
        <v>La Martinica</v>
      </c>
      <c r="N248" s="45" t="str">
        <f t="shared" si="7"/>
        <v>No</v>
      </c>
      <c r="O248" s="45" t="str">
        <f t="shared" si="8"/>
        <v>No</v>
      </c>
      <c r="P248" s="44"/>
    </row>
    <row r="249" spans="1:16">
      <c r="A249" s="30" t="s">
        <v>2746</v>
      </c>
      <c r="B249" s="29" t="s">
        <v>1092</v>
      </c>
      <c r="C249" s="30" t="s">
        <v>2483</v>
      </c>
      <c r="D249" s="30" t="s">
        <v>2491</v>
      </c>
      <c r="E249" s="32"/>
      <c r="H249" s="30" t="s">
        <v>168</v>
      </c>
      <c r="I249" s="30" t="s">
        <v>168</v>
      </c>
      <c r="J249" s="30">
        <v>30</v>
      </c>
      <c r="L249" s="30">
        <v>30</v>
      </c>
      <c r="M249" s="44">
        <f t="shared" si="6"/>
        <v>0</v>
      </c>
      <c r="N249" s="45" t="str">
        <f t="shared" si="7"/>
        <v>No</v>
      </c>
      <c r="O249" s="45" t="str">
        <f t="shared" si="8"/>
        <v>No</v>
      </c>
      <c r="P249" s="44"/>
    </row>
    <row r="250" spans="1:16">
      <c r="A250" s="30" t="s">
        <v>2747</v>
      </c>
      <c r="B250" s="29" t="s">
        <v>1095</v>
      </c>
      <c r="C250" s="30" t="s">
        <v>2483</v>
      </c>
      <c r="D250" s="30" t="s">
        <v>2491</v>
      </c>
      <c r="E250" s="32"/>
      <c r="H250" s="30" t="s">
        <v>168</v>
      </c>
      <c r="I250" s="30" t="s">
        <v>168</v>
      </c>
      <c r="J250" s="30">
        <v>2</v>
      </c>
      <c r="L250" s="30">
        <v>2</v>
      </c>
      <c r="M250" s="44">
        <f t="shared" si="6"/>
        <v>0</v>
      </c>
      <c r="N250" s="45" t="str">
        <f t="shared" si="7"/>
        <v>No</v>
      </c>
      <c r="O250" s="45" t="str">
        <f t="shared" si="8"/>
        <v>No</v>
      </c>
      <c r="P250" s="44"/>
    </row>
    <row r="251" spans="1:16">
      <c r="A251" s="30" t="s">
        <v>2748</v>
      </c>
      <c r="B251" s="29" t="s">
        <v>1097</v>
      </c>
      <c r="C251" s="30" t="s">
        <v>2483</v>
      </c>
      <c r="D251" s="30" t="s">
        <v>2491</v>
      </c>
      <c r="E251" s="32"/>
      <c r="H251" s="30" t="s">
        <v>168</v>
      </c>
      <c r="I251" s="30" t="s">
        <v>168</v>
      </c>
      <c r="J251" s="30">
        <v>30</v>
      </c>
      <c r="L251" s="30">
        <v>30</v>
      </c>
      <c r="M251" s="44">
        <f t="shared" si="6"/>
        <v>0</v>
      </c>
      <c r="N251" s="45" t="str">
        <f t="shared" si="7"/>
        <v>No</v>
      </c>
      <c r="O251" s="45" t="str">
        <f t="shared" si="8"/>
        <v>No</v>
      </c>
      <c r="P251" s="44"/>
    </row>
    <row r="252" spans="1:16">
      <c r="A252" s="30" t="s">
        <v>2749</v>
      </c>
      <c r="B252" s="29" t="s">
        <v>1100</v>
      </c>
      <c r="C252" s="30" t="s">
        <v>2483</v>
      </c>
      <c r="D252" s="30" t="s">
        <v>2491</v>
      </c>
      <c r="E252" s="32"/>
      <c r="H252" s="30" t="s">
        <v>168</v>
      </c>
      <c r="I252" s="30" t="s">
        <v>168</v>
      </c>
      <c r="J252" s="30">
        <v>10</v>
      </c>
      <c r="K252" s="30">
        <v>10</v>
      </c>
      <c r="L252" s="30">
        <v>0</v>
      </c>
      <c r="M252" s="44">
        <f t="shared" si="6"/>
        <v>0</v>
      </c>
      <c r="N252" s="45" t="str">
        <f t="shared" si="7"/>
        <v>No</v>
      </c>
      <c r="O252" s="45" t="str">
        <f t="shared" si="8"/>
        <v>No</v>
      </c>
      <c r="P252" s="44"/>
    </row>
    <row r="253" spans="1:16">
      <c r="A253" s="30" t="s">
        <v>2750</v>
      </c>
      <c r="B253" s="29" t="s">
        <v>1104</v>
      </c>
      <c r="C253" s="30" t="s">
        <v>2483</v>
      </c>
      <c r="D253" s="30" t="s">
        <v>2491</v>
      </c>
      <c r="E253" s="32"/>
      <c r="H253" s="30" t="s">
        <v>168</v>
      </c>
      <c r="I253" s="30" t="s">
        <v>168</v>
      </c>
      <c r="J253" s="30">
        <v>11</v>
      </c>
      <c r="L253" s="30">
        <v>11</v>
      </c>
      <c r="M253" s="44">
        <f t="shared" si="6"/>
        <v>0</v>
      </c>
      <c r="N253" s="45" t="str">
        <f t="shared" si="7"/>
        <v>No</v>
      </c>
      <c r="O253" s="45" t="str">
        <f t="shared" si="8"/>
        <v>No</v>
      </c>
      <c r="P253" s="44"/>
    </row>
    <row r="254" spans="1:16">
      <c r="A254" s="30" t="s">
        <v>2751</v>
      </c>
      <c r="B254" s="29" t="s">
        <v>1107</v>
      </c>
      <c r="C254" s="30" t="s">
        <v>2483</v>
      </c>
      <c r="D254" s="30" t="s">
        <v>2491</v>
      </c>
      <c r="E254" s="32"/>
      <c r="H254" s="30" t="s">
        <v>168</v>
      </c>
      <c r="I254" s="30" t="s">
        <v>168</v>
      </c>
      <c r="J254" s="30">
        <v>17</v>
      </c>
      <c r="L254" s="30">
        <v>17</v>
      </c>
      <c r="M254" s="44">
        <f t="shared" si="6"/>
        <v>0</v>
      </c>
      <c r="N254" s="45" t="str">
        <f t="shared" si="7"/>
        <v>No</v>
      </c>
      <c r="O254" s="45" t="str">
        <f t="shared" si="8"/>
        <v>No</v>
      </c>
      <c r="P254" s="44"/>
    </row>
    <row r="255" spans="1:16">
      <c r="A255" s="30" t="s">
        <v>2752</v>
      </c>
      <c r="B255" s="29" t="s">
        <v>1110</v>
      </c>
      <c r="C255" s="30" t="s">
        <v>2483</v>
      </c>
      <c r="D255" s="30" t="s">
        <v>2491</v>
      </c>
      <c r="E255" s="32"/>
      <c r="H255" s="30" t="s">
        <v>168</v>
      </c>
      <c r="I255" s="30" t="s">
        <v>168</v>
      </c>
      <c r="J255" s="30">
        <v>2</v>
      </c>
      <c r="L255" s="30">
        <v>2</v>
      </c>
      <c r="M255" s="44">
        <f t="shared" si="6"/>
        <v>0</v>
      </c>
      <c r="N255" s="45" t="str">
        <f t="shared" si="7"/>
        <v>No</v>
      </c>
      <c r="O255" s="45" t="str">
        <f t="shared" si="8"/>
        <v>No</v>
      </c>
      <c r="P255" s="44"/>
    </row>
    <row r="256" spans="1:16">
      <c r="A256" s="30" t="s">
        <v>2753</v>
      </c>
      <c r="B256" s="29" t="s">
        <v>1112</v>
      </c>
      <c r="C256" s="30" t="s">
        <v>2483</v>
      </c>
      <c r="D256" s="30" t="s">
        <v>2491</v>
      </c>
      <c r="E256" s="32"/>
      <c r="H256" s="30" t="s">
        <v>168</v>
      </c>
      <c r="I256" s="30" t="s">
        <v>168</v>
      </c>
      <c r="J256" s="30">
        <v>27</v>
      </c>
      <c r="L256" s="30">
        <v>27</v>
      </c>
      <c r="M256" s="44">
        <f t="shared" si="6"/>
        <v>0</v>
      </c>
      <c r="N256" s="45" t="str">
        <f t="shared" si="7"/>
        <v>No</v>
      </c>
      <c r="O256" s="45" t="str">
        <f t="shared" si="8"/>
        <v>No</v>
      </c>
      <c r="P256" s="44"/>
    </row>
    <row r="257" spans="1:16">
      <c r="A257" s="30" t="s">
        <v>2754</v>
      </c>
      <c r="B257" s="29" t="s">
        <v>1118</v>
      </c>
      <c r="C257" s="30" t="s">
        <v>2483</v>
      </c>
      <c r="D257" s="30" t="s">
        <v>2491</v>
      </c>
      <c r="E257" s="32"/>
      <c r="H257" s="30" t="s">
        <v>168</v>
      </c>
      <c r="I257" s="30" t="s">
        <v>168</v>
      </c>
      <c r="J257" s="30">
        <v>214</v>
      </c>
      <c r="L257" s="30">
        <v>214</v>
      </c>
      <c r="M257" s="44">
        <f t="shared" si="6"/>
        <v>0</v>
      </c>
      <c r="N257" s="45" t="str">
        <f t="shared" si="7"/>
        <v>No</v>
      </c>
      <c r="O257" s="45" t="str">
        <f t="shared" si="8"/>
        <v>No</v>
      </c>
      <c r="P257" s="44"/>
    </row>
    <row r="258" spans="1:16">
      <c r="A258" s="30" t="s">
        <v>2755</v>
      </c>
      <c r="B258" s="29" t="s">
        <v>1120</v>
      </c>
      <c r="C258" s="30" t="s">
        <v>2483</v>
      </c>
      <c r="D258" s="30" t="s">
        <v>2491</v>
      </c>
      <c r="E258" s="32"/>
      <c r="H258" s="30" t="s">
        <v>168</v>
      </c>
      <c r="I258" s="30" t="s">
        <v>168</v>
      </c>
      <c r="J258" s="30">
        <v>8</v>
      </c>
      <c r="L258" s="30">
        <v>8</v>
      </c>
      <c r="M258" s="44">
        <f t="shared" si="6"/>
        <v>0</v>
      </c>
      <c r="N258" s="45" t="str">
        <f t="shared" si="7"/>
        <v>No</v>
      </c>
      <c r="O258" s="45" t="str">
        <f t="shared" si="8"/>
        <v>No</v>
      </c>
      <c r="P258" s="44"/>
    </row>
    <row r="259" spans="1:16">
      <c r="A259" s="30" t="s">
        <v>2756</v>
      </c>
      <c r="B259" s="29" t="s">
        <v>1122</v>
      </c>
      <c r="C259" s="30" t="s">
        <v>2483</v>
      </c>
      <c r="D259" s="30" t="s">
        <v>2491</v>
      </c>
      <c r="E259" s="32"/>
      <c r="H259" s="30" t="s">
        <v>168</v>
      </c>
      <c r="I259" s="30" t="s">
        <v>168</v>
      </c>
      <c r="J259" s="30">
        <v>8</v>
      </c>
      <c r="L259" s="30">
        <v>8</v>
      </c>
      <c r="M259" s="44">
        <f t="shared" si="6"/>
        <v>0</v>
      </c>
      <c r="N259" s="45" t="str">
        <f t="shared" si="7"/>
        <v>No</v>
      </c>
      <c r="O259" s="45" t="str">
        <f t="shared" si="8"/>
        <v>No</v>
      </c>
      <c r="P259" s="44"/>
    </row>
    <row r="260" spans="1:16">
      <c r="A260" s="30" t="s">
        <v>2757</v>
      </c>
      <c r="B260" s="29" t="s">
        <v>1124</v>
      </c>
      <c r="C260" s="30" t="s">
        <v>2483</v>
      </c>
      <c r="D260" s="30" t="s">
        <v>2491</v>
      </c>
      <c r="E260" s="32"/>
      <c r="H260" s="30" t="s">
        <v>168</v>
      </c>
      <c r="I260" s="30" t="s">
        <v>168</v>
      </c>
      <c r="J260" s="30">
        <v>26</v>
      </c>
      <c r="L260" s="30">
        <v>26</v>
      </c>
      <c r="M260" s="44">
        <f t="shared" si="6"/>
        <v>0</v>
      </c>
      <c r="N260" s="45" t="str">
        <f t="shared" si="7"/>
        <v>No</v>
      </c>
      <c r="O260" s="45" t="str">
        <f t="shared" si="8"/>
        <v>No</v>
      </c>
      <c r="P260" s="44"/>
    </row>
    <row r="261" spans="1:16">
      <c r="A261" s="30" t="s">
        <v>2758</v>
      </c>
      <c r="B261" s="29" t="s">
        <v>1127</v>
      </c>
      <c r="C261" s="30" t="s">
        <v>2483</v>
      </c>
      <c r="D261" s="30" t="s">
        <v>2491</v>
      </c>
      <c r="E261" s="32"/>
      <c r="H261" s="30" t="s">
        <v>168</v>
      </c>
      <c r="I261" s="30" t="s">
        <v>168</v>
      </c>
      <c r="J261" s="30">
        <v>26</v>
      </c>
      <c r="L261" s="30">
        <v>26</v>
      </c>
      <c r="M261" s="44">
        <f t="shared" si="6"/>
        <v>0</v>
      </c>
      <c r="N261" s="45" t="str">
        <f t="shared" si="7"/>
        <v>No</v>
      </c>
      <c r="O261" s="45" t="str">
        <f t="shared" si="8"/>
        <v>No</v>
      </c>
      <c r="P261" s="44"/>
    </row>
    <row r="262" spans="1:16">
      <c r="A262" s="30" t="s">
        <v>2759</v>
      </c>
      <c r="B262" s="29" t="s">
        <v>1129</v>
      </c>
      <c r="C262" s="30" t="s">
        <v>2483</v>
      </c>
      <c r="D262" s="30" t="s">
        <v>2491</v>
      </c>
      <c r="E262" s="32"/>
      <c r="H262" s="30" t="s">
        <v>168</v>
      </c>
      <c r="I262" s="30" t="s">
        <v>168</v>
      </c>
      <c r="J262" s="30">
        <v>49</v>
      </c>
      <c r="L262" s="30">
        <v>49</v>
      </c>
      <c r="M262" s="44">
        <f t="shared" si="6"/>
        <v>0</v>
      </c>
      <c r="N262" s="45" t="str">
        <f t="shared" si="7"/>
        <v>No</v>
      </c>
      <c r="O262" s="45" t="str">
        <f t="shared" si="8"/>
        <v>No</v>
      </c>
      <c r="P262" s="44"/>
    </row>
    <row r="263" spans="1:16">
      <c r="A263" s="30" t="s">
        <v>2760</v>
      </c>
      <c r="B263" s="29" t="s">
        <v>1132</v>
      </c>
      <c r="C263" s="30" t="s">
        <v>2483</v>
      </c>
      <c r="D263" s="30" t="s">
        <v>2491</v>
      </c>
      <c r="E263" s="32"/>
      <c r="H263" s="30" t="s">
        <v>168</v>
      </c>
      <c r="I263" s="30" t="s">
        <v>168</v>
      </c>
      <c r="J263" s="30">
        <v>49</v>
      </c>
      <c r="L263" s="30">
        <v>49</v>
      </c>
      <c r="M263" s="44">
        <f t="shared" si="6"/>
        <v>0</v>
      </c>
      <c r="N263" s="45" t="str">
        <f t="shared" si="7"/>
        <v>No</v>
      </c>
      <c r="O263" s="45" t="str">
        <f t="shared" si="8"/>
        <v>No</v>
      </c>
      <c r="P263" s="44"/>
    </row>
    <row r="264" spans="1:16">
      <c r="A264" s="30" t="s">
        <v>2761</v>
      </c>
      <c r="B264" s="29" t="s">
        <v>1134</v>
      </c>
      <c r="C264" s="30" t="s">
        <v>2483</v>
      </c>
      <c r="D264" s="30" t="s">
        <v>2491</v>
      </c>
      <c r="E264" s="32"/>
      <c r="H264" s="30" t="s">
        <v>168</v>
      </c>
      <c r="I264" s="30" t="s">
        <v>168</v>
      </c>
      <c r="J264" s="30">
        <v>19</v>
      </c>
      <c r="L264" s="30">
        <v>19</v>
      </c>
      <c r="M264" s="44">
        <f t="shared" si="6"/>
        <v>0</v>
      </c>
      <c r="N264" s="45" t="str">
        <f t="shared" si="7"/>
        <v>No</v>
      </c>
      <c r="O264" s="45" t="str">
        <f t="shared" si="8"/>
        <v>No</v>
      </c>
      <c r="P264" s="44"/>
    </row>
    <row r="265" spans="1:16">
      <c r="A265" s="30" t="s">
        <v>2762</v>
      </c>
      <c r="B265" s="29" t="s">
        <v>1136</v>
      </c>
      <c r="C265" s="30" t="s">
        <v>2483</v>
      </c>
      <c r="D265" s="30" t="s">
        <v>2491</v>
      </c>
      <c r="E265" s="32"/>
      <c r="H265" s="30" t="s">
        <v>168</v>
      </c>
      <c r="I265" s="30" t="s">
        <v>168</v>
      </c>
      <c r="J265" s="30">
        <v>3</v>
      </c>
      <c r="L265" s="30">
        <v>3</v>
      </c>
      <c r="M265" s="44">
        <f t="shared" si="6"/>
        <v>0</v>
      </c>
      <c r="N265" s="45" t="str">
        <f t="shared" si="7"/>
        <v>No</v>
      </c>
      <c r="O265" s="45" t="str">
        <f t="shared" si="8"/>
        <v>No</v>
      </c>
      <c r="P265" s="44"/>
    </row>
    <row r="266" spans="1:16">
      <c r="A266" s="30" t="s">
        <v>2763</v>
      </c>
      <c r="B266" s="29" t="s">
        <v>1138</v>
      </c>
      <c r="C266" s="30" t="s">
        <v>2483</v>
      </c>
      <c r="D266" s="30" t="s">
        <v>2491</v>
      </c>
      <c r="E266" s="32"/>
      <c r="H266" s="30" t="s">
        <v>168</v>
      </c>
      <c r="I266" s="30" t="s">
        <v>168</v>
      </c>
      <c r="J266" s="30">
        <v>4</v>
      </c>
      <c r="L266" s="30">
        <v>4</v>
      </c>
      <c r="M266" s="44">
        <f t="shared" si="6"/>
        <v>0</v>
      </c>
      <c r="N266" s="45" t="str">
        <f t="shared" si="7"/>
        <v>No</v>
      </c>
      <c r="O266" s="45" t="str">
        <f t="shared" si="8"/>
        <v>No</v>
      </c>
      <c r="P266" s="44"/>
    </row>
    <row r="267" spans="1:16">
      <c r="A267" s="30" t="s">
        <v>2764</v>
      </c>
      <c r="B267" s="29" t="s">
        <v>1140</v>
      </c>
      <c r="C267" s="30" t="s">
        <v>2483</v>
      </c>
      <c r="D267" s="30" t="s">
        <v>2491</v>
      </c>
      <c r="E267" s="32"/>
      <c r="H267" s="30" t="s">
        <v>168</v>
      </c>
      <c r="I267" s="30" t="s">
        <v>168</v>
      </c>
      <c r="J267" s="30">
        <v>9</v>
      </c>
      <c r="L267" s="30">
        <v>9</v>
      </c>
      <c r="M267" s="44">
        <f t="shared" si="6"/>
        <v>0</v>
      </c>
      <c r="N267" s="45" t="str">
        <f t="shared" si="7"/>
        <v>No</v>
      </c>
      <c r="O267" s="45" t="str">
        <f t="shared" si="8"/>
        <v>No</v>
      </c>
      <c r="P267" s="44"/>
    </row>
    <row r="268" spans="1:16">
      <c r="A268" s="30" t="s">
        <v>2765</v>
      </c>
      <c r="B268" s="29" t="s">
        <v>1143</v>
      </c>
      <c r="C268" s="30" t="s">
        <v>2483</v>
      </c>
      <c r="D268" s="30" t="s">
        <v>2491</v>
      </c>
      <c r="E268" s="32"/>
      <c r="H268" s="30" t="s">
        <v>168</v>
      </c>
      <c r="I268" s="30" t="s">
        <v>168</v>
      </c>
      <c r="J268" s="30">
        <v>31</v>
      </c>
      <c r="L268" s="30">
        <v>31</v>
      </c>
      <c r="M268" s="44">
        <f t="shared" si="6"/>
        <v>0</v>
      </c>
      <c r="N268" s="45" t="str">
        <f t="shared" si="7"/>
        <v>No</v>
      </c>
      <c r="O268" s="45" t="str">
        <f t="shared" si="8"/>
        <v>No</v>
      </c>
      <c r="P268" s="44"/>
    </row>
    <row r="269" spans="1:16">
      <c r="A269" s="30" t="s">
        <v>2766</v>
      </c>
      <c r="B269" s="29" t="s">
        <v>1146</v>
      </c>
      <c r="C269" s="30" t="s">
        <v>2483</v>
      </c>
      <c r="D269" s="30" t="s">
        <v>2491</v>
      </c>
      <c r="E269" s="32"/>
      <c r="H269" s="30" t="s">
        <v>168</v>
      </c>
      <c r="I269" s="30" t="s">
        <v>168</v>
      </c>
      <c r="J269" s="30">
        <v>6</v>
      </c>
      <c r="L269" s="30">
        <v>6</v>
      </c>
      <c r="M269" s="44">
        <f t="shared" si="6"/>
        <v>0</v>
      </c>
      <c r="N269" s="45" t="str">
        <f t="shared" si="7"/>
        <v>No</v>
      </c>
      <c r="O269" s="45" t="str">
        <f t="shared" si="8"/>
        <v>No</v>
      </c>
      <c r="P269" s="44"/>
    </row>
    <row r="270" spans="1:16">
      <c r="A270" s="30" t="s">
        <v>2767</v>
      </c>
      <c r="B270" s="29" t="s">
        <v>1149</v>
      </c>
      <c r="C270" s="30" t="s">
        <v>2483</v>
      </c>
      <c r="D270" s="30" t="s">
        <v>2491</v>
      </c>
      <c r="E270" s="32"/>
      <c r="H270" s="30" t="s">
        <v>168</v>
      </c>
      <c r="I270" s="30" t="s">
        <v>168</v>
      </c>
      <c r="J270" s="30">
        <v>7</v>
      </c>
      <c r="K270" s="30">
        <v>7</v>
      </c>
      <c r="L270" s="30">
        <v>0</v>
      </c>
      <c r="M270" s="44">
        <f t="shared" si="6"/>
        <v>0</v>
      </c>
      <c r="N270" s="45" t="str">
        <f t="shared" si="7"/>
        <v>No</v>
      </c>
      <c r="O270" s="45" t="str">
        <f t="shared" si="8"/>
        <v>No</v>
      </c>
      <c r="P270" s="44"/>
    </row>
    <row r="271" spans="1:16">
      <c r="A271" s="30" t="s">
        <v>2768</v>
      </c>
      <c r="B271" s="29" t="s">
        <v>1154</v>
      </c>
      <c r="C271" s="30" t="s">
        <v>2769</v>
      </c>
      <c r="D271" s="30" t="s">
        <v>2491</v>
      </c>
      <c r="E271" s="32"/>
      <c r="H271" s="30" t="s">
        <v>168</v>
      </c>
      <c r="I271" s="30" t="s">
        <v>168</v>
      </c>
      <c r="J271" s="30">
        <v>13117</v>
      </c>
      <c r="L271" s="30">
        <v>13117</v>
      </c>
      <c r="M271" s="44">
        <f t="shared" si="6"/>
        <v>0</v>
      </c>
      <c r="N271" s="45" t="str">
        <f t="shared" si="7"/>
        <v>No</v>
      </c>
      <c r="O271" s="45" t="str">
        <f t="shared" si="8"/>
        <v>No</v>
      </c>
      <c r="P271" s="44"/>
    </row>
    <row r="272" spans="1:16">
      <c r="A272" s="30" t="s">
        <v>2770</v>
      </c>
      <c r="B272" s="29" t="s">
        <v>1160</v>
      </c>
      <c r="C272" s="30" t="s">
        <v>2771</v>
      </c>
      <c r="D272" s="30" t="s">
        <v>2491</v>
      </c>
      <c r="E272" s="32">
        <v>84</v>
      </c>
      <c r="F272" s="30" t="s">
        <v>2771</v>
      </c>
      <c r="H272" s="30" t="s">
        <v>2486</v>
      </c>
      <c r="I272" s="30" t="s">
        <v>2486</v>
      </c>
      <c r="J272" s="30">
        <v>20960</v>
      </c>
      <c r="L272" s="30">
        <v>20960</v>
      </c>
      <c r="M272" s="44" t="str">
        <f t="shared" si="6"/>
        <v>Jaral del Progreso</v>
      </c>
      <c r="N272" s="45" t="str">
        <f t="shared" si="7"/>
        <v>No</v>
      </c>
      <c r="O272" s="45" t="str">
        <f t="shared" si="8"/>
        <v>No</v>
      </c>
      <c r="P272" s="44"/>
    </row>
    <row r="273" spans="1:16">
      <c r="A273" s="30" t="s">
        <v>2772</v>
      </c>
      <c r="B273" s="29" t="s">
        <v>1165</v>
      </c>
      <c r="C273" s="30" t="s">
        <v>2771</v>
      </c>
      <c r="D273" s="30" t="s">
        <v>2491</v>
      </c>
      <c r="E273" s="32">
        <v>84</v>
      </c>
      <c r="F273" s="30" t="s">
        <v>2771</v>
      </c>
      <c r="H273" s="30" t="s">
        <v>2486</v>
      </c>
      <c r="I273" s="30" t="s">
        <v>2486</v>
      </c>
      <c r="J273" s="30">
        <v>15</v>
      </c>
      <c r="L273" s="30">
        <v>15</v>
      </c>
      <c r="M273" s="44" t="str">
        <f t="shared" si="6"/>
        <v>Jaral del Progreso</v>
      </c>
      <c r="N273" s="45" t="str">
        <f t="shared" si="7"/>
        <v>No</v>
      </c>
      <c r="O273" s="45" t="str">
        <f t="shared" si="8"/>
        <v>No</v>
      </c>
      <c r="P273" s="44"/>
    </row>
    <row r="274" spans="1:16">
      <c r="A274" s="30" t="s">
        <v>2773</v>
      </c>
      <c r="B274" s="29" t="s">
        <v>1169</v>
      </c>
      <c r="C274" s="30" t="s">
        <v>2769</v>
      </c>
      <c r="D274" s="30" t="s">
        <v>2491</v>
      </c>
      <c r="E274" s="32">
        <v>55</v>
      </c>
      <c r="F274" s="30" t="s">
        <v>2769</v>
      </c>
      <c r="H274" s="30" t="s">
        <v>2486</v>
      </c>
      <c r="I274" s="30" t="s">
        <v>168</v>
      </c>
      <c r="J274" s="30">
        <v>34</v>
      </c>
      <c r="L274" s="30">
        <v>34</v>
      </c>
      <c r="M274" s="44" t="str">
        <f t="shared" si="6"/>
        <v>Huanímaro</v>
      </c>
      <c r="N274" s="45" t="str">
        <f t="shared" si="7"/>
        <v>No</v>
      </c>
      <c r="O274" s="45" t="str">
        <f t="shared" si="8"/>
        <v>No</v>
      </c>
      <c r="P274" s="44"/>
    </row>
    <row r="275" spans="1:16">
      <c r="A275" s="30" t="s">
        <v>2774</v>
      </c>
      <c r="B275" s="29" t="s">
        <v>1174</v>
      </c>
      <c r="C275" s="30" t="s">
        <v>2490</v>
      </c>
      <c r="D275" s="30" t="s">
        <v>2491</v>
      </c>
      <c r="E275" s="32">
        <v>215</v>
      </c>
      <c r="F275" s="30" t="s">
        <v>2492</v>
      </c>
      <c r="H275" s="30" t="s">
        <v>2486</v>
      </c>
      <c r="I275" s="30" t="s">
        <v>2486</v>
      </c>
      <c r="J275" s="30">
        <v>31</v>
      </c>
      <c r="K275" s="30">
        <v>31</v>
      </c>
      <c r="L275" s="30">
        <v>0</v>
      </c>
      <c r="M275" s="44" t="str">
        <f t="shared" si="6"/>
        <v>Silao</v>
      </c>
      <c r="N275" s="45" t="str">
        <f t="shared" si="7"/>
        <v>No</v>
      </c>
      <c r="O275" s="45" t="str">
        <f t="shared" si="8"/>
        <v>No</v>
      </c>
      <c r="P275" s="44"/>
    </row>
    <row r="276" spans="1:16">
      <c r="A276" s="30" t="s">
        <v>2775</v>
      </c>
      <c r="B276" s="29" t="s">
        <v>1177</v>
      </c>
      <c r="C276" s="30" t="s">
        <v>2490</v>
      </c>
      <c r="D276" s="30" t="s">
        <v>2491</v>
      </c>
      <c r="E276" s="32">
        <v>215</v>
      </c>
      <c r="F276" s="30" t="s">
        <v>2492</v>
      </c>
      <c r="H276" s="30" t="s">
        <v>2486</v>
      </c>
      <c r="I276" s="30" t="s">
        <v>2486</v>
      </c>
      <c r="J276" s="30">
        <v>15</v>
      </c>
      <c r="K276" s="30">
        <v>15</v>
      </c>
      <c r="L276" s="30">
        <v>0</v>
      </c>
      <c r="M276" s="44" t="str">
        <f t="shared" si="6"/>
        <v>Silao</v>
      </c>
      <c r="N276" s="45" t="str">
        <f t="shared" si="7"/>
        <v>No</v>
      </c>
      <c r="O276" s="45" t="str">
        <f t="shared" si="8"/>
        <v>No</v>
      </c>
      <c r="P276" s="44"/>
    </row>
    <row r="277" spans="1:16">
      <c r="A277" s="30" t="s">
        <v>2776</v>
      </c>
      <c r="B277" s="29" t="s">
        <v>1180</v>
      </c>
      <c r="C277" s="30" t="s">
        <v>2490</v>
      </c>
      <c r="D277" s="30" t="s">
        <v>2491</v>
      </c>
      <c r="E277" s="32">
        <v>215</v>
      </c>
      <c r="F277" s="30" t="s">
        <v>2492</v>
      </c>
      <c r="H277" s="30" t="s">
        <v>2486</v>
      </c>
      <c r="I277" s="30" t="s">
        <v>2486</v>
      </c>
      <c r="J277" s="30">
        <v>35</v>
      </c>
      <c r="L277" s="30">
        <v>35</v>
      </c>
      <c r="M277" s="44" t="str">
        <f t="shared" si="6"/>
        <v>Silao</v>
      </c>
      <c r="N277" s="45" t="str">
        <f t="shared" si="7"/>
        <v>No</v>
      </c>
      <c r="O277" s="45" t="str">
        <f t="shared" si="8"/>
        <v>No</v>
      </c>
      <c r="P277" s="44"/>
    </row>
    <row r="278" spans="1:16">
      <c r="A278" s="30" t="s">
        <v>2777</v>
      </c>
      <c r="B278" s="29" t="s">
        <v>1187</v>
      </c>
      <c r="C278" s="30" t="s">
        <v>2490</v>
      </c>
      <c r="D278" s="30" t="s">
        <v>2491</v>
      </c>
      <c r="E278" s="32">
        <v>215</v>
      </c>
      <c r="F278" s="30" t="s">
        <v>2492</v>
      </c>
      <c r="H278" s="30" t="s">
        <v>2486</v>
      </c>
      <c r="I278" s="30" t="s">
        <v>2486</v>
      </c>
      <c r="J278" s="30">
        <v>18</v>
      </c>
      <c r="L278" s="30">
        <v>18</v>
      </c>
      <c r="M278" s="44" t="str">
        <f t="shared" si="6"/>
        <v>Silao</v>
      </c>
      <c r="N278" s="45" t="str">
        <f t="shared" si="7"/>
        <v>No</v>
      </c>
      <c r="O278" s="45" t="str">
        <f t="shared" si="8"/>
        <v>No</v>
      </c>
      <c r="P278" s="44"/>
    </row>
    <row r="279" spans="1:16">
      <c r="A279" s="30" t="s">
        <v>2778</v>
      </c>
      <c r="B279" s="29" t="s">
        <v>1190</v>
      </c>
      <c r="C279" s="30" t="s">
        <v>2483</v>
      </c>
      <c r="D279" s="30" t="s">
        <v>2491</v>
      </c>
      <c r="E279" s="32"/>
      <c r="H279" s="30" t="s">
        <v>168</v>
      </c>
      <c r="I279" s="30" t="s">
        <v>168</v>
      </c>
      <c r="J279" s="30">
        <v>15</v>
      </c>
      <c r="K279" s="30">
        <v>15</v>
      </c>
      <c r="L279" s="30">
        <v>0</v>
      </c>
      <c r="M279" s="44">
        <f t="shared" si="6"/>
        <v>0</v>
      </c>
      <c r="N279" s="45" t="str">
        <f t="shared" si="7"/>
        <v>No</v>
      </c>
      <c r="O279" s="45" t="str">
        <f t="shared" si="8"/>
        <v>No</v>
      </c>
      <c r="P279" s="44"/>
    </row>
    <row r="280" spans="1:16">
      <c r="A280" s="30" t="s">
        <v>2779</v>
      </c>
      <c r="B280" s="29" t="s">
        <v>1193</v>
      </c>
      <c r="C280" s="30" t="s">
        <v>2483</v>
      </c>
      <c r="D280" s="30" t="s">
        <v>2491</v>
      </c>
      <c r="E280" s="32"/>
      <c r="H280" s="30" t="s">
        <v>168</v>
      </c>
      <c r="I280" s="30" t="s">
        <v>168</v>
      </c>
      <c r="J280" s="30">
        <v>10</v>
      </c>
      <c r="K280" s="30">
        <v>10</v>
      </c>
      <c r="L280" s="30">
        <v>0</v>
      </c>
      <c r="M280" s="44">
        <f t="shared" si="6"/>
        <v>0</v>
      </c>
      <c r="N280" s="45" t="str">
        <f t="shared" si="7"/>
        <v>No</v>
      </c>
      <c r="O280" s="45" t="str">
        <f t="shared" si="8"/>
        <v>No</v>
      </c>
      <c r="P280" s="44"/>
    </row>
    <row r="281" spans="1:16">
      <c r="A281" s="30" t="s">
        <v>2780</v>
      </c>
      <c r="B281" s="29" t="s">
        <v>1196</v>
      </c>
      <c r="C281" s="30" t="s">
        <v>2483</v>
      </c>
      <c r="D281" s="30" t="s">
        <v>2491</v>
      </c>
      <c r="E281" s="32"/>
      <c r="H281" s="30" t="s">
        <v>168</v>
      </c>
      <c r="I281" s="30" t="s">
        <v>168</v>
      </c>
      <c r="J281" s="30">
        <v>38</v>
      </c>
      <c r="L281" s="30">
        <v>38</v>
      </c>
      <c r="M281" s="44">
        <f t="shared" si="6"/>
        <v>0</v>
      </c>
      <c r="N281" s="45" t="str">
        <f t="shared" si="7"/>
        <v>No</v>
      </c>
      <c r="O281" s="45" t="str">
        <f t="shared" si="8"/>
        <v>No</v>
      </c>
      <c r="P281" s="44"/>
    </row>
    <row r="282" spans="1:16">
      <c r="A282" s="30" t="s">
        <v>2781</v>
      </c>
      <c r="B282" s="29" t="s">
        <v>1200</v>
      </c>
      <c r="C282" s="30" t="s">
        <v>2483</v>
      </c>
      <c r="D282" s="30" t="s">
        <v>2491</v>
      </c>
      <c r="E282" s="32"/>
      <c r="H282" s="30" t="s">
        <v>168</v>
      </c>
      <c r="I282" s="30" t="s">
        <v>168</v>
      </c>
      <c r="J282" s="30">
        <v>51</v>
      </c>
      <c r="L282" s="30">
        <v>51</v>
      </c>
      <c r="M282" s="44">
        <f t="shared" si="6"/>
        <v>0</v>
      </c>
      <c r="N282" s="45" t="str">
        <f t="shared" si="7"/>
        <v>No</v>
      </c>
      <c r="O282" s="45" t="str">
        <f t="shared" si="8"/>
        <v>No</v>
      </c>
      <c r="P282" s="44"/>
    </row>
    <row r="283" spans="1:16">
      <c r="A283" s="30" t="s">
        <v>2782</v>
      </c>
      <c r="B283" s="29" t="s">
        <v>1203</v>
      </c>
      <c r="C283" s="30" t="s">
        <v>2483</v>
      </c>
      <c r="D283" s="30" t="s">
        <v>2491</v>
      </c>
      <c r="E283" s="32"/>
      <c r="H283" s="30" t="s">
        <v>168</v>
      </c>
      <c r="I283" s="30" t="s">
        <v>168</v>
      </c>
      <c r="J283" s="30">
        <v>34</v>
      </c>
      <c r="L283" s="30">
        <v>34</v>
      </c>
      <c r="M283" s="44">
        <f t="shared" si="6"/>
        <v>0</v>
      </c>
      <c r="N283" s="45" t="str">
        <f t="shared" si="7"/>
        <v>No</v>
      </c>
      <c r="O283" s="45" t="str">
        <f t="shared" si="8"/>
        <v>No</v>
      </c>
      <c r="P283" s="44"/>
    </row>
    <row r="284" spans="1:16">
      <c r="A284" s="30" t="s">
        <v>2783</v>
      </c>
      <c r="B284" s="29" t="s">
        <v>1206</v>
      </c>
      <c r="C284" s="30" t="s">
        <v>2483</v>
      </c>
      <c r="D284" s="30" t="s">
        <v>2491</v>
      </c>
      <c r="E284" s="32"/>
      <c r="H284" s="30" t="s">
        <v>168</v>
      </c>
      <c r="I284" s="30" t="s">
        <v>168</v>
      </c>
      <c r="J284" s="30">
        <v>23</v>
      </c>
      <c r="L284" s="30">
        <v>23</v>
      </c>
      <c r="M284" s="44">
        <f t="shared" si="6"/>
        <v>0</v>
      </c>
      <c r="N284" s="45" t="str">
        <f t="shared" si="7"/>
        <v>No</v>
      </c>
      <c r="O284" s="45" t="str">
        <f t="shared" si="8"/>
        <v>No</v>
      </c>
      <c r="P284" s="44"/>
    </row>
    <row r="285" spans="1:16">
      <c r="A285" s="30" t="s">
        <v>2784</v>
      </c>
      <c r="B285" s="29" t="s">
        <v>1209</v>
      </c>
      <c r="C285" s="30" t="s">
        <v>2483</v>
      </c>
      <c r="D285" s="30" t="s">
        <v>2491</v>
      </c>
      <c r="E285" s="32"/>
      <c r="H285" s="30" t="s">
        <v>168</v>
      </c>
      <c r="I285" s="30" t="s">
        <v>168</v>
      </c>
      <c r="J285" s="30">
        <v>18</v>
      </c>
      <c r="K285" s="30">
        <v>18</v>
      </c>
      <c r="L285" s="30">
        <v>0</v>
      </c>
      <c r="M285" s="44">
        <f t="shared" si="6"/>
        <v>0</v>
      </c>
      <c r="N285" s="45" t="str">
        <f t="shared" si="7"/>
        <v>No</v>
      </c>
      <c r="O285" s="45" t="str">
        <f t="shared" si="8"/>
        <v>No</v>
      </c>
      <c r="P285" s="44"/>
    </row>
    <row r="286" spans="1:16">
      <c r="A286" s="30" t="s">
        <v>2785</v>
      </c>
      <c r="B286" s="29" t="s">
        <v>1212</v>
      </c>
      <c r="C286" s="30" t="s">
        <v>2483</v>
      </c>
      <c r="D286" s="30" t="s">
        <v>2491</v>
      </c>
      <c r="E286" s="32"/>
      <c r="H286" s="30" t="s">
        <v>168</v>
      </c>
      <c r="I286" s="30" t="s">
        <v>168</v>
      </c>
      <c r="J286" s="30">
        <v>7</v>
      </c>
      <c r="K286" s="30">
        <v>7</v>
      </c>
      <c r="L286" s="30">
        <v>0</v>
      </c>
      <c r="M286" s="44">
        <f t="shared" si="6"/>
        <v>0</v>
      </c>
      <c r="N286" s="45" t="str">
        <f t="shared" si="7"/>
        <v>No</v>
      </c>
      <c r="O286" s="45" t="str">
        <f t="shared" si="8"/>
        <v>No</v>
      </c>
      <c r="P286" s="44"/>
    </row>
    <row r="287" spans="1:16">
      <c r="A287" s="30" t="s">
        <v>2786</v>
      </c>
      <c r="B287" s="29" t="s">
        <v>1215</v>
      </c>
      <c r="C287" s="30" t="s">
        <v>2483</v>
      </c>
      <c r="D287" s="30" t="s">
        <v>2491</v>
      </c>
      <c r="E287" s="32"/>
      <c r="H287" s="30" t="s">
        <v>168</v>
      </c>
      <c r="I287" s="30" t="s">
        <v>168</v>
      </c>
      <c r="J287" s="30">
        <v>7</v>
      </c>
      <c r="K287" s="30">
        <v>7</v>
      </c>
      <c r="L287" s="30">
        <v>0</v>
      </c>
      <c r="M287" s="44">
        <f t="shared" si="6"/>
        <v>0</v>
      </c>
      <c r="N287" s="45" t="str">
        <f t="shared" si="7"/>
        <v>No</v>
      </c>
      <c r="O287" s="45" t="str">
        <f t="shared" si="8"/>
        <v>No</v>
      </c>
      <c r="P287" s="44"/>
    </row>
    <row r="288" spans="1:16">
      <c r="A288" s="30" t="s">
        <v>2787</v>
      </c>
      <c r="B288" s="29" t="s">
        <v>1218</v>
      </c>
      <c r="C288" s="30" t="s">
        <v>2483</v>
      </c>
      <c r="D288" s="30" t="s">
        <v>2491</v>
      </c>
      <c r="E288" s="32"/>
      <c r="H288" s="30" t="s">
        <v>168</v>
      </c>
      <c r="I288" s="30" t="s">
        <v>168</v>
      </c>
      <c r="J288" s="30">
        <v>10</v>
      </c>
      <c r="K288" s="30">
        <v>10</v>
      </c>
      <c r="L288" s="30">
        <v>0</v>
      </c>
      <c r="M288" s="44">
        <f t="shared" si="6"/>
        <v>0</v>
      </c>
      <c r="N288" s="45" t="str">
        <f t="shared" si="7"/>
        <v>No</v>
      </c>
      <c r="O288" s="45" t="str">
        <f t="shared" si="8"/>
        <v>No</v>
      </c>
      <c r="P288" s="44"/>
    </row>
    <row r="289" spans="1:16">
      <c r="A289" s="30" t="s">
        <v>2788</v>
      </c>
      <c r="B289" s="29" t="s">
        <v>1221</v>
      </c>
      <c r="C289" s="30" t="s">
        <v>2483</v>
      </c>
      <c r="D289" s="30" t="s">
        <v>2491</v>
      </c>
      <c r="E289" s="32"/>
      <c r="H289" s="30" t="s">
        <v>168</v>
      </c>
      <c r="I289" s="30" t="s">
        <v>168</v>
      </c>
      <c r="J289" s="30">
        <v>55</v>
      </c>
      <c r="K289" s="30">
        <v>55</v>
      </c>
      <c r="L289" s="30">
        <v>0</v>
      </c>
      <c r="M289" s="44">
        <f t="shared" si="6"/>
        <v>0</v>
      </c>
      <c r="N289" s="45" t="str">
        <f t="shared" si="7"/>
        <v>No</v>
      </c>
      <c r="O289" s="45" t="str">
        <f t="shared" si="8"/>
        <v>No</v>
      </c>
      <c r="P289" s="44"/>
    </row>
    <row r="290" spans="1:16">
      <c r="A290" s="30" t="s">
        <v>2789</v>
      </c>
      <c r="B290" s="29" t="s">
        <v>1224</v>
      </c>
      <c r="C290" s="30" t="s">
        <v>2483</v>
      </c>
      <c r="D290" s="30" t="s">
        <v>2491</v>
      </c>
      <c r="E290" s="32"/>
      <c r="H290" s="30" t="s">
        <v>168</v>
      </c>
      <c r="I290" s="30" t="s">
        <v>168</v>
      </c>
      <c r="J290" s="30">
        <v>9</v>
      </c>
      <c r="K290" s="30">
        <v>9</v>
      </c>
      <c r="L290" s="30">
        <v>0</v>
      </c>
      <c r="M290" s="44">
        <f t="shared" si="6"/>
        <v>0</v>
      </c>
      <c r="N290" s="45" t="str">
        <f t="shared" si="7"/>
        <v>No</v>
      </c>
      <c r="O290" s="45" t="str">
        <f t="shared" si="8"/>
        <v>No</v>
      </c>
      <c r="P290" s="44"/>
    </row>
    <row r="291" spans="1:16">
      <c r="A291" s="30" t="s">
        <v>2790</v>
      </c>
      <c r="B291" s="29" t="s">
        <v>1227</v>
      </c>
      <c r="C291" s="30" t="s">
        <v>2483</v>
      </c>
      <c r="D291" s="30" t="s">
        <v>2491</v>
      </c>
      <c r="E291" s="32"/>
      <c r="H291" s="30" t="s">
        <v>168</v>
      </c>
      <c r="I291" s="30" t="s">
        <v>168</v>
      </c>
      <c r="J291" s="30">
        <v>96</v>
      </c>
      <c r="L291" s="30">
        <v>96</v>
      </c>
      <c r="M291" s="44">
        <f t="shared" si="6"/>
        <v>0</v>
      </c>
      <c r="N291" s="45" t="str">
        <f t="shared" si="7"/>
        <v>No</v>
      </c>
      <c r="O291" s="45" t="str">
        <f t="shared" si="8"/>
        <v>No</v>
      </c>
      <c r="P291" s="44"/>
    </row>
    <row r="292" spans="1:16">
      <c r="A292" s="30" t="s">
        <v>2791</v>
      </c>
      <c r="B292" s="29" t="s">
        <v>1230</v>
      </c>
      <c r="C292" s="30" t="s">
        <v>2483</v>
      </c>
      <c r="D292" s="30" t="s">
        <v>2491</v>
      </c>
      <c r="E292" s="32"/>
      <c r="H292" s="30" t="s">
        <v>168</v>
      </c>
      <c r="I292" s="30" t="s">
        <v>168</v>
      </c>
      <c r="J292" s="30">
        <v>96</v>
      </c>
      <c r="L292" s="30">
        <v>96</v>
      </c>
      <c r="M292" s="44">
        <f t="shared" si="6"/>
        <v>0</v>
      </c>
      <c r="N292" s="45" t="str">
        <f t="shared" si="7"/>
        <v>No</v>
      </c>
      <c r="O292" s="45" t="str">
        <f t="shared" si="8"/>
        <v>No</v>
      </c>
      <c r="P292" s="44"/>
    </row>
    <row r="293" spans="1:16">
      <c r="A293" s="30" t="s">
        <v>2792</v>
      </c>
      <c r="B293" s="29" t="s">
        <v>1232</v>
      </c>
      <c r="C293" s="30" t="s">
        <v>2483</v>
      </c>
      <c r="D293" s="30" t="s">
        <v>2491</v>
      </c>
      <c r="E293" s="32"/>
      <c r="H293" s="30" t="s">
        <v>168</v>
      </c>
      <c r="I293" s="30" t="s">
        <v>168</v>
      </c>
      <c r="J293" s="30">
        <v>87</v>
      </c>
      <c r="L293" s="30">
        <v>87</v>
      </c>
      <c r="M293" s="44">
        <f t="shared" si="6"/>
        <v>0</v>
      </c>
      <c r="N293" s="45" t="str">
        <f t="shared" si="7"/>
        <v>No</v>
      </c>
      <c r="O293" s="45" t="str">
        <f t="shared" si="8"/>
        <v>No</v>
      </c>
      <c r="P293" s="44"/>
    </row>
    <row r="294" spans="1:16">
      <c r="A294" s="30" t="s">
        <v>2793</v>
      </c>
      <c r="B294" s="29" t="s">
        <v>1235</v>
      </c>
      <c r="C294" s="30" t="s">
        <v>2483</v>
      </c>
      <c r="D294" s="30" t="s">
        <v>2491</v>
      </c>
      <c r="E294" s="32"/>
      <c r="H294" s="30" t="s">
        <v>168</v>
      </c>
      <c r="I294" s="30" t="s">
        <v>168</v>
      </c>
      <c r="J294" s="30">
        <v>130</v>
      </c>
      <c r="L294" s="30">
        <v>130</v>
      </c>
      <c r="M294" s="44">
        <f t="shared" si="6"/>
        <v>0</v>
      </c>
      <c r="N294" s="45" t="str">
        <f t="shared" si="7"/>
        <v>No</v>
      </c>
      <c r="O294" s="45" t="str">
        <f t="shared" si="8"/>
        <v>No</v>
      </c>
      <c r="P294" s="44"/>
    </row>
    <row r="295" spans="1:16">
      <c r="A295" s="30" t="s">
        <v>2794</v>
      </c>
      <c r="B295" s="29" t="s">
        <v>1239</v>
      </c>
      <c r="C295" s="30" t="s">
        <v>2483</v>
      </c>
      <c r="D295" s="30" t="s">
        <v>2491</v>
      </c>
      <c r="E295" s="32"/>
      <c r="H295" s="30" t="s">
        <v>168</v>
      </c>
      <c r="I295" s="30" t="s">
        <v>168</v>
      </c>
      <c r="J295" s="30">
        <v>15</v>
      </c>
      <c r="L295" s="30">
        <v>15</v>
      </c>
      <c r="M295" s="44">
        <f t="shared" si="6"/>
        <v>0</v>
      </c>
      <c r="N295" s="45" t="str">
        <f t="shared" si="7"/>
        <v>No</v>
      </c>
      <c r="O295" s="45" t="str">
        <f t="shared" si="8"/>
        <v>No</v>
      </c>
      <c r="P295" s="44"/>
    </row>
    <row r="296" spans="1:16">
      <c r="A296" s="30" t="s">
        <v>2795</v>
      </c>
      <c r="B296" s="29" t="s">
        <v>1243</v>
      </c>
      <c r="C296" s="30" t="s">
        <v>2483</v>
      </c>
      <c r="D296" s="30" t="s">
        <v>2491</v>
      </c>
      <c r="E296" s="32"/>
      <c r="H296" s="30" t="s">
        <v>168</v>
      </c>
      <c r="I296" s="30" t="s">
        <v>168</v>
      </c>
      <c r="J296" s="30">
        <v>46</v>
      </c>
      <c r="K296" s="30">
        <v>46</v>
      </c>
      <c r="L296" s="30">
        <v>0</v>
      </c>
      <c r="M296" s="44">
        <f t="shared" si="6"/>
        <v>0</v>
      </c>
      <c r="N296" s="45" t="str">
        <f t="shared" si="7"/>
        <v>No</v>
      </c>
      <c r="O296" s="45" t="str">
        <f t="shared" si="8"/>
        <v>No</v>
      </c>
      <c r="P296" s="44"/>
    </row>
    <row r="297" spans="1:16">
      <c r="A297" s="30" t="s">
        <v>2796</v>
      </c>
      <c r="B297" s="29" t="s">
        <v>1247</v>
      </c>
      <c r="C297" s="30" t="s">
        <v>2483</v>
      </c>
      <c r="D297" s="30" t="s">
        <v>2491</v>
      </c>
      <c r="E297" s="32"/>
      <c r="H297" s="30" t="s">
        <v>168</v>
      </c>
      <c r="I297" s="30" t="s">
        <v>168</v>
      </c>
      <c r="J297" s="30">
        <v>14</v>
      </c>
      <c r="L297" s="30">
        <v>14</v>
      </c>
      <c r="M297" s="44">
        <f t="shared" si="6"/>
        <v>0</v>
      </c>
      <c r="N297" s="45" t="str">
        <f t="shared" si="7"/>
        <v>No</v>
      </c>
      <c r="O297" s="45" t="str">
        <f t="shared" si="8"/>
        <v>No</v>
      </c>
      <c r="P297" s="44"/>
    </row>
    <row r="298" spans="1:16">
      <c r="A298" s="30" t="s">
        <v>2797</v>
      </c>
      <c r="B298" s="29" t="s">
        <v>1251</v>
      </c>
      <c r="C298" s="30" t="s">
        <v>2483</v>
      </c>
      <c r="D298" s="30" t="s">
        <v>2491</v>
      </c>
      <c r="E298" s="32"/>
      <c r="H298" s="30" t="s">
        <v>168</v>
      </c>
      <c r="I298" s="30" t="s">
        <v>168</v>
      </c>
      <c r="J298" s="30">
        <v>141</v>
      </c>
      <c r="L298" s="30">
        <v>141</v>
      </c>
      <c r="M298" s="44">
        <f t="shared" si="6"/>
        <v>0</v>
      </c>
      <c r="N298" s="45" t="str">
        <f t="shared" si="7"/>
        <v>No</v>
      </c>
      <c r="O298" s="45" t="str">
        <f t="shared" si="8"/>
        <v>No</v>
      </c>
      <c r="P298" s="44"/>
    </row>
    <row r="299" spans="1:16">
      <c r="A299" s="30" t="s">
        <v>2798</v>
      </c>
      <c r="B299" s="29" t="s">
        <v>1254</v>
      </c>
      <c r="C299" s="30" t="s">
        <v>2483</v>
      </c>
      <c r="D299" s="30" t="s">
        <v>2491</v>
      </c>
      <c r="E299" s="32"/>
      <c r="H299" s="30" t="s">
        <v>168</v>
      </c>
      <c r="I299" s="30" t="s">
        <v>168</v>
      </c>
      <c r="J299" s="30">
        <v>21</v>
      </c>
      <c r="L299" s="30">
        <v>21</v>
      </c>
      <c r="M299" s="44">
        <f t="shared" si="6"/>
        <v>0</v>
      </c>
      <c r="N299" s="45" t="str">
        <f t="shared" si="7"/>
        <v>No</v>
      </c>
      <c r="O299" s="45" t="str">
        <f t="shared" si="8"/>
        <v>No</v>
      </c>
      <c r="P299" s="44"/>
    </row>
    <row r="300" spans="1:16">
      <c r="A300" s="30" t="s">
        <v>2799</v>
      </c>
      <c r="B300" s="29" t="s">
        <v>1258</v>
      </c>
      <c r="C300" s="30" t="s">
        <v>2483</v>
      </c>
      <c r="D300" s="30" t="s">
        <v>2491</v>
      </c>
      <c r="E300" s="32"/>
      <c r="H300" s="30" t="s">
        <v>168</v>
      </c>
      <c r="I300" s="30" t="s">
        <v>168</v>
      </c>
      <c r="J300" s="30">
        <v>136</v>
      </c>
      <c r="K300" s="30">
        <v>0</v>
      </c>
      <c r="L300" s="30">
        <v>136</v>
      </c>
      <c r="M300" s="44">
        <f t="shared" si="6"/>
        <v>0</v>
      </c>
      <c r="N300" s="45" t="str">
        <f t="shared" si="7"/>
        <v>No</v>
      </c>
      <c r="O300" s="45" t="str">
        <f t="shared" si="8"/>
        <v>No</v>
      </c>
      <c r="P300" s="44"/>
    </row>
    <row r="301" spans="1:16">
      <c r="A301" s="30" t="s">
        <v>2800</v>
      </c>
      <c r="B301" s="29" t="s">
        <v>1262</v>
      </c>
      <c r="C301" s="30" t="s">
        <v>2483</v>
      </c>
      <c r="D301" s="30" t="s">
        <v>2491</v>
      </c>
      <c r="E301" s="32"/>
      <c r="H301" s="30" t="s">
        <v>168</v>
      </c>
      <c r="I301" s="30" t="s">
        <v>168</v>
      </c>
      <c r="J301" s="30">
        <v>47</v>
      </c>
      <c r="L301" s="30">
        <v>47</v>
      </c>
      <c r="M301" s="44">
        <f t="shared" si="6"/>
        <v>0</v>
      </c>
      <c r="N301" s="45" t="str">
        <f t="shared" si="7"/>
        <v>No</v>
      </c>
      <c r="O301" s="45" t="str">
        <f t="shared" si="8"/>
        <v>No</v>
      </c>
      <c r="P301" s="44"/>
    </row>
    <row r="302" spans="1:16">
      <c r="A302" s="30" t="s">
        <v>2801</v>
      </c>
      <c r="B302" s="29" t="s">
        <v>1266</v>
      </c>
      <c r="C302" s="30" t="s">
        <v>2521</v>
      </c>
      <c r="D302" s="30" t="s">
        <v>2491</v>
      </c>
      <c r="E302" s="32"/>
      <c r="H302" s="30" t="s">
        <v>168</v>
      </c>
      <c r="I302" s="30" t="s">
        <v>168</v>
      </c>
      <c r="J302" s="30">
        <v>71</v>
      </c>
      <c r="L302" s="30">
        <v>71</v>
      </c>
      <c r="M302" s="44">
        <f t="shared" si="6"/>
        <v>0</v>
      </c>
      <c r="N302" s="45" t="str">
        <f t="shared" si="7"/>
        <v>No</v>
      </c>
      <c r="O302" s="45" t="str">
        <f t="shared" si="8"/>
        <v>No</v>
      </c>
      <c r="P302" s="44"/>
    </row>
    <row r="303" spans="1:16">
      <c r="A303" s="30" t="s">
        <v>2802</v>
      </c>
      <c r="B303" s="29" t="s">
        <v>1271</v>
      </c>
      <c r="C303" s="30" t="s">
        <v>2521</v>
      </c>
      <c r="D303" s="30" t="s">
        <v>2491</v>
      </c>
      <c r="E303" s="32">
        <v>49</v>
      </c>
      <c r="F303" s="30" t="s">
        <v>2521</v>
      </c>
      <c r="H303" s="30" t="s">
        <v>2486</v>
      </c>
      <c r="I303" s="30" t="s">
        <v>2486</v>
      </c>
      <c r="J303" s="30">
        <v>24</v>
      </c>
      <c r="L303" s="30">
        <v>24</v>
      </c>
      <c r="M303" s="44" t="str">
        <f t="shared" si="6"/>
        <v>Guanajuato</v>
      </c>
      <c r="N303" s="45" t="str">
        <f t="shared" si="7"/>
        <v>No</v>
      </c>
      <c r="O303" s="45" t="str">
        <f t="shared" si="8"/>
        <v>No</v>
      </c>
      <c r="P303" s="44"/>
    </row>
    <row r="304" spans="1:16">
      <c r="A304" s="30" t="s">
        <v>2803</v>
      </c>
      <c r="B304" s="29" t="s">
        <v>1276</v>
      </c>
      <c r="C304" s="30" t="s">
        <v>2521</v>
      </c>
      <c r="D304" s="30" t="s">
        <v>2491</v>
      </c>
      <c r="E304" s="32"/>
      <c r="H304" s="30" t="s">
        <v>168</v>
      </c>
      <c r="I304" s="30" t="s">
        <v>168</v>
      </c>
      <c r="J304" s="30">
        <v>19</v>
      </c>
      <c r="K304" s="30">
        <v>19</v>
      </c>
      <c r="L304" s="30">
        <v>0</v>
      </c>
      <c r="M304" s="44">
        <f t="shared" si="6"/>
        <v>0</v>
      </c>
      <c r="N304" s="45" t="str">
        <f t="shared" si="7"/>
        <v>No</v>
      </c>
      <c r="O304" s="45" t="str">
        <f t="shared" si="8"/>
        <v>No</v>
      </c>
      <c r="P304" s="44"/>
    </row>
    <row r="305" spans="1:16">
      <c r="A305" s="30" t="s">
        <v>2804</v>
      </c>
      <c r="B305" s="29" t="s">
        <v>1280</v>
      </c>
      <c r="C305" s="30" t="s">
        <v>2521</v>
      </c>
      <c r="D305" s="30" t="s">
        <v>2491</v>
      </c>
      <c r="E305" s="32"/>
      <c r="H305" s="30" t="s">
        <v>168</v>
      </c>
      <c r="I305" s="30" t="s">
        <v>168</v>
      </c>
      <c r="J305" s="30">
        <v>35</v>
      </c>
      <c r="K305" s="30">
        <v>35</v>
      </c>
      <c r="L305" s="30">
        <v>0</v>
      </c>
      <c r="M305" s="44">
        <f t="shared" si="6"/>
        <v>0</v>
      </c>
      <c r="N305" s="45" t="str">
        <f t="shared" si="7"/>
        <v>No</v>
      </c>
      <c r="O305" s="45" t="str">
        <f t="shared" si="8"/>
        <v>No</v>
      </c>
      <c r="P305" s="44"/>
    </row>
    <row r="306" spans="1:16">
      <c r="A306" s="30" t="s">
        <v>2805</v>
      </c>
      <c r="B306" s="29" t="s">
        <v>1283</v>
      </c>
      <c r="C306" s="30" t="s">
        <v>2521</v>
      </c>
      <c r="D306" s="30" t="s">
        <v>2491</v>
      </c>
      <c r="E306" s="32"/>
      <c r="H306" s="30" t="s">
        <v>168</v>
      </c>
      <c r="I306" s="30" t="s">
        <v>168</v>
      </c>
      <c r="J306" s="30">
        <v>13</v>
      </c>
      <c r="L306" s="30">
        <v>13</v>
      </c>
      <c r="M306" s="44">
        <f t="shared" si="6"/>
        <v>0</v>
      </c>
      <c r="N306" s="45" t="str">
        <f t="shared" si="7"/>
        <v>No</v>
      </c>
      <c r="O306" s="45" t="str">
        <f t="shared" si="8"/>
        <v>No</v>
      </c>
      <c r="P306" s="44"/>
    </row>
    <row r="307" spans="1:16">
      <c r="A307" s="30" t="s">
        <v>2806</v>
      </c>
      <c r="B307" s="29" t="s">
        <v>1289</v>
      </c>
      <c r="C307" s="30" t="s">
        <v>2521</v>
      </c>
      <c r="D307" s="30" t="s">
        <v>2491</v>
      </c>
      <c r="E307" s="32"/>
      <c r="H307" s="30" t="s">
        <v>168</v>
      </c>
      <c r="I307" s="30" t="s">
        <v>168</v>
      </c>
      <c r="J307" s="30">
        <v>55</v>
      </c>
      <c r="K307" s="30">
        <v>55</v>
      </c>
      <c r="L307" s="30">
        <v>0</v>
      </c>
      <c r="M307" s="44">
        <f t="shared" si="6"/>
        <v>0</v>
      </c>
      <c r="N307" s="45" t="str">
        <f t="shared" si="7"/>
        <v>No</v>
      </c>
      <c r="O307" s="45" t="str">
        <f t="shared" si="8"/>
        <v>No</v>
      </c>
      <c r="P307" s="44"/>
    </row>
    <row r="308" spans="1:16">
      <c r="A308" s="30" t="s">
        <v>2807</v>
      </c>
      <c r="B308" s="29" t="s">
        <v>1291</v>
      </c>
      <c r="C308" s="30" t="s">
        <v>2521</v>
      </c>
      <c r="D308" s="30" t="s">
        <v>2491</v>
      </c>
      <c r="E308" s="32">
        <v>49</v>
      </c>
      <c r="F308" s="30" t="s">
        <v>2521</v>
      </c>
      <c r="H308" s="30" t="s">
        <v>2486</v>
      </c>
      <c r="I308" s="30" t="s">
        <v>2486</v>
      </c>
      <c r="J308" s="30">
        <v>17</v>
      </c>
      <c r="K308" s="30">
        <v>17</v>
      </c>
      <c r="L308" s="30">
        <v>0</v>
      </c>
      <c r="M308" s="44" t="str">
        <f t="shared" si="6"/>
        <v>Guanajuato</v>
      </c>
      <c r="N308" s="45" t="str">
        <f t="shared" si="7"/>
        <v>No</v>
      </c>
      <c r="O308" s="45" t="str">
        <f t="shared" si="8"/>
        <v>No</v>
      </c>
      <c r="P308" s="44"/>
    </row>
    <row r="309" spans="1:16">
      <c r="A309" s="30" t="s">
        <v>2808</v>
      </c>
      <c r="B309" s="29" t="s">
        <v>1295</v>
      </c>
      <c r="C309" s="30" t="s">
        <v>2521</v>
      </c>
      <c r="D309" s="30" t="s">
        <v>2491</v>
      </c>
      <c r="E309" s="32">
        <v>49</v>
      </c>
      <c r="F309" s="30" t="s">
        <v>2521</v>
      </c>
      <c r="H309" s="30" t="s">
        <v>2486</v>
      </c>
      <c r="I309" s="30" t="s">
        <v>2486</v>
      </c>
      <c r="J309" s="30">
        <v>19</v>
      </c>
      <c r="L309" s="30">
        <v>19</v>
      </c>
      <c r="M309" s="44" t="str">
        <f t="shared" si="6"/>
        <v>Guanajuato</v>
      </c>
      <c r="N309" s="45" t="str">
        <f t="shared" si="7"/>
        <v>No</v>
      </c>
      <c r="O309" s="45" t="str">
        <f t="shared" si="8"/>
        <v>No</v>
      </c>
      <c r="P309" s="44"/>
    </row>
    <row r="310" spans="1:16">
      <c r="A310" s="30" t="s">
        <v>2809</v>
      </c>
      <c r="B310" s="29" t="s">
        <v>1299</v>
      </c>
      <c r="C310" s="30" t="s">
        <v>2521</v>
      </c>
      <c r="D310" s="30" t="s">
        <v>2491</v>
      </c>
      <c r="E310" s="32"/>
      <c r="H310" s="30" t="s">
        <v>168</v>
      </c>
      <c r="I310" s="30" t="s">
        <v>168</v>
      </c>
      <c r="J310" s="30">
        <v>19</v>
      </c>
      <c r="L310" s="30">
        <v>19</v>
      </c>
      <c r="M310" s="44">
        <f t="shared" si="6"/>
        <v>0</v>
      </c>
      <c r="N310" s="45" t="str">
        <f t="shared" si="7"/>
        <v>No</v>
      </c>
      <c r="O310" s="45" t="str">
        <f t="shared" si="8"/>
        <v>No</v>
      </c>
      <c r="P310" s="44"/>
    </row>
    <row r="311" spans="1:16">
      <c r="A311" s="46" t="s">
        <v>2810</v>
      </c>
      <c r="B311" s="29" t="s">
        <v>1303</v>
      </c>
      <c r="C311" s="30" t="s">
        <v>2521</v>
      </c>
      <c r="D311" s="30" t="s">
        <v>2491</v>
      </c>
      <c r="E311" s="32"/>
      <c r="H311" s="30" t="s">
        <v>168</v>
      </c>
      <c r="I311" s="30" t="s">
        <v>168</v>
      </c>
      <c r="J311" s="30">
        <v>19</v>
      </c>
      <c r="K311" s="30">
        <v>19</v>
      </c>
      <c r="L311" s="30">
        <v>0</v>
      </c>
      <c r="M311" s="44">
        <f t="shared" si="6"/>
        <v>0</v>
      </c>
      <c r="N311" s="45" t="str">
        <f t="shared" si="7"/>
        <v>No</v>
      </c>
      <c r="O311" s="45" t="str">
        <f t="shared" si="8"/>
        <v>No</v>
      </c>
      <c r="P311" s="44"/>
    </row>
    <row r="312" spans="1:16">
      <c r="A312" s="46" t="s">
        <v>2811</v>
      </c>
      <c r="B312" s="29" t="s">
        <v>1307</v>
      </c>
      <c r="C312" s="30" t="s">
        <v>2490</v>
      </c>
      <c r="D312" s="30" t="s">
        <v>2491</v>
      </c>
      <c r="E312" s="32">
        <v>215</v>
      </c>
      <c r="F312" s="30" t="s">
        <v>2492</v>
      </c>
      <c r="H312" s="30" t="s">
        <v>2486</v>
      </c>
      <c r="I312" s="30" t="s">
        <v>2486</v>
      </c>
      <c r="J312" s="30">
        <v>10</v>
      </c>
      <c r="L312" s="30">
        <v>10</v>
      </c>
      <c r="M312" s="44" t="str">
        <f t="shared" si="6"/>
        <v>Silao</v>
      </c>
      <c r="N312" s="45" t="str">
        <f t="shared" si="7"/>
        <v>No</v>
      </c>
      <c r="O312" s="45" t="str">
        <f t="shared" si="8"/>
        <v>No</v>
      </c>
      <c r="P312" s="44"/>
    </row>
    <row r="313" spans="1:16">
      <c r="A313" s="30" t="s">
        <v>2812</v>
      </c>
      <c r="B313" s="29" t="s">
        <v>1309</v>
      </c>
      <c r="C313" s="30" t="s">
        <v>2521</v>
      </c>
      <c r="D313" s="30" t="s">
        <v>2491</v>
      </c>
      <c r="E313" s="32">
        <v>49</v>
      </c>
      <c r="F313" s="30" t="s">
        <v>2521</v>
      </c>
      <c r="H313" s="30" t="s">
        <v>2486</v>
      </c>
      <c r="I313" s="30" t="s">
        <v>2486</v>
      </c>
      <c r="J313" s="30">
        <v>30</v>
      </c>
      <c r="K313" s="30">
        <v>30</v>
      </c>
      <c r="L313" s="30">
        <v>0</v>
      </c>
      <c r="M313" s="44" t="str">
        <f t="shared" si="6"/>
        <v>Guanajuato</v>
      </c>
      <c r="N313" s="45" t="str">
        <f t="shared" si="7"/>
        <v>No</v>
      </c>
      <c r="O313" s="45" t="str">
        <f t="shared" si="8"/>
        <v>No</v>
      </c>
      <c r="P313" s="44"/>
    </row>
    <row r="314" spans="1:16">
      <c r="A314" s="30" t="s">
        <v>2813</v>
      </c>
      <c r="B314" s="29" t="s">
        <v>1311</v>
      </c>
      <c r="C314" s="30" t="s">
        <v>2521</v>
      </c>
      <c r="D314" s="30" t="s">
        <v>2491</v>
      </c>
      <c r="E314" s="32"/>
      <c r="H314" s="30" t="s">
        <v>168</v>
      </c>
      <c r="I314" s="30" t="s">
        <v>168</v>
      </c>
      <c r="J314" s="30">
        <v>3</v>
      </c>
      <c r="L314" s="30">
        <v>3</v>
      </c>
      <c r="M314" s="44">
        <f t="shared" si="6"/>
        <v>0</v>
      </c>
      <c r="N314" s="45" t="str">
        <f t="shared" si="7"/>
        <v>No</v>
      </c>
      <c r="O314" s="45" t="str">
        <f t="shared" si="8"/>
        <v>No</v>
      </c>
      <c r="P314" s="44"/>
    </row>
    <row r="315" spans="1:16">
      <c r="A315" s="30" t="s">
        <v>2814</v>
      </c>
      <c r="B315" s="29" t="s">
        <v>1314</v>
      </c>
      <c r="C315" s="30" t="s">
        <v>2521</v>
      </c>
      <c r="D315" s="30" t="s">
        <v>2491</v>
      </c>
      <c r="E315" s="32"/>
      <c r="H315" s="30" t="s">
        <v>168</v>
      </c>
      <c r="I315" s="30" t="s">
        <v>168</v>
      </c>
      <c r="J315" s="30">
        <v>31</v>
      </c>
      <c r="K315" s="30">
        <v>31</v>
      </c>
      <c r="L315" s="30">
        <v>0</v>
      </c>
      <c r="M315" s="44">
        <f t="shared" si="6"/>
        <v>0</v>
      </c>
      <c r="N315" s="45" t="str">
        <f t="shared" si="7"/>
        <v>No</v>
      </c>
      <c r="O315" s="45" t="str">
        <f t="shared" si="8"/>
        <v>No</v>
      </c>
      <c r="P315" s="44"/>
    </row>
    <row r="316" spans="1:16">
      <c r="A316" s="30" t="s">
        <v>2815</v>
      </c>
      <c r="B316" s="29" t="s">
        <v>1316</v>
      </c>
      <c r="C316" s="30" t="s">
        <v>2521</v>
      </c>
      <c r="D316" s="30" t="s">
        <v>2491</v>
      </c>
      <c r="E316" s="32"/>
      <c r="H316" s="30" t="s">
        <v>168</v>
      </c>
      <c r="I316" s="30" t="s">
        <v>168</v>
      </c>
      <c r="J316" s="30">
        <v>9</v>
      </c>
      <c r="K316" s="30">
        <v>9</v>
      </c>
      <c r="L316" s="30">
        <v>0</v>
      </c>
      <c r="M316" s="44">
        <f t="shared" si="6"/>
        <v>0</v>
      </c>
      <c r="N316" s="45" t="str">
        <f t="shared" si="7"/>
        <v>No</v>
      </c>
      <c r="O316" s="45" t="str">
        <f t="shared" si="8"/>
        <v>No</v>
      </c>
      <c r="P316" s="44"/>
    </row>
    <row r="317" spans="1:16">
      <c r="A317" s="30" t="s">
        <v>2816</v>
      </c>
      <c r="B317" s="29" t="s">
        <v>1320</v>
      </c>
      <c r="C317" s="30" t="s">
        <v>2521</v>
      </c>
      <c r="D317" s="30" t="s">
        <v>2491</v>
      </c>
      <c r="E317" s="32"/>
      <c r="H317" s="30" t="s">
        <v>168</v>
      </c>
      <c r="I317" s="30" t="s">
        <v>168</v>
      </c>
      <c r="J317" s="30">
        <v>18</v>
      </c>
      <c r="L317" s="30">
        <v>18</v>
      </c>
      <c r="M317" s="44">
        <f t="shared" si="6"/>
        <v>0</v>
      </c>
      <c r="N317" s="45" t="str">
        <f t="shared" si="7"/>
        <v>No</v>
      </c>
      <c r="O317" s="45" t="str">
        <f t="shared" si="8"/>
        <v>No</v>
      </c>
      <c r="P317" s="44"/>
    </row>
    <row r="318" spans="1:16">
      <c r="A318" s="30" t="s">
        <v>2817</v>
      </c>
      <c r="B318" s="29" t="s">
        <v>1323</v>
      </c>
      <c r="C318" s="30" t="s">
        <v>2521</v>
      </c>
      <c r="D318" s="30" t="s">
        <v>2491</v>
      </c>
      <c r="E318" s="32"/>
      <c r="H318" s="30" t="s">
        <v>168</v>
      </c>
      <c r="I318" s="30" t="s">
        <v>168</v>
      </c>
      <c r="J318" s="30">
        <v>25</v>
      </c>
      <c r="L318" s="30">
        <v>25</v>
      </c>
      <c r="M318" s="44">
        <f t="shared" si="6"/>
        <v>0</v>
      </c>
      <c r="N318" s="45" t="str">
        <f t="shared" si="7"/>
        <v>No</v>
      </c>
      <c r="O318" s="45" t="str">
        <f t="shared" si="8"/>
        <v>No</v>
      </c>
      <c r="P318" s="44"/>
    </row>
    <row r="319" spans="1:16">
      <c r="A319" s="46" t="s">
        <v>2818</v>
      </c>
      <c r="B319" s="29" t="s">
        <v>1326</v>
      </c>
      <c r="C319" s="30" t="s">
        <v>2521</v>
      </c>
      <c r="D319" s="30" t="s">
        <v>2491</v>
      </c>
      <c r="E319" s="32"/>
      <c r="H319" s="30" t="s">
        <v>168</v>
      </c>
      <c r="I319" s="30" t="s">
        <v>168</v>
      </c>
      <c r="J319" s="30">
        <v>10</v>
      </c>
      <c r="L319" s="30">
        <v>10</v>
      </c>
      <c r="M319" s="44">
        <f t="shared" si="6"/>
        <v>0</v>
      </c>
      <c r="N319" s="45" t="str">
        <f t="shared" si="7"/>
        <v>No</v>
      </c>
      <c r="O319" s="45" t="str">
        <f t="shared" si="8"/>
        <v>No</v>
      </c>
      <c r="P319" s="44"/>
    </row>
    <row r="320" spans="1:16">
      <c r="A320" s="30" t="s">
        <v>2819</v>
      </c>
      <c r="B320" s="29" t="s">
        <v>1331</v>
      </c>
      <c r="C320" s="30" t="s">
        <v>2521</v>
      </c>
      <c r="D320" s="30" t="s">
        <v>2491</v>
      </c>
      <c r="E320" s="32"/>
      <c r="H320" s="30" t="s">
        <v>168</v>
      </c>
      <c r="I320" s="30" t="s">
        <v>168</v>
      </c>
      <c r="J320" s="30">
        <v>18</v>
      </c>
      <c r="L320" s="30">
        <v>18</v>
      </c>
      <c r="M320" s="44">
        <f t="shared" si="6"/>
        <v>0</v>
      </c>
      <c r="N320" s="45" t="str">
        <f t="shared" si="7"/>
        <v>No</v>
      </c>
      <c r="O320" s="45" t="str">
        <f t="shared" si="8"/>
        <v>No</v>
      </c>
      <c r="P320" s="44"/>
    </row>
    <row r="321" spans="1:16">
      <c r="A321" s="30" t="s">
        <v>2820</v>
      </c>
      <c r="B321" s="29" t="s">
        <v>1333</v>
      </c>
      <c r="C321" s="30" t="s">
        <v>2521</v>
      </c>
      <c r="D321" s="30" t="s">
        <v>2491</v>
      </c>
      <c r="E321" s="32"/>
      <c r="H321" s="30" t="s">
        <v>168</v>
      </c>
      <c r="I321" s="30" t="s">
        <v>168</v>
      </c>
      <c r="J321" s="30">
        <v>13</v>
      </c>
      <c r="L321" s="30">
        <v>13</v>
      </c>
      <c r="M321" s="44">
        <f t="shared" si="6"/>
        <v>0</v>
      </c>
      <c r="N321" s="45" t="str">
        <f t="shared" si="7"/>
        <v>No</v>
      </c>
      <c r="O321" s="45" t="str">
        <f t="shared" si="8"/>
        <v>No</v>
      </c>
      <c r="P321" s="44"/>
    </row>
    <row r="322" spans="1:16">
      <c r="A322" s="30" t="s">
        <v>2821</v>
      </c>
      <c r="B322" s="29" t="s">
        <v>1335</v>
      </c>
      <c r="C322" s="30" t="s">
        <v>2521</v>
      </c>
      <c r="D322" s="30" t="s">
        <v>2491</v>
      </c>
      <c r="E322" s="32"/>
      <c r="H322" s="30" t="s">
        <v>168</v>
      </c>
      <c r="I322" s="30" t="s">
        <v>168</v>
      </c>
      <c r="J322" s="30">
        <v>6</v>
      </c>
      <c r="L322" s="30">
        <v>6</v>
      </c>
      <c r="M322" s="44">
        <f t="shared" si="6"/>
        <v>0</v>
      </c>
      <c r="N322" s="45" t="str">
        <f t="shared" si="7"/>
        <v>No</v>
      </c>
      <c r="O322" s="45" t="str">
        <f t="shared" si="8"/>
        <v>No</v>
      </c>
      <c r="P322" s="44"/>
    </row>
    <row r="323" spans="1:16">
      <c r="A323" s="30" t="s">
        <v>2822</v>
      </c>
      <c r="B323" s="29" t="s">
        <v>1338</v>
      </c>
      <c r="C323" s="30" t="s">
        <v>2521</v>
      </c>
      <c r="D323" s="30" t="s">
        <v>2491</v>
      </c>
      <c r="E323" s="32"/>
      <c r="H323" s="30" t="s">
        <v>168</v>
      </c>
      <c r="I323" s="30" t="s">
        <v>168</v>
      </c>
      <c r="J323" s="30">
        <v>4</v>
      </c>
      <c r="L323" s="30">
        <v>4</v>
      </c>
      <c r="M323" s="44">
        <f t="shared" si="6"/>
        <v>0</v>
      </c>
      <c r="N323" s="45" t="str">
        <f t="shared" si="7"/>
        <v>No</v>
      </c>
      <c r="O323" s="45" t="str">
        <f t="shared" si="8"/>
        <v>No</v>
      </c>
      <c r="P323" s="44"/>
    </row>
    <row r="324" spans="1:16">
      <c r="A324" s="30" t="s">
        <v>2823</v>
      </c>
      <c r="B324" s="29" t="s">
        <v>1341</v>
      </c>
      <c r="C324" s="30" t="s">
        <v>2521</v>
      </c>
      <c r="D324" s="30" t="s">
        <v>2491</v>
      </c>
      <c r="E324" s="32"/>
      <c r="H324" s="30" t="s">
        <v>168</v>
      </c>
      <c r="I324" s="30" t="s">
        <v>168</v>
      </c>
      <c r="J324" s="30">
        <v>13</v>
      </c>
      <c r="L324" s="30">
        <v>13</v>
      </c>
      <c r="M324" s="44">
        <f t="shared" si="6"/>
        <v>0</v>
      </c>
      <c r="N324" s="45" t="str">
        <f t="shared" si="7"/>
        <v>No</v>
      </c>
      <c r="O324" s="45" t="str">
        <f t="shared" si="8"/>
        <v>No</v>
      </c>
      <c r="P324" s="44"/>
    </row>
    <row r="325" spans="1:16">
      <c r="A325" s="30" t="s">
        <v>2824</v>
      </c>
      <c r="B325" s="29" t="s">
        <v>1343</v>
      </c>
      <c r="C325" s="30" t="s">
        <v>2521</v>
      </c>
      <c r="D325" s="30" t="s">
        <v>2491</v>
      </c>
      <c r="E325" s="32">
        <v>0</v>
      </c>
      <c r="F325" s="30" t="s">
        <v>2825</v>
      </c>
      <c r="J325" s="30">
        <v>22</v>
      </c>
      <c r="K325" s="30">
        <v>1</v>
      </c>
      <c r="L325" s="30">
        <v>21</v>
      </c>
      <c r="M325" s="44" t="str">
        <f t="shared" si="6"/>
        <v>Zona centro</v>
      </c>
      <c r="N325" s="45" t="str">
        <f t="shared" si="7"/>
        <v>No</v>
      </c>
      <c r="O325" s="45" t="str">
        <f t="shared" si="8"/>
        <v>No</v>
      </c>
      <c r="P325" s="44"/>
    </row>
    <row r="326" spans="1:16">
      <c r="A326" s="30" t="s">
        <v>2826</v>
      </c>
      <c r="B326" s="29" t="s">
        <v>1357</v>
      </c>
      <c r="C326" s="30" t="s">
        <v>2521</v>
      </c>
      <c r="D326" s="30" t="s">
        <v>2491</v>
      </c>
      <c r="E326" s="32">
        <v>0</v>
      </c>
      <c r="F326" s="30" t="s">
        <v>2825</v>
      </c>
      <c r="J326" s="30">
        <v>63</v>
      </c>
      <c r="K326" s="30">
        <v>13</v>
      </c>
      <c r="L326" s="30">
        <v>50</v>
      </c>
      <c r="M326" s="44" t="str">
        <f t="shared" si="6"/>
        <v>Zona centro</v>
      </c>
      <c r="N326" s="45" t="str">
        <f t="shared" si="7"/>
        <v>No</v>
      </c>
      <c r="O326" s="45" t="str">
        <f t="shared" si="8"/>
        <v>No</v>
      </c>
      <c r="P326" s="44"/>
    </row>
    <row r="327" spans="1:16">
      <c r="A327" s="30" t="s">
        <v>2827</v>
      </c>
      <c r="B327" s="29" t="s">
        <v>1367</v>
      </c>
      <c r="C327" s="30" t="s">
        <v>2521</v>
      </c>
      <c r="D327" s="30" t="s">
        <v>2491</v>
      </c>
      <c r="E327" s="32">
        <v>0</v>
      </c>
      <c r="F327" s="30" t="s">
        <v>2825</v>
      </c>
      <c r="J327" s="30">
        <v>5969</v>
      </c>
      <c r="K327" s="30">
        <v>14</v>
      </c>
      <c r="L327" s="30">
        <v>5955</v>
      </c>
      <c r="M327" s="44" t="str">
        <f t="shared" si="6"/>
        <v>Zona centro</v>
      </c>
      <c r="N327" s="45" t="str">
        <f t="shared" si="7"/>
        <v>No</v>
      </c>
      <c r="O327" s="45" t="str">
        <f t="shared" si="8"/>
        <v>No</v>
      </c>
      <c r="P327" s="44"/>
    </row>
    <row r="328" spans="1:16">
      <c r="A328" s="30" t="s">
        <v>2828</v>
      </c>
      <c r="B328" s="29" t="s">
        <v>1378</v>
      </c>
      <c r="C328" s="30" t="s">
        <v>2483</v>
      </c>
      <c r="D328" s="30" t="s">
        <v>2491</v>
      </c>
      <c r="E328" s="32"/>
      <c r="F328" s="30" t="s">
        <v>2825</v>
      </c>
      <c r="H328" s="30" t="s">
        <v>168</v>
      </c>
      <c r="I328" s="30" t="s">
        <v>168</v>
      </c>
      <c r="J328" s="30">
        <v>118</v>
      </c>
      <c r="L328" s="30">
        <v>118</v>
      </c>
      <c r="M328" s="44" t="str">
        <f t="shared" si="6"/>
        <v>Zona centro</v>
      </c>
      <c r="N328" s="45" t="str">
        <f t="shared" si="7"/>
        <v>No</v>
      </c>
      <c r="O328" s="45" t="str">
        <f t="shared" si="8"/>
        <v>No</v>
      </c>
      <c r="P328" s="44"/>
    </row>
    <row r="329" spans="1:16">
      <c r="A329" s="30" t="s">
        <v>2829</v>
      </c>
      <c r="B329" s="29" t="s">
        <v>1387</v>
      </c>
      <c r="C329" s="30" t="s">
        <v>2830</v>
      </c>
      <c r="D329" s="30" t="s">
        <v>2552</v>
      </c>
      <c r="E329" s="32">
        <v>204</v>
      </c>
      <c r="F329" s="30" t="s">
        <v>2830</v>
      </c>
      <c r="H329" s="30" t="s">
        <v>2486</v>
      </c>
      <c r="I329" s="30" t="s">
        <v>2486</v>
      </c>
      <c r="J329" s="30">
        <v>49465</v>
      </c>
      <c r="L329" s="30">
        <v>49465</v>
      </c>
      <c r="M329" s="44" t="str">
        <f t="shared" si="6"/>
        <v>San Miguel de Allende</v>
      </c>
      <c r="N329" s="45" t="str">
        <f t="shared" si="7"/>
        <v>No</v>
      </c>
      <c r="O329" s="45" t="str">
        <f t="shared" si="8"/>
        <v>No</v>
      </c>
      <c r="P329" s="44"/>
    </row>
    <row r="330" spans="1:16">
      <c r="A330" s="30" t="s">
        <v>2831</v>
      </c>
      <c r="B330" s="29" t="s">
        <v>1403</v>
      </c>
      <c r="C330" s="30" t="s">
        <v>2483</v>
      </c>
      <c r="D330" s="30" t="s">
        <v>2491</v>
      </c>
      <c r="E330" s="32">
        <v>93</v>
      </c>
      <c r="F330" s="30" t="s">
        <v>2832</v>
      </c>
      <c r="H330" s="30" t="s">
        <v>2486</v>
      </c>
      <c r="I330" s="30" t="s">
        <v>2486</v>
      </c>
      <c r="J330" s="30">
        <v>6</v>
      </c>
      <c r="K330" s="30">
        <v>1</v>
      </c>
      <c r="L330" s="30">
        <v>5</v>
      </c>
      <c r="M330" s="44" t="str">
        <f t="shared" si="6"/>
        <v>Leon 1</v>
      </c>
      <c r="N330" s="45" t="str">
        <f t="shared" si="7"/>
        <v>No</v>
      </c>
      <c r="O330" s="45" t="str">
        <f t="shared" si="8"/>
        <v>No</v>
      </c>
      <c r="P330" s="44"/>
    </row>
    <row r="331" spans="1:16">
      <c r="A331" s="30" t="s">
        <v>2833</v>
      </c>
      <c r="B331" s="29" t="s">
        <v>1412</v>
      </c>
      <c r="C331" s="30" t="s">
        <v>2521</v>
      </c>
      <c r="D331" s="30" t="s">
        <v>2491</v>
      </c>
      <c r="E331" s="32">
        <v>49</v>
      </c>
      <c r="F331" s="30" t="s">
        <v>2521</v>
      </c>
      <c r="H331" s="30" t="s">
        <v>2486</v>
      </c>
      <c r="I331" s="30" t="s">
        <v>2486</v>
      </c>
      <c r="J331" s="30">
        <v>28</v>
      </c>
      <c r="K331" s="30">
        <v>27</v>
      </c>
      <c r="L331" s="30">
        <v>1</v>
      </c>
      <c r="M331" s="44" t="str">
        <f t="shared" si="6"/>
        <v>Guanajuato</v>
      </c>
      <c r="N331" s="45" t="str">
        <f t="shared" si="7"/>
        <v>No</v>
      </c>
      <c r="O331" s="45" t="str">
        <f t="shared" si="8"/>
        <v>No</v>
      </c>
      <c r="P331" s="44"/>
    </row>
    <row r="332" spans="1:16">
      <c r="A332" s="30" t="s">
        <v>2834</v>
      </c>
      <c r="B332" s="29" t="s">
        <v>1412</v>
      </c>
      <c r="C332" s="30" t="s">
        <v>2830</v>
      </c>
      <c r="D332" s="30" t="s">
        <v>2491</v>
      </c>
      <c r="E332" s="32">
        <v>204</v>
      </c>
      <c r="F332" s="30" t="s">
        <v>2830</v>
      </c>
      <c r="H332" s="30" t="s">
        <v>2486</v>
      </c>
      <c r="I332" s="30" t="s">
        <v>2486</v>
      </c>
      <c r="J332" s="30">
        <v>300</v>
      </c>
      <c r="L332" s="30">
        <v>300</v>
      </c>
      <c r="M332" s="44" t="str">
        <f t="shared" si="6"/>
        <v>San Miguel de Allende</v>
      </c>
      <c r="N332" s="45" t="str">
        <f t="shared" si="7"/>
        <v>No</v>
      </c>
      <c r="O332" s="45" t="str">
        <f t="shared" si="8"/>
        <v>No</v>
      </c>
      <c r="P332" s="44"/>
    </row>
    <row r="333" spans="1:16">
      <c r="A333" s="30" t="s">
        <v>2835</v>
      </c>
      <c r="B333" s="29" t="s">
        <v>1420</v>
      </c>
      <c r="C333" s="30" t="s">
        <v>2836</v>
      </c>
      <c r="D333" s="30" t="s">
        <v>2491</v>
      </c>
      <c r="E333" s="32"/>
      <c r="F333" s="30" t="s">
        <v>2825</v>
      </c>
      <c r="H333" s="30" t="s">
        <v>168</v>
      </c>
      <c r="I333" s="30" t="s">
        <v>168</v>
      </c>
      <c r="J333" s="30">
        <v>300</v>
      </c>
      <c r="L333" s="30">
        <v>300</v>
      </c>
      <c r="M333" s="44" t="str">
        <f t="shared" si="6"/>
        <v>Zona centro</v>
      </c>
      <c r="N333" s="45" t="str">
        <f t="shared" si="7"/>
        <v>No</v>
      </c>
      <c r="O333" s="45" t="str">
        <f t="shared" si="8"/>
        <v>No</v>
      </c>
      <c r="P333" s="44"/>
    </row>
    <row r="334" spans="1:16">
      <c r="A334" s="30" t="s">
        <v>2837</v>
      </c>
      <c r="B334" s="29" t="s">
        <v>1426</v>
      </c>
      <c r="C334" s="30" t="s">
        <v>2838</v>
      </c>
      <c r="D334" s="30" t="s">
        <v>2491</v>
      </c>
      <c r="E334" s="32">
        <v>28</v>
      </c>
      <c r="F334" s="30" t="s">
        <v>2838</v>
      </c>
      <c r="H334" s="30" t="s">
        <v>2486</v>
      </c>
      <c r="I334" s="30" t="s">
        <v>2486</v>
      </c>
      <c r="J334" s="30">
        <v>20</v>
      </c>
      <c r="K334" s="30">
        <v>20</v>
      </c>
      <c r="L334" s="30">
        <v>0</v>
      </c>
      <c r="M334" s="44" t="str">
        <f t="shared" si="6"/>
        <v>Comonfort</v>
      </c>
      <c r="N334" s="45" t="str">
        <f t="shared" si="7"/>
        <v>No</v>
      </c>
      <c r="O334" s="45" t="str">
        <f t="shared" si="8"/>
        <v>No</v>
      </c>
      <c r="P334" s="44"/>
    </row>
    <row r="335" spans="1:16">
      <c r="A335" s="30" t="s">
        <v>2839</v>
      </c>
      <c r="B335" s="29" t="s">
        <v>1443</v>
      </c>
      <c r="C335" s="30" t="s">
        <v>2840</v>
      </c>
      <c r="D335" s="30" t="s">
        <v>2484</v>
      </c>
      <c r="E335" s="32"/>
      <c r="F335" s="30" t="s">
        <v>2825</v>
      </c>
      <c r="G335" s="30" t="s">
        <v>2841</v>
      </c>
      <c r="H335" s="30" t="s">
        <v>168</v>
      </c>
      <c r="I335" s="30" t="s">
        <v>168</v>
      </c>
      <c r="J335" s="30">
        <v>8</v>
      </c>
      <c r="K335" s="30">
        <v>3</v>
      </c>
      <c r="L335" s="30">
        <v>5</v>
      </c>
      <c r="M335" s="44" t="str">
        <f t="shared" si="6"/>
        <v>Zona centro</v>
      </c>
      <c r="N335" s="45" t="str">
        <f t="shared" si="7"/>
        <v>No</v>
      </c>
      <c r="O335" s="45" t="str">
        <f t="shared" si="8"/>
        <v>No</v>
      </c>
      <c r="P335" s="44"/>
    </row>
    <row r="336" spans="1:16">
      <c r="A336" s="30" t="s">
        <v>2842</v>
      </c>
      <c r="B336" s="29" t="s">
        <v>1454</v>
      </c>
      <c r="C336" s="30" t="s">
        <v>2521</v>
      </c>
      <c r="D336" s="30" t="s">
        <v>2491</v>
      </c>
      <c r="E336" s="32"/>
      <c r="F336" s="30" t="s">
        <v>2825</v>
      </c>
      <c r="H336" s="30" t="s">
        <v>168</v>
      </c>
      <c r="I336" s="30" t="s">
        <v>168</v>
      </c>
      <c r="J336" s="30">
        <v>4</v>
      </c>
      <c r="K336" s="30">
        <v>4</v>
      </c>
      <c r="L336" s="30">
        <v>0</v>
      </c>
      <c r="M336" s="44" t="str">
        <f t="shared" si="6"/>
        <v>Zona centro</v>
      </c>
      <c r="N336" s="45" t="str">
        <f t="shared" si="7"/>
        <v>No</v>
      </c>
      <c r="O336" s="45" t="str">
        <f t="shared" si="8"/>
        <v>No</v>
      </c>
      <c r="P336" s="44"/>
    </row>
    <row r="337" spans="1:16">
      <c r="A337" s="30" t="s">
        <v>2843</v>
      </c>
      <c r="B337" s="29" t="s">
        <v>1458</v>
      </c>
      <c r="C337" s="30" t="s">
        <v>2521</v>
      </c>
      <c r="D337" s="30" t="s">
        <v>2491</v>
      </c>
      <c r="E337" s="32"/>
      <c r="F337" s="30" t="s">
        <v>2825</v>
      </c>
      <c r="H337" s="30" t="s">
        <v>168</v>
      </c>
      <c r="I337" s="30" t="s">
        <v>168</v>
      </c>
      <c r="J337" s="30">
        <v>3</v>
      </c>
      <c r="K337" s="30">
        <v>3</v>
      </c>
      <c r="L337" s="30">
        <v>0</v>
      </c>
      <c r="M337" s="44" t="str">
        <f t="shared" si="6"/>
        <v>Zona centro</v>
      </c>
      <c r="N337" s="45" t="str">
        <f t="shared" si="7"/>
        <v>No</v>
      </c>
      <c r="O337" s="45" t="str">
        <f t="shared" si="8"/>
        <v>No</v>
      </c>
      <c r="P337" s="44"/>
    </row>
    <row r="338" spans="1:16">
      <c r="A338" s="30" t="s">
        <v>2844</v>
      </c>
      <c r="B338" s="29" t="s">
        <v>1462</v>
      </c>
      <c r="C338" s="30" t="s">
        <v>2521</v>
      </c>
      <c r="D338" s="30" t="s">
        <v>2491</v>
      </c>
      <c r="E338" s="32"/>
      <c r="F338" s="30" t="s">
        <v>2825</v>
      </c>
      <c r="H338" s="30" t="s">
        <v>168</v>
      </c>
      <c r="I338" s="30" t="s">
        <v>168</v>
      </c>
      <c r="J338" s="30">
        <v>13</v>
      </c>
      <c r="K338" s="30">
        <v>13</v>
      </c>
      <c r="L338" s="30">
        <v>0</v>
      </c>
      <c r="M338" s="44" t="str">
        <f t="shared" si="6"/>
        <v>Zona centro</v>
      </c>
      <c r="N338" s="45" t="str">
        <f t="shared" si="7"/>
        <v>No</v>
      </c>
      <c r="O338" s="45" t="str">
        <f t="shared" si="8"/>
        <v>No</v>
      </c>
      <c r="P338" s="44"/>
    </row>
    <row r="339" spans="1:16">
      <c r="A339" s="30" t="s">
        <v>2845</v>
      </c>
      <c r="B339" s="29" t="s">
        <v>1464</v>
      </c>
      <c r="C339" s="30" t="s">
        <v>2521</v>
      </c>
      <c r="D339" s="30" t="s">
        <v>2491</v>
      </c>
      <c r="E339" s="32"/>
      <c r="F339" s="30" t="s">
        <v>2825</v>
      </c>
      <c r="H339" s="30" t="s">
        <v>168</v>
      </c>
      <c r="I339" s="30" t="s">
        <v>168</v>
      </c>
      <c r="J339" s="30">
        <v>40</v>
      </c>
      <c r="K339" s="30">
        <v>40</v>
      </c>
      <c r="L339" s="30">
        <v>0</v>
      </c>
      <c r="M339" s="44" t="str">
        <f t="shared" si="6"/>
        <v>Zona centro</v>
      </c>
      <c r="N339" s="45" t="str">
        <f t="shared" si="7"/>
        <v>No</v>
      </c>
      <c r="O339" s="45" t="str">
        <f t="shared" si="8"/>
        <v>No</v>
      </c>
      <c r="P339" s="44"/>
    </row>
    <row r="340" spans="1:16">
      <c r="A340" s="30" t="s">
        <v>2846</v>
      </c>
      <c r="B340" s="29" t="s">
        <v>1467</v>
      </c>
      <c r="C340" s="30" t="s">
        <v>2521</v>
      </c>
      <c r="D340" s="30" t="s">
        <v>2491</v>
      </c>
      <c r="E340" s="32"/>
      <c r="F340" s="30" t="s">
        <v>2825</v>
      </c>
      <c r="H340" s="30" t="s">
        <v>168</v>
      </c>
      <c r="I340" s="30" t="s">
        <v>168</v>
      </c>
      <c r="J340" s="30">
        <v>15</v>
      </c>
      <c r="K340" s="30">
        <v>15</v>
      </c>
      <c r="L340" s="30">
        <v>0</v>
      </c>
      <c r="M340" s="44" t="str">
        <f t="shared" si="6"/>
        <v>Zona centro</v>
      </c>
      <c r="N340" s="45" t="str">
        <f t="shared" si="7"/>
        <v>No</v>
      </c>
      <c r="O340" s="45" t="str">
        <f t="shared" si="8"/>
        <v>No</v>
      </c>
      <c r="P340" s="44"/>
    </row>
    <row r="341" spans="1:16">
      <c r="A341" s="30" t="s">
        <v>2847</v>
      </c>
      <c r="B341" s="29" t="s">
        <v>1471</v>
      </c>
      <c r="C341" s="30" t="s">
        <v>2521</v>
      </c>
      <c r="D341" s="30" t="s">
        <v>2491</v>
      </c>
      <c r="E341" s="32"/>
      <c r="F341" s="30" t="s">
        <v>2825</v>
      </c>
      <c r="H341" s="30" t="s">
        <v>168</v>
      </c>
      <c r="I341" s="30" t="s">
        <v>168</v>
      </c>
      <c r="J341" s="30">
        <v>13</v>
      </c>
      <c r="K341" s="30">
        <v>13</v>
      </c>
      <c r="L341" s="30">
        <v>0</v>
      </c>
      <c r="M341" s="44" t="str">
        <f t="shared" si="6"/>
        <v>Zona centro</v>
      </c>
      <c r="N341" s="45" t="str">
        <f t="shared" si="7"/>
        <v>No</v>
      </c>
      <c r="O341" s="45" t="str">
        <f t="shared" si="8"/>
        <v>No</v>
      </c>
      <c r="P341" s="44"/>
    </row>
    <row r="342" spans="1:16">
      <c r="A342" s="30" t="s">
        <v>2848</v>
      </c>
      <c r="B342" s="29" t="s">
        <v>1473</v>
      </c>
      <c r="C342" s="30" t="s">
        <v>2521</v>
      </c>
      <c r="D342" s="30" t="s">
        <v>2491</v>
      </c>
      <c r="E342" s="32"/>
      <c r="F342" s="30" t="s">
        <v>2825</v>
      </c>
      <c r="H342" s="30" t="s">
        <v>168</v>
      </c>
      <c r="I342" s="30" t="s">
        <v>168</v>
      </c>
      <c r="J342" s="30">
        <v>3</v>
      </c>
      <c r="K342" s="30">
        <v>3</v>
      </c>
      <c r="L342" s="30">
        <v>0</v>
      </c>
      <c r="M342" s="44" t="str">
        <f t="shared" si="6"/>
        <v>Zona centro</v>
      </c>
      <c r="N342" s="45" t="str">
        <f t="shared" si="7"/>
        <v>No</v>
      </c>
      <c r="O342" s="45" t="str">
        <f t="shared" si="8"/>
        <v>No</v>
      </c>
      <c r="P342" s="44"/>
    </row>
    <row r="343" spans="1:16">
      <c r="A343" s="30" t="s">
        <v>2849</v>
      </c>
      <c r="B343" s="29" t="s">
        <v>1478</v>
      </c>
      <c r="C343" s="30" t="s">
        <v>2521</v>
      </c>
      <c r="D343" s="30" t="s">
        <v>2491</v>
      </c>
      <c r="E343" s="32"/>
      <c r="F343" s="30" t="s">
        <v>2825</v>
      </c>
      <c r="H343" s="30" t="s">
        <v>168</v>
      </c>
      <c r="I343" s="30" t="s">
        <v>168</v>
      </c>
      <c r="J343" s="30">
        <v>9</v>
      </c>
      <c r="K343" s="30">
        <v>9</v>
      </c>
      <c r="L343" s="30">
        <v>0</v>
      </c>
      <c r="M343" s="44" t="str">
        <f t="shared" si="6"/>
        <v>Zona centro</v>
      </c>
      <c r="N343" s="45" t="str">
        <f t="shared" si="7"/>
        <v>No</v>
      </c>
      <c r="O343" s="45" t="str">
        <f t="shared" si="8"/>
        <v>No</v>
      </c>
      <c r="P343" s="44"/>
    </row>
    <row r="344" spans="1:16">
      <c r="A344" s="30" t="s">
        <v>2850</v>
      </c>
      <c r="B344" s="29" t="s">
        <v>1480</v>
      </c>
      <c r="C344" s="30" t="s">
        <v>2483</v>
      </c>
      <c r="D344" s="30" t="s">
        <v>2491</v>
      </c>
      <c r="E344" s="32"/>
      <c r="F344" s="30" t="s">
        <v>2825</v>
      </c>
      <c r="H344" s="30" t="s">
        <v>168</v>
      </c>
      <c r="I344" s="30" t="s">
        <v>168</v>
      </c>
      <c r="J344" s="30">
        <v>9</v>
      </c>
      <c r="K344" s="30">
        <v>9</v>
      </c>
      <c r="L344" s="30">
        <v>0</v>
      </c>
      <c r="M344" s="44" t="str">
        <f t="shared" si="6"/>
        <v>Zona centro</v>
      </c>
      <c r="N344" s="45" t="str">
        <f t="shared" si="7"/>
        <v>No</v>
      </c>
      <c r="O344" s="45" t="str">
        <f t="shared" si="8"/>
        <v>No</v>
      </c>
      <c r="P344" s="44"/>
    </row>
    <row r="345" spans="1:16">
      <c r="A345" s="30" t="s">
        <v>2851</v>
      </c>
      <c r="B345" s="29" t="s">
        <v>1484</v>
      </c>
      <c r="C345" s="30" t="s">
        <v>2483</v>
      </c>
      <c r="D345" s="30" t="s">
        <v>2491</v>
      </c>
      <c r="E345" s="32"/>
      <c r="H345" s="30" t="s">
        <v>168</v>
      </c>
      <c r="I345" s="30" t="s">
        <v>168</v>
      </c>
      <c r="J345" s="30">
        <v>9</v>
      </c>
      <c r="K345" s="30">
        <v>9</v>
      </c>
      <c r="L345" s="30">
        <v>0</v>
      </c>
      <c r="M345" s="44">
        <f t="shared" si="6"/>
        <v>0</v>
      </c>
      <c r="N345" s="45" t="str">
        <f t="shared" si="7"/>
        <v>No</v>
      </c>
      <c r="O345" s="45" t="str">
        <f t="shared" si="8"/>
        <v>No</v>
      </c>
      <c r="P345" s="44"/>
    </row>
    <row r="346" spans="1:16">
      <c r="A346" s="30" t="s">
        <v>2852</v>
      </c>
      <c r="B346" s="29" t="s">
        <v>1487</v>
      </c>
      <c r="C346" s="30" t="s">
        <v>2490</v>
      </c>
      <c r="D346" s="30" t="s">
        <v>2491</v>
      </c>
      <c r="E346" s="32">
        <v>215</v>
      </c>
      <c r="F346" s="30" t="s">
        <v>2492</v>
      </c>
      <c r="H346" s="30" t="s">
        <v>2486</v>
      </c>
      <c r="I346" s="30" t="s">
        <v>2486</v>
      </c>
      <c r="J346" s="30">
        <v>52755</v>
      </c>
      <c r="L346" s="30">
        <v>52755</v>
      </c>
      <c r="M346" s="44" t="str">
        <f t="shared" si="6"/>
        <v>Silao</v>
      </c>
      <c r="N346" s="45" t="str">
        <f t="shared" si="7"/>
        <v>No</v>
      </c>
      <c r="O346" s="45" t="str">
        <f t="shared" si="8"/>
        <v>No</v>
      </c>
      <c r="P346" s="44"/>
    </row>
    <row r="347" spans="1:16">
      <c r="A347" s="30" t="s">
        <v>2853</v>
      </c>
      <c r="B347" s="29" t="s">
        <v>1492</v>
      </c>
      <c r="C347" s="30" t="s">
        <v>2838</v>
      </c>
      <c r="D347" s="30" t="s">
        <v>2491</v>
      </c>
      <c r="E347" s="32">
        <v>28</v>
      </c>
      <c r="F347" s="30" t="s">
        <v>2838</v>
      </c>
      <c r="H347" s="30" t="s">
        <v>2486</v>
      </c>
      <c r="I347" s="30" t="s">
        <v>2486</v>
      </c>
      <c r="J347" s="30">
        <v>24873</v>
      </c>
      <c r="L347" s="30">
        <v>24873</v>
      </c>
      <c r="M347" s="44" t="str">
        <f t="shared" si="6"/>
        <v>Comonfort</v>
      </c>
      <c r="N347" s="45" t="str">
        <f t="shared" si="7"/>
        <v>No</v>
      </c>
      <c r="O347" s="45" t="str">
        <f t="shared" si="8"/>
        <v>No</v>
      </c>
      <c r="P347" s="44"/>
    </row>
    <row r="348" spans="1:16">
      <c r="A348" s="30" t="s">
        <v>2854</v>
      </c>
      <c r="B348" s="29" t="s">
        <v>1496</v>
      </c>
      <c r="C348" s="30" t="s">
        <v>2521</v>
      </c>
      <c r="D348" s="30" t="s">
        <v>2491</v>
      </c>
      <c r="E348" s="32"/>
      <c r="H348" s="30" t="s">
        <v>168</v>
      </c>
      <c r="I348" s="30" t="s">
        <v>168</v>
      </c>
      <c r="J348" s="30">
        <v>11</v>
      </c>
      <c r="K348" s="30">
        <v>11</v>
      </c>
      <c r="L348" s="30">
        <v>0</v>
      </c>
      <c r="M348" s="44">
        <f t="shared" si="6"/>
        <v>0</v>
      </c>
      <c r="N348" s="45" t="str">
        <f t="shared" si="7"/>
        <v>No</v>
      </c>
      <c r="O348" s="45" t="str">
        <f t="shared" si="8"/>
        <v>No</v>
      </c>
      <c r="P348" s="44"/>
    </row>
    <row r="349" spans="1:16">
      <c r="A349" s="30" t="s">
        <v>2855</v>
      </c>
      <c r="B349" s="29" t="s">
        <v>1498</v>
      </c>
      <c r="C349" s="30" t="s">
        <v>2521</v>
      </c>
      <c r="D349" s="30" t="s">
        <v>2491</v>
      </c>
      <c r="E349" s="32"/>
      <c r="H349" s="30" t="s">
        <v>168</v>
      </c>
      <c r="I349" s="30" t="s">
        <v>168</v>
      </c>
      <c r="J349" s="30">
        <v>13</v>
      </c>
      <c r="K349" s="30">
        <v>13</v>
      </c>
      <c r="L349" s="30">
        <v>0</v>
      </c>
      <c r="M349" s="44">
        <f t="shared" si="6"/>
        <v>0</v>
      </c>
      <c r="N349" s="45" t="str">
        <f t="shared" si="7"/>
        <v>No</v>
      </c>
      <c r="O349" s="45" t="str">
        <f t="shared" si="8"/>
        <v>No</v>
      </c>
      <c r="P349" s="44"/>
    </row>
    <row r="350" spans="1:16">
      <c r="A350" s="30" t="s">
        <v>2856</v>
      </c>
      <c r="B350" s="29" t="s">
        <v>1500</v>
      </c>
      <c r="C350" s="30" t="s">
        <v>2521</v>
      </c>
      <c r="D350" s="30" t="s">
        <v>2491</v>
      </c>
      <c r="E350" s="32">
        <v>49</v>
      </c>
      <c r="F350" s="30" t="s">
        <v>2521</v>
      </c>
      <c r="H350" s="30" t="s">
        <v>2486</v>
      </c>
      <c r="I350" s="30" t="s">
        <v>2486</v>
      </c>
      <c r="J350" s="30">
        <v>130</v>
      </c>
      <c r="L350" s="30">
        <v>130</v>
      </c>
      <c r="M350" s="44" t="str">
        <f t="shared" si="6"/>
        <v>Guanajuato</v>
      </c>
      <c r="N350" s="45" t="str">
        <f t="shared" si="7"/>
        <v>No</v>
      </c>
      <c r="O350" s="45" t="str">
        <f t="shared" si="8"/>
        <v>No</v>
      </c>
      <c r="P350" s="44"/>
    </row>
    <row r="351" spans="1:16">
      <c r="A351" s="30" t="s">
        <v>2857</v>
      </c>
      <c r="B351" s="29" t="s">
        <v>1507</v>
      </c>
      <c r="C351" s="30" t="s">
        <v>2521</v>
      </c>
      <c r="D351" s="30" t="s">
        <v>2491</v>
      </c>
      <c r="E351" s="32"/>
      <c r="H351" s="30" t="s">
        <v>168</v>
      </c>
      <c r="I351" s="30" t="s">
        <v>168</v>
      </c>
      <c r="J351" s="30">
        <v>36</v>
      </c>
      <c r="L351" s="30">
        <v>36</v>
      </c>
      <c r="M351" s="44">
        <f t="shared" si="6"/>
        <v>0</v>
      </c>
      <c r="N351" s="45" t="str">
        <f t="shared" si="7"/>
        <v>No</v>
      </c>
      <c r="O351" s="45" t="str">
        <f t="shared" si="8"/>
        <v>No</v>
      </c>
      <c r="P351" s="44"/>
    </row>
    <row r="352" spans="1:16">
      <c r="A352" s="30" t="s">
        <v>2858</v>
      </c>
      <c r="B352" s="29" t="s">
        <v>1511</v>
      </c>
      <c r="C352" s="30" t="s">
        <v>2521</v>
      </c>
      <c r="D352" s="30" t="s">
        <v>2491</v>
      </c>
      <c r="E352" s="32"/>
      <c r="H352" s="30" t="s">
        <v>168</v>
      </c>
      <c r="I352" s="30" t="s">
        <v>168</v>
      </c>
      <c r="J352" s="30">
        <v>15</v>
      </c>
      <c r="L352" s="30">
        <v>15</v>
      </c>
      <c r="M352" s="44">
        <f t="shared" si="6"/>
        <v>0</v>
      </c>
      <c r="N352" s="45" t="str">
        <f t="shared" si="7"/>
        <v>No</v>
      </c>
      <c r="O352" s="45" t="str">
        <f t="shared" si="8"/>
        <v>No</v>
      </c>
      <c r="P352" s="44"/>
    </row>
    <row r="353" spans="1:16">
      <c r="A353" s="30" t="s">
        <v>2859</v>
      </c>
      <c r="B353" s="29" t="s">
        <v>1515</v>
      </c>
      <c r="C353" s="30" t="s">
        <v>2521</v>
      </c>
      <c r="D353" s="30" t="s">
        <v>2491</v>
      </c>
      <c r="E353" s="32"/>
      <c r="H353" s="30" t="s">
        <v>168</v>
      </c>
      <c r="I353" s="30" t="s">
        <v>168</v>
      </c>
      <c r="J353" s="30">
        <v>15</v>
      </c>
      <c r="L353" s="30">
        <v>15</v>
      </c>
      <c r="M353" s="44">
        <f t="shared" si="6"/>
        <v>0</v>
      </c>
      <c r="N353" s="45" t="str">
        <f t="shared" si="7"/>
        <v>No</v>
      </c>
      <c r="O353" s="45" t="str">
        <f t="shared" si="8"/>
        <v>No</v>
      </c>
      <c r="P353" s="44"/>
    </row>
    <row r="354" spans="1:16">
      <c r="A354" s="30" t="s">
        <v>2860</v>
      </c>
      <c r="B354" s="29" t="s">
        <v>1517</v>
      </c>
      <c r="C354" s="30" t="s">
        <v>2521</v>
      </c>
      <c r="D354" s="30" t="s">
        <v>2491</v>
      </c>
      <c r="E354" s="32"/>
      <c r="H354" s="30" t="s">
        <v>168</v>
      </c>
      <c r="I354" s="30" t="s">
        <v>168</v>
      </c>
      <c r="J354" s="30">
        <v>22</v>
      </c>
      <c r="L354" s="30">
        <v>22</v>
      </c>
      <c r="M354" s="44">
        <f t="shared" si="6"/>
        <v>0</v>
      </c>
      <c r="N354" s="45" t="str">
        <f t="shared" si="7"/>
        <v>No</v>
      </c>
      <c r="O354" s="45" t="str">
        <f t="shared" si="8"/>
        <v>No</v>
      </c>
      <c r="P354" s="44"/>
    </row>
    <row r="355" spans="1:16">
      <c r="A355" s="30" t="s">
        <v>2861</v>
      </c>
      <c r="B355" s="29" t="s">
        <v>1519</v>
      </c>
      <c r="C355" s="30" t="s">
        <v>2521</v>
      </c>
      <c r="D355" s="30" t="s">
        <v>2491</v>
      </c>
      <c r="E355" s="32"/>
      <c r="H355" s="30" t="s">
        <v>168</v>
      </c>
      <c r="I355" s="30" t="s">
        <v>168</v>
      </c>
      <c r="J355" s="30">
        <v>3</v>
      </c>
      <c r="K355" s="30">
        <v>3</v>
      </c>
      <c r="L355" s="30">
        <v>0</v>
      </c>
      <c r="M355" s="44">
        <f t="shared" si="6"/>
        <v>0</v>
      </c>
      <c r="N355" s="45" t="str">
        <f t="shared" si="7"/>
        <v>No</v>
      </c>
      <c r="O355" s="45" t="str">
        <f t="shared" si="8"/>
        <v>No</v>
      </c>
      <c r="P355" s="44"/>
    </row>
    <row r="356" spans="1:16">
      <c r="A356" s="30" t="s">
        <v>2862</v>
      </c>
      <c r="B356" s="29" t="s">
        <v>1521</v>
      </c>
      <c r="C356" s="30" t="s">
        <v>2521</v>
      </c>
      <c r="D356" s="30" t="s">
        <v>2491</v>
      </c>
      <c r="E356" s="32"/>
      <c r="H356" s="30" t="s">
        <v>168</v>
      </c>
      <c r="I356" s="30" t="s">
        <v>168</v>
      </c>
      <c r="J356" s="30">
        <v>24</v>
      </c>
      <c r="L356" s="30">
        <v>24</v>
      </c>
      <c r="M356" s="44">
        <f t="shared" si="6"/>
        <v>0</v>
      </c>
      <c r="N356" s="45" t="str">
        <f t="shared" si="7"/>
        <v>No</v>
      </c>
      <c r="O356" s="45" t="str">
        <f t="shared" si="8"/>
        <v>No</v>
      </c>
      <c r="P356" s="44"/>
    </row>
    <row r="357" spans="1:16">
      <c r="A357" s="30" t="s">
        <v>2863</v>
      </c>
      <c r="B357" s="29" t="s">
        <v>1523</v>
      </c>
      <c r="C357" s="30" t="s">
        <v>2521</v>
      </c>
      <c r="D357" s="30" t="s">
        <v>2491</v>
      </c>
      <c r="E357" s="32"/>
      <c r="H357" s="30" t="s">
        <v>168</v>
      </c>
      <c r="I357" s="30" t="s">
        <v>168</v>
      </c>
      <c r="J357" s="30">
        <v>5</v>
      </c>
      <c r="K357" s="30">
        <v>5</v>
      </c>
      <c r="L357" s="30">
        <v>0</v>
      </c>
      <c r="M357" s="44">
        <f t="shared" si="6"/>
        <v>0</v>
      </c>
      <c r="N357" s="45" t="str">
        <f t="shared" si="7"/>
        <v>No</v>
      </c>
      <c r="O357" s="45" t="str">
        <f t="shared" si="8"/>
        <v>No</v>
      </c>
      <c r="P357" s="44"/>
    </row>
    <row r="358" spans="1:16">
      <c r="A358" s="30" t="s">
        <v>2864</v>
      </c>
      <c r="B358" s="29" t="s">
        <v>1525</v>
      </c>
      <c r="C358" s="30" t="s">
        <v>2521</v>
      </c>
      <c r="D358" s="30" t="s">
        <v>2491</v>
      </c>
      <c r="E358" s="32"/>
      <c r="H358" s="30" t="s">
        <v>168</v>
      </c>
      <c r="I358" s="30" t="s">
        <v>168</v>
      </c>
      <c r="J358" s="30">
        <v>28</v>
      </c>
      <c r="L358" s="30">
        <v>28</v>
      </c>
      <c r="M358" s="44">
        <f t="shared" si="6"/>
        <v>0</v>
      </c>
      <c r="N358" s="45" t="str">
        <f t="shared" si="7"/>
        <v>No</v>
      </c>
      <c r="O358" s="45" t="str">
        <f t="shared" si="8"/>
        <v>No</v>
      </c>
      <c r="P358" s="44"/>
    </row>
    <row r="359" spans="1:16">
      <c r="A359" s="30" t="s">
        <v>2865</v>
      </c>
      <c r="B359" s="29" t="s">
        <v>1529</v>
      </c>
      <c r="C359" s="30" t="s">
        <v>2521</v>
      </c>
      <c r="D359" s="30" t="s">
        <v>2491</v>
      </c>
      <c r="E359" s="32"/>
      <c r="H359" s="30" t="s">
        <v>168</v>
      </c>
      <c r="I359" s="30" t="s">
        <v>168</v>
      </c>
      <c r="J359" s="30">
        <v>26</v>
      </c>
      <c r="L359" s="30">
        <v>26</v>
      </c>
      <c r="M359" s="44">
        <f t="shared" si="6"/>
        <v>0</v>
      </c>
      <c r="N359" s="45" t="str">
        <f t="shared" si="7"/>
        <v>No</v>
      </c>
      <c r="O359" s="45" t="str">
        <f t="shared" si="8"/>
        <v>No</v>
      </c>
      <c r="P359" s="44"/>
    </row>
    <row r="360" spans="1:16">
      <c r="A360" s="30" t="s">
        <v>2866</v>
      </c>
      <c r="B360" s="29" t="s">
        <v>1533</v>
      </c>
      <c r="C360" s="30" t="s">
        <v>2521</v>
      </c>
      <c r="D360" s="30" t="s">
        <v>2491</v>
      </c>
      <c r="E360" s="32"/>
      <c r="H360" s="30" t="s">
        <v>168</v>
      </c>
      <c r="I360" s="30" t="s">
        <v>168</v>
      </c>
      <c r="J360" s="30">
        <v>4</v>
      </c>
      <c r="K360" s="30">
        <v>4</v>
      </c>
      <c r="L360" s="30">
        <v>0</v>
      </c>
      <c r="M360" s="44">
        <f t="shared" si="6"/>
        <v>0</v>
      </c>
      <c r="N360" s="45" t="str">
        <f t="shared" si="7"/>
        <v>No</v>
      </c>
      <c r="O360" s="45" t="str">
        <f t="shared" si="8"/>
        <v>No</v>
      </c>
      <c r="P360" s="44"/>
    </row>
    <row r="361" spans="1:16">
      <c r="A361" s="30" t="s">
        <v>2867</v>
      </c>
      <c r="B361" s="29" t="s">
        <v>1537</v>
      </c>
      <c r="C361" s="30" t="s">
        <v>2521</v>
      </c>
      <c r="D361" s="30" t="s">
        <v>2491</v>
      </c>
      <c r="E361" s="32">
        <v>49</v>
      </c>
      <c r="F361" s="30" t="s">
        <v>2521</v>
      </c>
      <c r="H361" s="30" t="s">
        <v>2486</v>
      </c>
      <c r="I361" s="30" t="s">
        <v>2486</v>
      </c>
      <c r="J361" s="30">
        <v>40</v>
      </c>
      <c r="L361" s="30">
        <v>40</v>
      </c>
      <c r="M361" s="44" t="str">
        <f t="shared" si="6"/>
        <v>Guanajuato</v>
      </c>
      <c r="N361" s="45" t="str">
        <f t="shared" si="7"/>
        <v>No</v>
      </c>
      <c r="O361" s="45" t="str">
        <f t="shared" si="8"/>
        <v>No</v>
      </c>
      <c r="P361" s="44"/>
    </row>
    <row r="362" spans="1:16">
      <c r="A362" s="30" t="s">
        <v>2868</v>
      </c>
      <c r="B362" s="29" t="s">
        <v>1541</v>
      </c>
      <c r="C362" s="30" t="s">
        <v>2521</v>
      </c>
      <c r="D362" s="30" t="s">
        <v>2491</v>
      </c>
      <c r="E362" s="32"/>
      <c r="H362" s="30" t="s">
        <v>168</v>
      </c>
      <c r="I362" s="30" t="s">
        <v>168</v>
      </c>
      <c r="J362" s="30">
        <v>13</v>
      </c>
      <c r="K362" s="30">
        <v>13</v>
      </c>
      <c r="L362" s="30">
        <v>0</v>
      </c>
      <c r="M362" s="44">
        <f t="shared" si="6"/>
        <v>0</v>
      </c>
      <c r="N362" s="45" t="str">
        <f t="shared" si="7"/>
        <v>No</v>
      </c>
      <c r="O362" s="45" t="str">
        <f t="shared" si="8"/>
        <v>No</v>
      </c>
      <c r="P362" s="44"/>
    </row>
    <row r="363" spans="1:16">
      <c r="A363" s="30" t="s">
        <v>2869</v>
      </c>
      <c r="B363" s="29" t="s">
        <v>1545</v>
      </c>
      <c r="C363" s="30" t="s">
        <v>2521</v>
      </c>
      <c r="D363" s="30" t="s">
        <v>2491</v>
      </c>
      <c r="E363" s="32"/>
      <c r="H363" s="30" t="s">
        <v>168</v>
      </c>
      <c r="I363" s="30" t="s">
        <v>168</v>
      </c>
      <c r="J363" s="30">
        <v>29</v>
      </c>
      <c r="L363" s="30">
        <v>29</v>
      </c>
      <c r="M363" s="44">
        <f t="shared" si="6"/>
        <v>0</v>
      </c>
      <c r="N363" s="45" t="str">
        <f t="shared" si="7"/>
        <v>No</v>
      </c>
      <c r="O363" s="45" t="str">
        <f t="shared" si="8"/>
        <v>No</v>
      </c>
      <c r="P363" s="44"/>
    </row>
    <row r="364" spans="1:16">
      <c r="A364" s="30" t="s">
        <v>2870</v>
      </c>
      <c r="B364" s="29" t="s">
        <v>1549</v>
      </c>
      <c r="C364" s="30" t="s">
        <v>2521</v>
      </c>
      <c r="D364" s="30" t="s">
        <v>2491</v>
      </c>
      <c r="E364" s="32"/>
      <c r="H364" s="30" t="s">
        <v>168</v>
      </c>
      <c r="I364" s="30" t="s">
        <v>168</v>
      </c>
      <c r="J364" s="30">
        <v>4</v>
      </c>
      <c r="L364" s="30">
        <v>4</v>
      </c>
      <c r="M364" s="44">
        <f t="shared" si="6"/>
        <v>0</v>
      </c>
      <c r="N364" s="45" t="str">
        <f t="shared" si="7"/>
        <v>No</v>
      </c>
      <c r="O364" s="45" t="str">
        <f t="shared" si="8"/>
        <v>No</v>
      </c>
      <c r="P364" s="44"/>
    </row>
    <row r="365" spans="1:16">
      <c r="A365" s="30" t="s">
        <v>2871</v>
      </c>
      <c r="B365" s="29" t="s">
        <v>1553</v>
      </c>
      <c r="C365" s="30" t="s">
        <v>2521</v>
      </c>
      <c r="D365" s="30" t="s">
        <v>2491</v>
      </c>
      <c r="E365" s="32"/>
      <c r="H365" s="30" t="s">
        <v>168</v>
      </c>
      <c r="I365" s="30" t="s">
        <v>168</v>
      </c>
      <c r="J365" s="30">
        <v>6</v>
      </c>
      <c r="L365" s="30">
        <v>6</v>
      </c>
      <c r="M365" s="44">
        <f t="shared" si="6"/>
        <v>0</v>
      </c>
      <c r="N365" s="45" t="str">
        <f t="shared" si="7"/>
        <v>No</v>
      </c>
      <c r="O365" s="45" t="str">
        <f t="shared" si="8"/>
        <v>No</v>
      </c>
      <c r="P365" s="44"/>
    </row>
    <row r="366" spans="1:16">
      <c r="A366" s="30" t="s">
        <v>2872</v>
      </c>
      <c r="B366" s="29" t="s">
        <v>1555</v>
      </c>
      <c r="C366" s="30" t="s">
        <v>2521</v>
      </c>
      <c r="D366" s="30" t="s">
        <v>2491</v>
      </c>
      <c r="E366" s="32">
        <v>49</v>
      </c>
      <c r="F366" s="30" t="s">
        <v>2521</v>
      </c>
      <c r="H366" s="30" t="s">
        <v>2486</v>
      </c>
      <c r="I366" s="30" t="s">
        <v>2486</v>
      </c>
      <c r="J366" s="30">
        <v>11</v>
      </c>
      <c r="L366" s="30">
        <v>11</v>
      </c>
      <c r="M366" s="44" t="str">
        <f t="shared" si="6"/>
        <v>Guanajuato</v>
      </c>
      <c r="N366" s="45" t="str">
        <f t="shared" si="7"/>
        <v>No</v>
      </c>
      <c r="O366" s="45" t="str">
        <f t="shared" si="8"/>
        <v>No</v>
      </c>
      <c r="P366" s="44"/>
    </row>
    <row r="367" spans="1:16">
      <c r="A367" s="30" t="s">
        <v>2873</v>
      </c>
      <c r="B367" s="29" t="s">
        <v>1559</v>
      </c>
      <c r="C367" s="30" t="s">
        <v>2521</v>
      </c>
      <c r="D367" s="30" t="s">
        <v>2491</v>
      </c>
      <c r="E367" s="32"/>
      <c r="H367" s="30" t="s">
        <v>168</v>
      </c>
      <c r="I367" s="30" t="s">
        <v>168</v>
      </c>
      <c r="J367" s="30">
        <v>32</v>
      </c>
      <c r="L367" s="30">
        <v>32</v>
      </c>
      <c r="M367" s="44">
        <f t="shared" si="6"/>
        <v>0</v>
      </c>
      <c r="N367" s="45" t="str">
        <f t="shared" si="7"/>
        <v>No</v>
      </c>
      <c r="O367" s="45" t="str">
        <f t="shared" si="8"/>
        <v>No</v>
      </c>
      <c r="P367" s="44"/>
    </row>
    <row r="368" spans="1:16">
      <c r="A368" s="30" t="s">
        <v>2874</v>
      </c>
      <c r="B368" s="29" t="s">
        <v>1561</v>
      </c>
      <c r="C368" s="30" t="s">
        <v>2521</v>
      </c>
      <c r="D368" s="30" t="s">
        <v>2491</v>
      </c>
      <c r="E368" s="32"/>
      <c r="H368" s="30" t="s">
        <v>168</v>
      </c>
      <c r="I368" s="30" t="s">
        <v>168</v>
      </c>
      <c r="J368" s="30">
        <v>9</v>
      </c>
      <c r="L368" s="30">
        <v>9</v>
      </c>
      <c r="M368" s="44">
        <f t="shared" si="6"/>
        <v>0</v>
      </c>
      <c r="N368" s="45" t="str">
        <f t="shared" si="7"/>
        <v>No</v>
      </c>
      <c r="O368" s="45" t="str">
        <f t="shared" si="8"/>
        <v>No</v>
      </c>
      <c r="P368" s="44"/>
    </row>
    <row r="369" spans="1:16">
      <c r="A369" s="30" t="s">
        <v>2875</v>
      </c>
      <c r="B369" s="29" t="s">
        <v>1563</v>
      </c>
      <c r="C369" s="30" t="s">
        <v>2521</v>
      </c>
      <c r="D369" s="30" t="s">
        <v>2491</v>
      </c>
      <c r="E369" s="32"/>
      <c r="H369" s="30" t="s">
        <v>168</v>
      </c>
      <c r="I369" s="30" t="s">
        <v>168</v>
      </c>
      <c r="J369" s="30">
        <v>3</v>
      </c>
      <c r="L369" s="30">
        <v>3</v>
      </c>
      <c r="M369" s="44">
        <f t="shared" si="6"/>
        <v>0</v>
      </c>
      <c r="N369" s="45" t="str">
        <f t="shared" si="7"/>
        <v>No</v>
      </c>
      <c r="O369" s="45" t="str">
        <f t="shared" si="8"/>
        <v>No</v>
      </c>
      <c r="P369" s="44"/>
    </row>
    <row r="370" spans="1:16">
      <c r="A370" s="30" t="s">
        <v>2876</v>
      </c>
      <c r="B370" s="29" t="s">
        <v>1565</v>
      </c>
      <c r="C370" s="30" t="s">
        <v>2521</v>
      </c>
      <c r="D370" s="30" t="s">
        <v>2491</v>
      </c>
      <c r="E370" s="32"/>
      <c r="H370" s="30" t="s">
        <v>168</v>
      </c>
      <c r="I370" s="30" t="s">
        <v>168</v>
      </c>
      <c r="J370" s="30">
        <v>3</v>
      </c>
      <c r="L370" s="30">
        <v>3</v>
      </c>
      <c r="M370" s="44">
        <f t="shared" si="6"/>
        <v>0</v>
      </c>
      <c r="N370" s="45" t="str">
        <f t="shared" si="7"/>
        <v>No</v>
      </c>
      <c r="O370" s="45" t="str">
        <f t="shared" si="8"/>
        <v>No</v>
      </c>
      <c r="P370" s="44"/>
    </row>
    <row r="371" spans="1:16">
      <c r="A371" s="30" t="s">
        <v>2877</v>
      </c>
      <c r="B371" s="29" t="s">
        <v>1567</v>
      </c>
      <c r="C371" s="30" t="s">
        <v>2521</v>
      </c>
      <c r="D371" s="30" t="s">
        <v>2491</v>
      </c>
      <c r="E371" s="32">
        <v>49</v>
      </c>
      <c r="F371" s="30" t="s">
        <v>2521</v>
      </c>
      <c r="H371" s="30" t="s">
        <v>2486</v>
      </c>
      <c r="I371" s="30" t="s">
        <v>2486</v>
      </c>
      <c r="J371" s="30">
        <v>12</v>
      </c>
      <c r="L371" s="30">
        <v>12</v>
      </c>
      <c r="M371" s="44" t="str">
        <f t="shared" si="6"/>
        <v>Guanajuato</v>
      </c>
      <c r="N371" s="45" t="str">
        <f t="shared" si="7"/>
        <v>No</v>
      </c>
      <c r="O371" s="45" t="str">
        <f t="shared" si="8"/>
        <v>No</v>
      </c>
      <c r="P371" s="44"/>
    </row>
    <row r="372" spans="1:16">
      <c r="A372" s="30" t="s">
        <v>2878</v>
      </c>
      <c r="B372" s="29" t="s">
        <v>1570</v>
      </c>
      <c r="C372" s="30" t="s">
        <v>2521</v>
      </c>
      <c r="D372" s="30" t="s">
        <v>2491</v>
      </c>
      <c r="E372" s="32"/>
      <c r="H372" s="30" t="s">
        <v>168</v>
      </c>
      <c r="I372" s="30" t="s">
        <v>168</v>
      </c>
      <c r="J372" s="30">
        <v>12</v>
      </c>
      <c r="L372" s="30">
        <v>12</v>
      </c>
      <c r="M372" s="44">
        <f t="shared" si="6"/>
        <v>0</v>
      </c>
      <c r="N372" s="45" t="str">
        <f t="shared" si="7"/>
        <v>No</v>
      </c>
      <c r="O372" s="45" t="str">
        <f t="shared" si="8"/>
        <v>No</v>
      </c>
      <c r="P372" s="44"/>
    </row>
    <row r="373" spans="1:16">
      <c r="A373" s="30"/>
      <c r="B373" s="29"/>
      <c r="C373" s="30"/>
      <c r="D373" s="30"/>
      <c r="E373" s="32"/>
      <c r="F373" s="30"/>
      <c r="J373" s="30"/>
      <c r="K373" s="30"/>
      <c r="L373" s="30"/>
      <c r="M373" s="44"/>
      <c r="N373" s="45"/>
      <c r="O373" s="45"/>
      <c r="P373" s="44"/>
    </row>
    <row r="374" spans="1:16">
      <c r="A374" s="30" t="s">
        <v>2879</v>
      </c>
      <c r="B374" s="29" t="s">
        <v>1573</v>
      </c>
      <c r="C374" s="30" t="s">
        <v>2521</v>
      </c>
      <c r="D374" s="30" t="s">
        <v>2491</v>
      </c>
      <c r="E374" s="32"/>
      <c r="H374" s="30" t="s">
        <v>168</v>
      </c>
      <c r="I374" s="30" t="s">
        <v>168</v>
      </c>
      <c r="J374" s="30">
        <v>23</v>
      </c>
      <c r="L374" s="30">
        <v>23</v>
      </c>
      <c r="M374" s="44">
        <f t="shared" ref="M374:M438" si="9">IF(F374&lt;&gt;"", F374, G374)</f>
        <v>0</v>
      </c>
      <c r="N374" s="45" t="str">
        <f t="shared" ref="N374:N438" si="10">IF(ISNUMBER(FIND("ZP", H374)), "Si", "No")</f>
        <v>No</v>
      </c>
      <c r="O374" s="45" t="str">
        <f t="shared" ref="O374:O438" si="11">IF(I374=TRUE, "Si", "No")</f>
        <v>No</v>
      </c>
      <c r="P374" s="44"/>
    </row>
    <row r="375" spans="1:16">
      <c r="A375" s="30" t="s">
        <v>2880</v>
      </c>
      <c r="B375" s="29" t="s">
        <v>1576</v>
      </c>
      <c r="C375" s="30" t="s">
        <v>2521</v>
      </c>
      <c r="D375" s="30" t="s">
        <v>2491</v>
      </c>
      <c r="E375" s="32"/>
      <c r="H375" s="30" t="s">
        <v>168</v>
      </c>
      <c r="I375" s="30" t="s">
        <v>168</v>
      </c>
      <c r="J375" s="30">
        <v>250</v>
      </c>
      <c r="L375" s="30">
        <v>250</v>
      </c>
      <c r="M375" s="44">
        <f t="shared" si="9"/>
        <v>0</v>
      </c>
      <c r="N375" s="45" t="str">
        <f t="shared" si="10"/>
        <v>No</v>
      </c>
      <c r="O375" s="45" t="str">
        <f t="shared" si="11"/>
        <v>No</v>
      </c>
      <c r="P375" s="44"/>
    </row>
    <row r="376" spans="1:16">
      <c r="A376" s="30" t="s">
        <v>2881</v>
      </c>
      <c r="B376" s="29" t="s">
        <v>1578</v>
      </c>
      <c r="C376" s="30" t="s">
        <v>2521</v>
      </c>
      <c r="D376" s="30" t="s">
        <v>2491</v>
      </c>
      <c r="E376" s="32"/>
      <c r="H376" s="30" t="s">
        <v>168</v>
      </c>
      <c r="I376" s="30" t="s">
        <v>168</v>
      </c>
      <c r="J376" s="30">
        <v>82</v>
      </c>
      <c r="L376" s="30">
        <v>82</v>
      </c>
      <c r="M376" s="44">
        <f t="shared" si="9"/>
        <v>0</v>
      </c>
      <c r="N376" s="45" t="str">
        <f t="shared" si="10"/>
        <v>No</v>
      </c>
      <c r="O376" s="45" t="str">
        <f t="shared" si="11"/>
        <v>No</v>
      </c>
      <c r="P376" s="44"/>
    </row>
    <row r="377" spans="1:16">
      <c r="A377" s="30" t="s">
        <v>2882</v>
      </c>
      <c r="B377" s="29" t="s">
        <v>1581</v>
      </c>
      <c r="C377" s="30" t="s">
        <v>2521</v>
      </c>
      <c r="D377" s="30" t="s">
        <v>2491</v>
      </c>
      <c r="E377" s="32">
        <v>49</v>
      </c>
      <c r="F377" s="30" t="s">
        <v>2521</v>
      </c>
      <c r="H377" s="30" t="s">
        <v>2486</v>
      </c>
      <c r="I377" s="30" t="s">
        <v>2486</v>
      </c>
      <c r="J377" s="30">
        <v>28</v>
      </c>
      <c r="L377" s="30">
        <v>28</v>
      </c>
      <c r="M377" s="44" t="str">
        <f t="shared" si="9"/>
        <v>Guanajuato</v>
      </c>
      <c r="N377" s="45" t="str">
        <f t="shared" si="10"/>
        <v>No</v>
      </c>
      <c r="O377" s="45" t="str">
        <f t="shared" si="11"/>
        <v>No</v>
      </c>
      <c r="P377" s="44"/>
    </row>
    <row r="378" spans="1:16">
      <c r="A378" s="30" t="s">
        <v>2883</v>
      </c>
      <c r="B378" s="29" t="s">
        <v>1584</v>
      </c>
      <c r="C378" s="30" t="s">
        <v>2521</v>
      </c>
      <c r="D378" s="30" t="s">
        <v>2491</v>
      </c>
      <c r="E378" s="32"/>
      <c r="H378" s="30" t="s">
        <v>168</v>
      </c>
      <c r="I378" s="30" t="s">
        <v>168</v>
      </c>
      <c r="J378" s="30">
        <v>20</v>
      </c>
      <c r="L378" s="30">
        <v>20</v>
      </c>
      <c r="M378" s="44">
        <f t="shared" si="9"/>
        <v>0</v>
      </c>
      <c r="N378" s="45" t="str">
        <f t="shared" si="10"/>
        <v>No</v>
      </c>
      <c r="O378" s="45" t="str">
        <f t="shared" si="11"/>
        <v>No</v>
      </c>
      <c r="P378" s="44"/>
    </row>
    <row r="379" spans="1:16">
      <c r="A379" s="30" t="s">
        <v>2884</v>
      </c>
      <c r="B379" s="29" t="s">
        <v>1587</v>
      </c>
      <c r="C379" s="30" t="s">
        <v>2521</v>
      </c>
      <c r="D379" s="30" t="s">
        <v>2491</v>
      </c>
      <c r="E379" s="32"/>
      <c r="H379" s="30" t="s">
        <v>168</v>
      </c>
      <c r="I379" s="30" t="s">
        <v>168</v>
      </c>
      <c r="J379" s="30">
        <v>4</v>
      </c>
      <c r="L379" s="30">
        <v>4</v>
      </c>
      <c r="M379" s="44">
        <f t="shared" si="9"/>
        <v>0</v>
      </c>
      <c r="N379" s="45" t="str">
        <f t="shared" si="10"/>
        <v>No</v>
      </c>
      <c r="O379" s="45" t="str">
        <f t="shared" si="11"/>
        <v>No</v>
      </c>
      <c r="P379" s="44"/>
    </row>
    <row r="380" spans="1:16">
      <c r="A380" s="30" t="s">
        <v>2885</v>
      </c>
      <c r="B380" s="29" t="s">
        <v>1589</v>
      </c>
      <c r="C380" s="30" t="s">
        <v>2521</v>
      </c>
      <c r="D380" s="30" t="s">
        <v>2491</v>
      </c>
      <c r="E380" s="32">
        <v>49</v>
      </c>
      <c r="F380" s="30" t="s">
        <v>2521</v>
      </c>
      <c r="H380" s="30" t="s">
        <v>2486</v>
      </c>
      <c r="I380" s="30" t="s">
        <v>2486</v>
      </c>
      <c r="J380" s="30">
        <v>19</v>
      </c>
      <c r="L380" s="30">
        <v>19</v>
      </c>
      <c r="M380" s="44" t="str">
        <f t="shared" si="9"/>
        <v>Guanajuato</v>
      </c>
      <c r="N380" s="45" t="str">
        <f t="shared" si="10"/>
        <v>No</v>
      </c>
      <c r="O380" s="45" t="str">
        <f t="shared" si="11"/>
        <v>No</v>
      </c>
      <c r="P380" s="44"/>
    </row>
    <row r="381" spans="1:16">
      <c r="A381" s="30" t="s">
        <v>2886</v>
      </c>
      <c r="B381" s="29" t="s">
        <v>1591</v>
      </c>
      <c r="C381" s="30" t="s">
        <v>2521</v>
      </c>
      <c r="D381" s="30" t="s">
        <v>2491</v>
      </c>
      <c r="E381" s="32"/>
      <c r="H381" s="30" t="s">
        <v>168</v>
      </c>
      <c r="I381" s="30" t="s">
        <v>168</v>
      </c>
      <c r="J381" s="30">
        <v>4</v>
      </c>
      <c r="L381" s="30">
        <v>4</v>
      </c>
      <c r="M381" s="44">
        <f t="shared" si="9"/>
        <v>0</v>
      </c>
      <c r="N381" s="45" t="str">
        <f t="shared" si="10"/>
        <v>No</v>
      </c>
      <c r="O381" s="45" t="str">
        <f t="shared" si="11"/>
        <v>No</v>
      </c>
      <c r="P381" s="44"/>
    </row>
    <row r="382" spans="1:16">
      <c r="A382" s="30" t="s">
        <v>2887</v>
      </c>
      <c r="B382" s="29" t="s">
        <v>1593</v>
      </c>
      <c r="C382" s="30" t="s">
        <v>2521</v>
      </c>
      <c r="D382" s="30" t="s">
        <v>2491</v>
      </c>
      <c r="E382" s="32"/>
      <c r="H382" s="30" t="s">
        <v>168</v>
      </c>
      <c r="I382" s="30" t="s">
        <v>168</v>
      </c>
      <c r="J382" s="30">
        <v>1</v>
      </c>
      <c r="L382" s="30">
        <v>1</v>
      </c>
      <c r="M382" s="44">
        <f t="shared" si="9"/>
        <v>0</v>
      </c>
      <c r="N382" s="45" t="str">
        <f t="shared" si="10"/>
        <v>No</v>
      </c>
      <c r="O382" s="45" t="str">
        <f t="shared" si="11"/>
        <v>No</v>
      </c>
      <c r="P382" s="44"/>
    </row>
    <row r="383" spans="1:16">
      <c r="A383" s="30" t="s">
        <v>2888</v>
      </c>
      <c r="B383" s="29" t="s">
        <v>1595</v>
      </c>
      <c r="C383" s="30" t="s">
        <v>2521</v>
      </c>
      <c r="D383" s="30" t="s">
        <v>2491</v>
      </c>
      <c r="E383" s="32"/>
      <c r="H383" s="30" t="s">
        <v>168</v>
      </c>
      <c r="I383" s="30" t="s">
        <v>168</v>
      </c>
      <c r="J383" s="30">
        <v>2</v>
      </c>
      <c r="L383" s="30">
        <v>2</v>
      </c>
      <c r="M383" s="44">
        <f t="shared" si="9"/>
        <v>0</v>
      </c>
      <c r="N383" s="45" t="str">
        <f t="shared" si="10"/>
        <v>No</v>
      </c>
      <c r="O383" s="45" t="str">
        <f t="shared" si="11"/>
        <v>No</v>
      </c>
      <c r="P383" s="44"/>
    </row>
    <row r="384" spans="1:16">
      <c r="A384" s="30" t="s">
        <v>2889</v>
      </c>
      <c r="B384" s="29" t="s">
        <v>1597</v>
      </c>
      <c r="C384" s="30" t="s">
        <v>2521</v>
      </c>
      <c r="D384" s="30" t="s">
        <v>2491</v>
      </c>
      <c r="E384" s="32"/>
      <c r="H384" s="30" t="s">
        <v>168</v>
      </c>
      <c r="I384" s="30" t="s">
        <v>168</v>
      </c>
      <c r="J384" s="30">
        <v>2</v>
      </c>
      <c r="L384" s="30">
        <v>2</v>
      </c>
      <c r="M384" s="44">
        <f t="shared" si="9"/>
        <v>0</v>
      </c>
      <c r="N384" s="45" t="str">
        <f t="shared" si="10"/>
        <v>No</v>
      </c>
      <c r="O384" s="45" t="str">
        <f t="shared" si="11"/>
        <v>No</v>
      </c>
      <c r="P384" s="44"/>
    </row>
    <row r="385" spans="1:16">
      <c r="A385" s="30" t="s">
        <v>2890</v>
      </c>
      <c r="B385" s="29" t="s">
        <v>1599</v>
      </c>
      <c r="C385" s="30" t="s">
        <v>2521</v>
      </c>
      <c r="D385" s="30" t="s">
        <v>2491</v>
      </c>
      <c r="E385" s="32">
        <v>49</v>
      </c>
      <c r="F385" s="30" t="s">
        <v>2521</v>
      </c>
      <c r="H385" s="30" t="s">
        <v>2486</v>
      </c>
      <c r="I385" s="30" t="s">
        <v>2486</v>
      </c>
      <c r="J385" s="30">
        <v>1</v>
      </c>
      <c r="L385" s="30">
        <v>1</v>
      </c>
      <c r="M385" s="44" t="str">
        <f t="shared" si="9"/>
        <v>Guanajuato</v>
      </c>
      <c r="N385" s="45" t="str">
        <f t="shared" si="10"/>
        <v>No</v>
      </c>
      <c r="O385" s="45" t="str">
        <f t="shared" si="11"/>
        <v>No</v>
      </c>
      <c r="P385" s="44"/>
    </row>
    <row r="386" spans="1:16">
      <c r="A386" s="30" t="s">
        <v>2891</v>
      </c>
      <c r="B386" s="29" t="s">
        <v>1601</v>
      </c>
      <c r="C386" s="30" t="s">
        <v>2521</v>
      </c>
      <c r="D386" s="30" t="s">
        <v>2491</v>
      </c>
      <c r="E386" s="32"/>
      <c r="H386" s="30" t="s">
        <v>168</v>
      </c>
      <c r="I386" s="30" t="s">
        <v>168</v>
      </c>
      <c r="J386" s="30">
        <v>4</v>
      </c>
      <c r="L386" s="30">
        <v>4</v>
      </c>
      <c r="M386" s="44">
        <f t="shared" si="9"/>
        <v>0</v>
      </c>
      <c r="N386" s="45" t="str">
        <f t="shared" si="10"/>
        <v>No</v>
      </c>
      <c r="O386" s="45" t="str">
        <f t="shared" si="11"/>
        <v>No</v>
      </c>
      <c r="P386" s="44"/>
    </row>
    <row r="387" spans="1:16">
      <c r="A387" s="30" t="s">
        <v>2892</v>
      </c>
      <c r="B387" s="29" t="s">
        <v>1603</v>
      </c>
      <c r="C387" s="30" t="s">
        <v>2521</v>
      </c>
      <c r="D387" s="30" t="s">
        <v>2491</v>
      </c>
      <c r="E387" s="32"/>
      <c r="H387" s="30" t="s">
        <v>168</v>
      </c>
      <c r="I387" s="30" t="s">
        <v>168</v>
      </c>
      <c r="J387" s="30">
        <v>3</v>
      </c>
      <c r="L387" s="30">
        <v>3</v>
      </c>
      <c r="M387" s="44">
        <f t="shared" si="9"/>
        <v>0</v>
      </c>
      <c r="N387" s="45" t="str">
        <f t="shared" si="10"/>
        <v>No</v>
      </c>
      <c r="O387" s="45" t="str">
        <f t="shared" si="11"/>
        <v>No</v>
      </c>
      <c r="P387" s="44"/>
    </row>
    <row r="388" spans="1:16">
      <c r="A388" s="30" t="s">
        <v>2893</v>
      </c>
      <c r="B388" s="29" t="s">
        <v>1605</v>
      </c>
      <c r="C388" s="30" t="s">
        <v>2483</v>
      </c>
      <c r="D388" s="30" t="s">
        <v>2491</v>
      </c>
      <c r="E388" s="32"/>
      <c r="H388" s="30" t="s">
        <v>168</v>
      </c>
      <c r="I388" s="30" t="s">
        <v>168</v>
      </c>
      <c r="J388" s="30">
        <v>103</v>
      </c>
      <c r="L388" s="30">
        <v>103</v>
      </c>
      <c r="M388" s="44">
        <f t="shared" si="9"/>
        <v>0</v>
      </c>
      <c r="N388" s="45" t="str">
        <f t="shared" si="10"/>
        <v>No</v>
      </c>
      <c r="O388" s="45" t="str">
        <f t="shared" si="11"/>
        <v>No</v>
      </c>
      <c r="P388" s="44"/>
    </row>
    <row r="389" spans="1:16">
      <c r="A389" s="30" t="s">
        <v>2894</v>
      </c>
      <c r="B389" s="29" t="s">
        <v>1609</v>
      </c>
      <c r="C389" s="30" t="s">
        <v>2483</v>
      </c>
      <c r="D389" s="30" t="s">
        <v>2491</v>
      </c>
      <c r="E389" s="32"/>
      <c r="H389" s="30" t="s">
        <v>168</v>
      </c>
      <c r="I389" s="30" t="s">
        <v>168</v>
      </c>
      <c r="J389" s="30">
        <v>87</v>
      </c>
      <c r="L389" s="30">
        <v>87</v>
      </c>
      <c r="M389" s="44">
        <f t="shared" si="9"/>
        <v>0</v>
      </c>
      <c r="N389" s="45" t="str">
        <f t="shared" si="10"/>
        <v>No</v>
      </c>
      <c r="O389" s="45" t="str">
        <f t="shared" si="11"/>
        <v>No</v>
      </c>
      <c r="P389" s="44"/>
    </row>
    <row r="390" spans="1:16">
      <c r="A390" s="30" t="s">
        <v>2895</v>
      </c>
      <c r="B390" s="29" t="s">
        <v>1613</v>
      </c>
      <c r="C390" s="30" t="s">
        <v>2483</v>
      </c>
      <c r="D390" s="30" t="s">
        <v>2491</v>
      </c>
      <c r="E390" s="32"/>
      <c r="H390" s="30" t="s">
        <v>168</v>
      </c>
      <c r="I390" s="30" t="s">
        <v>168</v>
      </c>
      <c r="J390" s="30">
        <v>67</v>
      </c>
      <c r="L390" s="30">
        <v>67</v>
      </c>
      <c r="M390" s="44">
        <f t="shared" si="9"/>
        <v>0</v>
      </c>
      <c r="N390" s="45" t="str">
        <f t="shared" si="10"/>
        <v>No</v>
      </c>
      <c r="O390" s="45" t="str">
        <f t="shared" si="11"/>
        <v>No</v>
      </c>
      <c r="P390" s="44"/>
    </row>
    <row r="391" spans="1:16">
      <c r="A391" s="30" t="s">
        <v>2896</v>
      </c>
      <c r="B391" s="29" t="s">
        <v>1621</v>
      </c>
      <c r="C391" s="30" t="s">
        <v>2483</v>
      </c>
      <c r="D391" s="30" t="s">
        <v>2491</v>
      </c>
      <c r="E391" s="32"/>
      <c r="H391" s="30" t="s">
        <v>168</v>
      </c>
      <c r="I391" s="30" t="s">
        <v>168</v>
      </c>
      <c r="J391" s="30">
        <v>138</v>
      </c>
      <c r="L391" s="30">
        <v>138</v>
      </c>
      <c r="M391" s="44">
        <f t="shared" si="9"/>
        <v>0</v>
      </c>
      <c r="N391" s="45" t="str">
        <f t="shared" si="10"/>
        <v>No</v>
      </c>
      <c r="O391" s="45" t="str">
        <f t="shared" si="11"/>
        <v>No</v>
      </c>
      <c r="P391" s="44"/>
    </row>
    <row r="392" spans="1:16">
      <c r="A392" s="30" t="s">
        <v>2897</v>
      </c>
      <c r="B392" s="29" t="s">
        <v>1623</v>
      </c>
      <c r="C392" s="30" t="s">
        <v>2483</v>
      </c>
      <c r="D392" s="30" t="s">
        <v>2491</v>
      </c>
      <c r="E392" s="32"/>
      <c r="H392" s="30" t="s">
        <v>168</v>
      </c>
      <c r="I392" s="30" t="s">
        <v>168</v>
      </c>
      <c r="J392" s="30">
        <v>52</v>
      </c>
      <c r="K392" s="30">
        <v>4</v>
      </c>
      <c r="L392" s="30">
        <v>48</v>
      </c>
      <c r="M392" s="44">
        <f t="shared" si="9"/>
        <v>0</v>
      </c>
      <c r="N392" s="45" t="str">
        <f t="shared" si="10"/>
        <v>No</v>
      </c>
      <c r="O392" s="45" t="str">
        <f t="shared" si="11"/>
        <v>No</v>
      </c>
      <c r="P392" s="44"/>
    </row>
    <row r="393" spans="1:16">
      <c r="A393" s="30" t="s">
        <v>2898</v>
      </c>
      <c r="B393" s="29" t="s">
        <v>1627</v>
      </c>
      <c r="C393" s="30" t="s">
        <v>2483</v>
      </c>
      <c r="D393" s="30" t="s">
        <v>2491</v>
      </c>
      <c r="E393" s="32"/>
      <c r="H393" s="30" t="s">
        <v>168</v>
      </c>
      <c r="I393" s="30" t="s">
        <v>168</v>
      </c>
      <c r="J393" s="30">
        <v>80</v>
      </c>
      <c r="K393" s="30">
        <v>2</v>
      </c>
      <c r="L393" s="30">
        <v>78</v>
      </c>
      <c r="M393" s="44">
        <f t="shared" si="9"/>
        <v>0</v>
      </c>
      <c r="N393" s="45" t="str">
        <f t="shared" si="10"/>
        <v>No</v>
      </c>
      <c r="O393" s="45" t="str">
        <f t="shared" si="11"/>
        <v>No</v>
      </c>
      <c r="P393" s="44"/>
    </row>
    <row r="394" spans="1:16">
      <c r="A394" s="30" t="s">
        <v>2899</v>
      </c>
      <c r="B394" s="29" t="s">
        <v>1635</v>
      </c>
      <c r="C394" s="30" t="s">
        <v>2483</v>
      </c>
      <c r="D394" s="30" t="s">
        <v>2491</v>
      </c>
      <c r="E394" s="32"/>
      <c r="H394" s="30" t="s">
        <v>168</v>
      </c>
      <c r="I394" s="30" t="s">
        <v>168</v>
      </c>
      <c r="J394" s="30">
        <v>216</v>
      </c>
      <c r="K394" s="30">
        <v>6</v>
      </c>
      <c r="L394" s="30">
        <v>210</v>
      </c>
      <c r="M394" s="44">
        <f t="shared" si="9"/>
        <v>0</v>
      </c>
      <c r="N394" s="45" t="str">
        <f t="shared" si="10"/>
        <v>No</v>
      </c>
      <c r="O394" s="45" t="str">
        <f t="shared" si="11"/>
        <v>No</v>
      </c>
      <c r="P394" s="44"/>
    </row>
    <row r="395" spans="1:16">
      <c r="A395" s="30" t="s">
        <v>2900</v>
      </c>
      <c r="B395" s="29" t="s">
        <v>1639</v>
      </c>
      <c r="C395" s="30" t="s">
        <v>2483</v>
      </c>
      <c r="D395" s="30" t="s">
        <v>2491</v>
      </c>
      <c r="E395" s="32"/>
      <c r="H395" s="30" t="s">
        <v>168</v>
      </c>
      <c r="I395" s="30" t="s">
        <v>168</v>
      </c>
      <c r="J395" s="30">
        <v>164</v>
      </c>
      <c r="K395" s="30">
        <v>0</v>
      </c>
      <c r="L395" s="30">
        <v>164</v>
      </c>
      <c r="M395" s="44">
        <f t="shared" si="9"/>
        <v>0</v>
      </c>
      <c r="N395" s="45" t="str">
        <f t="shared" si="10"/>
        <v>No</v>
      </c>
      <c r="O395" s="45" t="str">
        <f t="shared" si="11"/>
        <v>No</v>
      </c>
      <c r="P395" s="44"/>
    </row>
    <row r="396" spans="1:16">
      <c r="A396" s="30" t="s">
        <v>2901</v>
      </c>
      <c r="B396" s="29" t="s">
        <v>1642</v>
      </c>
      <c r="C396" s="30" t="s">
        <v>2483</v>
      </c>
      <c r="D396" s="30" t="s">
        <v>2491</v>
      </c>
      <c r="E396" s="32"/>
      <c r="H396" s="30" t="s">
        <v>168</v>
      </c>
      <c r="I396" s="30" t="s">
        <v>168</v>
      </c>
      <c r="J396" s="30">
        <v>180</v>
      </c>
      <c r="K396" s="30">
        <v>25</v>
      </c>
      <c r="L396" s="30">
        <v>155</v>
      </c>
      <c r="M396" s="44">
        <f t="shared" si="9"/>
        <v>0</v>
      </c>
      <c r="N396" s="45" t="str">
        <f t="shared" si="10"/>
        <v>No</v>
      </c>
      <c r="O396" s="45" t="str">
        <f t="shared" si="11"/>
        <v>No</v>
      </c>
      <c r="P396" s="44"/>
    </row>
    <row r="397" spans="1:16">
      <c r="A397" s="30" t="s">
        <v>2902</v>
      </c>
      <c r="B397" s="29" t="s">
        <v>1645</v>
      </c>
      <c r="C397" s="30" t="s">
        <v>2483</v>
      </c>
      <c r="D397" s="30" t="s">
        <v>2491</v>
      </c>
      <c r="E397" s="32"/>
      <c r="H397" s="30" t="s">
        <v>168</v>
      </c>
      <c r="I397" s="30" t="s">
        <v>168</v>
      </c>
      <c r="J397" s="30">
        <v>132</v>
      </c>
      <c r="L397" s="30">
        <v>132</v>
      </c>
      <c r="M397" s="44">
        <f t="shared" si="9"/>
        <v>0</v>
      </c>
      <c r="N397" s="45" t="str">
        <f t="shared" si="10"/>
        <v>No</v>
      </c>
      <c r="O397" s="45" t="str">
        <f t="shared" si="11"/>
        <v>No</v>
      </c>
      <c r="P397" s="44"/>
    </row>
    <row r="398" spans="1:16">
      <c r="A398" s="30" t="s">
        <v>2903</v>
      </c>
      <c r="B398" s="29" t="s">
        <v>1650</v>
      </c>
      <c r="C398" s="30" t="s">
        <v>2483</v>
      </c>
      <c r="D398" s="30" t="s">
        <v>2491</v>
      </c>
      <c r="E398" s="32"/>
      <c r="H398" s="30" t="s">
        <v>168</v>
      </c>
      <c r="I398" s="30" t="s">
        <v>168</v>
      </c>
      <c r="J398" s="30">
        <v>18</v>
      </c>
      <c r="L398" s="30">
        <v>18</v>
      </c>
      <c r="M398" s="44">
        <f t="shared" si="9"/>
        <v>0</v>
      </c>
      <c r="N398" s="45" t="str">
        <f t="shared" si="10"/>
        <v>No</v>
      </c>
      <c r="O398" s="45" t="str">
        <f t="shared" si="11"/>
        <v>No</v>
      </c>
      <c r="P398" s="44"/>
    </row>
    <row r="399" spans="1:16">
      <c r="A399" s="30" t="s">
        <v>2904</v>
      </c>
      <c r="B399" s="29" t="s">
        <v>1654</v>
      </c>
      <c r="C399" s="30" t="s">
        <v>2483</v>
      </c>
      <c r="D399" s="30" t="s">
        <v>2491</v>
      </c>
      <c r="E399" s="32"/>
      <c r="H399" s="30" t="s">
        <v>168</v>
      </c>
      <c r="I399" s="30" t="s">
        <v>168</v>
      </c>
      <c r="J399" s="30">
        <v>80</v>
      </c>
      <c r="L399" s="30">
        <v>80</v>
      </c>
      <c r="M399" s="44">
        <f t="shared" si="9"/>
        <v>0</v>
      </c>
      <c r="N399" s="45" t="str">
        <f t="shared" si="10"/>
        <v>No</v>
      </c>
      <c r="O399" s="45" t="str">
        <f t="shared" si="11"/>
        <v>No</v>
      </c>
      <c r="P399" s="44"/>
    </row>
    <row r="400" spans="1:16">
      <c r="A400" s="30" t="s">
        <v>2905</v>
      </c>
      <c r="B400" s="29" t="s">
        <v>1656</v>
      </c>
      <c r="C400" s="30" t="s">
        <v>2598</v>
      </c>
      <c r="D400" s="30" t="s">
        <v>2484</v>
      </c>
      <c r="E400" s="32">
        <v>171</v>
      </c>
      <c r="F400" s="30" t="s">
        <v>2599</v>
      </c>
      <c r="H400" s="30" t="s">
        <v>2486</v>
      </c>
      <c r="I400" s="30" t="s">
        <v>168</v>
      </c>
      <c r="J400" s="30">
        <v>30</v>
      </c>
      <c r="L400" s="30">
        <v>30</v>
      </c>
      <c r="M400" s="44" t="str">
        <f t="shared" si="9"/>
        <v>Purísima</v>
      </c>
      <c r="N400" s="45" t="str">
        <f t="shared" si="10"/>
        <v>No</v>
      </c>
      <c r="O400" s="45" t="str">
        <f t="shared" si="11"/>
        <v>No</v>
      </c>
      <c r="P400" s="44"/>
    </row>
    <row r="401" spans="1:16">
      <c r="A401" s="30" t="s">
        <v>2906</v>
      </c>
      <c r="B401" s="29" t="s">
        <v>1660</v>
      </c>
      <c r="C401" s="30" t="s">
        <v>2598</v>
      </c>
      <c r="D401" s="30" t="s">
        <v>2484</v>
      </c>
      <c r="E401" s="32">
        <v>171</v>
      </c>
      <c r="F401" s="30" t="s">
        <v>2599</v>
      </c>
      <c r="H401" s="30" t="s">
        <v>2486</v>
      </c>
      <c r="I401" s="30" t="s">
        <v>168</v>
      </c>
      <c r="J401" s="30">
        <v>17</v>
      </c>
      <c r="L401" s="30">
        <v>17</v>
      </c>
      <c r="M401" s="44" t="str">
        <f t="shared" si="9"/>
        <v>Purísima</v>
      </c>
      <c r="N401" s="45" t="str">
        <f t="shared" si="10"/>
        <v>No</v>
      </c>
      <c r="O401" s="45" t="str">
        <f t="shared" si="11"/>
        <v>No</v>
      </c>
      <c r="P401" s="44"/>
    </row>
    <row r="402" spans="1:16">
      <c r="A402" s="30" t="s">
        <v>2907</v>
      </c>
      <c r="B402" s="29" t="s">
        <v>1664</v>
      </c>
      <c r="C402" s="30" t="s">
        <v>2598</v>
      </c>
      <c r="D402" s="30" t="s">
        <v>2484</v>
      </c>
      <c r="E402" s="32">
        <v>171</v>
      </c>
      <c r="F402" s="30" t="s">
        <v>2599</v>
      </c>
      <c r="H402" s="30" t="s">
        <v>2486</v>
      </c>
      <c r="I402" s="30" t="s">
        <v>168</v>
      </c>
      <c r="J402" s="30">
        <v>19</v>
      </c>
      <c r="L402" s="30">
        <v>19</v>
      </c>
      <c r="M402" s="44" t="str">
        <f t="shared" si="9"/>
        <v>Purísima</v>
      </c>
      <c r="N402" s="45" t="str">
        <f t="shared" si="10"/>
        <v>No</v>
      </c>
      <c r="O402" s="45" t="str">
        <f t="shared" si="11"/>
        <v>No</v>
      </c>
      <c r="P402" s="44"/>
    </row>
    <row r="403" spans="1:16">
      <c r="A403" s="30" t="s">
        <v>2908</v>
      </c>
      <c r="B403" s="29" t="s">
        <v>1668</v>
      </c>
      <c r="C403" s="30" t="s">
        <v>2598</v>
      </c>
      <c r="D403" s="30" t="s">
        <v>2484</v>
      </c>
      <c r="E403" s="32">
        <v>171</v>
      </c>
      <c r="F403" s="30" t="s">
        <v>2599</v>
      </c>
      <c r="H403" s="30" t="s">
        <v>2486</v>
      </c>
      <c r="I403" s="30" t="s">
        <v>168</v>
      </c>
      <c r="J403" s="30">
        <v>35</v>
      </c>
      <c r="L403" s="30">
        <v>35</v>
      </c>
      <c r="M403" s="44" t="str">
        <f t="shared" si="9"/>
        <v>Purísima</v>
      </c>
      <c r="N403" s="45" t="str">
        <f t="shared" si="10"/>
        <v>No</v>
      </c>
      <c r="O403" s="45" t="str">
        <f t="shared" si="11"/>
        <v>No</v>
      </c>
      <c r="P403" s="44"/>
    </row>
    <row r="404" spans="1:16">
      <c r="A404" s="30" t="s">
        <v>2909</v>
      </c>
      <c r="B404" s="29" t="s">
        <v>1672</v>
      </c>
      <c r="C404" s="30" t="s">
        <v>2598</v>
      </c>
      <c r="D404" s="30" t="s">
        <v>2484</v>
      </c>
      <c r="E404" s="32">
        <v>171</v>
      </c>
      <c r="F404" s="30" t="s">
        <v>2599</v>
      </c>
      <c r="H404" s="30" t="s">
        <v>2486</v>
      </c>
      <c r="I404" s="30" t="s">
        <v>168</v>
      </c>
      <c r="J404" s="30">
        <v>3</v>
      </c>
      <c r="L404" s="30">
        <v>3</v>
      </c>
      <c r="M404" s="44" t="str">
        <f t="shared" si="9"/>
        <v>Purísima</v>
      </c>
      <c r="N404" s="45" t="str">
        <f t="shared" si="10"/>
        <v>No</v>
      </c>
      <c r="O404" s="45" t="str">
        <f t="shared" si="11"/>
        <v>No</v>
      </c>
      <c r="P404" s="44"/>
    </row>
    <row r="405" spans="1:16">
      <c r="A405" s="30" t="s">
        <v>2910</v>
      </c>
      <c r="B405" s="29" t="s">
        <v>1674</v>
      </c>
      <c r="C405" s="30" t="s">
        <v>2598</v>
      </c>
      <c r="D405" s="30" t="s">
        <v>2484</v>
      </c>
      <c r="E405" s="32"/>
      <c r="H405" s="30" t="s">
        <v>168</v>
      </c>
      <c r="I405" s="30" t="s">
        <v>168</v>
      </c>
      <c r="J405" s="30">
        <v>153</v>
      </c>
      <c r="L405" s="30">
        <v>153</v>
      </c>
      <c r="M405" s="44">
        <f t="shared" si="9"/>
        <v>0</v>
      </c>
      <c r="N405" s="45" t="str">
        <f t="shared" si="10"/>
        <v>No</v>
      </c>
      <c r="O405" s="45" t="str">
        <f t="shared" si="11"/>
        <v>No</v>
      </c>
      <c r="P405" s="44"/>
    </row>
    <row r="406" spans="1:16">
      <c r="A406" s="30" t="s">
        <v>2911</v>
      </c>
      <c r="B406" s="29" t="s">
        <v>1678</v>
      </c>
      <c r="C406" s="30" t="s">
        <v>2598</v>
      </c>
      <c r="D406" s="30" t="s">
        <v>2484</v>
      </c>
      <c r="E406" s="32"/>
      <c r="H406" s="30" t="s">
        <v>168</v>
      </c>
      <c r="I406" s="30" t="s">
        <v>168</v>
      </c>
      <c r="J406" s="30">
        <v>83</v>
      </c>
      <c r="L406" s="30">
        <v>83</v>
      </c>
      <c r="M406" s="44">
        <f t="shared" si="9"/>
        <v>0</v>
      </c>
      <c r="N406" s="45" t="str">
        <f t="shared" si="10"/>
        <v>No</v>
      </c>
      <c r="O406" s="45" t="str">
        <f t="shared" si="11"/>
        <v>No</v>
      </c>
      <c r="P406" s="44"/>
    </row>
    <row r="407" spans="1:16">
      <c r="A407" s="30" t="s">
        <v>2912</v>
      </c>
      <c r="B407" s="29" t="s">
        <v>1684</v>
      </c>
      <c r="C407" s="30" t="s">
        <v>2490</v>
      </c>
      <c r="D407" s="30" t="s">
        <v>2491</v>
      </c>
      <c r="E407" s="32"/>
      <c r="H407" s="30" t="s">
        <v>168</v>
      </c>
      <c r="I407" s="30" t="s">
        <v>168</v>
      </c>
      <c r="J407" s="30">
        <v>6</v>
      </c>
      <c r="L407" s="30">
        <v>6</v>
      </c>
      <c r="M407" s="44">
        <f t="shared" si="9"/>
        <v>0</v>
      </c>
      <c r="N407" s="45" t="str">
        <f t="shared" si="10"/>
        <v>No</v>
      </c>
      <c r="O407" s="45" t="str">
        <f t="shared" si="11"/>
        <v>No</v>
      </c>
      <c r="P407" s="44"/>
    </row>
    <row r="408" spans="1:16">
      <c r="A408" s="30" t="s">
        <v>2913</v>
      </c>
      <c r="B408" s="29" t="s">
        <v>1687</v>
      </c>
      <c r="C408" s="30" t="s">
        <v>2490</v>
      </c>
      <c r="D408" s="30" t="s">
        <v>2491</v>
      </c>
      <c r="E408" s="32"/>
      <c r="H408" s="30" t="s">
        <v>168</v>
      </c>
      <c r="I408" s="30" t="s">
        <v>168</v>
      </c>
      <c r="J408" s="30">
        <v>6</v>
      </c>
      <c r="L408" s="30">
        <v>6</v>
      </c>
      <c r="M408" s="44">
        <f t="shared" si="9"/>
        <v>0</v>
      </c>
      <c r="N408" s="45" t="str">
        <f t="shared" si="10"/>
        <v>No</v>
      </c>
      <c r="O408" s="45" t="str">
        <f t="shared" si="11"/>
        <v>No</v>
      </c>
      <c r="P408" s="44"/>
    </row>
    <row r="409" spans="1:16">
      <c r="A409" s="30" t="s">
        <v>2914</v>
      </c>
      <c r="B409" s="29" t="s">
        <v>1689</v>
      </c>
      <c r="C409" s="30" t="s">
        <v>2490</v>
      </c>
      <c r="D409" s="30" t="s">
        <v>2491</v>
      </c>
      <c r="E409" s="32"/>
      <c r="H409" s="30" t="s">
        <v>168</v>
      </c>
      <c r="I409" s="30" t="s">
        <v>168</v>
      </c>
      <c r="J409" s="30">
        <v>10</v>
      </c>
      <c r="L409" s="30">
        <v>10</v>
      </c>
      <c r="M409" s="44">
        <f t="shared" si="9"/>
        <v>0</v>
      </c>
      <c r="N409" s="45" t="str">
        <f t="shared" si="10"/>
        <v>No</v>
      </c>
      <c r="O409" s="45" t="str">
        <f t="shared" si="11"/>
        <v>No</v>
      </c>
      <c r="P409" s="44"/>
    </row>
    <row r="410" spans="1:16">
      <c r="A410" s="30" t="s">
        <v>2915</v>
      </c>
      <c r="B410" s="29" t="s">
        <v>1692</v>
      </c>
      <c r="C410" s="30" t="s">
        <v>2490</v>
      </c>
      <c r="D410" s="30" t="s">
        <v>2491</v>
      </c>
      <c r="E410" s="32"/>
      <c r="H410" s="30" t="s">
        <v>168</v>
      </c>
      <c r="I410" s="30" t="s">
        <v>168</v>
      </c>
      <c r="J410" s="30">
        <v>34</v>
      </c>
      <c r="K410" s="30">
        <v>34</v>
      </c>
      <c r="L410" s="30">
        <v>0</v>
      </c>
      <c r="M410" s="44">
        <f t="shared" si="9"/>
        <v>0</v>
      </c>
      <c r="N410" s="45" t="str">
        <f t="shared" si="10"/>
        <v>No</v>
      </c>
      <c r="O410" s="45" t="str">
        <f t="shared" si="11"/>
        <v>No</v>
      </c>
      <c r="P410" s="44"/>
    </row>
    <row r="411" spans="1:16">
      <c r="A411" s="30" t="s">
        <v>2916</v>
      </c>
      <c r="B411" s="29" t="s">
        <v>1695</v>
      </c>
      <c r="C411" s="30" t="s">
        <v>2490</v>
      </c>
      <c r="D411" s="30" t="s">
        <v>2491</v>
      </c>
      <c r="E411" s="32"/>
      <c r="H411" s="30" t="s">
        <v>168</v>
      </c>
      <c r="I411" s="30" t="s">
        <v>168</v>
      </c>
      <c r="J411" s="30">
        <v>31</v>
      </c>
      <c r="K411" s="30">
        <v>31</v>
      </c>
      <c r="L411" s="30">
        <v>0</v>
      </c>
      <c r="M411" s="44">
        <f t="shared" si="9"/>
        <v>0</v>
      </c>
      <c r="N411" s="45" t="str">
        <f t="shared" si="10"/>
        <v>No</v>
      </c>
      <c r="O411" s="45" t="str">
        <f t="shared" si="11"/>
        <v>No</v>
      </c>
      <c r="P411" s="44"/>
    </row>
    <row r="412" spans="1:16">
      <c r="A412" s="30" t="s">
        <v>2917</v>
      </c>
      <c r="B412" s="29" t="s">
        <v>1698</v>
      </c>
      <c r="C412" s="30" t="s">
        <v>2490</v>
      </c>
      <c r="D412" s="30" t="s">
        <v>2491</v>
      </c>
      <c r="E412" s="32"/>
      <c r="H412" s="30" t="s">
        <v>168</v>
      </c>
      <c r="I412" s="30" t="s">
        <v>168</v>
      </c>
      <c r="J412" s="30">
        <v>34</v>
      </c>
      <c r="K412" s="30">
        <v>34</v>
      </c>
      <c r="L412" s="30">
        <v>0</v>
      </c>
      <c r="M412" s="44">
        <f t="shared" si="9"/>
        <v>0</v>
      </c>
      <c r="N412" s="45" t="str">
        <f t="shared" si="10"/>
        <v>No</v>
      </c>
      <c r="O412" s="45" t="str">
        <f t="shared" si="11"/>
        <v>No</v>
      </c>
      <c r="P412" s="44"/>
    </row>
    <row r="413" spans="1:16">
      <c r="A413" s="30" t="s">
        <v>2918</v>
      </c>
      <c r="B413" s="29" t="s">
        <v>1700</v>
      </c>
      <c r="C413" s="30" t="s">
        <v>2490</v>
      </c>
      <c r="D413" s="30" t="s">
        <v>2491</v>
      </c>
      <c r="E413" s="32"/>
      <c r="H413" s="30" t="s">
        <v>168</v>
      </c>
      <c r="I413" s="30" t="s">
        <v>168</v>
      </c>
      <c r="J413" s="30">
        <v>26</v>
      </c>
      <c r="L413" s="30">
        <v>26</v>
      </c>
      <c r="M413" s="44">
        <f t="shared" si="9"/>
        <v>0</v>
      </c>
      <c r="N413" s="45" t="str">
        <f t="shared" si="10"/>
        <v>No</v>
      </c>
      <c r="O413" s="45" t="str">
        <f t="shared" si="11"/>
        <v>No</v>
      </c>
      <c r="P413" s="44"/>
    </row>
    <row r="414" spans="1:16">
      <c r="A414" s="30" t="s">
        <v>2919</v>
      </c>
      <c r="B414" s="29" t="s">
        <v>1703</v>
      </c>
      <c r="C414" s="30" t="s">
        <v>2490</v>
      </c>
      <c r="D414" s="30" t="s">
        <v>2491</v>
      </c>
      <c r="E414" s="32">
        <v>215</v>
      </c>
      <c r="F414" s="30" t="s">
        <v>2492</v>
      </c>
      <c r="H414" s="30" t="s">
        <v>2486</v>
      </c>
      <c r="I414" s="30" t="s">
        <v>2486</v>
      </c>
      <c r="J414" s="30">
        <v>2</v>
      </c>
      <c r="L414" s="30">
        <v>2</v>
      </c>
      <c r="M414" s="44" t="str">
        <f t="shared" si="9"/>
        <v>Silao</v>
      </c>
      <c r="N414" s="45" t="str">
        <f t="shared" si="10"/>
        <v>No</v>
      </c>
      <c r="O414" s="45" t="str">
        <f t="shared" si="11"/>
        <v>No</v>
      </c>
      <c r="P414" s="44"/>
    </row>
    <row r="415" spans="1:16">
      <c r="A415" s="30" t="s">
        <v>2920</v>
      </c>
      <c r="B415" s="29" t="s">
        <v>1705</v>
      </c>
      <c r="C415" s="30" t="s">
        <v>2490</v>
      </c>
      <c r="D415" s="30" t="s">
        <v>2491</v>
      </c>
      <c r="E415" s="32">
        <v>215</v>
      </c>
      <c r="F415" s="30" t="s">
        <v>2492</v>
      </c>
      <c r="H415" s="30" t="s">
        <v>2486</v>
      </c>
      <c r="I415" s="30" t="s">
        <v>2486</v>
      </c>
      <c r="J415" s="30">
        <v>3</v>
      </c>
      <c r="L415" s="30">
        <v>3</v>
      </c>
      <c r="M415" s="44" t="str">
        <f t="shared" si="9"/>
        <v>Silao</v>
      </c>
      <c r="N415" s="45" t="str">
        <f t="shared" si="10"/>
        <v>No</v>
      </c>
      <c r="O415" s="45" t="str">
        <f t="shared" si="11"/>
        <v>No</v>
      </c>
      <c r="P415" s="44"/>
    </row>
    <row r="416" spans="1:16">
      <c r="A416" s="30" t="s">
        <v>2921</v>
      </c>
      <c r="B416" s="29" t="s">
        <v>1707</v>
      </c>
      <c r="C416" s="30" t="s">
        <v>2490</v>
      </c>
      <c r="D416" s="30" t="s">
        <v>2491</v>
      </c>
      <c r="E416" s="32"/>
      <c r="H416" s="30" t="s">
        <v>168</v>
      </c>
      <c r="I416" s="30" t="s">
        <v>168</v>
      </c>
      <c r="J416" s="30">
        <v>3</v>
      </c>
      <c r="L416" s="30">
        <v>3</v>
      </c>
      <c r="M416" s="44">
        <f t="shared" si="9"/>
        <v>0</v>
      </c>
      <c r="N416" s="45" t="str">
        <f t="shared" si="10"/>
        <v>No</v>
      </c>
      <c r="O416" s="45" t="str">
        <f t="shared" si="11"/>
        <v>No</v>
      </c>
      <c r="P416" s="44"/>
    </row>
    <row r="417" spans="1:16">
      <c r="A417" s="30" t="s">
        <v>2922</v>
      </c>
      <c r="B417" s="29" t="s">
        <v>1709</v>
      </c>
      <c r="C417" s="30" t="s">
        <v>2923</v>
      </c>
      <c r="D417" s="30" t="s">
        <v>2491</v>
      </c>
      <c r="E417" s="32">
        <v>181</v>
      </c>
      <c r="F417" s="30" t="s">
        <v>2923</v>
      </c>
      <c r="H417" s="30" t="s">
        <v>2486</v>
      </c>
      <c r="I417" s="30" t="s">
        <v>2486</v>
      </c>
      <c r="J417" s="30">
        <v>1368</v>
      </c>
      <c r="L417" s="30">
        <v>1368</v>
      </c>
      <c r="M417" s="44" t="str">
        <f t="shared" si="9"/>
        <v>Salamanca</v>
      </c>
      <c r="N417" s="45" t="str">
        <f t="shared" si="10"/>
        <v>No</v>
      </c>
      <c r="O417" s="45" t="str">
        <f t="shared" si="11"/>
        <v>No</v>
      </c>
      <c r="P417" s="44"/>
    </row>
    <row r="418" spans="1:16">
      <c r="A418" s="30" t="s">
        <v>2924</v>
      </c>
      <c r="B418" s="29" t="s">
        <v>1722</v>
      </c>
      <c r="C418" s="30" t="s">
        <v>2490</v>
      </c>
      <c r="D418" s="30" t="s">
        <v>2491</v>
      </c>
      <c r="E418" s="32"/>
      <c r="H418" s="30" t="s">
        <v>168</v>
      </c>
      <c r="I418" s="30" t="s">
        <v>168</v>
      </c>
      <c r="J418" s="30">
        <v>6</v>
      </c>
      <c r="L418" s="30">
        <v>6</v>
      </c>
      <c r="M418" s="44">
        <f t="shared" si="9"/>
        <v>0</v>
      </c>
      <c r="N418" s="45" t="str">
        <f t="shared" si="10"/>
        <v>No</v>
      </c>
      <c r="O418" s="45" t="str">
        <f t="shared" si="11"/>
        <v>No</v>
      </c>
      <c r="P418" s="44"/>
    </row>
    <row r="419" spans="1:16">
      <c r="A419" s="30" t="s">
        <v>2925</v>
      </c>
      <c r="B419" s="29" t="s">
        <v>1724</v>
      </c>
      <c r="C419" s="30" t="s">
        <v>2490</v>
      </c>
      <c r="D419" s="30" t="s">
        <v>2491</v>
      </c>
      <c r="E419" s="32"/>
      <c r="H419" s="30" t="s">
        <v>168</v>
      </c>
      <c r="I419" s="30" t="s">
        <v>168</v>
      </c>
      <c r="J419" s="30">
        <v>5</v>
      </c>
      <c r="L419" s="30">
        <v>5</v>
      </c>
      <c r="M419" s="44">
        <f t="shared" si="9"/>
        <v>0</v>
      </c>
      <c r="N419" s="45" t="str">
        <f t="shared" si="10"/>
        <v>No</v>
      </c>
      <c r="O419" s="45" t="str">
        <f t="shared" si="11"/>
        <v>No</v>
      </c>
      <c r="P419" s="44"/>
    </row>
    <row r="420" spans="1:16">
      <c r="A420" s="30" t="s">
        <v>2926</v>
      </c>
      <c r="B420" s="29" t="s">
        <v>1727</v>
      </c>
      <c r="C420" s="30" t="s">
        <v>2490</v>
      </c>
      <c r="D420" s="30" t="s">
        <v>2491</v>
      </c>
      <c r="E420" s="32"/>
      <c r="H420" s="30" t="s">
        <v>168</v>
      </c>
      <c r="I420" s="30" t="s">
        <v>168</v>
      </c>
      <c r="J420" s="30">
        <v>9</v>
      </c>
      <c r="L420" s="30">
        <v>9</v>
      </c>
      <c r="M420" s="44">
        <f t="shared" si="9"/>
        <v>0</v>
      </c>
      <c r="N420" s="45" t="str">
        <f t="shared" si="10"/>
        <v>No</v>
      </c>
      <c r="O420" s="45" t="str">
        <f t="shared" si="11"/>
        <v>No</v>
      </c>
      <c r="P420" s="44"/>
    </row>
    <row r="421" spans="1:16">
      <c r="A421" s="30" t="s">
        <v>2927</v>
      </c>
      <c r="B421" s="29" t="s">
        <v>1729</v>
      </c>
      <c r="C421" s="30" t="s">
        <v>2490</v>
      </c>
      <c r="D421" s="30" t="s">
        <v>2491</v>
      </c>
      <c r="E421" s="32"/>
      <c r="H421" s="30" t="s">
        <v>168</v>
      </c>
      <c r="I421" s="30" t="s">
        <v>168</v>
      </c>
      <c r="J421" s="30">
        <v>7</v>
      </c>
      <c r="L421" s="30">
        <v>7</v>
      </c>
      <c r="M421" s="44">
        <f t="shared" si="9"/>
        <v>0</v>
      </c>
      <c r="N421" s="45" t="str">
        <f t="shared" si="10"/>
        <v>No</v>
      </c>
      <c r="O421" s="45" t="str">
        <f t="shared" si="11"/>
        <v>No</v>
      </c>
      <c r="P421" s="44"/>
    </row>
    <row r="422" spans="1:16">
      <c r="A422" s="30" t="s">
        <v>2928</v>
      </c>
      <c r="B422" s="29" t="s">
        <v>1731</v>
      </c>
      <c r="C422" s="30" t="s">
        <v>2490</v>
      </c>
      <c r="D422" s="30" t="s">
        <v>2491</v>
      </c>
      <c r="E422" s="32"/>
      <c r="H422" s="30" t="s">
        <v>168</v>
      </c>
      <c r="I422" s="30" t="s">
        <v>168</v>
      </c>
      <c r="J422" s="30">
        <v>21</v>
      </c>
      <c r="L422" s="30">
        <v>21</v>
      </c>
      <c r="M422" s="44">
        <f t="shared" si="9"/>
        <v>0</v>
      </c>
      <c r="N422" s="45" t="str">
        <f t="shared" si="10"/>
        <v>No</v>
      </c>
      <c r="O422" s="45" t="str">
        <f t="shared" si="11"/>
        <v>No</v>
      </c>
      <c r="P422" s="44"/>
    </row>
    <row r="423" spans="1:16">
      <c r="A423" s="30" t="s">
        <v>2929</v>
      </c>
      <c r="B423" s="29" t="s">
        <v>1733</v>
      </c>
      <c r="C423" s="30" t="s">
        <v>2923</v>
      </c>
      <c r="D423" s="30" t="s">
        <v>2491</v>
      </c>
      <c r="E423" s="32">
        <v>181</v>
      </c>
      <c r="F423" s="30" t="s">
        <v>2923</v>
      </c>
      <c r="H423" s="30" t="s">
        <v>2486</v>
      </c>
      <c r="I423" s="30" t="s">
        <v>2486</v>
      </c>
      <c r="J423" s="30">
        <v>9</v>
      </c>
      <c r="K423" s="30">
        <v>2</v>
      </c>
      <c r="L423" s="30">
        <v>7</v>
      </c>
      <c r="M423" s="44" t="str">
        <f t="shared" si="9"/>
        <v>Salamanca</v>
      </c>
      <c r="N423" s="45" t="str">
        <f t="shared" si="10"/>
        <v>No</v>
      </c>
      <c r="O423" s="45" t="str">
        <f t="shared" si="11"/>
        <v>No</v>
      </c>
      <c r="P423" s="44"/>
    </row>
    <row r="424" spans="1:16">
      <c r="A424" s="30" t="s">
        <v>2930</v>
      </c>
      <c r="B424" s="29" t="s">
        <v>1743</v>
      </c>
      <c r="C424" s="30" t="s">
        <v>2923</v>
      </c>
      <c r="D424" s="30" t="s">
        <v>2491</v>
      </c>
      <c r="E424" s="32">
        <v>181</v>
      </c>
      <c r="F424" s="30" t="s">
        <v>2923</v>
      </c>
      <c r="H424" s="30" t="s">
        <v>2486</v>
      </c>
      <c r="I424" s="30" t="s">
        <v>2486</v>
      </c>
      <c r="J424" s="30">
        <v>20</v>
      </c>
      <c r="K424" s="30">
        <v>1</v>
      </c>
      <c r="L424" s="30">
        <v>19</v>
      </c>
      <c r="M424" s="44" t="str">
        <f t="shared" si="9"/>
        <v>Salamanca</v>
      </c>
      <c r="N424" s="45" t="str">
        <f t="shared" si="10"/>
        <v>No</v>
      </c>
      <c r="O424" s="45" t="str">
        <f t="shared" si="11"/>
        <v>No</v>
      </c>
      <c r="P424" s="44"/>
    </row>
    <row r="425" spans="1:16">
      <c r="A425" s="46" t="s">
        <v>2931</v>
      </c>
      <c r="B425" s="29" t="s">
        <v>1753</v>
      </c>
      <c r="C425" s="30" t="s">
        <v>2923</v>
      </c>
      <c r="D425" s="30" t="s">
        <v>2491</v>
      </c>
      <c r="E425" s="32">
        <v>181</v>
      </c>
      <c r="F425" s="30" t="s">
        <v>2923</v>
      </c>
      <c r="H425" s="30" t="s">
        <v>2486</v>
      </c>
      <c r="I425" s="30" t="s">
        <v>2486</v>
      </c>
      <c r="J425" s="30">
        <v>10</v>
      </c>
      <c r="K425" s="30">
        <v>2</v>
      </c>
      <c r="L425" s="30">
        <v>8</v>
      </c>
      <c r="M425" s="44" t="str">
        <f t="shared" si="9"/>
        <v>Salamanca</v>
      </c>
      <c r="N425" s="45" t="str">
        <f t="shared" si="10"/>
        <v>No</v>
      </c>
      <c r="O425" s="45" t="str">
        <f t="shared" si="11"/>
        <v>No</v>
      </c>
      <c r="P425" s="44"/>
    </row>
    <row r="426" spans="1:16">
      <c r="A426" s="30" t="s">
        <v>2932</v>
      </c>
      <c r="B426" s="29" t="s">
        <v>1759</v>
      </c>
      <c r="C426" s="30" t="s">
        <v>2923</v>
      </c>
      <c r="D426" s="30" t="s">
        <v>2491</v>
      </c>
      <c r="E426" s="32">
        <v>181</v>
      </c>
      <c r="F426" s="30" t="s">
        <v>2923</v>
      </c>
      <c r="H426" s="30" t="s">
        <v>2486</v>
      </c>
      <c r="I426" s="30" t="s">
        <v>2486</v>
      </c>
      <c r="J426" s="30">
        <v>13</v>
      </c>
      <c r="K426" s="30">
        <v>1</v>
      </c>
      <c r="L426" s="30">
        <v>12</v>
      </c>
      <c r="M426" s="44" t="str">
        <f t="shared" si="9"/>
        <v>Salamanca</v>
      </c>
      <c r="N426" s="45" t="str">
        <f t="shared" si="10"/>
        <v>No</v>
      </c>
      <c r="O426" s="45" t="str">
        <f t="shared" si="11"/>
        <v>No</v>
      </c>
      <c r="P426" s="44"/>
    </row>
    <row r="427" spans="1:16">
      <c r="A427" s="30" t="s">
        <v>2933</v>
      </c>
      <c r="B427" s="29" t="s">
        <v>1765</v>
      </c>
      <c r="C427" s="30" t="s">
        <v>2923</v>
      </c>
      <c r="D427" s="30" t="s">
        <v>2491</v>
      </c>
      <c r="E427" s="32">
        <v>181</v>
      </c>
      <c r="F427" s="30" t="s">
        <v>2923</v>
      </c>
      <c r="H427" s="30" t="s">
        <v>2486</v>
      </c>
      <c r="I427" s="30" t="s">
        <v>2486</v>
      </c>
      <c r="J427" s="30">
        <v>7</v>
      </c>
      <c r="K427" s="30">
        <v>1</v>
      </c>
      <c r="L427" s="30">
        <v>6</v>
      </c>
      <c r="M427" s="44" t="str">
        <f t="shared" si="9"/>
        <v>Salamanca</v>
      </c>
      <c r="N427" s="45" t="str">
        <f t="shared" si="10"/>
        <v>No</v>
      </c>
      <c r="O427" s="45" t="str">
        <f t="shared" si="11"/>
        <v>No</v>
      </c>
      <c r="P427" s="44"/>
    </row>
    <row r="428" spans="1:16">
      <c r="A428" s="30" t="s">
        <v>2934</v>
      </c>
      <c r="B428" s="29" t="s">
        <v>1773</v>
      </c>
      <c r="C428" s="30" t="s">
        <v>2923</v>
      </c>
      <c r="D428" s="30" t="s">
        <v>2491</v>
      </c>
      <c r="E428" s="32">
        <v>181</v>
      </c>
      <c r="F428" s="30" t="s">
        <v>2923</v>
      </c>
      <c r="H428" s="30" t="s">
        <v>2486</v>
      </c>
      <c r="I428" s="30" t="s">
        <v>2486</v>
      </c>
      <c r="J428" s="30">
        <v>10</v>
      </c>
      <c r="K428" s="30">
        <v>1</v>
      </c>
      <c r="L428" s="30">
        <v>9</v>
      </c>
      <c r="M428" s="44" t="str">
        <f t="shared" si="9"/>
        <v>Salamanca</v>
      </c>
      <c r="N428" s="45" t="str">
        <f t="shared" si="10"/>
        <v>No</v>
      </c>
      <c r="O428" s="45" t="str">
        <f t="shared" si="11"/>
        <v>No</v>
      </c>
      <c r="P428" s="44"/>
    </row>
    <row r="429" spans="1:16">
      <c r="A429" s="30" t="s">
        <v>2935</v>
      </c>
      <c r="B429" s="29" t="s">
        <v>1780</v>
      </c>
      <c r="C429" s="30" t="s">
        <v>2923</v>
      </c>
      <c r="D429" s="30" t="s">
        <v>2491</v>
      </c>
      <c r="E429" s="32">
        <v>181</v>
      </c>
      <c r="F429" s="30" t="s">
        <v>2923</v>
      </c>
      <c r="H429" s="30" t="s">
        <v>2486</v>
      </c>
      <c r="I429" s="30" t="s">
        <v>2486</v>
      </c>
      <c r="J429" s="30">
        <v>17</v>
      </c>
      <c r="K429" s="30">
        <v>3</v>
      </c>
      <c r="L429" s="30">
        <v>14</v>
      </c>
      <c r="M429" s="44" t="str">
        <f t="shared" si="9"/>
        <v>Salamanca</v>
      </c>
      <c r="N429" s="45" t="str">
        <f t="shared" si="10"/>
        <v>No</v>
      </c>
      <c r="O429" s="45" t="str">
        <f t="shared" si="11"/>
        <v>No</v>
      </c>
      <c r="P429" s="44"/>
    </row>
    <row r="430" spans="1:16">
      <c r="A430" s="30" t="s">
        <v>2936</v>
      </c>
      <c r="B430" s="29" t="s">
        <v>1787</v>
      </c>
      <c r="C430" s="30" t="s">
        <v>2923</v>
      </c>
      <c r="D430" s="30" t="s">
        <v>2491</v>
      </c>
      <c r="E430" s="32">
        <v>181</v>
      </c>
      <c r="F430" s="30" t="s">
        <v>2923</v>
      </c>
      <c r="H430" s="30" t="s">
        <v>2486</v>
      </c>
      <c r="I430" s="30" t="s">
        <v>2486</v>
      </c>
      <c r="J430" s="30">
        <v>10</v>
      </c>
      <c r="K430" s="30">
        <v>1</v>
      </c>
      <c r="L430" s="30">
        <v>9</v>
      </c>
      <c r="M430" s="44" t="str">
        <f t="shared" si="9"/>
        <v>Salamanca</v>
      </c>
      <c r="N430" s="45" t="str">
        <f t="shared" si="10"/>
        <v>No</v>
      </c>
      <c r="O430" s="45" t="str">
        <f t="shared" si="11"/>
        <v>No</v>
      </c>
      <c r="P430" s="44"/>
    </row>
    <row r="431" spans="1:16">
      <c r="A431" s="30" t="s">
        <v>2937</v>
      </c>
      <c r="B431" s="29" t="s">
        <v>1793</v>
      </c>
      <c r="C431" s="30" t="s">
        <v>2923</v>
      </c>
      <c r="D431" s="30" t="s">
        <v>2491</v>
      </c>
      <c r="E431" s="32">
        <v>181</v>
      </c>
      <c r="F431" s="30" t="s">
        <v>2923</v>
      </c>
      <c r="H431" s="30" t="s">
        <v>2486</v>
      </c>
      <c r="I431" s="30" t="s">
        <v>2486</v>
      </c>
      <c r="J431" s="30">
        <v>18</v>
      </c>
      <c r="K431" s="30">
        <v>2</v>
      </c>
      <c r="L431" s="30">
        <v>16</v>
      </c>
      <c r="M431" s="44" t="str">
        <f t="shared" si="9"/>
        <v>Salamanca</v>
      </c>
      <c r="N431" s="45" t="str">
        <f t="shared" si="10"/>
        <v>No</v>
      </c>
      <c r="O431" s="45" t="str">
        <f t="shared" si="11"/>
        <v>No</v>
      </c>
      <c r="P431" s="44"/>
    </row>
    <row r="432" spans="1:16">
      <c r="A432" s="46" t="s">
        <v>2938</v>
      </c>
      <c r="B432" s="29" t="s">
        <v>1800</v>
      </c>
      <c r="C432" s="30" t="s">
        <v>2923</v>
      </c>
      <c r="D432" s="30" t="s">
        <v>2491</v>
      </c>
      <c r="E432" s="32">
        <v>181</v>
      </c>
      <c r="F432" s="30" t="s">
        <v>2923</v>
      </c>
      <c r="H432" s="30" t="s">
        <v>2486</v>
      </c>
      <c r="I432" s="30" t="s">
        <v>2486</v>
      </c>
      <c r="J432" s="30">
        <v>16</v>
      </c>
      <c r="K432" s="30">
        <v>1</v>
      </c>
      <c r="L432" s="30">
        <v>15</v>
      </c>
      <c r="M432" s="44" t="str">
        <f t="shared" si="9"/>
        <v>Salamanca</v>
      </c>
      <c r="N432" s="45" t="str">
        <f t="shared" si="10"/>
        <v>No</v>
      </c>
      <c r="O432" s="45" t="str">
        <f t="shared" si="11"/>
        <v>No</v>
      </c>
      <c r="P432" s="44"/>
    </row>
    <row r="433" spans="1:16">
      <c r="A433" s="30" t="s">
        <v>2939</v>
      </c>
      <c r="B433" s="29" t="s">
        <v>1806</v>
      </c>
      <c r="C433" s="30" t="s">
        <v>2923</v>
      </c>
      <c r="D433" s="30" t="s">
        <v>2491</v>
      </c>
      <c r="E433" s="32">
        <v>181</v>
      </c>
      <c r="F433" s="30" t="s">
        <v>2923</v>
      </c>
      <c r="H433" s="30" t="s">
        <v>2486</v>
      </c>
      <c r="I433" s="30" t="s">
        <v>2486</v>
      </c>
      <c r="J433" s="30">
        <v>24</v>
      </c>
      <c r="K433" s="30">
        <v>1</v>
      </c>
      <c r="L433" s="30">
        <v>23</v>
      </c>
      <c r="M433" s="44" t="str">
        <f t="shared" si="9"/>
        <v>Salamanca</v>
      </c>
      <c r="N433" s="45" t="str">
        <f t="shared" si="10"/>
        <v>No</v>
      </c>
      <c r="O433" s="45" t="str">
        <f t="shared" si="11"/>
        <v>No</v>
      </c>
      <c r="P433" s="44"/>
    </row>
    <row r="434" spans="1:16">
      <c r="A434" s="30" t="s">
        <v>2940</v>
      </c>
      <c r="B434" s="29" t="s">
        <v>1812</v>
      </c>
      <c r="C434" s="30" t="s">
        <v>2923</v>
      </c>
      <c r="D434" s="30" t="s">
        <v>2491</v>
      </c>
      <c r="E434" s="32">
        <v>181</v>
      </c>
      <c r="F434" s="30" t="s">
        <v>2923</v>
      </c>
      <c r="H434" s="30" t="s">
        <v>2486</v>
      </c>
      <c r="I434" s="30" t="s">
        <v>2486</v>
      </c>
      <c r="J434" s="30">
        <v>15</v>
      </c>
      <c r="K434" s="30">
        <v>2</v>
      </c>
      <c r="L434" s="30">
        <v>13</v>
      </c>
      <c r="M434" s="44" t="str">
        <f t="shared" si="9"/>
        <v>Salamanca</v>
      </c>
      <c r="N434" s="45" t="str">
        <f t="shared" si="10"/>
        <v>No</v>
      </c>
      <c r="O434" s="45" t="str">
        <f t="shared" si="11"/>
        <v>No</v>
      </c>
      <c r="P434" s="44"/>
    </row>
    <row r="435" spans="1:16">
      <c r="A435" s="30" t="s">
        <v>2941</v>
      </c>
      <c r="B435" s="29" t="s">
        <v>1819</v>
      </c>
      <c r="C435" s="30" t="s">
        <v>2923</v>
      </c>
      <c r="D435" s="30" t="s">
        <v>2491</v>
      </c>
      <c r="E435" s="32">
        <v>181</v>
      </c>
      <c r="F435" s="30" t="s">
        <v>2923</v>
      </c>
      <c r="H435" s="30" t="s">
        <v>2486</v>
      </c>
      <c r="I435" s="30" t="s">
        <v>2486</v>
      </c>
      <c r="J435" s="30">
        <v>21</v>
      </c>
      <c r="K435" s="30">
        <v>3</v>
      </c>
      <c r="L435" s="30">
        <v>18</v>
      </c>
      <c r="M435" s="44" t="str">
        <f t="shared" si="9"/>
        <v>Salamanca</v>
      </c>
      <c r="N435" s="45" t="str">
        <f t="shared" si="10"/>
        <v>No</v>
      </c>
      <c r="O435" s="45" t="str">
        <f t="shared" si="11"/>
        <v>No</v>
      </c>
      <c r="P435" s="44"/>
    </row>
    <row r="436" spans="1:16">
      <c r="A436" s="30" t="s">
        <v>2942</v>
      </c>
      <c r="B436" s="29" t="s">
        <v>1826</v>
      </c>
      <c r="C436" s="30" t="s">
        <v>2923</v>
      </c>
      <c r="D436" s="30" t="s">
        <v>2491</v>
      </c>
      <c r="E436" s="32">
        <v>181</v>
      </c>
      <c r="F436" s="30" t="s">
        <v>2923</v>
      </c>
      <c r="H436" s="30" t="s">
        <v>2486</v>
      </c>
      <c r="I436" s="30" t="s">
        <v>2486</v>
      </c>
      <c r="J436" s="30">
        <v>185</v>
      </c>
      <c r="K436" s="30">
        <v>3</v>
      </c>
      <c r="L436" s="30">
        <v>182</v>
      </c>
      <c r="M436" s="44" t="str">
        <f t="shared" si="9"/>
        <v>Salamanca</v>
      </c>
      <c r="N436" s="45" t="str">
        <f t="shared" si="10"/>
        <v>No</v>
      </c>
      <c r="O436" s="45" t="str">
        <f t="shared" si="11"/>
        <v>No</v>
      </c>
      <c r="P436" s="44"/>
    </row>
    <row r="437" spans="1:16">
      <c r="A437" s="30" t="s">
        <v>2943</v>
      </c>
      <c r="B437" s="29" t="s">
        <v>1835</v>
      </c>
      <c r="C437" s="30" t="s">
        <v>2923</v>
      </c>
      <c r="D437" s="30" t="s">
        <v>2491</v>
      </c>
      <c r="E437" s="32">
        <v>181</v>
      </c>
      <c r="F437" s="30" t="s">
        <v>2923</v>
      </c>
      <c r="H437" s="30" t="s">
        <v>2486</v>
      </c>
      <c r="I437" s="30" t="s">
        <v>2486</v>
      </c>
      <c r="J437" s="30">
        <v>50</v>
      </c>
      <c r="K437" s="30">
        <v>19</v>
      </c>
      <c r="L437" s="30">
        <v>31</v>
      </c>
      <c r="M437" s="44" t="str">
        <f t="shared" si="9"/>
        <v>Salamanca</v>
      </c>
      <c r="N437" s="45" t="str">
        <f t="shared" si="10"/>
        <v>No</v>
      </c>
      <c r="O437" s="45" t="str">
        <f t="shared" si="11"/>
        <v>No</v>
      </c>
      <c r="P437" s="44"/>
    </row>
    <row r="438" spans="1:16">
      <c r="A438" s="30" t="s">
        <v>2944</v>
      </c>
      <c r="B438" s="29" t="s">
        <v>1841</v>
      </c>
      <c r="C438" s="30" t="s">
        <v>2521</v>
      </c>
      <c r="D438" s="30" t="s">
        <v>2491</v>
      </c>
      <c r="E438" s="32">
        <v>49</v>
      </c>
      <c r="F438" s="30" t="s">
        <v>2521</v>
      </c>
      <c r="H438" s="30" t="s">
        <v>2486</v>
      </c>
      <c r="I438" s="30" t="s">
        <v>2486</v>
      </c>
      <c r="J438" s="30">
        <v>157</v>
      </c>
      <c r="K438" s="30">
        <v>30</v>
      </c>
      <c r="L438" s="30">
        <v>127</v>
      </c>
      <c r="M438" s="44" t="str">
        <f t="shared" si="9"/>
        <v>Guanajuato</v>
      </c>
      <c r="N438" s="45" t="str">
        <f t="shared" si="10"/>
        <v>No</v>
      </c>
      <c r="O438" s="45" t="str">
        <f t="shared" si="11"/>
        <v>No</v>
      </c>
      <c r="P438" s="44"/>
    </row>
    <row r="439" spans="1:16">
      <c r="A439" s="30"/>
      <c r="B439" s="29"/>
      <c r="C439" s="30"/>
      <c r="D439" s="30"/>
      <c r="E439" s="32"/>
      <c r="F439" s="30"/>
      <c r="H439" s="30"/>
      <c r="I439" s="30"/>
      <c r="J439" s="30"/>
      <c r="K439" s="30"/>
      <c r="L439" s="30"/>
      <c r="M439" s="44"/>
      <c r="N439" s="45"/>
      <c r="O439" s="45"/>
      <c r="P439" s="44"/>
    </row>
    <row r="440" spans="1:16">
      <c r="A440" s="30" t="s">
        <v>2945</v>
      </c>
      <c r="B440" s="29" t="s">
        <v>1852</v>
      </c>
      <c r="C440" s="30" t="s">
        <v>2923</v>
      </c>
      <c r="D440" s="30" t="s">
        <v>2491</v>
      </c>
      <c r="E440" s="32">
        <v>181</v>
      </c>
      <c r="F440" s="30" t="s">
        <v>2923</v>
      </c>
      <c r="H440" s="30" t="s">
        <v>2486</v>
      </c>
      <c r="I440" s="30" t="s">
        <v>2486</v>
      </c>
      <c r="J440" s="30">
        <v>225</v>
      </c>
      <c r="K440" s="30">
        <v>25</v>
      </c>
      <c r="L440" s="30">
        <v>200</v>
      </c>
      <c r="M440" s="44" t="str">
        <f t="shared" ref="M440:M593" si="12">IF(F440&lt;&gt;"", F440, G440)</f>
        <v>Salamanca</v>
      </c>
      <c r="N440" s="45" t="str">
        <f t="shared" ref="N440:N593" si="13">IF(ISNUMBER(FIND("ZP", H440)), "Si", "No")</f>
        <v>No</v>
      </c>
      <c r="O440" s="45" t="str">
        <f t="shared" ref="O440:O593" si="14">IF(I440=TRUE, "Si", "No")</f>
        <v>No</v>
      </c>
      <c r="P440" s="44"/>
    </row>
    <row r="441" spans="1:16">
      <c r="A441" s="30" t="s">
        <v>2946</v>
      </c>
      <c r="B441" s="29" t="s">
        <v>1856</v>
      </c>
      <c r="C441" s="30" t="s">
        <v>2923</v>
      </c>
      <c r="D441" s="30" t="s">
        <v>2491</v>
      </c>
      <c r="E441" s="32">
        <v>181</v>
      </c>
      <c r="F441" s="30" t="s">
        <v>2923</v>
      </c>
      <c r="H441" s="30" t="s">
        <v>2486</v>
      </c>
      <c r="I441" s="30" t="s">
        <v>2486</v>
      </c>
      <c r="J441" s="30">
        <v>61</v>
      </c>
      <c r="K441" s="30">
        <v>30</v>
      </c>
      <c r="L441" s="30">
        <v>31</v>
      </c>
      <c r="M441" s="44" t="str">
        <f t="shared" si="12"/>
        <v>Salamanca</v>
      </c>
      <c r="N441" s="45" t="str">
        <f t="shared" si="13"/>
        <v>No</v>
      </c>
      <c r="O441" s="45" t="str">
        <f t="shared" si="14"/>
        <v>No</v>
      </c>
      <c r="P441" s="44"/>
    </row>
    <row r="442" spans="1:16">
      <c r="A442" s="30" t="s">
        <v>2947</v>
      </c>
      <c r="B442" s="29" t="s">
        <v>1861</v>
      </c>
      <c r="C442" s="30" t="s">
        <v>2923</v>
      </c>
      <c r="D442" s="30" t="s">
        <v>2491</v>
      </c>
      <c r="E442" s="32">
        <v>181</v>
      </c>
      <c r="F442" s="30" t="s">
        <v>2923</v>
      </c>
      <c r="H442" s="30" t="s">
        <v>2486</v>
      </c>
      <c r="I442" s="30" t="s">
        <v>2486</v>
      </c>
      <c r="J442" s="30">
        <v>30</v>
      </c>
      <c r="K442" s="30">
        <v>1</v>
      </c>
      <c r="L442" s="30">
        <v>29</v>
      </c>
      <c r="M442" s="44" t="str">
        <f t="shared" si="12"/>
        <v>Salamanca</v>
      </c>
      <c r="N442" s="45" t="str">
        <f t="shared" si="13"/>
        <v>No</v>
      </c>
      <c r="O442" s="45" t="str">
        <f t="shared" si="14"/>
        <v>No</v>
      </c>
      <c r="P442" s="44"/>
    </row>
    <row r="443" spans="1:16">
      <c r="A443" s="30" t="s">
        <v>2948</v>
      </c>
      <c r="B443" s="29" t="s">
        <v>1867</v>
      </c>
      <c r="C443" s="30" t="s">
        <v>2490</v>
      </c>
      <c r="D443" s="30" t="s">
        <v>2491</v>
      </c>
      <c r="E443" s="32">
        <v>215</v>
      </c>
      <c r="F443" s="30" t="s">
        <v>2492</v>
      </c>
      <c r="H443" s="30" t="s">
        <v>2486</v>
      </c>
      <c r="I443" s="30" t="s">
        <v>2486</v>
      </c>
      <c r="J443" s="30">
        <v>15</v>
      </c>
      <c r="L443" s="30">
        <v>15</v>
      </c>
      <c r="M443" s="44" t="str">
        <f t="shared" si="12"/>
        <v>Silao</v>
      </c>
      <c r="N443" s="45" t="str">
        <f t="shared" si="13"/>
        <v>No</v>
      </c>
      <c r="O443" s="45" t="str">
        <f t="shared" si="14"/>
        <v>No</v>
      </c>
      <c r="P443" s="44"/>
    </row>
    <row r="444" spans="1:16">
      <c r="A444" s="30" t="s">
        <v>2949</v>
      </c>
      <c r="B444" s="29" t="s">
        <v>1870</v>
      </c>
      <c r="C444" s="30" t="s">
        <v>2490</v>
      </c>
      <c r="D444" s="30" t="s">
        <v>2491</v>
      </c>
      <c r="E444" s="32"/>
      <c r="H444" s="30" t="s">
        <v>168</v>
      </c>
      <c r="I444" s="30" t="s">
        <v>168</v>
      </c>
      <c r="J444" s="30">
        <v>8</v>
      </c>
      <c r="L444" s="30">
        <v>8</v>
      </c>
      <c r="M444" s="44">
        <f t="shared" si="12"/>
        <v>0</v>
      </c>
      <c r="N444" s="45" t="str">
        <f t="shared" si="13"/>
        <v>No</v>
      </c>
      <c r="O444" s="45" t="str">
        <f t="shared" si="14"/>
        <v>No</v>
      </c>
      <c r="P444" s="44"/>
    </row>
    <row r="445" spans="1:16">
      <c r="A445" s="30" t="s">
        <v>2950</v>
      </c>
      <c r="B445" s="29" t="s">
        <v>1873</v>
      </c>
      <c r="C445" s="30" t="s">
        <v>2490</v>
      </c>
      <c r="D445" s="30" t="s">
        <v>2491</v>
      </c>
      <c r="E445" s="32"/>
      <c r="H445" s="30" t="s">
        <v>168</v>
      </c>
      <c r="I445" s="30" t="s">
        <v>168</v>
      </c>
      <c r="J445" s="30">
        <v>6</v>
      </c>
      <c r="L445" s="30">
        <v>6</v>
      </c>
      <c r="M445" s="44">
        <f t="shared" si="12"/>
        <v>0</v>
      </c>
      <c r="N445" s="45" t="str">
        <f t="shared" si="13"/>
        <v>No</v>
      </c>
      <c r="O445" s="45" t="str">
        <f t="shared" si="14"/>
        <v>No</v>
      </c>
      <c r="P445" s="44"/>
    </row>
    <row r="446" spans="1:16">
      <c r="A446" s="30" t="s">
        <v>2951</v>
      </c>
      <c r="B446" s="29" t="s">
        <v>1875</v>
      </c>
      <c r="C446" s="30" t="s">
        <v>2923</v>
      </c>
      <c r="D446" s="30" t="s">
        <v>2491</v>
      </c>
      <c r="E446" s="32">
        <v>181</v>
      </c>
      <c r="F446" s="30" t="s">
        <v>2923</v>
      </c>
      <c r="H446" s="30" t="s">
        <v>2486</v>
      </c>
      <c r="I446" s="30" t="s">
        <v>2486</v>
      </c>
      <c r="J446" s="30">
        <v>3298</v>
      </c>
      <c r="L446" s="30">
        <v>3298</v>
      </c>
      <c r="M446" s="44" t="str">
        <f t="shared" si="12"/>
        <v>Salamanca</v>
      </c>
      <c r="N446" s="45" t="str">
        <f t="shared" si="13"/>
        <v>No</v>
      </c>
      <c r="O446" s="45" t="str">
        <f t="shared" si="14"/>
        <v>No</v>
      </c>
      <c r="P446" s="44"/>
    </row>
    <row r="447" spans="1:16">
      <c r="A447" s="30" t="s">
        <v>2952</v>
      </c>
      <c r="B447" s="29" t="s">
        <v>1880</v>
      </c>
      <c r="C447" s="30" t="s">
        <v>2923</v>
      </c>
      <c r="D447" s="30" t="s">
        <v>2491</v>
      </c>
      <c r="E447" s="32">
        <v>181</v>
      </c>
      <c r="F447" s="30" t="s">
        <v>2923</v>
      </c>
      <c r="H447" s="30" t="s">
        <v>2486</v>
      </c>
      <c r="I447" s="30" t="s">
        <v>2486</v>
      </c>
      <c r="J447" s="30">
        <v>14</v>
      </c>
      <c r="K447" s="30">
        <v>1</v>
      </c>
      <c r="L447" s="30">
        <v>13</v>
      </c>
      <c r="M447" s="44" t="str">
        <f t="shared" si="12"/>
        <v>Salamanca</v>
      </c>
      <c r="N447" s="45" t="str">
        <f t="shared" si="13"/>
        <v>No</v>
      </c>
      <c r="O447" s="45" t="str">
        <f t="shared" si="14"/>
        <v>No</v>
      </c>
      <c r="P447" s="44"/>
    </row>
    <row r="448" spans="1:16">
      <c r="A448" s="30" t="s">
        <v>2953</v>
      </c>
      <c r="B448" s="29" t="s">
        <v>1885</v>
      </c>
      <c r="C448" s="30" t="s">
        <v>2923</v>
      </c>
      <c r="D448" s="30" t="s">
        <v>2491</v>
      </c>
      <c r="E448" s="32">
        <v>181</v>
      </c>
      <c r="F448" s="30" t="s">
        <v>2923</v>
      </c>
      <c r="H448" s="30" t="s">
        <v>2486</v>
      </c>
      <c r="I448" s="30" t="s">
        <v>2486</v>
      </c>
      <c r="J448" s="30">
        <v>31</v>
      </c>
      <c r="K448" s="30">
        <v>0</v>
      </c>
      <c r="L448" s="30">
        <v>31</v>
      </c>
      <c r="M448" s="44" t="str">
        <f t="shared" si="12"/>
        <v>Salamanca</v>
      </c>
      <c r="N448" s="45" t="str">
        <f t="shared" si="13"/>
        <v>No</v>
      </c>
      <c r="O448" s="45" t="str">
        <f t="shared" si="14"/>
        <v>No</v>
      </c>
      <c r="P448" s="44"/>
    </row>
    <row r="449" spans="1:16">
      <c r="A449" s="30" t="s">
        <v>2954</v>
      </c>
      <c r="B449" s="29" t="s">
        <v>1890</v>
      </c>
      <c r="C449" s="30" t="s">
        <v>2923</v>
      </c>
      <c r="D449" s="30" t="s">
        <v>2491</v>
      </c>
      <c r="E449" s="32">
        <v>181</v>
      </c>
      <c r="F449" s="30" t="s">
        <v>2923</v>
      </c>
      <c r="H449" s="30" t="s">
        <v>2486</v>
      </c>
      <c r="I449" s="30" t="s">
        <v>2486</v>
      </c>
      <c r="J449" s="30">
        <v>57</v>
      </c>
      <c r="K449" s="30">
        <v>1</v>
      </c>
      <c r="L449" s="30">
        <v>56</v>
      </c>
      <c r="M449" s="44" t="str">
        <f t="shared" si="12"/>
        <v>Salamanca</v>
      </c>
      <c r="N449" s="45" t="str">
        <f t="shared" si="13"/>
        <v>No</v>
      </c>
      <c r="O449" s="45" t="str">
        <f t="shared" si="14"/>
        <v>No</v>
      </c>
      <c r="P449" s="44"/>
    </row>
    <row r="450" spans="1:16">
      <c r="A450" s="30" t="s">
        <v>2955</v>
      </c>
      <c r="B450" s="29" t="s">
        <v>1895</v>
      </c>
      <c r="C450" s="30" t="s">
        <v>2956</v>
      </c>
      <c r="D450" s="30" t="s">
        <v>2491</v>
      </c>
      <c r="E450" s="32">
        <v>195</v>
      </c>
      <c r="F450" s="30" t="s">
        <v>2957</v>
      </c>
      <c r="H450" s="30" t="s">
        <v>2486</v>
      </c>
      <c r="I450" s="30" t="s">
        <v>168</v>
      </c>
      <c r="J450" s="30">
        <v>35</v>
      </c>
      <c r="K450" s="30">
        <v>1</v>
      </c>
      <c r="L450" s="30">
        <v>34</v>
      </c>
      <c r="M450" s="44" t="str">
        <f t="shared" si="12"/>
        <v>San Francisco</v>
      </c>
      <c r="N450" s="45" t="str">
        <f t="shared" si="13"/>
        <v>No</v>
      </c>
      <c r="O450" s="45" t="str">
        <f t="shared" si="14"/>
        <v>No</v>
      </c>
      <c r="P450" s="44"/>
    </row>
    <row r="451" spans="1:16">
      <c r="A451" s="30" t="s">
        <v>2958</v>
      </c>
      <c r="B451" s="29" t="s">
        <v>1905</v>
      </c>
      <c r="C451" s="30" t="s">
        <v>2490</v>
      </c>
      <c r="D451" s="30" t="s">
        <v>2491</v>
      </c>
      <c r="E451" s="32">
        <v>215</v>
      </c>
      <c r="F451" s="30" t="s">
        <v>2492</v>
      </c>
      <c r="H451" s="30" t="s">
        <v>2486</v>
      </c>
      <c r="I451" s="30" t="s">
        <v>2486</v>
      </c>
      <c r="J451" s="30">
        <v>2</v>
      </c>
      <c r="L451" s="30">
        <v>2</v>
      </c>
      <c r="M451" s="44" t="str">
        <f t="shared" si="12"/>
        <v>Silao</v>
      </c>
      <c r="N451" s="45" t="str">
        <f t="shared" si="13"/>
        <v>No</v>
      </c>
      <c r="O451" s="45" t="str">
        <f t="shared" si="14"/>
        <v>No</v>
      </c>
      <c r="P451" s="44"/>
    </row>
    <row r="452" spans="1:16">
      <c r="A452" s="30" t="s">
        <v>2959</v>
      </c>
      <c r="B452" s="29" t="s">
        <v>1907</v>
      </c>
      <c r="C452" s="30" t="s">
        <v>2923</v>
      </c>
      <c r="D452" s="30" t="s">
        <v>2491</v>
      </c>
      <c r="E452" s="32">
        <v>181</v>
      </c>
      <c r="F452" s="30" t="s">
        <v>2923</v>
      </c>
      <c r="H452" s="30" t="s">
        <v>2486</v>
      </c>
      <c r="I452" s="30" t="s">
        <v>2486</v>
      </c>
      <c r="J452" s="30">
        <v>751</v>
      </c>
      <c r="L452" s="30">
        <v>751</v>
      </c>
      <c r="M452" s="44" t="str">
        <f t="shared" si="12"/>
        <v>Salamanca</v>
      </c>
      <c r="N452" s="45" t="str">
        <f t="shared" si="13"/>
        <v>No</v>
      </c>
      <c r="O452" s="45" t="str">
        <f t="shared" si="14"/>
        <v>No</v>
      </c>
      <c r="P452" s="44"/>
    </row>
    <row r="453" spans="1:16">
      <c r="A453" s="30" t="s">
        <v>2960</v>
      </c>
      <c r="B453" s="29" t="s">
        <v>1912</v>
      </c>
      <c r="C453" s="30" t="s">
        <v>2490</v>
      </c>
      <c r="D453" s="30" t="s">
        <v>2491</v>
      </c>
      <c r="E453" s="32">
        <v>215</v>
      </c>
      <c r="F453" s="30" t="s">
        <v>2492</v>
      </c>
      <c r="H453" s="30" t="s">
        <v>2486</v>
      </c>
      <c r="I453" s="30" t="s">
        <v>2486</v>
      </c>
      <c r="J453" s="30">
        <v>7</v>
      </c>
      <c r="L453" s="30">
        <v>7</v>
      </c>
      <c r="M453" s="44" t="str">
        <f t="shared" si="12"/>
        <v>Silao</v>
      </c>
      <c r="N453" s="45" t="str">
        <f t="shared" si="13"/>
        <v>No</v>
      </c>
      <c r="O453" s="45" t="str">
        <f t="shared" si="14"/>
        <v>No</v>
      </c>
      <c r="P453" s="44"/>
    </row>
    <row r="454" spans="1:16">
      <c r="A454" s="30" t="s">
        <v>2961</v>
      </c>
      <c r="B454" s="29" t="s">
        <v>1914</v>
      </c>
      <c r="C454" s="30" t="s">
        <v>2490</v>
      </c>
      <c r="D454" s="30" t="s">
        <v>2491</v>
      </c>
      <c r="E454" s="32"/>
      <c r="H454" s="30" t="s">
        <v>168</v>
      </c>
      <c r="I454" s="30" t="s">
        <v>168</v>
      </c>
      <c r="J454" s="30">
        <v>21</v>
      </c>
      <c r="K454" s="30">
        <v>21</v>
      </c>
      <c r="L454" s="30">
        <v>0</v>
      </c>
      <c r="M454" s="44">
        <f t="shared" si="12"/>
        <v>0</v>
      </c>
      <c r="N454" s="45" t="str">
        <f t="shared" si="13"/>
        <v>No</v>
      </c>
      <c r="O454" s="45" t="str">
        <f t="shared" si="14"/>
        <v>No</v>
      </c>
      <c r="P454" s="44"/>
    </row>
    <row r="455" spans="1:16">
      <c r="A455" s="30" t="s">
        <v>2962</v>
      </c>
      <c r="B455" s="29" t="s">
        <v>1916</v>
      </c>
      <c r="C455" s="30" t="s">
        <v>2923</v>
      </c>
      <c r="D455" s="30" t="s">
        <v>2491</v>
      </c>
      <c r="E455" s="32">
        <v>181</v>
      </c>
      <c r="F455" s="30" t="s">
        <v>2923</v>
      </c>
      <c r="H455" s="30" t="s">
        <v>2486</v>
      </c>
      <c r="I455" s="30" t="s">
        <v>2486</v>
      </c>
      <c r="J455" s="30">
        <v>1338</v>
      </c>
      <c r="L455" s="30">
        <v>1338</v>
      </c>
      <c r="M455" s="44" t="str">
        <f t="shared" si="12"/>
        <v>Salamanca</v>
      </c>
      <c r="N455" s="45" t="str">
        <f t="shared" si="13"/>
        <v>No</v>
      </c>
      <c r="O455" s="45" t="str">
        <f t="shared" si="14"/>
        <v>No</v>
      </c>
      <c r="P455" s="44"/>
    </row>
    <row r="456" spans="1:16">
      <c r="A456" s="30" t="s">
        <v>2963</v>
      </c>
      <c r="B456" s="29" t="s">
        <v>1920</v>
      </c>
      <c r="C456" s="30" t="s">
        <v>2923</v>
      </c>
      <c r="D456" s="30" t="s">
        <v>2491</v>
      </c>
      <c r="E456" s="32">
        <v>181</v>
      </c>
      <c r="F456" s="30" t="s">
        <v>2923</v>
      </c>
      <c r="H456" s="30" t="s">
        <v>2486</v>
      </c>
      <c r="I456" s="30" t="s">
        <v>2486</v>
      </c>
      <c r="J456" s="30">
        <v>445</v>
      </c>
      <c r="L456" s="30">
        <v>445</v>
      </c>
      <c r="M456" s="44" t="str">
        <f t="shared" si="12"/>
        <v>Salamanca</v>
      </c>
      <c r="N456" s="45" t="str">
        <f t="shared" si="13"/>
        <v>No</v>
      </c>
      <c r="O456" s="45" t="str">
        <f t="shared" si="14"/>
        <v>No</v>
      </c>
      <c r="P456" s="44"/>
    </row>
    <row r="457" spans="1:16">
      <c r="A457" s="30" t="s">
        <v>2964</v>
      </c>
      <c r="B457" s="29" t="s">
        <v>1934</v>
      </c>
      <c r="C457" s="30" t="s">
        <v>2490</v>
      </c>
      <c r="D457" s="30" t="s">
        <v>2491</v>
      </c>
      <c r="E457" s="32">
        <v>215</v>
      </c>
      <c r="F457" s="30" t="s">
        <v>2492</v>
      </c>
      <c r="H457" s="30" t="s">
        <v>2486</v>
      </c>
      <c r="I457" s="30" t="s">
        <v>2486</v>
      </c>
      <c r="J457" s="30">
        <v>12</v>
      </c>
      <c r="L457" s="30">
        <v>12</v>
      </c>
      <c r="M457" s="44" t="str">
        <f t="shared" si="12"/>
        <v>Silao</v>
      </c>
      <c r="N457" s="45" t="str">
        <f t="shared" si="13"/>
        <v>No</v>
      </c>
      <c r="O457" s="45" t="str">
        <f t="shared" si="14"/>
        <v>No</v>
      </c>
      <c r="P457" s="44"/>
    </row>
    <row r="458" spans="1:16">
      <c r="A458" s="30" t="s">
        <v>2965</v>
      </c>
      <c r="B458" s="29" t="s">
        <v>1938</v>
      </c>
      <c r="C458" s="30" t="s">
        <v>2490</v>
      </c>
      <c r="D458" s="30" t="s">
        <v>2491</v>
      </c>
      <c r="E458" s="32">
        <v>215</v>
      </c>
      <c r="F458" s="30" t="s">
        <v>2492</v>
      </c>
      <c r="H458" s="30" t="s">
        <v>2486</v>
      </c>
      <c r="I458" s="30" t="s">
        <v>2486</v>
      </c>
      <c r="J458" s="30">
        <v>11</v>
      </c>
      <c r="L458" s="30">
        <v>11</v>
      </c>
      <c r="M458" s="44" t="str">
        <f t="shared" si="12"/>
        <v>Silao</v>
      </c>
      <c r="N458" s="45" t="str">
        <f t="shared" si="13"/>
        <v>No</v>
      </c>
      <c r="O458" s="45" t="str">
        <f t="shared" si="14"/>
        <v>No</v>
      </c>
      <c r="P458" s="44"/>
    </row>
    <row r="459" spans="1:16">
      <c r="A459" s="30" t="s">
        <v>2966</v>
      </c>
      <c r="B459" s="29" t="s">
        <v>1940</v>
      </c>
      <c r="C459" s="30" t="s">
        <v>2490</v>
      </c>
      <c r="D459" s="30" t="s">
        <v>2491</v>
      </c>
      <c r="E459" s="32"/>
      <c r="H459" s="30" t="s">
        <v>168</v>
      </c>
      <c r="I459" s="30" t="s">
        <v>168</v>
      </c>
      <c r="J459" s="30">
        <v>8</v>
      </c>
      <c r="L459" s="30">
        <v>8</v>
      </c>
      <c r="M459" s="44">
        <f t="shared" si="12"/>
        <v>0</v>
      </c>
      <c r="N459" s="45" t="str">
        <f t="shared" si="13"/>
        <v>No</v>
      </c>
      <c r="O459" s="45" t="str">
        <f t="shared" si="14"/>
        <v>No</v>
      </c>
      <c r="P459" s="44"/>
    </row>
    <row r="460" spans="1:16">
      <c r="A460" s="30" t="s">
        <v>2967</v>
      </c>
      <c r="B460" s="29" t="s">
        <v>1942</v>
      </c>
      <c r="C460" s="30" t="s">
        <v>2923</v>
      </c>
      <c r="D460" s="30" t="s">
        <v>2491</v>
      </c>
      <c r="E460" s="32">
        <v>181</v>
      </c>
      <c r="F460" s="30" t="s">
        <v>2923</v>
      </c>
      <c r="H460" s="30" t="s">
        <v>2486</v>
      </c>
      <c r="I460" s="30" t="s">
        <v>2486</v>
      </c>
      <c r="J460" s="30">
        <v>46</v>
      </c>
      <c r="K460" s="30">
        <v>1</v>
      </c>
      <c r="L460" s="30">
        <v>45</v>
      </c>
      <c r="M460" s="44" t="str">
        <f t="shared" si="12"/>
        <v>Salamanca</v>
      </c>
      <c r="N460" s="45" t="str">
        <f t="shared" si="13"/>
        <v>No</v>
      </c>
      <c r="O460" s="45" t="str">
        <f t="shared" si="14"/>
        <v>No</v>
      </c>
      <c r="P460" s="44"/>
    </row>
    <row r="461" spans="1:16">
      <c r="A461" s="30" t="s">
        <v>2968</v>
      </c>
      <c r="B461" s="29" t="s">
        <v>1947</v>
      </c>
      <c r="C461" s="30" t="s">
        <v>2923</v>
      </c>
      <c r="D461" s="30" t="s">
        <v>2491</v>
      </c>
      <c r="E461" s="32">
        <v>181</v>
      </c>
      <c r="F461" s="30" t="s">
        <v>2923</v>
      </c>
      <c r="H461" s="30" t="s">
        <v>2486</v>
      </c>
      <c r="I461" s="30" t="s">
        <v>2486</v>
      </c>
      <c r="J461" s="30">
        <v>50</v>
      </c>
      <c r="K461" s="30">
        <v>19</v>
      </c>
      <c r="L461" s="30">
        <v>31</v>
      </c>
      <c r="M461" s="44" t="str">
        <f t="shared" si="12"/>
        <v>Salamanca</v>
      </c>
      <c r="N461" s="45" t="str">
        <f t="shared" si="13"/>
        <v>No</v>
      </c>
      <c r="O461" s="45" t="str">
        <f t="shared" si="14"/>
        <v>No</v>
      </c>
      <c r="P461" s="44"/>
    </row>
    <row r="462" spans="1:16">
      <c r="A462" s="30" t="s">
        <v>2969</v>
      </c>
      <c r="B462" s="29" t="s">
        <v>1950</v>
      </c>
      <c r="C462" s="30" t="s">
        <v>2923</v>
      </c>
      <c r="D462" s="30" t="s">
        <v>2491</v>
      </c>
      <c r="E462" s="32">
        <v>181</v>
      </c>
      <c r="F462" s="30" t="s">
        <v>2923</v>
      </c>
      <c r="H462" s="30" t="s">
        <v>2486</v>
      </c>
      <c r="I462" s="30" t="s">
        <v>2486</v>
      </c>
      <c r="J462" s="30">
        <v>31</v>
      </c>
      <c r="L462" s="30">
        <v>31</v>
      </c>
      <c r="M462" s="44" t="str">
        <f t="shared" si="12"/>
        <v>Salamanca</v>
      </c>
      <c r="N462" s="45" t="str">
        <f t="shared" si="13"/>
        <v>No</v>
      </c>
      <c r="O462" s="45" t="str">
        <f t="shared" si="14"/>
        <v>No</v>
      </c>
      <c r="P462" s="44"/>
    </row>
    <row r="463" spans="1:16">
      <c r="A463" s="30" t="s">
        <v>2970</v>
      </c>
      <c r="B463" s="29" t="s">
        <v>1953</v>
      </c>
      <c r="C463" s="30" t="s">
        <v>2923</v>
      </c>
      <c r="D463" s="30" t="s">
        <v>2491</v>
      </c>
      <c r="E463" s="32">
        <v>181</v>
      </c>
      <c r="F463" s="30" t="s">
        <v>2923</v>
      </c>
      <c r="H463" s="30" t="s">
        <v>2486</v>
      </c>
      <c r="I463" s="30" t="s">
        <v>2486</v>
      </c>
      <c r="J463" s="30">
        <v>61</v>
      </c>
      <c r="K463" s="30">
        <v>30</v>
      </c>
      <c r="L463" s="30">
        <v>31</v>
      </c>
      <c r="M463" s="44" t="str">
        <f t="shared" si="12"/>
        <v>Salamanca</v>
      </c>
      <c r="N463" s="45" t="str">
        <f t="shared" si="13"/>
        <v>No</v>
      </c>
      <c r="O463" s="45" t="str">
        <f t="shared" si="14"/>
        <v>No</v>
      </c>
      <c r="P463" s="44"/>
    </row>
    <row r="464" spans="1:16">
      <c r="A464" s="30" t="s">
        <v>2971</v>
      </c>
      <c r="B464" s="29" t="s">
        <v>1955</v>
      </c>
      <c r="C464" s="30" t="s">
        <v>2972</v>
      </c>
      <c r="D464" s="30" t="s">
        <v>2552</v>
      </c>
      <c r="E464" s="32">
        <v>209</v>
      </c>
      <c r="F464" s="30" t="s">
        <v>2973</v>
      </c>
      <c r="H464" s="30" t="s">
        <v>2486</v>
      </c>
      <c r="I464" s="30" t="s">
        <v>168</v>
      </c>
      <c r="J464" s="30">
        <v>252</v>
      </c>
      <c r="K464" s="30">
        <v>84</v>
      </c>
      <c r="L464" s="30">
        <v>168</v>
      </c>
      <c r="M464" s="44" t="str">
        <f t="shared" si="12"/>
        <v>Zona Rural</v>
      </c>
      <c r="N464" s="45" t="str">
        <f t="shared" si="13"/>
        <v>No</v>
      </c>
      <c r="O464" s="45" t="str">
        <f t="shared" si="14"/>
        <v>No</v>
      </c>
      <c r="P464" s="44"/>
    </row>
    <row r="465" spans="1:16">
      <c r="A465" s="30" t="s">
        <v>2974</v>
      </c>
      <c r="B465" s="29" t="s">
        <v>1965</v>
      </c>
      <c r="C465" s="30" t="s">
        <v>2598</v>
      </c>
      <c r="D465" s="30" t="s">
        <v>2491</v>
      </c>
      <c r="E465" s="32">
        <v>171</v>
      </c>
      <c r="F465" s="30" t="s">
        <v>2599</v>
      </c>
      <c r="H465" s="30" t="s">
        <v>2486</v>
      </c>
      <c r="I465" s="30" t="s">
        <v>168</v>
      </c>
      <c r="J465" s="30">
        <v>42</v>
      </c>
      <c r="K465" s="30">
        <v>18</v>
      </c>
      <c r="L465" s="30">
        <v>24</v>
      </c>
      <c r="M465" s="44" t="str">
        <f t="shared" si="12"/>
        <v>Purísima</v>
      </c>
      <c r="N465" s="45" t="str">
        <f t="shared" si="13"/>
        <v>No</v>
      </c>
      <c r="O465" s="45" t="str">
        <f t="shared" si="14"/>
        <v>No</v>
      </c>
      <c r="P465" s="44"/>
    </row>
    <row r="466" spans="1:16">
      <c r="A466" s="30" t="s">
        <v>2975</v>
      </c>
      <c r="B466" s="29" t="s">
        <v>1972</v>
      </c>
      <c r="C466" s="30" t="s">
        <v>2598</v>
      </c>
      <c r="D466" s="30" t="s">
        <v>2491</v>
      </c>
      <c r="E466" s="32">
        <v>171</v>
      </c>
      <c r="F466" s="30" t="s">
        <v>2599</v>
      </c>
      <c r="H466" s="30" t="s">
        <v>2486</v>
      </c>
      <c r="I466" s="30" t="s">
        <v>168</v>
      </c>
      <c r="J466" s="30">
        <v>102</v>
      </c>
      <c r="L466" s="30">
        <v>102</v>
      </c>
      <c r="M466" s="44" t="str">
        <f t="shared" si="12"/>
        <v>Purísima</v>
      </c>
      <c r="N466" s="45" t="str">
        <f t="shared" si="13"/>
        <v>No</v>
      </c>
      <c r="O466" s="45" t="str">
        <f t="shared" si="14"/>
        <v>No</v>
      </c>
      <c r="P466" s="44"/>
    </row>
    <row r="467" spans="1:16">
      <c r="A467" s="30" t="s">
        <v>2976</v>
      </c>
      <c r="B467" s="29" t="s">
        <v>1979</v>
      </c>
      <c r="C467" s="30" t="s">
        <v>2977</v>
      </c>
      <c r="D467" s="30" t="s">
        <v>2491</v>
      </c>
      <c r="E467" s="32">
        <v>3</v>
      </c>
      <c r="F467" s="30" t="s">
        <v>2977</v>
      </c>
      <c r="H467" s="30" t="s">
        <v>2486</v>
      </c>
      <c r="I467" s="30" t="s">
        <v>2486</v>
      </c>
      <c r="J467" s="30">
        <v>7</v>
      </c>
      <c r="L467" s="30">
        <v>7</v>
      </c>
      <c r="M467" s="44" t="str">
        <f t="shared" si="12"/>
        <v>Abasolo</v>
      </c>
      <c r="N467" s="45" t="str">
        <f t="shared" si="13"/>
        <v>No</v>
      </c>
      <c r="O467" s="45" t="str">
        <f t="shared" si="14"/>
        <v>No</v>
      </c>
      <c r="P467" s="44"/>
    </row>
    <row r="468" spans="1:16">
      <c r="A468" s="30" t="s">
        <v>2978</v>
      </c>
      <c r="B468" s="29" t="s">
        <v>1985</v>
      </c>
      <c r="C468" s="30" t="s">
        <v>2977</v>
      </c>
      <c r="D468" s="30" t="s">
        <v>2491</v>
      </c>
      <c r="E468" s="32">
        <v>3</v>
      </c>
      <c r="F468" s="30" t="s">
        <v>2977</v>
      </c>
      <c r="H468" s="30" t="s">
        <v>2486</v>
      </c>
      <c r="I468" s="30" t="s">
        <v>2486</v>
      </c>
      <c r="J468" s="30">
        <v>11</v>
      </c>
      <c r="L468" s="30">
        <v>11</v>
      </c>
      <c r="M468" s="44" t="str">
        <f t="shared" si="12"/>
        <v>Abasolo</v>
      </c>
      <c r="N468" s="45" t="str">
        <f t="shared" si="13"/>
        <v>No</v>
      </c>
      <c r="O468" s="45" t="str">
        <f t="shared" si="14"/>
        <v>No</v>
      </c>
      <c r="P468" s="44"/>
    </row>
    <row r="469" spans="1:16">
      <c r="A469" s="30" t="s">
        <v>2979</v>
      </c>
      <c r="B469" s="29" t="s">
        <v>1991</v>
      </c>
      <c r="C469" s="30" t="s">
        <v>2625</v>
      </c>
      <c r="D469" s="30" t="s">
        <v>2491</v>
      </c>
      <c r="E469" s="32">
        <v>201</v>
      </c>
      <c r="F469" s="30" t="s">
        <v>2625</v>
      </c>
      <c r="H469" s="30" t="s">
        <v>2486</v>
      </c>
      <c r="I469" s="30" t="s">
        <v>2486</v>
      </c>
      <c r="J469" s="30">
        <v>25</v>
      </c>
      <c r="L469" s="30">
        <v>25</v>
      </c>
      <c r="M469" s="44" t="str">
        <f t="shared" si="12"/>
        <v>San Luis de la Paz</v>
      </c>
      <c r="N469" s="45" t="str">
        <f t="shared" si="13"/>
        <v>No</v>
      </c>
      <c r="O469" s="45" t="str">
        <f t="shared" si="14"/>
        <v>No</v>
      </c>
      <c r="P469" s="44"/>
    </row>
    <row r="470" spans="1:16">
      <c r="A470" s="30" t="s">
        <v>2980</v>
      </c>
      <c r="B470" s="29" t="s">
        <v>1997</v>
      </c>
      <c r="C470" s="30" t="s">
        <v>2977</v>
      </c>
      <c r="D470" s="30" t="s">
        <v>2491</v>
      </c>
      <c r="E470" s="32"/>
      <c r="H470" s="30" t="s">
        <v>168</v>
      </c>
      <c r="I470" s="30" t="s">
        <v>168</v>
      </c>
      <c r="J470" s="30">
        <v>14</v>
      </c>
      <c r="K470" s="30">
        <v>14</v>
      </c>
      <c r="L470" s="30">
        <v>0</v>
      </c>
      <c r="M470" s="44">
        <f t="shared" si="12"/>
        <v>0</v>
      </c>
      <c r="N470" s="45" t="str">
        <f t="shared" si="13"/>
        <v>No</v>
      </c>
      <c r="O470" s="45" t="str">
        <f t="shared" si="14"/>
        <v>No</v>
      </c>
      <c r="P470" s="44"/>
    </row>
    <row r="471" spans="1:16">
      <c r="A471" s="30" t="s">
        <v>2981</v>
      </c>
      <c r="B471" s="29" t="s">
        <v>2010</v>
      </c>
      <c r="C471" s="30" t="s">
        <v>2490</v>
      </c>
      <c r="D471" s="30" t="s">
        <v>2491</v>
      </c>
      <c r="E471" s="32"/>
      <c r="H471" s="30" t="s">
        <v>168</v>
      </c>
      <c r="I471" s="30" t="s">
        <v>168</v>
      </c>
      <c r="J471" s="30">
        <v>11</v>
      </c>
      <c r="K471" s="30">
        <v>11</v>
      </c>
      <c r="L471" s="30">
        <v>0</v>
      </c>
      <c r="M471" s="44">
        <f t="shared" si="12"/>
        <v>0</v>
      </c>
      <c r="N471" s="45" t="str">
        <f t="shared" si="13"/>
        <v>No</v>
      </c>
      <c r="O471" s="45" t="str">
        <f t="shared" si="14"/>
        <v>No</v>
      </c>
      <c r="P471" s="44"/>
    </row>
    <row r="472" spans="1:16">
      <c r="A472" s="30" t="s">
        <v>2982</v>
      </c>
      <c r="B472" s="29" t="s">
        <v>2013</v>
      </c>
      <c r="C472" s="30" t="s">
        <v>2490</v>
      </c>
      <c r="D472" s="30" t="s">
        <v>2491</v>
      </c>
      <c r="E472" s="32"/>
      <c r="H472" s="30" t="s">
        <v>168</v>
      </c>
      <c r="I472" s="30" t="s">
        <v>168</v>
      </c>
      <c r="J472" s="30">
        <v>6</v>
      </c>
      <c r="L472" s="30">
        <v>6</v>
      </c>
      <c r="M472" s="44">
        <f t="shared" si="12"/>
        <v>0</v>
      </c>
      <c r="N472" s="45" t="str">
        <f t="shared" si="13"/>
        <v>No</v>
      </c>
      <c r="O472" s="45" t="str">
        <f t="shared" si="14"/>
        <v>No</v>
      </c>
      <c r="P472" s="44"/>
    </row>
    <row r="473" spans="1:16">
      <c r="A473" s="30" t="s">
        <v>2983</v>
      </c>
      <c r="B473" s="29" t="s">
        <v>2015</v>
      </c>
      <c r="C473" s="30" t="s">
        <v>2490</v>
      </c>
      <c r="D473" s="30" t="s">
        <v>2491</v>
      </c>
      <c r="E473" s="32"/>
      <c r="H473" s="30" t="s">
        <v>168</v>
      </c>
      <c r="I473" s="30" t="s">
        <v>168</v>
      </c>
      <c r="J473" s="30">
        <v>31</v>
      </c>
      <c r="L473" s="30">
        <v>31</v>
      </c>
      <c r="M473" s="44">
        <f t="shared" si="12"/>
        <v>0</v>
      </c>
      <c r="N473" s="45" t="str">
        <f t="shared" si="13"/>
        <v>No</v>
      </c>
      <c r="O473" s="45" t="str">
        <f t="shared" si="14"/>
        <v>No</v>
      </c>
      <c r="P473" s="44"/>
    </row>
    <row r="474" spans="1:16">
      <c r="A474" s="30" t="s">
        <v>2984</v>
      </c>
      <c r="B474" s="29" t="s">
        <v>2017</v>
      </c>
      <c r="C474" s="30" t="s">
        <v>2490</v>
      </c>
      <c r="D474" s="30" t="s">
        <v>2491</v>
      </c>
      <c r="E474" s="32"/>
      <c r="H474" s="30" t="s">
        <v>168</v>
      </c>
      <c r="I474" s="30" t="s">
        <v>168</v>
      </c>
      <c r="J474" s="30">
        <v>2</v>
      </c>
      <c r="L474" s="30">
        <v>2</v>
      </c>
      <c r="M474" s="44">
        <f t="shared" si="12"/>
        <v>0</v>
      </c>
      <c r="N474" s="45" t="str">
        <f t="shared" si="13"/>
        <v>No</v>
      </c>
      <c r="O474" s="45" t="str">
        <f t="shared" si="14"/>
        <v>No</v>
      </c>
      <c r="P474" s="44"/>
    </row>
    <row r="475" spans="1:16">
      <c r="A475" s="30" t="s">
        <v>2985</v>
      </c>
      <c r="B475" s="29" t="s">
        <v>2019</v>
      </c>
      <c r="C475" s="30" t="s">
        <v>2490</v>
      </c>
      <c r="D475" s="30" t="s">
        <v>2491</v>
      </c>
      <c r="E475" s="32"/>
      <c r="H475" s="30" t="s">
        <v>168</v>
      </c>
      <c r="I475" s="30" t="s">
        <v>168</v>
      </c>
      <c r="J475" s="30">
        <v>2</v>
      </c>
      <c r="L475" s="30">
        <v>2</v>
      </c>
      <c r="M475" s="44">
        <f t="shared" si="12"/>
        <v>0</v>
      </c>
      <c r="N475" s="45" t="str">
        <f t="shared" si="13"/>
        <v>No</v>
      </c>
      <c r="O475" s="45" t="str">
        <f t="shared" si="14"/>
        <v>No</v>
      </c>
      <c r="P475" s="44"/>
    </row>
    <row r="476" spans="1:16">
      <c r="A476" s="30" t="s">
        <v>2986</v>
      </c>
      <c r="B476" s="29" t="s">
        <v>2021</v>
      </c>
      <c r="C476" s="30" t="s">
        <v>2923</v>
      </c>
      <c r="D476" s="30" t="s">
        <v>2491</v>
      </c>
      <c r="E476" s="32">
        <v>181</v>
      </c>
      <c r="F476" s="30" t="s">
        <v>2923</v>
      </c>
      <c r="H476" s="30" t="s">
        <v>2486</v>
      </c>
      <c r="I476" s="30" t="s">
        <v>2486</v>
      </c>
      <c r="J476" s="30">
        <v>12</v>
      </c>
      <c r="K476" s="30">
        <v>1</v>
      </c>
      <c r="L476" s="30">
        <v>11</v>
      </c>
      <c r="M476" s="44" t="str">
        <f t="shared" si="12"/>
        <v>Salamanca</v>
      </c>
      <c r="N476" s="45" t="str">
        <f t="shared" si="13"/>
        <v>No</v>
      </c>
      <c r="O476" s="45" t="str">
        <f t="shared" si="14"/>
        <v>No</v>
      </c>
      <c r="P476" s="44"/>
    </row>
    <row r="477" spans="1:16">
      <c r="A477" s="30" t="s">
        <v>2987</v>
      </c>
      <c r="B477" s="29" t="s">
        <v>2026</v>
      </c>
      <c r="C477" s="30" t="s">
        <v>2923</v>
      </c>
      <c r="D477" s="30" t="s">
        <v>2491</v>
      </c>
      <c r="E477" s="32">
        <v>181</v>
      </c>
      <c r="F477" s="30" t="s">
        <v>2923</v>
      </c>
      <c r="H477" s="30" t="s">
        <v>2486</v>
      </c>
      <c r="I477" s="30" t="s">
        <v>2486</v>
      </c>
      <c r="J477" s="30">
        <v>19</v>
      </c>
      <c r="K477" s="30">
        <v>1</v>
      </c>
      <c r="L477" s="30">
        <v>18</v>
      </c>
      <c r="M477" s="44" t="str">
        <f t="shared" si="12"/>
        <v>Salamanca</v>
      </c>
      <c r="N477" s="45" t="str">
        <f t="shared" si="13"/>
        <v>No</v>
      </c>
      <c r="O477" s="45" t="str">
        <f t="shared" si="14"/>
        <v>No</v>
      </c>
      <c r="P477" s="44"/>
    </row>
    <row r="478" spans="1:16">
      <c r="A478" s="30" t="s">
        <v>2988</v>
      </c>
      <c r="B478" s="29" t="s">
        <v>2034</v>
      </c>
      <c r="C478" s="30" t="s">
        <v>2923</v>
      </c>
      <c r="D478" s="30" t="s">
        <v>2491</v>
      </c>
      <c r="E478" s="32">
        <v>181</v>
      </c>
      <c r="F478" s="30" t="s">
        <v>2923</v>
      </c>
      <c r="H478" s="30" t="s">
        <v>2486</v>
      </c>
      <c r="I478" s="30" t="s">
        <v>2486</v>
      </c>
      <c r="J478" s="30">
        <v>23</v>
      </c>
      <c r="K478" s="30">
        <v>1</v>
      </c>
      <c r="L478" s="30">
        <v>22</v>
      </c>
      <c r="M478" s="44" t="str">
        <f t="shared" si="12"/>
        <v>Salamanca</v>
      </c>
      <c r="N478" s="45" t="str">
        <f t="shared" si="13"/>
        <v>No</v>
      </c>
      <c r="O478" s="45" t="str">
        <f t="shared" si="14"/>
        <v>No</v>
      </c>
      <c r="P478" s="44"/>
    </row>
    <row r="479" spans="1:16">
      <c r="A479" s="30" t="s">
        <v>2989</v>
      </c>
      <c r="B479" s="29" t="s">
        <v>2039</v>
      </c>
      <c r="C479" s="30" t="s">
        <v>2923</v>
      </c>
      <c r="D479" s="30" t="s">
        <v>2491</v>
      </c>
      <c r="E479" s="32">
        <v>181</v>
      </c>
      <c r="F479" s="30" t="s">
        <v>2923</v>
      </c>
      <c r="H479" s="30" t="s">
        <v>2486</v>
      </c>
      <c r="I479" s="30" t="s">
        <v>2486</v>
      </c>
      <c r="J479" s="30">
        <v>9</v>
      </c>
      <c r="K479" s="30">
        <v>1</v>
      </c>
      <c r="L479" s="30">
        <v>8</v>
      </c>
      <c r="M479" s="44" t="str">
        <f t="shared" si="12"/>
        <v>Salamanca</v>
      </c>
      <c r="N479" s="45" t="str">
        <f t="shared" si="13"/>
        <v>No</v>
      </c>
      <c r="O479" s="45" t="str">
        <f t="shared" si="14"/>
        <v>No</v>
      </c>
      <c r="P479" s="44"/>
    </row>
    <row r="480" spans="1:16">
      <c r="A480" s="30" t="s">
        <v>2990</v>
      </c>
      <c r="B480" s="29" t="s">
        <v>2045</v>
      </c>
      <c r="C480" s="30" t="s">
        <v>2923</v>
      </c>
      <c r="D480" s="30" t="s">
        <v>2491</v>
      </c>
      <c r="E480" s="32">
        <v>181</v>
      </c>
      <c r="F480" s="30" t="s">
        <v>2923</v>
      </c>
      <c r="H480" s="30" t="s">
        <v>2486</v>
      </c>
      <c r="I480" s="30" t="s">
        <v>2486</v>
      </c>
      <c r="J480" s="30">
        <v>9</v>
      </c>
      <c r="K480" s="30">
        <v>8</v>
      </c>
      <c r="L480" s="30">
        <v>1</v>
      </c>
      <c r="M480" s="44" t="str">
        <f t="shared" si="12"/>
        <v>Salamanca</v>
      </c>
      <c r="N480" s="45" t="str">
        <f t="shared" si="13"/>
        <v>No</v>
      </c>
      <c r="O480" s="45" t="str">
        <f t="shared" si="14"/>
        <v>No</v>
      </c>
      <c r="P480" s="44"/>
    </row>
    <row r="481" spans="1:16">
      <c r="A481" s="30" t="s">
        <v>2991</v>
      </c>
      <c r="B481" s="29" t="s">
        <v>2051</v>
      </c>
      <c r="C481" s="30" t="s">
        <v>2923</v>
      </c>
      <c r="D481" s="30" t="s">
        <v>2491</v>
      </c>
      <c r="E481" s="32">
        <v>181</v>
      </c>
      <c r="F481" s="30" t="s">
        <v>2923</v>
      </c>
      <c r="H481" s="30" t="s">
        <v>2486</v>
      </c>
      <c r="I481" s="30" t="s">
        <v>2486</v>
      </c>
      <c r="J481" s="30">
        <v>29</v>
      </c>
      <c r="K481" s="30">
        <v>2</v>
      </c>
      <c r="L481" s="30">
        <v>27</v>
      </c>
      <c r="M481" s="44" t="str">
        <f t="shared" si="12"/>
        <v>Salamanca</v>
      </c>
      <c r="N481" s="45" t="str">
        <f t="shared" si="13"/>
        <v>No</v>
      </c>
      <c r="O481" s="45" t="str">
        <f t="shared" si="14"/>
        <v>No</v>
      </c>
      <c r="P481" s="44"/>
    </row>
    <row r="482" spans="1:16">
      <c r="A482" s="30" t="s">
        <v>2992</v>
      </c>
      <c r="B482" s="29" t="s">
        <v>2056</v>
      </c>
      <c r="C482" s="30" t="s">
        <v>2923</v>
      </c>
      <c r="D482" s="30" t="s">
        <v>2491</v>
      </c>
      <c r="E482" s="32">
        <v>181</v>
      </c>
      <c r="F482" s="30" t="s">
        <v>2923</v>
      </c>
      <c r="H482" s="30" t="s">
        <v>2486</v>
      </c>
      <c r="I482" s="30" t="s">
        <v>2486</v>
      </c>
      <c r="J482" s="30">
        <v>72</v>
      </c>
      <c r="K482" s="30">
        <v>2</v>
      </c>
      <c r="L482" s="30">
        <v>70</v>
      </c>
      <c r="M482" s="44" t="str">
        <f t="shared" si="12"/>
        <v>Salamanca</v>
      </c>
      <c r="N482" s="45" t="str">
        <f t="shared" si="13"/>
        <v>No</v>
      </c>
      <c r="O482" s="45" t="str">
        <f t="shared" si="14"/>
        <v>No</v>
      </c>
      <c r="P482" s="44"/>
    </row>
    <row r="483" spans="1:16">
      <c r="A483" s="30" t="s">
        <v>2993</v>
      </c>
      <c r="B483" s="29" t="s">
        <v>2061</v>
      </c>
      <c r="C483" s="30" t="s">
        <v>2994</v>
      </c>
      <c r="D483" s="30" t="s">
        <v>2491</v>
      </c>
      <c r="E483" s="32">
        <v>232</v>
      </c>
      <c r="F483" s="30" t="s">
        <v>2994</v>
      </c>
      <c r="H483" s="30" t="s">
        <v>2486</v>
      </c>
      <c r="I483" s="30" t="s">
        <v>2486</v>
      </c>
      <c r="J483" s="30">
        <v>40</v>
      </c>
      <c r="K483" s="30">
        <v>4</v>
      </c>
      <c r="L483" s="30">
        <v>36</v>
      </c>
      <c r="M483" s="44" t="str">
        <f t="shared" si="12"/>
        <v>Villagrán</v>
      </c>
      <c r="N483" s="45" t="str">
        <f t="shared" si="13"/>
        <v>No</v>
      </c>
      <c r="O483" s="45" t="str">
        <f t="shared" si="14"/>
        <v>No</v>
      </c>
      <c r="P483" s="44"/>
    </row>
    <row r="484" spans="1:16">
      <c r="A484" s="30" t="s">
        <v>2995</v>
      </c>
      <c r="B484" s="29" t="s">
        <v>2077</v>
      </c>
      <c r="C484" s="30" t="s">
        <v>2923</v>
      </c>
      <c r="D484" s="30" t="s">
        <v>2491</v>
      </c>
      <c r="E484" s="32">
        <v>181</v>
      </c>
      <c r="F484" s="30" t="s">
        <v>2923</v>
      </c>
      <c r="H484" s="30" t="s">
        <v>2486</v>
      </c>
      <c r="I484" s="30" t="s">
        <v>2486</v>
      </c>
      <c r="J484" s="30">
        <v>84</v>
      </c>
      <c r="K484" s="30">
        <v>4</v>
      </c>
      <c r="L484" s="30">
        <v>80</v>
      </c>
      <c r="M484" s="44" t="str">
        <f t="shared" si="12"/>
        <v>Salamanca</v>
      </c>
      <c r="N484" s="45" t="str">
        <f t="shared" si="13"/>
        <v>No</v>
      </c>
      <c r="O484" s="45" t="str">
        <f t="shared" si="14"/>
        <v>No</v>
      </c>
      <c r="P484" s="44"/>
    </row>
    <row r="485" spans="1:16">
      <c r="A485" s="30" t="s">
        <v>2996</v>
      </c>
      <c r="B485" s="29" t="s">
        <v>2083</v>
      </c>
      <c r="C485" s="30" t="s">
        <v>2923</v>
      </c>
      <c r="D485" s="30" t="s">
        <v>2491</v>
      </c>
      <c r="E485" s="32">
        <v>181</v>
      </c>
      <c r="F485" s="30" t="s">
        <v>2923</v>
      </c>
      <c r="H485" s="30" t="s">
        <v>2486</v>
      </c>
      <c r="I485" s="30" t="s">
        <v>2486</v>
      </c>
      <c r="J485" s="30">
        <v>44</v>
      </c>
      <c r="K485" s="30">
        <v>4</v>
      </c>
      <c r="L485" s="30">
        <v>40</v>
      </c>
      <c r="M485" s="44" t="str">
        <f t="shared" si="12"/>
        <v>Salamanca</v>
      </c>
      <c r="N485" s="45" t="str">
        <f t="shared" si="13"/>
        <v>No</v>
      </c>
      <c r="O485" s="45" t="str">
        <f t="shared" si="14"/>
        <v>No</v>
      </c>
      <c r="P485" s="44"/>
    </row>
    <row r="486" spans="1:16">
      <c r="A486" s="30" t="s">
        <v>2997</v>
      </c>
      <c r="B486" s="29" t="s">
        <v>2086</v>
      </c>
      <c r="C486" s="30" t="s">
        <v>2923</v>
      </c>
      <c r="D486" s="30" t="s">
        <v>2491</v>
      </c>
      <c r="E486" s="32">
        <v>181</v>
      </c>
      <c r="F486" s="30" t="s">
        <v>2923</v>
      </c>
      <c r="H486" s="30" t="s">
        <v>2486</v>
      </c>
      <c r="I486" s="30" t="s">
        <v>2486</v>
      </c>
      <c r="J486" s="30">
        <v>44</v>
      </c>
      <c r="K486" s="30">
        <v>4</v>
      </c>
      <c r="L486" s="30">
        <v>40</v>
      </c>
      <c r="M486" s="44" t="str">
        <f t="shared" si="12"/>
        <v>Salamanca</v>
      </c>
      <c r="N486" s="45" t="str">
        <f t="shared" si="13"/>
        <v>No</v>
      </c>
      <c r="O486" s="45" t="str">
        <f t="shared" si="14"/>
        <v>No</v>
      </c>
      <c r="P486" s="44"/>
    </row>
    <row r="487" spans="1:16">
      <c r="A487" s="30" t="s">
        <v>2998</v>
      </c>
      <c r="B487" s="29" t="s">
        <v>2089</v>
      </c>
      <c r="C487" s="30" t="s">
        <v>2923</v>
      </c>
      <c r="D487" s="30" t="s">
        <v>2491</v>
      </c>
      <c r="E487" s="32">
        <v>181</v>
      </c>
      <c r="F487" s="30" t="s">
        <v>2923</v>
      </c>
      <c r="H487" s="30" t="s">
        <v>2486</v>
      </c>
      <c r="I487" s="30" t="s">
        <v>2486</v>
      </c>
      <c r="J487" s="30">
        <v>44</v>
      </c>
      <c r="K487" s="30">
        <v>4</v>
      </c>
      <c r="L487" s="30">
        <v>40</v>
      </c>
      <c r="M487" s="44" t="str">
        <f t="shared" si="12"/>
        <v>Salamanca</v>
      </c>
      <c r="N487" s="45" t="str">
        <f t="shared" si="13"/>
        <v>No</v>
      </c>
      <c r="O487" s="45" t="str">
        <f t="shared" si="14"/>
        <v>No</v>
      </c>
      <c r="P487" s="44"/>
    </row>
    <row r="488" spans="1:16">
      <c r="A488" s="30" t="s">
        <v>2999</v>
      </c>
      <c r="B488" s="29" t="s">
        <v>2091</v>
      </c>
      <c r="C488" s="30" t="s">
        <v>2521</v>
      </c>
      <c r="D488" s="30" t="s">
        <v>2491</v>
      </c>
      <c r="E488" s="32"/>
      <c r="H488" s="30" t="s">
        <v>168</v>
      </c>
      <c r="I488" s="30" t="s">
        <v>168</v>
      </c>
      <c r="J488" s="30">
        <v>3</v>
      </c>
      <c r="L488" s="30">
        <v>3</v>
      </c>
      <c r="M488" s="44">
        <f t="shared" si="12"/>
        <v>0</v>
      </c>
      <c r="N488" s="45" t="str">
        <f t="shared" si="13"/>
        <v>No</v>
      </c>
      <c r="O488" s="45" t="str">
        <f t="shared" si="14"/>
        <v>No</v>
      </c>
      <c r="P488" s="44"/>
    </row>
    <row r="489" spans="1:16">
      <c r="A489" s="30" t="s">
        <v>3000</v>
      </c>
      <c r="B489" s="29" t="s">
        <v>2093</v>
      </c>
      <c r="C489" s="30" t="s">
        <v>2521</v>
      </c>
      <c r="D489" s="30" t="s">
        <v>2491</v>
      </c>
      <c r="E489" s="32"/>
      <c r="H489" s="30" t="s">
        <v>168</v>
      </c>
      <c r="I489" s="30" t="s">
        <v>168</v>
      </c>
      <c r="J489" s="30">
        <v>2</v>
      </c>
      <c r="L489" s="30">
        <v>2</v>
      </c>
      <c r="M489" s="44">
        <f t="shared" si="12"/>
        <v>0</v>
      </c>
      <c r="N489" s="45" t="str">
        <f t="shared" si="13"/>
        <v>No</v>
      </c>
      <c r="O489" s="45" t="str">
        <f t="shared" si="14"/>
        <v>No</v>
      </c>
      <c r="P489" s="44"/>
    </row>
    <row r="490" spans="1:16">
      <c r="A490" s="30" t="s">
        <v>3001</v>
      </c>
      <c r="B490" s="29" t="s">
        <v>2095</v>
      </c>
      <c r="C490" s="30" t="s">
        <v>2521</v>
      </c>
      <c r="D490" s="30" t="s">
        <v>2491</v>
      </c>
      <c r="E490" s="32"/>
      <c r="H490" s="30" t="s">
        <v>168</v>
      </c>
      <c r="I490" s="30" t="s">
        <v>168</v>
      </c>
      <c r="J490" s="30">
        <v>3</v>
      </c>
      <c r="L490" s="30">
        <v>3</v>
      </c>
      <c r="M490" s="44">
        <f t="shared" si="12"/>
        <v>0</v>
      </c>
      <c r="N490" s="45" t="str">
        <f t="shared" si="13"/>
        <v>No</v>
      </c>
      <c r="O490" s="45" t="str">
        <f t="shared" si="14"/>
        <v>No</v>
      </c>
      <c r="P490" s="44"/>
    </row>
    <row r="491" spans="1:16">
      <c r="A491" s="30" t="s">
        <v>3002</v>
      </c>
      <c r="B491" s="29" t="s">
        <v>2097</v>
      </c>
      <c r="C491" s="30" t="s">
        <v>2521</v>
      </c>
      <c r="D491" s="30" t="s">
        <v>2491</v>
      </c>
      <c r="E491" s="32"/>
      <c r="H491" s="30" t="s">
        <v>168</v>
      </c>
      <c r="I491" s="30" t="s">
        <v>168</v>
      </c>
      <c r="J491" s="30">
        <v>5</v>
      </c>
      <c r="L491" s="30">
        <v>5</v>
      </c>
      <c r="M491" s="44">
        <f t="shared" si="12"/>
        <v>0</v>
      </c>
      <c r="N491" s="45" t="str">
        <f t="shared" si="13"/>
        <v>No</v>
      </c>
      <c r="O491" s="45" t="str">
        <f t="shared" si="14"/>
        <v>No</v>
      </c>
      <c r="P491" s="44"/>
    </row>
    <row r="492" spans="1:16">
      <c r="A492" s="30" t="s">
        <v>3003</v>
      </c>
      <c r="B492" s="29" t="s">
        <v>2099</v>
      </c>
      <c r="C492" s="30" t="s">
        <v>2521</v>
      </c>
      <c r="D492" s="30" t="s">
        <v>2491</v>
      </c>
      <c r="E492" s="32"/>
      <c r="H492" s="30" t="s">
        <v>168</v>
      </c>
      <c r="I492" s="30" t="s">
        <v>168</v>
      </c>
      <c r="J492" s="30">
        <v>4</v>
      </c>
      <c r="K492" s="30">
        <v>0</v>
      </c>
      <c r="L492" s="30">
        <v>4</v>
      </c>
      <c r="M492" s="44">
        <f t="shared" si="12"/>
        <v>0</v>
      </c>
      <c r="N492" s="45" t="str">
        <f t="shared" si="13"/>
        <v>No</v>
      </c>
      <c r="O492" s="45" t="str">
        <f t="shared" si="14"/>
        <v>No</v>
      </c>
      <c r="P492" s="44"/>
    </row>
    <row r="493" spans="1:16">
      <c r="A493" s="30" t="s">
        <v>3004</v>
      </c>
      <c r="B493" s="29" t="s">
        <v>2101</v>
      </c>
      <c r="C493" s="30" t="s">
        <v>2521</v>
      </c>
      <c r="D493" s="30" t="s">
        <v>2491</v>
      </c>
      <c r="E493" s="32"/>
      <c r="H493" s="30" t="s">
        <v>168</v>
      </c>
      <c r="I493" s="30" t="s">
        <v>168</v>
      </c>
      <c r="J493" s="30">
        <v>3</v>
      </c>
      <c r="L493" s="30">
        <v>3</v>
      </c>
      <c r="M493" s="44">
        <f t="shared" si="12"/>
        <v>0</v>
      </c>
      <c r="N493" s="45" t="str">
        <f t="shared" si="13"/>
        <v>No</v>
      </c>
      <c r="O493" s="45" t="str">
        <f t="shared" si="14"/>
        <v>No</v>
      </c>
      <c r="P493" s="44"/>
    </row>
    <row r="494" spans="1:16">
      <c r="A494" s="30" t="s">
        <v>3005</v>
      </c>
      <c r="B494" s="29" t="s">
        <v>2103</v>
      </c>
      <c r="C494" s="30" t="s">
        <v>2521</v>
      </c>
      <c r="D494" s="30" t="s">
        <v>2491</v>
      </c>
      <c r="E494" s="32"/>
      <c r="H494" s="30" t="s">
        <v>168</v>
      </c>
      <c r="I494" s="30" t="s">
        <v>168</v>
      </c>
      <c r="J494" s="30">
        <v>2</v>
      </c>
      <c r="L494" s="30">
        <v>2</v>
      </c>
      <c r="M494" s="44">
        <f t="shared" si="12"/>
        <v>0</v>
      </c>
      <c r="N494" s="45" t="str">
        <f t="shared" si="13"/>
        <v>No</v>
      </c>
      <c r="O494" s="45" t="str">
        <f t="shared" si="14"/>
        <v>No</v>
      </c>
      <c r="P494" s="44"/>
    </row>
    <row r="495" spans="1:16">
      <c r="A495" s="30" t="s">
        <v>3006</v>
      </c>
      <c r="B495" s="29" t="s">
        <v>2105</v>
      </c>
      <c r="C495" s="30" t="s">
        <v>2521</v>
      </c>
      <c r="D495" s="30" t="s">
        <v>2491</v>
      </c>
      <c r="E495" s="32"/>
      <c r="H495" s="30" t="s">
        <v>168</v>
      </c>
      <c r="I495" s="30" t="s">
        <v>168</v>
      </c>
      <c r="J495" s="30">
        <v>2</v>
      </c>
      <c r="L495" s="30">
        <v>2</v>
      </c>
      <c r="M495" s="44">
        <f t="shared" si="12"/>
        <v>0</v>
      </c>
      <c r="N495" s="45" t="str">
        <f t="shared" si="13"/>
        <v>No</v>
      </c>
      <c r="O495" s="45" t="str">
        <f t="shared" si="14"/>
        <v>No</v>
      </c>
      <c r="P495" s="44"/>
    </row>
    <row r="496" spans="1:16">
      <c r="A496" s="30" t="s">
        <v>3007</v>
      </c>
      <c r="B496" s="29" t="s">
        <v>2107</v>
      </c>
      <c r="C496" s="30" t="s">
        <v>2521</v>
      </c>
      <c r="D496" s="30" t="s">
        <v>2491</v>
      </c>
      <c r="E496" s="32"/>
      <c r="H496" s="30" t="s">
        <v>168</v>
      </c>
      <c r="I496" s="30" t="s">
        <v>168</v>
      </c>
      <c r="J496" s="30">
        <v>6</v>
      </c>
      <c r="L496" s="30">
        <v>6</v>
      </c>
      <c r="M496" s="44">
        <f t="shared" si="12"/>
        <v>0</v>
      </c>
      <c r="N496" s="45" t="str">
        <f t="shared" si="13"/>
        <v>No</v>
      </c>
      <c r="O496" s="45" t="str">
        <f t="shared" si="14"/>
        <v>No</v>
      </c>
      <c r="P496" s="44"/>
    </row>
    <row r="497" spans="1:16">
      <c r="A497" s="30" t="s">
        <v>3008</v>
      </c>
      <c r="B497" s="29" t="s">
        <v>2109</v>
      </c>
      <c r="C497" s="30" t="s">
        <v>2521</v>
      </c>
      <c r="D497" s="30" t="s">
        <v>2491</v>
      </c>
      <c r="E497" s="32"/>
      <c r="H497" s="30" t="s">
        <v>168</v>
      </c>
      <c r="I497" s="30" t="s">
        <v>168</v>
      </c>
      <c r="J497" s="30">
        <v>9</v>
      </c>
      <c r="L497" s="30">
        <v>9</v>
      </c>
      <c r="M497" s="44">
        <f t="shared" si="12"/>
        <v>0</v>
      </c>
      <c r="N497" s="45" t="str">
        <f t="shared" si="13"/>
        <v>No</v>
      </c>
      <c r="O497" s="45" t="str">
        <f t="shared" si="14"/>
        <v>No</v>
      </c>
      <c r="P497" s="44"/>
    </row>
    <row r="498" spans="1:16">
      <c r="A498" s="30" t="s">
        <v>3009</v>
      </c>
      <c r="B498" s="29" t="s">
        <v>2111</v>
      </c>
      <c r="C498" s="30" t="s">
        <v>2521</v>
      </c>
      <c r="D498" s="30" t="s">
        <v>2491</v>
      </c>
      <c r="E498" s="32"/>
      <c r="H498" s="30" t="s">
        <v>168</v>
      </c>
      <c r="I498" s="30" t="s">
        <v>168</v>
      </c>
      <c r="J498" s="30">
        <v>3</v>
      </c>
      <c r="L498" s="30">
        <v>3</v>
      </c>
      <c r="M498" s="44">
        <f t="shared" si="12"/>
        <v>0</v>
      </c>
      <c r="N498" s="45" t="str">
        <f t="shared" si="13"/>
        <v>No</v>
      </c>
      <c r="O498" s="45" t="str">
        <f t="shared" si="14"/>
        <v>No</v>
      </c>
      <c r="P498" s="44"/>
    </row>
    <row r="499" spans="1:16">
      <c r="A499" s="30" t="s">
        <v>3010</v>
      </c>
      <c r="B499" s="29" t="s">
        <v>2113</v>
      </c>
      <c r="C499" s="30" t="s">
        <v>2521</v>
      </c>
      <c r="D499" s="30" t="s">
        <v>2491</v>
      </c>
      <c r="E499" s="32"/>
      <c r="H499" s="30" t="s">
        <v>168</v>
      </c>
      <c r="I499" s="30" t="s">
        <v>168</v>
      </c>
      <c r="J499" s="30">
        <v>2</v>
      </c>
      <c r="L499" s="30">
        <v>2</v>
      </c>
      <c r="M499" s="44">
        <f t="shared" si="12"/>
        <v>0</v>
      </c>
      <c r="N499" s="45" t="str">
        <f t="shared" si="13"/>
        <v>No</v>
      </c>
      <c r="O499" s="45" t="str">
        <f t="shared" si="14"/>
        <v>No</v>
      </c>
      <c r="P499" s="44"/>
    </row>
    <row r="500" spans="1:16">
      <c r="A500" s="30" t="s">
        <v>3011</v>
      </c>
      <c r="B500" s="29" t="s">
        <v>2115</v>
      </c>
      <c r="C500" s="30" t="s">
        <v>2521</v>
      </c>
      <c r="D500" s="30" t="s">
        <v>2491</v>
      </c>
      <c r="E500" s="32"/>
      <c r="H500" s="30" t="s">
        <v>168</v>
      </c>
      <c r="I500" s="30" t="s">
        <v>168</v>
      </c>
      <c r="J500" s="30">
        <v>2</v>
      </c>
      <c r="L500" s="30">
        <v>2</v>
      </c>
      <c r="M500" s="44">
        <f t="shared" si="12"/>
        <v>0</v>
      </c>
      <c r="N500" s="45" t="str">
        <f t="shared" si="13"/>
        <v>No</v>
      </c>
      <c r="O500" s="45" t="str">
        <f t="shared" si="14"/>
        <v>No</v>
      </c>
      <c r="P500" s="44"/>
    </row>
    <row r="501" spans="1:16">
      <c r="A501" s="30" t="s">
        <v>3012</v>
      </c>
      <c r="B501" s="29" t="s">
        <v>2117</v>
      </c>
      <c r="C501" s="30" t="s">
        <v>2521</v>
      </c>
      <c r="D501" s="30" t="s">
        <v>2491</v>
      </c>
      <c r="E501" s="32"/>
      <c r="H501" s="30" t="s">
        <v>168</v>
      </c>
      <c r="I501" s="30" t="s">
        <v>168</v>
      </c>
      <c r="J501" s="30">
        <v>7</v>
      </c>
      <c r="L501" s="30">
        <v>7</v>
      </c>
      <c r="M501" s="44">
        <f t="shared" si="12"/>
        <v>0</v>
      </c>
      <c r="N501" s="45" t="str">
        <f t="shared" si="13"/>
        <v>No</v>
      </c>
      <c r="O501" s="45" t="str">
        <f t="shared" si="14"/>
        <v>No</v>
      </c>
      <c r="P501" s="44"/>
    </row>
    <row r="502" spans="1:16">
      <c r="A502" s="30" t="s">
        <v>3013</v>
      </c>
      <c r="B502" s="29" t="s">
        <v>2119</v>
      </c>
      <c r="C502" s="30" t="s">
        <v>2521</v>
      </c>
      <c r="D502" s="30" t="s">
        <v>2491</v>
      </c>
      <c r="E502" s="32"/>
      <c r="H502" s="30" t="s">
        <v>168</v>
      </c>
      <c r="I502" s="30" t="s">
        <v>168</v>
      </c>
      <c r="J502" s="30">
        <v>3</v>
      </c>
      <c r="L502" s="30">
        <v>3</v>
      </c>
      <c r="M502" s="44">
        <f t="shared" si="12"/>
        <v>0</v>
      </c>
      <c r="N502" s="45" t="str">
        <f t="shared" si="13"/>
        <v>No</v>
      </c>
      <c r="O502" s="45" t="str">
        <f t="shared" si="14"/>
        <v>No</v>
      </c>
      <c r="P502" s="44"/>
    </row>
    <row r="503" spans="1:16">
      <c r="A503" s="30" t="s">
        <v>3014</v>
      </c>
      <c r="B503" s="29" t="s">
        <v>2121</v>
      </c>
      <c r="C503" s="30" t="s">
        <v>2521</v>
      </c>
      <c r="D503" s="30" t="s">
        <v>2491</v>
      </c>
      <c r="E503" s="32"/>
      <c r="H503" s="30" t="s">
        <v>168</v>
      </c>
      <c r="I503" s="30" t="s">
        <v>168</v>
      </c>
      <c r="J503" s="30">
        <v>3</v>
      </c>
      <c r="L503" s="30">
        <v>3</v>
      </c>
      <c r="M503" s="44">
        <f t="shared" si="12"/>
        <v>0</v>
      </c>
      <c r="N503" s="45" t="str">
        <f t="shared" si="13"/>
        <v>No</v>
      </c>
      <c r="O503" s="45" t="str">
        <f t="shared" si="14"/>
        <v>No</v>
      </c>
      <c r="P503" s="44"/>
    </row>
    <row r="504" spans="1:16">
      <c r="A504" s="30" t="s">
        <v>3015</v>
      </c>
      <c r="B504" s="29" t="s">
        <v>2123</v>
      </c>
      <c r="C504" s="30" t="s">
        <v>2521</v>
      </c>
      <c r="D504" s="30" t="s">
        <v>2491</v>
      </c>
      <c r="E504" s="32"/>
      <c r="H504" s="30" t="s">
        <v>168</v>
      </c>
      <c r="I504" s="30" t="s">
        <v>168</v>
      </c>
      <c r="J504" s="30">
        <v>2</v>
      </c>
      <c r="L504" s="30">
        <v>2</v>
      </c>
      <c r="M504" s="44">
        <f t="shared" si="12"/>
        <v>0</v>
      </c>
      <c r="N504" s="45" t="str">
        <f t="shared" si="13"/>
        <v>No</v>
      </c>
      <c r="O504" s="45" t="str">
        <f t="shared" si="14"/>
        <v>No</v>
      </c>
      <c r="P504" s="44"/>
    </row>
    <row r="505" spans="1:16">
      <c r="A505" s="30" t="s">
        <v>3016</v>
      </c>
      <c r="B505" s="29" t="s">
        <v>2125</v>
      </c>
      <c r="C505" s="30" t="s">
        <v>2521</v>
      </c>
      <c r="D505" s="30" t="s">
        <v>2491</v>
      </c>
      <c r="E505" s="32"/>
      <c r="H505" s="30" t="s">
        <v>168</v>
      </c>
      <c r="I505" s="30" t="s">
        <v>168</v>
      </c>
      <c r="J505" s="30">
        <v>4</v>
      </c>
      <c r="L505" s="30">
        <v>4</v>
      </c>
      <c r="M505" s="44">
        <f t="shared" si="12"/>
        <v>0</v>
      </c>
      <c r="N505" s="45" t="str">
        <f t="shared" si="13"/>
        <v>No</v>
      </c>
      <c r="O505" s="45" t="str">
        <f t="shared" si="14"/>
        <v>No</v>
      </c>
      <c r="P505" s="44"/>
    </row>
    <row r="506" spans="1:16">
      <c r="A506" s="30" t="s">
        <v>3017</v>
      </c>
      <c r="B506" s="29" t="s">
        <v>2127</v>
      </c>
      <c r="C506" s="30" t="s">
        <v>2923</v>
      </c>
      <c r="D506" s="30" t="s">
        <v>2491</v>
      </c>
      <c r="E506" s="32">
        <v>181</v>
      </c>
      <c r="F506" s="30" t="s">
        <v>2923</v>
      </c>
      <c r="H506" s="30" t="s">
        <v>2486</v>
      </c>
      <c r="I506" s="30" t="s">
        <v>2486</v>
      </c>
      <c r="J506" s="30">
        <v>7</v>
      </c>
      <c r="K506" s="30">
        <v>1</v>
      </c>
      <c r="L506" s="30">
        <v>6</v>
      </c>
      <c r="M506" s="44" t="str">
        <f t="shared" si="12"/>
        <v>Salamanca</v>
      </c>
      <c r="N506" s="45" t="str">
        <f t="shared" si="13"/>
        <v>No</v>
      </c>
      <c r="O506" s="45" t="str">
        <f t="shared" si="14"/>
        <v>No</v>
      </c>
      <c r="P506" s="44"/>
    </row>
    <row r="507" spans="1:16">
      <c r="A507" s="30" t="s">
        <v>3018</v>
      </c>
      <c r="B507" s="29" t="s">
        <v>2132</v>
      </c>
      <c r="C507" s="30" t="s">
        <v>2521</v>
      </c>
      <c r="D507" s="30" t="s">
        <v>2491</v>
      </c>
      <c r="E507" s="32"/>
      <c r="H507" s="30" t="s">
        <v>168</v>
      </c>
      <c r="I507" s="30" t="s">
        <v>168</v>
      </c>
      <c r="J507" s="30">
        <v>2</v>
      </c>
      <c r="L507" s="30">
        <v>2</v>
      </c>
      <c r="M507" s="44">
        <f t="shared" si="12"/>
        <v>0</v>
      </c>
      <c r="N507" s="45" t="str">
        <f t="shared" si="13"/>
        <v>No</v>
      </c>
      <c r="O507" s="45" t="str">
        <f t="shared" si="14"/>
        <v>No</v>
      </c>
      <c r="P507" s="44"/>
    </row>
    <row r="508" spans="1:16">
      <c r="A508" s="30" t="s">
        <v>3019</v>
      </c>
      <c r="B508" s="29" t="s">
        <v>2134</v>
      </c>
      <c r="C508" s="30" t="s">
        <v>2521</v>
      </c>
      <c r="D508" s="30" t="s">
        <v>2491</v>
      </c>
      <c r="E508" s="32"/>
      <c r="H508" s="30" t="s">
        <v>168</v>
      </c>
      <c r="I508" s="30" t="s">
        <v>168</v>
      </c>
      <c r="J508" s="30">
        <v>5</v>
      </c>
      <c r="L508" s="30">
        <v>5</v>
      </c>
      <c r="M508" s="44">
        <f t="shared" si="12"/>
        <v>0</v>
      </c>
      <c r="N508" s="45" t="str">
        <f t="shared" si="13"/>
        <v>No</v>
      </c>
      <c r="O508" s="45" t="str">
        <f t="shared" si="14"/>
        <v>No</v>
      </c>
      <c r="P508" s="44"/>
    </row>
    <row r="509" spans="1:16">
      <c r="A509" s="30" t="s">
        <v>3020</v>
      </c>
      <c r="B509" s="29" t="s">
        <v>2136</v>
      </c>
      <c r="C509" s="30" t="s">
        <v>2521</v>
      </c>
      <c r="D509" s="30" t="s">
        <v>2491</v>
      </c>
      <c r="E509" s="32"/>
      <c r="H509" s="30" t="s">
        <v>168</v>
      </c>
      <c r="I509" s="30" t="s">
        <v>168</v>
      </c>
      <c r="J509" s="30">
        <v>4</v>
      </c>
      <c r="L509" s="30">
        <v>4</v>
      </c>
      <c r="M509" s="44">
        <f t="shared" si="12"/>
        <v>0</v>
      </c>
      <c r="N509" s="45" t="str">
        <f t="shared" si="13"/>
        <v>No</v>
      </c>
      <c r="O509" s="45" t="str">
        <f t="shared" si="14"/>
        <v>No</v>
      </c>
      <c r="P509" s="44"/>
    </row>
    <row r="510" spans="1:16">
      <c r="A510" s="30" t="s">
        <v>3021</v>
      </c>
      <c r="B510" s="29" t="s">
        <v>2138</v>
      </c>
      <c r="C510" s="30" t="s">
        <v>2521</v>
      </c>
      <c r="D510" s="30" t="s">
        <v>2491</v>
      </c>
      <c r="E510" s="32"/>
      <c r="H510" s="30" t="s">
        <v>168</v>
      </c>
      <c r="I510" s="30" t="s">
        <v>168</v>
      </c>
      <c r="J510" s="30">
        <v>3</v>
      </c>
      <c r="L510" s="30">
        <v>3</v>
      </c>
      <c r="M510" s="44">
        <f t="shared" si="12"/>
        <v>0</v>
      </c>
      <c r="N510" s="45" t="str">
        <f t="shared" si="13"/>
        <v>No</v>
      </c>
      <c r="O510" s="45" t="str">
        <f t="shared" si="14"/>
        <v>No</v>
      </c>
      <c r="P510" s="44"/>
    </row>
    <row r="511" spans="1:16">
      <c r="A511" s="30" t="s">
        <v>3022</v>
      </c>
      <c r="B511" s="29" t="s">
        <v>2140</v>
      </c>
      <c r="C511" s="30" t="s">
        <v>3023</v>
      </c>
      <c r="D511" s="30" t="s">
        <v>2491</v>
      </c>
      <c r="E511" s="32"/>
      <c r="H511" s="30" t="s">
        <v>168</v>
      </c>
      <c r="I511" s="30" t="s">
        <v>168</v>
      </c>
      <c r="J511" s="30">
        <v>31</v>
      </c>
      <c r="K511" s="30">
        <v>2</v>
      </c>
      <c r="L511" s="30">
        <v>29</v>
      </c>
      <c r="M511" s="44">
        <f t="shared" si="12"/>
        <v>0</v>
      </c>
      <c r="N511" s="45" t="str">
        <f t="shared" si="13"/>
        <v>No</v>
      </c>
      <c r="O511" s="45" t="str">
        <f t="shared" si="14"/>
        <v>No</v>
      </c>
      <c r="P511" s="44"/>
    </row>
    <row r="512" spans="1:16">
      <c r="A512" s="30" t="s">
        <v>3024</v>
      </c>
      <c r="B512" s="29" t="s">
        <v>2147</v>
      </c>
      <c r="C512" s="30" t="s">
        <v>2521</v>
      </c>
      <c r="D512" s="30" t="s">
        <v>2491</v>
      </c>
      <c r="E512" s="32"/>
      <c r="H512" s="30" t="s">
        <v>168</v>
      </c>
      <c r="I512" s="30" t="s">
        <v>168</v>
      </c>
      <c r="J512" s="30">
        <v>4</v>
      </c>
      <c r="L512" s="30">
        <v>4</v>
      </c>
      <c r="M512" s="44">
        <f t="shared" si="12"/>
        <v>0</v>
      </c>
      <c r="N512" s="45" t="str">
        <f t="shared" si="13"/>
        <v>No</v>
      </c>
      <c r="O512" s="45" t="str">
        <f t="shared" si="14"/>
        <v>No</v>
      </c>
      <c r="P512" s="44"/>
    </row>
    <row r="513" spans="1:16">
      <c r="A513" s="30" t="s">
        <v>3025</v>
      </c>
      <c r="B513" s="29" t="s">
        <v>2149</v>
      </c>
      <c r="C513" s="30" t="s">
        <v>2521</v>
      </c>
      <c r="D513" s="30" t="s">
        <v>2491</v>
      </c>
      <c r="E513" s="32"/>
      <c r="H513" s="30" t="s">
        <v>168</v>
      </c>
      <c r="I513" s="30" t="s">
        <v>168</v>
      </c>
      <c r="J513" s="30">
        <v>5</v>
      </c>
      <c r="K513" s="30">
        <v>5</v>
      </c>
      <c r="L513" s="30">
        <v>0</v>
      </c>
      <c r="M513" s="44">
        <f t="shared" si="12"/>
        <v>0</v>
      </c>
      <c r="N513" s="45" t="str">
        <f t="shared" si="13"/>
        <v>No</v>
      </c>
      <c r="O513" s="45" t="str">
        <f t="shared" si="14"/>
        <v>No</v>
      </c>
      <c r="P513" s="44"/>
    </row>
    <row r="514" spans="1:16">
      <c r="A514" s="30" t="s">
        <v>3026</v>
      </c>
      <c r="B514" s="29" t="s">
        <v>2153</v>
      </c>
      <c r="C514" s="30" t="s">
        <v>3027</v>
      </c>
      <c r="D514" s="30" t="s">
        <v>2491</v>
      </c>
      <c r="E514" s="32">
        <v>192</v>
      </c>
      <c r="F514" s="30" t="s">
        <v>3027</v>
      </c>
      <c r="H514" s="30" t="s">
        <v>2486</v>
      </c>
      <c r="I514" s="30" t="s">
        <v>2486</v>
      </c>
      <c r="J514" s="30">
        <v>42</v>
      </c>
      <c r="K514" s="30">
        <v>1</v>
      </c>
      <c r="L514" s="30">
        <v>41</v>
      </c>
      <c r="M514" s="44" t="str">
        <f t="shared" si="12"/>
        <v>San Felipe</v>
      </c>
      <c r="N514" s="45" t="str">
        <f t="shared" si="13"/>
        <v>No</v>
      </c>
      <c r="O514" s="45" t="str">
        <f t="shared" si="14"/>
        <v>No</v>
      </c>
      <c r="P514" s="44"/>
    </row>
    <row r="515" spans="1:16">
      <c r="A515" s="30" t="s">
        <v>3028</v>
      </c>
      <c r="B515" s="29" t="s">
        <v>2159</v>
      </c>
      <c r="C515" s="30" t="s">
        <v>2521</v>
      </c>
      <c r="D515" s="30" t="s">
        <v>2491</v>
      </c>
      <c r="E515" s="32"/>
      <c r="H515" s="30" t="s">
        <v>168</v>
      </c>
      <c r="I515" s="30" t="s">
        <v>168</v>
      </c>
      <c r="J515" s="30">
        <v>9</v>
      </c>
      <c r="L515" s="30">
        <v>9</v>
      </c>
      <c r="M515" s="44">
        <f t="shared" si="12"/>
        <v>0</v>
      </c>
      <c r="N515" s="45" t="str">
        <f t="shared" si="13"/>
        <v>No</v>
      </c>
      <c r="O515" s="45" t="str">
        <f t="shared" si="14"/>
        <v>No</v>
      </c>
      <c r="P515" s="44"/>
    </row>
    <row r="516" spans="1:16">
      <c r="A516" s="30" t="s">
        <v>3029</v>
      </c>
      <c r="B516" s="29" t="s">
        <v>2163</v>
      </c>
      <c r="C516" s="30" t="s">
        <v>2521</v>
      </c>
      <c r="D516" s="30" t="s">
        <v>2491</v>
      </c>
      <c r="E516" s="32"/>
      <c r="H516" s="30" t="s">
        <v>168</v>
      </c>
      <c r="I516" s="30" t="s">
        <v>168</v>
      </c>
      <c r="J516" s="30">
        <v>250</v>
      </c>
      <c r="L516" s="30">
        <v>250</v>
      </c>
      <c r="M516" s="44">
        <f t="shared" si="12"/>
        <v>0</v>
      </c>
      <c r="N516" s="45" t="str">
        <f t="shared" si="13"/>
        <v>No</v>
      </c>
      <c r="O516" s="45" t="str">
        <f t="shared" si="14"/>
        <v>No</v>
      </c>
      <c r="P516" s="44"/>
    </row>
    <row r="517" spans="1:16">
      <c r="A517" s="30" t="s">
        <v>3030</v>
      </c>
      <c r="B517" s="29" t="s">
        <v>2165</v>
      </c>
      <c r="C517" s="30" t="s">
        <v>2521</v>
      </c>
      <c r="D517" s="30" t="s">
        <v>2491</v>
      </c>
      <c r="E517" s="32"/>
      <c r="H517" s="30" t="s">
        <v>168</v>
      </c>
      <c r="I517" s="30" t="s">
        <v>168</v>
      </c>
      <c r="J517" s="30">
        <v>60</v>
      </c>
      <c r="L517" s="30">
        <v>60</v>
      </c>
      <c r="M517" s="44">
        <f t="shared" si="12"/>
        <v>0</v>
      </c>
      <c r="N517" s="45" t="str">
        <f t="shared" si="13"/>
        <v>No</v>
      </c>
      <c r="O517" s="45" t="str">
        <f t="shared" si="14"/>
        <v>No</v>
      </c>
      <c r="P517" s="44"/>
    </row>
    <row r="518" spans="1:16">
      <c r="A518" s="30" t="s">
        <v>3031</v>
      </c>
      <c r="B518" s="29" t="s">
        <v>2169</v>
      </c>
      <c r="C518" s="30" t="s">
        <v>2521</v>
      </c>
      <c r="D518" s="30" t="s">
        <v>2491</v>
      </c>
      <c r="E518" s="32"/>
      <c r="H518" s="30" t="s">
        <v>168</v>
      </c>
      <c r="I518" s="30" t="s">
        <v>168</v>
      </c>
      <c r="J518" s="30">
        <v>38</v>
      </c>
      <c r="L518" s="30">
        <v>38</v>
      </c>
      <c r="M518" s="44">
        <f t="shared" si="12"/>
        <v>0</v>
      </c>
      <c r="N518" s="45" t="str">
        <f t="shared" si="13"/>
        <v>No</v>
      </c>
      <c r="O518" s="45" t="str">
        <f t="shared" si="14"/>
        <v>No</v>
      </c>
      <c r="P518" s="44"/>
    </row>
    <row r="519" spans="1:16">
      <c r="A519" s="30" t="s">
        <v>3032</v>
      </c>
      <c r="B519" s="29" t="s">
        <v>2171</v>
      </c>
      <c r="C519" s="30" t="s">
        <v>2521</v>
      </c>
      <c r="D519" s="30" t="s">
        <v>2491</v>
      </c>
      <c r="E519" s="32"/>
      <c r="H519" s="30" t="s">
        <v>168</v>
      </c>
      <c r="I519" s="30" t="s">
        <v>168</v>
      </c>
      <c r="J519" s="30">
        <v>4</v>
      </c>
      <c r="K519" s="30">
        <v>4</v>
      </c>
      <c r="L519" s="30">
        <v>0</v>
      </c>
      <c r="M519" s="44">
        <f t="shared" si="12"/>
        <v>0</v>
      </c>
      <c r="N519" s="45" t="str">
        <f t="shared" si="13"/>
        <v>No</v>
      </c>
      <c r="O519" s="45" t="str">
        <f t="shared" si="14"/>
        <v>No</v>
      </c>
      <c r="P519" s="44"/>
    </row>
    <row r="520" spans="1:16">
      <c r="A520" s="30" t="s">
        <v>3033</v>
      </c>
      <c r="B520" s="29" t="s">
        <v>2175</v>
      </c>
      <c r="C520" s="30" t="s">
        <v>2923</v>
      </c>
      <c r="D520" s="30" t="s">
        <v>2491</v>
      </c>
      <c r="E520" s="32">
        <v>181</v>
      </c>
      <c r="F520" s="30" t="s">
        <v>2923</v>
      </c>
      <c r="H520" s="30" t="s">
        <v>2486</v>
      </c>
      <c r="I520" s="30" t="s">
        <v>2486</v>
      </c>
      <c r="J520" s="30">
        <v>136</v>
      </c>
      <c r="K520" s="30">
        <v>7</v>
      </c>
      <c r="L520" s="30">
        <v>129</v>
      </c>
      <c r="M520" s="44" t="str">
        <f t="shared" si="12"/>
        <v>Salamanca</v>
      </c>
      <c r="N520" s="45" t="str">
        <f t="shared" si="13"/>
        <v>No</v>
      </c>
      <c r="O520" s="45" t="str">
        <f t="shared" si="14"/>
        <v>No</v>
      </c>
      <c r="P520" s="44"/>
    </row>
    <row r="521" spans="1:16">
      <c r="A521" s="30" t="s">
        <v>3034</v>
      </c>
      <c r="B521" s="29" t="s">
        <v>2181</v>
      </c>
      <c r="C521" s="30" t="s">
        <v>2521</v>
      </c>
      <c r="D521" s="30" t="s">
        <v>2491</v>
      </c>
      <c r="E521" s="32"/>
      <c r="H521" s="30" t="s">
        <v>168</v>
      </c>
      <c r="I521" s="30" t="s">
        <v>168</v>
      </c>
      <c r="J521" s="30">
        <v>14</v>
      </c>
      <c r="K521" s="30">
        <v>14</v>
      </c>
      <c r="L521" s="30">
        <v>0</v>
      </c>
      <c r="M521" s="44">
        <f t="shared" si="12"/>
        <v>0</v>
      </c>
      <c r="N521" s="45" t="str">
        <f t="shared" si="13"/>
        <v>No</v>
      </c>
      <c r="O521" s="45" t="str">
        <f t="shared" si="14"/>
        <v>No</v>
      </c>
      <c r="P521" s="44"/>
    </row>
    <row r="522" spans="1:16">
      <c r="A522" s="30" t="s">
        <v>3035</v>
      </c>
      <c r="B522" s="29" t="s">
        <v>2185</v>
      </c>
      <c r="C522" s="30" t="s">
        <v>2521</v>
      </c>
      <c r="D522" s="30" t="s">
        <v>2491</v>
      </c>
      <c r="E522" s="32"/>
      <c r="H522" s="30" t="s">
        <v>168</v>
      </c>
      <c r="I522" s="30" t="s">
        <v>168</v>
      </c>
      <c r="J522" s="30">
        <v>19</v>
      </c>
      <c r="K522" s="30">
        <v>19</v>
      </c>
      <c r="L522" s="30">
        <v>0</v>
      </c>
      <c r="M522" s="44">
        <f t="shared" si="12"/>
        <v>0</v>
      </c>
      <c r="N522" s="45" t="str">
        <f t="shared" si="13"/>
        <v>No</v>
      </c>
      <c r="O522" s="45" t="str">
        <f t="shared" si="14"/>
        <v>No</v>
      </c>
      <c r="P522" s="44"/>
    </row>
    <row r="523" spans="1:16">
      <c r="A523" s="30" t="s">
        <v>3036</v>
      </c>
      <c r="B523" s="29" t="s">
        <v>2188</v>
      </c>
      <c r="C523" s="30" t="s">
        <v>2521</v>
      </c>
      <c r="D523" s="30" t="s">
        <v>2491</v>
      </c>
      <c r="E523" s="32"/>
      <c r="H523" s="30" t="s">
        <v>168</v>
      </c>
      <c r="I523" s="30" t="s">
        <v>168</v>
      </c>
      <c r="J523" s="30">
        <v>7</v>
      </c>
      <c r="L523" s="30">
        <v>7</v>
      </c>
      <c r="M523" s="44">
        <f t="shared" si="12"/>
        <v>0</v>
      </c>
      <c r="N523" s="45" t="str">
        <f t="shared" si="13"/>
        <v>No</v>
      </c>
      <c r="O523" s="45" t="str">
        <f t="shared" si="14"/>
        <v>No</v>
      </c>
      <c r="P523" s="44"/>
    </row>
    <row r="524" spans="1:16">
      <c r="A524" s="30" t="s">
        <v>3037</v>
      </c>
      <c r="B524" s="29" t="s">
        <v>2191</v>
      </c>
      <c r="C524" s="30" t="s">
        <v>2521</v>
      </c>
      <c r="D524" s="30" t="s">
        <v>2491</v>
      </c>
      <c r="E524" s="32"/>
      <c r="H524" s="30" t="s">
        <v>168</v>
      </c>
      <c r="I524" s="30" t="s">
        <v>168</v>
      </c>
      <c r="J524" s="30">
        <v>25</v>
      </c>
      <c r="L524" s="30">
        <v>25</v>
      </c>
      <c r="M524" s="44">
        <f t="shared" si="12"/>
        <v>0</v>
      </c>
      <c r="N524" s="45" t="str">
        <f t="shared" si="13"/>
        <v>No</v>
      </c>
      <c r="O524" s="45" t="str">
        <f t="shared" si="14"/>
        <v>No</v>
      </c>
      <c r="P524" s="44"/>
    </row>
    <row r="525" spans="1:16">
      <c r="A525" s="30" t="s">
        <v>3038</v>
      </c>
      <c r="B525" s="29" t="s">
        <v>2194</v>
      </c>
      <c r="C525" s="30" t="s">
        <v>2521</v>
      </c>
      <c r="D525" s="30" t="s">
        <v>2491</v>
      </c>
      <c r="E525" s="32"/>
      <c r="H525" s="30" t="s">
        <v>168</v>
      </c>
      <c r="I525" s="30" t="s">
        <v>168</v>
      </c>
      <c r="J525" s="30">
        <v>28</v>
      </c>
      <c r="L525" s="30">
        <v>28</v>
      </c>
      <c r="M525" s="44">
        <f t="shared" si="12"/>
        <v>0</v>
      </c>
      <c r="N525" s="45" t="str">
        <f t="shared" si="13"/>
        <v>No</v>
      </c>
      <c r="O525" s="45" t="str">
        <f t="shared" si="14"/>
        <v>No</v>
      </c>
      <c r="P525" s="44"/>
    </row>
    <row r="526" spans="1:16">
      <c r="A526" s="30" t="s">
        <v>3039</v>
      </c>
      <c r="B526" s="29" t="s">
        <v>2197</v>
      </c>
      <c r="C526" s="30" t="s">
        <v>2521</v>
      </c>
      <c r="D526" s="30" t="s">
        <v>2491</v>
      </c>
      <c r="E526" s="32"/>
      <c r="H526" s="30" t="s">
        <v>168</v>
      </c>
      <c r="I526" s="30" t="s">
        <v>168</v>
      </c>
      <c r="J526" s="30">
        <v>12</v>
      </c>
      <c r="L526" s="30">
        <v>12</v>
      </c>
      <c r="M526" s="44">
        <f t="shared" si="12"/>
        <v>0</v>
      </c>
      <c r="N526" s="45" t="str">
        <f t="shared" si="13"/>
        <v>No</v>
      </c>
      <c r="O526" s="45" t="str">
        <f t="shared" si="14"/>
        <v>No</v>
      </c>
      <c r="P526" s="44"/>
    </row>
    <row r="527" spans="1:16">
      <c r="A527" s="30" t="s">
        <v>3040</v>
      </c>
      <c r="B527" s="29" t="s">
        <v>2200</v>
      </c>
      <c r="C527" s="30" t="s">
        <v>3041</v>
      </c>
      <c r="D527" s="30" t="s">
        <v>2491</v>
      </c>
      <c r="E527" s="32">
        <v>227</v>
      </c>
      <c r="F527" s="30" t="s">
        <v>3041</v>
      </c>
      <c r="H527" s="30" t="s">
        <v>2486</v>
      </c>
      <c r="I527" s="30" t="s">
        <v>2486</v>
      </c>
      <c r="J527" s="30">
        <v>27</v>
      </c>
      <c r="K527" s="30">
        <v>1</v>
      </c>
      <c r="L527" s="30">
        <v>26</v>
      </c>
      <c r="M527" s="44" t="str">
        <f t="shared" si="12"/>
        <v>Valle de Santiago</v>
      </c>
      <c r="N527" s="45" t="str">
        <f t="shared" si="13"/>
        <v>No</v>
      </c>
      <c r="O527" s="45" t="str">
        <f t="shared" si="14"/>
        <v>No</v>
      </c>
      <c r="P527" s="44"/>
    </row>
    <row r="528" spans="1:16">
      <c r="A528" s="30" t="s">
        <v>3042</v>
      </c>
      <c r="B528" s="29" t="s">
        <v>2207</v>
      </c>
      <c r="C528" s="30" t="s">
        <v>3043</v>
      </c>
      <c r="D528" s="30" t="s">
        <v>2491</v>
      </c>
      <c r="E528" s="32">
        <v>41</v>
      </c>
      <c r="F528" s="30" t="s">
        <v>3043</v>
      </c>
      <c r="H528" s="30" t="s">
        <v>2486</v>
      </c>
      <c r="I528" s="30" t="s">
        <v>168</v>
      </c>
      <c r="J528" s="30">
        <v>11</v>
      </c>
      <c r="K528" s="30">
        <v>1</v>
      </c>
      <c r="L528" s="30">
        <v>10</v>
      </c>
      <c r="M528" s="44" t="str">
        <f t="shared" si="12"/>
        <v>Doctor Mora</v>
      </c>
      <c r="N528" s="45" t="str">
        <f t="shared" si="13"/>
        <v>No</v>
      </c>
      <c r="O528" s="45" t="str">
        <f t="shared" si="14"/>
        <v>No</v>
      </c>
      <c r="P528" s="44"/>
    </row>
    <row r="529" spans="1:16">
      <c r="A529" s="30" t="s">
        <v>3044</v>
      </c>
      <c r="B529" s="29" t="s">
        <v>2210</v>
      </c>
      <c r="C529" s="30" t="s">
        <v>2675</v>
      </c>
      <c r="D529" s="30" t="s">
        <v>2491</v>
      </c>
      <c r="E529" s="32">
        <v>187</v>
      </c>
      <c r="F529" s="30" t="s">
        <v>2675</v>
      </c>
      <c r="H529" s="30" t="s">
        <v>2486</v>
      </c>
      <c r="I529" s="30" t="s">
        <v>2486</v>
      </c>
      <c r="J529" s="30">
        <v>19</v>
      </c>
      <c r="K529" s="30">
        <v>1</v>
      </c>
      <c r="L529" s="30">
        <v>18</v>
      </c>
      <c r="M529" s="44" t="str">
        <f t="shared" si="12"/>
        <v>Salvatierra</v>
      </c>
      <c r="N529" s="45" t="str">
        <f t="shared" si="13"/>
        <v>No</v>
      </c>
      <c r="O529" s="45" t="str">
        <f t="shared" si="14"/>
        <v>No</v>
      </c>
      <c r="P529" s="44"/>
    </row>
    <row r="530" spans="1:16">
      <c r="A530" s="30" t="s">
        <v>3045</v>
      </c>
      <c r="B530" s="29" t="s">
        <v>2213</v>
      </c>
      <c r="C530" s="30" t="s">
        <v>2677</v>
      </c>
      <c r="D530" s="30" t="s">
        <v>2491</v>
      </c>
      <c r="E530" s="32"/>
      <c r="G530" s="30" t="s">
        <v>3046</v>
      </c>
      <c r="H530" s="30" t="s">
        <v>168</v>
      </c>
      <c r="I530" s="30" t="s">
        <v>168</v>
      </c>
      <c r="J530" s="30">
        <v>32</v>
      </c>
      <c r="K530" s="30">
        <v>1</v>
      </c>
      <c r="L530" s="30">
        <v>31</v>
      </c>
      <c r="M530" s="44" t="str">
        <f t="shared" si="12"/>
        <v>Manuel Doblado</v>
      </c>
      <c r="N530" s="45" t="str">
        <f t="shared" si="13"/>
        <v>No</v>
      </c>
      <c r="O530" s="45" t="str">
        <f t="shared" si="14"/>
        <v>No</v>
      </c>
      <c r="P530" s="44"/>
    </row>
    <row r="531" spans="1:16">
      <c r="A531" s="30" t="s">
        <v>3047</v>
      </c>
      <c r="B531" s="29" t="s">
        <v>2216</v>
      </c>
      <c r="C531" s="30" t="s">
        <v>2923</v>
      </c>
      <c r="D531" s="30" t="s">
        <v>2491</v>
      </c>
      <c r="E531" s="32">
        <v>181</v>
      </c>
      <c r="F531" s="30" t="s">
        <v>2923</v>
      </c>
      <c r="H531" s="30" t="s">
        <v>2486</v>
      </c>
      <c r="I531" s="30" t="s">
        <v>2486</v>
      </c>
      <c r="J531" s="30">
        <v>106</v>
      </c>
      <c r="K531" s="30">
        <v>1</v>
      </c>
      <c r="L531" s="30">
        <v>105</v>
      </c>
      <c r="M531" s="44" t="str">
        <f t="shared" si="12"/>
        <v>Salamanca</v>
      </c>
      <c r="N531" s="45" t="str">
        <f t="shared" si="13"/>
        <v>No</v>
      </c>
      <c r="O531" s="45" t="str">
        <f t="shared" si="14"/>
        <v>No</v>
      </c>
      <c r="P531" s="44"/>
    </row>
    <row r="532" spans="1:16">
      <c r="A532" s="30" t="s">
        <v>3048</v>
      </c>
      <c r="B532" s="29" t="s">
        <v>2222</v>
      </c>
      <c r="C532" s="30" t="s">
        <v>2521</v>
      </c>
      <c r="D532" s="30" t="s">
        <v>2491</v>
      </c>
      <c r="E532" s="32"/>
      <c r="H532" s="30" t="s">
        <v>168</v>
      </c>
      <c r="I532" s="30" t="s">
        <v>168</v>
      </c>
      <c r="J532" s="30">
        <v>10</v>
      </c>
      <c r="L532" s="30">
        <v>10</v>
      </c>
      <c r="M532" s="44">
        <f t="shared" si="12"/>
        <v>0</v>
      </c>
      <c r="N532" s="45" t="str">
        <f t="shared" si="13"/>
        <v>No</v>
      </c>
      <c r="O532" s="45" t="str">
        <f t="shared" si="14"/>
        <v>No</v>
      </c>
      <c r="P532" s="44"/>
    </row>
    <row r="533" spans="1:16">
      <c r="A533" s="30" t="s">
        <v>3049</v>
      </c>
      <c r="B533" s="29" t="s">
        <v>2225</v>
      </c>
      <c r="C533" s="30" t="s">
        <v>2521</v>
      </c>
      <c r="D533" s="30" t="s">
        <v>2491</v>
      </c>
      <c r="E533" s="32"/>
      <c r="H533" s="30" t="s">
        <v>168</v>
      </c>
      <c r="I533" s="30" t="s">
        <v>168</v>
      </c>
      <c r="J533" s="30">
        <v>17</v>
      </c>
      <c r="L533" s="30">
        <v>17</v>
      </c>
      <c r="M533" s="44">
        <f t="shared" si="12"/>
        <v>0</v>
      </c>
      <c r="N533" s="45" t="str">
        <f t="shared" si="13"/>
        <v>No</v>
      </c>
      <c r="O533" s="45" t="str">
        <f t="shared" si="14"/>
        <v>No</v>
      </c>
      <c r="P533" s="44"/>
    </row>
    <row r="534" spans="1:16">
      <c r="A534" s="30" t="s">
        <v>3050</v>
      </c>
      <c r="B534" s="29" t="s">
        <v>2228</v>
      </c>
      <c r="C534" s="30" t="s">
        <v>2521</v>
      </c>
      <c r="D534" s="30" t="s">
        <v>2491</v>
      </c>
      <c r="E534" s="32"/>
      <c r="H534" s="30" t="s">
        <v>168</v>
      </c>
      <c r="I534" s="30" t="s">
        <v>168</v>
      </c>
      <c r="J534" s="30">
        <v>26</v>
      </c>
      <c r="L534" s="30">
        <v>26</v>
      </c>
      <c r="M534" s="44">
        <f t="shared" si="12"/>
        <v>0</v>
      </c>
      <c r="N534" s="45" t="str">
        <f t="shared" si="13"/>
        <v>No</v>
      </c>
      <c r="O534" s="45" t="str">
        <f t="shared" si="14"/>
        <v>No</v>
      </c>
      <c r="P534" s="44"/>
    </row>
    <row r="535" spans="1:16">
      <c r="A535" s="30" t="s">
        <v>3051</v>
      </c>
      <c r="B535" s="29" t="s">
        <v>2231</v>
      </c>
      <c r="C535" s="30" t="s">
        <v>2521</v>
      </c>
      <c r="D535" s="30" t="s">
        <v>2491</v>
      </c>
      <c r="E535" s="32"/>
      <c r="H535" s="30" t="s">
        <v>168</v>
      </c>
      <c r="I535" s="30" t="s">
        <v>168</v>
      </c>
      <c r="J535" s="30">
        <v>28</v>
      </c>
      <c r="K535" s="30">
        <v>28</v>
      </c>
      <c r="L535" s="30">
        <v>0</v>
      </c>
      <c r="M535" s="44">
        <f t="shared" si="12"/>
        <v>0</v>
      </c>
      <c r="N535" s="45" t="str">
        <f t="shared" si="13"/>
        <v>No</v>
      </c>
      <c r="O535" s="45" t="str">
        <f t="shared" si="14"/>
        <v>No</v>
      </c>
      <c r="P535" s="44"/>
    </row>
    <row r="536" spans="1:16">
      <c r="A536" s="30" t="s">
        <v>3052</v>
      </c>
      <c r="B536" s="29" t="s">
        <v>2233</v>
      </c>
      <c r="C536" s="30" t="s">
        <v>2521</v>
      </c>
      <c r="D536" s="30" t="s">
        <v>2491</v>
      </c>
      <c r="E536" s="32"/>
      <c r="H536" s="30" t="s">
        <v>168</v>
      </c>
      <c r="I536" s="30" t="s">
        <v>168</v>
      </c>
      <c r="J536" s="30">
        <v>10</v>
      </c>
      <c r="L536" s="30">
        <v>10</v>
      </c>
      <c r="M536" s="44">
        <f t="shared" si="12"/>
        <v>0</v>
      </c>
      <c r="N536" s="45" t="str">
        <f t="shared" si="13"/>
        <v>No</v>
      </c>
      <c r="O536" s="45" t="str">
        <f t="shared" si="14"/>
        <v>No</v>
      </c>
      <c r="P536" s="44"/>
    </row>
    <row r="537" spans="1:16">
      <c r="A537" s="30" t="s">
        <v>3053</v>
      </c>
      <c r="B537" s="29" t="s">
        <v>2237</v>
      </c>
      <c r="C537" s="30" t="s">
        <v>2923</v>
      </c>
      <c r="D537" s="30" t="s">
        <v>2491</v>
      </c>
      <c r="E537" s="32">
        <v>181</v>
      </c>
      <c r="F537" s="30" t="s">
        <v>2923</v>
      </c>
      <c r="H537" s="30" t="s">
        <v>2486</v>
      </c>
      <c r="I537" s="30" t="s">
        <v>2486</v>
      </c>
      <c r="J537" s="30">
        <v>71</v>
      </c>
      <c r="K537" s="30">
        <v>1</v>
      </c>
      <c r="L537" s="30">
        <v>70</v>
      </c>
      <c r="M537" s="44" t="str">
        <f t="shared" si="12"/>
        <v>Salamanca</v>
      </c>
      <c r="N537" s="45" t="str">
        <f t="shared" si="13"/>
        <v>No</v>
      </c>
      <c r="O537" s="45" t="str">
        <f t="shared" si="14"/>
        <v>No</v>
      </c>
      <c r="P537" s="44"/>
    </row>
    <row r="538" spans="1:16">
      <c r="A538" s="30" t="s">
        <v>3054</v>
      </c>
      <c r="B538" s="29" t="s">
        <v>2242</v>
      </c>
      <c r="C538" s="30" t="s">
        <v>2521</v>
      </c>
      <c r="D538" s="30" t="s">
        <v>2491</v>
      </c>
      <c r="E538" s="32"/>
      <c r="H538" s="30" t="s">
        <v>168</v>
      </c>
      <c r="I538" s="30" t="s">
        <v>168</v>
      </c>
      <c r="J538" s="30">
        <v>187</v>
      </c>
      <c r="L538" s="30">
        <v>187</v>
      </c>
      <c r="M538" s="44">
        <f t="shared" si="12"/>
        <v>0</v>
      </c>
      <c r="N538" s="45" t="str">
        <f t="shared" si="13"/>
        <v>No</v>
      </c>
      <c r="O538" s="45" t="str">
        <f t="shared" si="14"/>
        <v>No</v>
      </c>
      <c r="P538" s="44"/>
    </row>
    <row r="539" spans="1:16">
      <c r="A539" s="30" t="s">
        <v>3055</v>
      </c>
      <c r="B539" s="29" t="s">
        <v>2246</v>
      </c>
      <c r="C539" s="30" t="s">
        <v>2483</v>
      </c>
      <c r="D539" s="30" t="s">
        <v>2491</v>
      </c>
      <c r="E539" s="32"/>
      <c r="H539" s="30" t="s">
        <v>168</v>
      </c>
      <c r="I539" s="30" t="s">
        <v>168</v>
      </c>
      <c r="J539" s="30">
        <v>2</v>
      </c>
      <c r="L539" s="30">
        <v>2</v>
      </c>
      <c r="M539" s="44">
        <f t="shared" si="12"/>
        <v>0</v>
      </c>
      <c r="N539" s="45" t="str">
        <f t="shared" si="13"/>
        <v>No</v>
      </c>
      <c r="O539" s="45" t="str">
        <f t="shared" si="14"/>
        <v>No</v>
      </c>
      <c r="P539" s="44"/>
    </row>
    <row r="540" spans="1:16">
      <c r="A540" s="30" t="s">
        <v>3056</v>
      </c>
      <c r="B540" s="29" t="s">
        <v>2248</v>
      </c>
      <c r="C540" s="30" t="s">
        <v>2483</v>
      </c>
      <c r="D540" s="30" t="s">
        <v>2491</v>
      </c>
      <c r="E540" s="32"/>
      <c r="H540" s="30" t="s">
        <v>168</v>
      </c>
      <c r="I540" s="30" t="s">
        <v>168</v>
      </c>
      <c r="J540" s="30">
        <v>3</v>
      </c>
      <c r="L540" s="30">
        <v>3</v>
      </c>
      <c r="M540" s="44">
        <f t="shared" si="12"/>
        <v>0</v>
      </c>
      <c r="N540" s="45" t="str">
        <f t="shared" si="13"/>
        <v>No</v>
      </c>
      <c r="O540" s="45" t="str">
        <f t="shared" si="14"/>
        <v>No</v>
      </c>
      <c r="P540" s="44"/>
    </row>
    <row r="541" spans="1:16">
      <c r="A541" s="30" t="s">
        <v>3057</v>
      </c>
      <c r="B541" s="29" t="s">
        <v>2250</v>
      </c>
      <c r="C541" s="30" t="s">
        <v>2483</v>
      </c>
      <c r="D541" s="30" t="s">
        <v>2491</v>
      </c>
      <c r="E541" s="32"/>
      <c r="H541" s="30" t="s">
        <v>168</v>
      </c>
      <c r="I541" s="30" t="s">
        <v>168</v>
      </c>
      <c r="J541" s="30">
        <v>11</v>
      </c>
      <c r="L541" s="30">
        <v>11</v>
      </c>
      <c r="M541" s="44">
        <f t="shared" si="12"/>
        <v>0</v>
      </c>
      <c r="N541" s="45" t="str">
        <f t="shared" si="13"/>
        <v>No</v>
      </c>
      <c r="O541" s="45" t="str">
        <f t="shared" si="14"/>
        <v>No</v>
      </c>
      <c r="P541" s="44"/>
    </row>
    <row r="542" spans="1:16">
      <c r="A542" s="30" t="s">
        <v>3058</v>
      </c>
      <c r="B542" s="29" t="s">
        <v>2253</v>
      </c>
      <c r="C542" s="30" t="s">
        <v>2923</v>
      </c>
      <c r="D542" s="30" t="s">
        <v>2491</v>
      </c>
      <c r="E542" s="32">
        <v>181</v>
      </c>
      <c r="F542" s="30" t="s">
        <v>2923</v>
      </c>
      <c r="H542" s="30" t="s">
        <v>2486</v>
      </c>
      <c r="I542" s="30" t="s">
        <v>2486</v>
      </c>
      <c r="J542" s="30">
        <v>22</v>
      </c>
      <c r="K542" s="30">
        <v>1</v>
      </c>
      <c r="L542" s="30">
        <v>21</v>
      </c>
      <c r="M542" s="44" t="str">
        <f t="shared" si="12"/>
        <v>Salamanca</v>
      </c>
      <c r="N542" s="45" t="str">
        <f t="shared" si="13"/>
        <v>No</v>
      </c>
      <c r="O542" s="45" t="str">
        <f t="shared" si="14"/>
        <v>No</v>
      </c>
      <c r="P542" s="44"/>
    </row>
    <row r="543" spans="1:16">
      <c r="A543" s="30" t="s">
        <v>3059</v>
      </c>
      <c r="B543" s="29" t="s">
        <v>2257</v>
      </c>
      <c r="C543" s="30" t="s">
        <v>2923</v>
      </c>
      <c r="D543" s="30" t="s">
        <v>2491</v>
      </c>
      <c r="E543" s="32">
        <v>181</v>
      </c>
      <c r="F543" s="30" t="s">
        <v>2923</v>
      </c>
      <c r="H543" s="30" t="s">
        <v>2486</v>
      </c>
      <c r="I543" s="30" t="s">
        <v>2486</v>
      </c>
      <c r="J543" s="30">
        <v>16</v>
      </c>
      <c r="K543" s="30">
        <v>1</v>
      </c>
      <c r="L543" s="30">
        <v>15</v>
      </c>
      <c r="M543" s="44" t="str">
        <f t="shared" si="12"/>
        <v>Salamanca</v>
      </c>
      <c r="N543" s="45" t="str">
        <f t="shared" si="13"/>
        <v>No</v>
      </c>
      <c r="O543" s="45" t="str">
        <f t="shared" si="14"/>
        <v>No</v>
      </c>
      <c r="P543" s="44"/>
    </row>
    <row r="544" spans="1:16">
      <c r="A544" s="30" t="s">
        <v>3060</v>
      </c>
      <c r="B544" s="29" t="s">
        <v>2263</v>
      </c>
      <c r="C544" s="30" t="s">
        <v>2923</v>
      </c>
      <c r="D544" s="30" t="s">
        <v>2491</v>
      </c>
      <c r="E544" s="32">
        <v>181</v>
      </c>
      <c r="F544" s="30" t="s">
        <v>2923</v>
      </c>
      <c r="H544" s="30" t="s">
        <v>2486</v>
      </c>
      <c r="I544" s="30" t="s">
        <v>2486</v>
      </c>
      <c r="J544" s="30">
        <v>19</v>
      </c>
      <c r="K544" s="30">
        <v>5</v>
      </c>
      <c r="L544" s="30">
        <v>14</v>
      </c>
      <c r="M544" s="44" t="str">
        <f t="shared" si="12"/>
        <v>Salamanca</v>
      </c>
      <c r="N544" s="45" t="str">
        <f t="shared" si="13"/>
        <v>No</v>
      </c>
      <c r="O544" s="45" t="str">
        <f t="shared" si="14"/>
        <v>No</v>
      </c>
      <c r="P544" s="44"/>
    </row>
    <row r="545" spans="1:16">
      <c r="A545" s="30" t="s">
        <v>3061</v>
      </c>
      <c r="B545" s="29" t="s">
        <v>2269</v>
      </c>
      <c r="C545" s="30" t="s">
        <v>2483</v>
      </c>
      <c r="D545" s="30" t="s">
        <v>2491</v>
      </c>
      <c r="E545" s="32"/>
      <c r="H545" s="30" t="s">
        <v>168</v>
      </c>
      <c r="I545" s="30" t="s">
        <v>168</v>
      </c>
      <c r="J545" s="30">
        <v>9</v>
      </c>
      <c r="K545" s="30">
        <v>9</v>
      </c>
      <c r="L545" s="30">
        <v>0</v>
      </c>
      <c r="M545" s="44">
        <f t="shared" si="12"/>
        <v>0</v>
      </c>
      <c r="N545" s="45" t="str">
        <f t="shared" si="13"/>
        <v>No</v>
      </c>
      <c r="O545" s="45" t="str">
        <f t="shared" si="14"/>
        <v>No</v>
      </c>
      <c r="P545" s="44"/>
    </row>
    <row r="546" spans="1:16">
      <c r="A546" s="30" t="s">
        <v>3062</v>
      </c>
      <c r="B546" s="29" t="s">
        <v>2271</v>
      </c>
      <c r="C546" s="30" t="s">
        <v>2923</v>
      </c>
      <c r="D546" s="30" t="s">
        <v>2491</v>
      </c>
      <c r="E546" s="32">
        <v>181</v>
      </c>
      <c r="F546" s="30" t="s">
        <v>2923</v>
      </c>
      <c r="H546" s="30" t="s">
        <v>2486</v>
      </c>
      <c r="I546" s="30" t="s">
        <v>2486</v>
      </c>
      <c r="J546" s="30">
        <v>16</v>
      </c>
      <c r="K546" s="30">
        <v>1</v>
      </c>
      <c r="L546" s="30">
        <v>15</v>
      </c>
      <c r="M546" s="44" t="str">
        <f t="shared" si="12"/>
        <v>Salamanca</v>
      </c>
      <c r="N546" s="45" t="str">
        <f t="shared" si="13"/>
        <v>No</v>
      </c>
      <c r="O546" s="45" t="str">
        <f t="shared" si="14"/>
        <v>No</v>
      </c>
      <c r="P546" s="44"/>
    </row>
    <row r="547" spans="1:16">
      <c r="A547" s="30" t="s">
        <v>3063</v>
      </c>
      <c r="B547" s="29" t="s">
        <v>2277</v>
      </c>
      <c r="C547" s="30" t="s">
        <v>2923</v>
      </c>
      <c r="D547" s="30" t="s">
        <v>2491</v>
      </c>
      <c r="E547" s="32">
        <v>181</v>
      </c>
      <c r="F547" s="30" t="s">
        <v>2923</v>
      </c>
      <c r="H547" s="30" t="s">
        <v>2486</v>
      </c>
      <c r="I547" s="30" t="s">
        <v>2486</v>
      </c>
      <c r="J547" s="30">
        <v>37</v>
      </c>
      <c r="K547" s="30">
        <v>37</v>
      </c>
      <c r="L547" s="30">
        <v>0</v>
      </c>
      <c r="M547" s="44" t="str">
        <f t="shared" si="12"/>
        <v>Salamanca</v>
      </c>
      <c r="N547" s="45" t="str">
        <f t="shared" si="13"/>
        <v>No</v>
      </c>
      <c r="O547" s="45" t="str">
        <f t="shared" si="14"/>
        <v>No</v>
      </c>
      <c r="P547" s="44"/>
    </row>
    <row r="548" spans="1:16">
      <c r="A548" s="30" t="s">
        <v>3064</v>
      </c>
      <c r="B548" s="29" t="s">
        <v>2283</v>
      </c>
      <c r="C548" s="30" t="s">
        <v>3065</v>
      </c>
      <c r="D548" s="30" t="s">
        <v>2491</v>
      </c>
      <c r="E548" s="32">
        <v>12</v>
      </c>
      <c r="F548" s="30" t="s">
        <v>3065</v>
      </c>
      <c r="H548" s="30" t="s">
        <v>2486</v>
      </c>
      <c r="I548" s="30" t="s">
        <v>2486</v>
      </c>
      <c r="J548" s="30">
        <v>20</v>
      </c>
      <c r="K548" s="30">
        <v>20</v>
      </c>
      <c r="L548" s="30">
        <v>0</v>
      </c>
      <c r="M548" s="44" t="str">
        <f t="shared" si="12"/>
        <v>Apaseo el Grande</v>
      </c>
      <c r="N548" s="45" t="str">
        <f t="shared" si="13"/>
        <v>No</v>
      </c>
      <c r="O548" s="45" t="str">
        <f t="shared" si="14"/>
        <v>No</v>
      </c>
      <c r="P548" s="44"/>
    </row>
    <row r="549" spans="1:16">
      <c r="A549" s="30" t="s">
        <v>3066</v>
      </c>
      <c r="B549" s="29" t="s">
        <v>2290</v>
      </c>
      <c r="C549" s="30" t="s">
        <v>2483</v>
      </c>
      <c r="D549" s="30" t="s">
        <v>2491</v>
      </c>
      <c r="E549" s="32"/>
      <c r="H549" s="30" t="s">
        <v>168</v>
      </c>
      <c r="I549" s="30" t="s">
        <v>168</v>
      </c>
      <c r="J549" s="30">
        <v>19</v>
      </c>
      <c r="L549" s="30">
        <v>19</v>
      </c>
      <c r="M549" s="44">
        <f t="shared" si="12"/>
        <v>0</v>
      </c>
      <c r="N549" s="45" t="str">
        <f t="shared" si="13"/>
        <v>No</v>
      </c>
      <c r="O549" s="45" t="str">
        <f t="shared" si="14"/>
        <v>No</v>
      </c>
      <c r="P549" s="44"/>
    </row>
    <row r="550" spans="1:16">
      <c r="A550" s="30" t="s">
        <v>3067</v>
      </c>
      <c r="B550" s="29" t="s">
        <v>2293</v>
      </c>
      <c r="C550" s="30" t="s">
        <v>2483</v>
      </c>
      <c r="D550" s="30" t="s">
        <v>2491</v>
      </c>
      <c r="E550" s="32"/>
      <c r="H550" s="30" t="s">
        <v>168</v>
      </c>
      <c r="I550" s="30" t="s">
        <v>168</v>
      </c>
      <c r="J550" s="30">
        <v>235</v>
      </c>
      <c r="K550" s="30">
        <v>5</v>
      </c>
      <c r="L550" s="30">
        <v>230</v>
      </c>
      <c r="M550" s="44">
        <f t="shared" si="12"/>
        <v>0</v>
      </c>
      <c r="N550" s="45" t="str">
        <f t="shared" si="13"/>
        <v>No</v>
      </c>
      <c r="O550" s="45" t="str">
        <f t="shared" si="14"/>
        <v>No</v>
      </c>
      <c r="P550" s="44"/>
    </row>
    <row r="551" spans="1:16">
      <c r="A551" s="30" t="s">
        <v>3068</v>
      </c>
      <c r="B551" s="29" t="s">
        <v>1997</v>
      </c>
      <c r="C551" s="30" t="s">
        <v>3069</v>
      </c>
      <c r="D551" s="30" t="s">
        <v>2491</v>
      </c>
      <c r="E551" s="32">
        <v>86</v>
      </c>
      <c r="F551" s="30" t="s">
        <v>3070</v>
      </c>
      <c r="H551" s="30" t="s">
        <v>2486</v>
      </c>
      <c r="I551" s="30" t="s">
        <v>168</v>
      </c>
      <c r="J551" s="30">
        <v>26</v>
      </c>
      <c r="K551" s="30">
        <v>26</v>
      </c>
      <c r="L551" s="30">
        <v>0</v>
      </c>
      <c r="M551" s="44" t="str">
        <f t="shared" si="12"/>
        <v>Jerecuaro</v>
      </c>
      <c r="N551" s="45" t="str">
        <f t="shared" si="13"/>
        <v>No</v>
      </c>
      <c r="O551" s="45" t="str">
        <f t="shared" si="14"/>
        <v>No</v>
      </c>
      <c r="P551" s="44"/>
    </row>
    <row r="552" spans="1:16">
      <c r="A552" s="30" t="s">
        <v>3071</v>
      </c>
      <c r="B552" s="29" t="s">
        <v>2300</v>
      </c>
      <c r="C552" s="30" t="s">
        <v>2483</v>
      </c>
      <c r="D552" s="30" t="s">
        <v>2491</v>
      </c>
      <c r="E552" s="32"/>
      <c r="H552" s="30" t="s">
        <v>168</v>
      </c>
      <c r="I552" s="30" t="s">
        <v>168</v>
      </c>
      <c r="J552" s="30">
        <v>426</v>
      </c>
      <c r="K552" s="30">
        <v>87</v>
      </c>
      <c r="L552" s="30">
        <v>339</v>
      </c>
      <c r="M552" s="44">
        <f t="shared" si="12"/>
        <v>0</v>
      </c>
      <c r="N552" s="45" t="str">
        <f t="shared" si="13"/>
        <v>No</v>
      </c>
      <c r="O552" s="45" t="str">
        <f t="shared" si="14"/>
        <v>No</v>
      </c>
      <c r="P552" s="44"/>
    </row>
    <row r="553" spans="1:16">
      <c r="A553" s="30" t="s">
        <v>3072</v>
      </c>
      <c r="B553" s="29" t="s">
        <v>2300</v>
      </c>
      <c r="C553" s="30" t="s">
        <v>2521</v>
      </c>
      <c r="D553" s="30" t="s">
        <v>2491</v>
      </c>
      <c r="E553" s="32"/>
      <c r="H553" s="30" t="s">
        <v>168</v>
      </c>
      <c r="I553" s="30" t="s">
        <v>168</v>
      </c>
      <c r="J553" s="30">
        <v>887</v>
      </c>
      <c r="K553" s="30">
        <v>87</v>
      </c>
      <c r="L553" s="30">
        <v>800</v>
      </c>
      <c r="M553" s="44">
        <f t="shared" si="12"/>
        <v>0</v>
      </c>
      <c r="N553" s="45" t="str">
        <f t="shared" si="13"/>
        <v>No</v>
      </c>
      <c r="O553" s="45" t="str">
        <f t="shared" si="14"/>
        <v>No</v>
      </c>
      <c r="P553" s="44"/>
    </row>
    <row r="554" spans="1:16">
      <c r="A554" s="30" t="s">
        <v>3073</v>
      </c>
      <c r="B554" s="29" t="s">
        <v>2306</v>
      </c>
      <c r="C554" s="30" t="s">
        <v>3069</v>
      </c>
      <c r="D554" s="30" t="s">
        <v>2491</v>
      </c>
      <c r="E554" s="32">
        <v>86</v>
      </c>
      <c r="F554" s="30" t="s">
        <v>3070</v>
      </c>
      <c r="H554" s="30" t="s">
        <v>2486</v>
      </c>
      <c r="I554" s="30" t="s">
        <v>168</v>
      </c>
      <c r="J554" s="30">
        <v>379</v>
      </c>
      <c r="K554" s="30">
        <v>26</v>
      </c>
      <c r="L554" s="30">
        <v>353</v>
      </c>
      <c r="M554" s="44" t="str">
        <f t="shared" si="12"/>
        <v>Jerecuaro</v>
      </c>
      <c r="N554" s="45" t="str">
        <f t="shared" si="13"/>
        <v>No</v>
      </c>
      <c r="O554" s="45" t="str">
        <f t="shared" si="14"/>
        <v>No</v>
      </c>
      <c r="P554" s="44"/>
    </row>
    <row r="555" spans="1:16">
      <c r="A555" s="30" t="s">
        <v>3074</v>
      </c>
      <c r="B555" s="29" t="s">
        <v>2312</v>
      </c>
      <c r="C555" s="30" t="s">
        <v>3065</v>
      </c>
      <c r="D555" s="30" t="s">
        <v>2491</v>
      </c>
      <c r="E555" s="32">
        <v>12</v>
      </c>
      <c r="F555" s="30" t="s">
        <v>3065</v>
      </c>
      <c r="H555" s="30" t="s">
        <v>2486</v>
      </c>
      <c r="I555" s="30" t="s">
        <v>2486</v>
      </c>
      <c r="J555" s="30">
        <v>164</v>
      </c>
      <c r="K555" s="30">
        <v>20</v>
      </c>
      <c r="L555" s="30">
        <v>144</v>
      </c>
      <c r="M555" s="44" t="str">
        <f t="shared" si="12"/>
        <v>Apaseo el Grande</v>
      </c>
      <c r="N555" s="45" t="str">
        <f t="shared" si="13"/>
        <v>No</v>
      </c>
      <c r="O555" s="45" t="str">
        <f t="shared" si="14"/>
        <v>No</v>
      </c>
      <c r="P555" s="44"/>
    </row>
    <row r="556" spans="1:16">
      <c r="A556" s="30" t="s">
        <v>3075</v>
      </c>
      <c r="B556" s="29" t="s">
        <v>2312</v>
      </c>
      <c r="C556" s="30" t="s">
        <v>3076</v>
      </c>
      <c r="D556" s="30" t="s">
        <v>2491</v>
      </c>
      <c r="E556" s="32">
        <v>39</v>
      </c>
      <c r="F556" s="30" t="s">
        <v>3077</v>
      </c>
      <c r="H556" s="30" t="s">
        <v>2486</v>
      </c>
      <c r="I556" s="30" t="s">
        <v>168</v>
      </c>
      <c r="J556" s="30">
        <v>81</v>
      </c>
      <c r="K556" s="30">
        <v>11</v>
      </c>
      <c r="L556" s="30">
        <v>70</v>
      </c>
      <c r="M556" s="44" t="str">
        <f t="shared" si="12"/>
        <v>Cueramaro</v>
      </c>
      <c r="N556" s="45" t="str">
        <f t="shared" si="13"/>
        <v>No</v>
      </c>
      <c r="O556" s="45" t="str">
        <f t="shared" si="14"/>
        <v>No</v>
      </c>
      <c r="P556" s="44"/>
    </row>
    <row r="557" spans="1:16">
      <c r="A557" s="30" t="s">
        <v>3078</v>
      </c>
      <c r="B557" s="29" t="s">
        <v>2317</v>
      </c>
      <c r="C557" s="30" t="s">
        <v>2521</v>
      </c>
      <c r="D557" s="30" t="s">
        <v>2491</v>
      </c>
      <c r="E557" s="32">
        <v>49</v>
      </c>
      <c r="F557" s="30" t="s">
        <v>2521</v>
      </c>
      <c r="H557" s="30" t="s">
        <v>2486</v>
      </c>
      <c r="I557" s="30" t="s">
        <v>2486</v>
      </c>
      <c r="J557" s="30">
        <v>1878</v>
      </c>
      <c r="K557" s="30">
        <v>16</v>
      </c>
      <c r="L557" s="30">
        <v>1862</v>
      </c>
      <c r="M557" s="44" t="str">
        <f t="shared" si="12"/>
        <v>Guanajuato</v>
      </c>
      <c r="N557" s="45" t="str">
        <f t="shared" si="13"/>
        <v>No</v>
      </c>
      <c r="O557" s="45" t="str">
        <f t="shared" si="14"/>
        <v>No</v>
      </c>
      <c r="P557" s="44"/>
    </row>
    <row r="558" spans="1:16">
      <c r="A558" s="30" t="s">
        <v>3079</v>
      </c>
      <c r="B558" s="29" t="s">
        <v>2327</v>
      </c>
      <c r="C558" s="30" t="s">
        <v>2483</v>
      </c>
      <c r="D558" s="30" t="s">
        <v>2491</v>
      </c>
      <c r="E558" s="32"/>
      <c r="H558" s="30" t="s">
        <v>168</v>
      </c>
      <c r="I558" s="30" t="s">
        <v>168</v>
      </c>
      <c r="J558" s="30">
        <v>10</v>
      </c>
      <c r="L558" s="30">
        <v>10</v>
      </c>
      <c r="M558" s="44">
        <f t="shared" si="12"/>
        <v>0</v>
      </c>
      <c r="N558" s="45" t="str">
        <f t="shared" si="13"/>
        <v>No</v>
      </c>
      <c r="O558" s="45" t="str">
        <f t="shared" si="14"/>
        <v>No</v>
      </c>
      <c r="P558" s="44"/>
    </row>
    <row r="559" spans="1:16">
      <c r="A559" s="30" t="s">
        <v>3080</v>
      </c>
      <c r="B559" s="29" t="s">
        <v>2330</v>
      </c>
      <c r="C559" s="30" t="s">
        <v>2483</v>
      </c>
      <c r="D559" s="30" t="s">
        <v>2491</v>
      </c>
      <c r="E559" s="32"/>
      <c r="H559" s="30" t="s">
        <v>168</v>
      </c>
      <c r="I559" s="30" t="s">
        <v>168</v>
      </c>
      <c r="J559" s="30">
        <v>86</v>
      </c>
      <c r="L559" s="30">
        <v>86</v>
      </c>
      <c r="M559" s="44">
        <f t="shared" si="12"/>
        <v>0</v>
      </c>
      <c r="N559" s="45" t="str">
        <f t="shared" si="13"/>
        <v>No</v>
      </c>
      <c r="O559" s="45" t="str">
        <f t="shared" si="14"/>
        <v>No</v>
      </c>
      <c r="P559" s="44"/>
    </row>
    <row r="560" spans="1:16">
      <c r="A560" s="30" t="s">
        <v>3081</v>
      </c>
      <c r="B560" s="29" t="s">
        <v>2333</v>
      </c>
      <c r="C560" s="30" t="s">
        <v>2483</v>
      </c>
      <c r="D560" s="30" t="s">
        <v>2491</v>
      </c>
      <c r="E560" s="32"/>
      <c r="H560" s="30" t="s">
        <v>168</v>
      </c>
      <c r="I560" s="30" t="s">
        <v>168</v>
      </c>
      <c r="J560" s="30">
        <v>15</v>
      </c>
      <c r="L560" s="30">
        <v>15</v>
      </c>
      <c r="M560" s="44">
        <f t="shared" si="12"/>
        <v>0</v>
      </c>
      <c r="N560" s="45" t="str">
        <f t="shared" si="13"/>
        <v>No</v>
      </c>
      <c r="O560" s="45" t="str">
        <f t="shared" si="14"/>
        <v>No</v>
      </c>
      <c r="P560" s="44"/>
    </row>
    <row r="561" spans="1:16">
      <c r="A561" s="30" t="s">
        <v>3082</v>
      </c>
      <c r="B561" s="29" t="s">
        <v>2336</v>
      </c>
      <c r="C561" s="30" t="s">
        <v>2483</v>
      </c>
      <c r="D561" s="30" t="s">
        <v>2491</v>
      </c>
      <c r="E561" s="32"/>
      <c r="H561" s="30" t="s">
        <v>168</v>
      </c>
      <c r="I561" s="30" t="s">
        <v>168</v>
      </c>
      <c r="J561" s="30">
        <v>10</v>
      </c>
      <c r="L561" s="30">
        <v>10</v>
      </c>
      <c r="M561" s="44">
        <f t="shared" si="12"/>
        <v>0</v>
      </c>
      <c r="N561" s="45" t="str">
        <f t="shared" si="13"/>
        <v>No</v>
      </c>
      <c r="O561" s="45" t="str">
        <f t="shared" si="14"/>
        <v>No</v>
      </c>
      <c r="P561" s="44"/>
    </row>
    <row r="562" spans="1:16">
      <c r="A562" s="30" t="s">
        <v>3083</v>
      </c>
      <c r="B562" s="29" t="s">
        <v>2339</v>
      </c>
      <c r="C562" s="30" t="s">
        <v>2483</v>
      </c>
      <c r="D562" s="30" t="s">
        <v>2491</v>
      </c>
      <c r="E562" s="32"/>
      <c r="H562" s="30" t="s">
        <v>168</v>
      </c>
      <c r="I562" s="30" t="s">
        <v>168</v>
      </c>
      <c r="J562" s="30">
        <v>34</v>
      </c>
      <c r="L562" s="30">
        <v>34</v>
      </c>
      <c r="M562" s="44">
        <f t="shared" si="12"/>
        <v>0</v>
      </c>
      <c r="N562" s="45" t="str">
        <f t="shared" si="13"/>
        <v>No</v>
      </c>
      <c r="O562" s="45" t="str">
        <f t="shared" si="14"/>
        <v>No</v>
      </c>
      <c r="P562" s="44"/>
    </row>
    <row r="563" spans="1:16">
      <c r="A563" s="30" t="s">
        <v>3084</v>
      </c>
      <c r="B563" s="29" t="s">
        <v>2342</v>
      </c>
      <c r="C563" s="30" t="s">
        <v>2483</v>
      </c>
      <c r="D563" s="30" t="s">
        <v>2491</v>
      </c>
      <c r="E563" s="32"/>
      <c r="H563" s="30" t="s">
        <v>168</v>
      </c>
      <c r="I563" s="30" t="s">
        <v>168</v>
      </c>
      <c r="J563" s="30">
        <v>15</v>
      </c>
      <c r="L563" s="30">
        <v>15</v>
      </c>
      <c r="M563" s="44">
        <f t="shared" si="12"/>
        <v>0</v>
      </c>
      <c r="N563" s="45" t="str">
        <f t="shared" si="13"/>
        <v>No</v>
      </c>
      <c r="O563" s="45" t="str">
        <f t="shared" si="14"/>
        <v>No</v>
      </c>
      <c r="P563" s="44"/>
    </row>
    <row r="564" spans="1:16">
      <c r="A564" s="30" t="s">
        <v>3085</v>
      </c>
      <c r="B564" s="29" t="s">
        <v>2345</v>
      </c>
      <c r="C564" s="30" t="s">
        <v>2483</v>
      </c>
      <c r="D564" s="30" t="s">
        <v>2491</v>
      </c>
      <c r="E564" s="32"/>
      <c r="H564" s="30" t="s">
        <v>168</v>
      </c>
      <c r="I564" s="30" t="s">
        <v>168</v>
      </c>
      <c r="J564" s="30">
        <v>21</v>
      </c>
      <c r="L564" s="30">
        <v>21</v>
      </c>
      <c r="M564" s="44">
        <f t="shared" si="12"/>
        <v>0</v>
      </c>
      <c r="N564" s="45" t="str">
        <f t="shared" si="13"/>
        <v>No</v>
      </c>
      <c r="O564" s="45" t="str">
        <f t="shared" si="14"/>
        <v>No</v>
      </c>
      <c r="P564" s="44"/>
    </row>
    <row r="565" spans="1:16">
      <c r="A565" s="30" t="s">
        <v>3086</v>
      </c>
      <c r="B565" s="29" t="s">
        <v>2347</v>
      </c>
      <c r="C565" s="30" t="s">
        <v>2483</v>
      </c>
      <c r="D565" s="30" t="s">
        <v>2491</v>
      </c>
      <c r="E565" s="32"/>
      <c r="H565" s="30" t="s">
        <v>168</v>
      </c>
      <c r="I565" s="30" t="s">
        <v>168</v>
      </c>
      <c r="J565" s="30">
        <v>21</v>
      </c>
      <c r="L565" s="30">
        <v>21</v>
      </c>
      <c r="M565" s="44">
        <f t="shared" si="12"/>
        <v>0</v>
      </c>
      <c r="N565" s="45" t="str">
        <f t="shared" si="13"/>
        <v>No</v>
      </c>
      <c r="O565" s="45" t="str">
        <f t="shared" si="14"/>
        <v>No</v>
      </c>
      <c r="P565" s="44"/>
    </row>
    <row r="566" spans="1:16">
      <c r="A566" s="30" t="s">
        <v>3087</v>
      </c>
      <c r="B566" s="29" t="s">
        <v>2349</v>
      </c>
      <c r="C566" s="30" t="s">
        <v>2483</v>
      </c>
      <c r="D566" s="30" t="s">
        <v>2491</v>
      </c>
      <c r="E566" s="32"/>
      <c r="H566" s="30" t="s">
        <v>168</v>
      </c>
      <c r="I566" s="30" t="s">
        <v>168</v>
      </c>
      <c r="J566" s="30">
        <v>10</v>
      </c>
      <c r="L566" s="30">
        <v>10</v>
      </c>
      <c r="M566" s="44">
        <f t="shared" si="12"/>
        <v>0</v>
      </c>
      <c r="N566" s="45" t="str">
        <f t="shared" si="13"/>
        <v>No</v>
      </c>
      <c r="O566" s="45" t="str">
        <f t="shared" si="14"/>
        <v>No</v>
      </c>
      <c r="P566" s="44"/>
    </row>
    <row r="567" spans="1:16">
      <c r="A567" s="30" t="s">
        <v>3088</v>
      </c>
      <c r="B567" s="29" t="s">
        <v>2351</v>
      </c>
      <c r="C567" s="30" t="s">
        <v>2483</v>
      </c>
      <c r="D567" s="30" t="s">
        <v>2491</v>
      </c>
      <c r="E567" s="32"/>
      <c r="H567" s="30" t="s">
        <v>168</v>
      </c>
      <c r="I567" s="30" t="s">
        <v>168</v>
      </c>
      <c r="J567" s="30">
        <v>27</v>
      </c>
      <c r="L567" s="30">
        <v>27</v>
      </c>
      <c r="M567" s="44">
        <f t="shared" si="12"/>
        <v>0</v>
      </c>
      <c r="N567" s="45" t="str">
        <f t="shared" si="13"/>
        <v>No</v>
      </c>
      <c r="O567" s="45" t="str">
        <f t="shared" si="14"/>
        <v>No</v>
      </c>
      <c r="P567" s="44"/>
    </row>
    <row r="568" spans="1:16">
      <c r="A568" s="30" t="s">
        <v>3089</v>
      </c>
      <c r="B568" s="29" t="s">
        <v>2354</v>
      </c>
      <c r="C568" s="30" t="s">
        <v>2483</v>
      </c>
      <c r="D568" s="30" t="s">
        <v>2491</v>
      </c>
      <c r="E568" s="32"/>
      <c r="H568" s="30" t="s">
        <v>168</v>
      </c>
      <c r="I568" s="30" t="s">
        <v>168</v>
      </c>
      <c r="J568" s="30">
        <v>26</v>
      </c>
      <c r="K568" s="30">
        <v>26</v>
      </c>
      <c r="L568" s="30">
        <v>0</v>
      </c>
      <c r="M568" s="44">
        <f t="shared" si="12"/>
        <v>0</v>
      </c>
      <c r="N568" s="45" t="str">
        <f t="shared" si="13"/>
        <v>No</v>
      </c>
      <c r="O568" s="45" t="str">
        <f t="shared" si="14"/>
        <v>No</v>
      </c>
      <c r="P568" s="44"/>
    </row>
    <row r="569" spans="1:16">
      <c r="A569" s="30" t="s">
        <v>3090</v>
      </c>
      <c r="B569" s="29" t="s">
        <v>2379</v>
      </c>
      <c r="C569" s="30" t="s">
        <v>2521</v>
      </c>
      <c r="D569" s="30" t="s">
        <v>2491</v>
      </c>
      <c r="E569" s="32"/>
      <c r="H569" s="30" t="s">
        <v>168</v>
      </c>
      <c r="I569" s="30" t="s">
        <v>168</v>
      </c>
      <c r="J569" s="30">
        <v>77</v>
      </c>
      <c r="L569" s="30">
        <v>77</v>
      </c>
      <c r="M569" s="44">
        <f t="shared" si="12"/>
        <v>0</v>
      </c>
      <c r="N569" s="45" t="str">
        <f t="shared" si="13"/>
        <v>No</v>
      </c>
      <c r="O569" s="45" t="str">
        <f t="shared" si="14"/>
        <v>No</v>
      </c>
      <c r="P569" s="44"/>
    </row>
    <row r="570" spans="1:16">
      <c r="A570" s="30" t="s">
        <v>3091</v>
      </c>
      <c r="B570" s="29" t="s">
        <v>2384</v>
      </c>
      <c r="C570" s="30" t="s">
        <v>2521</v>
      </c>
      <c r="D570" s="30" t="s">
        <v>2491</v>
      </c>
      <c r="E570" s="32"/>
      <c r="H570" s="30" t="s">
        <v>168</v>
      </c>
      <c r="I570" s="30" t="s">
        <v>168</v>
      </c>
      <c r="J570" s="30">
        <v>708</v>
      </c>
      <c r="L570" s="30">
        <v>708</v>
      </c>
      <c r="M570" s="44">
        <f t="shared" si="12"/>
        <v>0</v>
      </c>
      <c r="N570" s="45" t="str">
        <f t="shared" si="13"/>
        <v>No</v>
      </c>
      <c r="O570" s="45" t="str">
        <f t="shared" si="14"/>
        <v>No</v>
      </c>
      <c r="P570" s="44"/>
    </row>
    <row r="571" spans="1:16">
      <c r="A571" s="30" t="s">
        <v>3092</v>
      </c>
      <c r="B571" s="29" t="s">
        <v>2395</v>
      </c>
      <c r="C571" s="30" t="s">
        <v>2521</v>
      </c>
      <c r="D571" s="30" t="s">
        <v>2491</v>
      </c>
      <c r="E571" s="32"/>
      <c r="H571" s="30" t="s">
        <v>168</v>
      </c>
      <c r="I571" s="30" t="s">
        <v>168</v>
      </c>
      <c r="J571" s="30">
        <v>43</v>
      </c>
      <c r="L571" s="30">
        <v>43</v>
      </c>
      <c r="M571" s="44">
        <f t="shared" si="12"/>
        <v>0</v>
      </c>
      <c r="N571" s="45" t="str">
        <f t="shared" si="13"/>
        <v>No</v>
      </c>
      <c r="O571" s="45" t="str">
        <f t="shared" si="14"/>
        <v>No</v>
      </c>
      <c r="P571" s="44"/>
    </row>
    <row r="572" spans="1:16">
      <c r="A572" s="30" t="s">
        <v>3093</v>
      </c>
      <c r="B572" s="29" t="s">
        <v>2398</v>
      </c>
      <c r="C572" s="30" t="s">
        <v>2483</v>
      </c>
      <c r="D572" s="30" t="s">
        <v>2491</v>
      </c>
      <c r="E572" s="32"/>
      <c r="H572" s="30" t="s">
        <v>168</v>
      </c>
      <c r="I572" s="30" t="s">
        <v>168</v>
      </c>
      <c r="J572" s="30">
        <v>36</v>
      </c>
      <c r="K572" s="30">
        <v>36</v>
      </c>
      <c r="L572" s="30">
        <v>0</v>
      </c>
      <c r="M572" s="44">
        <f t="shared" si="12"/>
        <v>0</v>
      </c>
      <c r="N572" s="45" t="str">
        <f t="shared" si="13"/>
        <v>No</v>
      </c>
      <c r="O572" s="45" t="str">
        <f t="shared" si="14"/>
        <v>No</v>
      </c>
      <c r="P572" s="44"/>
    </row>
    <row r="573" spans="1:16">
      <c r="A573" s="30" t="s">
        <v>3094</v>
      </c>
      <c r="B573" s="29" t="s">
        <v>2402</v>
      </c>
      <c r="C573" s="30" t="s">
        <v>2483</v>
      </c>
      <c r="D573" s="30" t="s">
        <v>2491</v>
      </c>
      <c r="E573" s="32"/>
      <c r="H573" s="30" t="s">
        <v>168</v>
      </c>
      <c r="I573" s="30" t="s">
        <v>168</v>
      </c>
      <c r="J573" s="30">
        <v>4</v>
      </c>
      <c r="K573" s="30">
        <v>4</v>
      </c>
      <c r="L573" s="30">
        <v>0</v>
      </c>
      <c r="M573" s="44">
        <f t="shared" si="12"/>
        <v>0</v>
      </c>
      <c r="N573" s="45" t="str">
        <f t="shared" si="13"/>
        <v>No</v>
      </c>
      <c r="O573" s="45" t="str">
        <f t="shared" si="14"/>
        <v>No</v>
      </c>
      <c r="P573" s="44"/>
    </row>
    <row r="574" spans="1:16">
      <c r="A574" s="30" t="s">
        <v>3095</v>
      </c>
      <c r="B574" s="29" t="s">
        <v>2407</v>
      </c>
      <c r="C574" s="30" t="s">
        <v>2483</v>
      </c>
      <c r="D574" s="30" t="s">
        <v>2491</v>
      </c>
      <c r="E574" s="32"/>
      <c r="H574" s="30" t="s">
        <v>168</v>
      </c>
      <c r="I574" s="30" t="s">
        <v>168</v>
      </c>
      <c r="J574" s="30">
        <v>4</v>
      </c>
      <c r="K574" s="30">
        <v>4</v>
      </c>
      <c r="L574" s="30">
        <v>0</v>
      </c>
      <c r="M574" s="44">
        <f t="shared" si="12"/>
        <v>0</v>
      </c>
      <c r="N574" s="45" t="str">
        <f t="shared" si="13"/>
        <v>No</v>
      </c>
      <c r="O574" s="45" t="str">
        <f t="shared" si="14"/>
        <v>No</v>
      </c>
      <c r="P574" s="44"/>
    </row>
    <row r="575" spans="1:16">
      <c r="A575" s="30" t="s">
        <v>3096</v>
      </c>
      <c r="B575" s="29" t="s">
        <v>2410</v>
      </c>
      <c r="C575" s="30" t="s">
        <v>2483</v>
      </c>
      <c r="D575" s="30" t="s">
        <v>2491</v>
      </c>
      <c r="E575" s="32"/>
      <c r="H575" s="30" t="s">
        <v>168</v>
      </c>
      <c r="I575" s="30" t="s">
        <v>168</v>
      </c>
      <c r="J575" s="30">
        <v>5</v>
      </c>
      <c r="K575" s="30">
        <v>5</v>
      </c>
      <c r="L575" s="30">
        <v>0</v>
      </c>
      <c r="M575" s="44">
        <f t="shared" si="12"/>
        <v>0</v>
      </c>
      <c r="N575" s="45" t="str">
        <f t="shared" si="13"/>
        <v>No</v>
      </c>
      <c r="O575" s="45" t="str">
        <f t="shared" si="14"/>
        <v>No</v>
      </c>
      <c r="P575" s="44"/>
    </row>
    <row r="576" spans="1:16">
      <c r="A576" s="30" t="s">
        <v>3097</v>
      </c>
      <c r="B576" s="29" t="s">
        <v>2415</v>
      </c>
      <c r="C576" s="30" t="s">
        <v>3098</v>
      </c>
      <c r="D576" s="30" t="s">
        <v>2491</v>
      </c>
      <c r="E576" s="32"/>
      <c r="H576" s="30" t="s">
        <v>168</v>
      </c>
      <c r="I576" s="30" t="s">
        <v>168</v>
      </c>
      <c r="J576" s="30">
        <v>12542</v>
      </c>
      <c r="L576" s="30">
        <v>12542</v>
      </c>
      <c r="M576" s="44">
        <f t="shared" si="12"/>
        <v>0</v>
      </c>
      <c r="N576" s="45" t="str">
        <f t="shared" si="13"/>
        <v>No</v>
      </c>
      <c r="O576" s="45" t="str">
        <f t="shared" si="14"/>
        <v>No</v>
      </c>
      <c r="P576" s="44"/>
    </row>
    <row r="577" spans="1:16">
      <c r="A577" s="30" t="s">
        <v>3099</v>
      </c>
      <c r="B577" s="29" t="s">
        <v>2420</v>
      </c>
      <c r="C577" s="30" t="s">
        <v>2521</v>
      </c>
      <c r="D577" s="30" t="s">
        <v>2491</v>
      </c>
      <c r="E577" s="32"/>
      <c r="H577" s="30" t="s">
        <v>168</v>
      </c>
      <c r="I577" s="30" t="s">
        <v>168</v>
      </c>
      <c r="J577" s="30">
        <v>5</v>
      </c>
      <c r="L577" s="30">
        <v>5</v>
      </c>
      <c r="M577" s="44">
        <f t="shared" si="12"/>
        <v>0</v>
      </c>
      <c r="N577" s="45" t="str">
        <f t="shared" si="13"/>
        <v>No</v>
      </c>
      <c r="O577" s="45" t="str">
        <f t="shared" si="14"/>
        <v>No</v>
      </c>
      <c r="P577" s="44"/>
    </row>
    <row r="578" spans="1:16">
      <c r="A578" s="30" t="s">
        <v>3100</v>
      </c>
      <c r="B578" s="29" t="s">
        <v>2423</v>
      </c>
      <c r="C578" s="30" t="s">
        <v>2521</v>
      </c>
      <c r="D578" s="30" t="s">
        <v>2491</v>
      </c>
      <c r="E578" s="32"/>
      <c r="H578" s="30" t="s">
        <v>168</v>
      </c>
      <c r="I578" s="30" t="s">
        <v>168</v>
      </c>
      <c r="J578" s="30">
        <v>15</v>
      </c>
      <c r="K578" s="30">
        <v>15</v>
      </c>
      <c r="L578" s="30">
        <v>0</v>
      </c>
      <c r="M578" s="44">
        <f t="shared" si="12"/>
        <v>0</v>
      </c>
      <c r="N578" s="45" t="str">
        <f t="shared" si="13"/>
        <v>No</v>
      </c>
      <c r="O578" s="45" t="str">
        <f t="shared" si="14"/>
        <v>No</v>
      </c>
      <c r="P578" s="44"/>
    </row>
    <row r="579" spans="1:16">
      <c r="A579" s="30" t="s">
        <v>3101</v>
      </c>
      <c r="B579" s="29" t="s">
        <v>2426</v>
      </c>
      <c r="C579" s="30" t="s">
        <v>2521</v>
      </c>
      <c r="D579" s="30" t="s">
        <v>2491</v>
      </c>
      <c r="E579" s="32"/>
      <c r="H579" s="30" t="s">
        <v>168</v>
      </c>
      <c r="I579" s="30" t="s">
        <v>168</v>
      </c>
      <c r="J579" s="30">
        <v>23</v>
      </c>
      <c r="K579" s="30">
        <v>23</v>
      </c>
      <c r="L579" s="30">
        <v>0</v>
      </c>
      <c r="M579" s="44">
        <f t="shared" si="12"/>
        <v>0</v>
      </c>
      <c r="N579" s="45" t="str">
        <f t="shared" si="13"/>
        <v>No</v>
      </c>
      <c r="O579" s="45" t="str">
        <f t="shared" si="14"/>
        <v>No</v>
      </c>
      <c r="P579" s="44"/>
    </row>
    <row r="580" spans="1:16">
      <c r="A580" s="30" t="s">
        <v>3102</v>
      </c>
      <c r="B580" s="29" t="s">
        <v>2429</v>
      </c>
      <c r="C580" s="30" t="s">
        <v>2521</v>
      </c>
      <c r="D580" s="30" t="s">
        <v>2491</v>
      </c>
      <c r="E580" s="32"/>
      <c r="H580" s="30" t="s">
        <v>168</v>
      </c>
      <c r="I580" s="30" t="s">
        <v>168</v>
      </c>
      <c r="J580" s="30">
        <v>11</v>
      </c>
      <c r="K580" s="30">
        <v>11</v>
      </c>
      <c r="L580" s="30">
        <v>0</v>
      </c>
      <c r="M580" s="44">
        <f t="shared" si="12"/>
        <v>0</v>
      </c>
      <c r="N580" s="45" t="str">
        <f t="shared" si="13"/>
        <v>No</v>
      </c>
      <c r="O580" s="45" t="str">
        <f t="shared" si="14"/>
        <v>No</v>
      </c>
      <c r="P580" s="44"/>
    </row>
    <row r="581" spans="1:16">
      <c r="A581" s="30" t="s">
        <v>3103</v>
      </c>
      <c r="B581" s="29" t="s">
        <v>2433</v>
      </c>
      <c r="C581" s="30" t="s">
        <v>2521</v>
      </c>
      <c r="D581" s="30" t="s">
        <v>2491</v>
      </c>
      <c r="E581" s="32"/>
      <c r="H581" s="30" t="s">
        <v>168</v>
      </c>
      <c r="I581" s="30" t="s">
        <v>168</v>
      </c>
      <c r="J581" s="30">
        <v>4</v>
      </c>
      <c r="K581" s="30">
        <v>4</v>
      </c>
      <c r="L581" s="30">
        <v>0</v>
      </c>
      <c r="M581" s="44">
        <f t="shared" si="12"/>
        <v>0</v>
      </c>
      <c r="N581" s="45" t="str">
        <f t="shared" si="13"/>
        <v>No</v>
      </c>
      <c r="O581" s="45" t="str">
        <f t="shared" si="14"/>
        <v>No</v>
      </c>
      <c r="P581" s="44"/>
    </row>
    <row r="582" spans="1:16">
      <c r="A582" s="30" t="s">
        <v>3104</v>
      </c>
      <c r="B582" s="29" t="s">
        <v>2435</v>
      </c>
      <c r="C582" s="30" t="s">
        <v>2521</v>
      </c>
      <c r="D582" s="30" t="s">
        <v>2491</v>
      </c>
      <c r="E582" s="32"/>
      <c r="H582" s="30" t="s">
        <v>168</v>
      </c>
      <c r="I582" s="30" t="s">
        <v>168</v>
      </c>
      <c r="J582" s="30">
        <v>14</v>
      </c>
      <c r="K582" s="30">
        <v>14</v>
      </c>
      <c r="L582" s="30">
        <v>0</v>
      </c>
      <c r="M582" s="44">
        <f t="shared" si="12"/>
        <v>0</v>
      </c>
      <c r="N582" s="45" t="str">
        <f t="shared" si="13"/>
        <v>No</v>
      </c>
      <c r="O582" s="45" t="str">
        <f t="shared" si="14"/>
        <v>No</v>
      </c>
      <c r="P582" s="44"/>
    </row>
    <row r="583" spans="1:16">
      <c r="A583" s="30" t="s">
        <v>3105</v>
      </c>
      <c r="B583" s="29" t="s">
        <v>2437</v>
      </c>
      <c r="C583" s="30" t="s">
        <v>2521</v>
      </c>
      <c r="D583" s="30" t="s">
        <v>2491</v>
      </c>
      <c r="E583" s="32"/>
      <c r="H583" s="30" t="s">
        <v>168</v>
      </c>
      <c r="I583" s="30" t="s">
        <v>168</v>
      </c>
      <c r="J583" s="30">
        <v>25</v>
      </c>
      <c r="K583" s="30">
        <v>25</v>
      </c>
      <c r="L583" s="30">
        <v>0</v>
      </c>
      <c r="M583" s="44">
        <f t="shared" si="12"/>
        <v>0</v>
      </c>
      <c r="N583" s="45" t="str">
        <f t="shared" si="13"/>
        <v>No</v>
      </c>
      <c r="O583" s="45" t="str">
        <f t="shared" si="14"/>
        <v>No</v>
      </c>
      <c r="P583" s="44"/>
    </row>
    <row r="584" spans="1:16">
      <c r="A584" s="30" t="s">
        <v>3106</v>
      </c>
      <c r="B584" s="29" t="s">
        <v>2439</v>
      </c>
      <c r="C584" s="30" t="s">
        <v>2521</v>
      </c>
      <c r="D584" s="30" t="s">
        <v>2491</v>
      </c>
      <c r="E584" s="32"/>
      <c r="H584" s="30" t="s">
        <v>168</v>
      </c>
      <c r="I584" s="30" t="s">
        <v>168</v>
      </c>
      <c r="J584" s="30">
        <v>4</v>
      </c>
      <c r="K584" s="30">
        <v>4</v>
      </c>
      <c r="L584" s="30">
        <v>0</v>
      </c>
      <c r="M584" s="44">
        <f t="shared" si="12"/>
        <v>0</v>
      </c>
      <c r="N584" s="45" t="str">
        <f t="shared" si="13"/>
        <v>No</v>
      </c>
      <c r="O584" s="45" t="str">
        <f t="shared" si="14"/>
        <v>No</v>
      </c>
      <c r="P584" s="44"/>
    </row>
    <row r="585" spans="1:16">
      <c r="A585" s="30" t="s">
        <v>3107</v>
      </c>
      <c r="B585" s="29" t="s">
        <v>2441</v>
      </c>
      <c r="C585" s="30" t="s">
        <v>2521</v>
      </c>
      <c r="D585" s="30" t="s">
        <v>2491</v>
      </c>
      <c r="E585" s="32"/>
      <c r="H585" s="30" t="s">
        <v>168</v>
      </c>
      <c r="I585" s="30" t="s">
        <v>168</v>
      </c>
      <c r="J585" s="30">
        <v>16</v>
      </c>
      <c r="K585" s="30">
        <v>16</v>
      </c>
      <c r="L585" s="30">
        <v>0</v>
      </c>
      <c r="M585" s="44">
        <f t="shared" si="12"/>
        <v>0</v>
      </c>
      <c r="N585" s="45" t="str">
        <f t="shared" si="13"/>
        <v>No</v>
      </c>
      <c r="O585" s="45" t="str">
        <f t="shared" si="14"/>
        <v>No</v>
      </c>
      <c r="P585" s="44"/>
    </row>
    <row r="586" spans="1:16">
      <c r="A586" s="30" t="s">
        <v>3108</v>
      </c>
      <c r="B586" s="29" t="s">
        <v>2443</v>
      </c>
      <c r="C586" s="30" t="s">
        <v>2521</v>
      </c>
      <c r="D586" s="30" t="s">
        <v>2491</v>
      </c>
      <c r="E586" s="32"/>
      <c r="H586" s="30" t="s">
        <v>168</v>
      </c>
      <c r="I586" s="30" t="s">
        <v>168</v>
      </c>
      <c r="J586" s="30">
        <v>52</v>
      </c>
      <c r="L586" s="30">
        <v>52</v>
      </c>
      <c r="M586" s="44">
        <f t="shared" si="12"/>
        <v>0</v>
      </c>
      <c r="N586" s="45" t="str">
        <f t="shared" si="13"/>
        <v>No</v>
      </c>
      <c r="O586" s="45" t="str">
        <f t="shared" si="14"/>
        <v>No</v>
      </c>
      <c r="P586" s="44"/>
    </row>
    <row r="587" spans="1:16">
      <c r="A587" s="30" t="s">
        <v>3109</v>
      </c>
      <c r="B587" s="29" t="s">
        <v>2447</v>
      </c>
      <c r="C587" s="30" t="s">
        <v>2521</v>
      </c>
      <c r="D587" s="30" t="s">
        <v>2491</v>
      </c>
      <c r="E587" s="32"/>
      <c r="H587" s="30" t="s">
        <v>168</v>
      </c>
      <c r="I587" s="30" t="s">
        <v>168</v>
      </c>
      <c r="J587" s="30">
        <v>15</v>
      </c>
      <c r="L587" s="30">
        <v>15</v>
      </c>
      <c r="M587" s="44">
        <f t="shared" si="12"/>
        <v>0</v>
      </c>
      <c r="N587" s="45" t="str">
        <f t="shared" si="13"/>
        <v>No</v>
      </c>
      <c r="O587" s="45" t="str">
        <f t="shared" si="14"/>
        <v>No</v>
      </c>
      <c r="P587" s="44"/>
    </row>
    <row r="588" spans="1:16">
      <c r="A588" s="46" t="s">
        <v>3110</v>
      </c>
      <c r="B588" s="29" t="s">
        <v>2451</v>
      </c>
      <c r="C588" s="30" t="s">
        <v>2521</v>
      </c>
      <c r="D588" s="30" t="s">
        <v>2491</v>
      </c>
      <c r="E588" s="32"/>
      <c r="H588" s="30" t="s">
        <v>168</v>
      </c>
      <c r="I588" s="30" t="s">
        <v>168</v>
      </c>
      <c r="J588" s="30">
        <v>34</v>
      </c>
      <c r="K588" s="30">
        <v>34</v>
      </c>
      <c r="L588" s="30">
        <v>0</v>
      </c>
      <c r="M588" s="44">
        <f t="shared" si="12"/>
        <v>0</v>
      </c>
      <c r="N588" s="45" t="str">
        <f t="shared" si="13"/>
        <v>No</v>
      </c>
      <c r="O588" s="45" t="str">
        <f t="shared" si="14"/>
        <v>No</v>
      </c>
      <c r="P588" s="44"/>
    </row>
    <row r="589" spans="1:16">
      <c r="A589" s="30" t="s">
        <v>3111</v>
      </c>
      <c r="B589" s="29" t="s">
        <v>2455</v>
      </c>
      <c r="C589" s="30" t="s">
        <v>2521</v>
      </c>
      <c r="D589" s="30" t="s">
        <v>2491</v>
      </c>
      <c r="E589" s="32"/>
      <c r="H589" s="30" t="s">
        <v>168</v>
      </c>
      <c r="I589" s="30" t="s">
        <v>168</v>
      </c>
      <c r="J589" s="30">
        <v>19</v>
      </c>
      <c r="K589" s="30">
        <v>19</v>
      </c>
      <c r="L589" s="30">
        <v>0</v>
      </c>
      <c r="M589" s="44">
        <f t="shared" si="12"/>
        <v>0</v>
      </c>
      <c r="N589" s="45" t="str">
        <f t="shared" si="13"/>
        <v>No</v>
      </c>
      <c r="O589" s="45" t="str">
        <f t="shared" si="14"/>
        <v>No</v>
      </c>
      <c r="P589" s="44"/>
    </row>
    <row r="590" spans="1:16">
      <c r="A590" s="30" t="s">
        <v>3112</v>
      </c>
      <c r="B590" s="29" t="s">
        <v>2457</v>
      </c>
      <c r="C590" s="30" t="s">
        <v>2521</v>
      </c>
      <c r="D590" s="30" t="s">
        <v>2491</v>
      </c>
      <c r="E590" s="32"/>
      <c r="H590" s="30" t="s">
        <v>168</v>
      </c>
      <c r="I590" s="30" t="s">
        <v>168</v>
      </c>
      <c r="J590" s="30">
        <v>13</v>
      </c>
      <c r="K590" s="30">
        <v>13</v>
      </c>
      <c r="L590" s="30">
        <v>0</v>
      </c>
      <c r="M590" s="44">
        <f t="shared" si="12"/>
        <v>0</v>
      </c>
      <c r="N590" s="45" t="str">
        <f t="shared" si="13"/>
        <v>No</v>
      </c>
      <c r="O590" s="45" t="str">
        <f t="shared" si="14"/>
        <v>No</v>
      </c>
      <c r="P590" s="44"/>
    </row>
    <row r="591" spans="1:16">
      <c r="A591" s="30" t="s">
        <v>3113</v>
      </c>
      <c r="B591" s="29" t="s">
        <v>2459</v>
      </c>
      <c r="C591" s="30" t="s">
        <v>2521</v>
      </c>
      <c r="D591" s="30" t="s">
        <v>2491</v>
      </c>
      <c r="E591" s="32"/>
      <c r="H591" s="30" t="s">
        <v>168</v>
      </c>
      <c r="I591" s="30" t="s">
        <v>168</v>
      </c>
      <c r="J591" s="30">
        <v>4</v>
      </c>
      <c r="K591" s="30">
        <v>4</v>
      </c>
      <c r="L591" s="30">
        <v>0</v>
      </c>
      <c r="M591" s="44">
        <f t="shared" si="12"/>
        <v>0</v>
      </c>
      <c r="N591" s="45" t="str">
        <f t="shared" si="13"/>
        <v>No</v>
      </c>
      <c r="O591" s="45" t="str">
        <f t="shared" si="14"/>
        <v>No</v>
      </c>
      <c r="P591" s="44"/>
    </row>
    <row r="592" spans="1:16">
      <c r="A592" s="30" t="s">
        <v>3114</v>
      </c>
      <c r="B592" s="29" t="s">
        <v>2461</v>
      </c>
      <c r="C592" s="30" t="s">
        <v>2521</v>
      </c>
      <c r="D592" s="30" t="s">
        <v>2491</v>
      </c>
      <c r="E592" s="32"/>
      <c r="H592" s="30" t="s">
        <v>168</v>
      </c>
      <c r="I592" s="30" t="s">
        <v>168</v>
      </c>
      <c r="J592" s="30">
        <v>2</v>
      </c>
      <c r="K592" s="30">
        <v>2</v>
      </c>
      <c r="L592" s="30">
        <v>0</v>
      </c>
      <c r="M592" s="44">
        <f t="shared" si="12"/>
        <v>0</v>
      </c>
      <c r="N592" s="45" t="str">
        <f t="shared" si="13"/>
        <v>No</v>
      </c>
      <c r="O592" s="45" t="str">
        <f t="shared" si="14"/>
        <v>No</v>
      </c>
      <c r="P592" s="44"/>
    </row>
    <row r="593" spans="1:16">
      <c r="A593" s="30" t="s">
        <v>3115</v>
      </c>
      <c r="B593" s="29" t="s">
        <v>2463</v>
      </c>
      <c r="C593" s="30" t="s">
        <v>2521</v>
      </c>
      <c r="D593" s="30" t="s">
        <v>2491</v>
      </c>
      <c r="E593" s="32"/>
      <c r="H593" s="30" t="s">
        <v>168</v>
      </c>
      <c r="I593" s="30" t="s">
        <v>168</v>
      </c>
      <c r="J593" s="30">
        <v>16</v>
      </c>
      <c r="K593" s="30">
        <v>16</v>
      </c>
      <c r="L593" s="30">
        <v>0</v>
      </c>
      <c r="M593" s="44">
        <f t="shared" si="12"/>
        <v>0</v>
      </c>
      <c r="N593" s="45" t="str">
        <f t="shared" si="13"/>
        <v>No</v>
      </c>
      <c r="O593" s="45" t="str">
        <f t="shared" si="14"/>
        <v>No</v>
      </c>
      <c r="P593" s="44"/>
    </row>
    <row r="594" spans="1:16">
      <c r="B594" s="29"/>
      <c r="E594" s="32"/>
      <c r="M594" s="44"/>
      <c r="N594" s="45"/>
      <c r="O594" s="45"/>
      <c r="P594" s="44"/>
    </row>
    <row r="595" spans="1:16">
      <c r="B595" s="29"/>
      <c r="E595" s="32"/>
      <c r="M595" s="44"/>
      <c r="N595" s="45"/>
      <c r="O595" s="45"/>
      <c r="P595" s="44"/>
    </row>
    <row r="596" spans="1:16">
      <c r="B596" s="29"/>
      <c r="E596" s="32"/>
      <c r="M596" s="44"/>
      <c r="N596" s="45"/>
      <c r="O596" s="45"/>
      <c r="P596" s="44"/>
    </row>
    <row r="597" spans="1:16">
      <c r="B597" s="29"/>
      <c r="E597" s="32"/>
      <c r="M597" s="44"/>
      <c r="N597" s="45"/>
      <c r="O597" s="45"/>
      <c r="P597" s="44"/>
    </row>
    <row r="598" spans="1:16">
      <c r="B598" s="29"/>
      <c r="E598" s="32"/>
      <c r="M598" s="44"/>
      <c r="N598" s="45"/>
      <c r="O598" s="45"/>
      <c r="P598" s="44"/>
    </row>
    <row r="599" spans="1:16">
      <c r="B599" s="29"/>
      <c r="E599" s="32"/>
      <c r="M599" s="44"/>
      <c r="N599" s="45"/>
      <c r="O599" s="45"/>
      <c r="P599" s="44"/>
    </row>
    <row r="600" spans="1:16">
      <c r="B600" s="29"/>
      <c r="E600" s="32"/>
      <c r="M600" s="44"/>
      <c r="N600" s="45"/>
      <c r="O600" s="45"/>
      <c r="P600" s="44"/>
    </row>
    <row r="601" spans="1:16">
      <c r="B601" s="29"/>
      <c r="E601" s="32"/>
      <c r="M601" s="44"/>
      <c r="N601" s="45"/>
      <c r="O601" s="45"/>
      <c r="P601" s="44"/>
    </row>
    <row r="602" spans="1:16">
      <c r="B602" s="29"/>
      <c r="E602" s="32"/>
      <c r="M602" s="44"/>
      <c r="N602" s="45"/>
      <c r="O602" s="45"/>
      <c r="P602" s="44"/>
    </row>
    <row r="603" spans="1:16">
      <c r="B603" s="29"/>
      <c r="E603" s="32"/>
      <c r="M603" s="44"/>
      <c r="N603" s="45"/>
      <c r="O603" s="45"/>
      <c r="P603" s="44"/>
    </row>
    <row r="604" spans="1:16">
      <c r="B604" s="29"/>
      <c r="E604" s="32"/>
      <c r="M604" s="44"/>
      <c r="N604" s="45"/>
      <c r="O604" s="45"/>
      <c r="P604" s="44"/>
    </row>
    <row r="605" spans="1:16">
      <c r="B605" s="29"/>
      <c r="E605" s="32"/>
      <c r="M605" s="44"/>
      <c r="N605" s="45"/>
      <c r="O605" s="45"/>
      <c r="P605" s="44"/>
    </row>
    <row r="606" spans="1:16">
      <c r="B606" s="29"/>
      <c r="E606" s="32"/>
      <c r="M606" s="44"/>
      <c r="N606" s="45"/>
      <c r="O606" s="45"/>
      <c r="P606" s="44"/>
    </row>
    <row r="607" spans="1:16">
      <c r="B607" s="29"/>
      <c r="E607" s="32"/>
      <c r="M607" s="44"/>
      <c r="N607" s="45"/>
      <c r="O607" s="45"/>
      <c r="P607" s="44"/>
    </row>
    <row r="608" spans="1:16">
      <c r="B608" s="29"/>
      <c r="E608" s="32"/>
      <c r="M608" s="44"/>
      <c r="N608" s="45"/>
      <c r="O608" s="45"/>
      <c r="P608" s="44"/>
    </row>
    <row r="609" spans="2:16">
      <c r="B609" s="29"/>
      <c r="E609" s="32"/>
      <c r="M609" s="44"/>
      <c r="N609" s="45"/>
      <c r="O609" s="45"/>
      <c r="P609" s="44"/>
    </row>
    <row r="610" spans="2:16">
      <c r="B610" s="29"/>
      <c r="E610" s="32"/>
      <c r="M610" s="44"/>
      <c r="N610" s="45"/>
      <c r="O610" s="45"/>
      <c r="P610" s="44"/>
    </row>
    <row r="611" spans="2:16">
      <c r="B611" s="29"/>
      <c r="E611" s="32"/>
      <c r="M611" s="44"/>
      <c r="N611" s="45"/>
      <c r="O611" s="45"/>
      <c r="P611" s="44"/>
    </row>
    <row r="612" spans="2:16">
      <c r="B612" s="29"/>
      <c r="E612" s="32"/>
      <c r="M612" s="44"/>
      <c r="N612" s="45"/>
      <c r="O612" s="45"/>
      <c r="P612" s="44"/>
    </row>
    <row r="613" spans="2:16">
      <c r="B613" s="29"/>
      <c r="E613" s="32"/>
      <c r="M613" s="44"/>
      <c r="N613" s="45"/>
      <c r="O613" s="45"/>
      <c r="P613" s="44"/>
    </row>
    <row r="614" spans="2:16">
      <c r="B614" s="29"/>
      <c r="E614" s="32"/>
      <c r="M614" s="44"/>
      <c r="N614" s="45"/>
      <c r="O614" s="45"/>
      <c r="P614" s="44"/>
    </row>
    <row r="615" spans="2:16">
      <c r="B615" s="29"/>
      <c r="E615" s="32"/>
      <c r="M615" s="44"/>
      <c r="N615" s="45"/>
      <c r="O615" s="45"/>
      <c r="P615" s="44"/>
    </row>
    <row r="616" spans="2:16">
      <c r="B616" s="29"/>
      <c r="E616" s="32"/>
      <c r="M616" s="44"/>
      <c r="N616" s="45"/>
      <c r="O616" s="45"/>
      <c r="P616" s="44"/>
    </row>
    <row r="617" spans="2:16">
      <c r="B617" s="29"/>
      <c r="E617" s="32"/>
      <c r="M617" s="44"/>
      <c r="N617" s="45"/>
      <c r="O617" s="45"/>
      <c r="P617" s="44"/>
    </row>
    <row r="618" spans="2:16">
      <c r="B618" s="29"/>
      <c r="E618" s="32"/>
      <c r="M618" s="44"/>
      <c r="N618" s="45"/>
      <c r="O618" s="45"/>
      <c r="P618" s="44"/>
    </row>
    <row r="619" spans="2:16">
      <c r="B619" s="29"/>
      <c r="E619" s="32"/>
      <c r="M619" s="44"/>
      <c r="N619" s="45"/>
      <c r="O619" s="45"/>
      <c r="P619" s="44"/>
    </row>
    <row r="620" spans="2:16">
      <c r="B620" s="29"/>
      <c r="E620" s="32"/>
      <c r="M620" s="44"/>
      <c r="N620" s="45"/>
      <c r="O620" s="45"/>
      <c r="P620" s="44"/>
    </row>
    <row r="621" spans="2:16">
      <c r="B621" s="29"/>
      <c r="E621" s="32"/>
      <c r="M621" s="44"/>
      <c r="N621" s="45"/>
      <c r="O621" s="45"/>
      <c r="P621" s="44"/>
    </row>
    <row r="622" spans="2:16">
      <c r="B622" s="29"/>
      <c r="E622" s="32"/>
      <c r="M622" s="44"/>
      <c r="N622" s="45"/>
      <c r="O622" s="45"/>
      <c r="P622" s="44"/>
    </row>
    <row r="623" spans="2:16">
      <c r="B623" s="29"/>
      <c r="E623" s="32"/>
      <c r="M623" s="44"/>
      <c r="N623" s="45"/>
      <c r="O623" s="45"/>
      <c r="P623" s="44"/>
    </row>
    <row r="624" spans="2:16">
      <c r="B624" s="29"/>
      <c r="E624" s="32"/>
      <c r="M624" s="44"/>
      <c r="N624" s="45"/>
      <c r="O624" s="45"/>
      <c r="P624" s="44"/>
    </row>
    <row r="625" spans="2:16">
      <c r="B625" s="29"/>
      <c r="E625" s="32"/>
      <c r="M625" s="44"/>
      <c r="N625" s="45"/>
      <c r="O625" s="45"/>
      <c r="P625" s="44"/>
    </row>
    <row r="626" spans="2:16">
      <c r="B626" s="29"/>
      <c r="E626" s="32"/>
      <c r="M626" s="44"/>
      <c r="N626" s="45"/>
      <c r="O626" s="45"/>
      <c r="P626" s="44"/>
    </row>
    <row r="627" spans="2:16">
      <c r="B627" s="29"/>
      <c r="E627" s="32"/>
      <c r="M627" s="44"/>
      <c r="N627" s="45"/>
      <c r="O627" s="45"/>
      <c r="P627" s="44"/>
    </row>
    <row r="628" spans="2:16">
      <c r="B628" s="29"/>
      <c r="E628" s="32"/>
      <c r="M628" s="44"/>
      <c r="N628" s="45"/>
      <c r="O628" s="45"/>
      <c r="P628" s="44"/>
    </row>
    <row r="629" spans="2:16">
      <c r="B629" s="29"/>
      <c r="E629" s="32"/>
      <c r="M629" s="44"/>
      <c r="N629" s="45"/>
      <c r="O629" s="45"/>
      <c r="P629" s="44"/>
    </row>
    <row r="630" spans="2:16">
      <c r="B630" s="29"/>
      <c r="E630" s="32"/>
      <c r="M630" s="44"/>
      <c r="N630" s="45"/>
      <c r="O630" s="45"/>
      <c r="P630" s="44"/>
    </row>
    <row r="631" spans="2:16">
      <c r="B631" s="29"/>
      <c r="E631" s="32"/>
      <c r="M631" s="44"/>
      <c r="N631" s="45"/>
      <c r="O631" s="45"/>
      <c r="P631" s="44"/>
    </row>
    <row r="632" spans="2:16">
      <c r="B632" s="29"/>
      <c r="E632" s="32"/>
      <c r="M632" s="44"/>
      <c r="N632" s="45"/>
      <c r="O632" s="45"/>
      <c r="P632" s="44"/>
    </row>
    <row r="633" spans="2:16">
      <c r="B633" s="29"/>
      <c r="E633" s="32"/>
      <c r="M633" s="44"/>
      <c r="N633" s="45"/>
      <c r="O633" s="45"/>
      <c r="P633" s="44"/>
    </row>
    <row r="634" spans="2:16">
      <c r="B634" s="29"/>
      <c r="E634" s="32"/>
      <c r="M634" s="44"/>
      <c r="N634" s="45"/>
      <c r="O634" s="45"/>
      <c r="P634" s="44"/>
    </row>
    <row r="635" spans="2:16">
      <c r="B635" s="29"/>
      <c r="E635" s="32"/>
      <c r="M635" s="44"/>
      <c r="N635" s="45"/>
      <c r="O635" s="45"/>
      <c r="P635" s="44"/>
    </row>
    <row r="636" spans="2:16">
      <c r="B636" s="29"/>
      <c r="E636" s="32"/>
      <c r="M636" s="44"/>
      <c r="N636" s="45"/>
      <c r="O636" s="45"/>
      <c r="P636" s="44"/>
    </row>
    <row r="637" spans="2:16">
      <c r="B637" s="29"/>
      <c r="E637" s="32"/>
      <c r="M637" s="44"/>
      <c r="N637" s="45"/>
      <c r="O637" s="45"/>
      <c r="P637" s="44"/>
    </row>
    <row r="638" spans="2:16">
      <c r="B638" s="29"/>
      <c r="E638" s="32"/>
      <c r="M638" s="44"/>
      <c r="N638" s="45"/>
      <c r="O638" s="45"/>
      <c r="P638" s="44"/>
    </row>
    <row r="639" spans="2:16">
      <c r="B639" s="29"/>
      <c r="E639" s="32"/>
      <c r="M639" s="44"/>
      <c r="N639" s="45"/>
      <c r="O639" s="45"/>
      <c r="P639" s="44"/>
    </row>
    <row r="640" spans="2:16">
      <c r="B640" s="29"/>
      <c r="E640" s="32"/>
      <c r="M640" s="44"/>
      <c r="N640" s="45"/>
      <c r="O640" s="45"/>
      <c r="P640" s="44"/>
    </row>
    <row r="641" spans="2:16">
      <c r="B641" s="29"/>
      <c r="E641" s="32"/>
      <c r="M641" s="44"/>
      <c r="N641" s="45"/>
      <c r="O641" s="45"/>
      <c r="P641" s="44"/>
    </row>
    <row r="642" spans="2:16">
      <c r="B642" s="29"/>
      <c r="E642" s="32"/>
      <c r="M642" s="44"/>
      <c r="N642" s="45"/>
      <c r="O642" s="45"/>
      <c r="P642" s="44"/>
    </row>
    <row r="643" spans="2:16">
      <c r="B643" s="29"/>
      <c r="E643" s="32"/>
      <c r="M643" s="44"/>
      <c r="N643" s="45"/>
      <c r="O643" s="45"/>
      <c r="P643" s="44"/>
    </row>
    <row r="644" spans="2:16">
      <c r="B644" s="29"/>
      <c r="E644" s="32"/>
      <c r="M644" s="44"/>
      <c r="N644" s="45"/>
      <c r="O644" s="45"/>
      <c r="P644" s="44"/>
    </row>
    <row r="645" spans="2:16">
      <c r="B645" s="29"/>
      <c r="E645" s="32"/>
      <c r="M645" s="44"/>
      <c r="N645" s="45"/>
      <c r="O645" s="45"/>
      <c r="P645" s="44"/>
    </row>
    <row r="646" spans="2:16">
      <c r="B646" s="29"/>
      <c r="E646" s="32"/>
      <c r="M646" s="44"/>
      <c r="N646" s="45"/>
      <c r="O646" s="45"/>
      <c r="P646" s="44"/>
    </row>
    <row r="647" spans="2:16">
      <c r="B647" s="29"/>
      <c r="E647" s="32"/>
      <c r="M647" s="44"/>
      <c r="N647" s="45"/>
      <c r="O647" s="45"/>
      <c r="P647" s="44"/>
    </row>
    <row r="648" spans="2:16">
      <c r="B648" s="29"/>
      <c r="E648" s="32"/>
      <c r="M648" s="44"/>
      <c r="N648" s="45"/>
      <c r="O648" s="45"/>
      <c r="P648" s="44"/>
    </row>
    <row r="649" spans="2:16">
      <c r="B649" s="29"/>
      <c r="E649" s="32"/>
      <c r="M649" s="44"/>
      <c r="N649" s="45"/>
      <c r="O649" s="45"/>
      <c r="P649" s="44"/>
    </row>
    <row r="650" spans="2:16">
      <c r="B650" s="29"/>
      <c r="E650" s="32"/>
      <c r="M650" s="44"/>
      <c r="N650" s="45"/>
      <c r="O650" s="45"/>
      <c r="P650" s="44"/>
    </row>
    <row r="651" spans="2:16">
      <c r="B651" s="29"/>
      <c r="E651" s="32"/>
      <c r="M651" s="44"/>
      <c r="N651" s="45"/>
      <c r="O651" s="45"/>
      <c r="P651" s="44"/>
    </row>
    <row r="652" spans="2:16">
      <c r="B652" s="29"/>
      <c r="E652" s="32"/>
      <c r="M652" s="44"/>
      <c r="N652" s="45"/>
      <c r="O652" s="45"/>
      <c r="P652" s="44"/>
    </row>
    <row r="653" spans="2:16">
      <c r="B653" s="29"/>
      <c r="E653" s="32"/>
      <c r="M653" s="44"/>
      <c r="N653" s="45"/>
      <c r="O653" s="45"/>
      <c r="P653" s="44"/>
    </row>
    <row r="654" spans="2:16">
      <c r="B654" s="29"/>
      <c r="E654" s="32"/>
      <c r="M654" s="44"/>
      <c r="N654" s="45"/>
      <c r="O654" s="45"/>
      <c r="P654" s="44"/>
    </row>
    <row r="655" spans="2:16">
      <c r="B655" s="29"/>
      <c r="E655" s="32"/>
      <c r="M655" s="44"/>
      <c r="N655" s="45"/>
      <c r="O655" s="45"/>
      <c r="P655" s="44"/>
    </row>
    <row r="656" spans="2:16">
      <c r="B656" s="29"/>
      <c r="E656" s="32"/>
      <c r="M656" s="44"/>
      <c r="N656" s="45"/>
      <c r="O656" s="45"/>
      <c r="P656" s="44"/>
    </row>
    <row r="657" spans="2:16">
      <c r="B657" s="29"/>
      <c r="E657" s="32"/>
      <c r="M657" s="44"/>
      <c r="N657" s="45"/>
      <c r="O657" s="45"/>
      <c r="P657" s="44"/>
    </row>
    <row r="658" spans="2:16">
      <c r="B658" s="29"/>
      <c r="E658" s="32"/>
      <c r="M658" s="44"/>
      <c r="N658" s="45"/>
      <c r="O658" s="45"/>
      <c r="P658" s="44"/>
    </row>
    <row r="659" spans="2:16">
      <c r="B659" s="29"/>
      <c r="E659" s="32"/>
      <c r="M659" s="44"/>
      <c r="N659" s="45"/>
      <c r="O659" s="45"/>
      <c r="P659" s="44"/>
    </row>
    <row r="660" spans="2:16">
      <c r="B660" s="29"/>
      <c r="E660" s="32"/>
      <c r="M660" s="44"/>
      <c r="N660" s="45"/>
      <c r="O660" s="45"/>
      <c r="P660" s="44"/>
    </row>
    <row r="661" spans="2:16">
      <c r="B661" s="29"/>
      <c r="E661" s="32"/>
      <c r="M661" s="44"/>
      <c r="N661" s="45"/>
      <c r="O661" s="45"/>
      <c r="P661" s="44"/>
    </row>
    <row r="662" spans="2:16">
      <c r="B662" s="29"/>
      <c r="E662" s="32"/>
      <c r="M662" s="44"/>
      <c r="N662" s="45"/>
      <c r="O662" s="45"/>
      <c r="P662" s="44"/>
    </row>
    <row r="663" spans="2:16">
      <c r="B663" s="29"/>
      <c r="E663" s="32"/>
      <c r="M663" s="44"/>
      <c r="N663" s="45"/>
      <c r="O663" s="45"/>
      <c r="P663" s="44"/>
    </row>
    <row r="664" spans="2:16">
      <c r="B664" s="29"/>
      <c r="E664" s="32"/>
      <c r="M664" s="44"/>
      <c r="N664" s="45"/>
      <c r="O664" s="45"/>
      <c r="P664" s="44"/>
    </row>
    <row r="665" spans="2:16">
      <c r="B665" s="29"/>
      <c r="E665" s="32"/>
      <c r="M665" s="44"/>
      <c r="N665" s="45"/>
      <c r="O665" s="45"/>
      <c r="P665" s="44"/>
    </row>
    <row r="666" spans="2:16">
      <c r="B666" s="29"/>
      <c r="E666" s="32"/>
      <c r="M666" s="44"/>
      <c r="N666" s="45"/>
      <c r="O666" s="45"/>
      <c r="P666" s="44"/>
    </row>
    <row r="667" spans="2:16">
      <c r="B667" s="29"/>
      <c r="E667" s="32"/>
      <c r="M667" s="44"/>
      <c r="N667" s="45"/>
      <c r="O667" s="45"/>
      <c r="P667" s="44"/>
    </row>
    <row r="668" spans="2:16">
      <c r="B668" s="29"/>
      <c r="E668" s="32"/>
      <c r="M668" s="44"/>
      <c r="N668" s="45"/>
      <c r="O668" s="45"/>
      <c r="P668" s="44"/>
    </row>
    <row r="669" spans="2:16">
      <c r="B669" s="29"/>
      <c r="E669" s="32"/>
      <c r="M669" s="44"/>
      <c r="N669" s="45"/>
      <c r="O669" s="45"/>
      <c r="P669" s="44"/>
    </row>
    <row r="670" spans="2:16">
      <c r="B670" s="29"/>
      <c r="E670" s="32"/>
      <c r="M670" s="44"/>
      <c r="N670" s="45"/>
      <c r="O670" s="45"/>
      <c r="P670" s="44"/>
    </row>
    <row r="671" spans="2:16">
      <c r="B671" s="29"/>
      <c r="E671" s="32"/>
      <c r="M671" s="44"/>
      <c r="N671" s="45"/>
      <c r="O671" s="45"/>
      <c r="P671" s="44"/>
    </row>
    <row r="672" spans="2:16">
      <c r="B672" s="29"/>
      <c r="E672" s="32"/>
      <c r="M672" s="44"/>
      <c r="N672" s="45"/>
      <c r="O672" s="45"/>
      <c r="P672" s="44"/>
    </row>
    <row r="673" spans="2:16">
      <c r="B673" s="29"/>
      <c r="E673" s="32"/>
      <c r="M673" s="44"/>
      <c r="N673" s="45"/>
      <c r="O673" s="45"/>
      <c r="P673" s="44"/>
    </row>
    <row r="674" spans="2:16">
      <c r="B674" s="29"/>
      <c r="E674" s="32"/>
      <c r="M674" s="44"/>
      <c r="N674" s="45"/>
      <c r="O674" s="45"/>
      <c r="P674" s="44"/>
    </row>
    <row r="675" spans="2:16">
      <c r="B675" s="29"/>
      <c r="E675" s="32"/>
      <c r="M675" s="44"/>
      <c r="N675" s="45"/>
      <c r="O675" s="45"/>
      <c r="P675" s="44"/>
    </row>
    <row r="676" spans="2:16">
      <c r="B676" s="29"/>
      <c r="E676" s="32"/>
      <c r="M676" s="44"/>
      <c r="N676" s="45"/>
      <c r="O676" s="45"/>
      <c r="P676" s="44"/>
    </row>
    <row r="677" spans="2:16">
      <c r="B677" s="29"/>
      <c r="E677" s="32"/>
      <c r="M677" s="44"/>
      <c r="N677" s="45"/>
      <c r="O677" s="45"/>
      <c r="P677" s="44"/>
    </row>
    <row r="678" spans="2:16">
      <c r="B678" s="29"/>
      <c r="E678" s="32"/>
      <c r="M678" s="44"/>
      <c r="N678" s="45"/>
      <c r="O678" s="45"/>
      <c r="P678" s="44"/>
    </row>
    <row r="679" spans="2:16">
      <c r="B679" s="29"/>
      <c r="E679" s="32"/>
      <c r="M679" s="44"/>
      <c r="N679" s="45"/>
      <c r="O679" s="45"/>
      <c r="P679" s="44"/>
    </row>
    <row r="680" spans="2:16">
      <c r="B680" s="29"/>
      <c r="E680" s="32"/>
      <c r="M680" s="44"/>
      <c r="N680" s="45"/>
      <c r="O680" s="45"/>
      <c r="P680" s="44"/>
    </row>
    <row r="681" spans="2:16">
      <c r="B681" s="29"/>
      <c r="E681" s="32"/>
      <c r="M681" s="44"/>
      <c r="N681" s="45"/>
      <c r="O681" s="45"/>
      <c r="P681" s="44"/>
    </row>
    <row r="682" spans="2:16">
      <c r="B682" s="29"/>
      <c r="E682" s="32"/>
      <c r="M682" s="44"/>
      <c r="N682" s="45"/>
      <c r="O682" s="45"/>
      <c r="P682" s="44"/>
    </row>
    <row r="683" spans="2:16">
      <c r="B683" s="29"/>
      <c r="E683" s="32"/>
      <c r="M683" s="44"/>
      <c r="N683" s="45"/>
      <c r="O683" s="45"/>
      <c r="P683" s="44"/>
    </row>
    <row r="684" spans="2:16">
      <c r="B684" s="29"/>
      <c r="E684" s="32"/>
      <c r="M684" s="44"/>
      <c r="N684" s="45"/>
      <c r="O684" s="45"/>
      <c r="P684" s="44"/>
    </row>
    <row r="685" spans="2:16">
      <c r="B685" s="29"/>
      <c r="E685" s="32"/>
      <c r="M685" s="44"/>
      <c r="N685" s="45"/>
      <c r="O685" s="45"/>
      <c r="P685" s="44"/>
    </row>
    <row r="686" spans="2:16">
      <c r="B686" s="29"/>
      <c r="E686" s="32"/>
      <c r="M686" s="44"/>
      <c r="N686" s="45"/>
      <c r="O686" s="45"/>
      <c r="P686" s="44"/>
    </row>
    <row r="687" spans="2:16">
      <c r="B687" s="29"/>
      <c r="E687" s="32"/>
      <c r="M687" s="44"/>
      <c r="N687" s="45"/>
      <c r="O687" s="45"/>
      <c r="P687" s="44"/>
    </row>
    <row r="688" spans="2:16">
      <c r="B688" s="29"/>
      <c r="E688" s="32"/>
      <c r="M688" s="44"/>
      <c r="N688" s="45"/>
      <c r="O688" s="45"/>
      <c r="P688" s="44"/>
    </row>
    <row r="689" spans="2:16">
      <c r="B689" s="29"/>
      <c r="E689" s="32"/>
      <c r="M689" s="44"/>
      <c r="N689" s="45"/>
      <c r="O689" s="45"/>
      <c r="P689" s="44"/>
    </row>
    <row r="690" spans="2:16">
      <c r="B690" s="29"/>
      <c r="E690" s="32"/>
      <c r="M690" s="44"/>
      <c r="N690" s="45"/>
      <c r="O690" s="45"/>
      <c r="P690" s="44"/>
    </row>
    <row r="691" spans="2:16">
      <c r="B691" s="29"/>
      <c r="E691" s="32"/>
      <c r="M691" s="44"/>
      <c r="N691" s="45"/>
      <c r="O691" s="45"/>
      <c r="P691" s="44"/>
    </row>
    <row r="692" spans="2:16">
      <c r="B692" s="29"/>
      <c r="E692" s="32"/>
      <c r="M692" s="44"/>
      <c r="N692" s="45"/>
      <c r="O692" s="45"/>
      <c r="P692" s="44"/>
    </row>
    <row r="693" spans="2:16">
      <c r="B693" s="29"/>
      <c r="E693" s="32"/>
      <c r="M693" s="44"/>
      <c r="N693" s="45"/>
      <c r="O693" s="45"/>
      <c r="P693" s="44"/>
    </row>
    <row r="694" spans="2:16">
      <c r="B694" s="29"/>
      <c r="E694" s="32"/>
      <c r="M694" s="44"/>
      <c r="N694" s="45"/>
      <c r="O694" s="45"/>
      <c r="P694" s="44"/>
    </row>
    <row r="695" spans="2:16">
      <c r="B695" s="29"/>
      <c r="E695" s="32"/>
      <c r="M695" s="44"/>
      <c r="N695" s="45"/>
      <c r="O695" s="45"/>
      <c r="P695" s="44"/>
    </row>
    <row r="696" spans="2:16">
      <c r="B696" s="29"/>
      <c r="E696" s="32"/>
      <c r="M696" s="44"/>
      <c r="N696" s="45"/>
      <c r="O696" s="45"/>
      <c r="P696" s="44"/>
    </row>
    <row r="697" spans="2:16">
      <c r="B697" s="29"/>
      <c r="E697" s="32"/>
      <c r="M697" s="44"/>
      <c r="N697" s="45"/>
      <c r="O697" s="45"/>
      <c r="P697" s="44"/>
    </row>
    <row r="698" spans="2:16">
      <c r="B698" s="29"/>
      <c r="E698" s="32"/>
      <c r="M698" s="44"/>
      <c r="N698" s="45"/>
      <c r="O698" s="45"/>
      <c r="P698" s="44"/>
    </row>
    <row r="699" spans="2:16">
      <c r="B699" s="29"/>
      <c r="E699" s="32"/>
      <c r="M699" s="44"/>
      <c r="N699" s="45"/>
      <c r="O699" s="45"/>
      <c r="P699" s="44"/>
    </row>
    <row r="700" spans="2:16">
      <c r="B700" s="29"/>
      <c r="E700" s="32"/>
      <c r="M700" s="44"/>
      <c r="N700" s="45"/>
      <c r="O700" s="45"/>
      <c r="P700" s="44"/>
    </row>
    <row r="701" spans="2:16">
      <c r="B701" s="29"/>
      <c r="E701" s="32"/>
      <c r="M701" s="44"/>
      <c r="N701" s="45"/>
      <c r="O701" s="45"/>
      <c r="P701" s="44"/>
    </row>
    <row r="702" spans="2:16">
      <c r="B702" s="29"/>
      <c r="E702" s="32"/>
      <c r="M702" s="44"/>
      <c r="N702" s="45"/>
      <c r="O702" s="45"/>
      <c r="P702" s="44"/>
    </row>
    <row r="703" spans="2:16">
      <c r="B703" s="29"/>
      <c r="E703" s="32"/>
      <c r="M703" s="44"/>
      <c r="N703" s="45"/>
      <c r="O703" s="45"/>
      <c r="P703" s="44"/>
    </row>
    <row r="704" spans="2:16">
      <c r="B704" s="29"/>
      <c r="E704" s="32"/>
      <c r="M704" s="44"/>
      <c r="N704" s="45"/>
      <c r="O704" s="45"/>
      <c r="P704" s="44"/>
    </row>
    <row r="705" spans="2:16">
      <c r="B705" s="29"/>
      <c r="E705" s="32"/>
      <c r="M705" s="44"/>
      <c r="N705" s="45"/>
      <c r="O705" s="45"/>
      <c r="P705" s="44"/>
    </row>
    <row r="706" spans="2:16">
      <c r="B706" s="29"/>
      <c r="E706" s="32"/>
      <c r="M706" s="44"/>
      <c r="N706" s="45"/>
      <c r="O706" s="45"/>
      <c r="P706" s="44"/>
    </row>
    <row r="707" spans="2:16">
      <c r="B707" s="29"/>
      <c r="E707" s="32"/>
      <c r="M707" s="44"/>
      <c r="N707" s="45"/>
      <c r="O707" s="45"/>
      <c r="P707" s="44"/>
    </row>
    <row r="708" spans="2:16">
      <c r="B708" s="29"/>
      <c r="E708" s="32"/>
      <c r="M708" s="44"/>
      <c r="N708" s="45"/>
      <c r="O708" s="45"/>
      <c r="P708" s="44"/>
    </row>
    <row r="709" spans="2:16">
      <c r="B709" s="29"/>
      <c r="E709" s="32"/>
      <c r="M709" s="44"/>
      <c r="N709" s="45"/>
      <c r="O709" s="45"/>
      <c r="P709" s="44"/>
    </row>
    <row r="710" spans="2:16">
      <c r="B710" s="29"/>
      <c r="E710" s="32"/>
      <c r="M710" s="44"/>
      <c r="N710" s="45"/>
      <c r="O710" s="45"/>
      <c r="P710" s="44"/>
    </row>
    <row r="711" spans="2:16">
      <c r="B711" s="29"/>
      <c r="E711" s="32"/>
      <c r="M711" s="44"/>
      <c r="N711" s="45"/>
      <c r="O711" s="45"/>
      <c r="P711" s="44"/>
    </row>
    <row r="712" spans="2:16">
      <c r="B712" s="29"/>
      <c r="E712" s="32"/>
      <c r="M712" s="44"/>
      <c r="N712" s="45"/>
      <c r="O712" s="45"/>
      <c r="P712" s="44"/>
    </row>
    <row r="713" spans="2:16">
      <c r="B713" s="29"/>
      <c r="E713" s="32"/>
      <c r="M713" s="44"/>
      <c r="N713" s="45"/>
      <c r="O713" s="45"/>
      <c r="P713" s="44"/>
    </row>
    <row r="714" spans="2:16">
      <c r="B714" s="29"/>
      <c r="E714" s="32"/>
      <c r="M714" s="44"/>
      <c r="N714" s="45"/>
      <c r="O714" s="45"/>
      <c r="P714" s="44"/>
    </row>
    <row r="715" spans="2:16">
      <c r="B715" s="29"/>
      <c r="E715" s="32"/>
      <c r="M715" s="44"/>
      <c r="N715" s="45"/>
      <c r="O715" s="45"/>
      <c r="P715" s="44"/>
    </row>
    <row r="716" spans="2:16">
      <c r="B716" s="29"/>
      <c r="E716" s="32"/>
      <c r="M716" s="44"/>
      <c r="N716" s="45"/>
      <c r="O716" s="45"/>
      <c r="P716" s="44"/>
    </row>
    <row r="717" spans="2:16">
      <c r="B717" s="29"/>
      <c r="E717" s="32"/>
      <c r="M717" s="44"/>
      <c r="N717" s="45"/>
      <c r="O717" s="45"/>
      <c r="P717" s="44"/>
    </row>
    <row r="718" spans="2:16">
      <c r="B718" s="29"/>
      <c r="E718" s="32"/>
      <c r="M718" s="44"/>
      <c r="N718" s="45"/>
      <c r="O718" s="45"/>
      <c r="P718" s="44"/>
    </row>
    <row r="719" spans="2:16">
      <c r="B719" s="29"/>
      <c r="E719" s="32"/>
      <c r="M719" s="44"/>
      <c r="N719" s="45"/>
      <c r="O719" s="45"/>
      <c r="P719" s="44"/>
    </row>
    <row r="720" spans="2:16">
      <c r="B720" s="29"/>
      <c r="E720" s="32"/>
      <c r="M720" s="44"/>
      <c r="N720" s="45"/>
      <c r="O720" s="45"/>
      <c r="P720" s="44"/>
    </row>
    <row r="721" spans="2:16">
      <c r="B721" s="29"/>
      <c r="E721" s="32"/>
      <c r="M721" s="44"/>
      <c r="N721" s="45"/>
      <c r="O721" s="45"/>
      <c r="P721" s="44"/>
    </row>
    <row r="722" spans="2:16">
      <c r="B722" s="29"/>
      <c r="E722" s="32"/>
      <c r="M722" s="44"/>
      <c r="N722" s="45"/>
      <c r="O722" s="45"/>
      <c r="P722" s="44"/>
    </row>
    <row r="723" spans="2:16">
      <c r="B723" s="29"/>
      <c r="E723" s="32"/>
      <c r="M723" s="44"/>
      <c r="N723" s="45"/>
      <c r="O723" s="45"/>
      <c r="P723" s="44"/>
    </row>
    <row r="724" spans="2:16">
      <c r="B724" s="29"/>
      <c r="E724" s="32"/>
      <c r="M724" s="44"/>
      <c r="N724" s="45"/>
      <c r="O724" s="45"/>
      <c r="P724" s="44"/>
    </row>
    <row r="725" spans="2:16">
      <c r="B725" s="29"/>
      <c r="E725" s="32"/>
      <c r="M725" s="44"/>
      <c r="N725" s="45"/>
      <c r="O725" s="45"/>
      <c r="P725" s="44"/>
    </row>
    <row r="726" spans="2:16">
      <c r="B726" s="29"/>
      <c r="E726" s="32"/>
      <c r="M726" s="44"/>
      <c r="N726" s="45"/>
      <c r="O726" s="45"/>
      <c r="P726" s="44"/>
    </row>
    <row r="727" spans="2:16">
      <c r="B727" s="29"/>
      <c r="E727" s="32"/>
      <c r="M727" s="44"/>
      <c r="N727" s="45"/>
      <c r="O727" s="45"/>
      <c r="P727" s="44"/>
    </row>
    <row r="728" spans="2:16">
      <c r="B728" s="29"/>
      <c r="E728" s="32"/>
      <c r="M728" s="44"/>
      <c r="N728" s="45"/>
      <c r="O728" s="45"/>
      <c r="P728" s="44"/>
    </row>
    <row r="729" spans="2:16">
      <c r="B729" s="29"/>
      <c r="E729" s="32"/>
      <c r="M729" s="44"/>
      <c r="N729" s="45"/>
      <c r="O729" s="45"/>
      <c r="P729" s="44"/>
    </row>
    <row r="730" spans="2:16">
      <c r="B730" s="29"/>
      <c r="E730" s="32"/>
      <c r="M730" s="44"/>
      <c r="N730" s="45"/>
      <c r="O730" s="45"/>
      <c r="P730" s="44"/>
    </row>
    <row r="731" spans="2:16">
      <c r="B731" s="29"/>
      <c r="E731" s="32"/>
      <c r="M731" s="44"/>
      <c r="N731" s="45"/>
      <c r="O731" s="45"/>
      <c r="P731" s="44"/>
    </row>
    <row r="732" spans="2:16">
      <c r="B732" s="29"/>
      <c r="E732" s="32"/>
      <c r="M732" s="44"/>
      <c r="N732" s="45"/>
      <c r="O732" s="45"/>
      <c r="P732" s="44"/>
    </row>
    <row r="733" spans="2:16">
      <c r="B733" s="29"/>
      <c r="E733" s="32"/>
      <c r="M733" s="44"/>
      <c r="N733" s="45"/>
      <c r="O733" s="45"/>
      <c r="P733" s="44"/>
    </row>
    <row r="734" spans="2:16">
      <c r="B734" s="29"/>
      <c r="E734" s="32"/>
      <c r="M734" s="44"/>
      <c r="N734" s="45"/>
      <c r="O734" s="45"/>
      <c r="P734" s="44"/>
    </row>
    <row r="735" spans="2:16">
      <c r="B735" s="29"/>
      <c r="E735" s="32"/>
      <c r="M735" s="44"/>
      <c r="N735" s="45"/>
      <c r="O735" s="45"/>
      <c r="P735" s="44"/>
    </row>
    <row r="736" spans="2:16">
      <c r="B736" s="29"/>
      <c r="E736" s="32"/>
      <c r="M736" s="44"/>
      <c r="N736" s="45"/>
      <c r="O736" s="45"/>
      <c r="P736" s="44"/>
    </row>
    <row r="737" spans="2:16">
      <c r="B737" s="29"/>
      <c r="E737" s="32"/>
      <c r="M737" s="44"/>
      <c r="N737" s="45"/>
      <c r="O737" s="45"/>
      <c r="P737" s="44"/>
    </row>
    <row r="738" spans="2:16">
      <c r="B738" s="29"/>
      <c r="E738" s="32"/>
      <c r="M738" s="44"/>
      <c r="N738" s="45"/>
      <c r="O738" s="45"/>
      <c r="P738" s="44"/>
    </row>
    <row r="739" spans="2:16">
      <c r="B739" s="29"/>
      <c r="E739" s="32"/>
      <c r="M739" s="44"/>
      <c r="N739" s="45"/>
      <c r="O739" s="45"/>
      <c r="P739" s="44"/>
    </row>
    <row r="740" spans="2:16">
      <c r="B740" s="29"/>
      <c r="E740" s="32"/>
      <c r="M740" s="44"/>
      <c r="N740" s="45"/>
      <c r="O740" s="45"/>
      <c r="P740" s="44"/>
    </row>
    <row r="741" spans="2:16">
      <c r="B741" s="29"/>
      <c r="E741" s="32"/>
      <c r="M741" s="44"/>
      <c r="N741" s="45"/>
      <c r="O741" s="45"/>
      <c r="P741" s="44"/>
    </row>
    <row r="742" spans="2:16">
      <c r="B742" s="29"/>
      <c r="E742" s="32"/>
      <c r="M742" s="44"/>
      <c r="N742" s="45"/>
      <c r="O742" s="45"/>
      <c r="P742" s="44"/>
    </row>
    <row r="743" spans="2:16">
      <c r="B743" s="29"/>
      <c r="E743" s="32"/>
      <c r="M743" s="44"/>
      <c r="N743" s="45"/>
      <c r="O743" s="45"/>
      <c r="P743" s="44"/>
    </row>
    <row r="744" spans="2:16">
      <c r="B744" s="29"/>
      <c r="E744" s="32"/>
      <c r="M744" s="44"/>
      <c r="N744" s="45"/>
      <c r="O744" s="45"/>
      <c r="P744" s="44"/>
    </row>
    <row r="745" spans="2:16">
      <c r="B745" s="29"/>
      <c r="E745" s="32"/>
      <c r="M745" s="44"/>
      <c r="N745" s="45"/>
      <c r="O745" s="45"/>
      <c r="P745" s="44"/>
    </row>
    <row r="746" spans="2:16">
      <c r="B746" s="29"/>
      <c r="E746" s="32"/>
      <c r="M746" s="44"/>
      <c r="N746" s="45"/>
      <c r="O746" s="45"/>
      <c r="P746" s="44"/>
    </row>
    <row r="747" spans="2:16">
      <c r="B747" s="29"/>
      <c r="E747" s="32"/>
      <c r="M747" s="44"/>
      <c r="N747" s="45"/>
      <c r="O747" s="45"/>
      <c r="P747" s="44"/>
    </row>
    <row r="748" spans="2:16">
      <c r="B748" s="29"/>
      <c r="E748" s="32"/>
      <c r="M748" s="44"/>
      <c r="N748" s="45"/>
      <c r="O748" s="45"/>
      <c r="P748" s="44"/>
    </row>
    <row r="749" spans="2:16">
      <c r="B749" s="29"/>
      <c r="E749" s="32"/>
      <c r="M749" s="44"/>
      <c r="N749" s="45"/>
      <c r="O749" s="45"/>
      <c r="P749" s="44"/>
    </row>
    <row r="750" spans="2:16">
      <c r="B750" s="29"/>
      <c r="E750" s="32"/>
      <c r="M750" s="44"/>
      <c r="N750" s="45"/>
      <c r="O750" s="45"/>
      <c r="P750" s="44"/>
    </row>
    <row r="751" spans="2:16">
      <c r="B751" s="29"/>
      <c r="E751" s="32"/>
      <c r="M751" s="44"/>
      <c r="N751" s="45"/>
      <c r="O751" s="45"/>
      <c r="P751" s="44"/>
    </row>
    <row r="752" spans="2:16">
      <c r="B752" s="29"/>
      <c r="E752" s="32"/>
      <c r="M752" s="44"/>
      <c r="N752" s="45"/>
      <c r="O752" s="45"/>
      <c r="P752" s="44"/>
    </row>
    <row r="753" spans="2:16">
      <c r="B753" s="29"/>
      <c r="E753" s="32"/>
      <c r="M753" s="44"/>
      <c r="N753" s="45"/>
      <c r="O753" s="45"/>
      <c r="P753" s="44"/>
    </row>
    <row r="754" spans="2:16">
      <c r="B754" s="29"/>
      <c r="E754" s="32"/>
      <c r="M754" s="44"/>
      <c r="N754" s="45"/>
      <c r="O754" s="45"/>
      <c r="P754" s="44"/>
    </row>
    <row r="755" spans="2:16">
      <c r="B755" s="29"/>
      <c r="E755" s="32"/>
      <c r="M755" s="44"/>
      <c r="N755" s="45"/>
      <c r="O755" s="45"/>
      <c r="P755" s="44"/>
    </row>
    <row r="756" spans="2:16">
      <c r="B756" s="29"/>
      <c r="E756" s="32"/>
      <c r="M756" s="44"/>
      <c r="N756" s="45"/>
      <c r="O756" s="45"/>
      <c r="P756" s="44"/>
    </row>
    <row r="757" spans="2:16">
      <c r="B757" s="29"/>
      <c r="E757" s="32"/>
      <c r="M757" s="44"/>
      <c r="N757" s="45"/>
      <c r="O757" s="45"/>
      <c r="P757" s="44"/>
    </row>
    <row r="758" spans="2:16">
      <c r="B758" s="29"/>
      <c r="E758" s="32"/>
      <c r="M758" s="44"/>
      <c r="N758" s="45"/>
      <c r="O758" s="45"/>
      <c r="P758" s="44"/>
    </row>
    <row r="759" spans="2:16">
      <c r="B759" s="29"/>
      <c r="E759" s="32"/>
      <c r="M759" s="44"/>
      <c r="N759" s="45"/>
      <c r="O759" s="45"/>
      <c r="P759" s="44"/>
    </row>
    <row r="760" spans="2:16">
      <c r="B760" s="29"/>
      <c r="E760" s="32"/>
      <c r="M760" s="44"/>
      <c r="N760" s="45"/>
      <c r="O760" s="45"/>
      <c r="P760" s="44"/>
    </row>
    <row r="761" spans="2:16">
      <c r="B761" s="29"/>
      <c r="E761" s="32"/>
      <c r="M761" s="44"/>
      <c r="N761" s="45"/>
      <c r="O761" s="45"/>
      <c r="P761" s="44"/>
    </row>
    <row r="762" spans="2:16">
      <c r="B762" s="29"/>
      <c r="E762" s="32"/>
      <c r="M762" s="44"/>
      <c r="N762" s="45"/>
      <c r="O762" s="45"/>
      <c r="P762" s="44"/>
    </row>
    <row r="763" spans="2:16">
      <c r="B763" s="29"/>
      <c r="E763" s="32"/>
      <c r="M763" s="44"/>
      <c r="N763" s="45"/>
      <c r="O763" s="45"/>
      <c r="P763" s="44"/>
    </row>
    <row r="764" spans="2:16">
      <c r="B764" s="29"/>
      <c r="E764" s="32"/>
      <c r="M764" s="44"/>
      <c r="N764" s="45"/>
      <c r="O764" s="45"/>
      <c r="P764" s="44"/>
    </row>
    <row r="765" spans="2:16">
      <c r="B765" s="29"/>
      <c r="E765" s="32"/>
      <c r="M765" s="44"/>
      <c r="N765" s="45"/>
      <c r="O765" s="45"/>
      <c r="P765" s="44"/>
    </row>
    <row r="766" spans="2:16">
      <c r="B766" s="29"/>
      <c r="E766" s="32"/>
      <c r="M766" s="44"/>
      <c r="N766" s="45"/>
      <c r="O766" s="45"/>
      <c r="P766" s="44"/>
    </row>
    <row r="767" spans="2:16">
      <c r="B767" s="29"/>
      <c r="E767" s="32"/>
      <c r="M767" s="44"/>
      <c r="N767" s="45"/>
      <c r="O767" s="45"/>
      <c r="P767" s="44"/>
    </row>
    <row r="768" spans="2:16">
      <c r="B768" s="29"/>
      <c r="E768" s="32"/>
      <c r="M768" s="44"/>
      <c r="N768" s="45"/>
      <c r="O768" s="45"/>
      <c r="P768" s="44"/>
    </row>
    <row r="769" spans="2:16">
      <c r="B769" s="29"/>
      <c r="E769" s="32"/>
      <c r="M769" s="44"/>
      <c r="N769" s="45"/>
      <c r="O769" s="45"/>
      <c r="P769" s="44"/>
    </row>
    <row r="770" spans="2:16">
      <c r="B770" s="29"/>
      <c r="E770" s="32"/>
      <c r="M770" s="44"/>
      <c r="N770" s="45"/>
      <c r="O770" s="45"/>
      <c r="P770" s="44"/>
    </row>
    <row r="771" spans="2:16">
      <c r="B771" s="29"/>
      <c r="E771" s="32"/>
      <c r="M771" s="44"/>
      <c r="N771" s="45"/>
      <c r="O771" s="45"/>
      <c r="P771" s="44"/>
    </row>
    <row r="772" spans="2:16">
      <c r="B772" s="29"/>
      <c r="E772" s="32"/>
      <c r="M772" s="44"/>
      <c r="N772" s="45"/>
      <c r="O772" s="45"/>
      <c r="P772" s="44"/>
    </row>
    <row r="773" spans="2:16">
      <c r="B773" s="29"/>
      <c r="E773" s="32"/>
      <c r="M773" s="44"/>
      <c r="N773" s="45"/>
      <c r="O773" s="45"/>
      <c r="P773" s="44"/>
    </row>
    <row r="774" spans="2:16">
      <c r="B774" s="29"/>
      <c r="E774" s="32"/>
      <c r="M774" s="44"/>
      <c r="N774" s="45"/>
      <c r="O774" s="45"/>
      <c r="P774" s="44"/>
    </row>
    <row r="775" spans="2:16">
      <c r="B775" s="29"/>
      <c r="E775" s="32"/>
      <c r="M775" s="44"/>
      <c r="N775" s="45"/>
      <c r="O775" s="45"/>
      <c r="P775" s="44"/>
    </row>
    <row r="776" spans="2:16">
      <c r="B776" s="29"/>
      <c r="E776" s="32"/>
      <c r="M776" s="44"/>
      <c r="N776" s="45"/>
      <c r="O776" s="45"/>
      <c r="P776" s="44"/>
    </row>
    <row r="777" spans="2:16">
      <c r="B777" s="29"/>
      <c r="E777" s="32"/>
      <c r="M777" s="44"/>
      <c r="N777" s="45"/>
      <c r="O777" s="45"/>
      <c r="P777" s="44"/>
    </row>
    <row r="778" spans="2:16">
      <c r="B778" s="29"/>
      <c r="E778" s="32"/>
      <c r="M778" s="44"/>
      <c r="N778" s="45"/>
      <c r="O778" s="45"/>
      <c r="P778" s="44"/>
    </row>
    <row r="779" spans="2:16">
      <c r="B779" s="29"/>
      <c r="E779" s="32"/>
      <c r="M779" s="44"/>
      <c r="N779" s="45"/>
      <c r="O779" s="45"/>
      <c r="P779" s="44"/>
    </row>
    <row r="780" spans="2:16">
      <c r="B780" s="29"/>
      <c r="E780" s="32"/>
      <c r="M780" s="44"/>
      <c r="N780" s="45"/>
      <c r="O780" s="45"/>
      <c r="P780" s="44"/>
    </row>
    <row r="781" spans="2:16">
      <c r="B781" s="29"/>
      <c r="E781" s="32"/>
      <c r="M781" s="44"/>
      <c r="N781" s="45"/>
      <c r="O781" s="45"/>
      <c r="P781" s="44"/>
    </row>
    <row r="782" spans="2:16">
      <c r="B782" s="29"/>
      <c r="E782" s="32"/>
      <c r="M782" s="44"/>
      <c r="N782" s="45"/>
      <c r="O782" s="45"/>
      <c r="P782" s="44"/>
    </row>
    <row r="783" spans="2:16">
      <c r="B783" s="29"/>
      <c r="E783" s="32"/>
      <c r="M783" s="44"/>
      <c r="N783" s="45"/>
      <c r="O783" s="45"/>
      <c r="P783" s="44"/>
    </row>
    <row r="784" spans="2:16">
      <c r="B784" s="29"/>
      <c r="E784" s="32"/>
      <c r="M784" s="44"/>
      <c r="N784" s="45"/>
      <c r="O784" s="45"/>
      <c r="P784" s="44"/>
    </row>
    <row r="785" spans="2:16">
      <c r="B785" s="29"/>
      <c r="E785" s="32"/>
      <c r="M785" s="44"/>
      <c r="N785" s="45"/>
      <c r="O785" s="45"/>
      <c r="P785" s="44"/>
    </row>
    <row r="786" spans="2:16">
      <c r="B786" s="29"/>
      <c r="E786" s="32"/>
      <c r="M786" s="44"/>
      <c r="N786" s="45"/>
      <c r="O786" s="45"/>
      <c r="P786" s="44"/>
    </row>
    <row r="787" spans="2:16">
      <c r="B787" s="29"/>
      <c r="E787" s="32"/>
      <c r="M787" s="44"/>
      <c r="N787" s="45"/>
      <c r="O787" s="45"/>
      <c r="P787" s="44"/>
    </row>
    <row r="788" spans="2:16">
      <c r="B788" s="29"/>
      <c r="E788" s="32"/>
      <c r="M788" s="44"/>
      <c r="N788" s="45"/>
      <c r="O788" s="45"/>
      <c r="P788" s="44"/>
    </row>
    <row r="789" spans="2:16">
      <c r="B789" s="29"/>
      <c r="E789" s="32"/>
      <c r="M789" s="44"/>
      <c r="N789" s="45"/>
      <c r="O789" s="45"/>
      <c r="P789" s="44"/>
    </row>
    <row r="790" spans="2:16">
      <c r="B790" s="29"/>
      <c r="E790" s="32"/>
      <c r="M790" s="44"/>
      <c r="N790" s="45"/>
      <c r="O790" s="45"/>
      <c r="P790" s="44"/>
    </row>
    <row r="791" spans="2:16">
      <c r="B791" s="29"/>
      <c r="E791" s="32"/>
      <c r="M791" s="44"/>
      <c r="N791" s="45"/>
      <c r="O791" s="45"/>
      <c r="P791" s="44"/>
    </row>
    <row r="792" spans="2:16">
      <c r="B792" s="29"/>
      <c r="E792" s="32"/>
      <c r="M792" s="44"/>
      <c r="N792" s="45"/>
      <c r="O792" s="45"/>
      <c r="P792" s="44"/>
    </row>
    <row r="793" spans="2:16">
      <c r="B793" s="29"/>
      <c r="E793" s="32"/>
      <c r="M793" s="44"/>
      <c r="N793" s="45"/>
      <c r="O793" s="45"/>
      <c r="P793" s="44"/>
    </row>
    <row r="794" spans="2:16">
      <c r="B794" s="29"/>
      <c r="E794" s="32"/>
      <c r="M794" s="44"/>
      <c r="N794" s="45"/>
      <c r="O794" s="45"/>
      <c r="P794" s="44"/>
    </row>
    <row r="795" spans="2:16">
      <c r="B795" s="29"/>
      <c r="E795" s="32"/>
      <c r="M795" s="44"/>
      <c r="N795" s="45"/>
      <c r="O795" s="45"/>
      <c r="P795" s="44"/>
    </row>
    <row r="796" spans="2:16">
      <c r="B796" s="29"/>
      <c r="E796" s="32"/>
      <c r="M796" s="44"/>
      <c r="N796" s="45"/>
      <c r="O796" s="45"/>
      <c r="P796" s="44"/>
    </row>
    <row r="797" spans="2:16">
      <c r="B797" s="29"/>
      <c r="E797" s="32"/>
      <c r="M797" s="44"/>
      <c r="N797" s="45"/>
      <c r="O797" s="45"/>
      <c r="P797" s="44"/>
    </row>
    <row r="798" spans="2:16">
      <c r="B798" s="29"/>
      <c r="E798" s="32"/>
      <c r="M798" s="44"/>
      <c r="N798" s="45"/>
      <c r="O798" s="45"/>
      <c r="P798" s="44"/>
    </row>
    <row r="799" spans="2:16">
      <c r="B799" s="29"/>
      <c r="E799" s="32"/>
      <c r="M799" s="44"/>
      <c r="N799" s="45"/>
      <c r="O799" s="45"/>
      <c r="P799" s="44"/>
    </row>
    <row r="800" spans="2:16">
      <c r="B800" s="29"/>
      <c r="E800" s="32"/>
      <c r="M800" s="44"/>
      <c r="N800" s="45"/>
      <c r="O800" s="45"/>
      <c r="P800" s="44"/>
    </row>
    <row r="801" spans="2:16">
      <c r="B801" s="29"/>
      <c r="E801" s="32"/>
      <c r="M801" s="44"/>
      <c r="N801" s="45"/>
      <c r="O801" s="45"/>
      <c r="P801" s="44"/>
    </row>
    <row r="802" spans="2:16">
      <c r="B802" s="29"/>
      <c r="E802" s="32"/>
      <c r="M802" s="44"/>
      <c r="N802" s="45"/>
      <c r="O802" s="45"/>
      <c r="P802" s="44"/>
    </row>
    <row r="803" spans="2:16">
      <c r="B803" s="29"/>
      <c r="E803" s="32"/>
      <c r="M803" s="44"/>
      <c r="N803" s="45"/>
      <c r="O803" s="45"/>
      <c r="P803" s="44"/>
    </row>
    <row r="804" spans="2:16">
      <c r="B804" s="29"/>
      <c r="E804" s="32"/>
      <c r="M804" s="44"/>
      <c r="N804" s="45"/>
      <c r="O804" s="45"/>
      <c r="P804" s="44"/>
    </row>
    <row r="805" spans="2:16">
      <c r="B805" s="29"/>
      <c r="E805" s="32"/>
      <c r="M805" s="44"/>
      <c r="N805" s="45"/>
      <c r="O805" s="45"/>
      <c r="P805" s="44"/>
    </row>
    <row r="806" spans="2:16">
      <c r="B806" s="29"/>
      <c r="E806" s="32"/>
      <c r="M806" s="44"/>
      <c r="N806" s="45"/>
      <c r="O806" s="45"/>
      <c r="P806" s="44"/>
    </row>
    <row r="807" spans="2:16">
      <c r="B807" s="29"/>
      <c r="E807" s="32"/>
      <c r="M807" s="44"/>
      <c r="N807" s="45"/>
      <c r="O807" s="45"/>
      <c r="P807" s="44"/>
    </row>
    <row r="808" spans="2:16">
      <c r="B808" s="29"/>
      <c r="E808" s="32"/>
      <c r="M808" s="44"/>
      <c r="N808" s="45"/>
      <c r="O808" s="45"/>
      <c r="P808" s="44"/>
    </row>
    <row r="809" spans="2:16">
      <c r="B809" s="29"/>
      <c r="E809" s="32"/>
      <c r="M809" s="44"/>
      <c r="N809" s="45"/>
      <c r="O809" s="45"/>
      <c r="P809" s="44"/>
    </row>
    <row r="810" spans="2:16">
      <c r="B810" s="29"/>
      <c r="E810" s="32"/>
      <c r="M810" s="44"/>
      <c r="N810" s="45"/>
      <c r="O810" s="45"/>
      <c r="P810" s="44"/>
    </row>
    <row r="811" spans="2:16">
      <c r="B811" s="29"/>
      <c r="E811" s="32"/>
      <c r="M811" s="44"/>
      <c r="N811" s="45"/>
      <c r="O811" s="45"/>
      <c r="P811" s="44"/>
    </row>
    <row r="812" spans="2:16">
      <c r="B812" s="29"/>
      <c r="E812" s="32"/>
      <c r="M812" s="44"/>
      <c r="N812" s="45"/>
      <c r="O812" s="45"/>
      <c r="P812" s="44"/>
    </row>
    <row r="813" spans="2:16">
      <c r="B813" s="29"/>
      <c r="E813" s="32"/>
      <c r="M813" s="44"/>
      <c r="N813" s="45"/>
      <c r="O813" s="45"/>
      <c r="P813" s="44"/>
    </row>
    <row r="814" spans="2:16">
      <c r="B814" s="29"/>
      <c r="E814" s="32"/>
      <c r="M814" s="44"/>
      <c r="N814" s="45"/>
      <c r="O814" s="45"/>
      <c r="P814" s="44"/>
    </row>
    <row r="815" spans="2:16">
      <c r="B815" s="29"/>
      <c r="E815" s="32"/>
      <c r="M815" s="44"/>
      <c r="N815" s="45"/>
      <c r="O815" s="45"/>
      <c r="P815" s="44"/>
    </row>
    <row r="816" spans="2:16">
      <c r="B816" s="29"/>
      <c r="E816" s="32"/>
      <c r="M816" s="44"/>
      <c r="N816" s="45"/>
      <c r="O816" s="45"/>
      <c r="P816" s="44"/>
    </row>
    <row r="817" spans="2:16">
      <c r="B817" s="29"/>
      <c r="E817" s="32"/>
      <c r="M817" s="44"/>
      <c r="N817" s="45"/>
      <c r="O817" s="45"/>
      <c r="P817" s="44"/>
    </row>
    <row r="818" spans="2:16">
      <c r="B818" s="29"/>
      <c r="E818" s="32"/>
      <c r="M818" s="44"/>
      <c r="N818" s="45"/>
      <c r="O818" s="45"/>
      <c r="P818" s="44"/>
    </row>
    <row r="819" spans="2:16">
      <c r="B819" s="29"/>
      <c r="E819" s="32"/>
      <c r="M819" s="44"/>
      <c r="N819" s="45"/>
      <c r="O819" s="45"/>
      <c r="P819" s="44"/>
    </row>
    <row r="820" spans="2:16">
      <c r="B820" s="29"/>
      <c r="E820" s="32"/>
      <c r="M820" s="44"/>
      <c r="N820" s="45"/>
      <c r="O820" s="45"/>
      <c r="P820" s="44"/>
    </row>
    <row r="821" spans="2:16">
      <c r="B821" s="29"/>
      <c r="E821" s="32"/>
      <c r="M821" s="44"/>
      <c r="N821" s="45"/>
      <c r="O821" s="45"/>
      <c r="P821" s="44"/>
    </row>
    <row r="822" spans="2:16">
      <c r="B822" s="29"/>
      <c r="E822" s="32"/>
      <c r="M822" s="44"/>
      <c r="N822" s="45"/>
      <c r="O822" s="45"/>
      <c r="P822" s="44"/>
    </row>
    <row r="823" spans="2:16">
      <c r="B823" s="29"/>
      <c r="E823" s="32"/>
      <c r="M823" s="44"/>
      <c r="N823" s="45"/>
      <c r="O823" s="45"/>
      <c r="P823" s="44"/>
    </row>
    <row r="824" spans="2:16">
      <c r="B824" s="29"/>
      <c r="E824" s="32"/>
      <c r="M824" s="44"/>
      <c r="N824" s="45"/>
      <c r="O824" s="45"/>
      <c r="P824" s="44"/>
    </row>
    <row r="825" spans="2:16">
      <c r="B825" s="29"/>
      <c r="E825" s="32"/>
      <c r="M825" s="44"/>
      <c r="N825" s="45"/>
      <c r="O825" s="45"/>
      <c r="P825" s="44"/>
    </row>
    <row r="826" spans="2:16">
      <c r="B826" s="29"/>
      <c r="E826" s="32"/>
      <c r="M826" s="44"/>
      <c r="N826" s="45"/>
      <c r="O826" s="45"/>
      <c r="P826" s="44"/>
    </row>
    <row r="827" spans="2:16">
      <c r="B827" s="29"/>
      <c r="E827" s="32"/>
      <c r="M827" s="44"/>
      <c r="N827" s="45"/>
      <c r="O827" s="45"/>
      <c r="P827" s="44"/>
    </row>
    <row r="828" spans="2:16">
      <c r="B828" s="29"/>
      <c r="E828" s="32"/>
      <c r="M828" s="44"/>
      <c r="N828" s="45"/>
      <c r="O828" s="45"/>
      <c r="P828" s="44"/>
    </row>
    <row r="829" spans="2:16">
      <c r="B829" s="29"/>
      <c r="E829" s="32"/>
      <c r="M829" s="44"/>
      <c r="N829" s="45"/>
      <c r="O829" s="45"/>
      <c r="P829" s="44"/>
    </row>
    <row r="830" spans="2:16">
      <c r="B830" s="29"/>
      <c r="E830" s="32"/>
      <c r="M830" s="44"/>
      <c r="N830" s="45"/>
      <c r="O830" s="45"/>
      <c r="P830" s="44"/>
    </row>
    <row r="831" spans="2:16">
      <c r="B831" s="29"/>
      <c r="E831" s="32"/>
      <c r="M831" s="44"/>
      <c r="N831" s="45"/>
      <c r="O831" s="45"/>
      <c r="P831" s="44"/>
    </row>
    <row r="832" spans="2:16">
      <c r="B832" s="29"/>
      <c r="E832" s="32"/>
      <c r="M832" s="44"/>
      <c r="N832" s="45"/>
      <c r="O832" s="45"/>
      <c r="P832" s="44"/>
    </row>
    <row r="833" spans="2:16">
      <c r="B833" s="29"/>
      <c r="E833" s="32"/>
      <c r="M833" s="44"/>
      <c r="N833" s="45"/>
      <c r="O833" s="45"/>
      <c r="P833" s="44"/>
    </row>
    <row r="834" spans="2:16">
      <c r="B834" s="29"/>
      <c r="E834" s="32"/>
      <c r="M834" s="44"/>
      <c r="N834" s="45"/>
      <c r="O834" s="45"/>
      <c r="P834" s="44"/>
    </row>
    <row r="835" spans="2:16">
      <c r="B835" s="29"/>
      <c r="E835" s="32"/>
      <c r="M835" s="44"/>
      <c r="N835" s="45"/>
      <c r="O835" s="45"/>
      <c r="P835" s="44"/>
    </row>
    <row r="836" spans="2:16">
      <c r="B836" s="29"/>
      <c r="E836" s="32"/>
      <c r="M836" s="44"/>
      <c r="N836" s="45"/>
      <c r="O836" s="45"/>
      <c r="P836" s="44"/>
    </row>
    <row r="837" spans="2:16">
      <c r="B837" s="29"/>
      <c r="E837" s="32"/>
      <c r="M837" s="44"/>
      <c r="N837" s="45"/>
      <c r="O837" s="45"/>
      <c r="P837" s="44"/>
    </row>
    <row r="838" spans="2:16">
      <c r="B838" s="29"/>
      <c r="E838" s="32"/>
      <c r="M838" s="44"/>
      <c r="N838" s="45"/>
      <c r="O838" s="45"/>
      <c r="P838" s="44"/>
    </row>
    <row r="839" spans="2:16">
      <c r="B839" s="29"/>
      <c r="E839" s="32"/>
      <c r="M839" s="44"/>
      <c r="N839" s="45"/>
      <c r="O839" s="45"/>
      <c r="P839" s="44"/>
    </row>
    <row r="840" spans="2:16">
      <c r="B840" s="29"/>
      <c r="E840" s="32"/>
      <c r="M840" s="44"/>
      <c r="N840" s="45"/>
      <c r="O840" s="45"/>
      <c r="P840" s="44"/>
    </row>
    <row r="841" spans="2:16">
      <c r="B841" s="29"/>
      <c r="E841" s="32"/>
      <c r="M841" s="44"/>
      <c r="N841" s="45"/>
      <c r="O841" s="45"/>
      <c r="P841" s="44"/>
    </row>
    <row r="842" spans="2:16">
      <c r="B842" s="29"/>
      <c r="E842" s="32"/>
      <c r="M842" s="44"/>
      <c r="N842" s="45"/>
      <c r="O842" s="45"/>
      <c r="P842" s="44"/>
    </row>
    <row r="843" spans="2:16">
      <c r="B843" s="29"/>
      <c r="E843" s="32"/>
      <c r="M843" s="44"/>
      <c r="N843" s="45"/>
      <c r="O843" s="45"/>
      <c r="P843" s="44"/>
    </row>
    <row r="844" spans="2:16">
      <c r="B844" s="29"/>
      <c r="E844" s="32"/>
      <c r="M844" s="44"/>
      <c r="N844" s="45"/>
      <c r="O844" s="45"/>
      <c r="P844" s="44"/>
    </row>
    <row r="845" spans="2:16">
      <c r="B845" s="29"/>
      <c r="E845" s="32"/>
      <c r="M845" s="44"/>
      <c r="N845" s="45"/>
      <c r="O845" s="45"/>
      <c r="P845" s="44"/>
    </row>
    <row r="846" spans="2:16">
      <c r="B846" s="29"/>
      <c r="E846" s="32"/>
      <c r="M846" s="44"/>
      <c r="N846" s="45"/>
      <c r="O846" s="45"/>
      <c r="P846" s="44"/>
    </row>
    <row r="847" spans="2:16">
      <c r="B847" s="29"/>
      <c r="E847" s="32"/>
      <c r="M847" s="44"/>
      <c r="N847" s="45"/>
      <c r="O847" s="45"/>
      <c r="P847" s="44"/>
    </row>
    <row r="848" spans="2:16">
      <c r="B848" s="29"/>
      <c r="E848" s="32"/>
      <c r="M848" s="44"/>
      <c r="N848" s="45"/>
      <c r="O848" s="45"/>
      <c r="P848" s="44"/>
    </row>
    <row r="849" spans="2:16">
      <c r="B849" s="29"/>
      <c r="E849" s="32"/>
      <c r="M849" s="44"/>
      <c r="N849" s="45"/>
      <c r="O849" s="45"/>
      <c r="P849" s="44"/>
    </row>
    <row r="850" spans="2:16">
      <c r="B850" s="29"/>
      <c r="E850" s="32"/>
      <c r="M850" s="44"/>
      <c r="N850" s="45"/>
      <c r="O850" s="45"/>
      <c r="P850" s="44"/>
    </row>
    <row r="851" spans="2:16">
      <c r="B851" s="29"/>
      <c r="E851" s="32"/>
      <c r="M851" s="44"/>
      <c r="N851" s="45"/>
      <c r="O851" s="45"/>
      <c r="P851" s="44"/>
    </row>
    <row r="852" spans="2:16">
      <c r="B852" s="29"/>
      <c r="E852" s="32"/>
      <c r="M852" s="44"/>
      <c r="N852" s="45"/>
      <c r="O852" s="45"/>
      <c r="P852" s="44"/>
    </row>
    <row r="853" spans="2:16">
      <c r="B853" s="29"/>
      <c r="E853" s="32"/>
      <c r="M853" s="44"/>
      <c r="N853" s="45"/>
      <c r="O853" s="45"/>
      <c r="P853" s="44"/>
    </row>
    <row r="854" spans="2:16">
      <c r="B854" s="29"/>
      <c r="E854" s="32"/>
      <c r="M854" s="44"/>
      <c r="N854" s="45"/>
      <c r="O854" s="45"/>
      <c r="P854" s="44"/>
    </row>
    <row r="855" spans="2:16">
      <c r="B855" s="29"/>
      <c r="E855" s="32"/>
      <c r="M855" s="44"/>
      <c r="N855" s="45"/>
      <c r="O855" s="45"/>
      <c r="P855" s="44"/>
    </row>
    <row r="856" spans="2:16">
      <c r="B856" s="29"/>
      <c r="E856" s="32"/>
      <c r="M856" s="44"/>
      <c r="N856" s="45"/>
      <c r="O856" s="45"/>
      <c r="P856" s="44"/>
    </row>
    <row r="857" spans="2:16">
      <c r="B857" s="29"/>
      <c r="E857" s="32"/>
      <c r="M857" s="44"/>
      <c r="N857" s="45"/>
      <c r="O857" s="45"/>
      <c r="P857" s="44"/>
    </row>
    <row r="858" spans="2:16">
      <c r="B858" s="29"/>
      <c r="E858" s="32"/>
      <c r="M858" s="44"/>
      <c r="N858" s="45"/>
      <c r="O858" s="45"/>
      <c r="P858" s="44"/>
    </row>
    <row r="859" spans="2:16">
      <c r="B859" s="29"/>
      <c r="E859" s="32"/>
      <c r="M859" s="44"/>
      <c r="N859" s="45"/>
      <c r="O859" s="45"/>
      <c r="P859" s="44"/>
    </row>
    <row r="860" spans="2:16">
      <c r="B860" s="29"/>
      <c r="E860" s="32"/>
      <c r="M860" s="44"/>
      <c r="N860" s="45"/>
      <c r="O860" s="45"/>
      <c r="P860" s="44"/>
    </row>
    <row r="861" spans="2:16">
      <c r="B861" s="29"/>
      <c r="E861" s="32"/>
      <c r="M861" s="44"/>
      <c r="N861" s="45"/>
      <c r="O861" s="45"/>
      <c r="P861" s="44"/>
    </row>
    <row r="862" spans="2:16">
      <c r="B862" s="29"/>
      <c r="E862" s="32"/>
      <c r="M862" s="44"/>
      <c r="N862" s="45"/>
      <c r="O862" s="45"/>
      <c r="P862" s="44"/>
    </row>
    <row r="863" spans="2:16">
      <c r="B863" s="29"/>
      <c r="E863" s="32"/>
      <c r="M863" s="44"/>
      <c r="N863" s="45"/>
      <c r="O863" s="45"/>
      <c r="P863" s="44"/>
    </row>
    <row r="864" spans="2:16">
      <c r="B864" s="29"/>
      <c r="E864" s="32"/>
      <c r="M864" s="44"/>
      <c r="N864" s="45"/>
      <c r="O864" s="45"/>
      <c r="P864" s="44"/>
    </row>
    <row r="865" spans="2:16">
      <c r="B865" s="29"/>
      <c r="E865" s="32"/>
      <c r="M865" s="44"/>
      <c r="N865" s="45"/>
      <c r="O865" s="45"/>
      <c r="P865" s="44"/>
    </row>
    <row r="866" spans="2:16">
      <c r="B866" s="29"/>
      <c r="E866" s="32"/>
      <c r="M866" s="44"/>
      <c r="N866" s="45"/>
      <c r="O866" s="45"/>
      <c r="P866" s="44"/>
    </row>
    <row r="867" spans="2:16">
      <c r="B867" s="29"/>
      <c r="E867" s="32"/>
      <c r="M867" s="44"/>
      <c r="N867" s="45"/>
      <c r="O867" s="45"/>
      <c r="P867" s="44"/>
    </row>
    <row r="868" spans="2:16">
      <c r="B868" s="29"/>
      <c r="E868" s="32"/>
      <c r="M868" s="44"/>
      <c r="N868" s="45"/>
      <c r="O868" s="45"/>
      <c r="P868" s="44"/>
    </row>
    <row r="869" spans="2:16">
      <c r="B869" s="29"/>
      <c r="E869" s="32"/>
      <c r="M869" s="44"/>
      <c r="N869" s="45"/>
      <c r="O869" s="45"/>
      <c r="P869" s="44"/>
    </row>
    <row r="870" spans="2:16">
      <c r="B870" s="29"/>
      <c r="E870" s="32"/>
      <c r="M870" s="44"/>
      <c r="N870" s="45"/>
      <c r="O870" s="45"/>
      <c r="P870" s="44"/>
    </row>
    <row r="871" spans="2:16">
      <c r="B871" s="29"/>
      <c r="E871" s="32"/>
      <c r="M871" s="44"/>
      <c r="N871" s="45"/>
      <c r="O871" s="45"/>
      <c r="P871" s="44"/>
    </row>
    <row r="872" spans="2:16">
      <c r="B872" s="29"/>
      <c r="E872" s="32"/>
      <c r="M872" s="44"/>
      <c r="N872" s="45"/>
      <c r="O872" s="45"/>
      <c r="P872" s="44"/>
    </row>
    <row r="873" spans="2:16">
      <c r="B873" s="29"/>
      <c r="E873" s="32"/>
      <c r="M873" s="44"/>
      <c r="N873" s="45"/>
      <c r="O873" s="45"/>
      <c r="P873" s="44"/>
    </row>
    <row r="874" spans="2:16">
      <c r="B874" s="29"/>
      <c r="E874" s="32"/>
      <c r="M874" s="44"/>
      <c r="N874" s="45"/>
      <c r="O874" s="45"/>
      <c r="P874" s="44"/>
    </row>
    <row r="875" spans="2:16">
      <c r="B875" s="29"/>
      <c r="E875" s="32"/>
      <c r="M875" s="44"/>
      <c r="N875" s="45"/>
      <c r="O875" s="45"/>
      <c r="P875" s="44"/>
    </row>
    <row r="876" spans="2:16">
      <c r="B876" s="29"/>
      <c r="E876" s="32"/>
      <c r="M876" s="44"/>
      <c r="N876" s="45"/>
      <c r="O876" s="45"/>
      <c r="P876" s="44"/>
    </row>
    <row r="877" spans="2:16">
      <c r="B877" s="29"/>
      <c r="E877" s="32"/>
      <c r="M877" s="44"/>
      <c r="N877" s="45"/>
      <c r="O877" s="45"/>
      <c r="P877" s="44"/>
    </row>
    <row r="878" spans="2:16">
      <c r="B878" s="29"/>
      <c r="E878" s="32"/>
      <c r="M878" s="44"/>
      <c r="N878" s="45"/>
      <c r="O878" s="45"/>
      <c r="P878" s="44"/>
    </row>
    <row r="879" spans="2:16">
      <c r="B879" s="29"/>
      <c r="E879" s="32"/>
      <c r="M879" s="44"/>
      <c r="N879" s="45"/>
      <c r="O879" s="45"/>
      <c r="P879" s="44"/>
    </row>
    <row r="880" spans="2:16">
      <c r="B880" s="29"/>
      <c r="E880" s="32"/>
      <c r="M880" s="44"/>
      <c r="N880" s="45"/>
      <c r="O880" s="45"/>
      <c r="P880" s="44"/>
    </row>
    <row r="881" spans="2:16">
      <c r="B881" s="29"/>
      <c r="E881" s="32"/>
      <c r="M881" s="44"/>
      <c r="N881" s="45"/>
      <c r="O881" s="45"/>
      <c r="P881" s="44"/>
    </row>
    <row r="882" spans="2:16">
      <c r="B882" s="29"/>
      <c r="E882" s="32"/>
      <c r="M882" s="44"/>
      <c r="N882" s="45"/>
      <c r="O882" s="45"/>
      <c r="P882" s="44"/>
    </row>
    <row r="883" spans="2:16">
      <c r="B883" s="29"/>
      <c r="E883" s="32"/>
      <c r="M883" s="44"/>
      <c r="N883" s="45"/>
      <c r="O883" s="45"/>
      <c r="P883" s="44"/>
    </row>
    <row r="884" spans="2:16">
      <c r="B884" s="29"/>
      <c r="E884" s="32"/>
      <c r="M884" s="44"/>
      <c r="N884" s="45"/>
      <c r="O884" s="45"/>
      <c r="P884" s="44"/>
    </row>
    <row r="885" spans="2:16">
      <c r="B885" s="29"/>
      <c r="E885" s="32"/>
      <c r="M885" s="44"/>
      <c r="N885" s="45"/>
      <c r="O885" s="45"/>
      <c r="P885" s="44"/>
    </row>
    <row r="886" spans="2:16">
      <c r="B886" s="29"/>
      <c r="E886" s="32"/>
      <c r="M886" s="44"/>
      <c r="N886" s="45"/>
      <c r="O886" s="45"/>
      <c r="P886" s="44"/>
    </row>
    <row r="887" spans="2:16">
      <c r="B887" s="29"/>
      <c r="E887" s="32"/>
      <c r="M887" s="44"/>
      <c r="N887" s="45"/>
      <c r="O887" s="45"/>
      <c r="P887" s="44"/>
    </row>
    <row r="888" spans="2:16">
      <c r="B888" s="29"/>
      <c r="E888" s="32"/>
      <c r="M888" s="44"/>
      <c r="N888" s="45"/>
      <c r="O888" s="45"/>
      <c r="P888" s="44"/>
    </row>
    <row r="889" spans="2:16">
      <c r="B889" s="29"/>
      <c r="E889" s="32"/>
      <c r="M889" s="44"/>
      <c r="N889" s="45"/>
      <c r="O889" s="45"/>
      <c r="P889" s="44"/>
    </row>
    <row r="890" spans="2:16">
      <c r="B890" s="29"/>
      <c r="E890" s="32"/>
      <c r="M890" s="44"/>
      <c r="N890" s="45"/>
      <c r="O890" s="45"/>
      <c r="P890" s="44"/>
    </row>
    <row r="891" spans="2:16">
      <c r="B891" s="29"/>
      <c r="E891" s="32"/>
      <c r="M891" s="44"/>
      <c r="N891" s="45"/>
      <c r="O891" s="45"/>
      <c r="P891" s="44"/>
    </row>
    <row r="892" spans="2:16">
      <c r="B892" s="29"/>
      <c r="E892" s="32"/>
      <c r="M892" s="44"/>
      <c r="N892" s="45"/>
      <c r="O892" s="45"/>
      <c r="P892" s="44"/>
    </row>
    <row r="893" spans="2:16">
      <c r="B893" s="29"/>
      <c r="E893" s="32"/>
      <c r="M893" s="44"/>
      <c r="N893" s="45"/>
      <c r="O893" s="45"/>
      <c r="P893" s="44"/>
    </row>
    <row r="894" spans="2:16">
      <c r="B894" s="29"/>
      <c r="E894" s="32"/>
      <c r="M894" s="44"/>
      <c r="N894" s="45"/>
      <c r="O894" s="45"/>
      <c r="P894" s="44"/>
    </row>
    <row r="895" spans="2:16">
      <c r="B895" s="29"/>
      <c r="E895" s="32"/>
      <c r="M895" s="44"/>
      <c r="N895" s="45"/>
      <c r="O895" s="45"/>
      <c r="P895" s="44"/>
    </row>
    <row r="896" spans="2:16">
      <c r="B896" s="29"/>
      <c r="E896" s="32"/>
      <c r="M896" s="44"/>
      <c r="N896" s="45"/>
      <c r="O896" s="45"/>
      <c r="P896" s="44"/>
    </row>
    <row r="897" spans="2:16">
      <c r="B897" s="29"/>
      <c r="E897" s="32"/>
      <c r="M897" s="44"/>
      <c r="N897" s="45"/>
      <c r="O897" s="45"/>
      <c r="P897" s="44"/>
    </row>
    <row r="898" spans="2:16">
      <c r="B898" s="29"/>
      <c r="E898" s="32"/>
      <c r="M898" s="44"/>
      <c r="N898" s="45"/>
      <c r="O898" s="45"/>
      <c r="P898" s="44"/>
    </row>
    <row r="899" spans="2:16">
      <c r="B899" s="29"/>
      <c r="E899" s="32"/>
      <c r="M899" s="44"/>
      <c r="N899" s="45"/>
      <c r="O899" s="45"/>
      <c r="P899" s="44"/>
    </row>
    <row r="900" spans="2:16">
      <c r="B900" s="29"/>
      <c r="E900" s="32"/>
      <c r="M900" s="44"/>
      <c r="N900" s="45"/>
      <c r="O900" s="45"/>
      <c r="P900" s="44"/>
    </row>
    <row r="901" spans="2:16">
      <c r="B901" s="29"/>
      <c r="E901" s="32"/>
      <c r="M901" s="44"/>
      <c r="N901" s="45"/>
      <c r="O901" s="45"/>
      <c r="P901" s="44"/>
    </row>
    <row r="902" spans="2:16">
      <c r="B902" s="29"/>
      <c r="E902" s="32"/>
      <c r="M902" s="44"/>
      <c r="N902" s="45"/>
      <c r="O902" s="45"/>
      <c r="P902" s="44"/>
    </row>
    <row r="903" spans="2:16">
      <c r="B903" s="29"/>
      <c r="E903" s="32"/>
      <c r="M903" s="44"/>
      <c r="N903" s="45"/>
      <c r="O903" s="45"/>
      <c r="P903" s="44"/>
    </row>
    <row r="904" spans="2:16">
      <c r="B904" s="29"/>
      <c r="E904" s="32"/>
      <c r="M904" s="44"/>
      <c r="N904" s="45"/>
      <c r="O904" s="45"/>
      <c r="P904" s="44"/>
    </row>
    <row r="905" spans="2:16">
      <c r="B905" s="29"/>
      <c r="E905" s="32"/>
      <c r="M905" s="44"/>
      <c r="N905" s="45"/>
      <c r="O905" s="45"/>
      <c r="P905" s="44"/>
    </row>
    <row r="906" spans="2:16">
      <c r="B906" s="29"/>
      <c r="E906" s="32"/>
      <c r="M906" s="44"/>
      <c r="N906" s="45"/>
      <c r="O906" s="45"/>
      <c r="P906" s="44"/>
    </row>
    <row r="907" spans="2:16">
      <c r="B907" s="29"/>
      <c r="E907" s="32"/>
      <c r="M907" s="44"/>
      <c r="N907" s="45"/>
      <c r="O907" s="45"/>
      <c r="P907" s="44"/>
    </row>
    <row r="908" spans="2:16">
      <c r="B908" s="29"/>
      <c r="E908" s="32"/>
      <c r="M908" s="44"/>
      <c r="N908" s="45"/>
      <c r="O908" s="45"/>
      <c r="P908" s="44"/>
    </row>
    <row r="909" spans="2:16">
      <c r="B909" s="29"/>
      <c r="E909" s="32"/>
      <c r="M909" s="44"/>
      <c r="N909" s="45"/>
      <c r="O909" s="45"/>
      <c r="P909" s="44"/>
    </row>
    <row r="910" spans="2:16">
      <c r="B910" s="29"/>
      <c r="E910" s="32"/>
      <c r="M910" s="44"/>
      <c r="N910" s="45"/>
      <c r="O910" s="45"/>
      <c r="P910" s="44"/>
    </row>
    <row r="911" spans="2:16">
      <c r="B911" s="29"/>
      <c r="E911" s="32"/>
      <c r="M911" s="44"/>
      <c r="N911" s="45"/>
      <c r="O911" s="45"/>
      <c r="P911" s="44"/>
    </row>
    <row r="912" spans="2:16">
      <c r="B912" s="29"/>
      <c r="E912" s="32"/>
      <c r="M912" s="44"/>
      <c r="N912" s="45"/>
      <c r="O912" s="45"/>
      <c r="P912" s="44"/>
    </row>
    <row r="913" spans="2:16">
      <c r="B913" s="29"/>
      <c r="E913" s="32"/>
      <c r="M913" s="44"/>
      <c r="N913" s="45"/>
      <c r="O913" s="45"/>
      <c r="P913" s="44"/>
    </row>
    <row r="914" spans="2:16">
      <c r="B914" s="29"/>
      <c r="E914" s="32"/>
      <c r="M914" s="44"/>
      <c r="N914" s="45"/>
      <c r="O914" s="45"/>
      <c r="P914" s="44"/>
    </row>
    <row r="915" spans="2:16">
      <c r="B915" s="29"/>
      <c r="E915" s="32"/>
      <c r="M915" s="44"/>
      <c r="N915" s="45"/>
      <c r="O915" s="45"/>
      <c r="P915" s="44"/>
    </row>
    <row r="916" spans="2:16">
      <c r="B916" s="29"/>
      <c r="E916" s="32"/>
      <c r="M916" s="44"/>
      <c r="N916" s="45"/>
      <c r="O916" s="45"/>
      <c r="P916" s="44"/>
    </row>
    <row r="917" spans="2:16">
      <c r="B917" s="29"/>
      <c r="E917" s="32"/>
      <c r="M917" s="44"/>
      <c r="N917" s="45"/>
      <c r="O917" s="45"/>
      <c r="P917" s="44"/>
    </row>
    <row r="918" spans="2:16">
      <c r="B918" s="29"/>
      <c r="E918" s="32"/>
      <c r="M918" s="44"/>
      <c r="N918" s="45"/>
      <c r="O918" s="45"/>
      <c r="P918" s="44"/>
    </row>
    <row r="919" spans="2:16">
      <c r="B919" s="29"/>
      <c r="E919" s="32"/>
      <c r="M919" s="44"/>
      <c r="N919" s="45"/>
      <c r="O919" s="45"/>
      <c r="P919" s="44"/>
    </row>
    <row r="920" spans="2:16">
      <c r="B920" s="29"/>
      <c r="E920" s="32"/>
      <c r="M920" s="44"/>
      <c r="N920" s="45"/>
      <c r="O920" s="45"/>
      <c r="P920" s="44"/>
    </row>
    <row r="921" spans="2:16">
      <c r="B921" s="29"/>
      <c r="E921" s="32"/>
      <c r="M921" s="44"/>
      <c r="N921" s="45"/>
      <c r="O921" s="45"/>
      <c r="P921" s="44"/>
    </row>
    <row r="922" spans="2:16">
      <c r="B922" s="29"/>
      <c r="E922" s="32"/>
      <c r="M922" s="44"/>
      <c r="N922" s="45"/>
      <c r="O922" s="45"/>
      <c r="P922" s="44"/>
    </row>
    <row r="923" spans="2:16">
      <c r="B923" s="29"/>
      <c r="E923" s="32"/>
      <c r="M923" s="44"/>
      <c r="N923" s="45"/>
      <c r="O923" s="45"/>
      <c r="P923" s="44"/>
    </row>
    <row r="924" spans="2:16">
      <c r="B924" s="29"/>
      <c r="E924" s="32"/>
      <c r="M924" s="44"/>
      <c r="N924" s="45"/>
      <c r="O924" s="45"/>
      <c r="P924" s="44"/>
    </row>
    <row r="925" spans="2:16">
      <c r="B925" s="29"/>
      <c r="E925" s="32"/>
      <c r="M925" s="44"/>
      <c r="N925" s="45"/>
      <c r="O925" s="45"/>
      <c r="P925" s="44"/>
    </row>
    <row r="926" spans="2:16">
      <c r="B926" s="29"/>
      <c r="E926" s="32"/>
      <c r="M926" s="44"/>
      <c r="N926" s="45"/>
      <c r="O926" s="45"/>
      <c r="P926" s="44"/>
    </row>
    <row r="927" spans="2:16">
      <c r="B927" s="29"/>
      <c r="E927" s="32"/>
      <c r="M927" s="44"/>
      <c r="N927" s="45"/>
      <c r="O927" s="45"/>
      <c r="P927" s="44"/>
    </row>
    <row r="928" spans="2:16">
      <c r="B928" s="29"/>
      <c r="E928" s="32"/>
      <c r="M928" s="44"/>
      <c r="N928" s="45"/>
      <c r="O928" s="45"/>
      <c r="P928" s="44"/>
    </row>
    <row r="929" spans="2:16">
      <c r="B929" s="29"/>
      <c r="E929" s="32"/>
      <c r="M929" s="44"/>
      <c r="N929" s="45"/>
      <c r="O929" s="45"/>
      <c r="P929" s="44"/>
    </row>
    <row r="930" spans="2:16">
      <c r="B930" s="29"/>
      <c r="E930" s="32"/>
      <c r="M930" s="44"/>
      <c r="N930" s="45"/>
      <c r="O930" s="45"/>
      <c r="P930" s="44"/>
    </row>
    <row r="931" spans="2:16">
      <c r="B931" s="29"/>
      <c r="E931" s="32"/>
      <c r="M931" s="44"/>
      <c r="N931" s="45"/>
      <c r="O931" s="45"/>
      <c r="P931" s="44"/>
    </row>
    <row r="932" spans="2:16">
      <c r="B932" s="29"/>
      <c r="E932" s="32"/>
      <c r="M932" s="44"/>
      <c r="N932" s="45"/>
      <c r="O932" s="45"/>
      <c r="P932" s="44"/>
    </row>
    <row r="933" spans="2:16">
      <c r="B933" s="29"/>
      <c r="E933" s="32"/>
      <c r="M933" s="44"/>
      <c r="N933" s="45"/>
      <c r="O933" s="45"/>
      <c r="P933" s="44"/>
    </row>
    <row r="934" spans="2:16">
      <c r="B934" s="29"/>
      <c r="E934" s="32"/>
      <c r="M934" s="44"/>
      <c r="N934" s="45"/>
      <c r="O934" s="45"/>
      <c r="P934" s="44"/>
    </row>
    <row r="935" spans="2:16">
      <c r="B935" s="29"/>
      <c r="E935" s="32"/>
      <c r="M935" s="44"/>
      <c r="N935" s="45"/>
      <c r="O935" s="45"/>
      <c r="P935" s="44"/>
    </row>
    <row r="936" spans="2:16">
      <c r="B936" s="29"/>
      <c r="E936" s="32"/>
      <c r="M936" s="44"/>
      <c r="N936" s="45"/>
      <c r="O936" s="45"/>
      <c r="P936" s="44"/>
    </row>
    <row r="937" spans="2:16">
      <c r="B937" s="29"/>
      <c r="E937" s="32"/>
      <c r="M937" s="44"/>
      <c r="N937" s="45"/>
      <c r="O937" s="45"/>
      <c r="P937" s="44"/>
    </row>
    <row r="938" spans="2:16">
      <c r="B938" s="29"/>
      <c r="E938" s="32"/>
      <c r="M938" s="44"/>
      <c r="N938" s="45"/>
      <c r="O938" s="45"/>
      <c r="P938" s="44"/>
    </row>
    <row r="939" spans="2:16">
      <c r="B939" s="29"/>
      <c r="E939" s="32"/>
      <c r="M939" s="44"/>
      <c r="N939" s="45"/>
      <c r="O939" s="45"/>
      <c r="P939" s="44"/>
    </row>
    <row r="940" spans="2:16">
      <c r="B940" s="29"/>
      <c r="E940" s="32"/>
      <c r="M940" s="44"/>
      <c r="N940" s="45"/>
      <c r="O940" s="45"/>
      <c r="P940" s="44"/>
    </row>
    <row r="941" spans="2:16">
      <c r="B941" s="29"/>
      <c r="E941" s="32"/>
      <c r="M941" s="44"/>
      <c r="N941" s="45"/>
      <c r="O941" s="45"/>
      <c r="P941" s="44"/>
    </row>
    <row r="942" spans="2:16">
      <c r="B942" s="29"/>
      <c r="E942" s="32"/>
      <c r="M942" s="44"/>
      <c r="N942" s="45"/>
      <c r="O942" s="45"/>
      <c r="P942" s="44"/>
    </row>
    <row r="943" spans="2:16">
      <c r="B943" s="29"/>
      <c r="E943" s="32"/>
      <c r="M943" s="44"/>
      <c r="N943" s="45"/>
      <c r="O943" s="45"/>
      <c r="P943" s="44"/>
    </row>
    <row r="944" spans="2:16">
      <c r="B944" s="29"/>
      <c r="E944" s="32"/>
      <c r="M944" s="44"/>
      <c r="N944" s="45"/>
      <c r="O944" s="45"/>
      <c r="P944" s="44"/>
    </row>
    <row r="945" spans="2:16">
      <c r="B945" s="29"/>
      <c r="E945" s="32"/>
      <c r="M945" s="44"/>
      <c r="N945" s="45"/>
      <c r="O945" s="45"/>
      <c r="P945" s="44"/>
    </row>
    <row r="946" spans="2:16">
      <c r="B946" s="29"/>
      <c r="E946" s="32"/>
      <c r="M946" s="44"/>
      <c r="N946" s="45"/>
      <c r="O946" s="45"/>
      <c r="P946" s="44"/>
    </row>
    <row r="947" spans="2:16">
      <c r="B947" s="29"/>
      <c r="E947" s="32"/>
      <c r="M947" s="44"/>
      <c r="N947" s="45"/>
      <c r="O947" s="45"/>
      <c r="P947" s="44"/>
    </row>
    <row r="948" spans="2:16">
      <c r="B948" s="29"/>
      <c r="E948" s="32"/>
      <c r="M948" s="44"/>
      <c r="N948" s="45"/>
      <c r="O948" s="45"/>
      <c r="P948" s="44"/>
    </row>
    <row r="949" spans="2:16">
      <c r="B949" s="29"/>
      <c r="E949" s="32"/>
      <c r="M949" s="44"/>
      <c r="N949" s="45"/>
      <c r="O949" s="45"/>
      <c r="P949" s="44"/>
    </row>
    <row r="950" spans="2:16">
      <c r="B950" s="29"/>
      <c r="E950" s="32"/>
      <c r="M950" s="44"/>
      <c r="N950" s="45"/>
      <c r="O950" s="45"/>
      <c r="P950" s="44"/>
    </row>
    <row r="951" spans="2:16">
      <c r="B951" s="29"/>
      <c r="E951" s="32"/>
      <c r="M951" s="44"/>
      <c r="N951" s="45"/>
      <c r="O951" s="45"/>
      <c r="P951" s="44"/>
    </row>
    <row r="952" spans="2:16">
      <c r="B952" s="29"/>
      <c r="E952" s="32"/>
      <c r="M952" s="44"/>
      <c r="N952" s="45"/>
      <c r="O952" s="45"/>
      <c r="P952" s="44"/>
    </row>
    <row r="953" spans="2:16">
      <c r="B953" s="29"/>
      <c r="E953" s="32"/>
      <c r="M953" s="44"/>
      <c r="N953" s="45"/>
      <c r="O953" s="45"/>
      <c r="P953" s="44"/>
    </row>
    <row r="954" spans="2:16">
      <c r="B954" s="29"/>
      <c r="E954" s="32"/>
      <c r="M954" s="44"/>
      <c r="N954" s="45"/>
      <c r="O954" s="45"/>
      <c r="P954" s="44"/>
    </row>
    <row r="955" spans="2:16">
      <c r="B955" s="29"/>
      <c r="E955" s="32"/>
      <c r="M955" s="44"/>
      <c r="N955" s="45"/>
      <c r="O955" s="45"/>
      <c r="P955" s="44"/>
    </row>
    <row r="956" spans="2:16">
      <c r="B956" s="29"/>
      <c r="E956" s="32"/>
      <c r="M956" s="44"/>
      <c r="N956" s="45"/>
      <c r="O956" s="45"/>
      <c r="P956" s="44"/>
    </row>
    <row r="957" spans="2:16">
      <c r="B957" s="29"/>
      <c r="E957" s="32"/>
      <c r="M957" s="44"/>
      <c r="N957" s="45"/>
      <c r="O957" s="45"/>
      <c r="P957" s="44"/>
    </row>
    <row r="958" spans="2:16">
      <c r="B958" s="29"/>
      <c r="E958" s="32"/>
      <c r="M958" s="44"/>
      <c r="N958" s="45"/>
      <c r="O958" s="45"/>
      <c r="P958" s="44"/>
    </row>
    <row r="959" spans="2:16">
      <c r="B959" s="29"/>
      <c r="E959" s="32"/>
      <c r="M959" s="44"/>
      <c r="N959" s="45"/>
      <c r="O959" s="45"/>
      <c r="P959" s="44"/>
    </row>
    <row r="960" spans="2:16">
      <c r="B960" s="29"/>
      <c r="E960" s="32"/>
      <c r="M960" s="44"/>
      <c r="N960" s="45"/>
      <c r="O960" s="45"/>
      <c r="P960" s="44"/>
    </row>
    <row r="961" spans="2:16">
      <c r="B961" s="29"/>
      <c r="E961" s="32"/>
      <c r="M961" s="44"/>
      <c r="N961" s="45"/>
      <c r="O961" s="45"/>
      <c r="P961" s="44"/>
    </row>
    <row r="962" spans="2:16">
      <c r="B962" s="29"/>
      <c r="E962" s="32"/>
      <c r="M962" s="44"/>
      <c r="N962" s="45"/>
      <c r="O962" s="45"/>
      <c r="P962" s="44"/>
    </row>
    <row r="963" spans="2:16">
      <c r="B963" s="29"/>
      <c r="E963" s="32"/>
      <c r="M963" s="44"/>
      <c r="N963" s="45"/>
      <c r="O963" s="45"/>
      <c r="P963" s="44"/>
    </row>
    <row r="964" spans="2:16">
      <c r="B964" s="29"/>
      <c r="E964" s="32"/>
      <c r="M964" s="44"/>
      <c r="N964" s="45"/>
      <c r="O964" s="45"/>
      <c r="P964" s="44"/>
    </row>
    <row r="965" spans="2:16">
      <c r="B965" s="29"/>
      <c r="E965" s="32"/>
      <c r="M965" s="44"/>
      <c r="N965" s="45"/>
      <c r="O965" s="45"/>
      <c r="P965" s="44"/>
    </row>
    <row r="966" spans="2:16">
      <c r="B966" s="29"/>
      <c r="E966" s="32"/>
      <c r="M966" s="44"/>
      <c r="N966" s="45"/>
      <c r="O966" s="45"/>
      <c r="P966" s="44"/>
    </row>
    <row r="967" spans="2:16">
      <c r="B967" s="29"/>
      <c r="E967" s="32"/>
      <c r="M967" s="44"/>
      <c r="N967" s="45"/>
      <c r="O967" s="45"/>
      <c r="P967" s="44"/>
    </row>
    <row r="968" spans="2:16">
      <c r="B968" s="29"/>
      <c r="E968" s="32"/>
      <c r="M968" s="44"/>
      <c r="N968" s="45"/>
      <c r="O968" s="45"/>
      <c r="P968" s="44"/>
    </row>
    <row r="969" spans="2:16">
      <c r="B969" s="29"/>
      <c r="E969" s="32"/>
      <c r="M969" s="44"/>
      <c r="N969" s="45"/>
      <c r="O969" s="45"/>
      <c r="P969" s="44"/>
    </row>
    <row r="970" spans="2:16">
      <c r="B970" s="29"/>
      <c r="E970" s="32"/>
      <c r="M970" s="44"/>
      <c r="N970" s="45"/>
      <c r="O970" s="45"/>
      <c r="P970" s="44"/>
    </row>
    <row r="971" spans="2:16">
      <c r="B971" s="29"/>
      <c r="E971" s="32"/>
      <c r="M971" s="44"/>
      <c r="N971" s="45"/>
      <c r="O971" s="45"/>
      <c r="P971" s="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6A5AF"/>
    <outlinePr summaryBelow="0" summaryRight="0"/>
  </sheetPr>
  <dimension ref="A1:Y1066"/>
  <sheetViews>
    <sheetView workbookViewId="0">
      <pane ySplit="1" topLeftCell="A2" activePane="bottomLeft" state="frozen"/>
      <selection pane="bottomLeft" activeCell="B3" sqref="B3"/>
    </sheetView>
  </sheetViews>
  <sheetFormatPr baseColWidth="10" defaultColWidth="12.6328125" defaultRowHeight="15.75" customHeight="1"/>
  <sheetData>
    <row r="1" spans="1:25">
      <c r="A1" s="47" t="s">
        <v>3116</v>
      </c>
      <c r="B1" s="48" t="s">
        <v>0</v>
      </c>
      <c r="C1" s="7" t="s">
        <v>3117</v>
      </c>
      <c r="D1" s="7" t="s">
        <v>3118</v>
      </c>
      <c r="E1" s="7" t="s">
        <v>3119</v>
      </c>
      <c r="F1" s="8" t="s">
        <v>2476</v>
      </c>
      <c r="G1" s="8" t="s">
        <v>2477</v>
      </c>
      <c r="H1" s="8" t="s">
        <v>3120</v>
      </c>
      <c r="I1" s="43"/>
      <c r="J1" s="43"/>
      <c r="K1" s="43"/>
      <c r="L1" s="43"/>
      <c r="M1" s="43"/>
      <c r="N1" s="43"/>
      <c r="O1" s="43"/>
      <c r="P1" s="43"/>
      <c r="Q1" s="43"/>
      <c r="R1" s="43"/>
      <c r="S1" s="43"/>
      <c r="T1" s="43"/>
      <c r="U1" s="43"/>
      <c r="V1" s="43"/>
      <c r="W1" s="43"/>
      <c r="X1" s="43"/>
      <c r="Y1" s="43"/>
    </row>
    <row r="2" spans="1:25">
      <c r="A2" s="30" t="s">
        <v>3121</v>
      </c>
      <c r="B2" s="29" t="s">
        <v>72</v>
      </c>
      <c r="C2" s="30" t="s">
        <v>3122</v>
      </c>
      <c r="D2" s="30" t="s">
        <v>3123</v>
      </c>
      <c r="E2" s="30" t="s">
        <v>98</v>
      </c>
      <c r="F2" s="49">
        <v>11</v>
      </c>
      <c r="G2" s="49">
        <v>0</v>
      </c>
      <c r="H2" s="49">
        <v>11</v>
      </c>
    </row>
    <row r="3" spans="1:25">
      <c r="A3" s="30" t="s">
        <v>3124</v>
      </c>
      <c r="B3" s="29" t="s">
        <v>109</v>
      </c>
      <c r="C3" s="30" t="s">
        <v>3125</v>
      </c>
      <c r="D3" s="30" t="s">
        <v>3126</v>
      </c>
      <c r="E3" s="30" t="s">
        <v>112</v>
      </c>
      <c r="F3" s="49">
        <v>8</v>
      </c>
      <c r="G3" s="49">
        <v>0</v>
      </c>
      <c r="H3" s="49">
        <v>8</v>
      </c>
    </row>
    <row r="4" spans="1:25">
      <c r="A4" s="30" t="s">
        <v>3127</v>
      </c>
      <c r="B4" s="29" t="s">
        <v>114</v>
      </c>
      <c r="C4" s="30" t="s">
        <v>3125</v>
      </c>
      <c r="D4" s="30" t="s">
        <v>3126</v>
      </c>
      <c r="E4" s="30" t="s">
        <v>112</v>
      </c>
      <c r="F4" s="49">
        <v>15</v>
      </c>
      <c r="G4" s="49">
        <v>0</v>
      </c>
      <c r="H4" s="49">
        <v>15</v>
      </c>
    </row>
    <row r="5" spans="1:25">
      <c r="A5" s="30" t="s">
        <v>3128</v>
      </c>
      <c r="B5" s="29" t="s">
        <v>119</v>
      </c>
      <c r="C5" s="30" t="s">
        <v>3125</v>
      </c>
      <c r="D5" s="30" t="s">
        <v>3126</v>
      </c>
      <c r="E5" s="30" t="s">
        <v>112</v>
      </c>
      <c r="F5" s="49">
        <v>12</v>
      </c>
      <c r="G5" s="49">
        <v>0</v>
      </c>
      <c r="H5" s="49">
        <v>12</v>
      </c>
    </row>
    <row r="6" spans="1:25">
      <c r="A6" s="30" t="s">
        <v>3129</v>
      </c>
      <c r="B6" s="29" t="s">
        <v>123</v>
      </c>
      <c r="C6" s="30" t="s">
        <v>3125</v>
      </c>
      <c r="D6" s="30" t="s">
        <v>3126</v>
      </c>
      <c r="E6" s="30" t="s">
        <v>112</v>
      </c>
      <c r="F6" s="49">
        <v>28</v>
      </c>
      <c r="G6" s="49">
        <v>0</v>
      </c>
      <c r="H6" s="49">
        <v>28</v>
      </c>
    </row>
    <row r="7" spans="1:25">
      <c r="A7" s="30" t="s">
        <v>3130</v>
      </c>
      <c r="B7" s="29" t="s">
        <v>126</v>
      </c>
      <c r="C7" s="30" t="s">
        <v>3125</v>
      </c>
      <c r="D7" s="30" t="s">
        <v>3126</v>
      </c>
      <c r="E7" s="30" t="s">
        <v>112</v>
      </c>
      <c r="F7" s="49">
        <v>24</v>
      </c>
      <c r="G7" s="49">
        <v>0</v>
      </c>
      <c r="H7" s="49">
        <v>24</v>
      </c>
    </row>
    <row r="8" spans="1:25">
      <c r="A8" s="30" t="s">
        <v>3131</v>
      </c>
      <c r="B8" s="29" t="s">
        <v>129</v>
      </c>
      <c r="C8" s="30" t="s">
        <v>3122</v>
      </c>
      <c r="D8" s="30" t="s">
        <v>3126</v>
      </c>
      <c r="E8" s="30" t="s">
        <v>98</v>
      </c>
      <c r="F8" s="49">
        <v>10</v>
      </c>
      <c r="G8" s="49">
        <v>0</v>
      </c>
      <c r="H8" s="49">
        <v>10</v>
      </c>
    </row>
    <row r="9" spans="1:25">
      <c r="A9" s="30" t="s">
        <v>3132</v>
      </c>
      <c r="B9" s="29" t="s">
        <v>131</v>
      </c>
      <c r="C9" s="30" t="s">
        <v>3133</v>
      </c>
      <c r="D9" s="30" t="s">
        <v>3126</v>
      </c>
      <c r="E9" s="30" t="s">
        <v>98</v>
      </c>
      <c r="F9" s="49">
        <v>101</v>
      </c>
      <c r="G9" s="49">
        <v>0</v>
      </c>
      <c r="H9" s="49">
        <v>101</v>
      </c>
    </row>
    <row r="10" spans="1:25">
      <c r="A10" s="30" t="s">
        <v>3134</v>
      </c>
      <c r="B10" s="29" t="s">
        <v>152</v>
      </c>
      <c r="C10" s="30" t="s">
        <v>3133</v>
      </c>
      <c r="D10" s="30" t="s">
        <v>3126</v>
      </c>
      <c r="E10" s="30" t="s">
        <v>98</v>
      </c>
      <c r="F10" s="49">
        <v>101</v>
      </c>
      <c r="G10" s="49">
        <v>0</v>
      </c>
      <c r="H10" s="49">
        <v>101</v>
      </c>
    </row>
    <row r="11" spans="1:25">
      <c r="A11" s="30" t="s">
        <v>3135</v>
      </c>
      <c r="B11" s="29" t="s">
        <v>156</v>
      </c>
      <c r="C11" s="30" t="s">
        <v>3133</v>
      </c>
      <c r="D11" s="30" t="s">
        <v>3126</v>
      </c>
      <c r="E11" s="30" t="s">
        <v>98</v>
      </c>
      <c r="F11" s="49"/>
      <c r="G11" s="49">
        <v>101</v>
      </c>
      <c r="H11" s="49">
        <v>101</v>
      </c>
    </row>
    <row r="12" spans="1:25">
      <c r="A12" s="30" t="s">
        <v>3136</v>
      </c>
      <c r="B12" s="29" t="s">
        <v>162</v>
      </c>
      <c r="C12" s="30" t="s">
        <v>3133</v>
      </c>
      <c r="D12" s="30" t="s">
        <v>3126</v>
      </c>
      <c r="E12" s="30" t="s">
        <v>98</v>
      </c>
      <c r="F12" s="49">
        <v>101</v>
      </c>
      <c r="G12" s="49">
        <v>0</v>
      </c>
      <c r="H12" s="49">
        <v>101</v>
      </c>
    </row>
    <row r="13" spans="1:25">
      <c r="A13" s="30" t="s">
        <v>3137</v>
      </c>
      <c r="B13" s="29" t="s">
        <v>169</v>
      </c>
      <c r="C13" s="30" t="s">
        <v>3133</v>
      </c>
      <c r="D13" s="30" t="s">
        <v>3126</v>
      </c>
      <c r="E13" s="30" t="s">
        <v>98</v>
      </c>
      <c r="F13" s="49"/>
      <c r="G13" s="49">
        <v>101</v>
      </c>
      <c r="H13" s="49">
        <v>101</v>
      </c>
    </row>
    <row r="14" spans="1:25">
      <c r="A14" s="30" t="s">
        <v>3138</v>
      </c>
      <c r="B14" s="29" t="s">
        <v>173</v>
      </c>
      <c r="C14" s="30" t="s">
        <v>3133</v>
      </c>
      <c r="D14" s="30" t="s">
        <v>3126</v>
      </c>
      <c r="E14" s="30" t="s">
        <v>98</v>
      </c>
      <c r="F14" s="49">
        <v>101</v>
      </c>
      <c r="G14" s="49">
        <v>0</v>
      </c>
      <c r="H14" s="49">
        <v>101</v>
      </c>
    </row>
    <row r="15" spans="1:25">
      <c r="A15" s="30" t="s">
        <v>3139</v>
      </c>
      <c r="B15" s="29" t="s">
        <v>176</v>
      </c>
      <c r="C15" s="30" t="s">
        <v>3133</v>
      </c>
      <c r="D15" s="30" t="s">
        <v>3126</v>
      </c>
      <c r="E15" s="30" t="s">
        <v>98</v>
      </c>
      <c r="F15" s="49"/>
      <c r="G15" s="49">
        <v>101</v>
      </c>
      <c r="H15" s="49">
        <v>101</v>
      </c>
    </row>
    <row r="16" spans="1:25">
      <c r="A16" s="30" t="s">
        <v>3140</v>
      </c>
      <c r="B16" s="29" t="s">
        <v>180</v>
      </c>
      <c r="C16" s="30" t="s">
        <v>3133</v>
      </c>
      <c r="D16" s="30" t="s">
        <v>3126</v>
      </c>
      <c r="E16" s="30" t="s">
        <v>98</v>
      </c>
      <c r="F16" s="49"/>
      <c r="G16" s="49">
        <v>101</v>
      </c>
      <c r="H16" s="49">
        <v>101</v>
      </c>
    </row>
    <row r="17" spans="1:8">
      <c r="A17" s="30" t="s">
        <v>3141</v>
      </c>
      <c r="B17" s="29" t="s">
        <v>186</v>
      </c>
      <c r="C17" s="30" t="s">
        <v>3133</v>
      </c>
      <c r="D17" s="30" t="s">
        <v>3126</v>
      </c>
      <c r="E17" s="30" t="s">
        <v>98</v>
      </c>
      <c r="F17" s="49"/>
      <c r="G17" s="49">
        <v>101</v>
      </c>
      <c r="H17" s="49">
        <v>101</v>
      </c>
    </row>
    <row r="18" spans="1:8">
      <c r="A18" s="30" t="s">
        <v>3142</v>
      </c>
      <c r="B18" s="29" t="s">
        <v>190</v>
      </c>
      <c r="C18" s="30" t="s">
        <v>3143</v>
      </c>
      <c r="D18" s="30" t="s">
        <v>3126</v>
      </c>
      <c r="E18" s="30" t="s">
        <v>98</v>
      </c>
      <c r="F18" s="49">
        <v>20</v>
      </c>
      <c r="G18" s="49">
        <v>42</v>
      </c>
      <c r="H18" s="49">
        <v>62</v>
      </c>
    </row>
    <row r="19" spans="1:8">
      <c r="A19" s="30" t="s">
        <v>3144</v>
      </c>
      <c r="B19" s="29" t="s">
        <v>209</v>
      </c>
      <c r="C19" s="30" t="s">
        <v>3145</v>
      </c>
      <c r="D19" s="30" t="s">
        <v>3126</v>
      </c>
      <c r="E19" s="30" t="s">
        <v>98</v>
      </c>
      <c r="F19" s="49">
        <v>17</v>
      </c>
      <c r="G19" s="49">
        <v>129</v>
      </c>
      <c r="H19" s="49">
        <v>146</v>
      </c>
    </row>
    <row r="20" spans="1:8">
      <c r="A20" s="30" t="s">
        <v>3146</v>
      </c>
      <c r="B20" s="29" t="s">
        <v>222</v>
      </c>
      <c r="C20" s="30" t="s">
        <v>3133</v>
      </c>
      <c r="D20" s="30" t="s">
        <v>3126</v>
      </c>
      <c r="E20" s="30" t="s">
        <v>98</v>
      </c>
      <c r="F20" s="49">
        <v>26</v>
      </c>
      <c r="G20" s="49">
        <v>0</v>
      </c>
      <c r="H20" s="49">
        <v>26</v>
      </c>
    </row>
    <row r="21" spans="1:8">
      <c r="A21" s="30" t="s">
        <v>3147</v>
      </c>
      <c r="B21" s="29" t="s">
        <v>228</v>
      </c>
      <c r="C21" s="30" t="s">
        <v>3143</v>
      </c>
      <c r="D21" s="30" t="s">
        <v>3126</v>
      </c>
      <c r="E21" s="30" t="s">
        <v>112</v>
      </c>
      <c r="F21" s="49">
        <v>16</v>
      </c>
      <c r="G21" s="49">
        <v>0</v>
      </c>
      <c r="H21" s="49">
        <v>16</v>
      </c>
    </row>
    <row r="22" spans="1:8">
      <c r="A22" s="30" t="s">
        <v>3148</v>
      </c>
      <c r="B22" s="29" t="s">
        <v>234</v>
      </c>
      <c r="C22" s="30" t="s">
        <v>3143</v>
      </c>
      <c r="D22" s="30" t="s">
        <v>3126</v>
      </c>
      <c r="E22" s="30" t="s">
        <v>112</v>
      </c>
      <c r="F22" s="49">
        <v>17</v>
      </c>
      <c r="G22" s="49">
        <v>129</v>
      </c>
      <c r="H22" s="49">
        <v>146</v>
      </c>
    </row>
    <row r="23" spans="1:8">
      <c r="A23" s="30" t="s">
        <v>3149</v>
      </c>
      <c r="B23" s="29" t="s">
        <v>245</v>
      </c>
      <c r="C23" s="30" t="s">
        <v>3125</v>
      </c>
      <c r="D23" s="30" t="s">
        <v>3126</v>
      </c>
      <c r="E23" s="30" t="s">
        <v>824</v>
      </c>
      <c r="F23" s="49"/>
      <c r="G23" s="49">
        <v>52</v>
      </c>
      <c r="H23" s="49">
        <v>52</v>
      </c>
    </row>
    <row r="24" spans="1:8">
      <c r="A24" s="30" t="s">
        <v>3150</v>
      </c>
      <c r="B24" s="29" t="s">
        <v>245</v>
      </c>
      <c r="C24" s="30" t="s">
        <v>3143</v>
      </c>
      <c r="D24" s="30" t="s">
        <v>3126</v>
      </c>
      <c r="E24" s="30" t="s">
        <v>824</v>
      </c>
      <c r="F24" s="49"/>
      <c r="G24" s="49">
        <v>100</v>
      </c>
      <c r="H24" s="49">
        <v>100</v>
      </c>
    </row>
    <row r="25" spans="1:8">
      <c r="A25" s="30" t="s">
        <v>3151</v>
      </c>
      <c r="B25" s="29" t="s">
        <v>245</v>
      </c>
      <c r="C25" s="30" t="s">
        <v>3133</v>
      </c>
      <c r="D25" s="30" t="s">
        <v>3126</v>
      </c>
      <c r="E25" s="30" t="s">
        <v>698</v>
      </c>
      <c r="F25" s="49"/>
      <c r="G25" s="49">
        <v>100</v>
      </c>
      <c r="H25" s="49">
        <v>100</v>
      </c>
    </row>
    <row r="26" spans="1:8">
      <c r="A26" s="30" t="s">
        <v>3152</v>
      </c>
      <c r="B26" s="29" t="s">
        <v>245</v>
      </c>
      <c r="C26" s="30" t="s">
        <v>3122</v>
      </c>
      <c r="D26" s="30" t="s">
        <v>3126</v>
      </c>
      <c r="E26" s="30" t="s">
        <v>698</v>
      </c>
      <c r="F26" s="49"/>
      <c r="G26" s="49">
        <v>100</v>
      </c>
      <c r="H26" s="49">
        <v>100</v>
      </c>
    </row>
    <row r="27" spans="1:8">
      <c r="A27" s="30" t="s">
        <v>3153</v>
      </c>
      <c r="B27" s="29" t="s">
        <v>255</v>
      </c>
      <c r="C27" s="30" t="s">
        <v>3143</v>
      </c>
      <c r="D27" s="30" t="s">
        <v>3123</v>
      </c>
      <c r="E27" s="30" t="s">
        <v>698</v>
      </c>
      <c r="F27" s="49">
        <v>50</v>
      </c>
      <c r="G27" s="49">
        <v>164</v>
      </c>
      <c r="H27" s="49">
        <v>214</v>
      </c>
    </row>
    <row r="28" spans="1:8">
      <c r="A28" s="30" t="s">
        <v>3154</v>
      </c>
      <c r="B28" s="29" t="s">
        <v>260</v>
      </c>
      <c r="C28" s="30" t="s">
        <v>3133</v>
      </c>
      <c r="D28" s="30" t="s">
        <v>3126</v>
      </c>
      <c r="E28" s="30" t="s">
        <v>98</v>
      </c>
      <c r="F28" s="49">
        <v>1</v>
      </c>
      <c r="G28" s="49">
        <v>29</v>
      </c>
      <c r="H28" s="49">
        <v>30</v>
      </c>
    </row>
    <row r="29" spans="1:8">
      <c r="A29" s="30" t="s">
        <v>3155</v>
      </c>
      <c r="B29" s="29" t="s">
        <v>270</v>
      </c>
      <c r="C29" s="30" t="s">
        <v>3133</v>
      </c>
      <c r="D29" s="30" t="s">
        <v>3126</v>
      </c>
      <c r="E29" s="30" t="s">
        <v>98</v>
      </c>
      <c r="F29" s="49">
        <v>7</v>
      </c>
      <c r="G29" s="49">
        <v>0</v>
      </c>
      <c r="H29" s="49">
        <v>7</v>
      </c>
    </row>
    <row r="30" spans="1:8">
      <c r="A30" s="30" t="s">
        <v>3156</v>
      </c>
      <c r="B30" s="29" t="s">
        <v>280</v>
      </c>
      <c r="C30" s="30" t="s">
        <v>3143</v>
      </c>
      <c r="D30" s="30" t="s">
        <v>3126</v>
      </c>
      <c r="E30" s="30" t="s">
        <v>98</v>
      </c>
      <c r="F30" s="49"/>
      <c r="G30" s="49">
        <v>119</v>
      </c>
      <c r="H30" s="49">
        <v>119</v>
      </c>
    </row>
    <row r="31" spans="1:8">
      <c r="A31" s="30" t="s">
        <v>3157</v>
      </c>
      <c r="B31" s="29" t="s">
        <v>284</v>
      </c>
      <c r="C31" s="30" t="s">
        <v>3133</v>
      </c>
      <c r="D31" s="30" t="s">
        <v>3126</v>
      </c>
      <c r="E31" s="30" t="s">
        <v>98</v>
      </c>
      <c r="F31" s="49">
        <v>8</v>
      </c>
      <c r="G31" s="49">
        <v>59</v>
      </c>
      <c r="H31" s="49">
        <v>67</v>
      </c>
    </row>
    <row r="32" spans="1:8">
      <c r="A32" s="30" t="s">
        <v>3158</v>
      </c>
      <c r="B32" s="29" t="s">
        <v>289</v>
      </c>
      <c r="C32" s="30" t="s">
        <v>3145</v>
      </c>
      <c r="D32" s="30" t="s">
        <v>3126</v>
      </c>
      <c r="E32" s="30" t="s">
        <v>98</v>
      </c>
      <c r="F32" s="49">
        <v>1</v>
      </c>
      <c r="G32" s="49">
        <v>43</v>
      </c>
      <c r="H32" s="49">
        <v>44</v>
      </c>
    </row>
    <row r="33" spans="1:8">
      <c r="A33" s="30" t="s">
        <v>3159</v>
      </c>
      <c r="B33" s="29" t="s">
        <v>296</v>
      </c>
      <c r="C33" s="30" t="s">
        <v>3145</v>
      </c>
      <c r="D33" s="30" t="s">
        <v>3126</v>
      </c>
      <c r="E33" s="30" t="s">
        <v>98</v>
      </c>
      <c r="F33" s="49">
        <v>1</v>
      </c>
      <c r="G33" s="49">
        <v>81</v>
      </c>
      <c r="H33" s="49">
        <v>82</v>
      </c>
    </row>
    <row r="34" spans="1:8">
      <c r="A34" s="30" t="s">
        <v>3160</v>
      </c>
      <c r="B34" s="29" t="s">
        <v>303</v>
      </c>
      <c r="C34" s="30" t="s">
        <v>3133</v>
      </c>
      <c r="D34" s="30" t="s">
        <v>3126</v>
      </c>
      <c r="E34" s="30" t="s">
        <v>98</v>
      </c>
      <c r="F34" s="49"/>
      <c r="G34" s="49">
        <v>18</v>
      </c>
      <c r="H34" s="49">
        <v>18</v>
      </c>
    </row>
    <row r="35" spans="1:8">
      <c r="A35" s="30" t="s">
        <v>3161</v>
      </c>
      <c r="B35" s="29" t="s">
        <v>309</v>
      </c>
      <c r="C35" s="30" t="s">
        <v>3143</v>
      </c>
      <c r="D35" s="30" t="s">
        <v>3126</v>
      </c>
      <c r="E35" s="30" t="s">
        <v>98</v>
      </c>
      <c r="F35" s="49"/>
      <c r="G35" s="49">
        <v>33</v>
      </c>
      <c r="H35" s="49">
        <v>33</v>
      </c>
    </row>
    <row r="36" spans="1:8">
      <c r="A36" s="30" t="s">
        <v>3162</v>
      </c>
      <c r="B36" s="29" t="s">
        <v>314</v>
      </c>
      <c r="C36" s="30" t="s">
        <v>3145</v>
      </c>
      <c r="D36" s="30" t="s">
        <v>3126</v>
      </c>
      <c r="E36" s="30" t="s">
        <v>98</v>
      </c>
      <c r="F36" s="49">
        <v>11</v>
      </c>
      <c r="G36" s="49">
        <v>0</v>
      </c>
      <c r="H36" s="49">
        <v>11</v>
      </c>
    </row>
    <row r="37" spans="1:8">
      <c r="A37" s="30" t="s">
        <v>3163</v>
      </c>
      <c r="B37" s="29" t="s">
        <v>318</v>
      </c>
      <c r="C37" s="30" t="s">
        <v>3145</v>
      </c>
      <c r="D37" s="30" t="s">
        <v>3126</v>
      </c>
      <c r="E37" s="30" t="s">
        <v>98</v>
      </c>
      <c r="F37" s="49">
        <v>20</v>
      </c>
      <c r="G37" s="49">
        <v>0</v>
      </c>
      <c r="H37" s="49">
        <v>20</v>
      </c>
    </row>
    <row r="38" spans="1:8">
      <c r="A38" s="30" t="s">
        <v>3164</v>
      </c>
      <c r="B38" s="29" t="s">
        <v>324</v>
      </c>
      <c r="C38" s="30" t="s">
        <v>3125</v>
      </c>
      <c r="D38" s="30" t="s">
        <v>3126</v>
      </c>
      <c r="E38" s="30" t="s">
        <v>112</v>
      </c>
      <c r="F38" s="49">
        <v>53</v>
      </c>
      <c r="G38" s="49">
        <v>0</v>
      </c>
      <c r="H38" s="49">
        <v>53</v>
      </c>
    </row>
    <row r="39" spans="1:8">
      <c r="A39" s="30" t="s">
        <v>3165</v>
      </c>
      <c r="B39" s="29" t="s">
        <v>329</v>
      </c>
      <c r="C39" s="30" t="s">
        <v>3143</v>
      </c>
      <c r="D39" s="30" t="s">
        <v>3126</v>
      </c>
      <c r="E39" s="30" t="s">
        <v>98</v>
      </c>
      <c r="F39" s="49"/>
      <c r="G39" s="49">
        <v>49</v>
      </c>
      <c r="H39" s="49">
        <v>49</v>
      </c>
    </row>
    <row r="40" spans="1:8">
      <c r="A40" s="30" t="s">
        <v>3166</v>
      </c>
      <c r="B40" s="29" t="s">
        <v>334</v>
      </c>
      <c r="C40" s="30" t="s">
        <v>3125</v>
      </c>
      <c r="D40" s="30" t="s">
        <v>3126</v>
      </c>
      <c r="E40" s="30" t="s">
        <v>112</v>
      </c>
      <c r="F40" s="49">
        <v>44</v>
      </c>
      <c r="G40" s="49">
        <v>0</v>
      </c>
      <c r="H40" s="49">
        <v>44</v>
      </c>
    </row>
    <row r="41" spans="1:8">
      <c r="A41" s="30" t="s">
        <v>3167</v>
      </c>
      <c r="B41" s="29" t="s">
        <v>340</v>
      </c>
      <c r="C41" s="30" t="s">
        <v>3125</v>
      </c>
      <c r="D41" s="30" t="s">
        <v>3126</v>
      </c>
      <c r="E41" s="30" t="s">
        <v>112</v>
      </c>
      <c r="F41" s="49">
        <v>3</v>
      </c>
      <c r="G41" s="49">
        <v>0</v>
      </c>
      <c r="H41" s="49">
        <v>3</v>
      </c>
    </row>
    <row r="42" spans="1:8">
      <c r="A42" s="46" t="s">
        <v>3168</v>
      </c>
      <c r="B42" s="29" t="s">
        <v>345</v>
      </c>
      <c r="C42" s="30" t="s">
        <v>3143</v>
      </c>
      <c r="D42" s="30" t="s">
        <v>3126</v>
      </c>
      <c r="E42" s="30" t="s">
        <v>112</v>
      </c>
      <c r="F42" s="49"/>
      <c r="G42" s="49">
        <v>15</v>
      </c>
      <c r="H42" s="49">
        <v>15</v>
      </c>
    </row>
    <row r="43" spans="1:8">
      <c r="A43" s="30" t="s">
        <v>3169</v>
      </c>
      <c r="B43" s="29" t="s">
        <v>350</v>
      </c>
      <c r="C43" s="30" t="s">
        <v>3125</v>
      </c>
      <c r="D43" s="30" t="s">
        <v>3126</v>
      </c>
      <c r="E43" s="30" t="s">
        <v>98</v>
      </c>
      <c r="F43" s="49"/>
      <c r="G43" s="49">
        <v>16</v>
      </c>
      <c r="H43" s="49">
        <v>16</v>
      </c>
    </row>
    <row r="44" spans="1:8">
      <c r="A44" s="30" t="s">
        <v>3170</v>
      </c>
      <c r="B44" s="29" t="s">
        <v>355</v>
      </c>
      <c r="C44" s="30" t="s">
        <v>3133</v>
      </c>
      <c r="D44" s="30" t="s">
        <v>3126</v>
      </c>
      <c r="E44" s="30" t="s">
        <v>98</v>
      </c>
      <c r="F44" s="49">
        <v>42</v>
      </c>
      <c r="G44" s="49">
        <v>0</v>
      </c>
      <c r="H44" s="49">
        <v>42</v>
      </c>
    </row>
    <row r="45" spans="1:8">
      <c r="A45" s="30" t="s">
        <v>3171</v>
      </c>
      <c r="B45" s="29" t="s">
        <v>359</v>
      </c>
      <c r="C45" s="30" t="s">
        <v>3125</v>
      </c>
      <c r="D45" s="30" t="s">
        <v>3126</v>
      </c>
      <c r="E45" s="30" t="s">
        <v>112</v>
      </c>
      <c r="F45" s="49">
        <v>13</v>
      </c>
      <c r="G45" s="49">
        <v>0</v>
      </c>
      <c r="H45" s="49">
        <v>13</v>
      </c>
    </row>
    <row r="46" spans="1:8">
      <c r="A46" s="30" t="s">
        <v>3172</v>
      </c>
      <c r="B46" s="29" t="s">
        <v>363</v>
      </c>
      <c r="C46" s="30" t="s">
        <v>3133</v>
      </c>
      <c r="D46" s="30" t="s">
        <v>3126</v>
      </c>
      <c r="E46" s="30" t="s">
        <v>98</v>
      </c>
      <c r="F46" s="49"/>
      <c r="G46" s="49">
        <v>78</v>
      </c>
      <c r="H46" s="49">
        <v>78</v>
      </c>
    </row>
    <row r="47" spans="1:8">
      <c r="A47" s="30" t="s">
        <v>3173</v>
      </c>
      <c r="B47" s="29" t="s">
        <v>368</v>
      </c>
      <c r="C47" s="30" t="s">
        <v>3125</v>
      </c>
      <c r="D47" s="30" t="s">
        <v>3126</v>
      </c>
      <c r="E47" s="30" t="s">
        <v>112</v>
      </c>
      <c r="F47" s="49">
        <v>4</v>
      </c>
      <c r="G47" s="49">
        <v>0</v>
      </c>
      <c r="H47" s="49">
        <v>4</v>
      </c>
    </row>
    <row r="48" spans="1:8">
      <c r="A48" s="30" t="s">
        <v>3174</v>
      </c>
      <c r="B48" s="29" t="s">
        <v>372</v>
      </c>
      <c r="C48" s="30" t="s">
        <v>3125</v>
      </c>
      <c r="D48" s="30" t="s">
        <v>3126</v>
      </c>
      <c r="E48" s="30" t="s">
        <v>112</v>
      </c>
      <c r="F48" s="49">
        <v>3</v>
      </c>
      <c r="G48" s="49">
        <v>0</v>
      </c>
      <c r="H48" s="49">
        <v>3</v>
      </c>
    </row>
    <row r="49" spans="1:8">
      <c r="A49" s="30" t="s">
        <v>3175</v>
      </c>
      <c r="B49" s="29" t="s">
        <v>374</v>
      </c>
      <c r="C49" s="30" t="s">
        <v>3143</v>
      </c>
      <c r="D49" s="30" t="s">
        <v>3126</v>
      </c>
      <c r="E49" s="30" t="s">
        <v>112</v>
      </c>
      <c r="F49" s="49">
        <v>22</v>
      </c>
      <c r="G49" s="49">
        <v>0</v>
      </c>
      <c r="H49" s="49">
        <v>22</v>
      </c>
    </row>
    <row r="50" spans="1:8">
      <c r="A50" s="30" t="s">
        <v>3176</v>
      </c>
      <c r="B50" s="29" t="s">
        <v>380</v>
      </c>
      <c r="C50" s="30" t="s">
        <v>3125</v>
      </c>
      <c r="D50" s="30" t="s">
        <v>3126</v>
      </c>
      <c r="E50" s="30" t="s">
        <v>112</v>
      </c>
      <c r="F50" s="49">
        <v>79</v>
      </c>
      <c r="G50" s="49">
        <v>0</v>
      </c>
      <c r="H50" s="49">
        <v>79</v>
      </c>
    </row>
    <row r="51" spans="1:8">
      <c r="A51" s="30" t="s">
        <v>3177</v>
      </c>
      <c r="B51" s="29" t="s">
        <v>384</v>
      </c>
      <c r="C51" s="30" t="s">
        <v>3133</v>
      </c>
      <c r="D51" s="30" t="s">
        <v>3126</v>
      </c>
      <c r="E51" s="30" t="s">
        <v>98</v>
      </c>
      <c r="F51" s="49">
        <v>115</v>
      </c>
      <c r="G51" s="49">
        <v>0</v>
      </c>
      <c r="H51" s="49">
        <v>115</v>
      </c>
    </row>
    <row r="52" spans="1:8">
      <c r="A52" s="30" t="s">
        <v>3178</v>
      </c>
      <c r="B52" s="29" t="s">
        <v>388</v>
      </c>
      <c r="C52" s="30" t="s">
        <v>3179</v>
      </c>
      <c r="D52" s="30" t="s">
        <v>3126</v>
      </c>
      <c r="E52" s="30" t="s">
        <v>112</v>
      </c>
      <c r="F52" s="49">
        <v>20</v>
      </c>
      <c r="G52" s="49">
        <v>0</v>
      </c>
      <c r="H52" s="49">
        <v>20</v>
      </c>
    </row>
    <row r="53" spans="1:8">
      <c r="A53" s="30" t="s">
        <v>3180</v>
      </c>
      <c r="B53" s="29" t="s">
        <v>388</v>
      </c>
      <c r="C53" s="30" t="s">
        <v>3125</v>
      </c>
      <c r="D53" s="30" t="s">
        <v>3126</v>
      </c>
      <c r="E53" s="30" t="s">
        <v>112</v>
      </c>
      <c r="F53" s="49">
        <v>30</v>
      </c>
      <c r="G53" s="49">
        <v>0</v>
      </c>
      <c r="H53" s="49">
        <v>30</v>
      </c>
    </row>
    <row r="54" spans="1:8">
      <c r="A54" s="30" t="s">
        <v>3181</v>
      </c>
      <c r="B54" s="29" t="s">
        <v>388</v>
      </c>
      <c r="C54" s="30" t="s">
        <v>3143</v>
      </c>
      <c r="D54" s="30" t="s">
        <v>3126</v>
      </c>
      <c r="E54" s="30" t="s">
        <v>112</v>
      </c>
      <c r="F54" s="49">
        <v>25</v>
      </c>
      <c r="G54" s="49">
        <v>0</v>
      </c>
      <c r="H54" s="49">
        <v>25</v>
      </c>
    </row>
    <row r="55" spans="1:8">
      <c r="A55" s="30" t="s">
        <v>3182</v>
      </c>
      <c r="B55" s="29" t="s">
        <v>388</v>
      </c>
      <c r="C55" s="30" t="s">
        <v>3145</v>
      </c>
      <c r="D55" s="30" t="s">
        <v>3126</v>
      </c>
      <c r="E55" s="30" t="s">
        <v>98</v>
      </c>
      <c r="F55" s="49">
        <v>50</v>
      </c>
      <c r="G55" s="49">
        <v>0</v>
      </c>
      <c r="H55" s="49">
        <v>50</v>
      </c>
    </row>
    <row r="56" spans="1:8">
      <c r="A56" s="30" t="s">
        <v>3183</v>
      </c>
      <c r="B56" s="29" t="s">
        <v>388</v>
      </c>
      <c r="C56" s="30" t="s">
        <v>3133</v>
      </c>
      <c r="D56" s="30" t="s">
        <v>3126</v>
      </c>
      <c r="E56" s="30" t="s">
        <v>98</v>
      </c>
      <c r="F56" s="49">
        <v>25</v>
      </c>
      <c r="G56" s="49">
        <v>0</v>
      </c>
      <c r="H56" s="49">
        <v>25</v>
      </c>
    </row>
    <row r="57" spans="1:8">
      <c r="A57" s="30" t="s">
        <v>3184</v>
      </c>
      <c r="B57" s="29" t="s">
        <v>388</v>
      </c>
      <c r="C57" s="30" t="s">
        <v>3122</v>
      </c>
      <c r="D57" s="30" t="s">
        <v>3126</v>
      </c>
      <c r="E57" s="30" t="s">
        <v>98</v>
      </c>
      <c r="F57" s="49">
        <v>20</v>
      </c>
      <c r="G57" s="49">
        <v>0</v>
      </c>
      <c r="H57" s="49">
        <v>20</v>
      </c>
    </row>
    <row r="58" spans="1:8">
      <c r="A58" s="30" t="s">
        <v>3185</v>
      </c>
      <c r="B58" s="29" t="s">
        <v>391</v>
      </c>
      <c r="C58" s="30" t="s">
        <v>3145</v>
      </c>
      <c r="D58" s="30" t="s">
        <v>3126</v>
      </c>
      <c r="E58" s="30" t="s">
        <v>98</v>
      </c>
      <c r="F58" s="49">
        <v>4</v>
      </c>
      <c r="G58" s="49">
        <v>0</v>
      </c>
      <c r="H58" s="49">
        <v>4</v>
      </c>
    </row>
    <row r="59" spans="1:8">
      <c r="A59" s="30" t="s">
        <v>3186</v>
      </c>
      <c r="B59" s="29" t="s">
        <v>394</v>
      </c>
      <c r="C59" s="30" t="s">
        <v>3133</v>
      </c>
      <c r="D59" s="30" t="s">
        <v>3126</v>
      </c>
      <c r="E59" s="30" t="s">
        <v>98</v>
      </c>
      <c r="F59" s="49"/>
      <c r="G59" s="49">
        <v>40</v>
      </c>
      <c r="H59" s="49">
        <v>40</v>
      </c>
    </row>
    <row r="60" spans="1:8">
      <c r="A60" s="30" t="s">
        <v>3187</v>
      </c>
      <c r="B60" s="29" t="s">
        <v>399</v>
      </c>
      <c r="C60" s="30" t="s">
        <v>3122</v>
      </c>
      <c r="D60" s="30" t="s">
        <v>3126</v>
      </c>
      <c r="E60" s="30" t="s">
        <v>98</v>
      </c>
      <c r="F60" s="49">
        <v>5</v>
      </c>
      <c r="G60" s="49">
        <v>0</v>
      </c>
      <c r="H60" s="49">
        <v>5</v>
      </c>
    </row>
    <row r="61" spans="1:8">
      <c r="A61" s="30" t="s">
        <v>3188</v>
      </c>
      <c r="B61" s="29" t="s">
        <v>403</v>
      </c>
      <c r="C61" s="30" t="s">
        <v>3122</v>
      </c>
      <c r="D61" s="30" t="s">
        <v>3126</v>
      </c>
      <c r="E61" s="30" t="s">
        <v>98</v>
      </c>
      <c r="F61" s="49">
        <v>8</v>
      </c>
      <c r="G61" s="49">
        <v>0</v>
      </c>
      <c r="H61" s="49">
        <v>8</v>
      </c>
    </row>
    <row r="62" spans="1:8">
      <c r="A62" s="30" t="s">
        <v>3189</v>
      </c>
      <c r="B62" s="29" t="s">
        <v>405</v>
      </c>
      <c r="C62" s="30" t="s">
        <v>3122</v>
      </c>
      <c r="D62" s="30" t="s">
        <v>3126</v>
      </c>
      <c r="E62" s="30" t="s">
        <v>98</v>
      </c>
      <c r="F62" s="49">
        <v>2</v>
      </c>
      <c r="G62" s="49">
        <v>0</v>
      </c>
      <c r="H62" s="49">
        <v>2</v>
      </c>
    </row>
    <row r="63" spans="1:8">
      <c r="A63" s="30" t="s">
        <v>3190</v>
      </c>
      <c r="B63" s="29" t="s">
        <v>410</v>
      </c>
      <c r="C63" s="30" t="s">
        <v>3145</v>
      </c>
      <c r="D63" s="30" t="s">
        <v>3126</v>
      </c>
      <c r="E63" s="30" t="s">
        <v>98</v>
      </c>
      <c r="F63" s="49">
        <v>42</v>
      </c>
      <c r="G63" s="49">
        <v>0</v>
      </c>
      <c r="H63" s="49">
        <v>42</v>
      </c>
    </row>
    <row r="64" spans="1:8">
      <c r="A64" s="30" t="s">
        <v>3191</v>
      </c>
      <c r="B64" s="29" t="s">
        <v>412</v>
      </c>
      <c r="C64" s="30" t="s">
        <v>3122</v>
      </c>
      <c r="D64" s="30" t="s">
        <v>3126</v>
      </c>
      <c r="E64" s="30" t="s">
        <v>98</v>
      </c>
      <c r="F64" s="49">
        <v>15</v>
      </c>
      <c r="G64" s="49">
        <v>0</v>
      </c>
      <c r="H64" s="49">
        <v>15</v>
      </c>
    </row>
    <row r="65" spans="1:8">
      <c r="A65" s="30" t="s">
        <v>3192</v>
      </c>
      <c r="B65" s="29" t="s">
        <v>414</v>
      </c>
      <c r="C65" s="30" t="s">
        <v>3133</v>
      </c>
      <c r="D65" s="30" t="s">
        <v>3126</v>
      </c>
      <c r="E65" s="30" t="s">
        <v>98</v>
      </c>
      <c r="F65" s="49">
        <v>5</v>
      </c>
      <c r="G65" s="49">
        <v>0</v>
      </c>
      <c r="H65" s="49">
        <v>5</v>
      </c>
    </row>
    <row r="66" spans="1:8">
      <c r="A66" s="30" t="s">
        <v>3193</v>
      </c>
      <c r="B66" s="29" t="s">
        <v>416</v>
      </c>
      <c r="C66" s="30" t="s">
        <v>3145</v>
      </c>
      <c r="D66" s="30" t="s">
        <v>3126</v>
      </c>
      <c r="E66" s="30" t="s">
        <v>98</v>
      </c>
      <c r="F66" s="49">
        <v>4</v>
      </c>
      <c r="G66" s="49">
        <v>0</v>
      </c>
      <c r="H66" s="49">
        <v>4</v>
      </c>
    </row>
    <row r="67" spans="1:8">
      <c r="A67" s="30" t="s">
        <v>3194</v>
      </c>
      <c r="B67" s="29" t="s">
        <v>418</v>
      </c>
      <c r="C67" s="30" t="s">
        <v>3145</v>
      </c>
      <c r="D67" s="30" t="s">
        <v>3126</v>
      </c>
      <c r="E67" s="30" t="s">
        <v>98</v>
      </c>
      <c r="F67" s="49">
        <v>4</v>
      </c>
      <c r="G67" s="49">
        <v>0</v>
      </c>
      <c r="H67" s="49">
        <v>4</v>
      </c>
    </row>
    <row r="68" spans="1:8">
      <c r="A68" s="30" t="s">
        <v>3195</v>
      </c>
      <c r="B68" s="29" t="s">
        <v>420</v>
      </c>
      <c r="C68" s="30" t="s">
        <v>3145</v>
      </c>
      <c r="D68" s="30" t="s">
        <v>3126</v>
      </c>
      <c r="E68" s="30" t="s">
        <v>98</v>
      </c>
      <c r="F68" s="49">
        <v>50</v>
      </c>
      <c r="G68" s="49">
        <v>0</v>
      </c>
      <c r="H68" s="49">
        <v>50</v>
      </c>
    </row>
    <row r="69" spans="1:8">
      <c r="A69" s="30" t="s">
        <v>3196</v>
      </c>
      <c r="B69" s="29" t="s">
        <v>423</v>
      </c>
      <c r="C69" s="30" t="s">
        <v>3145</v>
      </c>
      <c r="D69" s="30" t="s">
        <v>3126</v>
      </c>
      <c r="E69" s="30" t="s">
        <v>98</v>
      </c>
      <c r="F69" s="49">
        <v>41</v>
      </c>
      <c r="G69" s="49">
        <v>0</v>
      </c>
      <c r="H69" s="49">
        <v>41</v>
      </c>
    </row>
    <row r="70" spans="1:8">
      <c r="A70" s="30" t="s">
        <v>3197</v>
      </c>
      <c r="B70" s="29" t="s">
        <v>426</v>
      </c>
      <c r="C70" s="30" t="s">
        <v>3145</v>
      </c>
      <c r="D70" s="30" t="s">
        <v>3126</v>
      </c>
      <c r="E70" s="30" t="s">
        <v>98</v>
      </c>
      <c r="F70" s="49">
        <v>18</v>
      </c>
      <c r="G70" s="49">
        <v>0</v>
      </c>
      <c r="H70" s="49">
        <v>18</v>
      </c>
    </row>
    <row r="71" spans="1:8">
      <c r="A71" s="30" t="s">
        <v>3198</v>
      </c>
      <c r="B71" s="29" t="s">
        <v>429</v>
      </c>
      <c r="C71" s="30" t="s">
        <v>3145</v>
      </c>
      <c r="D71" s="30" t="s">
        <v>3126</v>
      </c>
      <c r="E71" s="30" t="s">
        <v>98</v>
      </c>
      <c r="F71" s="49">
        <v>29</v>
      </c>
      <c r="G71" s="49">
        <v>0</v>
      </c>
      <c r="H71" s="49">
        <v>29</v>
      </c>
    </row>
    <row r="72" spans="1:8">
      <c r="A72" s="30" t="s">
        <v>3199</v>
      </c>
      <c r="B72" s="29" t="s">
        <v>431</v>
      </c>
      <c r="C72" s="30" t="s">
        <v>3145</v>
      </c>
      <c r="D72" s="30" t="s">
        <v>3126</v>
      </c>
      <c r="E72" s="30" t="s">
        <v>98</v>
      </c>
      <c r="F72" s="49">
        <v>29</v>
      </c>
      <c r="G72" s="49">
        <v>0</v>
      </c>
      <c r="H72" s="49">
        <v>29</v>
      </c>
    </row>
    <row r="73" spans="1:8">
      <c r="A73" s="30" t="s">
        <v>3200</v>
      </c>
      <c r="B73" s="29" t="s">
        <v>434</v>
      </c>
      <c r="C73" s="30" t="s">
        <v>3145</v>
      </c>
      <c r="D73" s="30" t="s">
        <v>3126</v>
      </c>
      <c r="E73" s="30" t="s">
        <v>98</v>
      </c>
      <c r="F73" s="49">
        <v>86</v>
      </c>
      <c r="G73" s="49">
        <v>0</v>
      </c>
      <c r="H73" s="49">
        <v>86</v>
      </c>
    </row>
    <row r="74" spans="1:8">
      <c r="A74" s="30" t="s">
        <v>3201</v>
      </c>
      <c r="B74" s="29" t="s">
        <v>437</v>
      </c>
      <c r="C74" s="30" t="s">
        <v>3143</v>
      </c>
      <c r="D74" s="30" t="s">
        <v>3126</v>
      </c>
      <c r="E74" s="30" t="s">
        <v>112</v>
      </c>
      <c r="F74" s="49">
        <v>22</v>
      </c>
      <c r="G74" s="49">
        <v>0</v>
      </c>
      <c r="H74" s="49">
        <v>22</v>
      </c>
    </row>
    <row r="75" spans="1:8">
      <c r="A75" s="30" t="s">
        <v>3202</v>
      </c>
      <c r="B75" s="29" t="s">
        <v>440</v>
      </c>
      <c r="C75" s="30" t="s">
        <v>3143</v>
      </c>
      <c r="D75" s="30" t="s">
        <v>3126</v>
      </c>
      <c r="E75" s="30" t="s">
        <v>112</v>
      </c>
      <c r="F75" s="49">
        <v>22</v>
      </c>
      <c r="G75" s="49">
        <v>0</v>
      </c>
      <c r="H75" s="49">
        <v>22</v>
      </c>
    </row>
    <row r="76" spans="1:8">
      <c r="A76" s="30" t="s">
        <v>3203</v>
      </c>
      <c r="B76" s="29" t="s">
        <v>442</v>
      </c>
      <c r="C76" s="30" t="s">
        <v>3125</v>
      </c>
      <c r="D76" s="30" t="s">
        <v>3126</v>
      </c>
      <c r="E76" s="30" t="s">
        <v>98</v>
      </c>
      <c r="F76" s="49">
        <v>21</v>
      </c>
      <c r="G76" s="49">
        <v>0</v>
      </c>
      <c r="H76" s="49">
        <v>21</v>
      </c>
    </row>
    <row r="77" spans="1:8">
      <c r="A77" s="30" t="s">
        <v>3204</v>
      </c>
      <c r="B77" s="29" t="s">
        <v>442</v>
      </c>
      <c r="C77" s="30" t="s">
        <v>3143</v>
      </c>
      <c r="D77" s="30" t="s">
        <v>3126</v>
      </c>
      <c r="E77" s="30" t="s">
        <v>98</v>
      </c>
      <c r="F77" s="49">
        <v>20</v>
      </c>
      <c r="G77" s="49">
        <v>0</v>
      </c>
      <c r="H77" s="49">
        <v>20</v>
      </c>
    </row>
    <row r="78" spans="1:8">
      <c r="A78" s="30" t="s">
        <v>3205</v>
      </c>
      <c r="B78" s="29" t="s">
        <v>442</v>
      </c>
      <c r="C78" s="30" t="s">
        <v>3133</v>
      </c>
      <c r="D78" s="30" t="s">
        <v>3126</v>
      </c>
      <c r="E78" s="30" t="s">
        <v>98</v>
      </c>
      <c r="F78" s="49">
        <v>20</v>
      </c>
      <c r="G78" s="49">
        <v>0</v>
      </c>
      <c r="H78" s="49">
        <v>20</v>
      </c>
    </row>
    <row r="79" spans="1:8">
      <c r="A79" s="30" t="s">
        <v>3206</v>
      </c>
      <c r="B79" s="29" t="s">
        <v>447</v>
      </c>
      <c r="C79" s="30" t="s">
        <v>3143</v>
      </c>
      <c r="D79" s="30" t="s">
        <v>3126</v>
      </c>
      <c r="E79" s="30" t="s">
        <v>112</v>
      </c>
      <c r="F79" s="49">
        <v>92</v>
      </c>
      <c r="G79" s="49">
        <v>0</v>
      </c>
      <c r="H79" s="49">
        <v>92</v>
      </c>
    </row>
    <row r="80" spans="1:8">
      <c r="A80" s="30" t="s">
        <v>3207</v>
      </c>
      <c r="B80" s="29" t="s">
        <v>450</v>
      </c>
      <c r="C80" s="30" t="s">
        <v>3143</v>
      </c>
      <c r="D80" s="30" t="s">
        <v>3126</v>
      </c>
      <c r="E80" s="30" t="s">
        <v>112</v>
      </c>
      <c r="F80" s="49">
        <v>45</v>
      </c>
      <c r="G80" s="49">
        <v>0</v>
      </c>
      <c r="H80" s="49">
        <v>45</v>
      </c>
    </row>
    <row r="81" spans="1:8">
      <c r="A81" s="30" t="s">
        <v>3208</v>
      </c>
      <c r="B81" s="29" t="s">
        <v>454</v>
      </c>
      <c r="C81" s="30" t="s">
        <v>3145</v>
      </c>
      <c r="D81" s="30" t="s">
        <v>3126</v>
      </c>
      <c r="E81" s="30" t="s">
        <v>98</v>
      </c>
      <c r="F81" s="49">
        <v>20</v>
      </c>
      <c r="G81" s="49">
        <v>0</v>
      </c>
      <c r="H81" s="49">
        <v>20</v>
      </c>
    </row>
    <row r="82" spans="1:8">
      <c r="A82" s="30" t="s">
        <v>3209</v>
      </c>
      <c r="B82" s="29" t="s">
        <v>457</v>
      </c>
      <c r="C82" s="30" t="s">
        <v>3143</v>
      </c>
      <c r="D82" s="30" t="s">
        <v>3126</v>
      </c>
      <c r="E82" s="30" t="s">
        <v>112</v>
      </c>
      <c r="F82" s="49">
        <v>24</v>
      </c>
      <c r="G82" s="49">
        <v>0</v>
      </c>
      <c r="H82" s="49">
        <v>24</v>
      </c>
    </row>
    <row r="83" spans="1:8">
      <c r="A83" s="30" t="s">
        <v>3210</v>
      </c>
      <c r="B83" s="29" t="s">
        <v>459</v>
      </c>
      <c r="C83" s="30" t="s">
        <v>3133</v>
      </c>
      <c r="D83" s="30" t="s">
        <v>3126</v>
      </c>
      <c r="E83" s="30" t="s">
        <v>98</v>
      </c>
      <c r="F83" s="49"/>
      <c r="G83" s="49">
        <v>22</v>
      </c>
      <c r="H83" s="49">
        <v>22</v>
      </c>
    </row>
    <row r="84" spans="1:8">
      <c r="A84" s="30" t="s">
        <v>3211</v>
      </c>
      <c r="B84" s="29" t="s">
        <v>465</v>
      </c>
      <c r="C84" s="30" t="s">
        <v>3133</v>
      </c>
      <c r="D84" s="30" t="s">
        <v>3126</v>
      </c>
      <c r="E84" s="30" t="s">
        <v>98</v>
      </c>
      <c r="F84" s="49"/>
      <c r="G84" s="49">
        <v>26</v>
      </c>
      <c r="H84" s="49">
        <v>26</v>
      </c>
    </row>
    <row r="85" spans="1:8">
      <c r="A85" s="30" t="s">
        <v>3212</v>
      </c>
      <c r="B85" s="29" t="s">
        <v>469</v>
      </c>
      <c r="C85" s="30" t="s">
        <v>3122</v>
      </c>
      <c r="D85" s="30" t="s">
        <v>3126</v>
      </c>
      <c r="E85" s="30" t="s">
        <v>98</v>
      </c>
      <c r="F85" s="49"/>
      <c r="G85" s="49">
        <v>20</v>
      </c>
      <c r="H85" s="49">
        <v>20</v>
      </c>
    </row>
    <row r="86" spans="1:8">
      <c r="A86" s="30" t="s">
        <v>3213</v>
      </c>
      <c r="B86" s="29" t="s">
        <v>472</v>
      </c>
      <c r="C86" s="30" t="s">
        <v>3145</v>
      </c>
      <c r="D86" s="30" t="s">
        <v>3126</v>
      </c>
      <c r="E86" s="30" t="s">
        <v>98</v>
      </c>
      <c r="F86" s="49"/>
      <c r="G86" s="49">
        <v>50</v>
      </c>
      <c r="H86" s="49">
        <v>50</v>
      </c>
    </row>
    <row r="87" spans="1:8">
      <c r="A87" s="30" t="s">
        <v>3214</v>
      </c>
      <c r="B87" s="29" t="s">
        <v>476</v>
      </c>
      <c r="C87" s="30" t="s">
        <v>3145</v>
      </c>
      <c r="D87" s="30" t="s">
        <v>3126</v>
      </c>
      <c r="E87" s="30" t="s">
        <v>98</v>
      </c>
      <c r="F87" s="49"/>
      <c r="G87" s="49">
        <v>125</v>
      </c>
      <c r="H87" s="49">
        <v>125</v>
      </c>
    </row>
    <row r="88" spans="1:8">
      <c r="A88" s="30" t="s">
        <v>3215</v>
      </c>
      <c r="B88" s="29" t="s">
        <v>476</v>
      </c>
      <c r="C88" s="30" t="s">
        <v>3133</v>
      </c>
      <c r="D88" s="30" t="s">
        <v>3126</v>
      </c>
      <c r="E88" s="30" t="s">
        <v>98</v>
      </c>
      <c r="F88" s="49"/>
      <c r="G88" s="49">
        <v>125</v>
      </c>
      <c r="H88" s="49">
        <v>125</v>
      </c>
    </row>
    <row r="89" spans="1:8">
      <c r="A89" s="30" t="s">
        <v>3216</v>
      </c>
      <c r="B89" s="29" t="s">
        <v>476</v>
      </c>
      <c r="C89" s="30" t="s">
        <v>3122</v>
      </c>
      <c r="D89" s="30" t="s">
        <v>3126</v>
      </c>
      <c r="E89" s="30" t="s">
        <v>98</v>
      </c>
      <c r="F89" s="49"/>
      <c r="G89" s="49">
        <v>125</v>
      </c>
      <c r="H89" s="49">
        <v>125</v>
      </c>
    </row>
    <row r="90" spans="1:8">
      <c r="A90" s="30" t="s">
        <v>3217</v>
      </c>
      <c r="B90" s="29" t="s">
        <v>481</v>
      </c>
      <c r="C90" s="30" t="s">
        <v>3133</v>
      </c>
      <c r="D90" s="30" t="s">
        <v>3126</v>
      </c>
      <c r="E90" s="30" t="s">
        <v>98</v>
      </c>
      <c r="F90" s="49"/>
      <c r="G90" s="49">
        <v>31</v>
      </c>
      <c r="H90" s="49">
        <v>31</v>
      </c>
    </row>
    <row r="91" spans="1:8">
      <c r="A91" s="30" t="s">
        <v>3218</v>
      </c>
      <c r="B91" s="29" t="s">
        <v>485</v>
      </c>
      <c r="C91" s="30" t="s">
        <v>3145</v>
      </c>
      <c r="D91" s="30" t="s">
        <v>3126</v>
      </c>
      <c r="E91" s="30" t="s">
        <v>98</v>
      </c>
      <c r="F91" s="49"/>
      <c r="G91" s="49">
        <v>90</v>
      </c>
      <c r="H91" s="49">
        <v>90</v>
      </c>
    </row>
    <row r="92" spans="1:8">
      <c r="A92" s="30" t="s">
        <v>3219</v>
      </c>
      <c r="B92" s="29" t="s">
        <v>485</v>
      </c>
      <c r="C92" s="30" t="s">
        <v>3133</v>
      </c>
      <c r="D92" s="30" t="s">
        <v>3126</v>
      </c>
      <c r="E92" s="30" t="s">
        <v>98</v>
      </c>
      <c r="F92" s="49"/>
      <c r="G92" s="49">
        <v>100</v>
      </c>
      <c r="H92" s="49">
        <v>100</v>
      </c>
    </row>
    <row r="93" spans="1:8">
      <c r="A93" s="30" t="s">
        <v>3220</v>
      </c>
      <c r="B93" s="29" t="s">
        <v>485</v>
      </c>
      <c r="C93" s="30" t="s">
        <v>3122</v>
      </c>
      <c r="D93" s="30" t="s">
        <v>3126</v>
      </c>
      <c r="E93" s="30" t="s">
        <v>98</v>
      </c>
      <c r="F93" s="49"/>
      <c r="G93" s="49">
        <v>78</v>
      </c>
      <c r="H93" s="49">
        <v>78</v>
      </c>
    </row>
    <row r="94" spans="1:8">
      <c r="A94" s="30" t="s">
        <v>3221</v>
      </c>
      <c r="B94" s="29" t="s">
        <v>490</v>
      </c>
      <c r="C94" s="30" t="s">
        <v>3133</v>
      </c>
      <c r="D94" s="30" t="s">
        <v>3126</v>
      </c>
      <c r="E94" s="30" t="s">
        <v>98</v>
      </c>
      <c r="F94" s="49"/>
      <c r="G94" s="49">
        <v>12</v>
      </c>
      <c r="H94" s="49">
        <v>12</v>
      </c>
    </row>
    <row r="95" spans="1:8">
      <c r="A95" s="30" t="s">
        <v>3222</v>
      </c>
      <c r="B95" s="29" t="s">
        <v>494</v>
      </c>
      <c r="C95" s="30" t="s">
        <v>3133</v>
      </c>
      <c r="D95" s="30" t="s">
        <v>3126</v>
      </c>
      <c r="E95" s="30" t="s">
        <v>98</v>
      </c>
      <c r="F95" s="49"/>
      <c r="G95" s="49">
        <v>13</v>
      </c>
      <c r="H95" s="49">
        <v>13</v>
      </c>
    </row>
    <row r="96" spans="1:8">
      <c r="A96" s="30" t="s">
        <v>3223</v>
      </c>
      <c r="B96" s="29" t="s">
        <v>498</v>
      </c>
      <c r="C96" s="30" t="s">
        <v>3133</v>
      </c>
      <c r="D96" s="30" t="s">
        <v>3126</v>
      </c>
      <c r="E96" s="30" t="s">
        <v>98</v>
      </c>
      <c r="F96" s="49"/>
      <c r="G96" s="49">
        <v>0</v>
      </c>
      <c r="H96" s="49">
        <v>0</v>
      </c>
    </row>
    <row r="97" spans="1:8">
      <c r="A97" s="30" t="s">
        <v>3224</v>
      </c>
      <c r="B97" s="29" t="s">
        <v>502</v>
      </c>
      <c r="C97" s="30" t="s">
        <v>3145</v>
      </c>
      <c r="D97" s="30" t="s">
        <v>3126</v>
      </c>
      <c r="E97" s="30" t="s">
        <v>98</v>
      </c>
      <c r="F97" s="49"/>
      <c r="G97" s="49">
        <v>55</v>
      </c>
      <c r="H97" s="49">
        <v>55</v>
      </c>
    </row>
    <row r="98" spans="1:8">
      <c r="A98" s="30" t="s">
        <v>3225</v>
      </c>
      <c r="B98" s="29" t="s">
        <v>502</v>
      </c>
      <c r="C98" s="30" t="s">
        <v>3133</v>
      </c>
      <c r="D98" s="30" t="s">
        <v>3126</v>
      </c>
      <c r="E98" s="30" t="s">
        <v>98</v>
      </c>
      <c r="F98" s="49"/>
      <c r="G98" s="49">
        <v>100</v>
      </c>
      <c r="H98" s="49">
        <v>100</v>
      </c>
    </row>
    <row r="99" spans="1:8">
      <c r="A99" s="30" t="s">
        <v>3226</v>
      </c>
      <c r="B99" s="29" t="s">
        <v>502</v>
      </c>
      <c r="C99" s="30" t="s">
        <v>3122</v>
      </c>
      <c r="D99" s="30" t="s">
        <v>3126</v>
      </c>
      <c r="E99" s="30" t="s">
        <v>98</v>
      </c>
      <c r="F99" s="49"/>
      <c r="G99" s="49">
        <v>100</v>
      </c>
      <c r="H99" s="49">
        <v>100</v>
      </c>
    </row>
    <row r="100" spans="1:8">
      <c r="A100" s="30" t="s">
        <v>3227</v>
      </c>
      <c r="B100" s="29" t="s">
        <v>509</v>
      </c>
      <c r="C100" s="30" t="s">
        <v>3122</v>
      </c>
      <c r="D100" s="30" t="s">
        <v>3126</v>
      </c>
      <c r="E100" s="30" t="s">
        <v>98</v>
      </c>
      <c r="F100" s="49"/>
      <c r="G100" s="49">
        <v>3</v>
      </c>
      <c r="H100" s="49">
        <v>3</v>
      </c>
    </row>
    <row r="101" spans="1:8">
      <c r="A101" s="30" t="s">
        <v>3228</v>
      </c>
      <c r="B101" s="29" t="s">
        <v>511</v>
      </c>
      <c r="C101" s="30" t="s">
        <v>3145</v>
      </c>
      <c r="D101" s="30" t="s">
        <v>3126</v>
      </c>
      <c r="E101" s="30" t="s">
        <v>98</v>
      </c>
      <c r="F101" s="49"/>
      <c r="G101" s="49">
        <v>4</v>
      </c>
      <c r="H101" s="49">
        <v>4</v>
      </c>
    </row>
    <row r="102" spans="1:8">
      <c r="A102" s="30" t="s">
        <v>3229</v>
      </c>
      <c r="B102" s="29" t="s">
        <v>513</v>
      </c>
      <c r="C102" s="30" t="s">
        <v>3145</v>
      </c>
      <c r="D102" s="30" t="s">
        <v>3126</v>
      </c>
      <c r="E102" s="30" t="s">
        <v>98</v>
      </c>
      <c r="F102" s="49"/>
      <c r="G102" s="49">
        <v>3</v>
      </c>
      <c r="H102" s="49">
        <v>3</v>
      </c>
    </row>
    <row r="103" spans="1:8">
      <c r="A103" s="46" t="s">
        <v>3230</v>
      </c>
      <c r="B103" s="29" t="s">
        <v>515</v>
      </c>
      <c r="C103" s="30" t="s">
        <v>3133</v>
      </c>
      <c r="D103" s="30" t="s">
        <v>3126</v>
      </c>
      <c r="E103" s="30" t="s">
        <v>98</v>
      </c>
      <c r="F103" s="49"/>
      <c r="G103" s="49">
        <v>2</v>
      </c>
      <c r="H103" s="49">
        <v>2</v>
      </c>
    </row>
    <row r="104" spans="1:8">
      <c r="A104" s="30" t="s">
        <v>3231</v>
      </c>
      <c r="B104" s="29" t="s">
        <v>517</v>
      </c>
      <c r="C104" s="30" t="s">
        <v>3122</v>
      </c>
      <c r="D104" s="30" t="s">
        <v>3126</v>
      </c>
      <c r="E104" s="30" t="s">
        <v>98</v>
      </c>
      <c r="F104" s="49"/>
      <c r="G104" s="49">
        <v>2</v>
      </c>
      <c r="H104" s="49">
        <v>2</v>
      </c>
    </row>
    <row r="105" spans="1:8">
      <c r="A105" s="30" t="s">
        <v>3232</v>
      </c>
      <c r="B105" s="29" t="s">
        <v>519</v>
      </c>
      <c r="C105" s="30" t="s">
        <v>3145</v>
      </c>
      <c r="D105" s="30" t="s">
        <v>3126</v>
      </c>
      <c r="E105" s="30" t="s">
        <v>98</v>
      </c>
      <c r="F105" s="49"/>
      <c r="G105" s="49">
        <v>2</v>
      </c>
      <c r="H105" s="49">
        <v>2</v>
      </c>
    </row>
    <row r="106" spans="1:8">
      <c r="A106" s="30" t="s">
        <v>3233</v>
      </c>
      <c r="B106" s="29" t="s">
        <v>521</v>
      </c>
      <c r="C106" s="30" t="s">
        <v>3145</v>
      </c>
      <c r="D106" s="30" t="s">
        <v>3126</v>
      </c>
      <c r="E106" s="30" t="s">
        <v>98</v>
      </c>
      <c r="F106" s="49"/>
      <c r="G106" s="49">
        <v>2</v>
      </c>
      <c r="H106" s="49">
        <v>2</v>
      </c>
    </row>
    <row r="107" spans="1:8">
      <c r="A107" s="30" t="s">
        <v>3234</v>
      </c>
      <c r="B107" s="29" t="s">
        <v>523</v>
      </c>
      <c r="C107" s="30" t="s">
        <v>3145</v>
      </c>
      <c r="D107" s="30" t="s">
        <v>3126</v>
      </c>
      <c r="E107" s="30" t="s">
        <v>98</v>
      </c>
      <c r="F107" s="49"/>
      <c r="G107" s="49">
        <v>2</v>
      </c>
      <c r="H107" s="49">
        <v>2</v>
      </c>
    </row>
    <row r="108" spans="1:8">
      <c r="A108" s="30" t="s">
        <v>3235</v>
      </c>
      <c r="B108" s="29" t="s">
        <v>525</v>
      </c>
      <c r="C108" s="30" t="s">
        <v>3143</v>
      </c>
      <c r="D108" s="30" t="s">
        <v>3126</v>
      </c>
      <c r="E108" s="30" t="s">
        <v>112</v>
      </c>
      <c r="F108" s="49"/>
      <c r="G108" s="49">
        <v>26</v>
      </c>
      <c r="H108" s="49">
        <v>26</v>
      </c>
    </row>
    <row r="109" spans="1:8">
      <c r="A109" s="30" t="s">
        <v>3236</v>
      </c>
      <c r="B109" s="29" t="s">
        <v>528</v>
      </c>
      <c r="C109" s="30" t="s">
        <v>3125</v>
      </c>
      <c r="D109" s="30" t="s">
        <v>3126</v>
      </c>
      <c r="E109" s="30" t="s">
        <v>112</v>
      </c>
      <c r="F109" s="49"/>
      <c r="G109" s="49">
        <v>17</v>
      </c>
      <c r="H109" s="49">
        <v>17</v>
      </c>
    </row>
    <row r="110" spans="1:8">
      <c r="A110" s="30" t="s">
        <v>3237</v>
      </c>
      <c r="B110" s="29" t="s">
        <v>531</v>
      </c>
      <c r="C110" s="30" t="s">
        <v>3145</v>
      </c>
      <c r="D110" s="30" t="s">
        <v>3126</v>
      </c>
      <c r="E110" s="30" t="s">
        <v>98</v>
      </c>
      <c r="F110" s="49"/>
      <c r="G110" s="49">
        <v>22</v>
      </c>
      <c r="H110" s="49">
        <v>22</v>
      </c>
    </row>
    <row r="111" spans="1:8">
      <c r="A111" s="30" t="s">
        <v>3238</v>
      </c>
      <c r="B111" s="29" t="s">
        <v>533</v>
      </c>
      <c r="C111" s="30" t="s">
        <v>3125</v>
      </c>
      <c r="D111" s="30" t="s">
        <v>3126</v>
      </c>
      <c r="E111" s="30" t="s">
        <v>112</v>
      </c>
      <c r="F111" s="49"/>
      <c r="G111" s="49">
        <v>74</v>
      </c>
      <c r="H111" s="49">
        <v>74</v>
      </c>
    </row>
    <row r="112" spans="1:8">
      <c r="A112" s="30" t="s">
        <v>3239</v>
      </c>
      <c r="B112" s="29" t="s">
        <v>537</v>
      </c>
      <c r="C112" s="30" t="s">
        <v>3133</v>
      </c>
      <c r="D112" s="30" t="s">
        <v>3126</v>
      </c>
      <c r="E112" s="30" t="s">
        <v>98</v>
      </c>
      <c r="F112" s="49"/>
      <c r="G112" s="49">
        <v>30</v>
      </c>
      <c r="H112" s="49">
        <v>30</v>
      </c>
    </row>
    <row r="113" spans="1:8">
      <c r="A113" s="30" t="s">
        <v>3240</v>
      </c>
      <c r="B113" s="29" t="s">
        <v>537</v>
      </c>
      <c r="C113" s="30" t="s">
        <v>3122</v>
      </c>
      <c r="D113" s="30" t="s">
        <v>3126</v>
      </c>
      <c r="E113" s="30" t="s">
        <v>98</v>
      </c>
      <c r="F113" s="49"/>
      <c r="G113" s="49">
        <v>35</v>
      </c>
      <c r="H113" s="49">
        <v>35</v>
      </c>
    </row>
    <row r="114" spans="1:8">
      <c r="A114" s="30" t="s">
        <v>3241</v>
      </c>
      <c r="B114" s="29" t="s">
        <v>541</v>
      </c>
      <c r="C114" s="30" t="s">
        <v>3133</v>
      </c>
      <c r="D114" s="30" t="s">
        <v>3126</v>
      </c>
      <c r="E114" s="30" t="s">
        <v>98</v>
      </c>
      <c r="F114" s="49"/>
      <c r="G114" s="49">
        <v>8</v>
      </c>
      <c r="H114" s="49">
        <v>8</v>
      </c>
    </row>
    <row r="115" spans="1:8">
      <c r="A115" s="30" t="s">
        <v>3242</v>
      </c>
      <c r="B115" s="29" t="s">
        <v>545</v>
      </c>
      <c r="C115" s="30" t="s">
        <v>3133</v>
      </c>
      <c r="D115" s="30" t="s">
        <v>3126</v>
      </c>
      <c r="E115" s="30" t="s">
        <v>98</v>
      </c>
      <c r="F115" s="49"/>
      <c r="G115" s="49">
        <v>12</v>
      </c>
      <c r="H115" s="49">
        <v>12</v>
      </c>
    </row>
    <row r="116" spans="1:8">
      <c r="A116" s="30" t="s">
        <v>3243</v>
      </c>
      <c r="B116" s="29" t="s">
        <v>549</v>
      </c>
      <c r="C116" s="30" t="s">
        <v>3145</v>
      </c>
      <c r="D116" s="30" t="s">
        <v>3126</v>
      </c>
      <c r="E116" s="30" t="s">
        <v>98</v>
      </c>
      <c r="F116" s="49">
        <v>6</v>
      </c>
      <c r="G116" s="49">
        <v>0</v>
      </c>
      <c r="H116" s="49">
        <v>6</v>
      </c>
    </row>
    <row r="117" spans="1:8">
      <c r="A117" s="30" t="s">
        <v>3244</v>
      </c>
      <c r="B117" s="29" t="s">
        <v>549</v>
      </c>
      <c r="C117" s="30" t="s">
        <v>3133</v>
      </c>
      <c r="D117" s="30" t="s">
        <v>3126</v>
      </c>
      <c r="E117" s="30" t="s">
        <v>98</v>
      </c>
      <c r="F117" s="49">
        <v>7</v>
      </c>
      <c r="G117" s="49">
        <v>0</v>
      </c>
      <c r="H117" s="49">
        <v>7</v>
      </c>
    </row>
    <row r="118" spans="1:8">
      <c r="A118" s="30" t="s">
        <v>3245</v>
      </c>
      <c r="B118" s="29" t="s">
        <v>553</v>
      </c>
      <c r="C118" s="30" t="s">
        <v>3133</v>
      </c>
      <c r="D118" s="30" t="s">
        <v>3126</v>
      </c>
      <c r="E118" s="30" t="s">
        <v>98</v>
      </c>
      <c r="F118" s="49">
        <v>27</v>
      </c>
      <c r="G118" s="49">
        <v>0</v>
      </c>
      <c r="H118" s="49">
        <v>27</v>
      </c>
    </row>
    <row r="119" spans="1:8">
      <c r="A119" s="30" t="s">
        <v>3246</v>
      </c>
      <c r="B119" s="29" t="s">
        <v>557</v>
      </c>
      <c r="C119" s="30" t="s">
        <v>3145</v>
      </c>
      <c r="D119" s="30" t="s">
        <v>3126</v>
      </c>
      <c r="E119" s="30" t="s">
        <v>98</v>
      </c>
      <c r="F119" s="49"/>
      <c r="G119" s="49">
        <v>9</v>
      </c>
      <c r="H119" s="49">
        <v>9</v>
      </c>
    </row>
    <row r="120" spans="1:8">
      <c r="A120" s="30" t="s">
        <v>3247</v>
      </c>
      <c r="B120" s="29" t="s">
        <v>557</v>
      </c>
      <c r="C120" s="30" t="s">
        <v>3133</v>
      </c>
      <c r="D120" s="30" t="s">
        <v>3126</v>
      </c>
      <c r="E120" s="30" t="s">
        <v>98</v>
      </c>
      <c r="F120" s="49"/>
      <c r="G120" s="49">
        <v>10</v>
      </c>
      <c r="H120" s="49">
        <v>10</v>
      </c>
    </row>
    <row r="121" spans="1:8">
      <c r="A121" s="30" t="s">
        <v>3248</v>
      </c>
      <c r="B121" s="29" t="s">
        <v>563</v>
      </c>
      <c r="C121" s="30" t="s">
        <v>3145</v>
      </c>
      <c r="D121" s="30" t="s">
        <v>3126</v>
      </c>
      <c r="E121" s="30" t="s">
        <v>98</v>
      </c>
      <c r="F121" s="49">
        <v>7</v>
      </c>
      <c r="G121" s="49">
        <v>0</v>
      </c>
      <c r="H121" s="49">
        <v>7</v>
      </c>
    </row>
    <row r="122" spans="1:8">
      <c r="A122" s="30" t="s">
        <v>3249</v>
      </c>
      <c r="B122" s="29" t="s">
        <v>567</v>
      </c>
      <c r="C122" s="30" t="s">
        <v>3145</v>
      </c>
      <c r="D122" s="30" t="s">
        <v>3126</v>
      </c>
      <c r="E122" s="30" t="s">
        <v>98</v>
      </c>
      <c r="F122" s="49">
        <v>19</v>
      </c>
      <c r="G122" s="49">
        <v>0</v>
      </c>
      <c r="H122" s="49">
        <v>19</v>
      </c>
    </row>
    <row r="123" spans="1:8">
      <c r="A123" s="30" t="s">
        <v>3250</v>
      </c>
      <c r="B123" s="29" t="s">
        <v>571</v>
      </c>
      <c r="C123" s="30" t="s">
        <v>3145</v>
      </c>
      <c r="D123" s="30" t="s">
        <v>3126</v>
      </c>
      <c r="E123" s="30" t="s">
        <v>98</v>
      </c>
      <c r="F123" s="49"/>
      <c r="G123" s="49">
        <v>50</v>
      </c>
      <c r="H123" s="49">
        <v>50</v>
      </c>
    </row>
    <row r="124" spans="1:8">
      <c r="A124" s="30" t="s">
        <v>3251</v>
      </c>
      <c r="B124" s="29" t="s">
        <v>571</v>
      </c>
      <c r="C124" s="30" t="s">
        <v>3133</v>
      </c>
      <c r="D124" s="30" t="s">
        <v>3126</v>
      </c>
      <c r="E124" s="30" t="s">
        <v>98</v>
      </c>
      <c r="F124" s="49"/>
      <c r="G124" s="49">
        <v>53</v>
      </c>
      <c r="H124" s="49">
        <v>53</v>
      </c>
    </row>
    <row r="125" spans="1:8">
      <c r="A125" s="30" t="s">
        <v>3252</v>
      </c>
      <c r="B125" s="29" t="s">
        <v>577</v>
      </c>
      <c r="C125" s="30" t="s">
        <v>3125</v>
      </c>
      <c r="D125" s="30" t="s">
        <v>3126</v>
      </c>
      <c r="E125" s="30" t="s">
        <v>112</v>
      </c>
      <c r="F125" s="49">
        <v>55</v>
      </c>
      <c r="G125" s="49">
        <v>0</v>
      </c>
      <c r="H125" s="49">
        <v>55</v>
      </c>
    </row>
    <row r="126" spans="1:8">
      <c r="A126" s="30" t="s">
        <v>3253</v>
      </c>
      <c r="B126" s="29" t="s">
        <v>585</v>
      </c>
      <c r="C126" s="30" t="s">
        <v>3125</v>
      </c>
      <c r="D126" s="30" t="s">
        <v>3126</v>
      </c>
      <c r="E126" s="30" t="s">
        <v>112</v>
      </c>
      <c r="F126" s="49">
        <v>22</v>
      </c>
      <c r="G126" s="49">
        <v>0</v>
      </c>
      <c r="H126" s="49">
        <v>22</v>
      </c>
    </row>
    <row r="127" spans="1:8">
      <c r="A127" s="30" t="s">
        <v>3254</v>
      </c>
      <c r="B127" s="29" t="s">
        <v>593</v>
      </c>
      <c r="C127" s="30" t="s">
        <v>3125</v>
      </c>
      <c r="D127" s="30" t="s">
        <v>3126</v>
      </c>
      <c r="E127" s="30" t="s">
        <v>98</v>
      </c>
      <c r="F127" s="49"/>
      <c r="G127" s="49">
        <v>9</v>
      </c>
      <c r="H127" s="49">
        <v>9</v>
      </c>
    </row>
    <row r="128" spans="1:8">
      <c r="A128" s="30" t="s">
        <v>3255</v>
      </c>
      <c r="B128" s="29" t="s">
        <v>593</v>
      </c>
      <c r="C128" s="30" t="s">
        <v>3145</v>
      </c>
      <c r="D128" s="30" t="s">
        <v>3126</v>
      </c>
      <c r="E128" s="30" t="s">
        <v>98</v>
      </c>
      <c r="F128" s="49"/>
      <c r="G128" s="49">
        <v>50</v>
      </c>
      <c r="H128" s="49">
        <v>50</v>
      </c>
    </row>
    <row r="129" spans="1:8">
      <c r="A129" s="30" t="s">
        <v>3256</v>
      </c>
      <c r="B129" s="29" t="s">
        <v>593</v>
      </c>
      <c r="C129" s="30" t="s">
        <v>3133</v>
      </c>
      <c r="D129" s="30" t="s">
        <v>3126</v>
      </c>
      <c r="E129" s="30" t="s">
        <v>98</v>
      </c>
      <c r="F129" s="49"/>
      <c r="G129" s="49">
        <v>50</v>
      </c>
      <c r="H129" s="49">
        <v>50</v>
      </c>
    </row>
    <row r="130" spans="1:8">
      <c r="A130" s="30" t="s">
        <v>3257</v>
      </c>
      <c r="B130" s="29" t="s">
        <v>593</v>
      </c>
      <c r="C130" s="30" t="s">
        <v>3122</v>
      </c>
      <c r="D130" s="30" t="s">
        <v>3126</v>
      </c>
      <c r="E130" s="30" t="s">
        <v>98</v>
      </c>
      <c r="F130" s="49"/>
      <c r="G130" s="49">
        <v>50</v>
      </c>
      <c r="H130" s="49">
        <v>50</v>
      </c>
    </row>
    <row r="131" spans="1:8">
      <c r="A131" s="30" t="s">
        <v>3258</v>
      </c>
      <c r="B131" s="29" t="s">
        <v>600</v>
      </c>
      <c r="C131" s="30" t="s">
        <v>3125</v>
      </c>
      <c r="D131" s="30" t="s">
        <v>3126</v>
      </c>
      <c r="E131" s="30" t="s">
        <v>112</v>
      </c>
      <c r="F131" s="49">
        <v>32</v>
      </c>
      <c r="G131" s="49">
        <v>0</v>
      </c>
      <c r="H131" s="49">
        <v>32</v>
      </c>
    </row>
    <row r="132" spans="1:8">
      <c r="A132" s="30" t="s">
        <v>3259</v>
      </c>
      <c r="B132" s="29" t="s">
        <v>602</v>
      </c>
      <c r="C132" s="30" t="s">
        <v>3125</v>
      </c>
      <c r="D132" s="30" t="s">
        <v>3126</v>
      </c>
      <c r="E132" s="30" t="s">
        <v>112</v>
      </c>
      <c r="F132" s="49">
        <v>32</v>
      </c>
      <c r="G132" s="49">
        <v>0</v>
      </c>
      <c r="H132" s="49">
        <v>32</v>
      </c>
    </row>
    <row r="133" spans="1:8">
      <c r="A133" s="30" t="s">
        <v>3260</v>
      </c>
      <c r="B133" s="29" t="s">
        <v>604</v>
      </c>
      <c r="C133" s="30" t="s">
        <v>3145</v>
      </c>
      <c r="D133" s="30" t="s">
        <v>3126</v>
      </c>
      <c r="E133" s="30" t="s">
        <v>98</v>
      </c>
      <c r="F133" s="49">
        <v>15</v>
      </c>
      <c r="G133" s="49">
        <v>0</v>
      </c>
      <c r="H133" s="49">
        <v>15</v>
      </c>
    </row>
    <row r="134" spans="1:8">
      <c r="A134" s="30" t="s">
        <v>3261</v>
      </c>
      <c r="B134" s="29" t="s">
        <v>608</v>
      </c>
      <c r="C134" s="30" t="s">
        <v>3122</v>
      </c>
      <c r="D134" s="30" t="s">
        <v>3126</v>
      </c>
      <c r="E134" s="30" t="s">
        <v>98</v>
      </c>
      <c r="F134" s="49">
        <v>3</v>
      </c>
      <c r="G134" s="49">
        <v>0</v>
      </c>
      <c r="H134" s="49">
        <v>3</v>
      </c>
    </row>
    <row r="135" spans="1:8">
      <c r="A135" s="30" t="s">
        <v>3262</v>
      </c>
      <c r="B135" s="29" t="s">
        <v>608</v>
      </c>
      <c r="C135" s="30" t="s">
        <v>3125</v>
      </c>
      <c r="D135" s="30" t="s">
        <v>3126</v>
      </c>
      <c r="E135" s="30" t="s">
        <v>98</v>
      </c>
      <c r="F135" s="49">
        <v>21</v>
      </c>
      <c r="G135" s="49">
        <v>0</v>
      </c>
      <c r="H135" s="49">
        <v>21</v>
      </c>
    </row>
    <row r="136" spans="1:8">
      <c r="A136" s="30" t="s">
        <v>3263</v>
      </c>
      <c r="B136" s="29" t="s">
        <v>608</v>
      </c>
      <c r="C136" s="30" t="s">
        <v>3143</v>
      </c>
      <c r="D136" s="30" t="s">
        <v>3126</v>
      </c>
      <c r="E136" s="30" t="s">
        <v>98</v>
      </c>
      <c r="F136" s="49">
        <v>15</v>
      </c>
      <c r="G136" s="49">
        <v>0</v>
      </c>
      <c r="H136" s="49">
        <v>15</v>
      </c>
    </row>
    <row r="137" spans="1:8">
      <c r="A137" s="30" t="s">
        <v>3264</v>
      </c>
      <c r="B137" s="29" t="s">
        <v>608</v>
      </c>
      <c r="C137" s="30" t="s">
        <v>3145</v>
      </c>
      <c r="D137" s="30" t="s">
        <v>3126</v>
      </c>
      <c r="E137" s="30" t="s">
        <v>98</v>
      </c>
      <c r="F137" s="49">
        <v>22</v>
      </c>
      <c r="G137" s="49">
        <v>0</v>
      </c>
      <c r="H137" s="49">
        <v>22</v>
      </c>
    </row>
    <row r="138" spans="1:8">
      <c r="A138" s="30" t="s">
        <v>3265</v>
      </c>
      <c r="B138" s="29" t="s">
        <v>612</v>
      </c>
      <c r="C138" s="30" t="s">
        <v>3125</v>
      </c>
      <c r="D138" s="30" t="s">
        <v>3126</v>
      </c>
      <c r="E138" s="30" t="s">
        <v>112</v>
      </c>
      <c r="F138" s="49">
        <v>30</v>
      </c>
      <c r="G138" s="49">
        <v>0</v>
      </c>
      <c r="H138" s="49">
        <v>30</v>
      </c>
    </row>
    <row r="139" spans="1:8">
      <c r="A139" s="30" t="s">
        <v>3266</v>
      </c>
      <c r="B139" s="29" t="s">
        <v>614</v>
      </c>
      <c r="C139" s="30" t="s">
        <v>3125</v>
      </c>
      <c r="D139" s="30" t="s">
        <v>3126</v>
      </c>
      <c r="E139" s="30" t="s">
        <v>112</v>
      </c>
      <c r="F139" s="49">
        <v>2</v>
      </c>
      <c r="G139" s="49">
        <v>0</v>
      </c>
      <c r="H139" s="49">
        <v>2</v>
      </c>
    </row>
    <row r="140" spans="1:8">
      <c r="A140" s="30" t="s">
        <v>3267</v>
      </c>
      <c r="B140" s="29" t="s">
        <v>614</v>
      </c>
      <c r="C140" s="30" t="s">
        <v>3143</v>
      </c>
      <c r="D140" s="30" t="s">
        <v>3126</v>
      </c>
      <c r="E140" s="30" t="s">
        <v>112</v>
      </c>
      <c r="F140" s="49">
        <v>2</v>
      </c>
      <c r="G140" s="49">
        <v>0</v>
      </c>
      <c r="H140" s="49">
        <v>2</v>
      </c>
    </row>
    <row r="141" spans="1:8">
      <c r="A141" s="30" t="s">
        <v>3268</v>
      </c>
      <c r="B141" s="29" t="s">
        <v>621</v>
      </c>
      <c r="C141" s="30" t="s">
        <v>3133</v>
      </c>
      <c r="D141" s="30" t="s">
        <v>3126</v>
      </c>
      <c r="E141" s="30" t="s">
        <v>98</v>
      </c>
      <c r="F141" s="49"/>
      <c r="G141" s="49">
        <v>6</v>
      </c>
      <c r="H141" s="49">
        <v>6</v>
      </c>
    </row>
    <row r="142" spans="1:8">
      <c r="A142" s="30" t="s">
        <v>3269</v>
      </c>
      <c r="B142" s="29" t="s">
        <v>621</v>
      </c>
      <c r="C142" s="30" t="s">
        <v>3122</v>
      </c>
      <c r="D142" s="30" t="s">
        <v>3126</v>
      </c>
      <c r="E142" s="30" t="s">
        <v>98</v>
      </c>
      <c r="F142" s="49"/>
      <c r="G142" s="49">
        <v>4</v>
      </c>
      <c r="H142" s="49">
        <v>4</v>
      </c>
    </row>
    <row r="143" spans="1:8">
      <c r="A143" s="30" t="s">
        <v>3270</v>
      </c>
      <c r="B143" s="29" t="s">
        <v>621</v>
      </c>
      <c r="C143" s="30" t="s">
        <v>3145</v>
      </c>
      <c r="D143" s="30" t="s">
        <v>3126</v>
      </c>
      <c r="E143" s="30" t="s">
        <v>98</v>
      </c>
      <c r="F143" s="49"/>
      <c r="G143" s="49">
        <v>5</v>
      </c>
      <c r="H143" s="49">
        <v>5</v>
      </c>
    </row>
    <row r="144" spans="1:8">
      <c r="A144" s="30" t="s">
        <v>3271</v>
      </c>
      <c r="B144" s="29" t="s">
        <v>625</v>
      </c>
      <c r="C144" s="30" t="s">
        <v>3125</v>
      </c>
      <c r="D144" s="30" t="s">
        <v>3126</v>
      </c>
      <c r="E144" s="30" t="s">
        <v>112</v>
      </c>
      <c r="F144" s="49">
        <v>27</v>
      </c>
      <c r="G144" s="49">
        <v>0</v>
      </c>
      <c r="H144" s="49">
        <v>27</v>
      </c>
    </row>
    <row r="145" spans="1:8">
      <c r="A145" s="30" t="s">
        <v>3272</v>
      </c>
      <c r="B145" s="29" t="s">
        <v>627</v>
      </c>
      <c r="C145" s="30" t="s">
        <v>3125</v>
      </c>
      <c r="D145" s="30" t="s">
        <v>3126</v>
      </c>
      <c r="E145" s="30" t="s">
        <v>112</v>
      </c>
      <c r="F145" s="49">
        <v>54</v>
      </c>
      <c r="G145" s="49">
        <v>0</v>
      </c>
      <c r="H145" s="49">
        <v>54</v>
      </c>
    </row>
    <row r="146" spans="1:8">
      <c r="A146" s="30" t="s">
        <v>3273</v>
      </c>
      <c r="B146" s="29" t="s">
        <v>629</v>
      </c>
      <c r="C146" s="30" t="s">
        <v>3125</v>
      </c>
      <c r="D146" s="30" t="s">
        <v>3126</v>
      </c>
      <c r="E146" s="30" t="s">
        <v>112</v>
      </c>
      <c r="F146" s="49">
        <v>45</v>
      </c>
      <c r="G146" s="49">
        <v>0</v>
      </c>
      <c r="H146" s="49">
        <v>45</v>
      </c>
    </row>
    <row r="147" spans="1:8">
      <c r="A147" s="30" t="s">
        <v>3274</v>
      </c>
      <c r="B147" s="29" t="s">
        <v>631</v>
      </c>
      <c r="C147" s="30" t="s">
        <v>3125</v>
      </c>
      <c r="D147" s="30" t="s">
        <v>3126</v>
      </c>
      <c r="E147" s="30" t="s">
        <v>112</v>
      </c>
      <c r="F147" s="49">
        <v>30</v>
      </c>
      <c r="G147" s="49">
        <v>0</v>
      </c>
      <c r="H147" s="49">
        <v>30</v>
      </c>
    </row>
    <row r="148" spans="1:8">
      <c r="A148" s="30" t="s">
        <v>3275</v>
      </c>
      <c r="B148" s="29" t="s">
        <v>633</v>
      </c>
      <c r="C148" s="30" t="s">
        <v>3125</v>
      </c>
      <c r="D148" s="30" t="s">
        <v>3126</v>
      </c>
      <c r="E148" s="30" t="s">
        <v>112</v>
      </c>
      <c r="F148" s="49">
        <v>70</v>
      </c>
      <c r="G148" s="49">
        <v>0</v>
      </c>
      <c r="H148" s="49">
        <v>70</v>
      </c>
    </row>
    <row r="149" spans="1:8">
      <c r="A149" s="30" t="s">
        <v>3276</v>
      </c>
      <c r="B149" s="29" t="s">
        <v>635</v>
      </c>
      <c r="C149" s="30" t="s">
        <v>3125</v>
      </c>
      <c r="D149" s="30" t="s">
        <v>3126</v>
      </c>
      <c r="E149" s="30" t="s">
        <v>112</v>
      </c>
      <c r="F149" s="49">
        <v>43</v>
      </c>
      <c r="G149" s="49">
        <v>0</v>
      </c>
      <c r="H149" s="49">
        <v>43</v>
      </c>
    </row>
    <row r="150" spans="1:8">
      <c r="A150" s="30" t="s">
        <v>3277</v>
      </c>
      <c r="B150" s="29" t="s">
        <v>637</v>
      </c>
      <c r="C150" s="30" t="s">
        <v>3125</v>
      </c>
      <c r="D150" s="30" t="s">
        <v>3126</v>
      </c>
      <c r="E150" s="30" t="s">
        <v>112</v>
      </c>
      <c r="F150" s="49">
        <v>18</v>
      </c>
      <c r="G150" s="49">
        <v>0</v>
      </c>
      <c r="H150" s="49">
        <v>18</v>
      </c>
    </row>
    <row r="151" spans="1:8">
      <c r="A151" s="30" t="s">
        <v>3278</v>
      </c>
      <c r="B151" s="29" t="s">
        <v>639</v>
      </c>
      <c r="C151" s="30" t="s">
        <v>3125</v>
      </c>
      <c r="D151" s="30" t="s">
        <v>3126</v>
      </c>
      <c r="E151" s="30" t="s">
        <v>112</v>
      </c>
      <c r="F151" s="49">
        <v>29</v>
      </c>
      <c r="G151" s="49">
        <v>0</v>
      </c>
      <c r="H151" s="49">
        <v>29</v>
      </c>
    </row>
    <row r="152" spans="1:8">
      <c r="A152" s="30" t="s">
        <v>3279</v>
      </c>
      <c r="B152" s="29" t="s">
        <v>641</v>
      </c>
      <c r="C152" s="30" t="s">
        <v>3125</v>
      </c>
      <c r="D152" s="30" t="s">
        <v>3126</v>
      </c>
      <c r="E152" s="30" t="s">
        <v>112</v>
      </c>
      <c r="F152" s="49">
        <v>14</v>
      </c>
      <c r="G152" s="49">
        <v>0</v>
      </c>
      <c r="H152" s="49">
        <v>14</v>
      </c>
    </row>
    <row r="153" spans="1:8">
      <c r="A153" s="30" t="s">
        <v>3280</v>
      </c>
      <c r="B153" s="29" t="s">
        <v>643</v>
      </c>
      <c r="C153" s="30" t="s">
        <v>3125</v>
      </c>
      <c r="D153" s="30" t="s">
        <v>3126</v>
      </c>
      <c r="E153" s="30" t="s">
        <v>112</v>
      </c>
      <c r="F153" s="49">
        <v>67</v>
      </c>
      <c r="G153" s="49">
        <v>0</v>
      </c>
      <c r="H153" s="49">
        <v>67</v>
      </c>
    </row>
    <row r="154" spans="1:8">
      <c r="A154" s="30" t="s">
        <v>3281</v>
      </c>
      <c r="B154" s="29" t="s">
        <v>645</v>
      </c>
      <c r="C154" s="30" t="s">
        <v>3125</v>
      </c>
      <c r="D154" s="30" t="s">
        <v>3126</v>
      </c>
      <c r="E154" s="30" t="s">
        <v>98</v>
      </c>
      <c r="F154" s="49">
        <v>7</v>
      </c>
      <c r="G154" s="49">
        <v>0</v>
      </c>
      <c r="H154" s="49">
        <v>7</v>
      </c>
    </row>
    <row r="155" spans="1:8">
      <c r="A155" s="30" t="s">
        <v>3282</v>
      </c>
      <c r="B155" s="29" t="s">
        <v>645</v>
      </c>
      <c r="C155" s="30" t="s">
        <v>3133</v>
      </c>
      <c r="D155" s="30" t="s">
        <v>3126</v>
      </c>
      <c r="E155" s="30" t="s">
        <v>98</v>
      </c>
      <c r="F155" s="49">
        <v>12</v>
      </c>
      <c r="G155" s="49">
        <v>0</v>
      </c>
      <c r="H155" s="49">
        <v>12</v>
      </c>
    </row>
    <row r="156" spans="1:8">
      <c r="A156" s="46" t="s">
        <v>3283</v>
      </c>
      <c r="B156" s="29" t="s">
        <v>651</v>
      </c>
      <c r="C156" s="30" t="s">
        <v>3125</v>
      </c>
      <c r="D156" s="30" t="s">
        <v>3126</v>
      </c>
      <c r="E156" s="30" t="s">
        <v>112</v>
      </c>
      <c r="F156" s="49"/>
      <c r="G156" s="49">
        <v>18</v>
      </c>
      <c r="H156" s="49">
        <v>18</v>
      </c>
    </row>
    <row r="157" spans="1:8">
      <c r="A157" s="30" t="s">
        <v>3284</v>
      </c>
      <c r="B157" s="29" t="s">
        <v>651</v>
      </c>
      <c r="C157" s="30" t="s">
        <v>3145</v>
      </c>
      <c r="D157" s="30" t="s">
        <v>3126</v>
      </c>
      <c r="E157" s="30" t="s">
        <v>98</v>
      </c>
      <c r="F157" s="49"/>
      <c r="G157" s="49">
        <v>25</v>
      </c>
      <c r="H157" s="49">
        <v>25</v>
      </c>
    </row>
    <row r="158" spans="1:8">
      <c r="A158" s="30" t="s">
        <v>3285</v>
      </c>
      <c r="B158" s="29" t="s">
        <v>651</v>
      </c>
      <c r="C158" s="30" t="s">
        <v>3133</v>
      </c>
      <c r="D158" s="30" t="s">
        <v>3126</v>
      </c>
      <c r="E158" s="30" t="s">
        <v>98</v>
      </c>
      <c r="F158" s="49"/>
      <c r="G158" s="49">
        <v>23</v>
      </c>
      <c r="H158" s="49">
        <v>23</v>
      </c>
    </row>
    <row r="159" spans="1:8">
      <c r="A159" s="30" t="s">
        <v>3286</v>
      </c>
      <c r="B159" s="29" t="s">
        <v>651</v>
      </c>
      <c r="C159" s="30" t="s">
        <v>3122</v>
      </c>
      <c r="D159" s="30" t="s">
        <v>3126</v>
      </c>
      <c r="E159" s="30" t="s">
        <v>98</v>
      </c>
      <c r="F159" s="49"/>
      <c r="G159" s="49">
        <v>12</v>
      </c>
      <c r="H159" s="49">
        <v>12</v>
      </c>
    </row>
    <row r="160" spans="1:8">
      <c r="A160" s="30" t="s">
        <v>3287</v>
      </c>
      <c r="B160" s="29" t="s">
        <v>655</v>
      </c>
      <c r="C160" s="30" t="s">
        <v>3143</v>
      </c>
      <c r="D160" s="30" t="s">
        <v>3126</v>
      </c>
      <c r="E160" s="30" t="s">
        <v>112</v>
      </c>
      <c r="F160" s="49">
        <v>54</v>
      </c>
      <c r="G160" s="49">
        <v>0</v>
      </c>
      <c r="H160" s="49">
        <v>54</v>
      </c>
    </row>
    <row r="161" spans="1:8">
      <c r="A161" s="30" t="s">
        <v>3288</v>
      </c>
      <c r="B161" s="29" t="s">
        <v>657</v>
      </c>
      <c r="C161" s="30" t="s">
        <v>3125</v>
      </c>
      <c r="D161" s="30" t="s">
        <v>3126</v>
      </c>
      <c r="E161" s="30" t="s">
        <v>112</v>
      </c>
      <c r="F161" s="49"/>
      <c r="G161" s="49">
        <v>900</v>
      </c>
      <c r="H161" s="49">
        <v>900</v>
      </c>
    </row>
    <row r="162" spans="1:8">
      <c r="A162" s="30" t="s">
        <v>3289</v>
      </c>
      <c r="B162" s="29" t="s">
        <v>657</v>
      </c>
      <c r="C162" s="30" t="s">
        <v>3143</v>
      </c>
      <c r="D162" s="30" t="s">
        <v>3126</v>
      </c>
      <c r="E162" s="30" t="s">
        <v>112</v>
      </c>
      <c r="F162" s="49"/>
      <c r="G162" s="49">
        <v>3000</v>
      </c>
      <c r="H162" s="49">
        <v>3000</v>
      </c>
    </row>
    <row r="163" spans="1:8">
      <c r="A163" s="30" t="s">
        <v>3290</v>
      </c>
      <c r="B163" s="29" t="s">
        <v>657</v>
      </c>
      <c r="C163" s="30" t="s">
        <v>3145</v>
      </c>
      <c r="D163" s="30" t="s">
        <v>3126</v>
      </c>
      <c r="E163" s="30" t="s">
        <v>98</v>
      </c>
      <c r="F163" s="49"/>
      <c r="G163" s="49">
        <v>2500</v>
      </c>
      <c r="H163" s="49">
        <v>2500</v>
      </c>
    </row>
    <row r="164" spans="1:8">
      <c r="A164" s="30" t="s">
        <v>3291</v>
      </c>
      <c r="B164" s="29" t="s">
        <v>657</v>
      </c>
      <c r="C164" s="30" t="s">
        <v>3133</v>
      </c>
      <c r="D164" s="30" t="s">
        <v>3126</v>
      </c>
      <c r="E164" s="30" t="s">
        <v>98</v>
      </c>
      <c r="F164" s="49"/>
      <c r="G164" s="49">
        <v>2000</v>
      </c>
      <c r="H164" s="49">
        <v>2000</v>
      </c>
    </row>
    <row r="165" spans="1:8">
      <c r="A165" s="30" t="s">
        <v>3292</v>
      </c>
      <c r="B165" s="29" t="s">
        <v>657</v>
      </c>
      <c r="C165" s="30" t="s">
        <v>3122</v>
      </c>
      <c r="D165" s="30" t="s">
        <v>3126</v>
      </c>
      <c r="E165" s="30" t="s">
        <v>98</v>
      </c>
      <c r="F165" s="49"/>
      <c r="G165" s="49">
        <v>2500</v>
      </c>
      <c r="H165" s="49">
        <v>2500</v>
      </c>
    </row>
    <row r="166" spans="1:8">
      <c r="A166" s="46" t="s">
        <v>3293</v>
      </c>
      <c r="B166" s="29" t="s">
        <v>666</v>
      </c>
      <c r="C166" s="30" t="s">
        <v>3122</v>
      </c>
      <c r="D166" s="30" t="s">
        <v>3126</v>
      </c>
      <c r="E166" s="30" t="s">
        <v>98</v>
      </c>
      <c r="F166" s="49"/>
      <c r="G166" s="49">
        <v>21000</v>
      </c>
      <c r="H166" s="49">
        <v>21000</v>
      </c>
    </row>
    <row r="167" spans="1:8">
      <c r="A167" s="30" t="s">
        <v>3294</v>
      </c>
      <c r="B167" s="29" t="s">
        <v>666</v>
      </c>
      <c r="C167" s="30" t="s">
        <v>3133</v>
      </c>
      <c r="D167" s="30" t="s">
        <v>3126</v>
      </c>
      <c r="E167" s="30" t="s">
        <v>112</v>
      </c>
      <c r="F167" s="49"/>
      <c r="G167" s="49">
        <v>19000</v>
      </c>
      <c r="H167" s="49">
        <v>19000</v>
      </c>
    </row>
    <row r="168" spans="1:8">
      <c r="A168" s="30" t="s">
        <v>3295</v>
      </c>
      <c r="B168" s="29" t="s">
        <v>666</v>
      </c>
      <c r="C168" s="30" t="s">
        <v>3145</v>
      </c>
      <c r="D168" s="30" t="s">
        <v>3126</v>
      </c>
      <c r="E168" s="30" t="s">
        <v>98</v>
      </c>
      <c r="F168" s="49"/>
      <c r="G168" s="49">
        <v>19000</v>
      </c>
      <c r="H168" s="49">
        <v>19000</v>
      </c>
    </row>
    <row r="169" spans="1:8">
      <c r="A169" s="30" t="s">
        <v>3296</v>
      </c>
      <c r="B169" s="29" t="s">
        <v>666</v>
      </c>
      <c r="C169" s="30" t="s">
        <v>3143</v>
      </c>
      <c r="D169" s="30" t="s">
        <v>3126</v>
      </c>
      <c r="E169" s="30" t="s">
        <v>98</v>
      </c>
      <c r="F169" s="49"/>
      <c r="G169" s="49">
        <v>1000</v>
      </c>
      <c r="H169" s="49">
        <v>1000</v>
      </c>
    </row>
    <row r="170" spans="1:8">
      <c r="A170" s="30" t="s">
        <v>3297</v>
      </c>
      <c r="B170" s="29" t="s">
        <v>666</v>
      </c>
      <c r="C170" s="30" t="s">
        <v>3125</v>
      </c>
      <c r="D170" s="30" t="s">
        <v>3126</v>
      </c>
      <c r="E170" s="30" t="s">
        <v>98</v>
      </c>
      <c r="F170" s="49"/>
      <c r="G170" s="49">
        <v>1000</v>
      </c>
      <c r="H170" s="49">
        <v>1000</v>
      </c>
    </row>
    <row r="171" spans="1:8">
      <c r="A171" s="30" t="s">
        <v>3298</v>
      </c>
      <c r="B171" s="29" t="s">
        <v>671</v>
      </c>
      <c r="C171" s="30" t="s">
        <v>3143</v>
      </c>
      <c r="D171" s="30" t="s">
        <v>3126</v>
      </c>
      <c r="E171" s="30" t="s">
        <v>98</v>
      </c>
      <c r="F171" s="49">
        <v>2</v>
      </c>
      <c r="G171" s="49">
        <v>0</v>
      </c>
      <c r="H171" s="49">
        <v>2</v>
      </c>
    </row>
    <row r="172" spans="1:8">
      <c r="A172" s="30" t="s">
        <v>3299</v>
      </c>
      <c r="B172" s="29" t="s">
        <v>675</v>
      </c>
      <c r="C172" s="30" t="s">
        <v>3143</v>
      </c>
      <c r="D172" s="30" t="s">
        <v>3126</v>
      </c>
      <c r="E172" s="30" t="s">
        <v>679</v>
      </c>
      <c r="F172" s="49"/>
      <c r="G172" s="49">
        <v>5</v>
      </c>
      <c r="H172" s="49">
        <v>5</v>
      </c>
    </row>
    <row r="173" spans="1:8">
      <c r="A173" s="30" t="s">
        <v>3300</v>
      </c>
      <c r="B173" s="29" t="s">
        <v>675</v>
      </c>
      <c r="C173" s="30" t="s">
        <v>3145</v>
      </c>
      <c r="D173" s="30" t="s">
        <v>3126</v>
      </c>
      <c r="E173" s="30" t="s">
        <v>679</v>
      </c>
      <c r="F173" s="49"/>
      <c r="G173" s="49">
        <v>8</v>
      </c>
      <c r="H173" s="49">
        <v>8</v>
      </c>
    </row>
    <row r="174" spans="1:8">
      <c r="A174" s="30" t="s">
        <v>3301</v>
      </c>
      <c r="B174" s="29" t="s">
        <v>675</v>
      </c>
      <c r="C174" s="30" t="s">
        <v>3133</v>
      </c>
      <c r="D174" s="30" t="s">
        <v>3126</v>
      </c>
      <c r="E174" s="30" t="s">
        <v>679</v>
      </c>
      <c r="F174" s="49"/>
      <c r="G174" s="49">
        <v>10</v>
      </c>
      <c r="H174" s="49">
        <v>10</v>
      </c>
    </row>
    <row r="175" spans="1:8">
      <c r="A175" s="30" t="s">
        <v>3302</v>
      </c>
      <c r="B175" s="29" t="s">
        <v>680</v>
      </c>
      <c r="C175" s="30" t="s">
        <v>3125</v>
      </c>
      <c r="D175" s="30" t="s">
        <v>3126</v>
      </c>
      <c r="E175" s="30" t="s">
        <v>112</v>
      </c>
      <c r="F175" s="49"/>
      <c r="G175" s="49">
        <v>2</v>
      </c>
      <c r="H175" s="49">
        <v>2</v>
      </c>
    </row>
    <row r="176" spans="1:8">
      <c r="A176" s="30" t="s">
        <v>3303</v>
      </c>
      <c r="B176" s="29" t="s">
        <v>680</v>
      </c>
      <c r="C176" s="30" t="s">
        <v>3143</v>
      </c>
      <c r="D176" s="30" t="s">
        <v>3126</v>
      </c>
      <c r="E176" s="30" t="s">
        <v>112</v>
      </c>
      <c r="F176" s="49">
        <v>1</v>
      </c>
      <c r="G176" s="49">
        <v>0</v>
      </c>
      <c r="H176" s="49">
        <v>1</v>
      </c>
    </row>
    <row r="177" spans="1:8">
      <c r="A177" s="30" t="s">
        <v>3304</v>
      </c>
      <c r="B177" s="29" t="s">
        <v>680</v>
      </c>
      <c r="C177" s="30" t="s">
        <v>3133</v>
      </c>
      <c r="D177" s="30" t="s">
        <v>3126</v>
      </c>
      <c r="E177" s="30" t="s">
        <v>98</v>
      </c>
      <c r="F177" s="49">
        <v>1</v>
      </c>
      <c r="G177" s="49">
        <v>0</v>
      </c>
      <c r="H177" s="49">
        <v>1</v>
      </c>
    </row>
    <row r="178" spans="1:8">
      <c r="A178" s="30" t="s">
        <v>3305</v>
      </c>
      <c r="B178" s="29" t="s">
        <v>682</v>
      </c>
      <c r="C178" s="30" t="s">
        <v>3145</v>
      </c>
      <c r="D178" s="30" t="s">
        <v>3126</v>
      </c>
      <c r="E178" s="30" t="s">
        <v>98</v>
      </c>
      <c r="F178" s="49"/>
      <c r="G178" s="49">
        <v>100</v>
      </c>
      <c r="H178" s="49">
        <v>100</v>
      </c>
    </row>
    <row r="179" spans="1:8">
      <c r="A179" s="30" t="s">
        <v>3306</v>
      </c>
      <c r="B179" s="29" t="s">
        <v>686</v>
      </c>
      <c r="C179" s="30" t="s">
        <v>3133</v>
      </c>
      <c r="D179" s="30" t="s">
        <v>3126</v>
      </c>
      <c r="E179" s="30" t="s">
        <v>98</v>
      </c>
      <c r="F179" s="49"/>
      <c r="G179" s="49">
        <v>2180</v>
      </c>
      <c r="H179" s="49">
        <v>2180</v>
      </c>
    </row>
    <row r="180" spans="1:8">
      <c r="A180" s="30" t="s">
        <v>3307</v>
      </c>
      <c r="B180" s="29" t="s">
        <v>692</v>
      </c>
      <c r="C180" s="30" t="s">
        <v>3133</v>
      </c>
      <c r="D180" s="30" t="s">
        <v>3126</v>
      </c>
      <c r="E180" s="30" t="s">
        <v>98</v>
      </c>
      <c r="F180" s="49"/>
      <c r="G180" s="49">
        <v>2180</v>
      </c>
      <c r="H180" s="49">
        <v>2180</v>
      </c>
    </row>
    <row r="181" spans="1:8">
      <c r="A181" s="30" t="s">
        <v>3308</v>
      </c>
      <c r="B181" s="29" t="s">
        <v>695</v>
      </c>
      <c r="C181" s="30" t="s">
        <v>3133</v>
      </c>
      <c r="D181" s="30" t="s">
        <v>3126</v>
      </c>
      <c r="E181" s="30" t="s">
        <v>698</v>
      </c>
      <c r="F181" s="49"/>
      <c r="G181" s="49">
        <v>150</v>
      </c>
      <c r="H181" s="49">
        <v>150</v>
      </c>
    </row>
    <row r="182" spans="1:8">
      <c r="A182" s="30" t="s">
        <v>3309</v>
      </c>
      <c r="B182" s="29" t="s">
        <v>699</v>
      </c>
      <c r="C182" s="30" t="s">
        <v>3145</v>
      </c>
      <c r="D182" s="30" t="s">
        <v>3126</v>
      </c>
      <c r="E182" s="30" t="s">
        <v>98</v>
      </c>
      <c r="F182" s="49"/>
      <c r="G182" s="49">
        <v>100</v>
      </c>
      <c r="H182" s="49">
        <v>100</v>
      </c>
    </row>
    <row r="183" spans="1:8">
      <c r="A183" s="30" t="s">
        <v>3310</v>
      </c>
      <c r="B183" s="29" t="s">
        <v>704</v>
      </c>
      <c r="C183" s="30" t="s">
        <v>3133</v>
      </c>
      <c r="D183" s="30" t="s">
        <v>3126</v>
      </c>
      <c r="E183" s="30" t="s">
        <v>98</v>
      </c>
      <c r="F183" s="49"/>
      <c r="G183" s="49">
        <v>2180</v>
      </c>
      <c r="H183" s="49">
        <v>2180</v>
      </c>
    </row>
    <row r="184" spans="1:8">
      <c r="A184" s="30" t="s">
        <v>3311</v>
      </c>
      <c r="B184" s="29" t="s">
        <v>707</v>
      </c>
      <c r="C184" s="30" t="s">
        <v>3133</v>
      </c>
      <c r="D184" s="30" t="s">
        <v>3126</v>
      </c>
      <c r="E184" s="30" t="s">
        <v>98</v>
      </c>
      <c r="F184" s="49"/>
      <c r="G184" s="49">
        <v>2180</v>
      </c>
      <c r="H184" s="49">
        <v>2180</v>
      </c>
    </row>
    <row r="185" spans="1:8">
      <c r="A185" s="30" t="s">
        <v>3312</v>
      </c>
      <c r="B185" s="29" t="s">
        <v>709</v>
      </c>
      <c r="C185" s="30" t="s">
        <v>3145</v>
      </c>
      <c r="D185" s="30" t="s">
        <v>3126</v>
      </c>
      <c r="E185" s="30" t="s">
        <v>98</v>
      </c>
      <c r="F185" s="49"/>
      <c r="G185" s="49">
        <v>30</v>
      </c>
      <c r="H185" s="49">
        <v>30</v>
      </c>
    </row>
    <row r="186" spans="1:8">
      <c r="A186" s="30" t="s">
        <v>3313</v>
      </c>
      <c r="B186" s="29" t="s">
        <v>709</v>
      </c>
      <c r="C186" s="30" t="s">
        <v>3133</v>
      </c>
      <c r="D186" s="30" t="s">
        <v>3126</v>
      </c>
      <c r="E186" s="30" t="s">
        <v>98</v>
      </c>
      <c r="F186" s="49"/>
      <c r="G186" s="49">
        <v>28</v>
      </c>
      <c r="H186" s="49">
        <v>28</v>
      </c>
    </row>
    <row r="187" spans="1:8">
      <c r="A187" s="30" t="s">
        <v>3314</v>
      </c>
      <c r="B187" s="29" t="s">
        <v>713</v>
      </c>
      <c r="C187" s="30" t="s">
        <v>3133</v>
      </c>
      <c r="D187" s="30" t="s">
        <v>3126</v>
      </c>
      <c r="E187" s="30" t="s">
        <v>98</v>
      </c>
      <c r="F187" s="49"/>
      <c r="G187" s="49">
        <v>40</v>
      </c>
      <c r="H187" s="49">
        <v>40</v>
      </c>
    </row>
    <row r="188" spans="1:8">
      <c r="A188" s="30" t="s">
        <v>3315</v>
      </c>
      <c r="B188" s="29" t="s">
        <v>719</v>
      </c>
      <c r="C188" s="30" t="s">
        <v>3145</v>
      </c>
      <c r="D188" s="30" t="s">
        <v>3126</v>
      </c>
      <c r="E188" s="30" t="s">
        <v>98</v>
      </c>
      <c r="F188" s="49"/>
      <c r="G188" s="49">
        <v>134</v>
      </c>
      <c r="H188" s="49">
        <v>134</v>
      </c>
    </row>
    <row r="189" spans="1:8">
      <c r="A189" s="30" t="s">
        <v>3316</v>
      </c>
      <c r="B189" s="29" t="s">
        <v>719</v>
      </c>
      <c r="C189" s="30" t="s">
        <v>3133</v>
      </c>
      <c r="D189" s="30" t="s">
        <v>3126</v>
      </c>
      <c r="E189" s="30" t="s">
        <v>98</v>
      </c>
      <c r="F189" s="49"/>
      <c r="G189" s="49">
        <v>134</v>
      </c>
      <c r="H189" s="49">
        <v>134</v>
      </c>
    </row>
    <row r="190" spans="1:8">
      <c r="A190" s="30" t="s">
        <v>3317</v>
      </c>
      <c r="B190" s="29" t="s">
        <v>726</v>
      </c>
      <c r="C190" s="30" t="s">
        <v>3133</v>
      </c>
      <c r="D190" s="30" t="s">
        <v>3126</v>
      </c>
      <c r="E190" s="30" t="s">
        <v>98</v>
      </c>
      <c r="F190" s="49"/>
      <c r="G190" s="49">
        <v>103</v>
      </c>
      <c r="H190" s="49">
        <v>103</v>
      </c>
    </row>
    <row r="191" spans="1:8">
      <c r="A191" s="30" t="s">
        <v>3318</v>
      </c>
      <c r="B191" s="29" t="s">
        <v>731</v>
      </c>
      <c r="C191" s="30" t="s">
        <v>3145</v>
      </c>
      <c r="D191" s="30" t="s">
        <v>3126</v>
      </c>
      <c r="E191" s="30" t="s">
        <v>98</v>
      </c>
      <c r="F191" s="49">
        <v>5</v>
      </c>
      <c r="G191" s="49">
        <v>0</v>
      </c>
      <c r="H191" s="49">
        <v>5</v>
      </c>
    </row>
    <row r="192" spans="1:8">
      <c r="A192" s="30" t="s">
        <v>3319</v>
      </c>
      <c r="B192" s="29" t="s">
        <v>731</v>
      </c>
      <c r="C192" s="30" t="s">
        <v>3133</v>
      </c>
      <c r="D192" s="30" t="s">
        <v>3126</v>
      </c>
      <c r="E192" s="30" t="s">
        <v>98</v>
      </c>
      <c r="F192" s="49">
        <v>8</v>
      </c>
      <c r="G192" s="49">
        <v>0</v>
      </c>
      <c r="H192" s="49">
        <v>8</v>
      </c>
    </row>
    <row r="193" spans="1:8">
      <c r="A193" s="30" t="s">
        <v>3320</v>
      </c>
      <c r="B193" s="29" t="s">
        <v>731</v>
      </c>
      <c r="C193" s="30" t="s">
        <v>3122</v>
      </c>
      <c r="D193" s="30" t="s">
        <v>3126</v>
      </c>
      <c r="E193" s="30" t="s">
        <v>98</v>
      </c>
      <c r="F193" s="49">
        <v>5</v>
      </c>
      <c r="G193" s="49">
        <v>0</v>
      </c>
      <c r="H193" s="49">
        <v>5</v>
      </c>
    </row>
    <row r="194" spans="1:8">
      <c r="A194" s="30" t="s">
        <v>3321</v>
      </c>
      <c r="B194" s="29" t="s">
        <v>736</v>
      </c>
      <c r="C194" s="30" t="s">
        <v>3133</v>
      </c>
      <c r="D194" s="30" t="s">
        <v>3126</v>
      </c>
      <c r="E194" s="30" t="s">
        <v>98</v>
      </c>
      <c r="F194" s="49"/>
      <c r="G194" s="49">
        <v>20</v>
      </c>
      <c r="H194" s="49">
        <v>20</v>
      </c>
    </row>
    <row r="195" spans="1:8">
      <c r="A195" s="30" t="s">
        <v>3322</v>
      </c>
      <c r="B195" s="29" t="s">
        <v>736</v>
      </c>
      <c r="C195" s="30" t="s">
        <v>3122</v>
      </c>
      <c r="D195" s="30" t="s">
        <v>3126</v>
      </c>
      <c r="E195" s="30" t="s">
        <v>98</v>
      </c>
      <c r="F195" s="49"/>
      <c r="G195" s="49">
        <v>40</v>
      </c>
      <c r="H195" s="49">
        <v>40</v>
      </c>
    </row>
    <row r="196" spans="1:8">
      <c r="A196" s="30" t="s">
        <v>3323</v>
      </c>
      <c r="B196" s="29" t="s">
        <v>742</v>
      </c>
      <c r="C196" s="30" t="s">
        <v>3133</v>
      </c>
      <c r="D196" s="30" t="s">
        <v>3126</v>
      </c>
      <c r="E196" s="30" t="s">
        <v>679</v>
      </c>
      <c r="F196" s="49"/>
      <c r="G196" s="49">
        <v>24</v>
      </c>
      <c r="H196" s="49">
        <v>24</v>
      </c>
    </row>
    <row r="197" spans="1:8">
      <c r="A197" s="30" t="s">
        <v>3324</v>
      </c>
      <c r="B197" s="29" t="s">
        <v>746</v>
      </c>
      <c r="C197" s="30" t="s">
        <v>3133</v>
      </c>
      <c r="D197" s="30" t="s">
        <v>3126</v>
      </c>
      <c r="E197" s="30" t="s">
        <v>679</v>
      </c>
      <c r="F197" s="49"/>
      <c r="G197" s="49">
        <v>8</v>
      </c>
      <c r="H197" s="49">
        <v>8</v>
      </c>
    </row>
    <row r="198" spans="1:8">
      <c r="A198" s="30" t="s">
        <v>3325</v>
      </c>
      <c r="B198" s="29" t="s">
        <v>751</v>
      </c>
      <c r="C198" s="30" t="s">
        <v>3145</v>
      </c>
      <c r="D198" s="30" t="s">
        <v>3126</v>
      </c>
      <c r="E198" s="30" t="s">
        <v>98</v>
      </c>
      <c r="F198" s="49"/>
      <c r="G198" s="49">
        <v>10</v>
      </c>
      <c r="H198" s="49">
        <v>10</v>
      </c>
    </row>
    <row r="199" spans="1:8">
      <c r="A199" s="30" t="s">
        <v>3326</v>
      </c>
      <c r="B199" s="29" t="s">
        <v>751</v>
      </c>
      <c r="C199" s="30" t="s">
        <v>3133</v>
      </c>
      <c r="D199" s="30" t="s">
        <v>3126</v>
      </c>
      <c r="E199" s="30" t="s">
        <v>98</v>
      </c>
      <c r="F199" s="49"/>
      <c r="G199" s="49">
        <v>10</v>
      </c>
      <c r="H199" s="49">
        <v>10</v>
      </c>
    </row>
    <row r="200" spans="1:8">
      <c r="A200" s="30" t="s">
        <v>3327</v>
      </c>
      <c r="B200" s="29" t="s">
        <v>751</v>
      </c>
      <c r="C200" s="30" t="s">
        <v>3122</v>
      </c>
      <c r="D200" s="30" t="s">
        <v>3126</v>
      </c>
      <c r="E200" s="30" t="s">
        <v>98</v>
      </c>
      <c r="F200" s="49"/>
      <c r="G200" s="49">
        <v>14</v>
      </c>
      <c r="H200" s="49">
        <v>14</v>
      </c>
    </row>
    <row r="201" spans="1:8">
      <c r="A201" s="30" t="s">
        <v>3328</v>
      </c>
      <c r="B201" s="29" t="s">
        <v>759</v>
      </c>
      <c r="C201" s="30" t="s">
        <v>3133</v>
      </c>
      <c r="D201" s="30" t="s">
        <v>3126</v>
      </c>
      <c r="E201" s="30" t="s">
        <v>679</v>
      </c>
      <c r="F201" s="49"/>
      <c r="G201" s="49">
        <v>7</v>
      </c>
      <c r="H201" s="49">
        <v>7</v>
      </c>
    </row>
    <row r="202" spans="1:8">
      <c r="A202" s="30" t="s">
        <v>3329</v>
      </c>
      <c r="B202" s="29" t="s">
        <v>763</v>
      </c>
      <c r="C202" s="30" t="s">
        <v>3125</v>
      </c>
      <c r="D202" s="30" t="s">
        <v>3126</v>
      </c>
      <c r="E202" s="30" t="s">
        <v>98</v>
      </c>
      <c r="F202" s="49"/>
      <c r="G202" s="49">
        <v>15</v>
      </c>
      <c r="H202" s="49">
        <v>15</v>
      </c>
    </row>
    <row r="203" spans="1:8">
      <c r="A203" s="30" t="s">
        <v>3330</v>
      </c>
      <c r="B203" s="29" t="s">
        <v>763</v>
      </c>
      <c r="C203" s="30" t="s">
        <v>3133</v>
      </c>
      <c r="D203" s="30" t="s">
        <v>3126</v>
      </c>
      <c r="E203" s="30" t="s">
        <v>98</v>
      </c>
      <c r="F203" s="49"/>
      <c r="G203" s="49">
        <v>25</v>
      </c>
      <c r="H203" s="49">
        <v>25</v>
      </c>
    </row>
    <row r="204" spans="1:8">
      <c r="A204" s="30" t="s">
        <v>3331</v>
      </c>
      <c r="B204" s="29" t="s">
        <v>763</v>
      </c>
      <c r="C204" s="30" t="s">
        <v>3122</v>
      </c>
      <c r="D204" s="30" t="s">
        <v>3126</v>
      </c>
      <c r="E204" s="30" t="s">
        <v>98</v>
      </c>
      <c r="F204" s="49"/>
      <c r="G204" s="49">
        <v>30</v>
      </c>
      <c r="H204" s="49">
        <v>30</v>
      </c>
    </row>
    <row r="205" spans="1:8">
      <c r="A205" s="30" t="s">
        <v>3332</v>
      </c>
      <c r="B205" s="29" t="s">
        <v>768</v>
      </c>
      <c r="C205" s="30" t="s">
        <v>3125</v>
      </c>
      <c r="D205" s="30" t="s">
        <v>3126</v>
      </c>
      <c r="E205" s="30" t="s">
        <v>98</v>
      </c>
      <c r="F205" s="49">
        <v>15</v>
      </c>
      <c r="G205" s="49">
        <v>0</v>
      </c>
      <c r="H205" s="49">
        <v>15</v>
      </c>
    </row>
    <row r="206" spans="1:8">
      <c r="A206" s="30" t="s">
        <v>3333</v>
      </c>
      <c r="B206" s="29" t="s">
        <v>768</v>
      </c>
      <c r="C206" s="30" t="s">
        <v>3145</v>
      </c>
      <c r="D206" s="30" t="s">
        <v>3126</v>
      </c>
      <c r="E206" s="30" t="s">
        <v>98</v>
      </c>
      <c r="F206" s="49">
        <v>5</v>
      </c>
      <c r="G206" s="49">
        <v>0</v>
      </c>
      <c r="H206" s="49">
        <v>5</v>
      </c>
    </row>
    <row r="207" spans="1:8">
      <c r="A207" s="30" t="s">
        <v>3334</v>
      </c>
      <c r="B207" s="29" t="s">
        <v>768</v>
      </c>
      <c r="C207" s="30" t="s">
        <v>3133</v>
      </c>
      <c r="D207" s="30" t="s">
        <v>3126</v>
      </c>
      <c r="E207" s="30" t="s">
        <v>98</v>
      </c>
      <c r="F207" s="49">
        <v>10</v>
      </c>
      <c r="G207" s="49">
        <v>0</v>
      </c>
      <c r="H207" s="49">
        <v>10</v>
      </c>
    </row>
    <row r="208" spans="1:8">
      <c r="A208" s="30" t="s">
        <v>3335</v>
      </c>
      <c r="B208" s="29" t="s">
        <v>773</v>
      </c>
      <c r="C208" s="30" t="s">
        <v>3145</v>
      </c>
      <c r="D208" s="30" t="s">
        <v>3126</v>
      </c>
      <c r="E208" s="30" t="s">
        <v>98</v>
      </c>
      <c r="F208" s="49"/>
      <c r="G208" s="49">
        <v>23</v>
      </c>
      <c r="H208" s="49">
        <v>23</v>
      </c>
    </row>
    <row r="209" spans="1:8">
      <c r="A209" s="30" t="s">
        <v>3336</v>
      </c>
      <c r="B209" s="29" t="s">
        <v>779</v>
      </c>
      <c r="C209" s="30" t="s">
        <v>3125</v>
      </c>
      <c r="D209" s="30" t="s">
        <v>3126</v>
      </c>
      <c r="E209" s="30" t="s">
        <v>679</v>
      </c>
      <c r="F209" s="49"/>
      <c r="G209" s="49">
        <v>20</v>
      </c>
      <c r="H209" s="49">
        <v>20</v>
      </c>
    </row>
    <row r="210" spans="1:8">
      <c r="A210" s="30" t="s">
        <v>3337</v>
      </c>
      <c r="B210" s="29" t="s">
        <v>779</v>
      </c>
      <c r="C210" s="30" t="s">
        <v>3143</v>
      </c>
      <c r="D210" s="30" t="s">
        <v>3126</v>
      </c>
      <c r="E210" s="30" t="s">
        <v>679</v>
      </c>
      <c r="F210" s="49"/>
      <c r="G210" s="49">
        <v>22</v>
      </c>
      <c r="H210" s="49">
        <v>22</v>
      </c>
    </row>
    <row r="211" spans="1:8">
      <c r="A211" s="30" t="s">
        <v>3338</v>
      </c>
      <c r="B211" s="29" t="s">
        <v>779</v>
      </c>
      <c r="C211" s="30" t="s">
        <v>3145</v>
      </c>
      <c r="D211" s="30" t="s">
        <v>3126</v>
      </c>
      <c r="E211" s="30" t="s">
        <v>679</v>
      </c>
      <c r="F211" s="49"/>
      <c r="G211" s="49">
        <v>50</v>
      </c>
      <c r="H211" s="49">
        <v>50</v>
      </c>
    </row>
    <row r="212" spans="1:8">
      <c r="A212" s="30" t="s">
        <v>3339</v>
      </c>
      <c r="B212" s="29" t="s">
        <v>779</v>
      </c>
      <c r="C212" s="30" t="s">
        <v>3133</v>
      </c>
      <c r="D212" s="30" t="s">
        <v>3126</v>
      </c>
      <c r="E212" s="30" t="s">
        <v>679</v>
      </c>
      <c r="F212" s="49"/>
      <c r="G212" s="49">
        <v>50</v>
      </c>
      <c r="H212" s="49">
        <v>50</v>
      </c>
    </row>
    <row r="213" spans="1:8">
      <c r="A213" s="30" t="s">
        <v>3340</v>
      </c>
      <c r="B213" s="29" t="s">
        <v>784</v>
      </c>
      <c r="C213" s="30" t="s">
        <v>3125</v>
      </c>
      <c r="D213" s="30" t="s">
        <v>3126</v>
      </c>
      <c r="E213" s="30" t="s">
        <v>824</v>
      </c>
      <c r="F213" s="49">
        <v>13</v>
      </c>
      <c r="G213" s="49">
        <v>0</v>
      </c>
      <c r="H213" s="49">
        <v>13</v>
      </c>
    </row>
    <row r="214" spans="1:8">
      <c r="A214" s="46" t="s">
        <v>3341</v>
      </c>
      <c r="B214" s="29" t="s">
        <v>787</v>
      </c>
      <c r="C214" s="30" t="s">
        <v>3125</v>
      </c>
      <c r="D214" s="30" t="s">
        <v>3126</v>
      </c>
      <c r="E214" s="30" t="s">
        <v>824</v>
      </c>
      <c r="F214" s="49">
        <v>37</v>
      </c>
      <c r="G214" s="49">
        <v>0</v>
      </c>
      <c r="H214" s="49">
        <v>37</v>
      </c>
    </row>
    <row r="215" spans="1:8">
      <c r="A215" s="30" t="s">
        <v>3342</v>
      </c>
      <c r="B215" s="29" t="s">
        <v>790</v>
      </c>
      <c r="C215" s="30" t="s">
        <v>3125</v>
      </c>
      <c r="D215" s="30" t="s">
        <v>3126</v>
      </c>
      <c r="E215" s="30" t="s">
        <v>824</v>
      </c>
      <c r="F215" s="49">
        <v>80</v>
      </c>
      <c r="G215" s="49">
        <v>0</v>
      </c>
      <c r="H215" s="49">
        <v>80</v>
      </c>
    </row>
    <row r="216" spans="1:8">
      <c r="A216" s="30" t="s">
        <v>3343</v>
      </c>
      <c r="B216" s="29" t="s">
        <v>794</v>
      </c>
      <c r="C216" s="30" t="s">
        <v>3125</v>
      </c>
      <c r="D216" s="30" t="s">
        <v>3126</v>
      </c>
      <c r="E216" s="30" t="s">
        <v>824</v>
      </c>
      <c r="F216" s="49">
        <v>25</v>
      </c>
      <c r="G216" s="49">
        <v>0</v>
      </c>
      <c r="H216" s="49">
        <v>25</v>
      </c>
    </row>
    <row r="217" spans="1:8">
      <c r="A217" s="30" t="s">
        <v>3344</v>
      </c>
      <c r="B217" s="29" t="s">
        <v>797</v>
      </c>
      <c r="C217" s="30" t="s">
        <v>3125</v>
      </c>
      <c r="D217" s="30" t="s">
        <v>3126</v>
      </c>
      <c r="E217" s="30" t="s">
        <v>824</v>
      </c>
      <c r="F217" s="49">
        <v>31</v>
      </c>
      <c r="G217" s="49">
        <v>0</v>
      </c>
      <c r="H217" s="49">
        <v>31</v>
      </c>
    </row>
    <row r="218" spans="1:8">
      <c r="A218" s="30" t="s">
        <v>3345</v>
      </c>
      <c r="B218" s="29" t="s">
        <v>800</v>
      </c>
      <c r="C218" s="30" t="s">
        <v>3125</v>
      </c>
      <c r="D218" s="30" t="s">
        <v>3126</v>
      </c>
      <c r="E218" s="30" t="s">
        <v>824</v>
      </c>
      <c r="F218" s="49">
        <v>29</v>
      </c>
      <c r="G218" s="49">
        <v>0</v>
      </c>
      <c r="H218" s="49">
        <v>29</v>
      </c>
    </row>
    <row r="219" spans="1:8">
      <c r="A219" s="30" t="s">
        <v>3346</v>
      </c>
      <c r="B219" s="29" t="s">
        <v>802</v>
      </c>
      <c r="C219" s="30" t="s">
        <v>3145</v>
      </c>
      <c r="D219" s="30" t="s">
        <v>3126</v>
      </c>
      <c r="E219" s="30" t="s">
        <v>98</v>
      </c>
      <c r="F219" s="49"/>
      <c r="G219" s="49">
        <v>5</v>
      </c>
      <c r="H219" s="49">
        <v>5</v>
      </c>
    </row>
    <row r="220" spans="1:8">
      <c r="A220" s="30" t="s">
        <v>3347</v>
      </c>
      <c r="B220" s="29" t="s">
        <v>802</v>
      </c>
      <c r="C220" s="30" t="s">
        <v>3133</v>
      </c>
      <c r="D220" s="30" t="s">
        <v>3126</v>
      </c>
      <c r="E220" s="30" t="s">
        <v>98</v>
      </c>
      <c r="F220" s="49"/>
      <c r="G220" s="49">
        <v>5</v>
      </c>
      <c r="H220" s="49">
        <v>5</v>
      </c>
    </row>
    <row r="221" spans="1:8">
      <c r="A221" s="30" t="s">
        <v>3348</v>
      </c>
      <c r="B221" s="29" t="s">
        <v>802</v>
      </c>
      <c r="C221" s="30" t="s">
        <v>3122</v>
      </c>
      <c r="D221" s="30" t="s">
        <v>3126</v>
      </c>
      <c r="E221" s="30" t="s">
        <v>98</v>
      </c>
      <c r="F221" s="49"/>
      <c r="G221" s="49">
        <v>5</v>
      </c>
      <c r="H221" s="49">
        <v>5</v>
      </c>
    </row>
    <row r="222" spans="1:8">
      <c r="A222" s="30" t="s">
        <v>3349</v>
      </c>
      <c r="B222" s="29" t="s">
        <v>806</v>
      </c>
      <c r="C222" s="30" t="s">
        <v>3145</v>
      </c>
      <c r="D222" s="30" t="s">
        <v>3126</v>
      </c>
      <c r="E222" s="30" t="s">
        <v>98</v>
      </c>
      <c r="F222" s="49"/>
      <c r="G222" s="49">
        <v>9</v>
      </c>
      <c r="H222" s="49">
        <v>9</v>
      </c>
    </row>
    <row r="223" spans="1:8">
      <c r="A223" s="30" t="s">
        <v>3350</v>
      </c>
      <c r="B223" s="29" t="s">
        <v>806</v>
      </c>
      <c r="C223" s="30" t="s">
        <v>3133</v>
      </c>
      <c r="D223" s="30" t="s">
        <v>3126</v>
      </c>
      <c r="E223" s="30" t="s">
        <v>98</v>
      </c>
      <c r="F223" s="49"/>
      <c r="G223" s="49">
        <v>5</v>
      </c>
      <c r="H223" s="49">
        <v>5</v>
      </c>
    </row>
    <row r="224" spans="1:8">
      <c r="A224" s="30" t="s">
        <v>3351</v>
      </c>
      <c r="B224" s="29" t="s">
        <v>806</v>
      </c>
      <c r="C224" s="30" t="s">
        <v>3122</v>
      </c>
      <c r="D224" s="30" t="s">
        <v>3126</v>
      </c>
      <c r="E224" s="30" t="s">
        <v>98</v>
      </c>
      <c r="F224" s="49"/>
      <c r="G224" s="49">
        <v>15</v>
      </c>
      <c r="H224" s="49">
        <v>15</v>
      </c>
    </row>
    <row r="225" spans="1:8">
      <c r="A225" s="30" t="s">
        <v>3352</v>
      </c>
      <c r="B225" s="29" t="s">
        <v>809</v>
      </c>
      <c r="C225" s="30" t="s">
        <v>3125</v>
      </c>
      <c r="D225" s="30" t="s">
        <v>3126</v>
      </c>
      <c r="E225" s="30" t="s">
        <v>98</v>
      </c>
      <c r="F225" s="49">
        <v>18</v>
      </c>
      <c r="G225" s="49">
        <v>0</v>
      </c>
      <c r="H225" s="49">
        <v>18</v>
      </c>
    </row>
    <row r="226" spans="1:8">
      <c r="A226" s="30" t="s">
        <v>3353</v>
      </c>
      <c r="B226" s="29" t="s">
        <v>809</v>
      </c>
      <c r="C226" s="30" t="s">
        <v>3143</v>
      </c>
      <c r="D226" s="30" t="s">
        <v>3126</v>
      </c>
      <c r="E226" s="30" t="s">
        <v>98</v>
      </c>
      <c r="F226" s="49">
        <v>5</v>
      </c>
      <c r="G226" s="49">
        <v>0</v>
      </c>
      <c r="H226" s="49">
        <v>5</v>
      </c>
    </row>
    <row r="227" spans="1:8">
      <c r="A227" s="30" t="s">
        <v>3354</v>
      </c>
      <c r="B227" s="29" t="s">
        <v>813</v>
      </c>
      <c r="C227" s="30" t="s">
        <v>3125</v>
      </c>
      <c r="D227" s="30" t="s">
        <v>3126</v>
      </c>
      <c r="E227" s="30" t="s">
        <v>98</v>
      </c>
      <c r="F227" s="49">
        <v>3</v>
      </c>
      <c r="G227" s="49">
        <v>0</v>
      </c>
      <c r="H227" s="49">
        <v>3</v>
      </c>
    </row>
    <row r="228" spans="1:8">
      <c r="A228" s="30" t="s">
        <v>3355</v>
      </c>
      <c r="B228" s="29" t="s">
        <v>813</v>
      </c>
      <c r="C228" s="30" t="s">
        <v>3143</v>
      </c>
      <c r="D228" s="30" t="s">
        <v>3126</v>
      </c>
      <c r="E228" s="30" t="s">
        <v>98</v>
      </c>
      <c r="F228" s="49">
        <v>3</v>
      </c>
      <c r="G228" s="49">
        <v>0</v>
      </c>
      <c r="H228" s="49">
        <v>3</v>
      </c>
    </row>
    <row r="229" spans="1:8">
      <c r="A229" s="30" t="s">
        <v>3356</v>
      </c>
      <c r="B229" s="29" t="s">
        <v>817</v>
      </c>
      <c r="C229" s="30" t="s">
        <v>3125</v>
      </c>
      <c r="D229" s="30" t="s">
        <v>3126</v>
      </c>
      <c r="E229" s="30" t="s">
        <v>98</v>
      </c>
      <c r="F229" s="49">
        <v>3</v>
      </c>
      <c r="G229" s="49">
        <v>0</v>
      </c>
      <c r="H229" s="49">
        <v>3</v>
      </c>
    </row>
    <row r="230" spans="1:8">
      <c r="A230" s="30" t="s">
        <v>3357</v>
      </c>
      <c r="B230" s="29" t="s">
        <v>821</v>
      </c>
      <c r="C230" s="30" t="s">
        <v>3145</v>
      </c>
      <c r="D230" s="30" t="s">
        <v>3126</v>
      </c>
      <c r="E230" s="30" t="s">
        <v>824</v>
      </c>
      <c r="F230" s="49"/>
      <c r="G230" s="49">
        <v>145</v>
      </c>
      <c r="H230" s="49">
        <v>145</v>
      </c>
    </row>
    <row r="231" spans="1:8">
      <c r="A231" s="30" t="s">
        <v>3358</v>
      </c>
      <c r="B231" s="29" t="s">
        <v>821</v>
      </c>
      <c r="C231" s="30" t="s">
        <v>3133</v>
      </c>
      <c r="D231" s="30" t="s">
        <v>3126</v>
      </c>
      <c r="E231" s="30" t="s">
        <v>98</v>
      </c>
      <c r="F231" s="49"/>
      <c r="G231" s="49">
        <v>10</v>
      </c>
      <c r="H231" s="49">
        <v>10</v>
      </c>
    </row>
    <row r="232" spans="1:8">
      <c r="A232" s="30" t="s">
        <v>3359</v>
      </c>
      <c r="B232" s="29" t="s">
        <v>825</v>
      </c>
      <c r="C232" s="30" t="s">
        <v>3145</v>
      </c>
      <c r="D232" s="30" t="s">
        <v>3126</v>
      </c>
      <c r="E232" s="30" t="s">
        <v>98</v>
      </c>
      <c r="F232" s="49"/>
      <c r="G232" s="49">
        <v>80</v>
      </c>
      <c r="H232" s="49">
        <v>80</v>
      </c>
    </row>
    <row r="233" spans="1:8">
      <c r="A233" s="30" t="s">
        <v>3360</v>
      </c>
      <c r="B233" s="29" t="s">
        <v>825</v>
      </c>
      <c r="C233" s="30" t="s">
        <v>3133</v>
      </c>
      <c r="D233" s="30" t="s">
        <v>3126</v>
      </c>
      <c r="E233" s="30" t="s">
        <v>98</v>
      </c>
      <c r="F233" s="49"/>
      <c r="G233" s="49">
        <v>9</v>
      </c>
      <c r="H233" s="49">
        <v>9</v>
      </c>
    </row>
    <row r="234" spans="1:8">
      <c r="A234" s="30" t="s">
        <v>3361</v>
      </c>
      <c r="B234" s="29" t="s">
        <v>827</v>
      </c>
      <c r="C234" s="30" t="s">
        <v>3145</v>
      </c>
      <c r="D234" s="30" t="s">
        <v>3126</v>
      </c>
      <c r="E234" s="30" t="s">
        <v>98</v>
      </c>
      <c r="F234" s="49"/>
      <c r="G234" s="49">
        <v>80</v>
      </c>
      <c r="H234" s="49">
        <v>80</v>
      </c>
    </row>
    <row r="235" spans="1:8">
      <c r="A235" s="30" t="s">
        <v>3362</v>
      </c>
      <c r="B235" s="29" t="s">
        <v>827</v>
      </c>
      <c r="C235" s="30" t="s">
        <v>3133</v>
      </c>
      <c r="D235" s="30" t="s">
        <v>3126</v>
      </c>
      <c r="E235" s="30" t="s">
        <v>98</v>
      </c>
      <c r="F235" s="49"/>
      <c r="G235" s="49">
        <v>2</v>
      </c>
      <c r="H235" s="49">
        <v>2</v>
      </c>
    </row>
    <row r="236" spans="1:8">
      <c r="A236" s="30" t="s">
        <v>3363</v>
      </c>
      <c r="B236" s="29" t="s">
        <v>829</v>
      </c>
      <c r="C236" s="30" t="s">
        <v>3145</v>
      </c>
      <c r="D236" s="30" t="s">
        <v>3126</v>
      </c>
      <c r="E236" s="30" t="s">
        <v>98</v>
      </c>
      <c r="F236" s="49"/>
      <c r="G236" s="49">
        <v>101</v>
      </c>
      <c r="H236" s="49">
        <v>101</v>
      </c>
    </row>
    <row r="237" spans="1:8">
      <c r="A237" s="30" t="s">
        <v>3364</v>
      </c>
      <c r="B237" s="29" t="s">
        <v>831</v>
      </c>
      <c r="C237" s="30" t="s">
        <v>3133</v>
      </c>
      <c r="D237" s="30" t="s">
        <v>3126</v>
      </c>
      <c r="E237" s="30" t="s">
        <v>98</v>
      </c>
      <c r="F237" s="49">
        <v>4</v>
      </c>
      <c r="G237" s="49">
        <v>0</v>
      </c>
      <c r="H237" s="49">
        <v>4</v>
      </c>
    </row>
    <row r="238" spans="1:8">
      <c r="A238" s="30" t="s">
        <v>3365</v>
      </c>
      <c r="B238" s="29" t="s">
        <v>835</v>
      </c>
      <c r="C238" s="30" t="s">
        <v>3133</v>
      </c>
      <c r="D238" s="30" t="s">
        <v>3126</v>
      </c>
      <c r="E238" s="30" t="s">
        <v>98</v>
      </c>
      <c r="F238" s="49"/>
      <c r="G238" s="49">
        <v>23</v>
      </c>
      <c r="H238" s="49">
        <v>23</v>
      </c>
    </row>
    <row r="239" spans="1:8">
      <c r="A239" s="30" t="s">
        <v>3366</v>
      </c>
      <c r="B239" s="29" t="s">
        <v>835</v>
      </c>
      <c r="C239" s="30" t="s">
        <v>3122</v>
      </c>
      <c r="D239" s="30" t="s">
        <v>3126</v>
      </c>
      <c r="E239" s="30" t="s">
        <v>98</v>
      </c>
      <c r="F239" s="49"/>
      <c r="G239" s="49">
        <v>4</v>
      </c>
      <c r="H239" s="49">
        <v>4</v>
      </c>
    </row>
    <row r="240" spans="1:8">
      <c r="A240" s="30" t="s">
        <v>3367</v>
      </c>
      <c r="B240" s="29" t="s">
        <v>840</v>
      </c>
      <c r="C240" s="30" t="s">
        <v>3125</v>
      </c>
      <c r="D240" s="30" t="s">
        <v>3126</v>
      </c>
      <c r="E240" s="30" t="s">
        <v>98</v>
      </c>
      <c r="F240" s="49"/>
      <c r="G240" s="49">
        <v>29</v>
      </c>
      <c r="H240" s="49">
        <v>29</v>
      </c>
    </row>
    <row r="241" spans="1:8">
      <c r="A241" s="30" t="s">
        <v>3368</v>
      </c>
      <c r="B241" s="29" t="s">
        <v>840</v>
      </c>
      <c r="C241" s="30" t="s">
        <v>3145</v>
      </c>
      <c r="D241" s="30" t="s">
        <v>3126</v>
      </c>
      <c r="E241" s="30" t="s">
        <v>98</v>
      </c>
      <c r="F241" s="49"/>
      <c r="G241" s="49">
        <v>3</v>
      </c>
      <c r="H241" s="49">
        <v>3</v>
      </c>
    </row>
    <row r="242" spans="1:8">
      <c r="A242" s="30" t="s">
        <v>3369</v>
      </c>
      <c r="B242" s="29" t="s">
        <v>840</v>
      </c>
      <c r="C242" s="30" t="s">
        <v>3133</v>
      </c>
      <c r="D242" s="30" t="s">
        <v>3126</v>
      </c>
      <c r="E242" s="30" t="s">
        <v>98</v>
      </c>
      <c r="F242" s="49"/>
      <c r="G242" s="49">
        <v>2</v>
      </c>
      <c r="H242" s="49">
        <v>2</v>
      </c>
    </row>
    <row r="243" spans="1:8">
      <c r="A243" s="30" t="s">
        <v>3370</v>
      </c>
      <c r="B243" s="29" t="s">
        <v>844</v>
      </c>
      <c r="C243" s="30" t="s">
        <v>3125</v>
      </c>
      <c r="D243" s="30" t="s">
        <v>3126</v>
      </c>
      <c r="E243" s="30" t="s">
        <v>98</v>
      </c>
      <c r="F243" s="49"/>
      <c r="G243" s="49">
        <v>3</v>
      </c>
      <c r="H243" s="49">
        <v>3</v>
      </c>
    </row>
    <row r="244" spans="1:8">
      <c r="A244" s="30" t="s">
        <v>3371</v>
      </c>
      <c r="B244" s="29" t="s">
        <v>844</v>
      </c>
      <c r="C244" s="30" t="s">
        <v>3143</v>
      </c>
      <c r="D244" s="30" t="s">
        <v>3126</v>
      </c>
      <c r="E244" s="30" t="s">
        <v>98</v>
      </c>
      <c r="F244" s="49"/>
      <c r="G244" s="49">
        <v>5</v>
      </c>
      <c r="H244" s="49">
        <v>5</v>
      </c>
    </row>
    <row r="245" spans="1:8">
      <c r="A245" s="30" t="s">
        <v>3372</v>
      </c>
      <c r="B245" s="29" t="s">
        <v>844</v>
      </c>
      <c r="C245" s="30" t="s">
        <v>3145</v>
      </c>
      <c r="D245" s="30" t="s">
        <v>3126</v>
      </c>
      <c r="E245" s="30" t="s">
        <v>98</v>
      </c>
      <c r="F245" s="49"/>
      <c r="G245" s="49">
        <v>4</v>
      </c>
      <c r="H245" s="49">
        <v>4</v>
      </c>
    </row>
    <row r="246" spans="1:8">
      <c r="A246" s="30" t="s">
        <v>3373</v>
      </c>
      <c r="B246" s="29" t="s">
        <v>844</v>
      </c>
      <c r="C246" s="30" t="s">
        <v>3133</v>
      </c>
      <c r="D246" s="30" t="s">
        <v>3126</v>
      </c>
      <c r="E246" s="30" t="s">
        <v>98</v>
      </c>
      <c r="F246" s="49"/>
      <c r="G246" s="49">
        <v>12</v>
      </c>
      <c r="H246" s="49">
        <v>12</v>
      </c>
    </row>
    <row r="247" spans="1:8">
      <c r="A247" s="30" t="s">
        <v>3374</v>
      </c>
      <c r="B247" s="29" t="s">
        <v>844</v>
      </c>
      <c r="C247" s="30" t="s">
        <v>3122</v>
      </c>
      <c r="D247" s="30" t="s">
        <v>3126</v>
      </c>
      <c r="E247" s="30" t="s">
        <v>98</v>
      </c>
      <c r="F247" s="49"/>
      <c r="G247" s="49">
        <v>1</v>
      </c>
      <c r="H247" s="49">
        <v>1</v>
      </c>
    </row>
    <row r="248" spans="1:8">
      <c r="A248" s="30" t="s">
        <v>3375</v>
      </c>
      <c r="B248" s="29" t="s">
        <v>847</v>
      </c>
      <c r="C248" s="30" t="s">
        <v>3125</v>
      </c>
      <c r="D248" s="30" t="s">
        <v>3126</v>
      </c>
      <c r="E248" s="30" t="s">
        <v>98</v>
      </c>
      <c r="F248" s="49">
        <v>14</v>
      </c>
      <c r="G248" s="49">
        <v>0</v>
      </c>
      <c r="H248" s="49">
        <v>14</v>
      </c>
    </row>
    <row r="249" spans="1:8">
      <c r="A249" s="30" t="s">
        <v>3376</v>
      </c>
      <c r="B249" s="29" t="s">
        <v>847</v>
      </c>
      <c r="C249" s="30" t="s">
        <v>3143</v>
      </c>
      <c r="D249" s="30" t="s">
        <v>3126</v>
      </c>
      <c r="E249" s="30" t="s">
        <v>98</v>
      </c>
      <c r="F249" s="49">
        <v>4</v>
      </c>
      <c r="G249" s="49">
        <v>0</v>
      </c>
      <c r="H249" s="49">
        <v>4</v>
      </c>
    </row>
    <row r="250" spans="1:8">
      <c r="A250" s="30" t="s">
        <v>3377</v>
      </c>
      <c r="B250" s="29" t="s">
        <v>847</v>
      </c>
      <c r="C250" s="30" t="s">
        <v>3145</v>
      </c>
      <c r="D250" s="30" t="s">
        <v>3126</v>
      </c>
      <c r="E250" s="30" t="s">
        <v>98</v>
      </c>
      <c r="F250" s="49">
        <v>5</v>
      </c>
      <c r="G250" s="49">
        <v>0</v>
      </c>
      <c r="H250" s="49">
        <v>5</v>
      </c>
    </row>
    <row r="251" spans="1:8">
      <c r="A251" s="30" t="s">
        <v>3378</v>
      </c>
      <c r="B251" s="29" t="s">
        <v>847</v>
      </c>
      <c r="C251" s="30" t="s">
        <v>3133</v>
      </c>
      <c r="D251" s="30" t="s">
        <v>3126</v>
      </c>
      <c r="E251" s="30" t="s">
        <v>98</v>
      </c>
      <c r="F251" s="49">
        <v>6</v>
      </c>
      <c r="G251" s="49">
        <v>0</v>
      </c>
      <c r="H251" s="49">
        <v>6</v>
      </c>
    </row>
    <row r="252" spans="1:8">
      <c r="A252" s="30" t="s">
        <v>3379</v>
      </c>
      <c r="B252" s="29" t="s">
        <v>850</v>
      </c>
      <c r="C252" s="30" t="s">
        <v>3125</v>
      </c>
      <c r="D252" s="30" t="s">
        <v>3126</v>
      </c>
      <c r="E252" s="30" t="s">
        <v>98</v>
      </c>
      <c r="F252" s="49">
        <v>8</v>
      </c>
      <c r="G252" s="49">
        <v>0</v>
      </c>
      <c r="H252" s="49">
        <v>8</v>
      </c>
    </row>
    <row r="253" spans="1:8">
      <c r="A253" s="30" t="s">
        <v>3380</v>
      </c>
      <c r="B253" s="29" t="s">
        <v>850</v>
      </c>
      <c r="C253" s="30" t="s">
        <v>3143</v>
      </c>
      <c r="D253" s="30" t="s">
        <v>3126</v>
      </c>
      <c r="E253" s="30" t="s">
        <v>98</v>
      </c>
      <c r="F253" s="49">
        <v>6</v>
      </c>
      <c r="G253" s="49">
        <v>0</v>
      </c>
      <c r="H253" s="49">
        <v>6</v>
      </c>
    </row>
    <row r="254" spans="1:8">
      <c r="A254" s="30" t="s">
        <v>3381</v>
      </c>
      <c r="B254" s="29" t="s">
        <v>850</v>
      </c>
      <c r="C254" s="30" t="s">
        <v>3133</v>
      </c>
      <c r="D254" s="30" t="s">
        <v>3126</v>
      </c>
      <c r="E254" s="30" t="s">
        <v>98</v>
      </c>
      <c r="F254" s="49">
        <v>4</v>
      </c>
      <c r="G254" s="49">
        <v>0</v>
      </c>
      <c r="H254" s="49">
        <v>4</v>
      </c>
    </row>
    <row r="255" spans="1:8">
      <c r="A255" s="30" t="s">
        <v>3382</v>
      </c>
      <c r="B255" s="29" t="s">
        <v>852</v>
      </c>
      <c r="C255" s="30" t="s">
        <v>3125</v>
      </c>
      <c r="D255" s="30" t="s">
        <v>3126</v>
      </c>
      <c r="E255" s="30" t="s">
        <v>98</v>
      </c>
      <c r="F255" s="49">
        <v>7</v>
      </c>
      <c r="G255" s="49">
        <v>0</v>
      </c>
      <c r="H255" s="49">
        <v>7</v>
      </c>
    </row>
    <row r="256" spans="1:8">
      <c r="A256" s="30" t="s">
        <v>3383</v>
      </c>
      <c r="B256" s="29" t="s">
        <v>852</v>
      </c>
      <c r="C256" s="30" t="s">
        <v>3145</v>
      </c>
      <c r="D256" s="30" t="s">
        <v>3126</v>
      </c>
      <c r="E256" s="30" t="s">
        <v>98</v>
      </c>
      <c r="F256" s="49">
        <v>3</v>
      </c>
      <c r="G256" s="49">
        <v>0</v>
      </c>
      <c r="H256" s="49">
        <v>3</v>
      </c>
    </row>
    <row r="257" spans="1:8">
      <c r="A257" s="30" t="s">
        <v>3384</v>
      </c>
      <c r="B257" s="29" t="s">
        <v>852</v>
      </c>
      <c r="C257" s="30" t="s">
        <v>3133</v>
      </c>
      <c r="D257" s="30" t="s">
        <v>3126</v>
      </c>
      <c r="E257" s="30" t="s">
        <v>98</v>
      </c>
      <c r="F257" s="49">
        <v>6</v>
      </c>
      <c r="G257" s="49">
        <v>0</v>
      </c>
      <c r="H257" s="49">
        <v>6</v>
      </c>
    </row>
    <row r="258" spans="1:8">
      <c r="A258" s="30" t="s">
        <v>3385</v>
      </c>
      <c r="B258" s="29" t="s">
        <v>855</v>
      </c>
      <c r="C258" s="30" t="s">
        <v>3145</v>
      </c>
      <c r="D258" s="30" t="s">
        <v>3126</v>
      </c>
      <c r="E258" s="30" t="s">
        <v>98</v>
      </c>
      <c r="F258" s="49"/>
      <c r="G258" s="49">
        <v>17</v>
      </c>
      <c r="H258" s="49">
        <v>17</v>
      </c>
    </row>
    <row r="259" spans="1:8">
      <c r="A259" s="30" t="s">
        <v>3386</v>
      </c>
      <c r="B259" s="29" t="s">
        <v>855</v>
      </c>
      <c r="C259" s="30" t="s">
        <v>3133</v>
      </c>
      <c r="D259" s="30" t="s">
        <v>3126</v>
      </c>
      <c r="E259" s="30" t="s">
        <v>98</v>
      </c>
      <c r="F259" s="49"/>
      <c r="G259" s="49">
        <v>1</v>
      </c>
      <c r="H259" s="49">
        <v>1</v>
      </c>
    </row>
    <row r="260" spans="1:8">
      <c r="A260" s="30" t="s">
        <v>3387</v>
      </c>
      <c r="B260" s="29" t="s">
        <v>858</v>
      </c>
      <c r="C260" s="30" t="s">
        <v>3179</v>
      </c>
      <c r="D260" s="30" t="s">
        <v>3126</v>
      </c>
      <c r="E260" s="30" t="s">
        <v>98</v>
      </c>
      <c r="F260" s="49"/>
      <c r="G260" s="49">
        <v>29</v>
      </c>
      <c r="H260" s="49">
        <v>29</v>
      </c>
    </row>
    <row r="261" spans="1:8">
      <c r="A261" s="30" t="s">
        <v>3388</v>
      </c>
      <c r="B261" s="29" t="s">
        <v>858</v>
      </c>
      <c r="C261" s="30" t="s">
        <v>3133</v>
      </c>
      <c r="D261" s="30" t="s">
        <v>3126</v>
      </c>
      <c r="E261" s="30" t="s">
        <v>98</v>
      </c>
      <c r="F261" s="49"/>
      <c r="G261" s="49">
        <v>5</v>
      </c>
      <c r="H261" s="49">
        <v>5</v>
      </c>
    </row>
    <row r="262" spans="1:8">
      <c r="A262" s="30" t="s">
        <v>3389</v>
      </c>
      <c r="B262" s="29" t="s">
        <v>864</v>
      </c>
      <c r="C262" s="30" t="s">
        <v>3125</v>
      </c>
      <c r="D262" s="30" t="s">
        <v>3126</v>
      </c>
      <c r="E262" s="30" t="s">
        <v>98</v>
      </c>
      <c r="F262" s="49"/>
      <c r="G262" s="49">
        <v>3768</v>
      </c>
      <c r="H262" s="49">
        <v>3768</v>
      </c>
    </row>
    <row r="263" spans="1:8">
      <c r="A263" s="30" t="s">
        <v>3390</v>
      </c>
      <c r="B263" s="29" t="s">
        <v>864</v>
      </c>
      <c r="C263" s="30" t="s">
        <v>3133</v>
      </c>
      <c r="D263" s="30" t="s">
        <v>3126</v>
      </c>
      <c r="E263" s="30" t="s">
        <v>98</v>
      </c>
      <c r="F263" s="49"/>
      <c r="G263" s="49">
        <v>26719</v>
      </c>
      <c r="H263" s="49">
        <v>26719</v>
      </c>
    </row>
    <row r="264" spans="1:8">
      <c r="A264" s="30" t="s">
        <v>3391</v>
      </c>
      <c r="B264" s="29" t="s">
        <v>864</v>
      </c>
      <c r="C264" s="30" t="s">
        <v>3122</v>
      </c>
      <c r="D264" s="30" t="s">
        <v>3126</v>
      </c>
      <c r="E264" s="30" t="s">
        <v>98</v>
      </c>
      <c r="F264" s="49"/>
      <c r="G264" s="49">
        <v>3768</v>
      </c>
      <c r="H264" s="49">
        <v>3768</v>
      </c>
    </row>
    <row r="265" spans="1:8">
      <c r="A265" s="30" t="s">
        <v>3392</v>
      </c>
      <c r="B265" s="29" t="s">
        <v>869</v>
      </c>
      <c r="C265" s="30" t="s">
        <v>3125</v>
      </c>
      <c r="D265" s="30" t="s">
        <v>3126</v>
      </c>
      <c r="E265" s="30" t="s">
        <v>98</v>
      </c>
      <c r="F265" s="49"/>
      <c r="G265" s="49">
        <v>3384</v>
      </c>
      <c r="H265" s="49">
        <v>3384</v>
      </c>
    </row>
    <row r="266" spans="1:8">
      <c r="A266" s="30" t="s">
        <v>3393</v>
      </c>
      <c r="B266" s="29" t="s">
        <v>869</v>
      </c>
      <c r="C266" s="30" t="s">
        <v>3143</v>
      </c>
      <c r="D266" s="30" t="s">
        <v>3126</v>
      </c>
      <c r="E266" s="30" t="s">
        <v>98</v>
      </c>
      <c r="F266" s="49"/>
      <c r="G266" s="49">
        <v>6769</v>
      </c>
      <c r="H266" s="49">
        <v>6769</v>
      </c>
    </row>
    <row r="267" spans="1:8">
      <c r="A267" s="30" t="s">
        <v>3394</v>
      </c>
      <c r="B267" s="29" t="s">
        <v>869</v>
      </c>
      <c r="C267" s="30" t="s">
        <v>3133</v>
      </c>
      <c r="D267" s="30" t="s">
        <v>3126</v>
      </c>
      <c r="E267" s="30" t="s">
        <v>98</v>
      </c>
      <c r="F267" s="49"/>
      <c r="G267" s="49">
        <v>13537</v>
      </c>
      <c r="H267" s="49">
        <v>13537</v>
      </c>
    </row>
    <row r="268" spans="1:8">
      <c r="A268" s="30" t="s">
        <v>3395</v>
      </c>
      <c r="B268" s="29" t="s">
        <v>869</v>
      </c>
      <c r="C268" s="30" t="s">
        <v>3122</v>
      </c>
      <c r="D268" s="30" t="s">
        <v>3126</v>
      </c>
      <c r="E268" s="30" t="s">
        <v>98</v>
      </c>
      <c r="F268" s="49"/>
      <c r="G268" s="49">
        <v>10153</v>
      </c>
      <c r="H268" s="49">
        <v>10153</v>
      </c>
    </row>
    <row r="269" spans="1:8">
      <c r="A269" s="30" t="s">
        <v>3396</v>
      </c>
      <c r="B269" s="29" t="s">
        <v>874</v>
      </c>
      <c r="C269" s="30" t="s">
        <v>3125</v>
      </c>
      <c r="D269" s="30" t="s">
        <v>3126</v>
      </c>
      <c r="E269" s="30" t="s">
        <v>112</v>
      </c>
      <c r="F269" s="49">
        <v>40</v>
      </c>
      <c r="G269" s="49">
        <v>0</v>
      </c>
      <c r="H269" s="49">
        <v>40</v>
      </c>
    </row>
    <row r="270" spans="1:8">
      <c r="A270" s="30" t="s">
        <v>3397</v>
      </c>
      <c r="B270" s="29" t="s">
        <v>878</v>
      </c>
      <c r="C270" s="30" t="s">
        <v>3125</v>
      </c>
      <c r="D270" s="30" t="s">
        <v>3126</v>
      </c>
      <c r="E270" s="30" t="s">
        <v>112</v>
      </c>
      <c r="F270" s="49">
        <v>11</v>
      </c>
      <c r="G270" s="49">
        <v>0</v>
      </c>
      <c r="H270" s="49">
        <v>11</v>
      </c>
    </row>
    <row r="271" spans="1:8">
      <c r="A271" s="30" t="s">
        <v>3398</v>
      </c>
      <c r="B271" s="29" t="s">
        <v>882</v>
      </c>
      <c r="C271" s="30" t="s">
        <v>3125</v>
      </c>
      <c r="D271" s="30" t="s">
        <v>3126</v>
      </c>
      <c r="E271" s="30" t="s">
        <v>112</v>
      </c>
      <c r="F271" s="49">
        <v>22</v>
      </c>
      <c r="G271" s="49">
        <v>0</v>
      </c>
      <c r="H271" s="49">
        <v>22</v>
      </c>
    </row>
    <row r="272" spans="1:8">
      <c r="A272" s="30" t="s">
        <v>3399</v>
      </c>
      <c r="B272" s="29" t="s">
        <v>884</v>
      </c>
      <c r="C272" s="30" t="s">
        <v>3125</v>
      </c>
      <c r="D272" s="30" t="s">
        <v>3126</v>
      </c>
      <c r="E272" s="30" t="s">
        <v>112</v>
      </c>
      <c r="F272" s="49">
        <v>11</v>
      </c>
      <c r="G272" s="49">
        <v>0</v>
      </c>
      <c r="H272" s="49">
        <v>11</v>
      </c>
    </row>
    <row r="273" spans="1:8">
      <c r="A273" s="30" t="s">
        <v>3400</v>
      </c>
      <c r="B273" s="29" t="s">
        <v>886</v>
      </c>
      <c r="C273" s="30" t="s">
        <v>3125</v>
      </c>
      <c r="D273" s="30" t="s">
        <v>3126</v>
      </c>
      <c r="E273" s="30" t="s">
        <v>112</v>
      </c>
      <c r="F273" s="49">
        <v>21</v>
      </c>
      <c r="G273" s="49">
        <v>0</v>
      </c>
      <c r="H273" s="49">
        <v>21</v>
      </c>
    </row>
    <row r="274" spans="1:8">
      <c r="A274" s="30" t="s">
        <v>3401</v>
      </c>
      <c r="B274" s="29" t="s">
        <v>892</v>
      </c>
      <c r="C274" s="30" t="s">
        <v>3125</v>
      </c>
      <c r="D274" s="30" t="s">
        <v>3126</v>
      </c>
      <c r="E274" s="30" t="s">
        <v>112</v>
      </c>
      <c r="F274" s="49">
        <v>7</v>
      </c>
      <c r="G274" s="49">
        <v>0</v>
      </c>
      <c r="H274" s="49">
        <v>7</v>
      </c>
    </row>
    <row r="275" spans="1:8">
      <c r="A275" s="30" t="s">
        <v>3402</v>
      </c>
      <c r="B275" s="29" t="s">
        <v>896</v>
      </c>
      <c r="C275" s="30" t="s">
        <v>3125</v>
      </c>
      <c r="D275" s="30" t="s">
        <v>3126</v>
      </c>
      <c r="E275" s="30" t="s">
        <v>98</v>
      </c>
      <c r="F275" s="49">
        <v>12</v>
      </c>
      <c r="G275" s="49">
        <v>0</v>
      </c>
      <c r="H275" s="49">
        <v>12</v>
      </c>
    </row>
    <row r="276" spans="1:8">
      <c r="A276" s="30" t="s">
        <v>3403</v>
      </c>
      <c r="B276" s="29" t="s">
        <v>896</v>
      </c>
      <c r="C276" s="30" t="s">
        <v>3143</v>
      </c>
      <c r="D276" s="30" t="s">
        <v>3126</v>
      </c>
      <c r="E276" s="30" t="s">
        <v>98</v>
      </c>
      <c r="F276" s="49">
        <v>5</v>
      </c>
      <c r="G276" s="49">
        <v>0</v>
      </c>
      <c r="H276" s="49">
        <v>5</v>
      </c>
    </row>
    <row r="277" spans="1:8">
      <c r="A277" s="30" t="s">
        <v>3404</v>
      </c>
      <c r="B277" s="29" t="s">
        <v>896</v>
      </c>
      <c r="C277" s="30" t="s">
        <v>3133</v>
      </c>
      <c r="D277" s="30" t="s">
        <v>3126</v>
      </c>
      <c r="E277" s="30" t="s">
        <v>98</v>
      </c>
      <c r="F277" s="49">
        <v>34</v>
      </c>
      <c r="G277" s="49">
        <v>0</v>
      </c>
      <c r="H277" s="49">
        <v>34</v>
      </c>
    </row>
    <row r="278" spans="1:8">
      <c r="A278" s="30" t="s">
        <v>3405</v>
      </c>
      <c r="B278" s="29" t="s">
        <v>896</v>
      </c>
      <c r="C278" s="30" t="s">
        <v>3122</v>
      </c>
      <c r="D278" s="30" t="s">
        <v>3126</v>
      </c>
      <c r="E278" s="30" t="s">
        <v>98</v>
      </c>
      <c r="F278" s="49">
        <v>1</v>
      </c>
      <c r="G278" s="49">
        <v>0</v>
      </c>
      <c r="H278" s="49">
        <v>1</v>
      </c>
    </row>
    <row r="279" spans="1:8">
      <c r="A279" s="30" t="s">
        <v>3406</v>
      </c>
      <c r="B279" s="29" t="s">
        <v>900</v>
      </c>
      <c r="C279" s="30" t="s">
        <v>3125</v>
      </c>
      <c r="D279" s="30" t="s">
        <v>3126</v>
      </c>
      <c r="E279" s="30" t="s">
        <v>98</v>
      </c>
      <c r="F279" s="49">
        <v>11</v>
      </c>
      <c r="G279" s="49">
        <v>0</v>
      </c>
      <c r="H279" s="49">
        <v>11</v>
      </c>
    </row>
    <row r="280" spans="1:8">
      <c r="A280" s="30" t="s">
        <v>3407</v>
      </c>
      <c r="B280" s="29" t="s">
        <v>900</v>
      </c>
      <c r="C280" s="30" t="s">
        <v>3143</v>
      </c>
      <c r="D280" s="30" t="s">
        <v>3126</v>
      </c>
      <c r="E280" s="30" t="s">
        <v>98</v>
      </c>
      <c r="F280" s="49">
        <v>4</v>
      </c>
      <c r="G280" s="49">
        <v>0</v>
      </c>
      <c r="H280" s="49">
        <v>4</v>
      </c>
    </row>
    <row r="281" spans="1:8">
      <c r="A281" s="30" t="s">
        <v>3408</v>
      </c>
      <c r="B281" s="29" t="s">
        <v>900</v>
      </c>
      <c r="C281" s="30" t="s">
        <v>3133</v>
      </c>
      <c r="D281" s="30" t="s">
        <v>3126</v>
      </c>
      <c r="E281" s="30" t="s">
        <v>98</v>
      </c>
      <c r="F281" s="49">
        <v>24</v>
      </c>
      <c r="G281" s="49">
        <v>0</v>
      </c>
      <c r="H281" s="49">
        <v>24</v>
      </c>
    </row>
    <row r="282" spans="1:8">
      <c r="A282" s="30" t="s">
        <v>3409</v>
      </c>
      <c r="B282" s="29" t="s">
        <v>900</v>
      </c>
      <c r="C282" s="30" t="s">
        <v>3122</v>
      </c>
      <c r="D282" s="30" t="s">
        <v>3126</v>
      </c>
      <c r="E282" s="30" t="s">
        <v>98</v>
      </c>
      <c r="F282" s="49">
        <v>1</v>
      </c>
      <c r="G282" s="49">
        <v>0</v>
      </c>
      <c r="H282" s="49">
        <v>1</v>
      </c>
    </row>
    <row r="283" spans="1:8">
      <c r="A283" s="30" t="s">
        <v>3410</v>
      </c>
      <c r="B283" s="29" t="s">
        <v>903</v>
      </c>
      <c r="C283" s="30" t="s">
        <v>3125</v>
      </c>
      <c r="D283" s="30" t="s">
        <v>3126</v>
      </c>
      <c r="E283" s="30" t="s">
        <v>98</v>
      </c>
      <c r="F283" s="49">
        <v>15</v>
      </c>
      <c r="G283" s="49">
        <v>0</v>
      </c>
      <c r="H283" s="49">
        <v>15</v>
      </c>
    </row>
    <row r="284" spans="1:8">
      <c r="A284" s="30" t="s">
        <v>3411</v>
      </c>
      <c r="B284" s="29" t="s">
        <v>903</v>
      </c>
      <c r="C284" s="30" t="s">
        <v>3143</v>
      </c>
      <c r="D284" s="30" t="s">
        <v>3126</v>
      </c>
      <c r="E284" s="30" t="s">
        <v>98</v>
      </c>
      <c r="F284" s="49">
        <v>1</v>
      </c>
      <c r="G284" s="49">
        <v>0</v>
      </c>
      <c r="H284" s="49">
        <v>1</v>
      </c>
    </row>
    <row r="285" spans="1:8">
      <c r="A285" s="30" t="s">
        <v>3412</v>
      </c>
      <c r="B285" s="29" t="s">
        <v>903</v>
      </c>
      <c r="C285" s="30" t="s">
        <v>3133</v>
      </c>
      <c r="D285" s="30" t="s">
        <v>3126</v>
      </c>
      <c r="E285" s="30" t="s">
        <v>98</v>
      </c>
      <c r="F285" s="49">
        <v>29</v>
      </c>
      <c r="G285" s="49">
        <v>0</v>
      </c>
      <c r="H285" s="49">
        <v>29</v>
      </c>
    </row>
    <row r="286" spans="1:8">
      <c r="A286" s="30" t="s">
        <v>3413</v>
      </c>
      <c r="B286" s="29" t="s">
        <v>906</v>
      </c>
      <c r="C286" s="30" t="s">
        <v>3125</v>
      </c>
      <c r="D286" s="30" t="s">
        <v>3126</v>
      </c>
      <c r="E286" s="30" t="s">
        <v>98</v>
      </c>
      <c r="F286" s="49">
        <v>12</v>
      </c>
      <c r="G286" s="49">
        <v>0</v>
      </c>
      <c r="H286" s="49">
        <v>12</v>
      </c>
    </row>
    <row r="287" spans="1:8">
      <c r="A287" s="30" t="s">
        <v>3414</v>
      </c>
      <c r="B287" s="29" t="s">
        <v>906</v>
      </c>
      <c r="C287" s="30" t="s">
        <v>3143</v>
      </c>
      <c r="D287" s="30" t="s">
        <v>3126</v>
      </c>
      <c r="E287" s="30" t="s">
        <v>98</v>
      </c>
      <c r="F287" s="49">
        <v>3</v>
      </c>
      <c r="G287" s="49">
        <v>0</v>
      </c>
      <c r="H287" s="49">
        <v>3</v>
      </c>
    </row>
    <row r="288" spans="1:8">
      <c r="A288" s="30" t="s">
        <v>3415</v>
      </c>
      <c r="B288" s="29" t="s">
        <v>906</v>
      </c>
      <c r="C288" s="30" t="s">
        <v>3133</v>
      </c>
      <c r="D288" s="30" t="s">
        <v>3126</v>
      </c>
      <c r="E288" s="30" t="s">
        <v>98</v>
      </c>
      <c r="F288" s="49">
        <v>47</v>
      </c>
      <c r="G288" s="49">
        <v>0</v>
      </c>
      <c r="H288" s="49">
        <v>47</v>
      </c>
    </row>
    <row r="289" spans="1:8">
      <c r="A289" s="30" t="s">
        <v>3416</v>
      </c>
      <c r="B289" s="29" t="s">
        <v>909</v>
      </c>
      <c r="C289" s="30" t="s">
        <v>3125</v>
      </c>
      <c r="D289" s="30" t="s">
        <v>3126</v>
      </c>
      <c r="E289" s="30" t="s">
        <v>98</v>
      </c>
      <c r="F289" s="49">
        <v>3</v>
      </c>
      <c r="G289" s="49">
        <v>0</v>
      </c>
      <c r="H289" s="49">
        <v>3</v>
      </c>
    </row>
    <row r="290" spans="1:8">
      <c r="A290" s="30" t="s">
        <v>3417</v>
      </c>
      <c r="B290" s="29" t="s">
        <v>909</v>
      </c>
      <c r="C290" s="30" t="s">
        <v>3133</v>
      </c>
      <c r="D290" s="30" t="s">
        <v>3126</v>
      </c>
      <c r="E290" s="30" t="s">
        <v>98</v>
      </c>
      <c r="F290" s="49">
        <v>17</v>
      </c>
      <c r="G290" s="49">
        <v>0</v>
      </c>
      <c r="H290" s="49">
        <v>17</v>
      </c>
    </row>
    <row r="291" spans="1:8">
      <c r="A291" s="30" t="s">
        <v>3418</v>
      </c>
      <c r="B291" s="29" t="s">
        <v>912</v>
      </c>
      <c r="C291" s="30" t="s">
        <v>3125</v>
      </c>
      <c r="D291" s="30" t="s">
        <v>3126</v>
      </c>
      <c r="E291" s="30" t="s">
        <v>112</v>
      </c>
      <c r="F291" s="49">
        <v>45</v>
      </c>
      <c r="G291" s="49">
        <v>0</v>
      </c>
      <c r="H291" s="49">
        <v>45</v>
      </c>
    </row>
    <row r="292" spans="1:8">
      <c r="A292" s="30" t="s">
        <v>3419</v>
      </c>
      <c r="B292" s="29" t="s">
        <v>916</v>
      </c>
      <c r="C292" s="30" t="s">
        <v>3145</v>
      </c>
      <c r="D292" s="30" t="s">
        <v>3126</v>
      </c>
      <c r="E292" s="30" t="s">
        <v>98</v>
      </c>
      <c r="F292" s="49"/>
      <c r="G292" s="49">
        <v>50</v>
      </c>
      <c r="H292" s="49">
        <v>50</v>
      </c>
    </row>
    <row r="293" spans="1:8">
      <c r="A293" s="30" t="s">
        <v>3420</v>
      </c>
      <c r="B293" s="29" t="s">
        <v>920</v>
      </c>
      <c r="C293" s="30" t="s">
        <v>3145</v>
      </c>
      <c r="D293" s="30" t="s">
        <v>3126</v>
      </c>
      <c r="E293" s="30" t="s">
        <v>98</v>
      </c>
      <c r="F293" s="49"/>
      <c r="G293" s="49">
        <v>50</v>
      </c>
      <c r="H293" s="49">
        <v>50</v>
      </c>
    </row>
    <row r="294" spans="1:8">
      <c r="A294" s="30" t="s">
        <v>3421</v>
      </c>
      <c r="B294" s="29" t="s">
        <v>922</v>
      </c>
      <c r="C294" s="30" t="s">
        <v>3143</v>
      </c>
      <c r="D294" s="30" t="s">
        <v>3126</v>
      </c>
      <c r="E294" s="30" t="s">
        <v>98</v>
      </c>
      <c r="F294" s="49"/>
      <c r="G294" s="49">
        <v>41</v>
      </c>
      <c r="H294" s="49">
        <v>41</v>
      </c>
    </row>
    <row r="295" spans="1:8">
      <c r="A295" s="46" t="s">
        <v>3422</v>
      </c>
      <c r="B295" s="29" t="s">
        <v>922</v>
      </c>
      <c r="C295" s="30" t="s">
        <v>3133</v>
      </c>
      <c r="D295" s="30" t="s">
        <v>3126</v>
      </c>
      <c r="E295" s="30" t="s">
        <v>98</v>
      </c>
      <c r="F295" s="49"/>
      <c r="G295" s="49">
        <v>1</v>
      </c>
      <c r="H295" s="49">
        <v>1</v>
      </c>
    </row>
    <row r="296" spans="1:8">
      <c r="A296" s="30" t="s">
        <v>3423</v>
      </c>
      <c r="B296" s="29" t="s">
        <v>925</v>
      </c>
      <c r="C296" s="30" t="s">
        <v>3143</v>
      </c>
      <c r="D296" s="30" t="s">
        <v>3126</v>
      </c>
      <c r="E296" s="30" t="s">
        <v>98</v>
      </c>
      <c r="F296" s="49"/>
      <c r="G296" s="49">
        <v>42</v>
      </c>
      <c r="H296" s="49">
        <v>42</v>
      </c>
    </row>
    <row r="297" spans="1:8">
      <c r="A297" s="30" t="s">
        <v>3424</v>
      </c>
      <c r="B297" s="29" t="s">
        <v>925</v>
      </c>
      <c r="C297" s="30" t="s">
        <v>3133</v>
      </c>
      <c r="D297" s="30" t="s">
        <v>3126</v>
      </c>
      <c r="E297" s="30" t="s">
        <v>98</v>
      </c>
      <c r="F297" s="49"/>
      <c r="G297" s="49">
        <v>1</v>
      </c>
      <c r="H297" s="49">
        <v>1</v>
      </c>
    </row>
    <row r="298" spans="1:8">
      <c r="A298" s="30" t="s">
        <v>3425</v>
      </c>
      <c r="B298" s="29" t="s">
        <v>928</v>
      </c>
      <c r="C298" s="30" t="s">
        <v>3143</v>
      </c>
      <c r="D298" s="30" t="s">
        <v>3126</v>
      </c>
      <c r="E298" s="30" t="s">
        <v>98</v>
      </c>
      <c r="F298" s="49"/>
      <c r="G298" s="49">
        <v>48</v>
      </c>
      <c r="H298" s="49">
        <v>48</v>
      </c>
    </row>
    <row r="299" spans="1:8">
      <c r="A299" s="30" t="s">
        <v>3426</v>
      </c>
      <c r="B299" s="29" t="s">
        <v>928</v>
      </c>
      <c r="C299" s="30" t="s">
        <v>3133</v>
      </c>
      <c r="D299" s="30" t="s">
        <v>3126</v>
      </c>
      <c r="E299" s="30" t="s">
        <v>98</v>
      </c>
      <c r="F299" s="49"/>
      <c r="G299" s="49">
        <v>2</v>
      </c>
      <c r="H299" s="49">
        <v>2</v>
      </c>
    </row>
    <row r="300" spans="1:8">
      <c r="A300" s="30" t="s">
        <v>3427</v>
      </c>
      <c r="B300" s="29" t="s">
        <v>931</v>
      </c>
      <c r="C300" s="30" t="s">
        <v>3143</v>
      </c>
      <c r="D300" s="30" t="s">
        <v>3126</v>
      </c>
      <c r="E300" s="30" t="s">
        <v>98</v>
      </c>
      <c r="F300" s="49"/>
      <c r="G300" s="49">
        <v>41</v>
      </c>
      <c r="H300" s="49">
        <v>41</v>
      </c>
    </row>
    <row r="301" spans="1:8">
      <c r="A301" s="30" t="s">
        <v>3428</v>
      </c>
      <c r="B301" s="29" t="s">
        <v>931</v>
      </c>
      <c r="C301" s="30" t="s">
        <v>3133</v>
      </c>
      <c r="D301" s="30" t="s">
        <v>3126</v>
      </c>
      <c r="E301" s="30" t="s">
        <v>98</v>
      </c>
      <c r="F301" s="49"/>
      <c r="G301" s="49">
        <v>10</v>
      </c>
      <c r="H301" s="49">
        <v>10</v>
      </c>
    </row>
    <row r="302" spans="1:8">
      <c r="A302" s="30" t="s">
        <v>3429</v>
      </c>
      <c r="B302" s="29" t="s">
        <v>934</v>
      </c>
      <c r="C302" s="30" t="s">
        <v>3143</v>
      </c>
      <c r="D302" s="30" t="s">
        <v>3126</v>
      </c>
      <c r="E302" s="30" t="s">
        <v>98</v>
      </c>
      <c r="F302" s="49"/>
      <c r="G302" s="49">
        <v>40</v>
      </c>
      <c r="H302" s="49">
        <v>40</v>
      </c>
    </row>
    <row r="303" spans="1:8">
      <c r="A303" s="30" t="s">
        <v>3430</v>
      </c>
      <c r="B303" s="29" t="s">
        <v>934</v>
      </c>
      <c r="C303" s="30" t="s">
        <v>3133</v>
      </c>
      <c r="D303" s="30" t="s">
        <v>3126</v>
      </c>
      <c r="E303" s="30" t="s">
        <v>98</v>
      </c>
      <c r="F303" s="49"/>
      <c r="G303" s="49">
        <v>3</v>
      </c>
      <c r="H303" s="49">
        <v>3</v>
      </c>
    </row>
    <row r="304" spans="1:8">
      <c r="A304" s="30" t="s">
        <v>3431</v>
      </c>
      <c r="B304" s="29" t="s">
        <v>937</v>
      </c>
      <c r="C304" s="30" t="s">
        <v>3143</v>
      </c>
      <c r="D304" s="30" t="s">
        <v>3126</v>
      </c>
      <c r="E304" s="30" t="s">
        <v>98</v>
      </c>
      <c r="F304" s="49"/>
      <c r="G304" s="49">
        <v>35</v>
      </c>
      <c r="H304" s="49">
        <v>35</v>
      </c>
    </row>
    <row r="305" spans="1:8">
      <c r="A305" s="30" t="s">
        <v>3432</v>
      </c>
      <c r="B305" s="29" t="s">
        <v>937</v>
      </c>
      <c r="C305" s="30" t="s">
        <v>3133</v>
      </c>
      <c r="D305" s="30" t="s">
        <v>3126</v>
      </c>
      <c r="E305" s="30" t="s">
        <v>98</v>
      </c>
      <c r="F305" s="49"/>
      <c r="G305" s="49">
        <v>35</v>
      </c>
      <c r="H305" s="49">
        <v>35</v>
      </c>
    </row>
    <row r="306" spans="1:8">
      <c r="A306" s="30" t="s">
        <v>3433</v>
      </c>
      <c r="B306" s="29" t="s">
        <v>939</v>
      </c>
      <c r="C306" s="30" t="s">
        <v>3143</v>
      </c>
      <c r="D306" s="30" t="s">
        <v>3126</v>
      </c>
      <c r="E306" s="30" t="s">
        <v>98</v>
      </c>
      <c r="F306" s="49"/>
      <c r="G306" s="49">
        <v>30</v>
      </c>
      <c r="H306" s="49">
        <v>30</v>
      </c>
    </row>
    <row r="307" spans="1:8">
      <c r="A307" s="30" t="s">
        <v>3434</v>
      </c>
      <c r="B307" s="29" t="s">
        <v>939</v>
      </c>
      <c r="C307" s="30" t="s">
        <v>3133</v>
      </c>
      <c r="D307" s="30" t="s">
        <v>3126</v>
      </c>
      <c r="E307" s="30" t="s">
        <v>98</v>
      </c>
      <c r="F307" s="49"/>
      <c r="G307" s="49">
        <v>30</v>
      </c>
      <c r="H307" s="49">
        <v>30</v>
      </c>
    </row>
    <row r="308" spans="1:8">
      <c r="A308" s="30" t="s">
        <v>3435</v>
      </c>
      <c r="B308" s="29" t="s">
        <v>941</v>
      </c>
      <c r="C308" s="30" t="s">
        <v>3143</v>
      </c>
      <c r="D308" s="30" t="s">
        <v>3126</v>
      </c>
      <c r="E308" s="30" t="s">
        <v>98</v>
      </c>
      <c r="F308" s="49"/>
      <c r="G308" s="49">
        <v>40</v>
      </c>
      <c r="H308" s="49">
        <v>40</v>
      </c>
    </row>
    <row r="309" spans="1:8">
      <c r="A309" s="30" t="s">
        <v>3436</v>
      </c>
      <c r="B309" s="29" t="s">
        <v>941</v>
      </c>
      <c r="C309" s="30" t="s">
        <v>3133</v>
      </c>
      <c r="D309" s="30" t="s">
        <v>3126</v>
      </c>
      <c r="E309" s="30" t="s">
        <v>98</v>
      </c>
      <c r="F309" s="49"/>
      <c r="G309" s="49">
        <v>2</v>
      </c>
      <c r="H309" s="49">
        <v>2</v>
      </c>
    </row>
    <row r="310" spans="1:8">
      <c r="A310" s="30" t="s">
        <v>3437</v>
      </c>
      <c r="B310" s="29" t="s">
        <v>944</v>
      </c>
      <c r="C310" s="30" t="s">
        <v>3143</v>
      </c>
      <c r="D310" s="30" t="s">
        <v>3126</v>
      </c>
      <c r="E310" s="30" t="s">
        <v>98</v>
      </c>
      <c r="F310" s="49"/>
      <c r="G310" s="49">
        <v>40</v>
      </c>
      <c r="H310" s="49">
        <v>40</v>
      </c>
    </row>
    <row r="311" spans="1:8">
      <c r="A311" s="30" t="s">
        <v>3438</v>
      </c>
      <c r="B311" s="29" t="s">
        <v>944</v>
      </c>
      <c r="C311" s="30" t="s">
        <v>3133</v>
      </c>
      <c r="D311" s="30" t="s">
        <v>3126</v>
      </c>
      <c r="E311" s="30" t="s">
        <v>98</v>
      </c>
      <c r="F311" s="49"/>
      <c r="G311" s="49">
        <v>2</v>
      </c>
      <c r="H311" s="49">
        <v>2</v>
      </c>
    </row>
    <row r="312" spans="1:8">
      <c r="A312" s="30" t="s">
        <v>3439</v>
      </c>
      <c r="B312" s="29" t="s">
        <v>946</v>
      </c>
      <c r="C312" s="30" t="s">
        <v>3143</v>
      </c>
      <c r="D312" s="30" t="s">
        <v>3126</v>
      </c>
      <c r="E312" s="30" t="s">
        <v>98</v>
      </c>
      <c r="F312" s="49">
        <v>15</v>
      </c>
      <c r="G312" s="49">
        <v>0</v>
      </c>
      <c r="H312" s="49">
        <v>15</v>
      </c>
    </row>
    <row r="313" spans="1:8">
      <c r="A313" s="30" t="s">
        <v>3440</v>
      </c>
      <c r="B313" s="29" t="s">
        <v>946</v>
      </c>
      <c r="C313" s="30" t="s">
        <v>3133</v>
      </c>
      <c r="D313" s="30" t="s">
        <v>3126</v>
      </c>
      <c r="E313" s="30" t="s">
        <v>98</v>
      </c>
      <c r="F313" s="49">
        <v>180</v>
      </c>
      <c r="G313" s="49">
        <v>0</v>
      </c>
      <c r="H313" s="49">
        <v>180</v>
      </c>
    </row>
    <row r="314" spans="1:8">
      <c r="A314" s="30" t="s">
        <v>3441</v>
      </c>
      <c r="B314" s="29" t="s">
        <v>946</v>
      </c>
      <c r="C314" s="30" t="s">
        <v>3122</v>
      </c>
      <c r="D314" s="30" t="s">
        <v>3126</v>
      </c>
      <c r="E314" s="30" t="s">
        <v>98</v>
      </c>
      <c r="F314" s="49">
        <v>25</v>
      </c>
      <c r="G314" s="49">
        <v>0</v>
      </c>
      <c r="H314" s="49">
        <v>25</v>
      </c>
    </row>
    <row r="315" spans="1:8">
      <c r="A315" s="30" t="s">
        <v>3442</v>
      </c>
      <c r="B315" s="29" t="s">
        <v>948</v>
      </c>
      <c r="C315" s="30" t="s">
        <v>3125</v>
      </c>
      <c r="D315" s="30" t="s">
        <v>3126</v>
      </c>
      <c r="E315" s="30" t="s">
        <v>98</v>
      </c>
      <c r="F315" s="49"/>
      <c r="G315" s="49">
        <v>55</v>
      </c>
      <c r="H315" s="49">
        <v>55</v>
      </c>
    </row>
    <row r="316" spans="1:8">
      <c r="A316" s="30" t="s">
        <v>3443</v>
      </c>
      <c r="B316" s="29" t="s">
        <v>948</v>
      </c>
      <c r="C316" s="30" t="s">
        <v>3133</v>
      </c>
      <c r="D316" s="30" t="s">
        <v>3126</v>
      </c>
      <c r="E316" s="30" t="s">
        <v>98</v>
      </c>
      <c r="F316" s="49"/>
      <c r="G316" s="49">
        <v>20</v>
      </c>
      <c r="H316" s="49">
        <v>20</v>
      </c>
    </row>
    <row r="317" spans="1:8">
      <c r="A317" s="30" t="s">
        <v>3444</v>
      </c>
      <c r="B317" s="29" t="s">
        <v>951</v>
      </c>
      <c r="C317" s="30" t="s">
        <v>3133</v>
      </c>
      <c r="D317" s="30" t="s">
        <v>3126</v>
      </c>
      <c r="E317" s="30" t="s">
        <v>98</v>
      </c>
      <c r="F317" s="49"/>
      <c r="G317" s="49">
        <v>43</v>
      </c>
      <c r="H317" s="49">
        <v>43</v>
      </c>
    </row>
    <row r="318" spans="1:8">
      <c r="A318" s="30" t="s">
        <v>3445</v>
      </c>
      <c r="B318" s="29" t="s">
        <v>954</v>
      </c>
      <c r="C318" s="30" t="s">
        <v>3133</v>
      </c>
      <c r="D318" s="30" t="s">
        <v>3126</v>
      </c>
      <c r="E318" s="30" t="s">
        <v>98</v>
      </c>
      <c r="F318" s="49"/>
      <c r="G318" s="49">
        <v>41</v>
      </c>
      <c r="H318" s="49">
        <v>41</v>
      </c>
    </row>
    <row r="319" spans="1:8">
      <c r="A319" s="30" t="s">
        <v>3446</v>
      </c>
      <c r="B319" s="29" t="s">
        <v>956</v>
      </c>
      <c r="C319" s="30" t="s">
        <v>3125</v>
      </c>
      <c r="D319" s="30" t="s">
        <v>3126</v>
      </c>
      <c r="E319" s="30" t="s">
        <v>98</v>
      </c>
      <c r="F319" s="49"/>
      <c r="G319" s="49">
        <v>46</v>
      </c>
      <c r="H319" s="49">
        <v>46</v>
      </c>
    </row>
    <row r="320" spans="1:8">
      <c r="A320" s="30" t="s">
        <v>3447</v>
      </c>
      <c r="B320" s="29" t="s">
        <v>956</v>
      </c>
      <c r="C320" s="30" t="s">
        <v>3133</v>
      </c>
      <c r="D320" s="30" t="s">
        <v>3126</v>
      </c>
      <c r="E320" s="30" t="s">
        <v>98</v>
      </c>
      <c r="F320" s="49"/>
      <c r="G320" s="49">
        <v>3</v>
      </c>
      <c r="H320" s="49">
        <v>3</v>
      </c>
    </row>
    <row r="321" spans="1:8">
      <c r="A321" s="30" t="s">
        <v>3448</v>
      </c>
      <c r="B321" s="29" t="s">
        <v>959</v>
      </c>
      <c r="C321" s="30" t="s">
        <v>3133</v>
      </c>
      <c r="D321" s="30" t="s">
        <v>3126</v>
      </c>
      <c r="E321" s="30" t="s">
        <v>98</v>
      </c>
      <c r="F321" s="49">
        <v>4</v>
      </c>
      <c r="G321" s="49">
        <v>0</v>
      </c>
      <c r="H321" s="49">
        <v>4</v>
      </c>
    </row>
    <row r="322" spans="1:8">
      <c r="A322" s="30" t="s">
        <v>3449</v>
      </c>
      <c r="B322" s="29" t="s">
        <v>959</v>
      </c>
      <c r="C322" s="30" t="s">
        <v>3122</v>
      </c>
      <c r="D322" s="30" t="s">
        <v>3126</v>
      </c>
      <c r="E322" s="30" t="s">
        <v>98</v>
      </c>
      <c r="F322" s="49">
        <v>4</v>
      </c>
      <c r="G322" s="49">
        <v>0</v>
      </c>
      <c r="H322" s="49">
        <v>4</v>
      </c>
    </row>
    <row r="323" spans="1:8">
      <c r="A323" s="30" t="s">
        <v>3450</v>
      </c>
      <c r="B323" s="29" t="s">
        <v>965</v>
      </c>
      <c r="C323" s="30" t="s">
        <v>3125</v>
      </c>
      <c r="D323" s="30" t="s">
        <v>3126</v>
      </c>
      <c r="E323" s="30" t="s">
        <v>98</v>
      </c>
      <c r="F323" s="49">
        <v>13</v>
      </c>
      <c r="G323" s="49">
        <v>0</v>
      </c>
      <c r="H323" s="49">
        <v>13</v>
      </c>
    </row>
    <row r="324" spans="1:8">
      <c r="A324" s="30" t="s">
        <v>3451</v>
      </c>
      <c r="B324" s="29" t="s">
        <v>965</v>
      </c>
      <c r="C324" s="30" t="s">
        <v>3143</v>
      </c>
      <c r="D324" s="30" t="s">
        <v>3126</v>
      </c>
      <c r="E324" s="30" t="s">
        <v>98</v>
      </c>
      <c r="F324" s="49">
        <v>4</v>
      </c>
      <c r="G324" s="49">
        <v>0</v>
      </c>
      <c r="H324" s="49">
        <v>4</v>
      </c>
    </row>
    <row r="325" spans="1:8">
      <c r="A325" s="30" t="s">
        <v>3452</v>
      </c>
      <c r="B325" s="29" t="s">
        <v>965</v>
      </c>
      <c r="C325" s="30" t="s">
        <v>3133</v>
      </c>
      <c r="D325" s="30" t="s">
        <v>3126</v>
      </c>
      <c r="E325" s="30" t="s">
        <v>98</v>
      </c>
      <c r="F325" s="49">
        <v>22</v>
      </c>
      <c r="G325" s="49">
        <v>0</v>
      </c>
      <c r="H325" s="49">
        <v>22</v>
      </c>
    </row>
    <row r="326" spans="1:8">
      <c r="A326" s="30" t="s">
        <v>3453</v>
      </c>
      <c r="B326" s="29" t="s">
        <v>965</v>
      </c>
      <c r="C326" s="30" t="s">
        <v>3122</v>
      </c>
      <c r="D326" s="30" t="s">
        <v>3126</v>
      </c>
      <c r="E326" s="30" t="s">
        <v>98</v>
      </c>
      <c r="F326" s="49">
        <v>2</v>
      </c>
      <c r="G326" s="49">
        <v>0</v>
      </c>
      <c r="H326" s="49">
        <v>2</v>
      </c>
    </row>
    <row r="327" spans="1:8">
      <c r="A327" s="30" t="s">
        <v>3454</v>
      </c>
      <c r="B327" s="29" t="s">
        <v>969</v>
      </c>
      <c r="C327" s="30" t="s">
        <v>3125</v>
      </c>
      <c r="D327" s="30" t="s">
        <v>3126</v>
      </c>
      <c r="E327" s="30" t="s">
        <v>98</v>
      </c>
      <c r="F327" s="49"/>
      <c r="G327" s="49">
        <v>37</v>
      </c>
      <c r="H327" s="49">
        <v>37</v>
      </c>
    </row>
    <row r="328" spans="1:8">
      <c r="A328" s="30" t="s">
        <v>3455</v>
      </c>
      <c r="B328" s="29" t="s">
        <v>969</v>
      </c>
      <c r="C328" s="30" t="s">
        <v>3133</v>
      </c>
      <c r="D328" s="30" t="s">
        <v>3126</v>
      </c>
      <c r="E328" s="30" t="s">
        <v>98</v>
      </c>
      <c r="F328" s="49"/>
      <c r="G328" s="49">
        <v>6</v>
      </c>
      <c r="H328" s="49">
        <v>6</v>
      </c>
    </row>
    <row r="329" spans="1:8">
      <c r="A329" s="46" t="s">
        <v>3456</v>
      </c>
      <c r="B329" s="29" t="s">
        <v>972</v>
      </c>
      <c r="C329" s="30" t="s">
        <v>3125</v>
      </c>
      <c r="D329" s="30" t="s">
        <v>3126</v>
      </c>
      <c r="E329" s="30" t="s">
        <v>98</v>
      </c>
      <c r="F329" s="49"/>
      <c r="G329" s="49">
        <v>35</v>
      </c>
      <c r="H329" s="49">
        <v>35</v>
      </c>
    </row>
    <row r="330" spans="1:8">
      <c r="A330" s="30" t="s">
        <v>3457</v>
      </c>
      <c r="B330" s="29" t="s">
        <v>972</v>
      </c>
      <c r="C330" s="30" t="s">
        <v>3133</v>
      </c>
      <c r="D330" s="30" t="s">
        <v>3126</v>
      </c>
      <c r="E330" s="30" t="s">
        <v>98</v>
      </c>
      <c r="F330" s="49"/>
      <c r="G330" s="49">
        <v>4</v>
      </c>
      <c r="H330" s="49">
        <v>4</v>
      </c>
    </row>
    <row r="331" spans="1:8">
      <c r="A331" s="30" t="s">
        <v>3458</v>
      </c>
      <c r="B331" s="29" t="s">
        <v>974</v>
      </c>
      <c r="C331" s="30" t="s">
        <v>3143</v>
      </c>
      <c r="D331" s="30" t="s">
        <v>3126</v>
      </c>
      <c r="E331" s="30" t="s">
        <v>98</v>
      </c>
      <c r="F331" s="49"/>
      <c r="G331" s="49">
        <v>50</v>
      </c>
      <c r="H331" s="49">
        <v>50</v>
      </c>
    </row>
    <row r="332" spans="1:8">
      <c r="A332" s="30" t="s">
        <v>3459</v>
      </c>
      <c r="B332" s="29" t="s">
        <v>974</v>
      </c>
      <c r="C332" s="30" t="s">
        <v>3133</v>
      </c>
      <c r="D332" s="30" t="s">
        <v>3126</v>
      </c>
      <c r="E332" s="30" t="s">
        <v>98</v>
      </c>
      <c r="F332" s="49"/>
      <c r="G332" s="49">
        <v>2</v>
      </c>
      <c r="H332" s="49">
        <v>2</v>
      </c>
    </row>
    <row r="333" spans="1:8">
      <c r="A333" s="30" t="s">
        <v>3460</v>
      </c>
      <c r="B333" s="29" t="s">
        <v>977</v>
      </c>
      <c r="C333" s="30" t="s">
        <v>3143</v>
      </c>
      <c r="D333" s="30" t="s">
        <v>3126</v>
      </c>
      <c r="E333" s="30" t="s">
        <v>98</v>
      </c>
      <c r="F333" s="49"/>
      <c r="G333" s="49">
        <v>50</v>
      </c>
      <c r="H333" s="49">
        <v>50</v>
      </c>
    </row>
    <row r="334" spans="1:8">
      <c r="A334" s="30" t="s">
        <v>3461</v>
      </c>
      <c r="B334" s="29" t="s">
        <v>977</v>
      </c>
      <c r="C334" s="30" t="s">
        <v>3122</v>
      </c>
      <c r="D334" s="30" t="s">
        <v>3126</v>
      </c>
      <c r="E334" s="30" t="s">
        <v>98</v>
      </c>
      <c r="F334" s="49"/>
      <c r="G334" s="49">
        <v>2</v>
      </c>
      <c r="H334" s="49">
        <v>2</v>
      </c>
    </row>
    <row r="335" spans="1:8">
      <c r="A335" s="30" t="s">
        <v>3462</v>
      </c>
      <c r="B335" s="29" t="s">
        <v>979</v>
      </c>
      <c r="C335" s="30" t="s">
        <v>3143</v>
      </c>
      <c r="D335" s="30" t="s">
        <v>3126</v>
      </c>
      <c r="E335" s="30" t="s">
        <v>98</v>
      </c>
      <c r="F335" s="49"/>
      <c r="G335" s="49">
        <v>129</v>
      </c>
      <c r="H335" s="49">
        <v>129</v>
      </c>
    </row>
    <row r="336" spans="1:8">
      <c r="A336" s="30" t="s">
        <v>3463</v>
      </c>
      <c r="B336" s="29" t="s">
        <v>979</v>
      </c>
      <c r="C336" s="30" t="s">
        <v>3133</v>
      </c>
      <c r="D336" s="30" t="s">
        <v>3126</v>
      </c>
      <c r="E336" s="30" t="s">
        <v>98</v>
      </c>
      <c r="F336" s="49"/>
      <c r="G336" s="49">
        <v>6</v>
      </c>
      <c r="H336" s="49">
        <v>6</v>
      </c>
    </row>
    <row r="337" spans="1:8">
      <c r="A337" s="30" t="s">
        <v>3464</v>
      </c>
      <c r="B337" s="29" t="s">
        <v>982</v>
      </c>
      <c r="C337" s="30" t="s">
        <v>3125</v>
      </c>
      <c r="D337" s="30" t="s">
        <v>3126</v>
      </c>
      <c r="E337" s="30" t="s">
        <v>98</v>
      </c>
      <c r="F337" s="49"/>
      <c r="G337" s="49">
        <v>58</v>
      </c>
      <c r="H337" s="49">
        <v>58</v>
      </c>
    </row>
    <row r="338" spans="1:8">
      <c r="A338" s="30" t="s">
        <v>3465</v>
      </c>
      <c r="B338" s="29" t="s">
        <v>982</v>
      </c>
      <c r="C338" s="30" t="s">
        <v>3133</v>
      </c>
      <c r="D338" s="30" t="s">
        <v>3126</v>
      </c>
      <c r="E338" s="30" t="s">
        <v>98</v>
      </c>
      <c r="F338" s="49"/>
      <c r="G338" s="49">
        <v>25</v>
      </c>
      <c r="H338" s="49">
        <v>25</v>
      </c>
    </row>
    <row r="339" spans="1:8">
      <c r="A339" s="30" t="s">
        <v>3466</v>
      </c>
      <c r="B339" s="29" t="s">
        <v>985</v>
      </c>
      <c r="C339" s="30" t="s">
        <v>3125</v>
      </c>
      <c r="D339" s="30" t="s">
        <v>3126</v>
      </c>
      <c r="E339" s="30" t="s">
        <v>98</v>
      </c>
      <c r="F339" s="49"/>
      <c r="G339" s="49">
        <v>82</v>
      </c>
      <c r="H339" s="49">
        <v>82</v>
      </c>
    </row>
    <row r="340" spans="1:8">
      <c r="A340" s="30" t="s">
        <v>3467</v>
      </c>
      <c r="B340" s="29" t="s">
        <v>985</v>
      </c>
      <c r="C340" s="30" t="s">
        <v>3133</v>
      </c>
      <c r="D340" s="30" t="s">
        <v>3126</v>
      </c>
      <c r="E340" s="30" t="s">
        <v>98</v>
      </c>
      <c r="F340" s="49"/>
      <c r="G340" s="49">
        <v>10</v>
      </c>
      <c r="H340" s="49">
        <v>10</v>
      </c>
    </row>
    <row r="341" spans="1:8">
      <c r="A341" s="30" t="s">
        <v>3468</v>
      </c>
      <c r="B341" s="29" t="s">
        <v>988</v>
      </c>
      <c r="C341" s="30" t="s">
        <v>3125</v>
      </c>
      <c r="D341" s="30" t="s">
        <v>3126</v>
      </c>
      <c r="E341" s="30" t="s">
        <v>98</v>
      </c>
      <c r="F341" s="49"/>
      <c r="G341" s="49">
        <v>66</v>
      </c>
      <c r="H341" s="49">
        <v>66</v>
      </c>
    </row>
    <row r="342" spans="1:8">
      <c r="A342" s="30" t="s">
        <v>3469</v>
      </c>
      <c r="B342" s="29" t="s">
        <v>988</v>
      </c>
      <c r="C342" s="30" t="s">
        <v>3133</v>
      </c>
      <c r="D342" s="30" t="s">
        <v>3126</v>
      </c>
      <c r="E342" s="30" t="s">
        <v>98</v>
      </c>
      <c r="F342" s="49"/>
      <c r="G342" s="49">
        <v>17</v>
      </c>
      <c r="H342" s="49">
        <v>17</v>
      </c>
    </row>
    <row r="343" spans="1:8">
      <c r="A343" s="30" t="s">
        <v>3470</v>
      </c>
      <c r="B343" s="29" t="s">
        <v>990</v>
      </c>
      <c r="C343" s="30" t="s">
        <v>3143</v>
      </c>
      <c r="D343" s="30" t="s">
        <v>3126</v>
      </c>
      <c r="E343" s="30" t="s">
        <v>98</v>
      </c>
      <c r="F343" s="49"/>
      <c r="G343" s="49">
        <v>41</v>
      </c>
      <c r="H343" s="49">
        <v>41</v>
      </c>
    </row>
    <row r="344" spans="1:8">
      <c r="A344" s="30" t="s">
        <v>3471</v>
      </c>
      <c r="B344" s="29" t="s">
        <v>990</v>
      </c>
      <c r="C344" s="30" t="s">
        <v>3133</v>
      </c>
      <c r="D344" s="30" t="s">
        <v>3126</v>
      </c>
      <c r="E344" s="30" t="s">
        <v>98</v>
      </c>
      <c r="F344" s="49"/>
      <c r="G344" s="49">
        <v>6</v>
      </c>
      <c r="H344" s="49">
        <v>6</v>
      </c>
    </row>
    <row r="345" spans="1:8">
      <c r="A345" s="30" t="s">
        <v>3472</v>
      </c>
      <c r="B345" s="29" t="s">
        <v>993</v>
      </c>
      <c r="C345" s="30" t="s">
        <v>3143</v>
      </c>
      <c r="D345" s="30" t="s">
        <v>3126</v>
      </c>
      <c r="E345" s="30" t="s">
        <v>98</v>
      </c>
      <c r="F345" s="49"/>
      <c r="G345" s="49">
        <v>30</v>
      </c>
      <c r="H345" s="49">
        <v>30</v>
      </c>
    </row>
    <row r="346" spans="1:8">
      <c r="A346" s="30" t="s">
        <v>3473</v>
      </c>
      <c r="B346" s="29" t="s">
        <v>993</v>
      </c>
      <c r="C346" s="30" t="s">
        <v>3133</v>
      </c>
      <c r="D346" s="30" t="s">
        <v>3126</v>
      </c>
      <c r="E346" s="30" t="s">
        <v>98</v>
      </c>
      <c r="F346" s="49"/>
      <c r="G346" s="49">
        <v>7</v>
      </c>
      <c r="H346" s="49">
        <v>7</v>
      </c>
    </row>
    <row r="347" spans="1:8">
      <c r="A347" s="30" t="s">
        <v>3474</v>
      </c>
      <c r="B347" s="29" t="s">
        <v>996</v>
      </c>
      <c r="C347" s="30" t="s">
        <v>3125</v>
      </c>
      <c r="D347" s="30" t="s">
        <v>3126</v>
      </c>
      <c r="E347" s="30" t="s">
        <v>98</v>
      </c>
      <c r="F347" s="49"/>
      <c r="G347" s="49">
        <v>118</v>
      </c>
      <c r="H347" s="49">
        <v>118</v>
      </c>
    </row>
    <row r="348" spans="1:8">
      <c r="A348" s="30" t="s">
        <v>3475</v>
      </c>
      <c r="B348" s="29" t="s">
        <v>996</v>
      </c>
      <c r="C348" s="30" t="s">
        <v>3133</v>
      </c>
      <c r="D348" s="30" t="s">
        <v>3126</v>
      </c>
      <c r="E348" s="30" t="s">
        <v>98</v>
      </c>
      <c r="F348" s="49"/>
      <c r="G348" s="49">
        <v>4</v>
      </c>
      <c r="H348" s="49">
        <v>4</v>
      </c>
    </row>
    <row r="349" spans="1:8">
      <c r="A349" s="30" t="s">
        <v>3476</v>
      </c>
      <c r="B349" s="29" t="s">
        <v>999</v>
      </c>
      <c r="C349" s="30" t="s">
        <v>3125</v>
      </c>
      <c r="D349" s="30" t="s">
        <v>3126</v>
      </c>
      <c r="E349" s="30" t="s">
        <v>98</v>
      </c>
      <c r="F349" s="49">
        <v>1</v>
      </c>
      <c r="G349" s="49">
        <v>0</v>
      </c>
      <c r="H349" s="49">
        <v>1</v>
      </c>
    </row>
    <row r="350" spans="1:8">
      <c r="A350" s="30" t="s">
        <v>3477</v>
      </c>
      <c r="B350" s="29" t="s">
        <v>999</v>
      </c>
      <c r="C350" s="30" t="s">
        <v>3133</v>
      </c>
      <c r="D350" s="30" t="s">
        <v>3126</v>
      </c>
      <c r="E350" s="30" t="s">
        <v>98</v>
      </c>
      <c r="F350" s="49">
        <v>3</v>
      </c>
      <c r="G350" s="49">
        <v>0</v>
      </c>
      <c r="H350" s="49">
        <v>3</v>
      </c>
    </row>
    <row r="351" spans="1:8">
      <c r="A351" s="30" t="s">
        <v>3478</v>
      </c>
      <c r="B351" s="29" t="s">
        <v>1002</v>
      </c>
      <c r="C351" s="30" t="s">
        <v>3125</v>
      </c>
      <c r="D351" s="30" t="s">
        <v>3126</v>
      </c>
      <c r="E351" s="30" t="s">
        <v>98</v>
      </c>
      <c r="F351" s="49">
        <v>9</v>
      </c>
      <c r="G351" s="49">
        <v>0</v>
      </c>
      <c r="H351" s="49">
        <v>9</v>
      </c>
    </row>
    <row r="352" spans="1:8">
      <c r="A352" s="30" t="s">
        <v>3479</v>
      </c>
      <c r="B352" s="29" t="s">
        <v>1002</v>
      </c>
      <c r="C352" s="30" t="s">
        <v>3133</v>
      </c>
      <c r="D352" s="30" t="s">
        <v>3126</v>
      </c>
      <c r="E352" s="30" t="s">
        <v>98</v>
      </c>
      <c r="F352" s="49">
        <v>13</v>
      </c>
      <c r="G352" s="49">
        <v>0</v>
      </c>
      <c r="H352" s="49">
        <v>13</v>
      </c>
    </row>
    <row r="353" spans="1:8">
      <c r="A353" s="30" t="s">
        <v>3480</v>
      </c>
      <c r="B353" s="29" t="s">
        <v>1002</v>
      </c>
      <c r="C353" s="30" t="s">
        <v>3122</v>
      </c>
      <c r="D353" s="30" t="s">
        <v>3126</v>
      </c>
      <c r="E353" s="30" t="s">
        <v>98</v>
      </c>
      <c r="F353" s="49">
        <v>2</v>
      </c>
      <c r="G353" s="49">
        <v>0</v>
      </c>
      <c r="H353" s="49">
        <v>2</v>
      </c>
    </row>
    <row r="354" spans="1:8">
      <c r="A354" s="30" t="s">
        <v>3481</v>
      </c>
      <c r="B354" s="29" t="s">
        <v>1005</v>
      </c>
      <c r="C354" s="30" t="s">
        <v>3125</v>
      </c>
      <c r="D354" s="30" t="s">
        <v>3126</v>
      </c>
      <c r="E354" s="30" t="s">
        <v>98</v>
      </c>
      <c r="F354" s="49">
        <v>6</v>
      </c>
      <c r="G354" s="49">
        <v>0</v>
      </c>
      <c r="H354" s="49">
        <v>6</v>
      </c>
    </row>
    <row r="355" spans="1:8">
      <c r="A355" s="30" t="s">
        <v>3482</v>
      </c>
      <c r="B355" s="29" t="s">
        <v>1005</v>
      </c>
      <c r="C355" s="30" t="s">
        <v>3143</v>
      </c>
      <c r="D355" s="30" t="s">
        <v>3126</v>
      </c>
      <c r="E355" s="30" t="s">
        <v>98</v>
      </c>
      <c r="F355" s="49">
        <v>4</v>
      </c>
      <c r="G355" s="49">
        <v>0</v>
      </c>
      <c r="H355" s="49">
        <v>4</v>
      </c>
    </row>
    <row r="356" spans="1:8">
      <c r="A356" s="30" t="s">
        <v>3483</v>
      </c>
      <c r="B356" s="29" t="s">
        <v>1005</v>
      </c>
      <c r="C356" s="30" t="s">
        <v>3133</v>
      </c>
      <c r="D356" s="30" t="s">
        <v>3126</v>
      </c>
      <c r="E356" s="30" t="s">
        <v>98</v>
      </c>
      <c r="F356" s="49">
        <v>6</v>
      </c>
      <c r="G356" s="49">
        <v>0</v>
      </c>
      <c r="H356" s="49">
        <v>6</v>
      </c>
    </row>
    <row r="357" spans="1:8">
      <c r="A357" s="30" t="s">
        <v>3484</v>
      </c>
      <c r="B357" s="29" t="s">
        <v>1005</v>
      </c>
      <c r="C357" s="30" t="s">
        <v>3122</v>
      </c>
      <c r="D357" s="30" t="s">
        <v>3126</v>
      </c>
      <c r="E357" s="30" t="s">
        <v>98</v>
      </c>
      <c r="F357" s="49">
        <v>3</v>
      </c>
      <c r="G357" s="49">
        <v>0</v>
      </c>
      <c r="H357" s="49">
        <v>3</v>
      </c>
    </row>
    <row r="358" spans="1:8">
      <c r="A358" s="30" t="s">
        <v>3485</v>
      </c>
      <c r="B358" s="29" t="s">
        <v>1008</v>
      </c>
      <c r="C358" s="30" t="s">
        <v>3125</v>
      </c>
      <c r="D358" s="30" t="s">
        <v>3126</v>
      </c>
      <c r="E358" s="30" t="s">
        <v>98</v>
      </c>
      <c r="F358" s="49">
        <v>11</v>
      </c>
      <c r="G358" s="49">
        <v>0</v>
      </c>
      <c r="H358" s="49">
        <v>11</v>
      </c>
    </row>
    <row r="359" spans="1:8">
      <c r="A359" s="30" t="s">
        <v>3486</v>
      </c>
      <c r="B359" s="29" t="s">
        <v>1008</v>
      </c>
      <c r="C359" s="30" t="s">
        <v>3143</v>
      </c>
      <c r="D359" s="30" t="s">
        <v>3126</v>
      </c>
      <c r="E359" s="30" t="s">
        <v>98</v>
      </c>
      <c r="F359" s="49">
        <v>5</v>
      </c>
      <c r="G359" s="49">
        <v>0</v>
      </c>
      <c r="H359" s="49">
        <v>5</v>
      </c>
    </row>
    <row r="360" spans="1:8">
      <c r="A360" s="30" t="s">
        <v>3487</v>
      </c>
      <c r="B360" s="29" t="s">
        <v>1008</v>
      </c>
      <c r="C360" s="30" t="s">
        <v>3133</v>
      </c>
      <c r="D360" s="30" t="s">
        <v>3126</v>
      </c>
      <c r="E360" s="30" t="s">
        <v>98</v>
      </c>
      <c r="F360" s="49">
        <v>6</v>
      </c>
      <c r="G360" s="49">
        <v>0</v>
      </c>
      <c r="H360" s="49">
        <v>6</v>
      </c>
    </row>
    <row r="361" spans="1:8">
      <c r="A361" s="30" t="s">
        <v>3488</v>
      </c>
      <c r="B361" s="29" t="s">
        <v>1008</v>
      </c>
      <c r="C361" s="30" t="s">
        <v>3122</v>
      </c>
      <c r="D361" s="30" t="s">
        <v>3126</v>
      </c>
      <c r="E361" s="30" t="s">
        <v>98</v>
      </c>
      <c r="F361" s="49">
        <v>3</v>
      </c>
      <c r="G361" s="49">
        <v>0</v>
      </c>
      <c r="H361" s="49">
        <v>3</v>
      </c>
    </row>
    <row r="362" spans="1:8">
      <c r="A362" s="30" t="s">
        <v>3489</v>
      </c>
      <c r="B362" s="29" t="s">
        <v>1011</v>
      </c>
      <c r="C362" s="30" t="s">
        <v>3145</v>
      </c>
      <c r="D362" s="30" t="s">
        <v>3126</v>
      </c>
      <c r="E362" s="30" t="s">
        <v>98</v>
      </c>
      <c r="F362" s="49"/>
      <c r="G362" s="49">
        <v>125</v>
      </c>
      <c r="H362" s="49">
        <v>125</v>
      </c>
    </row>
    <row r="363" spans="1:8">
      <c r="A363" s="30" t="s">
        <v>3490</v>
      </c>
      <c r="B363" s="29" t="s">
        <v>1011</v>
      </c>
      <c r="C363" s="30" t="s">
        <v>3133</v>
      </c>
      <c r="D363" s="30" t="s">
        <v>3126</v>
      </c>
      <c r="E363" s="30" t="s">
        <v>98</v>
      </c>
      <c r="F363" s="49"/>
      <c r="G363" s="49">
        <v>115</v>
      </c>
      <c r="H363" s="49">
        <v>115</v>
      </c>
    </row>
    <row r="364" spans="1:8">
      <c r="A364" s="30" t="s">
        <v>3491</v>
      </c>
      <c r="B364" s="29" t="s">
        <v>1011</v>
      </c>
      <c r="C364" s="30" t="s">
        <v>3122</v>
      </c>
      <c r="D364" s="30" t="s">
        <v>3126</v>
      </c>
      <c r="E364" s="30" t="s">
        <v>98</v>
      </c>
      <c r="F364" s="49"/>
      <c r="G364" s="49">
        <v>129</v>
      </c>
      <c r="H364" s="49">
        <v>129</v>
      </c>
    </row>
    <row r="365" spans="1:8">
      <c r="A365" s="30" t="s">
        <v>3492</v>
      </c>
      <c r="B365" s="29" t="s">
        <v>1016</v>
      </c>
      <c r="C365" s="30" t="s">
        <v>3133</v>
      </c>
      <c r="D365" s="30" t="s">
        <v>3126</v>
      </c>
      <c r="E365" s="30" t="s">
        <v>98</v>
      </c>
      <c r="F365" s="49"/>
      <c r="G365" s="49">
        <v>9</v>
      </c>
      <c r="H365" s="49">
        <v>9</v>
      </c>
    </row>
    <row r="366" spans="1:8">
      <c r="A366" s="30" t="s">
        <v>3493</v>
      </c>
      <c r="B366" s="29" t="s">
        <v>1020</v>
      </c>
      <c r="C366" s="30" t="s">
        <v>3133</v>
      </c>
      <c r="D366" s="30" t="s">
        <v>3126</v>
      </c>
      <c r="E366" s="30" t="s">
        <v>98</v>
      </c>
      <c r="F366" s="49"/>
      <c r="G366" s="49">
        <v>40</v>
      </c>
      <c r="H366" s="49">
        <v>40</v>
      </c>
    </row>
    <row r="367" spans="1:8">
      <c r="A367" s="30" t="s">
        <v>3494</v>
      </c>
      <c r="B367" s="29" t="s">
        <v>1024</v>
      </c>
      <c r="C367" s="30" t="s">
        <v>3133</v>
      </c>
      <c r="D367" s="30" t="s">
        <v>3126</v>
      </c>
      <c r="E367" s="30" t="s">
        <v>98</v>
      </c>
      <c r="F367" s="49"/>
      <c r="G367" s="49">
        <v>220</v>
      </c>
      <c r="H367" s="49">
        <v>220</v>
      </c>
    </row>
    <row r="368" spans="1:8">
      <c r="A368" s="30" t="s">
        <v>3495</v>
      </c>
      <c r="B368" s="29" t="s">
        <v>1027</v>
      </c>
      <c r="C368" s="30" t="s">
        <v>3133</v>
      </c>
      <c r="D368" s="30" t="s">
        <v>3126</v>
      </c>
      <c r="E368" s="30" t="s">
        <v>98</v>
      </c>
      <c r="F368" s="49"/>
      <c r="G368" s="49">
        <v>130</v>
      </c>
      <c r="H368" s="49">
        <v>130</v>
      </c>
    </row>
    <row r="369" spans="1:8">
      <c r="A369" s="30" t="s">
        <v>3496</v>
      </c>
      <c r="B369" s="29" t="s">
        <v>1027</v>
      </c>
      <c r="C369" s="30" t="s">
        <v>3145</v>
      </c>
      <c r="D369" s="30" t="s">
        <v>3126</v>
      </c>
      <c r="E369" s="30" t="s">
        <v>98</v>
      </c>
      <c r="F369" s="49"/>
      <c r="G369" s="49">
        <v>104</v>
      </c>
      <c r="H369" s="49">
        <v>104</v>
      </c>
    </row>
    <row r="370" spans="1:8">
      <c r="A370" s="30" t="s">
        <v>3497</v>
      </c>
      <c r="B370" s="29" t="s">
        <v>1031</v>
      </c>
      <c r="C370" s="30" t="s">
        <v>3145</v>
      </c>
      <c r="D370" s="30" t="s">
        <v>3126</v>
      </c>
      <c r="E370" s="30" t="s">
        <v>98</v>
      </c>
      <c r="F370" s="49"/>
      <c r="G370" s="49">
        <v>5</v>
      </c>
      <c r="H370" s="49">
        <v>5</v>
      </c>
    </row>
    <row r="371" spans="1:8">
      <c r="A371" s="30" t="s">
        <v>3498</v>
      </c>
      <c r="B371" s="29" t="s">
        <v>1035</v>
      </c>
      <c r="C371" s="30" t="s">
        <v>3145</v>
      </c>
      <c r="D371" s="30" t="s">
        <v>3123</v>
      </c>
      <c r="E371" s="30" t="s">
        <v>698</v>
      </c>
      <c r="F371" s="49">
        <v>26</v>
      </c>
      <c r="G371" s="49">
        <v>0</v>
      </c>
      <c r="H371" s="49">
        <v>26</v>
      </c>
    </row>
    <row r="372" spans="1:8">
      <c r="A372" s="30" t="s">
        <v>3499</v>
      </c>
      <c r="B372" s="29" t="s">
        <v>1043</v>
      </c>
      <c r="C372" s="30" t="s">
        <v>3143</v>
      </c>
      <c r="D372" s="30" t="s">
        <v>3126</v>
      </c>
      <c r="E372" s="30" t="s">
        <v>98</v>
      </c>
      <c r="F372" s="49"/>
      <c r="G372" s="49">
        <v>42</v>
      </c>
      <c r="H372" s="49">
        <v>42</v>
      </c>
    </row>
    <row r="373" spans="1:8">
      <c r="A373" s="30" t="s">
        <v>3500</v>
      </c>
      <c r="B373" s="29" t="s">
        <v>1043</v>
      </c>
      <c r="C373" s="30" t="s">
        <v>3133</v>
      </c>
      <c r="D373" s="30" t="s">
        <v>3126</v>
      </c>
      <c r="E373" s="30" t="s">
        <v>98</v>
      </c>
      <c r="F373" s="49"/>
      <c r="G373" s="49">
        <v>2</v>
      </c>
      <c r="H373" s="49">
        <v>2</v>
      </c>
    </row>
    <row r="374" spans="1:8">
      <c r="A374" s="30" t="s">
        <v>3501</v>
      </c>
      <c r="B374" s="29" t="s">
        <v>1047</v>
      </c>
      <c r="C374" s="30" t="s">
        <v>3125</v>
      </c>
      <c r="D374" s="30" t="s">
        <v>3126</v>
      </c>
      <c r="E374" s="30" t="s">
        <v>98</v>
      </c>
      <c r="F374" s="49"/>
      <c r="G374" s="49">
        <v>27</v>
      </c>
      <c r="H374" s="49">
        <v>27</v>
      </c>
    </row>
    <row r="375" spans="1:8">
      <c r="A375" s="30" t="s">
        <v>3502</v>
      </c>
      <c r="B375" s="29" t="s">
        <v>1047</v>
      </c>
      <c r="C375" s="30" t="s">
        <v>3133</v>
      </c>
      <c r="D375" s="30" t="s">
        <v>3126</v>
      </c>
      <c r="E375" s="30" t="s">
        <v>98</v>
      </c>
      <c r="F375" s="49"/>
      <c r="G375" s="49">
        <v>2</v>
      </c>
      <c r="H375" s="49">
        <v>2</v>
      </c>
    </row>
    <row r="376" spans="1:8">
      <c r="A376" s="30" t="s">
        <v>3503</v>
      </c>
      <c r="B376" s="29" t="s">
        <v>1050</v>
      </c>
      <c r="C376" s="30" t="s">
        <v>3133</v>
      </c>
      <c r="D376" s="30" t="s">
        <v>3126</v>
      </c>
      <c r="E376" s="30" t="s">
        <v>98</v>
      </c>
      <c r="F376" s="49"/>
      <c r="G376" s="49">
        <v>21</v>
      </c>
      <c r="H376" s="49">
        <v>21</v>
      </c>
    </row>
    <row r="377" spans="1:8">
      <c r="A377" s="30" t="s">
        <v>3504</v>
      </c>
      <c r="B377" s="29" t="s">
        <v>1053</v>
      </c>
      <c r="C377" s="30" t="s">
        <v>3133</v>
      </c>
      <c r="D377" s="30" t="s">
        <v>3126</v>
      </c>
      <c r="E377" s="30" t="s">
        <v>98</v>
      </c>
      <c r="F377" s="49"/>
      <c r="G377" s="49">
        <v>8</v>
      </c>
      <c r="H377" s="49">
        <v>8</v>
      </c>
    </row>
    <row r="378" spans="1:8">
      <c r="A378" s="30" t="s">
        <v>3505</v>
      </c>
      <c r="B378" s="29" t="s">
        <v>1053</v>
      </c>
      <c r="C378" s="30" t="s">
        <v>3125</v>
      </c>
      <c r="D378" s="30" t="s">
        <v>3126</v>
      </c>
      <c r="E378" s="30" t="s">
        <v>98</v>
      </c>
      <c r="F378" s="49"/>
      <c r="G378" s="49">
        <v>1</v>
      </c>
      <c r="H378" s="49">
        <v>1</v>
      </c>
    </row>
    <row r="379" spans="1:8">
      <c r="A379" s="30" t="s">
        <v>3506</v>
      </c>
      <c r="B379" s="29" t="s">
        <v>1056</v>
      </c>
      <c r="C379" s="30" t="s">
        <v>3125</v>
      </c>
      <c r="D379" s="30" t="s">
        <v>3126</v>
      </c>
      <c r="E379" s="30" t="s">
        <v>98</v>
      </c>
      <c r="F379" s="49"/>
      <c r="G379" s="49">
        <v>1</v>
      </c>
      <c r="H379" s="49">
        <v>1</v>
      </c>
    </row>
    <row r="380" spans="1:8">
      <c r="A380" s="30" t="s">
        <v>3507</v>
      </c>
      <c r="B380" s="29" t="s">
        <v>1056</v>
      </c>
      <c r="C380" s="30" t="s">
        <v>3133</v>
      </c>
      <c r="D380" s="30" t="s">
        <v>3126</v>
      </c>
      <c r="E380" s="30" t="s">
        <v>98</v>
      </c>
      <c r="F380" s="49"/>
      <c r="G380" s="49">
        <v>8</v>
      </c>
      <c r="H380" s="49">
        <v>8</v>
      </c>
    </row>
    <row r="381" spans="1:8">
      <c r="A381" s="30" t="s">
        <v>3508</v>
      </c>
      <c r="B381" s="29" t="s">
        <v>1058</v>
      </c>
      <c r="C381" s="30" t="s">
        <v>3143</v>
      </c>
      <c r="D381" s="30" t="s">
        <v>3126</v>
      </c>
      <c r="E381" s="30" t="s">
        <v>98</v>
      </c>
      <c r="F381" s="49"/>
      <c r="G381" s="49">
        <v>12</v>
      </c>
      <c r="H381" s="49">
        <v>12</v>
      </c>
    </row>
    <row r="382" spans="1:8">
      <c r="A382" s="30" t="s">
        <v>3509</v>
      </c>
      <c r="B382" s="29" t="s">
        <v>1058</v>
      </c>
      <c r="C382" s="30" t="s">
        <v>3145</v>
      </c>
      <c r="D382" s="30" t="s">
        <v>3126</v>
      </c>
      <c r="E382" s="30" t="s">
        <v>98</v>
      </c>
      <c r="F382" s="49"/>
      <c r="G382" s="49">
        <v>14</v>
      </c>
      <c r="H382" s="49">
        <v>14</v>
      </c>
    </row>
    <row r="383" spans="1:8">
      <c r="A383" s="30" t="s">
        <v>3510</v>
      </c>
      <c r="B383" s="29" t="s">
        <v>1061</v>
      </c>
      <c r="C383" s="30" t="s">
        <v>3125</v>
      </c>
      <c r="D383" s="30" t="s">
        <v>3511</v>
      </c>
      <c r="E383" s="30" t="s">
        <v>98</v>
      </c>
      <c r="F383" s="49">
        <v>3</v>
      </c>
      <c r="G383" s="49">
        <v>0</v>
      </c>
      <c r="H383" s="49">
        <v>3</v>
      </c>
    </row>
    <row r="384" spans="1:8">
      <c r="A384" s="30" t="s">
        <v>3512</v>
      </c>
      <c r="B384" s="29" t="s">
        <v>1061</v>
      </c>
      <c r="C384" s="30" t="s">
        <v>3143</v>
      </c>
      <c r="D384" s="30" t="s">
        <v>3511</v>
      </c>
      <c r="E384" s="30" t="s">
        <v>3513</v>
      </c>
      <c r="F384" s="49">
        <v>2</v>
      </c>
      <c r="G384" s="49">
        <v>0</v>
      </c>
      <c r="H384" s="49">
        <v>2</v>
      </c>
    </row>
    <row r="385" spans="1:8">
      <c r="A385" s="30" t="s">
        <v>3514</v>
      </c>
      <c r="B385" s="29" t="s">
        <v>1061</v>
      </c>
      <c r="C385" s="30" t="s">
        <v>3145</v>
      </c>
      <c r="D385" s="30" t="s">
        <v>3511</v>
      </c>
      <c r="E385" s="30" t="s">
        <v>98</v>
      </c>
      <c r="F385" s="49">
        <v>3</v>
      </c>
      <c r="G385" s="49">
        <v>0</v>
      </c>
      <c r="H385" s="49">
        <v>3</v>
      </c>
    </row>
    <row r="386" spans="1:8">
      <c r="A386" s="30" t="s">
        <v>3515</v>
      </c>
      <c r="B386" s="29" t="s">
        <v>1061</v>
      </c>
      <c r="C386" s="30" t="s">
        <v>3133</v>
      </c>
      <c r="D386" s="30" t="s">
        <v>3511</v>
      </c>
      <c r="E386" s="30" t="s">
        <v>98</v>
      </c>
      <c r="F386" s="49">
        <v>3</v>
      </c>
      <c r="G386" s="49">
        <v>0</v>
      </c>
      <c r="H386" s="49">
        <v>3</v>
      </c>
    </row>
    <row r="387" spans="1:8">
      <c r="A387" s="30" t="s">
        <v>3516</v>
      </c>
      <c r="B387" s="29" t="s">
        <v>1064</v>
      </c>
      <c r="C387" s="30" t="s">
        <v>3125</v>
      </c>
      <c r="D387" s="30" t="s">
        <v>3126</v>
      </c>
      <c r="E387" s="30" t="s">
        <v>698</v>
      </c>
      <c r="F387" s="49">
        <v>16</v>
      </c>
      <c r="G387" s="49">
        <v>0</v>
      </c>
      <c r="H387" s="49">
        <v>16</v>
      </c>
    </row>
    <row r="388" spans="1:8">
      <c r="A388" s="30" t="s">
        <v>3517</v>
      </c>
      <c r="B388" s="29" t="s">
        <v>1064</v>
      </c>
      <c r="C388" s="30" t="s">
        <v>3143</v>
      </c>
      <c r="D388" s="30" t="s">
        <v>3126</v>
      </c>
      <c r="E388" s="30" t="s">
        <v>698</v>
      </c>
      <c r="F388" s="49">
        <v>8</v>
      </c>
      <c r="G388" s="49">
        <v>0</v>
      </c>
      <c r="H388" s="49">
        <v>8</v>
      </c>
    </row>
    <row r="389" spans="1:8">
      <c r="A389" s="30" t="s">
        <v>3518</v>
      </c>
      <c r="B389" s="29" t="s">
        <v>1064</v>
      </c>
      <c r="C389" s="30" t="s">
        <v>3145</v>
      </c>
      <c r="D389" s="30" t="s">
        <v>3126</v>
      </c>
      <c r="E389" s="30" t="s">
        <v>698</v>
      </c>
      <c r="F389" s="49">
        <v>21</v>
      </c>
      <c r="G389" s="49">
        <v>0</v>
      </c>
      <c r="H389" s="49">
        <v>21</v>
      </c>
    </row>
    <row r="390" spans="1:8">
      <c r="A390" s="30" t="s">
        <v>3519</v>
      </c>
      <c r="B390" s="29" t="s">
        <v>1064</v>
      </c>
      <c r="C390" s="30" t="s">
        <v>3133</v>
      </c>
      <c r="D390" s="30" t="s">
        <v>3126</v>
      </c>
      <c r="E390" s="30" t="s">
        <v>698</v>
      </c>
      <c r="F390" s="49">
        <v>15</v>
      </c>
      <c r="G390" s="49">
        <v>0</v>
      </c>
      <c r="H390" s="49">
        <v>15</v>
      </c>
    </row>
    <row r="391" spans="1:8">
      <c r="A391" s="30" t="s">
        <v>3520</v>
      </c>
      <c r="B391" s="29" t="s">
        <v>1064</v>
      </c>
      <c r="C391" s="30" t="s">
        <v>3122</v>
      </c>
      <c r="D391" s="30" t="s">
        <v>3126</v>
      </c>
      <c r="E391" s="30" t="s">
        <v>698</v>
      </c>
      <c r="F391" s="49">
        <v>6</v>
      </c>
      <c r="G391" s="49">
        <v>0</v>
      </c>
      <c r="H391" s="49">
        <v>6</v>
      </c>
    </row>
    <row r="392" spans="1:8">
      <c r="A392" s="30" t="s">
        <v>3521</v>
      </c>
      <c r="B392" s="29" t="s">
        <v>1071</v>
      </c>
      <c r="C392" s="30" t="s">
        <v>3143</v>
      </c>
      <c r="D392" s="30" t="s">
        <v>3126</v>
      </c>
      <c r="E392" s="30" t="s">
        <v>824</v>
      </c>
      <c r="F392" s="49">
        <v>15</v>
      </c>
      <c r="G392" s="49">
        <v>0</v>
      </c>
      <c r="H392" s="49">
        <v>15</v>
      </c>
    </row>
    <row r="393" spans="1:8">
      <c r="A393" s="30" t="s">
        <v>3522</v>
      </c>
      <c r="B393" s="29" t="s">
        <v>1071</v>
      </c>
      <c r="C393" s="30" t="s">
        <v>3145</v>
      </c>
      <c r="D393" s="30" t="s">
        <v>3126</v>
      </c>
      <c r="E393" s="30" t="s">
        <v>824</v>
      </c>
      <c r="F393" s="49">
        <v>17</v>
      </c>
      <c r="G393" s="49">
        <v>0</v>
      </c>
      <c r="H393" s="49">
        <v>17</v>
      </c>
    </row>
    <row r="394" spans="1:8">
      <c r="A394" s="30" t="s">
        <v>3523</v>
      </c>
      <c r="B394" s="29" t="s">
        <v>1071</v>
      </c>
      <c r="C394" s="30" t="s">
        <v>3133</v>
      </c>
      <c r="D394" s="30" t="s">
        <v>3126</v>
      </c>
      <c r="E394" s="30" t="s">
        <v>98</v>
      </c>
      <c r="F394" s="49">
        <v>6</v>
      </c>
      <c r="G394" s="49">
        <v>0</v>
      </c>
      <c r="H394" s="49">
        <v>6</v>
      </c>
    </row>
    <row r="395" spans="1:8">
      <c r="A395" s="30" t="s">
        <v>3524</v>
      </c>
      <c r="B395" s="29" t="s">
        <v>1074</v>
      </c>
      <c r="C395" s="30" t="s">
        <v>3133</v>
      </c>
      <c r="D395" s="30" t="s">
        <v>3525</v>
      </c>
      <c r="E395" s="30" t="s">
        <v>98</v>
      </c>
      <c r="F395" s="49"/>
      <c r="G395" s="49">
        <v>1</v>
      </c>
      <c r="H395" s="49">
        <v>1</v>
      </c>
    </row>
    <row r="396" spans="1:8">
      <c r="A396" s="30" t="s">
        <v>3526</v>
      </c>
      <c r="B396" s="29" t="s">
        <v>1077</v>
      </c>
      <c r="C396" s="30" t="s">
        <v>3133</v>
      </c>
      <c r="D396" s="30" t="s">
        <v>3126</v>
      </c>
      <c r="E396" s="30" t="s">
        <v>98</v>
      </c>
      <c r="F396" s="49"/>
      <c r="G396" s="49">
        <v>4</v>
      </c>
      <c r="H396" s="49">
        <v>4</v>
      </c>
    </row>
    <row r="397" spans="1:8">
      <c r="A397" s="30" t="s">
        <v>3527</v>
      </c>
      <c r="B397" s="29" t="s">
        <v>1077</v>
      </c>
      <c r="C397" s="30" t="s">
        <v>3143</v>
      </c>
      <c r="D397" s="30" t="s">
        <v>3126</v>
      </c>
      <c r="E397" s="30" t="s">
        <v>98</v>
      </c>
      <c r="F397" s="49"/>
      <c r="G397" s="49">
        <v>40</v>
      </c>
      <c r="H397" s="49">
        <v>40</v>
      </c>
    </row>
    <row r="398" spans="1:8">
      <c r="A398" s="30" t="s">
        <v>3528</v>
      </c>
      <c r="B398" s="29" t="s">
        <v>1079</v>
      </c>
      <c r="C398" s="30" t="s">
        <v>3125</v>
      </c>
      <c r="D398" s="30" t="s">
        <v>3126</v>
      </c>
      <c r="E398" s="30" t="s">
        <v>98</v>
      </c>
      <c r="F398" s="49"/>
      <c r="G398" s="49">
        <v>26</v>
      </c>
      <c r="H398" s="49">
        <v>26</v>
      </c>
    </row>
    <row r="399" spans="1:8">
      <c r="A399" s="30" t="s">
        <v>3529</v>
      </c>
      <c r="B399" s="29" t="s">
        <v>1079</v>
      </c>
      <c r="C399" s="30" t="s">
        <v>3133</v>
      </c>
      <c r="D399" s="30" t="s">
        <v>3126</v>
      </c>
      <c r="E399" s="30" t="s">
        <v>98</v>
      </c>
      <c r="F399" s="49"/>
      <c r="G399" s="49">
        <v>3</v>
      </c>
      <c r="H399" s="49">
        <v>3</v>
      </c>
    </row>
    <row r="400" spans="1:8">
      <c r="A400" s="30" t="s">
        <v>3530</v>
      </c>
      <c r="B400" s="29" t="s">
        <v>1082</v>
      </c>
      <c r="C400" s="30" t="s">
        <v>3133</v>
      </c>
      <c r="D400" s="30" t="s">
        <v>3126</v>
      </c>
      <c r="E400" s="30" t="s">
        <v>98</v>
      </c>
      <c r="F400" s="49"/>
      <c r="G400" s="49">
        <v>21</v>
      </c>
      <c r="H400" s="49">
        <v>21</v>
      </c>
    </row>
    <row r="401" spans="1:8">
      <c r="A401" s="30" t="s">
        <v>3531</v>
      </c>
      <c r="B401" s="29" t="s">
        <v>1085</v>
      </c>
      <c r="C401" s="30" t="s">
        <v>3145</v>
      </c>
      <c r="D401" s="30" t="s">
        <v>3126</v>
      </c>
      <c r="E401" s="30" t="s">
        <v>98</v>
      </c>
      <c r="F401" s="49"/>
      <c r="G401" s="49">
        <v>9</v>
      </c>
      <c r="H401" s="49">
        <v>9</v>
      </c>
    </row>
    <row r="402" spans="1:8">
      <c r="A402" s="30" t="s">
        <v>3532</v>
      </c>
      <c r="B402" s="29" t="s">
        <v>1088</v>
      </c>
      <c r="C402" s="30" t="s">
        <v>3133</v>
      </c>
      <c r="D402" s="30" t="s">
        <v>3126</v>
      </c>
      <c r="E402" s="30" t="s">
        <v>98</v>
      </c>
      <c r="F402" s="49"/>
      <c r="G402" s="49">
        <v>9</v>
      </c>
      <c r="H402" s="49">
        <v>9</v>
      </c>
    </row>
    <row r="403" spans="1:8">
      <c r="A403" s="30" t="s">
        <v>3533</v>
      </c>
      <c r="B403" s="29" t="s">
        <v>1090</v>
      </c>
      <c r="C403" s="30" t="s">
        <v>3145</v>
      </c>
      <c r="D403" s="30" t="s">
        <v>3126</v>
      </c>
      <c r="E403" s="30" t="s">
        <v>98</v>
      </c>
      <c r="F403" s="49"/>
      <c r="G403" s="49">
        <v>26</v>
      </c>
      <c r="H403" s="49">
        <v>26</v>
      </c>
    </row>
    <row r="404" spans="1:8">
      <c r="A404" s="30" t="s">
        <v>3534</v>
      </c>
      <c r="B404" s="29" t="s">
        <v>1092</v>
      </c>
      <c r="C404" s="30" t="s">
        <v>3145</v>
      </c>
      <c r="D404" s="30" t="s">
        <v>3126</v>
      </c>
      <c r="E404" s="30" t="s">
        <v>98</v>
      </c>
      <c r="F404" s="49"/>
      <c r="G404" s="49">
        <v>30</v>
      </c>
      <c r="H404" s="49">
        <v>30</v>
      </c>
    </row>
    <row r="405" spans="1:8">
      <c r="A405" s="30" t="s">
        <v>3535</v>
      </c>
      <c r="B405" s="29" t="s">
        <v>1095</v>
      </c>
      <c r="C405" s="30" t="s">
        <v>3145</v>
      </c>
      <c r="D405" s="30" t="s">
        <v>3126</v>
      </c>
      <c r="E405" s="30" t="s">
        <v>98</v>
      </c>
      <c r="F405" s="49"/>
      <c r="G405" s="49">
        <v>2</v>
      </c>
      <c r="H405" s="49">
        <v>2</v>
      </c>
    </row>
    <row r="406" spans="1:8">
      <c r="A406" s="30" t="s">
        <v>3536</v>
      </c>
      <c r="B406" s="29" t="s">
        <v>1097</v>
      </c>
      <c r="C406" s="30" t="s">
        <v>3145</v>
      </c>
      <c r="D406" s="30" t="s">
        <v>3126</v>
      </c>
      <c r="E406" s="30" t="s">
        <v>98</v>
      </c>
      <c r="F406" s="49"/>
      <c r="G406" s="49">
        <v>30</v>
      </c>
      <c r="H406" s="49">
        <v>30</v>
      </c>
    </row>
    <row r="407" spans="1:8">
      <c r="A407" s="30" t="s">
        <v>3537</v>
      </c>
      <c r="B407" s="29" t="s">
        <v>1100</v>
      </c>
      <c r="C407" s="30" t="s">
        <v>3125</v>
      </c>
      <c r="D407" s="30" t="s">
        <v>3126</v>
      </c>
      <c r="E407" s="30" t="s">
        <v>98</v>
      </c>
      <c r="F407" s="49">
        <v>7</v>
      </c>
      <c r="G407" s="49">
        <v>0</v>
      </c>
      <c r="H407" s="49">
        <v>7</v>
      </c>
    </row>
    <row r="408" spans="1:8">
      <c r="A408" s="30" t="s">
        <v>3538</v>
      </c>
      <c r="B408" s="29" t="s">
        <v>1100</v>
      </c>
      <c r="C408" s="30" t="s">
        <v>3133</v>
      </c>
      <c r="D408" s="30" t="s">
        <v>3126</v>
      </c>
      <c r="E408" s="30" t="s">
        <v>98</v>
      </c>
      <c r="F408" s="49">
        <v>3</v>
      </c>
      <c r="G408" s="49">
        <v>0</v>
      </c>
      <c r="H408" s="49">
        <v>3</v>
      </c>
    </row>
    <row r="409" spans="1:8">
      <c r="A409" s="30" t="s">
        <v>3539</v>
      </c>
      <c r="B409" s="29" t="s">
        <v>1104</v>
      </c>
      <c r="C409" s="30" t="s">
        <v>3145</v>
      </c>
      <c r="D409" s="30" t="s">
        <v>3126</v>
      </c>
      <c r="E409" s="30" t="s">
        <v>98</v>
      </c>
      <c r="F409" s="49"/>
      <c r="G409" s="49">
        <v>11</v>
      </c>
      <c r="H409" s="49">
        <v>11</v>
      </c>
    </row>
    <row r="410" spans="1:8">
      <c r="A410" s="30" t="s">
        <v>3540</v>
      </c>
      <c r="B410" s="29" t="s">
        <v>1107</v>
      </c>
      <c r="C410" s="30" t="s">
        <v>3145</v>
      </c>
      <c r="D410" s="30" t="s">
        <v>3126</v>
      </c>
      <c r="E410" s="30" t="s">
        <v>98</v>
      </c>
      <c r="F410" s="49"/>
      <c r="G410" s="49">
        <v>17</v>
      </c>
      <c r="H410" s="49">
        <v>17</v>
      </c>
    </row>
    <row r="411" spans="1:8">
      <c r="A411" s="30" t="s">
        <v>3541</v>
      </c>
      <c r="B411" s="29" t="s">
        <v>1110</v>
      </c>
      <c r="C411" s="30" t="s">
        <v>3133</v>
      </c>
      <c r="D411" s="30" t="s">
        <v>3126</v>
      </c>
      <c r="E411" s="30" t="s">
        <v>98</v>
      </c>
      <c r="F411" s="49"/>
      <c r="G411" s="49">
        <v>2</v>
      </c>
      <c r="H411" s="49">
        <v>2</v>
      </c>
    </row>
    <row r="412" spans="1:8">
      <c r="A412" s="30" t="s">
        <v>3542</v>
      </c>
      <c r="B412" s="29" t="s">
        <v>1112</v>
      </c>
      <c r="C412" s="30" t="s">
        <v>3125</v>
      </c>
      <c r="D412" s="30" t="s">
        <v>3126</v>
      </c>
      <c r="E412" s="30" t="s">
        <v>98</v>
      </c>
      <c r="F412" s="49"/>
      <c r="G412" s="49">
        <v>20</v>
      </c>
      <c r="H412" s="49">
        <v>20</v>
      </c>
    </row>
    <row r="413" spans="1:8">
      <c r="A413" s="30" t="s">
        <v>3543</v>
      </c>
      <c r="B413" s="29" t="s">
        <v>1112</v>
      </c>
      <c r="C413" s="30" t="s">
        <v>3133</v>
      </c>
      <c r="D413" s="30" t="s">
        <v>3126</v>
      </c>
      <c r="E413" s="30" t="s">
        <v>98</v>
      </c>
      <c r="F413" s="49"/>
      <c r="G413" s="49">
        <v>7</v>
      </c>
      <c r="H413" s="49">
        <v>7</v>
      </c>
    </row>
    <row r="414" spans="1:8">
      <c r="A414" s="30" t="s">
        <v>3544</v>
      </c>
      <c r="B414" s="29" t="s">
        <v>1115</v>
      </c>
      <c r="C414" s="30" t="s">
        <v>3125</v>
      </c>
      <c r="D414" s="30" t="s">
        <v>3511</v>
      </c>
      <c r="E414" s="30" t="s">
        <v>98</v>
      </c>
      <c r="F414" s="49"/>
      <c r="G414" s="49">
        <v>162</v>
      </c>
      <c r="H414" s="49">
        <v>162</v>
      </c>
    </row>
    <row r="415" spans="1:8">
      <c r="A415" s="30" t="s">
        <v>3545</v>
      </c>
      <c r="B415" s="29" t="s">
        <v>1115</v>
      </c>
      <c r="C415" s="30" t="s">
        <v>3143</v>
      </c>
      <c r="D415" s="30" t="s">
        <v>3511</v>
      </c>
      <c r="E415" s="30" t="s">
        <v>98</v>
      </c>
      <c r="F415" s="49"/>
      <c r="G415" s="49">
        <v>50</v>
      </c>
      <c r="H415" s="49">
        <v>50</v>
      </c>
    </row>
    <row r="416" spans="1:8">
      <c r="A416" s="30" t="s">
        <v>3546</v>
      </c>
      <c r="B416" s="29" t="s">
        <v>1118</v>
      </c>
      <c r="C416" s="30" t="s">
        <v>3145</v>
      </c>
      <c r="D416" s="30" t="s">
        <v>3511</v>
      </c>
      <c r="E416" s="30" t="s">
        <v>98</v>
      </c>
      <c r="F416" s="49"/>
      <c r="G416" s="49">
        <v>69</v>
      </c>
      <c r="H416" s="49">
        <v>69</v>
      </c>
    </row>
    <row r="417" spans="1:8">
      <c r="A417" s="30" t="s">
        <v>3547</v>
      </c>
      <c r="B417" s="29" t="s">
        <v>1118</v>
      </c>
      <c r="C417" s="30" t="s">
        <v>3133</v>
      </c>
      <c r="D417" s="30" t="s">
        <v>3511</v>
      </c>
      <c r="E417" s="30" t="s">
        <v>98</v>
      </c>
      <c r="F417" s="49"/>
      <c r="G417" s="49">
        <v>100</v>
      </c>
      <c r="H417" s="49">
        <v>100</v>
      </c>
    </row>
    <row r="418" spans="1:8">
      <c r="A418" s="30" t="s">
        <v>3548</v>
      </c>
      <c r="B418" s="29" t="s">
        <v>1118</v>
      </c>
      <c r="C418" s="30" t="s">
        <v>3122</v>
      </c>
      <c r="D418" s="30" t="s">
        <v>3511</v>
      </c>
      <c r="E418" s="30" t="s">
        <v>98</v>
      </c>
      <c r="F418" s="49"/>
      <c r="G418" s="49">
        <v>45</v>
      </c>
      <c r="H418" s="49">
        <v>45</v>
      </c>
    </row>
    <row r="419" spans="1:8">
      <c r="A419" s="30" t="s">
        <v>3549</v>
      </c>
      <c r="B419" s="29" t="s">
        <v>1120</v>
      </c>
      <c r="C419" s="30" t="s">
        <v>3133</v>
      </c>
      <c r="D419" s="30" t="s">
        <v>3511</v>
      </c>
      <c r="E419" s="30" t="s">
        <v>98</v>
      </c>
      <c r="F419" s="49"/>
      <c r="G419" s="49">
        <v>8</v>
      </c>
      <c r="H419" s="49">
        <v>8</v>
      </c>
    </row>
    <row r="420" spans="1:8">
      <c r="A420" s="30" t="s">
        <v>3550</v>
      </c>
      <c r="B420" s="29" t="s">
        <v>1122</v>
      </c>
      <c r="C420" s="30" t="s">
        <v>3145</v>
      </c>
      <c r="D420" s="30" t="s">
        <v>3511</v>
      </c>
      <c r="E420" s="30" t="s">
        <v>98</v>
      </c>
      <c r="F420" s="49"/>
      <c r="G420" s="49">
        <v>8</v>
      </c>
      <c r="H420" s="49">
        <v>8</v>
      </c>
    </row>
    <row r="421" spans="1:8">
      <c r="A421" s="30" t="s">
        <v>3551</v>
      </c>
      <c r="B421" s="29" t="s">
        <v>1124</v>
      </c>
      <c r="C421" s="30" t="s">
        <v>3125</v>
      </c>
      <c r="D421" s="30" t="s">
        <v>3511</v>
      </c>
      <c r="E421" s="30" t="s">
        <v>98</v>
      </c>
      <c r="F421" s="49"/>
      <c r="G421" s="49">
        <v>26</v>
      </c>
      <c r="H421" s="49">
        <v>26</v>
      </c>
    </row>
    <row r="422" spans="1:8">
      <c r="A422" s="46" t="s">
        <v>3552</v>
      </c>
      <c r="B422" s="29" t="s">
        <v>1127</v>
      </c>
      <c r="C422" s="30" t="s">
        <v>3143</v>
      </c>
      <c r="D422" s="30" t="s">
        <v>3511</v>
      </c>
      <c r="E422" s="30" t="s">
        <v>98</v>
      </c>
      <c r="F422" s="49"/>
      <c r="G422" s="49">
        <v>26</v>
      </c>
      <c r="H422" s="49">
        <v>26</v>
      </c>
    </row>
    <row r="423" spans="1:8">
      <c r="A423" s="30" t="s">
        <v>3553</v>
      </c>
      <c r="B423" s="29" t="s">
        <v>1129</v>
      </c>
      <c r="C423" s="30" t="s">
        <v>3145</v>
      </c>
      <c r="D423" s="30" t="s">
        <v>3511</v>
      </c>
      <c r="E423" s="30" t="s">
        <v>98</v>
      </c>
      <c r="F423" s="49"/>
      <c r="G423" s="49">
        <v>49</v>
      </c>
      <c r="H423" s="49">
        <v>49</v>
      </c>
    </row>
    <row r="424" spans="1:8">
      <c r="A424" s="30" t="s">
        <v>3554</v>
      </c>
      <c r="B424" s="29" t="s">
        <v>1132</v>
      </c>
      <c r="C424" s="30" t="s">
        <v>3145</v>
      </c>
      <c r="D424" s="30" t="s">
        <v>3511</v>
      </c>
      <c r="E424" s="30" t="s">
        <v>98</v>
      </c>
      <c r="F424" s="49"/>
      <c r="G424" s="49">
        <v>49</v>
      </c>
      <c r="H424" s="49">
        <v>49</v>
      </c>
    </row>
    <row r="425" spans="1:8">
      <c r="A425" s="30" t="s">
        <v>3555</v>
      </c>
      <c r="B425" s="29" t="s">
        <v>1134</v>
      </c>
      <c r="C425" s="30" t="s">
        <v>3145</v>
      </c>
      <c r="D425" s="30" t="s">
        <v>3511</v>
      </c>
      <c r="E425" s="30" t="s">
        <v>98</v>
      </c>
      <c r="F425" s="49"/>
      <c r="G425" s="49">
        <v>19</v>
      </c>
      <c r="H425" s="49">
        <v>19</v>
      </c>
    </row>
    <row r="426" spans="1:8">
      <c r="A426" s="30" t="s">
        <v>3556</v>
      </c>
      <c r="B426" s="29" t="s">
        <v>1136</v>
      </c>
      <c r="C426" s="30" t="s">
        <v>3133</v>
      </c>
      <c r="D426" s="30" t="s">
        <v>3511</v>
      </c>
      <c r="E426" s="30" t="s">
        <v>98</v>
      </c>
      <c r="F426" s="49"/>
      <c r="G426" s="49">
        <v>3</v>
      </c>
      <c r="H426" s="49">
        <v>3</v>
      </c>
    </row>
    <row r="427" spans="1:8">
      <c r="A427" s="30" t="s">
        <v>3557</v>
      </c>
      <c r="B427" s="29" t="s">
        <v>1138</v>
      </c>
      <c r="C427" s="30" t="s">
        <v>3145</v>
      </c>
      <c r="D427" s="30" t="s">
        <v>3511</v>
      </c>
      <c r="E427" s="30" t="s">
        <v>98</v>
      </c>
      <c r="F427" s="49"/>
      <c r="G427" s="49">
        <v>4</v>
      </c>
      <c r="H427" s="49">
        <v>4</v>
      </c>
    </row>
    <row r="428" spans="1:8">
      <c r="A428" s="30" t="s">
        <v>3558</v>
      </c>
      <c r="B428" s="29" t="s">
        <v>1140</v>
      </c>
      <c r="C428" s="30" t="s">
        <v>3145</v>
      </c>
      <c r="D428" s="30" t="s">
        <v>3511</v>
      </c>
      <c r="E428" s="30" t="s">
        <v>98</v>
      </c>
      <c r="F428" s="49"/>
      <c r="G428" s="49">
        <v>9</v>
      </c>
      <c r="H428" s="49">
        <v>9</v>
      </c>
    </row>
    <row r="429" spans="1:8">
      <c r="A429" s="30" t="s">
        <v>3559</v>
      </c>
      <c r="B429" s="29" t="s">
        <v>1143</v>
      </c>
      <c r="C429" s="30" t="s">
        <v>3145</v>
      </c>
      <c r="D429" s="30" t="s">
        <v>3511</v>
      </c>
      <c r="E429" s="30" t="s">
        <v>98</v>
      </c>
      <c r="F429" s="49"/>
      <c r="G429" s="49">
        <v>31</v>
      </c>
      <c r="H429" s="49">
        <v>31</v>
      </c>
    </row>
    <row r="430" spans="1:8">
      <c r="A430" s="30" t="s">
        <v>3560</v>
      </c>
      <c r="B430" s="29" t="s">
        <v>1146</v>
      </c>
      <c r="C430" s="30" t="s">
        <v>3145</v>
      </c>
      <c r="D430" s="30" t="s">
        <v>3511</v>
      </c>
      <c r="E430" s="30" t="s">
        <v>98</v>
      </c>
      <c r="F430" s="49"/>
      <c r="G430" s="49">
        <v>6</v>
      </c>
      <c r="H430" s="49">
        <v>6</v>
      </c>
    </row>
    <row r="431" spans="1:8">
      <c r="A431" s="30" t="s">
        <v>3561</v>
      </c>
      <c r="B431" s="29" t="s">
        <v>1149</v>
      </c>
      <c r="C431" s="30" t="s">
        <v>3145</v>
      </c>
      <c r="D431" s="30" t="s">
        <v>3525</v>
      </c>
      <c r="E431" s="30" t="s">
        <v>98</v>
      </c>
      <c r="F431" s="49">
        <v>4</v>
      </c>
      <c r="G431" s="49">
        <v>0</v>
      </c>
      <c r="H431" s="49">
        <v>4</v>
      </c>
    </row>
    <row r="432" spans="1:8">
      <c r="A432" s="30" t="s">
        <v>3562</v>
      </c>
      <c r="B432" s="29" t="s">
        <v>1149</v>
      </c>
      <c r="C432" s="30" t="s">
        <v>3145</v>
      </c>
      <c r="D432" s="30" t="s">
        <v>3123</v>
      </c>
      <c r="E432" s="30" t="s">
        <v>98</v>
      </c>
      <c r="F432" s="49">
        <v>3</v>
      </c>
      <c r="G432" s="49">
        <v>0</v>
      </c>
      <c r="H432" s="49">
        <v>3</v>
      </c>
    </row>
    <row r="433" spans="1:8">
      <c r="A433" s="30" t="s">
        <v>3563</v>
      </c>
      <c r="B433" s="29" t="s">
        <v>1154</v>
      </c>
      <c r="C433" s="30" t="s">
        <v>3122</v>
      </c>
      <c r="D433" s="30" t="s">
        <v>3511</v>
      </c>
      <c r="E433" s="30" t="s">
        <v>98</v>
      </c>
      <c r="F433" s="49"/>
      <c r="G433" s="49">
        <v>1404</v>
      </c>
      <c r="H433" s="49">
        <v>1404</v>
      </c>
    </row>
    <row r="434" spans="1:8">
      <c r="A434" s="30" t="s">
        <v>3564</v>
      </c>
      <c r="B434" s="29" t="s">
        <v>1154</v>
      </c>
      <c r="C434" s="30" t="s">
        <v>3133</v>
      </c>
      <c r="D434" s="30" t="s">
        <v>3511</v>
      </c>
      <c r="E434" s="30" t="s">
        <v>98</v>
      </c>
      <c r="F434" s="49"/>
      <c r="G434" s="49">
        <v>1692</v>
      </c>
      <c r="H434" s="49">
        <v>1692</v>
      </c>
    </row>
    <row r="435" spans="1:8">
      <c r="A435" s="30" t="s">
        <v>3565</v>
      </c>
      <c r="B435" s="29" t="s">
        <v>1154</v>
      </c>
      <c r="C435" s="30" t="s">
        <v>3145</v>
      </c>
      <c r="D435" s="30" t="s">
        <v>3511</v>
      </c>
      <c r="E435" s="30" t="s">
        <v>98</v>
      </c>
      <c r="F435" s="49"/>
      <c r="G435" s="49">
        <v>3266</v>
      </c>
      <c r="H435" s="49">
        <v>3266</v>
      </c>
    </row>
    <row r="436" spans="1:8">
      <c r="A436" s="30" t="s">
        <v>3566</v>
      </c>
      <c r="B436" s="29" t="s">
        <v>1154</v>
      </c>
      <c r="C436" s="30" t="s">
        <v>3143</v>
      </c>
      <c r="D436" s="30" t="s">
        <v>3511</v>
      </c>
      <c r="E436" s="30" t="s">
        <v>98</v>
      </c>
      <c r="F436" s="49"/>
      <c r="G436" s="49">
        <v>2492</v>
      </c>
      <c r="H436" s="49">
        <v>2492</v>
      </c>
    </row>
    <row r="437" spans="1:8">
      <c r="A437" s="46" t="s">
        <v>3567</v>
      </c>
      <c r="B437" s="29" t="s">
        <v>1154</v>
      </c>
      <c r="C437" s="30" t="s">
        <v>3125</v>
      </c>
      <c r="D437" s="30" t="s">
        <v>3511</v>
      </c>
      <c r="E437" s="30" t="s">
        <v>98</v>
      </c>
      <c r="F437" s="49"/>
      <c r="G437" s="49">
        <v>1417</v>
      </c>
      <c r="H437" s="49">
        <v>1417</v>
      </c>
    </row>
    <row r="438" spans="1:8">
      <c r="A438" s="30" t="s">
        <v>3568</v>
      </c>
      <c r="B438" s="29" t="s">
        <v>1154</v>
      </c>
      <c r="C438" s="30" t="s">
        <v>3179</v>
      </c>
      <c r="D438" s="30" t="s">
        <v>3511</v>
      </c>
      <c r="E438" s="30" t="s">
        <v>98</v>
      </c>
      <c r="F438" s="49"/>
      <c r="G438" s="49">
        <v>2846</v>
      </c>
      <c r="H438" s="49">
        <v>2846</v>
      </c>
    </row>
    <row r="439" spans="1:8">
      <c r="A439" s="30" t="s">
        <v>3569</v>
      </c>
      <c r="B439" s="29" t="s">
        <v>1160</v>
      </c>
      <c r="C439" s="30" t="s">
        <v>3122</v>
      </c>
      <c r="D439" s="30" t="s">
        <v>3511</v>
      </c>
      <c r="E439" s="30" t="s">
        <v>98</v>
      </c>
      <c r="F439" s="49"/>
      <c r="G439" s="49">
        <v>2830</v>
      </c>
      <c r="H439" s="49">
        <v>2830</v>
      </c>
    </row>
    <row r="440" spans="1:8">
      <c r="A440" s="30" t="s">
        <v>3570</v>
      </c>
      <c r="B440" s="29" t="s">
        <v>1160</v>
      </c>
      <c r="C440" s="30" t="s">
        <v>3133</v>
      </c>
      <c r="D440" s="30" t="s">
        <v>3511</v>
      </c>
      <c r="E440" s="30" t="s">
        <v>98</v>
      </c>
      <c r="F440" s="49"/>
      <c r="G440" s="49">
        <v>7126</v>
      </c>
      <c r="H440" s="49">
        <v>7126</v>
      </c>
    </row>
    <row r="441" spans="1:8">
      <c r="A441" s="30" t="s">
        <v>3571</v>
      </c>
      <c r="B441" s="29" t="s">
        <v>1160</v>
      </c>
      <c r="C441" s="30" t="s">
        <v>3145</v>
      </c>
      <c r="D441" s="30" t="s">
        <v>3511</v>
      </c>
      <c r="E441" s="30" t="s">
        <v>98</v>
      </c>
      <c r="F441" s="49"/>
      <c r="G441" s="49">
        <v>6644</v>
      </c>
      <c r="H441" s="49">
        <v>6644</v>
      </c>
    </row>
    <row r="442" spans="1:8">
      <c r="A442" s="30" t="s">
        <v>3572</v>
      </c>
      <c r="B442" s="29" t="s">
        <v>1160</v>
      </c>
      <c r="C442" s="30" t="s">
        <v>3143</v>
      </c>
      <c r="D442" s="30" t="s">
        <v>3511</v>
      </c>
      <c r="E442" s="30" t="s">
        <v>98</v>
      </c>
      <c r="F442" s="49"/>
      <c r="G442" s="49">
        <v>4360</v>
      </c>
      <c r="H442" s="49">
        <v>4360</v>
      </c>
    </row>
    <row r="443" spans="1:8">
      <c r="A443" s="30" t="s">
        <v>3573</v>
      </c>
      <c r="B443" s="29" t="s">
        <v>1165</v>
      </c>
      <c r="C443" s="30" t="s">
        <v>3125</v>
      </c>
      <c r="D443" s="30" t="s">
        <v>3511</v>
      </c>
      <c r="E443" s="30" t="s">
        <v>98</v>
      </c>
      <c r="F443" s="49"/>
      <c r="G443" s="49">
        <v>15</v>
      </c>
      <c r="H443" s="49">
        <v>15</v>
      </c>
    </row>
    <row r="444" spans="1:8">
      <c r="A444" s="30" t="s">
        <v>3574</v>
      </c>
      <c r="B444" s="29" t="s">
        <v>1169</v>
      </c>
      <c r="C444" s="30" t="s">
        <v>3125</v>
      </c>
      <c r="D444" s="30" t="s">
        <v>3511</v>
      </c>
      <c r="E444" s="30" t="s">
        <v>98</v>
      </c>
      <c r="F444" s="49"/>
      <c r="G444" s="49">
        <v>34</v>
      </c>
      <c r="H444" s="49">
        <v>34</v>
      </c>
    </row>
    <row r="445" spans="1:8">
      <c r="A445" s="30" t="s">
        <v>3575</v>
      </c>
      <c r="B445" s="29" t="s">
        <v>1174</v>
      </c>
      <c r="C445" s="30" t="s">
        <v>3125</v>
      </c>
      <c r="D445" s="30" t="s">
        <v>3511</v>
      </c>
      <c r="E445" s="30" t="s">
        <v>824</v>
      </c>
      <c r="F445" s="49">
        <v>4</v>
      </c>
      <c r="G445" s="49">
        <v>0</v>
      </c>
      <c r="H445" s="49">
        <v>4</v>
      </c>
    </row>
    <row r="446" spans="1:8">
      <c r="A446" s="30" t="s">
        <v>3576</v>
      </c>
      <c r="B446" s="29" t="s">
        <v>1174</v>
      </c>
      <c r="C446" s="30" t="s">
        <v>3143</v>
      </c>
      <c r="D446" s="30" t="s">
        <v>3511</v>
      </c>
      <c r="E446" s="30" t="s">
        <v>824</v>
      </c>
      <c r="F446" s="49">
        <v>19</v>
      </c>
      <c r="G446" s="49">
        <v>0</v>
      </c>
      <c r="H446" s="49">
        <v>19</v>
      </c>
    </row>
    <row r="447" spans="1:8">
      <c r="A447" s="30" t="s">
        <v>3577</v>
      </c>
      <c r="B447" s="29" t="s">
        <v>1174</v>
      </c>
      <c r="C447" s="30" t="s">
        <v>3145</v>
      </c>
      <c r="D447" s="30" t="s">
        <v>3511</v>
      </c>
      <c r="E447" s="30" t="s">
        <v>824</v>
      </c>
      <c r="F447" s="49">
        <v>3</v>
      </c>
      <c r="G447" s="49">
        <v>0</v>
      </c>
      <c r="H447" s="49">
        <v>3</v>
      </c>
    </row>
    <row r="448" spans="1:8">
      <c r="A448" s="30" t="s">
        <v>3578</v>
      </c>
      <c r="B448" s="29" t="s">
        <v>1174</v>
      </c>
      <c r="C448" s="30" t="s">
        <v>3133</v>
      </c>
      <c r="D448" s="30" t="s">
        <v>3511</v>
      </c>
      <c r="E448" s="30" t="s">
        <v>824</v>
      </c>
      <c r="F448" s="49">
        <v>5</v>
      </c>
      <c r="G448" s="49">
        <v>0</v>
      </c>
      <c r="H448" s="49">
        <v>5</v>
      </c>
    </row>
    <row r="449" spans="1:8">
      <c r="A449" s="30" t="s">
        <v>3579</v>
      </c>
      <c r="B449" s="29" t="s">
        <v>1177</v>
      </c>
      <c r="C449" s="30" t="s">
        <v>3125</v>
      </c>
      <c r="D449" s="30" t="s">
        <v>3511</v>
      </c>
      <c r="E449" s="30" t="s">
        <v>824</v>
      </c>
      <c r="F449" s="49">
        <v>4</v>
      </c>
      <c r="G449" s="49">
        <v>0</v>
      </c>
      <c r="H449" s="49">
        <v>4</v>
      </c>
    </row>
    <row r="450" spans="1:8">
      <c r="A450" s="46" t="s">
        <v>3580</v>
      </c>
      <c r="B450" s="29" t="s">
        <v>1177</v>
      </c>
      <c r="C450" s="30" t="s">
        <v>3145</v>
      </c>
      <c r="D450" s="30" t="s">
        <v>3511</v>
      </c>
      <c r="E450" s="30" t="s">
        <v>824</v>
      </c>
      <c r="F450" s="49">
        <v>6</v>
      </c>
      <c r="G450" s="49">
        <v>0</v>
      </c>
      <c r="H450" s="49">
        <v>6</v>
      </c>
    </row>
    <row r="451" spans="1:8">
      <c r="A451" s="30" t="s">
        <v>3581</v>
      </c>
      <c r="B451" s="29" t="s">
        <v>1177</v>
      </c>
      <c r="C451" s="30" t="s">
        <v>3133</v>
      </c>
      <c r="D451" s="30" t="s">
        <v>3511</v>
      </c>
      <c r="E451" s="30" t="s">
        <v>824</v>
      </c>
      <c r="F451" s="49">
        <v>5</v>
      </c>
      <c r="G451" s="49">
        <v>0</v>
      </c>
      <c r="H451" s="49">
        <v>5</v>
      </c>
    </row>
    <row r="452" spans="1:8">
      <c r="A452" s="30" t="s">
        <v>3582</v>
      </c>
      <c r="B452" s="29" t="s">
        <v>1180</v>
      </c>
      <c r="C452" s="30" t="s">
        <v>3125</v>
      </c>
      <c r="D452" s="30" t="s">
        <v>3511</v>
      </c>
      <c r="E452" s="30" t="s">
        <v>1185</v>
      </c>
      <c r="F452" s="49"/>
      <c r="G452" s="49">
        <v>2</v>
      </c>
      <c r="H452" s="49">
        <v>2</v>
      </c>
    </row>
    <row r="453" spans="1:8">
      <c r="A453" s="30" t="s">
        <v>3583</v>
      </c>
      <c r="B453" s="29" t="s">
        <v>1180</v>
      </c>
      <c r="C453" s="30" t="s">
        <v>3145</v>
      </c>
      <c r="D453" s="30" t="s">
        <v>3511</v>
      </c>
      <c r="E453" s="30" t="s">
        <v>1185</v>
      </c>
      <c r="F453" s="49"/>
      <c r="G453" s="49">
        <v>3</v>
      </c>
      <c r="H453" s="49">
        <v>3</v>
      </c>
    </row>
    <row r="454" spans="1:8">
      <c r="A454" s="30" t="s">
        <v>3584</v>
      </c>
      <c r="B454" s="29" t="s">
        <v>1180</v>
      </c>
      <c r="C454" s="30" t="s">
        <v>3133</v>
      </c>
      <c r="D454" s="30" t="s">
        <v>3511</v>
      </c>
      <c r="E454" s="30" t="s">
        <v>1185</v>
      </c>
      <c r="F454" s="49"/>
      <c r="G454" s="49">
        <v>20</v>
      </c>
      <c r="H454" s="49">
        <v>20</v>
      </c>
    </row>
    <row r="455" spans="1:8">
      <c r="A455" s="30" t="s">
        <v>3585</v>
      </c>
      <c r="B455" s="29" t="s">
        <v>1180</v>
      </c>
      <c r="C455" s="30" t="s">
        <v>3122</v>
      </c>
      <c r="D455" s="30" t="s">
        <v>3511</v>
      </c>
      <c r="E455" s="30" t="s">
        <v>1185</v>
      </c>
      <c r="F455" s="49"/>
      <c r="G455" s="49">
        <v>10</v>
      </c>
      <c r="H455" s="49">
        <v>10</v>
      </c>
    </row>
    <row r="456" spans="1:8">
      <c r="A456" s="30" t="s">
        <v>3586</v>
      </c>
      <c r="B456" s="29" t="s">
        <v>1187</v>
      </c>
      <c r="C456" s="30" t="s">
        <v>3125</v>
      </c>
      <c r="D456" s="30" t="s">
        <v>3511</v>
      </c>
      <c r="E456" s="30" t="s">
        <v>98</v>
      </c>
      <c r="F456" s="49"/>
      <c r="G456" s="49">
        <v>1</v>
      </c>
      <c r="H456" s="49">
        <v>1</v>
      </c>
    </row>
    <row r="457" spans="1:8">
      <c r="A457" s="30" t="s">
        <v>3587</v>
      </c>
      <c r="B457" s="29" t="s">
        <v>1187</v>
      </c>
      <c r="C457" s="30" t="s">
        <v>3143</v>
      </c>
      <c r="D457" s="30" t="s">
        <v>3511</v>
      </c>
      <c r="E457" s="30" t="s">
        <v>98</v>
      </c>
      <c r="F457" s="49"/>
      <c r="G457" s="49">
        <v>1</v>
      </c>
      <c r="H457" s="49">
        <v>1</v>
      </c>
    </row>
    <row r="458" spans="1:8">
      <c r="A458" s="30" t="s">
        <v>3588</v>
      </c>
      <c r="B458" s="29" t="s">
        <v>1187</v>
      </c>
      <c r="C458" s="30" t="s">
        <v>3145</v>
      </c>
      <c r="D458" s="30" t="s">
        <v>3511</v>
      </c>
      <c r="E458" s="30" t="s">
        <v>98</v>
      </c>
      <c r="F458" s="49"/>
      <c r="G458" s="49">
        <v>3</v>
      </c>
      <c r="H458" s="49">
        <v>3</v>
      </c>
    </row>
    <row r="459" spans="1:8">
      <c r="A459" s="30" t="s">
        <v>3589</v>
      </c>
      <c r="B459" s="29" t="s">
        <v>1187</v>
      </c>
      <c r="C459" s="30" t="s">
        <v>3133</v>
      </c>
      <c r="D459" s="30" t="s">
        <v>3511</v>
      </c>
      <c r="E459" s="30" t="s">
        <v>98</v>
      </c>
      <c r="F459" s="49"/>
      <c r="G459" s="49">
        <v>12</v>
      </c>
      <c r="H459" s="49">
        <v>12</v>
      </c>
    </row>
    <row r="460" spans="1:8">
      <c r="A460" s="30" t="s">
        <v>3590</v>
      </c>
      <c r="B460" s="29" t="s">
        <v>1187</v>
      </c>
      <c r="C460" s="30" t="s">
        <v>3122</v>
      </c>
      <c r="D460" s="30" t="s">
        <v>3511</v>
      </c>
      <c r="E460" s="30" t="s">
        <v>98</v>
      </c>
      <c r="F460" s="49"/>
      <c r="G460" s="49">
        <v>1</v>
      </c>
      <c r="H460" s="49">
        <v>1</v>
      </c>
    </row>
    <row r="461" spans="1:8">
      <c r="A461" s="30" t="s">
        <v>3591</v>
      </c>
      <c r="B461" s="29" t="s">
        <v>1190</v>
      </c>
      <c r="C461" s="30" t="s">
        <v>3125</v>
      </c>
      <c r="D461" s="30" t="s">
        <v>3511</v>
      </c>
      <c r="E461" s="30" t="s">
        <v>98</v>
      </c>
      <c r="F461" s="49">
        <v>15</v>
      </c>
      <c r="G461" s="49">
        <v>0</v>
      </c>
      <c r="H461" s="49">
        <v>15</v>
      </c>
    </row>
    <row r="462" spans="1:8">
      <c r="A462" s="30" t="s">
        <v>3592</v>
      </c>
      <c r="B462" s="29" t="s">
        <v>1193</v>
      </c>
      <c r="C462" s="30" t="s">
        <v>3125</v>
      </c>
      <c r="D462" s="30" t="s">
        <v>3511</v>
      </c>
      <c r="E462" s="30" t="s">
        <v>98</v>
      </c>
      <c r="F462" s="49">
        <v>10</v>
      </c>
      <c r="G462" s="49">
        <v>0</v>
      </c>
      <c r="H462" s="49">
        <v>10</v>
      </c>
    </row>
    <row r="463" spans="1:8">
      <c r="A463" s="30" t="s">
        <v>3593</v>
      </c>
      <c r="B463" s="29" t="s">
        <v>1196</v>
      </c>
      <c r="C463" s="30" t="s">
        <v>3145</v>
      </c>
      <c r="D463" s="30" t="s">
        <v>3511</v>
      </c>
      <c r="E463" s="30" t="s">
        <v>98</v>
      </c>
      <c r="F463" s="49"/>
      <c r="G463" s="49">
        <v>23</v>
      </c>
      <c r="H463" s="49">
        <v>23</v>
      </c>
    </row>
    <row r="464" spans="1:8">
      <c r="A464" s="30" t="s">
        <v>3594</v>
      </c>
      <c r="B464" s="29" t="s">
        <v>1196</v>
      </c>
      <c r="C464" s="30" t="s">
        <v>3133</v>
      </c>
      <c r="D464" s="30" t="s">
        <v>3511</v>
      </c>
      <c r="E464" s="30" t="s">
        <v>98</v>
      </c>
      <c r="F464" s="49"/>
      <c r="G464" s="49">
        <v>15</v>
      </c>
      <c r="H464" s="49">
        <v>15</v>
      </c>
    </row>
    <row r="465" spans="1:8">
      <c r="A465" s="30" t="s">
        <v>3595</v>
      </c>
      <c r="B465" s="29" t="s">
        <v>1200</v>
      </c>
      <c r="C465" s="30" t="s">
        <v>3145</v>
      </c>
      <c r="D465" s="30" t="s">
        <v>3511</v>
      </c>
      <c r="E465" s="30" t="s">
        <v>98</v>
      </c>
      <c r="F465" s="49"/>
      <c r="G465" s="49">
        <v>31</v>
      </c>
      <c r="H465" s="49">
        <v>31</v>
      </c>
    </row>
    <row r="466" spans="1:8">
      <c r="A466" s="30" t="s">
        <v>3596</v>
      </c>
      <c r="B466" s="29" t="s">
        <v>1200</v>
      </c>
      <c r="C466" s="30" t="s">
        <v>3133</v>
      </c>
      <c r="D466" s="30" t="s">
        <v>3511</v>
      </c>
      <c r="E466" s="30" t="s">
        <v>98</v>
      </c>
      <c r="F466" s="49"/>
      <c r="G466" s="49">
        <v>20</v>
      </c>
      <c r="H466" s="49">
        <v>20</v>
      </c>
    </row>
    <row r="467" spans="1:8">
      <c r="A467" s="30" t="s">
        <v>3597</v>
      </c>
      <c r="B467" s="29" t="s">
        <v>1203</v>
      </c>
      <c r="C467" s="30" t="s">
        <v>3145</v>
      </c>
      <c r="D467" s="30" t="s">
        <v>3511</v>
      </c>
      <c r="E467" s="30" t="s">
        <v>98</v>
      </c>
      <c r="F467" s="49"/>
      <c r="G467" s="49">
        <v>24</v>
      </c>
      <c r="H467" s="49">
        <v>24</v>
      </c>
    </row>
    <row r="468" spans="1:8">
      <c r="A468" s="30" t="s">
        <v>3598</v>
      </c>
      <c r="B468" s="29" t="s">
        <v>1203</v>
      </c>
      <c r="C468" s="30" t="s">
        <v>3133</v>
      </c>
      <c r="D468" s="30" t="s">
        <v>3511</v>
      </c>
      <c r="E468" s="30" t="s">
        <v>98</v>
      </c>
      <c r="F468" s="49"/>
      <c r="G468" s="49">
        <v>10</v>
      </c>
      <c r="H468" s="49">
        <v>10</v>
      </c>
    </row>
    <row r="469" spans="1:8">
      <c r="A469" s="30" t="s">
        <v>3599</v>
      </c>
      <c r="B469" s="29" t="s">
        <v>1206</v>
      </c>
      <c r="C469" s="30" t="s">
        <v>3145</v>
      </c>
      <c r="D469" s="30" t="s">
        <v>3511</v>
      </c>
      <c r="E469" s="30" t="s">
        <v>98</v>
      </c>
      <c r="F469" s="49"/>
      <c r="G469" s="49">
        <v>23</v>
      </c>
      <c r="H469" s="49">
        <v>23</v>
      </c>
    </row>
    <row r="470" spans="1:8">
      <c r="A470" s="30" t="s">
        <v>3600</v>
      </c>
      <c r="B470" s="29" t="s">
        <v>1209</v>
      </c>
      <c r="C470" s="30" t="s">
        <v>3145</v>
      </c>
      <c r="D470" s="30" t="s">
        <v>3511</v>
      </c>
      <c r="E470" s="30" t="s">
        <v>98</v>
      </c>
      <c r="F470" s="49">
        <v>18</v>
      </c>
      <c r="G470" s="49">
        <v>0</v>
      </c>
      <c r="H470" s="49">
        <v>18</v>
      </c>
    </row>
    <row r="471" spans="1:8">
      <c r="A471" s="30" t="s">
        <v>3601</v>
      </c>
      <c r="B471" s="29" t="s">
        <v>1212</v>
      </c>
      <c r="C471" s="30" t="s">
        <v>3125</v>
      </c>
      <c r="D471" s="30" t="s">
        <v>3511</v>
      </c>
      <c r="E471" s="30" t="s">
        <v>98</v>
      </c>
      <c r="F471" s="49">
        <v>7</v>
      </c>
      <c r="G471" s="49">
        <v>0</v>
      </c>
      <c r="H471" s="49">
        <v>7</v>
      </c>
    </row>
    <row r="472" spans="1:8">
      <c r="A472" s="30" t="s">
        <v>3602</v>
      </c>
      <c r="B472" s="29" t="s">
        <v>1215</v>
      </c>
      <c r="C472" s="30" t="s">
        <v>3125</v>
      </c>
      <c r="D472" s="30" t="s">
        <v>3511</v>
      </c>
      <c r="E472" s="30" t="s">
        <v>98</v>
      </c>
      <c r="F472" s="49">
        <v>5</v>
      </c>
      <c r="G472" s="49">
        <v>0</v>
      </c>
      <c r="H472" s="49">
        <v>5</v>
      </c>
    </row>
    <row r="473" spans="1:8">
      <c r="A473" s="30" t="s">
        <v>3603</v>
      </c>
      <c r="B473" s="29" t="s">
        <v>1215</v>
      </c>
      <c r="C473" s="30" t="s">
        <v>3133</v>
      </c>
      <c r="D473" s="30" t="s">
        <v>3511</v>
      </c>
      <c r="E473" s="30" t="s">
        <v>98</v>
      </c>
      <c r="F473" s="49">
        <v>2</v>
      </c>
      <c r="G473" s="49">
        <v>0</v>
      </c>
      <c r="H473" s="49">
        <v>2</v>
      </c>
    </row>
    <row r="474" spans="1:8">
      <c r="A474" s="30" t="s">
        <v>3604</v>
      </c>
      <c r="B474" s="29" t="s">
        <v>1218</v>
      </c>
      <c r="C474" s="30" t="s">
        <v>3125</v>
      </c>
      <c r="D474" s="30" t="s">
        <v>3511</v>
      </c>
      <c r="E474" s="30" t="s">
        <v>98</v>
      </c>
      <c r="F474" s="49">
        <v>8</v>
      </c>
      <c r="G474" s="49">
        <v>0</v>
      </c>
      <c r="H474" s="49">
        <v>8</v>
      </c>
    </row>
    <row r="475" spans="1:8">
      <c r="A475" s="30" t="s">
        <v>3605</v>
      </c>
      <c r="B475" s="29" t="s">
        <v>1218</v>
      </c>
      <c r="C475" s="30" t="s">
        <v>3133</v>
      </c>
      <c r="D475" s="30" t="s">
        <v>3511</v>
      </c>
      <c r="E475" s="30" t="s">
        <v>98</v>
      </c>
      <c r="F475" s="49">
        <v>2</v>
      </c>
      <c r="G475" s="49">
        <v>0</v>
      </c>
      <c r="H475" s="49">
        <v>2</v>
      </c>
    </row>
    <row r="476" spans="1:8">
      <c r="A476" s="30" t="s">
        <v>3606</v>
      </c>
      <c r="B476" s="29" t="s">
        <v>1221</v>
      </c>
      <c r="C476" s="30" t="s">
        <v>3125</v>
      </c>
      <c r="D476" s="30" t="s">
        <v>3511</v>
      </c>
      <c r="E476" s="30" t="s">
        <v>98</v>
      </c>
      <c r="F476" s="49">
        <v>30</v>
      </c>
      <c r="G476" s="49">
        <v>0</v>
      </c>
      <c r="H476" s="49">
        <v>30</v>
      </c>
    </row>
    <row r="477" spans="1:8">
      <c r="A477" s="30" t="s">
        <v>3607</v>
      </c>
      <c r="B477" s="29" t="s">
        <v>1221</v>
      </c>
      <c r="C477" s="30" t="s">
        <v>3143</v>
      </c>
      <c r="D477" s="30" t="s">
        <v>3126</v>
      </c>
      <c r="E477" s="30" t="s">
        <v>98</v>
      </c>
      <c r="F477" s="49">
        <v>15</v>
      </c>
      <c r="G477" s="49">
        <v>0</v>
      </c>
      <c r="H477" s="49">
        <v>15</v>
      </c>
    </row>
    <row r="478" spans="1:8">
      <c r="A478" s="30" t="s">
        <v>3608</v>
      </c>
      <c r="B478" s="29" t="s">
        <v>1221</v>
      </c>
      <c r="C478" s="30" t="s">
        <v>3145</v>
      </c>
      <c r="D478" s="30" t="s">
        <v>3511</v>
      </c>
      <c r="E478" s="30" t="s">
        <v>98</v>
      </c>
      <c r="F478" s="49">
        <v>10</v>
      </c>
      <c r="G478" s="49">
        <v>0</v>
      </c>
      <c r="H478" s="49">
        <v>10</v>
      </c>
    </row>
    <row r="479" spans="1:8">
      <c r="A479" s="30" t="s">
        <v>3609</v>
      </c>
      <c r="B479" s="29" t="s">
        <v>1224</v>
      </c>
      <c r="C479" s="30" t="s">
        <v>3125</v>
      </c>
      <c r="D479" s="30" t="s">
        <v>3511</v>
      </c>
      <c r="E479" s="30" t="s">
        <v>98</v>
      </c>
      <c r="F479" s="49">
        <v>5</v>
      </c>
      <c r="G479" s="49">
        <v>0</v>
      </c>
      <c r="H479" s="49">
        <v>5</v>
      </c>
    </row>
    <row r="480" spans="1:8">
      <c r="A480" s="30" t="s">
        <v>3610</v>
      </c>
      <c r="B480" s="29" t="s">
        <v>1224</v>
      </c>
      <c r="C480" s="30" t="s">
        <v>3133</v>
      </c>
      <c r="D480" s="30" t="s">
        <v>3511</v>
      </c>
      <c r="E480" s="30" t="s">
        <v>98</v>
      </c>
      <c r="F480" s="49">
        <v>4</v>
      </c>
      <c r="G480" s="49">
        <v>0</v>
      </c>
      <c r="H480" s="49">
        <v>4</v>
      </c>
    </row>
    <row r="481" spans="1:8">
      <c r="A481" s="30" t="s">
        <v>3611</v>
      </c>
      <c r="B481" s="29" t="s">
        <v>1227</v>
      </c>
      <c r="C481" s="30" t="s">
        <v>3125</v>
      </c>
      <c r="D481" s="30" t="s">
        <v>3511</v>
      </c>
      <c r="E481" s="30" t="s">
        <v>98</v>
      </c>
      <c r="F481" s="49"/>
      <c r="G481" s="49">
        <v>0</v>
      </c>
      <c r="H481" s="49">
        <v>0</v>
      </c>
    </row>
    <row r="482" spans="1:8">
      <c r="A482" s="30" t="s">
        <v>3612</v>
      </c>
      <c r="B482" s="29" t="s">
        <v>1230</v>
      </c>
      <c r="C482" s="30" t="s">
        <v>3179</v>
      </c>
      <c r="D482" s="30" t="s">
        <v>3511</v>
      </c>
      <c r="E482" s="30" t="s">
        <v>98</v>
      </c>
      <c r="F482" s="49"/>
      <c r="G482" s="49">
        <v>0</v>
      </c>
      <c r="H482" s="49">
        <v>0</v>
      </c>
    </row>
    <row r="483" spans="1:8">
      <c r="A483" s="30" t="s">
        <v>3613</v>
      </c>
      <c r="B483" s="29" t="s">
        <v>1232</v>
      </c>
      <c r="C483" s="30" t="s">
        <v>3122</v>
      </c>
      <c r="D483" s="30" t="s">
        <v>3511</v>
      </c>
      <c r="E483" s="30" t="s">
        <v>98</v>
      </c>
      <c r="F483" s="49"/>
      <c r="G483" s="49">
        <v>35</v>
      </c>
      <c r="H483" s="49">
        <v>35</v>
      </c>
    </row>
    <row r="484" spans="1:8">
      <c r="A484" s="30" t="s">
        <v>3614</v>
      </c>
      <c r="B484" s="29" t="s">
        <v>1232</v>
      </c>
      <c r="C484" s="30" t="s">
        <v>3133</v>
      </c>
      <c r="D484" s="30" t="s">
        <v>3511</v>
      </c>
      <c r="E484" s="30" t="s">
        <v>98</v>
      </c>
      <c r="F484" s="49"/>
      <c r="G484" s="49">
        <v>42</v>
      </c>
      <c r="H484" s="49">
        <v>42</v>
      </c>
    </row>
    <row r="485" spans="1:8">
      <c r="A485" s="30" t="s">
        <v>3615</v>
      </c>
      <c r="B485" s="29" t="s">
        <v>1232</v>
      </c>
      <c r="C485" s="30" t="s">
        <v>3145</v>
      </c>
      <c r="D485" s="30" t="s">
        <v>3511</v>
      </c>
      <c r="E485" s="30" t="s">
        <v>98</v>
      </c>
      <c r="F485" s="49"/>
      <c r="G485" s="49">
        <v>10</v>
      </c>
      <c r="H485" s="49">
        <v>10</v>
      </c>
    </row>
    <row r="486" spans="1:8">
      <c r="A486" s="30" t="s">
        <v>3616</v>
      </c>
      <c r="B486" s="29" t="s">
        <v>1235</v>
      </c>
      <c r="C486" s="30" t="s">
        <v>3122</v>
      </c>
      <c r="D486" s="30" t="s">
        <v>3511</v>
      </c>
      <c r="E486" s="30" t="s">
        <v>98</v>
      </c>
      <c r="F486" s="49"/>
      <c r="G486" s="49">
        <v>59</v>
      </c>
      <c r="H486" s="49">
        <v>59</v>
      </c>
    </row>
    <row r="487" spans="1:8">
      <c r="A487" s="30" t="s">
        <v>3617</v>
      </c>
      <c r="B487" s="29" t="s">
        <v>1235</v>
      </c>
      <c r="C487" s="30" t="s">
        <v>3133</v>
      </c>
      <c r="D487" s="30" t="s">
        <v>3511</v>
      </c>
      <c r="E487" s="30" t="s">
        <v>98</v>
      </c>
      <c r="F487" s="49"/>
      <c r="G487" s="49">
        <v>50</v>
      </c>
      <c r="H487" s="49">
        <v>50</v>
      </c>
    </row>
    <row r="488" spans="1:8">
      <c r="A488" s="30" t="s">
        <v>3618</v>
      </c>
      <c r="B488" s="29" t="s">
        <v>1235</v>
      </c>
      <c r="C488" s="30" t="s">
        <v>3145</v>
      </c>
      <c r="D488" s="30" t="s">
        <v>3511</v>
      </c>
      <c r="E488" s="30" t="s">
        <v>98</v>
      </c>
      <c r="F488" s="49"/>
      <c r="G488" s="49">
        <v>21</v>
      </c>
      <c r="H488" s="49">
        <v>21</v>
      </c>
    </row>
    <row r="489" spans="1:8">
      <c r="A489" s="30" t="s">
        <v>3619</v>
      </c>
      <c r="B489" s="29" t="s">
        <v>1239</v>
      </c>
      <c r="C489" s="30" t="s">
        <v>3145</v>
      </c>
      <c r="D489" s="30" t="s">
        <v>3511</v>
      </c>
      <c r="E489" s="30" t="s">
        <v>98</v>
      </c>
      <c r="F489" s="49"/>
      <c r="G489" s="49">
        <v>15</v>
      </c>
      <c r="H489" s="49">
        <v>15</v>
      </c>
    </row>
    <row r="490" spans="1:8">
      <c r="A490" s="30" t="s">
        <v>3620</v>
      </c>
      <c r="B490" s="29" t="s">
        <v>1243</v>
      </c>
      <c r="C490" s="30" t="s">
        <v>3145</v>
      </c>
      <c r="D490" s="30" t="s">
        <v>3511</v>
      </c>
      <c r="E490" s="30" t="s">
        <v>98</v>
      </c>
      <c r="F490" s="49">
        <v>46</v>
      </c>
      <c r="G490" s="49">
        <v>0</v>
      </c>
      <c r="H490" s="49">
        <v>46</v>
      </c>
    </row>
    <row r="491" spans="1:8">
      <c r="A491" s="30" t="s">
        <v>3621</v>
      </c>
      <c r="B491" s="29" t="s">
        <v>1247</v>
      </c>
      <c r="C491" s="30" t="s">
        <v>3145</v>
      </c>
      <c r="D491" s="30" t="s">
        <v>3511</v>
      </c>
      <c r="E491" s="30" t="s">
        <v>98</v>
      </c>
      <c r="F491" s="49">
        <v>1</v>
      </c>
      <c r="G491" s="49">
        <v>13</v>
      </c>
      <c r="H491" s="49">
        <v>14</v>
      </c>
    </row>
    <row r="492" spans="1:8">
      <c r="A492" s="30" t="s">
        <v>3622</v>
      </c>
      <c r="B492" s="29" t="s">
        <v>1251</v>
      </c>
      <c r="C492" s="30" t="s">
        <v>3145</v>
      </c>
      <c r="D492" s="30" t="s">
        <v>3126</v>
      </c>
      <c r="E492" s="30" t="s">
        <v>98</v>
      </c>
      <c r="F492" s="49"/>
      <c r="G492" s="49">
        <v>41</v>
      </c>
      <c r="H492" s="49">
        <v>41</v>
      </c>
    </row>
    <row r="493" spans="1:8">
      <c r="A493" s="30" t="s">
        <v>3623</v>
      </c>
      <c r="B493" s="29" t="s">
        <v>1251</v>
      </c>
      <c r="C493" s="30" t="s">
        <v>3143</v>
      </c>
      <c r="D493" s="30" t="s">
        <v>3511</v>
      </c>
      <c r="E493" s="30" t="s">
        <v>98</v>
      </c>
      <c r="F493" s="49"/>
      <c r="G493" s="49">
        <v>50</v>
      </c>
      <c r="H493" s="49">
        <v>50</v>
      </c>
    </row>
    <row r="494" spans="1:8">
      <c r="A494" s="30" t="s">
        <v>3624</v>
      </c>
      <c r="B494" s="29" t="s">
        <v>1251</v>
      </c>
      <c r="C494" s="30" t="s">
        <v>3133</v>
      </c>
      <c r="D494" s="30" t="s">
        <v>3511</v>
      </c>
      <c r="E494" s="30" t="s">
        <v>98</v>
      </c>
      <c r="F494" s="49"/>
      <c r="G494" s="49">
        <v>25</v>
      </c>
      <c r="H494" s="49">
        <v>25</v>
      </c>
    </row>
    <row r="495" spans="1:8">
      <c r="A495" s="30" t="s">
        <v>3625</v>
      </c>
      <c r="B495" s="29" t="s">
        <v>1251</v>
      </c>
      <c r="C495" s="30" t="s">
        <v>3122</v>
      </c>
      <c r="D495" s="30" t="s">
        <v>3511</v>
      </c>
      <c r="E495" s="30" t="s">
        <v>98</v>
      </c>
      <c r="F495" s="49"/>
      <c r="G495" s="49">
        <v>25</v>
      </c>
      <c r="H495" s="49">
        <v>25</v>
      </c>
    </row>
    <row r="496" spans="1:8">
      <c r="A496" s="30" t="s">
        <v>3626</v>
      </c>
      <c r="B496" s="29" t="s">
        <v>1254</v>
      </c>
      <c r="C496" s="30" t="s">
        <v>3122</v>
      </c>
      <c r="D496" s="30" t="s">
        <v>3511</v>
      </c>
      <c r="E496" s="30" t="s">
        <v>98</v>
      </c>
      <c r="F496" s="49"/>
      <c r="G496" s="49">
        <v>11</v>
      </c>
      <c r="H496" s="49">
        <v>11</v>
      </c>
    </row>
    <row r="497" spans="1:8">
      <c r="A497" s="30" t="s">
        <v>3627</v>
      </c>
      <c r="B497" s="29" t="s">
        <v>1254</v>
      </c>
      <c r="C497" s="30" t="s">
        <v>3133</v>
      </c>
      <c r="D497" s="30" t="s">
        <v>3511</v>
      </c>
      <c r="E497" s="30" t="s">
        <v>98</v>
      </c>
      <c r="F497" s="49"/>
      <c r="G497" s="49">
        <v>10</v>
      </c>
      <c r="H497" s="49">
        <v>10</v>
      </c>
    </row>
    <row r="498" spans="1:8">
      <c r="A498" s="30" t="s">
        <v>3628</v>
      </c>
      <c r="B498" s="29" t="s">
        <v>1258</v>
      </c>
      <c r="C498" s="30" t="s">
        <v>3122</v>
      </c>
      <c r="D498" s="30" t="s">
        <v>3511</v>
      </c>
      <c r="E498" s="30" t="s">
        <v>112</v>
      </c>
      <c r="F498" s="49"/>
      <c r="G498" s="49">
        <v>36</v>
      </c>
      <c r="H498" s="49">
        <v>36</v>
      </c>
    </row>
    <row r="499" spans="1:8">
      <c r="A499" s="30" t="s">
        <v>3629</v>
      </c>
      <c r="B499" s="29" t="s">
        <v>1258</v>
      </c>
      <c r="C499" s="30" t="s">
        <v>3133</v>
      </c>
      <c r="D499" s="30" t="s">
        <v>3511</v>
      </c>
      <c r="E499" s="30" t="s">
        <v>98</v>
      </c>
      <c r="F499" s="49"/>
      <c r="G499" s="49">
        <v>45</v>
      </c>
      <c r="H499" s="49">
        <v>45</v>
      </c>
    </row>
    <row r="500" spans="1:8">
      <c r="A500" s="30" t="s">
        <v>3630</v>
      </c>
      <c r="B500" s="29" t="s">
        <v>1258</v>
      </c>
      <c r="C500" s="30" t="s">
        <v>3145</v>
      </c>
      <c r="D500" s="30" t="s">
        <v>3511</v>
      </c>
      <c r="E500" s="30" t="s">
        <v>98</v>
      </c>
      <c r="F500" s="49"/>
      <c r="G500" s="49">
        <v>25</v>
      </c>
      <c r="H500" s="49">
        <v>25</v>
      </c>
    </row>
    <row r="501" spans="1:8">
      <c r="A501" s="30" t="s">
        <v>3631</v>
      </c>
      <c r="B501" s="29" t="s">
        <v>1258</v>
      </c>
      <c r="C501" s="30" t="s">
        <v>3143</v>
      </c>
      <c r="D501" s="30" t="s">
        <v>3126</v>
      </c>
      <c r="E501" s="30" t="s">
        <v>98</v>
      </c>
      <c r="F501" s="49"/>
      <c r="G501" s="49">
        <v>15</v>
      </c>
      <c r="H501" s="49">
        <v>15</v>
      </c>
    </row>
    <row r="502" spans="1:8">
      <c r="A502" s="30" t="s">
        <v>3632</v>
      </c>
      <c r="B502" s="29" t="s">
        <v>1258</v>
      </c>
      <c r="C502" s="30" t="s">
        <v>3125</v>
      </c>
      <c r="D502" s="30" t="s">
        <v>3511</v>
      </c>
      <c r="E502" s="30" t="s">
        <v>98</v>
      </c>
      <c r="F502" s="49"/>
      <c r="G502" s="49">
        <v>15</v>
      </c>
      <c r="H502" s="49">
        <v>15</v>
      </c>
    </row>
    <row r="503" spans="1:8">
      <c r="A503" s="30" t="s">
        <v>3633</v>
      </c>
      <c r="B503" s="29" t="s">
        <v>1262</v>
      </c>
      <c r="C503" s="30" t="s">
        <v>3122</v>
      </c>
      <c r="D503" s="30" t="s">
        <v>3511</v>
      </c>
      <c r="E503" s="30" t="s">
        <v>98</v>
      </c>
      <c r="F503" s="49"/>
      <c r="G503" s="49">
        <v>10</v>
      </c>
      <c r="H503" s="49">
        <v>10</v>
      </c>
    </row>
    <row r="504" spans="1:8">
      <c r="A504" s="30" t="s">
        <v>3634</v>
      </c>
      <c r="B504" s="29" t="s">
        <v>1262</v>
      </c>
      <c r="C504" s="30" t="s">
        <v>3133</v>
      </c>
      <c r="D504" s="30" t="s">
        <v>3511</v>
      </c>
      <c r="E504" s="30" t="s">
        <v>98</v>
      </c>
      <c r="F504" s="49"/>
      <c r="G504" s="49">
        <v>12</v>
      </c>
      <c r="H504" s="49">
        <v>12</v>
      </c>
    </row>
    <row r="505" spans="1:8">
      <c r="A505" s="30" t="s">
        <v>3635</v>
      </c>
      <c r="B505" s="29" t="s">
        <v>1262</v>
      </c>
      <c r="C505" s="30" t="s">
        <v>3145</v>
      </c>
      <c r="D505" s="30" t="s">
        <v>3511</v>
      </c>
      <c r="E505" s="30" t="s">
        <v>98</v>
      </c>
      <c r="F505" s="49"/>
      <c r="G505" s="49">
        <v>10</v>
      </c>
      <c r="H505" s="49">
        <v>10</v>
      </c>
    </row>
    <row r="506" spans="1:8">
      <c r="A506" s="30" t="s">
        <v>3636</v>
      </c>
      <c r="B506" s="29" t="s">
        <v>1262</v>
      </c>
      <c r="C506" s="30" t="s">
        <v>3125</v>
      </c>
      <c r="D506" s="30" t="s">
        <v>3511</v>
      </c>
      <c r="E506" s="30" t="s">
        <v>98</v>
      </c>
      <c r="F506" s="49"/>
      <c r="G506" s="49">
        <v>15</v>
      </c>
      <c r="H506" s="49">
        <v>15</v>
      </c>
    </row>
    <row r="507" spans="1:8">
      <c r="A507" s="30" t="s">
        <v>3637</v>
      </c>
      <c r="B507" s="29" t="s">
        <v>1266</v>
      </c>
      <c r="C507" s="30" t="s">
        <v>3122</v>
      </c>
      <c r="D507" s="30" t="s">
        <v>3511</v>
      </c>
      <c r="E507" s="30" t="s">
        <v>98</v>
      </c>
      <c r="F507" s="49"/>
      <c r="G507" s="49">
        <v>21</v>
      </c>
      <c r="H507" s="49">
        <v>21</v>
      </c>
    </row>
    <row r="508" spans="1:8">
      <c r="A508" s="30" t="s">
        <v>3638</v>
      </c>
      <c r="B508" s="29" t="s">
        <v>1266</v>
      </c>
      <c r="C508" s="30" t="s">
        <v>3133</v>
      </c>
      <c r="D508" s="30" t="s">
        <v>3511</v>
      </c>
      <c r="E508" s="30" t="s">
        <v>98</v>
      </c>
      <c r="F508" s="49"/>
      <c r="G508" s="49">
        <v>35</v>
      </c>
      <c r="H508" s="49">
        <v>35</v>
      </c>
    </row>
    <row r="509" spans="1:8">
      <c r="A509" s="30" t="s">
        <v>3639</v>
      </c>
      <c r="B509" s="29" t="s">
        <v>1266</v>
      </c>
      <c r="C509" s="30" t="s">
        <v>3145</v>
      </c>
      <c r="D509" s="30" t="s">
        <v>3511</v>
      </c>
      <c r="E509" s="30" t="s">
        <v>98</v>
      </c>
      <c r="F509" s="49"/>
      <c r="G509" s="49">
        <v>15</v>
      </c>
      <c r="H509" s="49">
        <v>15</v>
      </c>
    </row>
    <row r="510" spans="1:8">
      <c r="A510" s="30" t="s">
        <v>3640</v>
      </c>
      <c r="B510" s="29" t="s">
        <v>1271</v>
      </c>
      <c r="C510" s="30" t="s">
        <v>3133</v>
      </c>
      <c r="D510" s="30" t="s">
        <v>3511</v>
      </c>
      <c r="E510" s="30" t="s">
        <v>98</v>
      </c>
      <c r="F510" s="49"/>
      <c r="G510" s="49">
        <v>24</v>
      </c>
      <c r="H510" s="49">
        <v>24</v>
      </c>
    </row>
    <row r="511" spans="1:8">
      <c r="A511" s="30" t="s">
        <v>3641</v>
      </c>
      <c r="B511" s="29" t="s">
        <v>1276</v>
      </c>
      <c r="C511" s="30" t="s">
        <v>3145</v>
      </c>
      <c r="D511" s="30" t="s">
        <v>3511</v>
      </c>
      <c r="E511" s="30" t="s">
        <v>98</v>
      </c>
      <c r="F511" s="49">
        <v>19</v>
      </c>
      <c r="G511" s="49">
        <v>0</v>
      </c>
      <c r="H511" s="49">
        <v>19</v>
      </c>
    </row>
    <row r="512" spans="1:8">
      <c r="A512" s="30" t="s">
        <v>3642</v>
      </c>
      <c r="B512" s="29" t="s">
        <v>1280</v>
      </c>
      <c r="C512" s="30" t="s">
        <v>3122</v>
      </c>
      <c r="D512" s="30" t="s">
        <v>3511</v>
      </c>
      <c r="E512" s="30" t="s">
        <v>98</v>
      </c>
      <c r="F512" s="49">
        <v>35</v>
      </c>
      <c r="G512" s="49">
        <v>0</v>
      </c>
      <c r="H512" s="49">
        <v>35</v>
      </c>
    </row>
    <row r="513" spans="1:8">
      <c r="A513" s="30" t="s">
        <v>3643</v>
      </c>
      <c r="B513" s="29" t="s">
        <v>1283</v>
      </c>
      <c r="C513" s="30" t="s">
        <v>3133</v>
      </c>
      <c r="D513" s="30" t="s">
        <v>3511</v>
      </c>
      <c r="E513" s="30" t="s">
        <v>98</v>
      </c>
      <c r="F513" s="49"/>
      <c r="G513" s="49">
        <v>13</v>
      </c>
      <c r="H513" s="49">
        <v>13</v>
      </c>
    </row>
    <row r="514" spans="1:8">
      <c r="A514" s="30" t="s">
        <v>3644</v>
      </c>
      <c r="B514" s="29" t="s">
        <v>1289</v>
      </c>
      <c r="C514" s="30" t="s">
        <v>3122</v>
      </c>
      <c r="D514" s="30" t="s">
        <v>3511</v>
      </c>
      <c r="E514" s="30" t="s">
        <v>98</v>
      </c>
      <c r="F514" s="49">
        <v>55</v>
      </c>
      <c r="G514" s="49">
        <v>0</v>
      </c>
      <c r="H514" s="49">
        <v>55</v>
      </c>
    </row>
    <row r="515" spans="1:8">
      <c r="A515" s="30" t="s">
        <v>3645</v>
      </c>
      <c r="B515" s="29" t="s">
        <v>1291</v>
      </c>
      <c r="C515" s="30" t="s">
        <v>3145</v>
      </c>
      <c r="D515" s="30" t="s">
        <v>3511</v>
      </c>
      <c r="E515" s="30" t="s">
        <v>98</v>
      </c>
      <c r="F515" s="49">
        <v>17</v>
      </c>
      <c r="G515" s="49">
        <v>0</v>
      </c>
      <c r="H515" s="49">
        <v>17</v>
      </c>
    </row>
    <row r="516" spans="1:8">
      <c r="A516" s="30" t="s">
        <v>3646</v>
      </c>
      <c r="B516" s="29" t="s">
        <v>1295</v>
      </c>
      <c r="C516" s="30" t="s">
        <v>3133</v>
      </c>
      <c r="D516" s="30" t="s">
        <v>3511</v>
      </c>
      <c r="E516" s="30" t="s">
        <v>98</v>
      </c>
      <c r="F516" s="49"/>
      <c r="G516" s="49">
        <v>19</v>
      </c>
      <c r="H516" s="49">
        <v>19</v>
      </c>
    </row>
    <row r="517" spans="1:8">
      <c r="A517" s="30" t="s">
        <v>3647</v>
      </c>
      <c r="B517" s="29" t="s">
        <v>1299</v>
      </c>
      <c r="C517" s="30" t="s">
        <v>3133</v>
      </c>
      <c r="D517" s="30" t="s">
        <v>3511</v>
      </c>
      <c r="E517" s="30" t="s">
        <v>98</v>
      </c>
      <c r="F517" s="49"/>
      <c r="G517" s="49">
        <v>14</v>
      </c>
      <c r="H517" s="49">
        <v>14</v>
      </c>
    </row>
    <row r="518" spans="1:8">
      <c r="A518" s="30" t="s">
        <v>3648</v>
      </c>
      <c r="B518" s="29" t="s">
        <v>1303</v>
      </c>
      <c r="C518" s="30" t="s">
        <v>3125</v>
      </c>
      <c r="D518" s="30" t="s">
        <v>3511</v>
      </c>
      <c r="E518" s="30" t="s">
        <v>112</v>
      </c>
      <c r="F518" s="49">
        <v>19</v>
      </c>
      <c r="G518" s="49">
        <v>0</v>
      </c>
      <c r="H518" s="49">
        <v>19</v>
      </c>
    </row>
    <row r="519" spans="1:8">
      <c r="A519" s="30" t="s">
        <v>3649</v>
      </c>
      <c r="B519" s="29" t="s">
        <v>1307</v>
      </c>
      <c r="C519" s="30" t="s">
        <v>3125</v>
      </c>
      <c r="D519" s="30" t="s">
        <v>3511</v>
      </c>
      <c r="E519" s="30" t="s">
        <v>98</v>
      </c>
      <c r="F519" s="49"/>
      <c r="G519" s="49">
        <v>2</v>
      </c>
      <c r="H519" s="49">
        <v>2</v>
      </c>
    </row>
    <row r="520" spans="1:8">
      <c r="A520" s="30" t="s">
        <v>3650</v>
      </c>
      <c r="B520" s="29" t="s">
        <v>1307</v>
      </c>
      <c r="C520" s="30" t="s">
        <v>3145</v>
      </c>
      <c r="D520" s="30" t="s">
        <v>3511</v>
      </c>
      <c r="E520" s="30" t="s">
        <v>98</v>
      </c>
      <c r="F520" s="49"/>
      <c r="G520" s="49">
        <v>3</v>
      </c>
      <c r="H520" s="49">
        <v>3</v>
      </c>
    </row>
    <row r="521" spans="1:8">
      <c r="A521" s="30" t="s">
        <v>3651</v>
      </c>
      <c r="B521" s="29" t="s">
        <v>1307</v>
      </c>
      <c r="C521" s="30" t="s">
        <v>3133</v>
      </c>
      <c r="D521" s="30" t="s">
        <v>3511</v>
      </c>
      <c r="E521" s="30" t="s">
        <v>98</v>
      </c>
      <c r="F521" s="49"/>
      <c r="G521" s="49">
        <v>4</v>
      </c>
      <c r="H521" s="49">
        <v>4</v>
      </c>
    </row>
    <row r="522" spans="1:8">
      <c r="A522" s="30" t="s">
        <v>3652</v>
      </c>
      <c r="B522" s="29" t="s">
        <v>1307</v>
      </c>
      <c r="C522" s="30" t="s">
        <v>3122</v>
      </c>
      <c r="D522" s="30" t="s">
        <v>3511</v>
      </c>
      <c r="E522" s="30" t="s">
        <v>98</v>
      </c>
      <c r="F522" s="49"/>
      <c r="G522" s="49">
        <v>1</v>
      </c>
      <c r="H522" s="49">
        <v>1</v>
      </c>
    </row>
    <row r="523" spans="1:8">
      <c r="A523" s="30" t="s">
        <v>3653</v>
      </c>
      <c r="B523" s="29" t="s">
        <v>1309</v>
      </c>
      <c r="C523" s="30" t="s">
        <v>3122</v>
      </c>
      <c r="D523" s="30" t="s">
        <v>3511</v>
      </c>
      <c r="E523" s="30" t="s">
        <v>98</v>
      </c>
      <c r="F523" s="49">
        <v>30</v>
      </c>
      <c r="G523" s="49">
        <v>0</v>
      </c>
      <c r="H523" s="49">
        <v>30</v>
      </c>
    </row>
    <row r="524" spans="1:8">
      <c r="A524" s="30" t="s">
        <v>3654</v>
      </c>
      <c r="B524" s="29" t="s">
        <v>1311</v>
      </c>
      <c r="C524" s="30" t="s">
        <v>3133</v>
      </c>
      <c r="D524" s="30" t="s">
        <v>3511</v>
      </c>
      <c r="E524" s="30" t="s">
        <v>98</v>
      </c>
      <c r="F524" s="49"/>
      <c r="G524" s="49">
        <v>3</v>
      </c>
      <c r="H524" s="49">
        <v>3</v>
      </c>
    </row>
    <row r="525" spans="1:8">
      <c r="A525" s="30" t="s">
        <v>3655</v>
      </c>
      <c r="B525" s="29" t="s">
        <v>1314</v>
      </c>
      <c r="C525" s="30" t="s">
        <v>3125</v>
      </c>
      <c r="D525" s="30" t="s">
        <v>3511</v>
      </c>
      <c r="E525" s="30" t="s">
        <v>112</v>
      </c>
      <c r="F525" s="49">
        <v>31</v>
      </c>
      <c r="G525" s="49">
        <v>0</v>
      </c>
      <c r="H525" s="49">
        <v>31</v>
      </c>
    </row>
    <row r="526" spans="1:8">
      <c r="A526" s="30" t="s">
        <v>3656</v>
      </c>
      <c r="B526" s="29" t="s">
        <v>1316</v>
      </c>
      <c r="C526" s="30" t="s">
        <v>3125</v>
      </c>
      <c r="D526" s="30" t="s">
        <v>3511</v>
      </c>
      <c r="E526" s="30" t="s">
        <v>112</v>
      </c>
      <c r="F526" s="49">
        <v>9</v>
      </c>
      <c r="G526" s="49">
        <v>0</v>
      </c>
      <c r="H526" s="49">
        <v>9</v>
      </c>
    </row>
    <row r="527" spans="1:8">
      <c r="A527" s="30" t="s">
        <v>3657</v>
      </c>
      <c r="B527" s="29" t="s">
        <v>1320</v>
      </c>
      <c r="C527" s="30" t="s">
        <v>3143</v>
      </c>
      <c r="D527" s="30" t="s">
        <v>3511</v>
      </c>
      <c r="E527" s="30" t="s">
        <v>112</v>
      </c>
      <c r="F527" s="49"/>
      <c r="G527" s="49">
        <v>18</v>
      </c>
      <c r="H527" s="49">
        <v>18</v>
      </c>
    </row>
    <row r="528" spans="1:8">
      <c r="A528" s="30" t="s">
        <v>3658</v>
      </c>
      <c r="B528" s="29" t="s">
        <v>1323</v>
      </c>
      <c r="C528" s="30" t="s">
        <v>3122</v>
      </c>
      <c r="D528" s="30" t="s">
        <v>3511</v>
      </c>
      <c r="E528" s="30" t="s">
        <v>98</v>
      </c>
      <c r="F528" s="49"/>
      <c r="G528" s="49">
        <v>25</v>
      </c>
      <c r="H528" s="49">
        <v>25</v>
      </c>
    </row>
    <row r="529" spans="1:8">
      <c r="A529" s="30" t="s">
        <v>3659</v>
      </c>
      <c r="B529" s="29" t="s">
        <v>1326</v>
      </c>
      <c r="C529" s="30" t="s">
        <v>3133</v>
      </c>
      <c r="D529" s="30" t="s">
        <v>3511</v>
      </c>
      <c r="E529" s="30" t="s">
        <v>98</v>
      </c>
      <c r="F529" s="49"/>
      <c r="G529" s="49">
        <v>10</v>
      </c>
      <c r="H529" s="49">
        <v>10</v>
      </c>
    </row>
    <row r="530" spans="1:8">
      <c r="A530" s="30" t="s">
        <v>3660</v>
      </c>
      <c r="B530" s="29" t="s">
        <v>1331</v>
      </c>
      <c r="C530" s="30" t="s">
        <v>3133</v>
      </c>
      <c r="D530" s="30" t="s">
        <v>3511</v>
      </c>
      <c r="E530" s="30" t="s">
        <v>98</v>
      </c>
      <c r="F530" s="49"/>
      <c r="G530" s="49">
        <v>18</v>
      </c>
      <c r="H530" s="49">
        <v>18</v>
      </c>
    </row>
    <row r="531" spans="1:8">
      <c r="A531" s="30" t="s">
        <v>3661</v>
      </c>
      <c r="B531" s="29" t="s">
        <v>1333</v>
      </c>
      <c r="C531" s="30" t="s">
        <v>3122</v>
      </c>
      <c r="D531" s="30" t="s">
        <v>3511</v>
      </c>
      <c r="E531" s="30" t="s">
        <v>98</v>
      </c>
      <c r="F531" s="49"/>
      <c r="G531" s="49">
        <v>13</v>
      </c>
      <c r="H531" s="49">
        <v>13</v>
      </c>
    </row>
    <row r="532" spans="1:8">
      <c r="A532" s="46" t="s">
        <v>3662</v>
      </c>
      <c r="B532" s="29" t="s">
        <v>1335</v>
      </c>
      <c r="C532" s="30" t="s">
        <v>3145</v>
      </c>
      <c r="D532" s="30" t="s">
        <v>3511</v>
      </c>
      <c r="E532" s="30" t="s">
        <v>112</v>
      </c>
      <c r="F532" s="49"/>
      <c r="G532" s="49">
        <v>6</v>
      </c>
      <c r="H532" s="49">
        <v>6</v>
      </c>
    </row>
    <row r="533" spans="1:8">
      <c r="A533" s="30" t="s">
        <v>3663</v>
      </c>
      <c r="B533" s="29" t="s">
        <v>1338</v>
      </c>
      <c r="C533" s="30" t="s">
        <v>3145</v>
      </c>
      <c r="D533" s="30" t="s">
        <v>3511</v>
      </c>
      <c r="E533" s="30" t="s">
        <v>98</v>
      </c>
      <c r="F533" s="49"/>
      <c r="G533" s="49">
        <v>4</v>
      </c>
      <c r="H533" s="49">
        <v>4</v>
      </c>
    </row>
    <row r="534" spans="1:8">
      <c r="A534" s="30" t="s">
        <v>3664</v>
      </c>
      <c r="B534" s="29" t="s">
        <v>1341</v>
      </c>
      <c r="C534" s="30" t="s">
        <v>3145</v>
      </c>
      <c r="D534" s="30" t="s">
        <v>3511</v>
      </c>
      <c r="E534" s="30" t="s">
        <v>112</v>
      </c>
      <c r="F534" s="49"/>
      <c r="G534" s="49">
        <v>13</v>
      </c>
      <c r="H534" s="49">
        <v>13</v>
      </c>
    </row>
    <row r="535" spans="1:8">
      <c r="A535" s="30" t="s">
        <v>3665</v>
      </c>
      <c r="B535" s="29" t="s">
        <v>1378</v>
      </c>
      <c r="C535" s="30" t="s">
        <v>3133</v>
      </c>
      <c r="D535" s="30" t="s">
        <v>3126</v>
      </c>
      <c r="E535" s="30" t="s">
        <v>679</v>
      </c>
      <c r="F535" s="49"/>
      <c r="G535" s="49">
        <v>118</v>
      </c>
      <c r="H535" s="49">
        <v>118</v>
      </c>
    </row>
    <row r="536" spans="1:8">
      <c r="A536" s="30" t="s">
        <v>3666</v>
      </c>
      <c r="B536" s="29" t="s">
        <v>1387</v>
      </c>
      <c r="C536" s="30" t="s">
        <v>3125</v>
      </c>
      <c r="D536" s="30" t="s">
        <v>3525</v>
      </c>
      <c r="E536" s="30" t="s">
        <v>112</v>
      </c>
      <c r="F536" s="49"/>
      <c r="G536" s="49">
        <v>90</v>
      </c>
      <c r="H536" s="49">
        <v>90</v>
      </c>
    </row>
    <row r="537" spans="1:8">
      <c r="A537" s="30" t="s">
        <v>3667</v>
      </c>
      <c r="B537" s="29" t="s">
        <v>1387</v>
      </c>
      <c r="C537" s="30" t="s">
        <v>3125</v>
      </c>
      <c r="D537" s="30" t="s">
        <v>3123</v>
      </c>
      <c r="E537" s="30" t="s">
        <v>112</v>
      </c>
      <c r="F537" s="49"/>
      <c r="G537" s="49">
        <v>121</v>
      </c>
      <c r="H537" s="49">
        <v>121</v>
      </c>
    </row>
    <row r="538" spans="1:8">
      <c r="A538" s="30" t="s">
        <v>3668</v>
      </c>
      <c r="B538" s="29" t="s">
        <v>1426</v>
      </c>
      <c r="C538" s="30" t="s">
        <v>3179</v>
      </c>
      <c r="D538" s="30" t="s">
        <v>3511</v>
      </c>
      <c r="E538" s="30" t="s">
        <v>98</v>
      </c>
      <c r="F538" s="49">
        <v>10</v>
      </c>
      <c r="G538" s="49">
        <v>0</v>
      </c>
      <c r="H538" s="49">
        <v>10</v>
      </c>
    </row>
    <row r="539" spans="1:8">
      <c r="A539" s="30" t="s">
        <v>3669</v>
      </c>
      <c r="B539" s="29" t="s">
        <v>1426</v>
      </c>
      <c r="C539" s="30" t="s">
        <v>3125</v>
      </c>
      <c r="D539" s="30" t="s">
        <v>3511</v>
      </c>
      <c r="E539" s="30" t="s">
        <v>98</v>
      </c>
      <c r="F539" s="49">
        <v>10</v>
      </c>
      <c r="G539" s="49">
        <v>0</v>
      </c>
      <c r="H539" s="49">
        <v>10</v>
      </c>
    </row>
    <row r="540" spans="1:8">
      <c r="A540" s="30" t="s">
        <v>3670</v>
      </c>
      <c r="B540" s="29" t="s">
        <v>1443</v>
      </c>
      <c r="C540" s="30" t="s">
        <v>3145</v>
      </c>
      <c r="D540" s="30" t="s">
        <v>3525</v>
      </c>
      <c r="E540" s="30" t="s">
        <v>98</v>
      </c>
      <c r="F540" s="49">
        <v>1</v>
      </c>
      <c r="G540" s="49">
        <v>4</v>
      </c>
      <c r="H540" s="49">
        <v>5</v>
      </c>
    </row>
    <row r="541" spans="1:8">
      <c r="A541" s="30" t="s">
        <v>3671</v>
      </c>
      <c r="B541" s="29" t="s">
        <v>1443</v>
      </c>
      <c r="C541" s="30" t="s">
        <v>3133</v>
      </c>
      <c r="D541" s="30" t="s">
        <v>3123</v>
      </c>
      <c r="E541" s="30" t="s">
        <v>98</v>
      </c>
      <c r="F541" s="49">
        <v>3</v>
      </c>
      <c r="G541" s="49">
        <v>8</v>
      </c>
      <c r="H541" s="49">
        <v>11</v>
      </c>
    </row>
    <row r="542" spans="1:8">
      <c r="A542" s="30" t="s">
        <v>3672</v>
      </c>
      <c r="B542" s="29" t="s">
        <v>1454</v>
      </c>
      <c r="C542" s="30" t="s">
        <v>3122</v>
      </c>
      <c r="D542" s="30" t="s">
        <v>3511</v>
      </c>
      <c r="E542" s="30" t="s">
        <v>98</v>
      </c>
      <c r="F542" s="49">
        <v>4</v>
      </c>
      <c r="G542" s="49">
        <v>0</v>
      </c>
      <c r="H542" s="49">
        <v>4</v>
      </c>
    </row>
    <row r="543" spans="1:8">
      <c r="A543" s="30" t="s">
        <v>3673</v>
      </c>
      <c r="B543" s="29" t="s">
        <v>1458</v>
      </c>
      <c r="C543" s="30" t="s">
        <v>3125</v>
      </c>
      <c r="D543" s="30" t="s">
        <v>3511</v>
      </c>
      <c r="E543" s="30" t="s">
        <v>98</v>
      </c>
      <c r="F543" s="49">
        <v>3</v>
      </c>
      <c r="G543" s="49">
        <v>0</v>
      </c>
      <c r="H543" s="49">
        <v>3</v>
      </c>
    </row>
    <row r="544" spans="1:8">
      <c r="A544" s="30" t="s">
        <v>3674</v>
      </c>
      <c r="B544" s="29" t="s">
        <v>1462</v>
      </c>
      <c r="C544" s="30" t="s">
        <v>3125</v>
      </c>
      <c r="D544" s="30" t="s">
        <v>3511</v>
      </c>
      <c r="E544" s="30" t="s">
        <v>98</v>
      </c>
      <c r="F544" s="49">
        <v>13</v>
      </c>
      <c r="G544" s="49">
        <v>0</v>
      </c>
      <c r="H544" s="49">
        <v>13</v>
      </c>
    </row>
    <row r="545" spans="1:8">
      <c r="A545" s="30" t="s">
        <v>3675</v>
      </c>
      <c r="B545" s="29" t="s">
        <v>1464</v>
      </c>
      <c r="C545" s="30" t="s">
        <v>3145</v>
      </c>
      <c r="D545" s="30" t="s">
        <v>3511</v>
      </c>
      <c r="E545" s="30" t="s">
        <v>98</v>
      </c>
      <c r="F545" s="49">
        <v>40</v>
      </c>
      <c r="G545" s="49">
        <v>0</v>
      </c>
      <c r="H545" s="49">
        <v>40</v>
      </c>
    </row>
    <row r="546" spans="1:8">
      <c r="A546" s="30" t="s">
        <v>3676</v>
      </c>
      <c r="B546" s="29" t="s">
        <v>1467</v>
      </c>
      <c r="C546" s="30" t="s">
        <v>3122</v>
      </c>
      <c r="D546" s="30" t="s">
        <v>3511</v>
      </c>
      <c r="E546" s="30" t="s">
        <v>98</v>
      </c>
      <c r="F546" s="49">
        <v>15</v>
      </c>
      <c r="G546" s="49">
        <v>0</v>
      </c>
      <c r="H546" s="49">
        <v>15</v>
      </c>
    </row>
    <row r="547" spans="1:8">
      <c r="A547" s="30" t="s">
        <v>3677</v>
      </c>
      <c r="B547" s="29" t="s">
        <v>1471</v>
      </c>
      <c r="C547" s="30" t="s">
        <v>3125</v>
      </c>
      <c r="D547" s="30" t="s">
        <v>3511</v>
      </c>
      <c r="E547" s="30" t="s">
        <v>98</v>
      </c>
      <c r="F547" s="49">
        <v>13</v>
      </c>
      <c r="G547" s="49">
        <v>0</v>
      </c>
      <c r="H547" s="49">
        <v>13</v>
      </c>
    </row>
    <row r="548" spans="1:8">
      <c r="A548" s="30" t="s">
        <v>3678</v>
      </c>
      <c r="B548" s="29" t="s">
        <v>1473</v>
      </c>
      <c r="C548" s="30" t="s">
        <v>3122</v>
      </c>
      <c r="D548" s="30" t="s">
        <v>3511</v>
      </c>
      <c r="E548" s="30" t="s">
        <v>98</v>
      </c>
      <c r="F548" s="49">
        <v>3</v>
      </c>
      <c r="G548" s="49">
        <v>0</v>
      </c>
      <c r="H548" s="49">
        <v>3</v>
      </c>
    </row>
    <row r="549" spans="1:8">
      <c r="A549" s="30" t="s">
        <v>3679</v>
      </c>
      <c r="B549" s="29" t="s">
        <v>1478</v>
      </c>
      <c r="C549" s="30" t="s">
        <v>3125</v>
      </c>
      <c r="D549" s="30" t="s">
        <v>3511</v>
      </c>
      <c r="E549" s="30" t="s">
        <v>98</v>
      </c>
      <c r="F549" s="49">
        <v>9</v>
      </c>
      <c r="G549" s="49">
        <v>0</v>
      </c>
      <c r="H549" s="49">
        <v>9</v>
      </c>
    </row>
    <row r="550" spans="1:8">
      <c r="A550" s="30" t="s">
        <v>3680</v>
      </c>
      <c r="B550" s="29" t="s">
        <v>1480</v>
      </c>
      <c r="C550" s="30" t="s">
        <v>3145</v>
      </c>
      <c r="D550" s="30" t="s">
        <v>3525</v>
      </c>
      <c r="E550" s="30" t="s">
        <v>98</v>
      </c>
      <c r="F550" s="49">
        <v>6</v>
      </c>
      <c r="G550" s="49">
        <v>0</v>
      </c>
      <c r="H550" s="49">
        <v>6</v>
      </c>
    </row>
    <row r="551" spans="1:8">
      <c r="A551" s="30" t="s">
        <v>3681</v>
      </c>
      <c r="B551" s="29" t="s">
        <v>1480</v>
      </c>
      <c r="C551" s="30" t="s">
        <v>3133</v>
      </c>
      <c r="D551" s="30" t="s">
        <v>3123</v>
      </c>
      <c r="E551" s="30" t="s">
        <v>98</v>
      </c>
      <c r="F551" s="49">
        <v>3</v>
      </c>
      <c r="G551" s="49">
        <v>0</v>
      </c>
      <c r="H551" s="49">
        <v>3</v>
      </c>
    </row>
    <row r="552" spans="1:8">
      <c r="A552" s="30" t="s">
        <v>3682</v>
      </c>
      <c r="B552" s="29" t="s">
        <v>1484</v>
      </c>
      <c r="C552" s="30" t="s">
        <v>3145</v>
      </c>
      <c r="D552" s="30" t="s">
        <v>3525</v>
      </c>
      <c r="E552" s="30" t="s">
        <v>98</v>
      </c>
      <c r="F552" s="49">
        <v>5</v>
      </c>
      <c r="G552" s="49">
        <v>0</v>
      </c>
      <c r="H552" s="49">
        <v>5</v>
      </c>
    </row>
    <row r="553" spans="1:8">
      <c r="A553" s="30" t="s">
        <v>3683</v>
      </c>
      <c r="B553" s="29" t="s">
        <v>1484</v>
      </c>
      <c r="C553" s="30" t="s">
        <v>3133</v>
      </c>
      <c r="D553" s="30" t="s">
        <v>3123</v>
      </c>
      <c r="E553" s="30" t="s">
        <v>98</v>
      </c>
      <c r="F553" s="49">
        <v>4</v>
      </c>
      <c r="G553" s="49">
        <v>0</v>
      </c>
      <c r="H553" s="49">
        <v>4</v>
      </c>
    </row>
    <row r="554" spans="1:8">
      <c r="A554" s="30" t="s">
        <v>3684</v>
      </c>
      <c r="B554" s="29" t="s">
        <v>1487</v>
      </c>
      <c r="C554" s="30" t="s">
        <v>3125</v>
      </c>
      <c r="D554" s="30" t="s">
        <v>3511</v>
      </c>
      <c r="E554" s="30" t="s">
        <v>98</v>
      </c>
      <c r="F554" s="49"/>
      <c r="G554" s="49">
        <v>12345</v>
      </c>
      <c r="H554" s="49">
        <v>12345</v>
      </c>
    </row>
    <row r="555" spans="1:8">
      <c r="A555" s="30" t="s">
        <v>3685</v>
      </c>
      <c r="B555" s="29" t="s">
        <v>1487</v>
      </c>
      <c r="C555" s="30" t="s">
        <v>3143</v>
      </c>
      <c r="D555" s="30" t="s">
        <v>3511</v>
      </c>
      <c r="E555" s="30" t="s">
        <v>98</v>
      </c>
      <c r="F555" s="49"/>
      <c r="G555" s="49">
        <v>6120</v>
      </c>
      <c r="H555" s="49">
        <v>6120</v>
      </c>
    </row>
    <row r="556" spans="1:8">
      <c r="A556" s="30" t="s">
        <v>3686</v>
      </c>
      <c r="B556" s="29" t="s">
        <v>1487</v>
      </c>
      <c r="C556" s="30" t="s">
        <v>3145</v>
      </c>
      <c r="D556" s="30" t="s">
        <v>3511</v>
      </c>
      <c r="E556" s="30" t="s">
        <v>98</v>
      </c>
      <c r="F556" s="49"/>
      <c r="G556" s="49">
        <v>11078</v>
      </c>
      <c r="H556" s="49">
        <v>11078</v>
      </c>
    </row>
    <row r="557" spans="1:8">
      <c r="A557" s="30" t="s">
        <v>3687</v>
      </c>
      <c r="B557" s="29" t="s">
        <v>1487</v>
      </c>
      <c r="C557" s="30" t="s">
        <v>3133</v>
      </c>
      <c r="D557" s="30" t="s">
        <v>3511</v>
      </c>
      <c r="E557" s="30" t="s">
        <v>98</v>
      </c>
      <c r="F557" s="49"/>
      <c r="G557" s="49">
        <v>14244</v>
      </c>
      <c r="H557" s="49">
        <v>14244</v>
      </c>
    </row>
    <row r="558" spans="1:8">
      <c r="A558" s="30" t="s">
        <v>3688</v>
      </c>
      <c r="B558" s="29" t="s">
        <v>1487</v>
      </c>
      <c r="C558" s="30" t="s">
        <v>3122</v>
      </c>
      <c r="D558" s="30" t="s">
        <v>3511</v>
      </c>
      <c r="E558" s="30" t="s">
        <v>98</v>
      </c>
      <c r="F558" s="49"/>
      <c r="G558" s="49">
        <v>8968</v>
      </c>
      <c r="H558" s="49">
        <v>8968</v>
      </c>
    </row>
    <row r="559" spans="1:8">
      <c r="A559" s="30" t="s">
        <v>3689</v>
      </c>
      <c r="B559" s="29" t="s">
        <v>1492</v>
      </c>
      <c r="C559" s="30" t="s">
        <v>3179</v>
      </c>
      <c r="D559" s="30" t="s">
        <v>3511</v>
      </c>
      <c r="E559" s="30" t="s">
        <v>98</v>
      </c>
      <c r="F559" s="49"/>
      <c r="G559" s="49">
        <v>5586</v>
      </c>
      <c r="H559" s="49">
        <v>5586</v>
      </c>
    </row>
    <row r="560" spans="1:8">
      <c r="A560" s="30" t="s">
        <v>3690</v>
      </c>
      <c r="B560" s="29" t="s">
        <v>1492</v>
      </c>
      <c r="C560" s="30" t="s">
        <v>3125</v>
      </c>
      <c r="D560" s="30" t="s">
        <v>3511</v>
      </c>
      <c r="E560" s="30" t="s">
        <v>98</v>
      </c>
      <c r="F560" s="49"/>
      <c r="G560" s="49">
        <v>2745</v>
      </c>
      <c r="H560" s="49">
        <v>2745</v>
      </c>
    </row>
    <row r="561" spans="1:8">
      <c r="A561" s="30" t="s">
        <v>3691</v>
      </c>
      <c r="B561" s="29" t="s">
        <v>1492</v>
      </c>
      <c r="C561" s="30" t="s">
        <v>3143</v>
      </c>
      <c r="D561" s="30" t="s">
        <v>3511</v>
      </c>
      <c r="E561" s="30" t="s">
        <v>98</v>
      </c>
      <c r="F561" s="49"/>
      <c r="G561" s="49">
        <v>3080</v>
      </c>
      <c r="H561" s="49">
        <v>3080</v>
      </c>
    </row>
    <row r="562" spans="1:8">
      <c r="A562" s="30" t="s">
        <v>3692</v>
      </c>
      <c r="B562" s="29" t="s">
        <v>1492</v>
      </c>
      <c r="C562" s="30" t="s">
        <v>3145</v>
      </c>
      <c r="D562" s="30" t="s">
        <v>3511</v>
      </c>
      <c r="E562" s="30" t="s">
        <v>98</v>
      </c>
      <c r="F562" s="49"/>
      <c r="G562" s="49">
        <v>8212</v>
      </c>
      <c r="H562" s="49">
        <v>8212</v>
      </c>
    </row>
    <row r="563" spans="1:8">
      <c r="A563" s="30" t="s">
        <v>3693</v>
      </c>
      <c r="B563" s="29" t="s">
        <v>1492</v>
      </c>
      <c r="C563" s="30" t="s">
        <v>3133</v>
      </c>
      <c r="D563" s="30" t="s">
        <v>3511</v>
      </c>
      <c r="E563" s="30" t="s">
        <v>98</v>
      </c>
      <c r="F563" s="49"/>
      <c r="G563" s="49">
        <v>2769</v>
      </c>
      <c r="H563" s="49">
        <v>2769</v>
      </c>
    </row>
    <row r="564" spans="1:8">
      <c r="A564" s="30" t="s">
        <v>3694</v>
      </c>
      <c r="B564" s="29" t="s">
        <v>1492</v>
      </c>
      <c r="C564" s="30" t="s">
        <v>3122</v>
      </c>
      <c r="D564" s="30" t="s">
        <v>3511</v>
      </c>
      <c r="E564" s="30" t="s">
        <v>98</v>
      </c>
      <c r="F564" s="49"/>
      <c r="G564" s="49">
        <v>2481</v>
      </c>
      <c r="H564" s="49">
        <v>2481</v>
      </c>
    </row>
    <row r="565" spans="1:8">
      <c r="A565" s="30" t="s">
        <v>3695</v>
      </c>
      <c r="B565" s="29" t="s">
        <v>1496</v>
      </c>
      <c r="C565" s="30" t="s">
        <v>3125</v>
      </c>
      <c r="D565" s="30" t="s">
        <v>3511</v>
      </c>
      <c r="E565" s="30" t="s">
        <v>98</v>
      </c>
      <c r="F565" s="49">
        <v>11</v>
      </c>
      <c r="G565" s="49">
        <v>0</v>
      </c>
      <c r="H565" s="49">
        <v>11</v>
      </c>
    </row>
    <row r="566" spans="1:8">
      <c r="A566" s="30" t="s">
        <v>3696</v>
      </c>
      <c r="B566" s="29" t="s">
        <v>1498</v>
      </c>
      <c r="C566" s="30" t="s">
        <v>3125</v>
      </c>
      <c r="D566" s="30" t="s">
        <v>3511</v>
      </c>
      <c r="E566" s="30" t="s">
        <v>98</v>
      </c>
      <c r="F566" s="49">
        <v>13</v>
      </c>
      <c r="G566" s="49">
        <v>0</v>
      </c>
      <c r="H566" s="49">
        <v>13</v>
      </c>
    </row>
    <row r="567" spans="1:8">
      <c r="A567" s="30" t="s">
        <v>3697</v>
      </c>
      <c r="B567" s="29" t="s">
        <v>1500</v>
      </c>
      <c r="C567" s="30" t="s">
        <v>3133</v>
      </c>
      <c r="D567" s="30" t="s">
        <v>3511</v>
      </c>
      <c r="E567" s="30" t="s">
        <v>98</v>
      </c>
      <c r="F567" s="49"/>
      <c r="G567" s="49">
        <v>130</v>
      </c>
      <c r="H567" s="49">
        <v>130</v>
      </c>
    </row>
    <row r="568" spans="1:8">
      <c r="A568" s="30" t="s">
        <v>3698</v>
      </c>
      <c r="B568" s="29" t="s">
        <v>1507</v>
      </c>
      <c r="C568" s="30" t="s">
        <v>3133</v>
      </c>
      <c r="D568" s="30" t="s">
        <v>3511</v>
      </c>
      <c r="E568" s="30" t="s">
        <v>98</v>
      </c>
      <c r="F568" s="49"/>
      <c r="G568" s="49">
        <v>36</v>
      </c>
      <c r="H568" s="49">
        <v>36</v>
      </c>
    </row>
    <row r="569" spans="1:8">
      <c r="A569" s="30" t="s">
        <v>3699</v>
      </c>
      <c r="B569" s="29" t="s">
        <v>1511</v>
      </c>
      <c r="C569" s="30" t="s">
        <v>3133</v>
      </c>
      <c r="D569" s="30" t="s">
        <v>3511</v>
      </c>
      <c r="E569" s="30" t="s">
        <v>98</v>
      </c>
      <c r="F569" s="49"/>
      <c r="G569" s="49">
        <v>15</v>
      </c>
      <c r="H569" s="49">
        <v>15</v>
      </c>
    </row>
    <row r="570" spans="1:8">
      <c r="A570" s="30" t="s">
        <v>3700</v>
      </c>
      <c r="B570" s="29" t="s">
        <v>1515</v>
      </c>
      <c r="C570" s="30" t="s">
        <v>3133</v>
      </c>
      <c r="D570" s="30" t="s">
        <v>3511</v>
      </c>
      <c r="E570" s="30" t="s">
        <v>98</v>
      </c>
      <c r="F570" s="49"/>
      <c r="G570" s="49">
        <v>15</v>
      </c>
      <c r="H570" s="49">
        <v>15</v>
      </c>
    </row>
    <row r="571" spans="1:8">
      <c r="A571" s="30" t="s">
        <v>3701</v>
      </c>
      <c r="B571" s="29" t="s">
        <v>1517</v>
      </c>
      <c r="C571" s="30" t="s">
        <v>3133</v>
      </c>
      <c r="D571" s="30" t="s">
        <v>3511</v>
      </c>
      <c r="E571" s="30" t="s">
        <v>98</v>
      </c>
      <c r="F571" s="49"/>
      <c r="G571" s="49">
        <v>22</v>
      </c>
      <c r="H571" s="49">
        <v>22</v>
      </c>
    </row>
    <row r="572" spans="1:8">
      <c r="A572" s="30" t="s">
        <v>3702</v>
      </c>
      <c r="B572" s="29" t="s">
        <v>1519</v>
      </c>
      <c r="C572" s="30" t="s">
        <v>3125</v>
      </c>
      <c r="D572" s="30" t="s">
        <v>3511</v>
      </c>
      <c r="E572" s="30" t="s">
        <v>98</v>
      </c>
      <c r="F572" s="49">
        <v>3</v>
      </c>
      <c r="G572" s="49">
        <v>0</v>
      </c>
      <c r="H572" s="49">
        <v>3</v>
      </c>
    </row>
    <row r="573" spans="1:8">
      <c r="A573" s="30" t="s">
        <v>3703</v>
      </c>
      <c r="B573" s="29" t="s">
        <v>1521</v>
      </c>
      <c r="C573" s="30" t="s">
        <v>3133</v>
      </c>
      <c r="D573" s="30" t="s">
        <v>3511</v>
      </c>
      <c r="E573" s="30" t="s">
        <v>98</v>
      </c>
      <c r="F573" s="49"/>
      <c r="G573" s="49">
        <v>24</v>
      </c>
      <c r="H573" s="49">
        <v>24</v>
      </c>
    </row>
    <row r="574" spans="1:8">
      <c r="A574" s="30" t="s">
        <v>3704</v>
      </c>
      <c r="B574" s="29" t="s">
        <v>1523</v>
      </c>
      <c r="C574" s="30" t="s">
        <v>3125</v>
      </c>
      <c r="D574" s="30" t="s">
        <v>3511</v>
      </c>
      <c r="E574" s="30" t="s">
        <v>98</v>
      </c>
      <c r="F574" s="49">
        <v>5</v>
      </c>
      <c r="G574" s="49">
        <v>0</v>
      </c>
      <c r="H574" s="49">
        <v>5</v>
      </c>
    </row>
    <row r="575" spans="1:8">
      <c r="A575" s="30" t="s">
        <v>3705</v>
      </c>
      <c r="B575" s="29" t="s">
        <v>1525</v>
      </c>
      <c r="C575" s="30" t="s">
        <v>3133</v>
      </c>
      <c r="D575" s="30" t="s">
        <v>3511</v>
      </c>
      <c r="E575" s="30" t="s">
        <v>98</v>
      </c>
      <c r="F575" s="49"/>
      <c r="G575" s="49">
        <v>28</v>
      </c>
      <c r="H575" s="49">
        <v>28</v>
      </c>
    </row>
    <row r="576" spans="1:8">
      <c r="A576" s="30" t="s">
        <v>3706</v>
      </c>
      <c r="B576" s="29" t="s">
        <v>1529</v>
      </c>
      <c r="C576" s="30" t="s">
        <v>3145</v>
      </c>
      <c r="D576" s="30" t="s">
        <v>3511</v>
      </c>
      <c r="E576" s="30" t="s">
        <v>98</v>
      </c>
      <c r="F576" s="49"/>
      <c r="G576" s="49">
        <v>26</v>
      </c>
      <c r="H576" s="49">
        <v>26</v>
      </c>
    </row>
    <row r="577" spans="1:8">
      <c r="A577" s="30" t="s">
        <v>3707</v>
      </c>
      <c r="B577" s="29" t="s">
        <v>1533</v>
      </c>
      <c r="C577" s="30" t="s">
        <v>3125</v>
      </c>
      <c r="D577" s="30" t="s">
        <v>3511</v>
      </c>
      <c r="E577" s="30" t="s">
        <v>98</v>
      </c>
      <c r="F577" s="49">
        <v>4</v>
      </c>
      <c r="G577" s="49">
        <v>0</v>
      </c>
      <c r="H577" s="49">
        <v>4</v>
      </c>
    </row>
    <row r="578" spans="1:8">
      <c r="A578" s="30" t="s">
        <v>3708</v>
      </c>
      <c r="B578" s="29" t="s">
        <v>1537</v>
      </c>
      <c r="C578" s="30" t="s">
        <v>3125</v>
      </c>
      <c r="D578" s="30" t="s">
        <v>3511</v>
      </c>
      <c r="E578" s="30" t="s">
        <v>98</v>
      </c>
      <c r="F578" s="49"/>
      <c r="G578" s="49">
        <v>40</v>
      </c>
      <c r="H578" s="49">
        <v>40</v>
      </c>
    </row>
    <row r="579" spans="1:8">
      <c r="A579" s="30" t="s">
        <v>3709</v>
      </c>
      <c r="B579" s="29" t="s">
        <v>1541</v>
      </c>
      <c r="C579" s="30" t="s">
        <v>3133</v>
      </c>
      <c r="D579" s="30" t="s">
        <v>3123</v>
      </c>
      <c r="E579" s="30" t="s">
        <v>98</v>
      </c>
      <c r="F579" s="49">
        <v>13</v>
      </c>
      <c r="G579" s="49">
        <v>0</v>
      </c>
      <c r="H579" s="49">
        <v>13</v>
      </c>
    </row>
    <row r="580" spans="1:8">
      <c r="A580" s="46" t="s">
        <v>3710</v>
      </c>
      <c r="B580" s="29" t="s">
        <v>1545</v>
      </c>
      <c r="C580" s="30" t="s">
        <v>3133</v>
      </c>
      <c r="D580" s="30" t="s">
        <v>3511</v>
      </c>
      <c r="E580" s="30" t="s">
        <v>98</v>
      </c>
      <c r="F580" s="49"/>
      <c r="G580" s="49">
        <v>29</v>
      </c>
      <c r="H580" s="49">
        <v>29</v>
      </c>
    </row>
    <row r="581" spans="1:8">
      <c r="A581" s="30" t="s">
        <v>3711</v>
      </c>
      <c r="B581" s="29" t="s">
        <v>1549</v>
      </c>
      <c r="C581" s="30" t="s">
        <v>3133</v>
      </c>
      <c r="D581" s="30" t="s">
        <v>3511</v>
      </c>
      <c r="E581" s="30" t="s">
        <v>98</v>
      </c>
      <c r="F581" s="49"/>
      <c r="G581" s="49">
        <v>4</v>
      </c>
      <c r="H581" s="49">
        <v>4</v>
      </c>
    </row>
    <row r="582" spans="1:8">
      <c r="A582" s="30" t="s">
        <v>3712</v>
      </c>
      <c r="B582" s="29" t="s">
        <v>1553</v>
      </c>
      <c r="C582" s="30" t="s">
        <v>3133</v>
      </c>
      <c r="D582" s="30" t="s">
        <v>3511</v>
      </c>
      <c r="E582" s="30" t="s">
        <v>98</v>
      </c>
      <c r="F582" s="49"/>
      <c r="G582" s="49">
        <v>6</v>
      </c>
      <c r="H582" s="49">
        <v>6</v>
      </c>
    </row>
    <row r="583" spans="1:8">
      <c r="A583" s="30" t="s">
        <v>3713</v>
      </c>
      <c r="B583" s="29" t="s">
        <v>1555</v>
      </c>
      <c r="C583" s="30" t="s">
        <v>3133</v>
      </c>
      <c r="D583" s="30" t="s">
        <v>3511</v>
      </c>
      <c r="E583" s="30" t="s">
        <v>98</v>
      </c>
      <c r="F583" s="49"/>
      <c r="G583" s="49">
        <v>11</v>
      </c>
      <c r="H583" s="49">
        <v>11</v>
      </c>
    </row>
    <row r="584" spans="1:8">
      <c r="A584" s="30" t="s">
        <v>3714</v>
      </c>
      <c r="B584" s="29" t="s">
        <v>1559</v>
      </c>
      <c r="C584" s="30" t="s">
        <v>3133</v>
      </c>
      <c r="D584" s="30" t="s">
        <v>3511</v>
      </c>
      <c r="E584" s="30" t="s">
        <v>98</v>
      </c>
      <c r="F584" s="49"/>
      <c r="G584" s="49">
        <v>32</v>
      </c>
      <c r="H584" s="49">
        <v>32</v>
      </c>
    </row>
    <row r="585" spans="1:8">
      <c r="A585" s="30" t="s">
        <v>3715</v>
      </c>
      <c r="B585" s="29" t="s">
        <v>1561</v>
      </c>
      <c r="C585" s="30" t="s">
        <v>3122</v>
      </c>
      <c r="D585" s="30" t="s">
        <v>3511</v>
      </c>
      <c r="E585" s="30" t="s">
        <v>98</v>
      </c>
      <c r="F585" s="49"/>
      <c r="G585" s="49">
        <v>9</v>
      </c>
      <c r="H585" s="49">
        <v>9</v>
      </c>
    </row>
    <row r="586" spans="1:8">
      <c r="A586" s="30" t="s">
        <v>3716</v>
      </c>
      <c r="B586" s="29" t="s">
        <v>1563</v>
      </c>
      <c r="C586" s="30" t="s">
        <v>3133</v>
      </c>
      <c r="D586" s="30" t="s">
        <v>3511</v>
      </c>
      <c r="E586" s="30" t="s">
        <v>98</v>
      </c>
      <c r="F586" s="49"/>
      <c r="G586" s="49">
        <v>3</v>
      </c>
      <c r="H586" s="49">
        <v>3</v>
      </c>
    </row>
    <row r="587" spans="1:8">
      <c r="A587" s="30" t="s">
        <v>3717</v>
      </c>
      <c r="B587" s="29" t="s">
        <v>1565</v>
      </c>
      <c r="C587" s="30" t="s">
        <v>3133</v>
      </c>
      <c r="D587" s="30" t="s">
        <v>3511</v>
      </c>
      <c r="E587" s="30" t="s">
        <v>98</v>
      </c>
      <c r="F587" s="49"/>
      <c r="G587" s="49">
        <v>3</v>
      </c>
      <c r="H587" s="49">
        <v>3</v>
      </c>
    </row>
    <row r="588" spans="1:8">
      <c r="A588" s="30" t="s">
        <v>3718</v>
      </c>
      <c r="B588" s="29" t="s">
        <v>1567</v>
      </c>
      <c r="C588" s="30" t="s">
        <v>3133</v>
      </c>
      <c r="D588" s="30" t="s">
        <v>3511</v>
      </c>
      <c r="E588" s="30" t="s">
        <v>98</v>
      </c>
      <c r="F588" s="49"/>
      <c r="G588" s="49">
        <v>12</v>
      </c>
      <c r="H588" s="49">
        <v>12</v>
      </c>
    </row>
    <row r="589" spans="1:8">
      <c r="A589" s="30" t="s">
        <v>3719</v>
      </c>
      <c r="B589" s="29" t="s">
        <v>1570</v>
      </c>
      <c r="C589" s="30" t="s">
        <v>3143</v>
      </c>
      <c r="D589" s="30" t="s">
        <v>3511</v>
      </c>
      <c r="E589" s="30" t="s">
        <v>824</v>
      </c>
      <c r="F589" s="49"/>
      <c r="G589" s="49">
        <v>12</v>
      </c>
      <c r="H589" s="49">
        <v>12</v>
      </c>
    </row>
    <row r="590" spans="1:8">
      <c r="A590" s="30"/>
      <c r="B590" s="29"/>
      <c r="C590" s="30"/>
      <c r="D590" s="30"/>
      <c r="E590" s="30"/>
      <c r="F590" s="49"/>
      <c r="G590" s="49"/>
      <c r="H590" s="49"/>
    </row>
    <row r="591" spans="1:8">
      <c r="A591" s="30"/>
      <c r="B591" s="29"/>
      <c r="C591" s="30"/>
      <c r="D591" s="30"/>
      <c r="E591" s="30"/>
      <c r="F591" s="49"/>
      <c r="G591" s="49"/>
      <c r="H591" s="49"/>
    </row>
    <row r="592" spans="1:8">
      <c r="A592" s="30"/>
      <c r="B592" s="29"/>
      <c r="C592" s="30"/>
      <c r="D592" s="30"/>
      <c r="E592" s="30"/>
      <c r="F592" s="49"/>
      <c r="G592" s="49"/>
      <c r="H592" s="49"/>
    </row>
    <row r="593" spans="1:8">
      <c r="A593" s="30"/>
      <c r="B593" s="29"/>
      <c r="C593" s="30"/>
      <c r="D593" s="30"/>
      <c r="E593" s="30"/>
      <c r="F593" s="49"/>
      <c r="G593" s="49"/>
      <c r="H593" s="49"/>
    </row>
    <row r="594" spans="1:8">
      <c r="A594" s="46" t="s">
        <v>3720</v>
      </c>
      <c r="B594" s="29" t="s">
        <v>1573</v>
      </c>
      <c r="C594" s="30" t="s">
        <v>3145</v>
      </c>
      <c r="D594" s="30" t="s">
        <v>3511</v>
      </c>
      <c r="E594" s="30" t="s">
        <v>98</v>
      </c>
      <c r="F594" s="49"/>
      <c r="G594" s="49">
        <v>23</v>
      </c>
      <c r="H594" s="49">
        <v>23</v>
      </c>
    </row>
    <row r="595" spans="1:8">
      <c r="A595" s="30" t="s">
        <v>3721</v>
      </c>
      <c r="B595" s="29" t="s">
        <v>1576</v>
      </c>
      <c r="C595" s="30" t="s">
        <v>3133</v>
      </c>
      <c r="D595" s="30" t="s">
        <v>3511</v>
      </c>
      <c r="E595" s="30" t="s">
        <v>98</v>
      </c>
      <c r="F595" s="49"/>
      <c r="G595" s="49">
        <v>250</v>
      </c>
      <c r="H595" s="49">
        <v>250</v>
      </c>
    </row>
    <row r="596" spans="1:8">
      <c r="A596" s="30" t="s">
        <v>3722</v>
      </c>
      <c r="B596" s="29" t="s">
        <v>1578</v>
      </c>
      <c r="C596" s="30" t="s">
        <v>3133</v>
      </c>
      <c r="D596" s="30" t="s">
        <v>3511</v>
      </c>
      <c r="E596" s="30" t="s">
        <v>98</v>
      </c>
      <c r="F596" s="49"/>
      <c r="G596" s="49">
        <v>82</v>
      </c>
      <c r="H596" s="49">
        <v>82</v>
      </c>
    </row>
    <row r="597" spans="1:8">
      <c r="A597" s="30" t="s">
        <v>3723</v>
      </c>
      <c r="B597" s="29" t="s">
        <v>1581</v>
      </c>
      <c r="C597" s="30" t="s">
        <v>3122</v>
      </c>
      <c r="D597" s="30" t="s">
        <v>3511</v>
      </c>
      <c r="E597" s="30" t="s">
        <v>98</v>
      </c>
      <c r="F597" s="49"/>
      <c r="G597" s="49">
        <v>28</v>
      </c>
      <c r="H597" s="49">
        <v>28</v>
      </c>
    </row>
    <row r="598" spans="1:8">
      <c r="A598" s="46" t="s">
        <v>3724</v>
      </c>
      <c r="B598" s="29" t="s">
        <v>1584</v>
      </c>
      <c r="C598" s="30" t="s">
        <v>3145</v>
      </c>
      <c r="D598" s="30" t="s">
        <v>3511</v>
      </c>
      <c r="E598" s="30" t="s">
        <v>98</v>
      </c>
      <c r="F598" s="49"/>
      <c r="G598" s="49">
        <v>20</v>
      </c>
      <c r="H598" s="49">
        <v>20</v>
      </c>
    </row>
    <row r="599" spans="1:8">
      <c r="A599" s="30" t="s">
        <v>3725</v>
      </c>
      <c r="B599" s="29" t="s">
        <v>1587</v>
      </c>
      <c r="C599" s="30" t="s">
        <v>3133</v>
      </c>
      <c r="D599" s="30" t="s">
        <v>3511</v>
      </c>
      <c r="E599" s="30" t="s">
        <v>98</v>
      </c>
      <c r="F599" s="49"/>
      <c r="G599" s="49">
        <v>4</v>
      </c>
      <c r="H599" s="49">
        <v>4</v>
      </c>
    </row>
    <row r="600" spans="1:8">
      <c r="A600" s="30" t="s">
        <v>3726</v>
      </c>
      <c r="B600" s="29" t="s">
        <v>1589</v>
      </c>
      <c r="C600" s="30" t="s">
        <v>3133</v>
      </c>
      <c r="D600" s="30" t="s">
        <v>3511</v>
      </c>
      <c r="E600" s="30" t="s">
        <v>98</v>
      </c>
      <c r="F600" s="49"/>
      <c r="G600" s="49">
        <v>19</v>
      </c>
      <c r="H600" s="49">
        <v>19</v>
      </c>
    </row>
    <row r="601" spans="1:8">
      <c r="A601" s="30" t="s">
        <v>3727</v>
      </c>
      <c r="B601" s="29" t="s">
        <v>1591</v>
      </c>
      <c r="C601" s="30" t="s">
        <v>3133</v>
      </c>
      <c r="D601" s="30" t="s">
        <v>3511</v>
      </c>
      <c r="E601" s="30" t="s">
        <v>98</v>
      </c>
      <c r="F601" s="49"/>
      <c r="G601" s="49">
        <v>4</v>
      </c>
      <c r="H601" s="49">
        <v>4</v>
      </c>
    </row>
    <row r="602" spans="1:8">
      <c r="A602" s="30" t="s">
        <v>3728</v>
      </c>
      <c r="B602" s="29" t="s">
        <v>1593</v>
      </c>
      <c r="C602" s="30" t="s">
        <v>3133</v>
      </c>
      <c r="D602" s="30" t="s">
        <v>3511</v>
      </c>
      <c r="E602" s="30" t="s">
        <v>98</v>
      </c>
      <c r="F602" s="49"/>
      <c r="G602" s="49">
        <v>1</v>
      </c>
      <c r="H602" s="49">
        <v>1</v>
      </c>
    </row>
    <row r="603" spans="1:8">
      <c r="A603" s="30" t="s">
        <v>3729</v>
      </c>
      <c r="B603" s="29" t="s">
        <v>1595</v>
      </c>
      <c r="C603" s="30" t="s">
        <v>3133</v>
      </c>
      <c r="D603" s="30" t="s">
        <v>3511</v>
      </c>
      <c r="E603" s="30" t="s">
        <v>98</v>
      </c>
      <c r="F603" s="49"/>
      <c r="G603" s="49">
        <v>2</v>
      </c>
      <c r="H603" s="49">
        <v>2</v>
      </c>
    </row>
    <row r="604" spans="1:8">
      <c r="A604" s="30" t="s">
        <v>3730</v>
      </c>
      <c r="B604" s="29" t="s">
        <v>1597</v>
      </c>
      <c r="C604" s="30" t="s">
        <v>3133</v>
      </c>
      <c r="D604" s="30" t="s">
        <v>3511</v>
      </c>
      <c r="E604" s="30" t="s">
        <v>98</v>
      </c>
      <c r="F604" s="49"/>
      <c r="G604" s="49">
        <v>2</v>
      </c>
      <c r="H604" s="49">
        <v>2</v>
      </c>
    </row>
    <row r="605" spans="1:8">
      <c r="A605" s="30" t="s">
        <v>3731</v>
      </c>
      <c r="B605" s="29" t="s">
        <v>1599</v>
      </c>
      <c r="C605" s="30" t="s">
        <v>3133</v>
      </c>
      <c r="D605" s="30" t="s">
        <v>3511</v>
      </c>
      <c r="E605" s="30" t="s">
        <v>98</v>
      </c>
      <c r="F605" s="49"/>
      <c r="G605" s="49">
        <v>1</v>
      </c>
      <c r="H605" s="49">
        <v>1</v>
      </c>
    </row>
    <row r="606" spans="1:8">
      <c r="A606" s="30" t="s">
        <v>3732</v>
      </c>
      <c r="B606" s="29" t="s">
        <v>1601</v>
      </c>
      <c r="C606" s="30" t="s">
        <v>3133</v>
      </c>
      <c r="D606" s="30" t="s">
        <v>3511</v>
      </c>
      <c r="E606" s="30" t="s">
        <v>98</v>
      </c>
      <c r="F606" s="49"/>
      <c r="G606" s="49">
        <v>4</v>
      </c>
      <c r="H606" s="49">
        <v>4</v>
      </c>
    </row>
    <row r="607" spans="1:8">
      <c r="A607" s="30" t="s">
        <v>3733</v>
      </c>
      <c r="B607" s="29" t="s">
        <v>1603</v>
      </c>
      <c r="C607" s="30" t="s">
        <v>3133</v>
      </c>
      <c r="D607" s="30" t="s">
        <v>3511</v>
      </c>
      <c r="E607" s="30" t="s">
        <v>98</v>
      </c>
      <c r="F607" s="49"/>
      <c r="G607" s="49">
        <v>3</v>
      </c>
      <c r="H607" s="49">
        <v>3</v>
      </c>
    </row>
    <row r="608" spans="1:8">
      <c r="A608" s="46" t="s">
        <v>3734</v>
      </c>
      <c r="B608" s="29" t="s">
        <v>1605</v>
      </c>
      <c r="C608" s="30" t="s">
        <v>3122</v>
      </c>
      <c r="D608" s="30" t="s">
        <v>3126</v>
      </c>
      <c r="E608" s="30" t="s">
        <v>98</v>
      </c>
      <c r="F608" s="49"/>
      <c r="G608" s="49">
        <v>27</v>
      </c>
      <c r="H608" s="49">
        <v>27</v>
      </c>
    </row>
    <row r="609" spans="1:8">
      <c r="A609" s="30" t="s">
        <v>3735</v>
      </c>
      <c r="B609" s="29" t="s">
        <v>1605</v>
      </c>
      <c r="C609" s="30" t="s">
        <v>3133</v>
      </c>
      <c r="D609" s="30" t="s">
        <v>3126</v>
      </c>
      <c r="E609" s="30" t="s">
        <v>98</v>
      </c>
      <c r="F609" s="49"/>
      <c r="G609" s="49">
        <v>30</v>
      </c>
      <c r="H609" s="49">
        <v>30</v>
      </c>
    </row>
    <row r="610" spans="1:8">
      <c r="A610" s="30" t="s">
        <v>3736</v>
      </c>
      <c r="B610" s="29" t="s">
        <v>1605</v>
      </c>
      <c r="C610" s="30" t="s">
        <v>3145</v>
      </c>
      <c r="D610" s="30" t="s">
        <v>3126</v>
      </c>
      <c r="E610" s="30" t="s">
        <v>98</v>
      </c>
      <c r="F610" s="49"/>
      <c r="G610" s="49">
        <v>46</v>
      </c>
      <c r="H610" s="49">
        <v>46</v>
      </c>
    </row>
    <row r="611" spans="1:8">
      <c r="A611" s="30" t="s">
        <v>3737</v>
      </c>
      <c r="B611" s="29" t="s">
        <v>1609</v>
      </c>
      <c r="C611" s="30" t="s">
        <v>3122</v>
      </c>
      <c r="D611" s="30" t="s">
        <v>3511</v>
      </c>
      <c r="E611" s="30" t="s">
        <v>98</v>
      </c>
      <c r="F611" s="49"/>
      <c r="G611" s="49">
        <v>35</v>
      </c>
      <c r="H611" s="49">
        <v>35</v>
      </c>
    </row>
    <row r="612" spans="1:8">
      <c r="A612" s="30" t="s">
        <v>3738</v>
      </c>
      <c r="B612" s="29" t="s">
        <v>1609</v>
      </c>
      <c r="C612" s="30" t="s">
        <v>3133</v>
      </c>
      <c r="D612" s="30" t="s">
        <v>3511</v>
      </c>
      <c r="E612" s="30" t="s">
        <v>98</v>
      </c>
      <c r="F612" s="49"/>
      <c r="G612" s="49">
        <v>47</v>
      </c>
      <c r="H612" s="49">
        <v>47</v>
      </c>
    </row>
    <row r="613" spans="1:8">
      <c r="A613" s="30" t="s">
        <v>3739</v>
      </c>
      <c r="B613" s="29" t="s">
        <v>1609</v>
      </c>
      <c r="C613" s="30" t="s">
        <v>3145</v>
      </c>
      <c r="D613" s="30" t="s">
        <v>3511</v>
      </c>
      <c r="E613" s="30" t="s">
        <v>98</v>
      </c>
      <c r="F613" s="49"/>
      <c r="G613" s="49">
        <v>5</v>
      </c>
      <c r="H613" s="49">
        <v>5</v>
      </c>
    </row>
    <row r="614" spans="1:8">
      <c r="A614" s="30" t="s">
        <v>3740</v>
      </c>
      <c r="B614" s="29" t="s">
        <v>1613</v>
      </c>
      <c r="C614" s="30" t="s">
        <v>3145</v>
      </c>
      <c r="D614" s="30" t="s">
        <v>3511</v>
      </c>
      <c r="E614" s="30" t="s">
        <v>98</v>
      </c>
      <c r="F614" s="49"/>
      <c r="G614" s="49">
        <v>24</v>
      </c>
      <c r="H614" s="49">
        <v>24</v>
      </c>
    </row>
    <row r="615" spans="1:8">
      <c r="A615" s="30" t="s">
        <v>3741</v>
      </c>
      <c r="B615" s="29" t="s">
        <v>1613</v>
      </c>
      <c r="C615" s="30" t="s">
        <v>3133</v>
      </c>
      <c r="D615" s="30" t="s">
        <v>3511</v>
      </c>
      <c r="E615" s="30" t="s">
        <v>98</v>
      </c>
      <c r="F615" s="49"/>
      <c r="G615" s="49">
        <v>33</v>
      </c>
      <c r="H615" s="49">
        <v>33</v>
      </c>
    </row>
    <row r="616" spans="1:8">
      <c r="A616" s="30" t="s">
        <v>3742</v>
      </c>
      <c r="B616" s="29" t="s">
        <v>1613</v>
      </c>
      <c r="C616" s="30" t="s">
        <v>3122</v>
      </c>
      <c r="D616" s="30" t="s">
        <v>3511</v>
      </c>
      <c r="E616" s="30" t="s">
        <v>98</v>
      </c>
      <c r="F616" s="49"/>
      <c r="G616" s="49">
        <v>5</v>
      </c>
      <c r="H616" s="49">
        <v>5</v>
      </c>
    </row>
    <row r="617" spans="1:8">
      <c r="A617" s="30" t="s">
        <v>3743</v>
      </c>
      <c r="B617" s="29" t="s">
        <v>1613</v>
      </c>
      <c r="C617" s="30" t="s">
        <v>3125</v>
      </c>
      <c r="D617" s="30" t="s">
        <v>3511</v>
      </c>
      <c r="E617" s="30" t="s">
        <v>98</v>
      </c>
      <c r="F617" s="49"/>
      <c r="G617" s="49">
        <v>2</v>
      </c>
      <c r="H617" s="49">
        <v>2</v>
      </c>
    </row>
    <row r="618" spans="1:8">
      <c r="A618" s="30" t="s">
        <v>3744</v>
      </c>
      <c r="B618" s="29" t="s">
        <v>1613</v>
      </c>
      <c r="C618" s="30" t="s">
        <v>3143</v>
      </c>
      <c r="D618" s="30" t="s">
        <v>3511</v>
      </c>
      <c r="E618" s="30" t="s">
        <v>98</v>
      </c>
      <c r="F618" s="49"/>
      <c r="G618" s="49">
        <v>3</v>
      </c>
      <c r="H618" s="49">
        <v>3</v>
      </c>
    </row>
    <row r="619" spans="1:8">
      <c r="A619" s="30" t="s">
        <v>3745</v>
      </c>
      <c r="B619" s="29" t="s">
        <v>1617</v>
      </c>
      <c r="C619" s="30" t="s">
        <v>3125</v>
      </c>
      <c r="D619" s="30" t="s">
        <v>3511</v>
      </c>
      <c r="E619" s="30" t="s">
        <v>98</v>
      </c>
      <c r="F619" s="49"/>
      <c r="G619" s="49">
        <v>8</v>
      </c>
      <c r="H619" s="49">
        <v>8</v>
      </c>
    </row>
    <row r="620" spans="1:8">
      <c r="A620" s="30" t="s">
        <v>3746</v>
      </c>
      <c r="B620" s="29" t="s">
        <v>1617</v>
      </c>
      <c r="C620" s="30" t="s">
        <v>3143</v>
      </c>
      <c r="D620" s="30" t="s">
        <v>3511</v>
      </c>
      <c r="E620" s="30" t="s">
        <v>98</v>
      </c>
      <c r="F620" s="49"/>
      <c r="G620" s="49">
        <v>10</v>
      </c>
      <c r="H620" s="49">
        <v>10</v>
      </c>
    </row>
    <row r="621" spans="1:8">
      <c r="A621" s="30" t="s">
        <v>3747</v>
      </c>
      <c r="B621" s="29" t="s">
        <v>1617</v>
      </c>
      <c r="C621" s="30" t="s">
        <v>3145</v>
      </c>
      <c r="D621" s="30" t="s">
        <v>3511</v>
      </c>
      <c r="E621" s="30" t="s">
        <v>98</v>
      </c>
      <c r="F621" s="49"/>
      <c r="G621" s="49">
        <v>37</v>
      </c>
      <c r="H621" s="49">
        <v>37</v>
      </c>
    </row>
    <row r="622" spans="1:8">
      <c r="A622" s="30" t="s">
        <v>3748</v>
      </c>
      <c r="B622" s="29" t="s">
        <v>1617</v>
      </c>
      <c r="C622" s="30" t="s">
        <v>3133</v>
      </c>
      <c r="D622" s="30" t="s">
        <v>3511</v>
      </c>
      <c r="E622" s="30" t="s">
        <v>98</v>
      </c>
      <c r="F622" s="49"/>
      <c r="G622" s="49">
        <v>77</v>
      </c>
      <c r="H622" s="49">
        <v>77</v>
      </c>
    </row>
    <row r="623" spans="1:8">
      <c r="A623" s="30" t="s">
        <v>3749</v>
      </c>
      <c r="B623" s="29" t="s">
        <v>1617</v>
      </c>
      <c r="C623" s="30" t="s">
        <v>3122</v>
      </c>
      <c r="D623" s="30" t="s">
        <v>3511</v>
      </c>
      <c r="E623" s="30" t="s">
        <v>98</v>
      </c>
      <c r="F623" s="49"/>
      <c r="G623" s="49">
        <v>4</v>
      </c>
      <c r="H623" s="49">
        <v>4</v>
      </c>
    </row>
    <row r="624" spans="1:8">
      <c r="A624" s="30" t="s">
        <v>3750</v>
      </c>
      <c r="B624" s="29" t="s">
        <v>1621</v>
      </c>
      <c r="C624" s="30" t="s">
        <v>3122</v>
      </c>
      <c r="D624" s="30" t="s">
        <v>3511</v>
      </c>
      <c r="E624" s="30" t="s">
        <v>98</v>
      </c>
      <c r="F624" s="49"/>
      <c r="G624" s="49">
        <v>4</v>
      </c>
      <c r="H624" s="49">
        <v>4</v>
      </c>
    </row>
    <row r="625" spans="1:8">
      <c r="A625" s="30" t="s">
        <v>3751</v>
      </c>
      <c r="B625" s="29" t="s">
        <v>1621</v>
      </c>
      <c r="C625" s="30" t="s">
        <v>3133</v>
      </c>
      <c r="D625" s="30" t="s">
        <v>3511</v>
      </c>
      <c r="E625" s="30" t="s">
        <v>98</v>
      </c>
      <c r="F625" s="49"/>
      <c r="G625" s="49">
        <v>77</v>
      </c>
      <c r="H625" s="49">
        <v>77</v>
      </c>
    </row>
    <row r="626" spans="1:8">
      <c r="A626" s="30" t="s">
        <v>3752</v>
      </c>
      <c r="B626" s="29" t="s">
        <v>1621</v>
      </c>
      <c r="C626" s="30" t="s">
        <v>3145</v>
      </c>
      <c r="D626" s="30" t="s">
        <v>3511</v>
      </c>
      <c r="E626" s="30" t="s">
        <v>98</v>
      </c>
      <c r="F626" s="49"/>
      <c r="G626" s="49">
        <v>37</v>
      </c>
      <c r="H626" s="49">
        <v>37</v>
      </c>
    </row>
    <row r="627" spans="1:8">
      <c r="A627" s="30" t="s">
        <v>3753</v>
      </c>
      <c r="B627" s="29" t="s">
        <v>1621</v>
      </c>
      <c r="C627" s="30" t="s">
        <v>3143</v>
      </c>
      <c r="D627" s="30" t="s">
        <v>3511</v>
      </c>
      <c r="E627" s="30" t="s">
        <v>98</v>
      </c>
      <c r="F627" s="49"/>
      <c r="G627" s="49">
        <v>10</v>
      </c>
      <c r="H627" s="49">
        <v>10</v>
      </c>
    </row>
    <row r="628" spans="1:8">
      <c r="A628" s="30" t="s">
        <v>3754</v>
      </c>
      <c r="B628" s="29" t="s">
        <v>1621</v>
      </c>
      <c r="C628" s="30" t="s">
        <v>3125</v>
      </c>
      <c r="D628" s="30" t="s">
        <v>3511</v>
      </c>
      <c r="E628" s="30" t="s">
        <v>98</v>
      </c>
      <c r="F628" s="49"/>
      <c r="G628" s="49">
        <v>8</v>
      </c>
      <c r="H628" s="49">
        <v>8</v>
      </c>
    </row>
    <row r="629" spans="1:8">
      <c r="A629" s="30" t="s">
        <v>3755</v>
      </c>
      <c r="B629" s="29" t="s">
        <v>1623</v>
      </c>
      <c r="C629" s="30" t="s">
        <v>3122</v>
      </c>
      <c r="D629" s="30" t="s">
        <v>3511</v>
      </c>
      <c r="E629" s="30" t="s">
        <v>98</v>
      </c>
      <c r="F629" s="49"/>
      <c r="G629" s="49">
        <v>3</v>
      </c>
      <c r="H629" s="49">
        <v>3</v>
      </c>
    </row>
    <row r="630" spans="1:8">
      <c r="A630" s="30" t="s">
        <v>3756</v>
      </c>
      <c r="B630" s="29" t="s">
        <v>1623</v>
      </c>
      <c r="C630" s="30" t="s">
        <v>3133</v>
      </c>
      <c r="D630" s="30" t="s">
        <v>3511</v>
      </c>
      <c r="E630" s="30" t="s">
        <v>98</v>
      </c>
      <c r="F630" s="49"/>
      <c r="G630" s="49">
        <v>43</v>
      </c>
      <c r="H630" s="49">
        <v>43</v>
      </c>
    </row>
    <row r="631" spans="1:8">
      <c r="A631" s="30" t="s">
        <v>3757</v>
      </c>
      <c r="B631" s="29" t="s">
        <v>1623</v>
      </c>
      <c r="C631" s="30" t="s">
        <v>3145</v>
      </c>
      <c r="D631" s="30" t="s">
        <v>3511</v>
      </c>
      <c r="E631" s="30" t="s">
        <v>98</v>
      </c>
      <c r="F631" s="49"/>
      <c r="G631" s="49">
        <v>4</v>
      </c>
      <c r="H631" s="49">
        <v>4</v>
      </c>
    </row>
    <row r="632" spans="1:8">
      <c r="A632" s="30" t="s">
        <v>3758</v>
      </c>
      <c r="B632" s="29" t="s">
        <v>1623</v>
      </c>
      <c r="C632" s="30" t="s">
        <v>3125</v>
      </c>
      <c r="D632" s="30" t="s">
        <v>3511</v>
      </c>
      <c r="E632" s="30" t="s">
        <v>98</v>
      </c>
      <c r="F632" s="49"/>
      <c r="G632" s="49">
        <v>2</v>
      </c>
      <c r="H632" s="49">
        <v>2</v>
      </c>
    </row>
    <row r="633" spans="1:8">
      <c r="A633" s="30" t="s">
        <v>3759</v>
      </c>
      <c r="B633" s="29" t="s">
        <v>1627</v>
      </c>
      <c r="C633" s="30" t="s">
        <v>3122</v>
      </c>
      <c r="D633" s="30" t="s">
        <v>3511</v>
      </c>
      <c r="E633" s="30" t="s">
        <v>98</v>
      </c>
      <c r="F633" s="49"/>
      <c r="G633" s="49">
        <v>15</v>
      </c>
      <c r="H633" s="49">
        <v>15</v>
      </c>
    </row>
    <row r="634" spans="1:8">
      <c r="A634" s="30" t="s">
        <v>3760</v>
      </c>
      <c r="B634" s="29" t="s">
        <v>1627</v>
      </c>
      <c r="C634" s="30" t="s">
        <v>3133</v>
      </c>
      <c r="D634" s="30" t="s">
        <v>3511</v>
      </c>
      <c r="E634" s="30" t="s">
        <v>98</v>
      </c>
      <c r="F634" s="49"/>
      <c r="G634" s="49">
        <v>42</v>
      </c>
      <c r="H634" s="49">
        <v>42</v>
      </c>
    </row>
    <row r="635" spans="1:8">
      <c r="A635" s="30" t="s">
        <v>3761</v>
      </c>
      <c r="B635" s="29" t="s">
        <v>1627</v>
      </c>
      <c r="C635" s="30" t="s">
        <v>3145</v>
      </c>
      <c r="D635" s="30" t="s">
        <v>3511</v>
      </c>
      <c r="E635" s="30" t="s">
        <v>98</v>
      </c>
      <c r="F635" s="49"/>
      <c r="G635" s="49">
        <v>23</v>
      </c>
      <c r="H635" s="49">
        <v>23</v>
      </c>
    </row>
    <row r="636" spans="1:8">
      <c r="A636" s="30" t="s">
        <v>3762</v>
      </c>
      <c r="B636" s="29" t="s">
        <v>1631</v>
      </c>
      <c r="C636" s="30" t="s">
        <v>3133</v>
      </c>
      <c r="D636" s="30" t="s">
        <v>3511</v>
      </c>
      <c r="E636" s="30" t="s">
        <v>98</v>
      </c>
      <c r="F636" s="49"/>
      <c r="G636" s="49">
        <v>45</v>
      </c>
      <c r="H636" s="49">
        <v>45</v>
      </c>
    </row>
    <row r="637" spans="1:8">
      <c r="A637" s="30" t="s">
        <v>3763</v>
      </c>
      <c r="B637" s="29" t="s">
        <v>1631</v>
      </c>
      <c r="C637" s="30" t="s">
        <v>3145</v>
      </c>
      <c r="D637" s="30" t="s">
        <v>3511</v>
      </c>
      <c r="E637" s="30" t="s">
        <v>98</v>
      </c>
      <c r="F637" s="49"/>
      <c r="G637" s="49">
        <v>35</v>
      </c>
      <c r="H637" s="49">
        <v>35</v>
      </c>
    </row>
    <row r="638" spans="1:8">
      <c r="A638" s="30" t="s">
        <v>3764</v>
      </c>
      <c r="B638" s="29" t="s">
        <v>1635</v>
      </c>
      <c r="C638" s="30" t="s">
        <v>3133</v>
      </c>
      <c r="D638" s="30" t="s">
        <v>3511</v>
      </c>
      <c r="E638" s="30" t="s">
        <v>98</v>
      </c>
      <c r="F638" s="49"/>
      <c r="G638" s="49">
        <v>116</v>
      </c>
      <c r="H638" s="49">
        <v>116</v>
      </c>
    </row>
    <row r="639" spans="1:8">
      <c r="A639" s="46" t="s">
        <v>3765</v>
      </c>
      <c r="B639" s="29" t="s">
        <v>1635</v>
      </c>
      <c r="C639" s="30" t="s">
        <v>3145</v>
      </c>
      <c r="D639" s="30" t="s">
        <v>3511</v>
      </c>
      <c r="E639" s="30" t="s">
        <v>98</v>
      </c>
      <c r="F639" s="49"/>
      <c r="G639" s="49">
        <v>100</v>
      </c>
      <c r="H639" s="49">
        <v>100</v>
      </c>
    </row>
    <row r="640" spans="1:8">
      <c r="A640" s="30" t="s">
        <v>3766</v>
      </c>
      <c r="B640" s="29" t="s">
        <v>1639</v>
      </c>
      <c r="C640" s="30" t="s">
        <v>3125</v>
      </c>
      <c r="D640" s="30" t="s">
        <v>3511</v>
      </c>
      <c r="E640" s="30" t="s">
        <v>98</v>
      </c>
      <c r="F640" s="49"/>
      <c r="G640" s="49">
        <v>1</v>
      </c>
      <c r="H640" s="49">
        <v>1</v>
      </c>
    </row>
    <row r="641" spans="1:8">
      <c r="A641" s="30" t="s">
        <v>3767</v>
      </c>
      <c r="B641" s="29" t="s">
        <v>1639</v>
      </c>
      <c r="C641" s="30" t="s">
        <v>3145</v>
      </c>
      <c r="D641" s="30" t="s">
        <v>3511</v>
      </c>
      <c r="E641" s="30" t="s">
        <v>98</v>
      </c>
      <c r="F641" s="49"/>
      <c r="G641" s="49">
        <v>65</v>
      </c>
      <c r="H641" s="49">
        <v>65</v>
      </c>
    </row>
    <row r="642" spans="1:8">
      <c r="A642" s="30" t="s">
        <v>3768</v>
      </c>
      <c r="B642" s="29" t="s">
        <v>1639</v>
      </c>
      <c r="C642" s="30" t="s">
        <v>3133</v>
      </c>
      <c r="D642" s="30" t="s">
        <v>3511</v>
      </c>
      <c r="E642" s="30" t="s">
        <v>98</v>
      </c>
      <c r="F642" s="49"/>
      <c r="G642" s="49">
        <v>98</v>
      </c>
      <c r="H642" s="49">
        <v>98</v>
      </c>
    </row>
    <row r="643" spans="1:8">
      <c r="A643" s="30" t="s">
        <v>3769</v>
      </c>
      <c r="B643" s="29" t="s">
        <v>1642</v>
      </c>
      <c r="C643" s="30" t="s">
        <v>3125</v>
      </c>
      <c r="D643" s="30" t="s">
        <v>3511</v>
      </c>
      <c r="E643" s="30" t="s">
        <v>98</v>
      </c>
      <c r="F643" s="49"/>
      <c r="G643" s="49">
        <v>6</v>
      </c>
      <c r="H643" s="49">
        <v>6</v>
      </c>
    </row>
    <row r="644" spans="1:8">
      <c r="A644" s="30" t="s">
        <v>3770</v>
      </c>
      <c r="B644" s="29" t="s">
        <v>1642</v>
      </c>
      <c r="C644" s="30" t="s">
        <v>3145</v>
      </c>
      <c r="D644" s="30" t="s">
        <v>3511</v>
      </c>
      <c r="E644" s="30" t="s">
        <v>98</v>
      </c>
      <c r="F644" s="49"/>
      <c r="G644" s="49">
        <v>5</v>
      </c>
      <c r="H644" s="49">
        <v>5</v>
      </c>
    </row>
    <row r="645" spans="1:8">
      <c r="A645" s="30" t="s">
        <v>3771</v>
      </c>
      <c r="B645" s="29" t="s">
        <v>1642</v>
      </c>
      <c r="C645" s="30" t="s">
        <v>3133</v>
      </c>
      <c r="D645" s="30" t="s">
        <v>3511</v>
      </c>
      <c r="E645" s="30" t="s">
        <v>98</v>
      </c>
      <c r="F645" s="49"/>
      <c r="G645" s="49">
        <v>81</v>
      </c>
      <c r="H645" s="49">
        <v>81</v>
      </c>
    </row>
    <row r="646" spans="1:8">
      <c r="A646" s="30" t="s">
        <v>3772</v>
      </c>
      <c r="B646" s="29" t="s">
        <v>1642</v>
      </c>
      <c r="C646" s="30" t="s">
        <v>3122</v>
      </c>
      <c r="D646" s="30" t="s">
        <v>3511</v>
      </c>
      <c r="E646" s="30" t="s">
        <v>98</v>
      </c>
      <c r="F646" s="49">
        <v>25</v>
      </c>
      <c r="G646" s="49">
        <v>63</v>
      </c>
      <c r="H646" s="49">
        <v>88</v>
      </c>
    </row>
    <row r="647" spans="1:8">
      <c r="A647" s="30" t="s">
        <v>3773</v>
      </c>
      <c r="B647" s="29" t="s">
        <v>1645</v>
      </c>
      <c r="C647" s="30" t="s">
        <v>3122</v>
      </c>
      <c r="D647" s="30" t="s">
        <v>3511</v>
      </c>
      <c r="E647" s="30" t="s">
        <v>98</v>
      </c>
      <c r="F647" s="49"/>
      <c r="G647" s="49">
        <v>49</v>
      </c>
      <c r="H647" s="49">
        <v>49</v>
      </c>
    </row>
    <row r="648" spans="1:8">
      <c r="A648" s="30" t="s">
        <v>3774</v>
      </c>
      <c r="B648" s="29" t="s">
        <v>1645</v>
      </c>
      <c r="C648" s="30" t="s">
        <v>3133</v>
      </c>
      <c r="D648" s="30" t="s">
        <v>3511</v>
      </c>
      <c r="E648" s="30" t="s">
        <v>98</v>
      </c>
      <c r="F648" s="49"/>
      <c r="G648" s="49">
        <v>57</v>
      </c>
      <c r="H648" s="49">
        <v>57</v>
      </c>
    </row>
    <row r="649" spans="1:8">
      <c r="A649" s="30" t="s">
        <v>3775</v>
      </c>
      <c r="B649" s="29" t="s">
        <v>1645</v>
      </c>
      <c r="C649" s="30" t="s">
        <v>3145</v>
      </c>
      <c r="D649" s="30" t="s">
        <v>3511</v>
      </c>
      <c r="E649" s="30" t="s">
        <v>98</v>
      </c>
      <c r="F649" s="49"/>
      <c r="G649" s="49">
        <v>11</v>
      </c>
      <c r="H649" s="49">
        <v>11</v>
      </c>
    </row>
    <row r="650" spans="1:8">
      <c r="A650" s="30" t="s">
        <v>3776</v>
      </c>
      <c r="B650" s="29" t="s">
        <v>1645</v>
      </c>
      <c r="C650" s="30" t="s">
        <v>3125</v>
      </c>
      <c r="D650" s="30" t="s">
        <v>3511</v>
      </c>
      <c r="E650" s="30" t="s">
        <v>98</v>
      </c>
      <c r="F650" s="49"/>
      <c r="G650" s="49">
        <v>14</v>
      </c>
      <c r="H650" s="49">
        <v>14</v>
      </c>
    </row>
    <row r="651" spans="1:8">
      <c r="A651" s="30" t="s">
        <v>3777</v>
      </c>
      <c r="B651" s="29" t="s">
        <v>1645</v>
      </c>
      <c r="C651" s="30" t="s">
        <v>3179</v>
      </c>
      <c r="D651" s="30" t="s">
        <v>3511</v>
      </c>
      <c r="E651" s="30" t="s">
        <v>98</v>
      </c>
      <c r="F651" s="49"/>
      <c r="G651" s="49">
        <v>1</v>
      </c>
      <c r="H651" s="49">
        <v>1</v>
      </c>
    </row>
    <row r="652" spans="1:8">
      <c r="A652" s="30" t="s">
        <v>3778</v>
      </c>
      <c r="B652" s="29" t="s">
        <v>1650</v>
      </c>
      <c r="C652" s="30" t="s">
        <v>3122</v>
      </c>
      <c r="D652" s="30" t="s">
        <v>3511</v>
      </c>
      <c r="E652" s="30" t="s">
        <v>98</v>
      </c>
      <c r="F652" s="49"/>
      <c r="G652" s="49">
        <v>5</v>
      </c>
      <c r="H652" s="49">
        <v>5</v>
      </c>
    </row>
    <row r="653" spans="1:8">
      <c r="A653" s="30" t="s">
        <v>3779</v>
      </c>
      <c r="B653" s="29" t="s">
        <v>1650</v>
      </c>
      <c r="C653" s="30" t="s">
        <v>3145</v>
      </c>
      <c r="D653" s="30" t="s">
        <v>3511</v>
      </c>
      <c r="E653" s="30" t="s">
        <v>98</v>
      </c>
      <c r="F653" s="49"/>
      <c r="G653" s="49">
        <v>10</v>
      </c>
      <c r="H653" s="49">
        <v>10</v>
      </c>
    </row>
    <row r="654" spans="1:8">
      <c r="A654" s="30" t="s">
        <v>3780</v>
      </c>
      <c r="B654" s="29" t="s">
        <v>1650</v>
      </c>
      <c r="C654" s="30" t="s">
        <v>3133</v>
      </c>
      <c r="D654" s="30" t="s">
        <v>3511</v>
      </c>
      <c r="E654" s="30" t="s">
        <v>98</v>
      </c>
      <c r="F654" s="49"/>
      <c r="G654" s="49">
        <v>3</v>
      </c>
      <c r="H654" s="49">
        <v>3</v>
      </c>
    </row>
    <row r="655" spans="1:8">
      <c r="A655" s="30" t="s">
        <v>3781</v>
      </c>
      <c r="B655" s="29" t="s">
        <v>1654</v>
      </c>
      <c r="C655" s="30" t="s">
        <v>3143</v>
      </c>
      <c r="D655" s="30" t="s">
        <v>3511</v>
      </c>
      <c r="E655" s="30" t="s">
        <v>98</v>
      </c>
      <c r="F655" s="49"/>
      <c r="G655" s="49">
        <v>28</v>
      </c>
      <c r="H655" s="49">
        <v>28</v>
      </c>
    </row>
    <row r="656" spans="1:8">
      <c r="A656" s="30" t="s">
        <v>3782</v>
      </c>
      <c r="B656" s="29" t="s">
        <v>1654</v>
      </c>
      <c r="C656" s="30" t="s">
        <v>3145</v>
      </c>
      <c r="D656" s="30" t="s">
        <v>3511</v>
      </c>
      <c r="E656" s="30" t="s">
        <v>98</v>
      </c>
      <c r="F656" s="49"/>
      <c r="G656" s="49">
        <v>25</v>
      </c>
      <c r="H656" s="49">
        <v>25</v>
      </c>
    </row>
    <row r="657" spans="1:8">
      <c r="A657" s="30" t="s">
        <v>3783</v>
      </c>
      <c r="B657" s="29" t="s">
        <v>1654</v>
      </c>
      <c r="C657" s="30" t="s">
        <v>3133</v>
      </c>
      <c r="D657" s="30" t="s">
        <v>3511</v>
      </c>
      <c r="E657" s="30" t="s">
        <v>112</v>
      </c>
      <c r="F657" s="49"/>
      <c r="G657" s="49">
        <v>27</v>
      </c>
      <c r="H657" s="49">
        <v>27</v>
      </c>
    </row>
    <row r="658" spans="1:8">
      <c r="A658" s="30" t="s">
        <v>3784</v>
      </c>
      <c r="B658" s="29" t="s">
        <v>1656</v>
      </c>
      <c r="C658" s="30" t="s">
        <v>3143</v>
      </c>
      <c r="D658" s="30" t="s">
        <v>3511</v>
      </c>
      <c r="E658" s="30" t="s">
        <v>824</v>
      </c>
      <c r="F658" s="49"/>
      <c r="G658" s="49">
        <v>10</v>
      </c>
      <c r="H658" s="49">
        <v>10</v>
      </c>
    </row>
    <row r="659" spans="1:8">
      <c r="A659" s="30" t="s">
        <v>3785</v>
      </c>
      <c r="B659" s="29" t="s">
        <v>1656</v>
      </c>
      <c r="C659" s="30" t="s">
        <v>3145</v>
      </c>
      <c r="D659" s="30" t="s">
        <v>3511</v>
      </c>
      <c r="E659" s="30" t="s">
        <v>824</v>
      </c>
      <c r="F659" s="49"/>
      <c r="G659" s="49">
        <v>10</v>
      </c>
      <c r="H659" s="49">
        <v>10</v>
      </c>
    </row>
    <row r="660" spans="1:8">
      <c r="A660" s="30" t="s">
        <v>3786</v>
      </c>
      <c r="B660" s="29" t="s">
        <v>1656</v>
      </c>
      <c r="C660" s="30" t="s">
        <v>3133</v>
      </c>
      <c r="D660" s="30" t="s">
        <v>3511</v>
      </c>
      <c r="E660" s="30" t="s">
        <v>824</v>
      </c>
      <c r="F660" s="49"/>
      <c r="G660" s="49">
        <v>10</v>
      </c>
      <c r="H660" s="49">
        <v>10</v>
      </c>
    </row>
    <row r="661" spans="1:8">
      <c r="A661" s="30" t="s">
        <v>3787</v>
      </c>
      <c r="B661" s="29" t="s">
        <v>1660</v>
      </c>
      <c r="C661" s="30" t="s">
        <v>3145</v>
      </c>
      <c r="D661" s="30" t="s">
        <v>3511</v>
      </c>
      <c r="E661" s="30" t="s">
        <v>98</v>
      </c>
      <c r="F661" s="49"/>
      <c r="G661" s="49">
        <v>7</v>
      </c>
      <c r="H661" s="49">
        <v>7</v>
      </c>
    </row>
    <row r="662" spans="1:8">
      <c r="A662" s="30" t="s">
        <v>3788</v>
      </c>
      <c r="B662" s="29" t="s">
        <v>1660</v>
      </c>
      <c r="C662" s="30" t="s">
        <v>3133</v>
      </c>
      <c r="D662" s="30" t="s">
        <v>3511</v>
      </c>
      <c r="E662" s="30" t="s">
        <v>98</v>
      </c>
      <c r="F662" s="49"/>
      <c r="G662" s="49">
        <v>10</v>
      </c>
      <c r="H662" s="49">
        <v>10</v>
      </c>
    </row>
    <row r="663" spans="1:8">
      <c r="A663" s="30" t="s">
        <v>3789</v>
      </c>
      <c r="B663" s="29" t="s">
        <v>1664</v>
      </c>
      <c r="C663" s="30" t="s">
        <v>3122</v>
      </c>
      <c r="D663" s="30" t="s">
        <v>3511</v>
      </c>
      <c r="E663" s="30" t="s">
        <v>98</v>
      </c>
      <c r="F663" s="49"/>
      <c r="G663" s="49">
        <v>5</v>
      </c>
      <c r="H663" s="49">
        <v>5</v>
      </c>
    </row>
    <row r="664" spans="1:8">
      <c r="A664" s="30" t="s">
        <v>3790</v>
      </c>
      <c r="B664" s="29" t="s">
        <v>1664</v>
      </c>
      <c r="C664" s="30" t="s">
        <v>3133</v>
      </c>
      <c r="D664" s="30" t="s">
        <v>3511</v>
      </c>
      <c r="E664" s="30" t="s">
        <v>98</v>
      </c>
      <c r="F664" s="49"/>
      <c r="G664" s="49">
        <v>10</v>
      </c>
      <c r="H664" s="49">
        <v>10</v>
      </c>
    </row>
    <row r="665" spans="1:8">
      <c r="A665" s="30" t="s">
        <v>3791</v>
      </c>
      <c r="B665" s="29" t="s">
        <v>1664</v>
      </c>
      <c r="C665" s="30" t="s">
        <v>3145</v>
      </c>
      <c r="D665" s="30" t="s">
        <v>3511</v>
      </c>
      <c r="E665" s="30" t="s">
        <v>98</v>
      </c>
      <c r="F665" s="49"/>
      <c r="G665" s="49">
        <v>4</v>
      </c>
      <c r="H665" s="49">
        <v>4</v>
      </c>
    </row>
    <row r="666" spans="1:8">
      <c r="A666" s="30" t="s">
        <v>3792</v>
      </c>
      <c r="B666" s="29" t="s">
        <v>1668</v>
      </c>
      <c r="C666" s="30" t="s">
        <v>3122</v>
      </c>
      <c r="D666" s="30" t="s">
        <v>3511</v>
      </c>
      <c r="E666" s="30" t="s">
        <v>98</v>
      </c>
      <c r="F666" s="49"/>
      <c r="G666" s="49">
        <v>10</v>
      </c>
      <c r="H666" s="49">
        <v>10</v>
      </c>
    </row>
    <row r="667" spans="1:8">
      <c r="A667" s="30" t="s">
        <v>3793</v>
      </c>
      <c r="B667" s="29" t="s">
        <v>1668</v>
      </c>
      <c r="C667" s="30" t="s">
        <v>3133</v>
      </c>
      <c r="D667" s="30" t="s">
        <v>3511</v>
      </c>
      <c r="E667" s="30" t="s">
        <v>98</v>
      </c>
      <c r="F667" s="49"/>
      <c r="G667" s="49">
        <v>15</v>
      </c>
      <c r="H667" s="49">
        <v>15</v>
      </c>
    </row>
    <row r="668" spans="1:8">
      <c r="A668" s="30" t="s">
        <v>3794</v>
      </c>
      <c r="B668" s="29" t="s">
        <v>1668</v>
      </c>
      <c r="C668" s="30" t="s">
        <v>3145</v>
      </c>
      <c r="D668" s="30" t="s">
        <v>3511</v>
      </c>
      <c r="E668" s="30" t="s">
        <v>98</v>
      </c>
      <c r="F668" s="49"/>
      <c r="G668" s="49">
        <v>10</v>
      </c>
      <c r="H668" s="49">
        <v>10</v>
      </c>
    </row>
    <row r="669" spans="1:8">
      <c r="A669" s="30" t="s">
        <v>3795</v>
      </c>
      <c r="B669" s="29" t="s">
        <v>1672</v>
      </c>
      <c r="C669" s="30" t="s">
        <v>3145</v>
      </c>
      <c r="D669" s="30" t="s">
        <v>3511</v>
      </c>
      <c r="E669" s="30" t="s">
        <v>98</v>
      </c>
      <c r="F669" s="49"/>
      <c r="G669" s="49">
        <v>3</v>
      </c>
      <c r="H669" s="49">
        <v>3</v>
      </c>
    </row>
    <row r="670" spans="1:8">
      <c r="A670" s="30" t="s">
        <v>3796</v>
      </c>
      <c r="B670" s="29" t="s">
        <v>1674</v>
      </c>
      <c r="C670" s="30" t="s">
        <v>3125</v>
      </c>
      <c r="D670" s="30" t="s">
        <v>3511</v>
      </c>
      <c r="E670" s="30" t="s">
        <v>98</v>
      </c>
      <c r="F670" s="49"/>
      <c r="G670" s="49">
        <v>15</v>
      </c>
      <c r="H670" s="49">
        <v>15</v>
      </c>
    </row>
    <row r="671" spans="1:8">
      <c r="A671" s="30" t="s">
        <v>3797</v>
      </c>
      <c r="B671" s="29" t="s">
        <v>1674</v>
      </c>
      <c r="C671" s="30" t="s">
        <v>3143</v>
      </c>
      <c r="D671" s="30" t="s">
        <v>3511</v>
      </c>
      <c r="E671" s="30" t="s">
        <v>98</v>
      </c>
      <c r="F671" s="49"/>
      <c r="G671" s="49">
        <v>15</v>
      </c>
      <c r="H671" s="49">
        <v>15</v>
      </c>
    </row>
    <row r="672" spans="1:8">
      <c r="A672" s="30" t="s">
        <v>3798</v>
      </c>
      <c r="B672" s="29" t="s">
        <v>1674</v>
      </c>
      <c r="C672" s="30" t="s">
        <v>3122</v>
      </c>
      <c r="D672" s="30" t="s">
        <v>3511</v>
      </c>
      <c r="E672" s="30" t="s">
        <v>98</v>
      </c>
      <c r="F672" s="49"/>
      <c r="G672" s="49">
        <v>70</v>
      </c>
      <c r="H672" s="49">
        <v>70</v>
      </c>
    </row>
    <row r="673" spans="1:8">
      <c r="A673" s="30" t="s">
        <v>3799</v>
      </c>
      <c r="B673" s="29" t="s">
        <v>1674</v>
      </c>
      <c r="C673" s="30" t="s">
        <v>3133</v>
      </c>
      <c r="D673" s="30" t="s">
        <v>3511</v>
      </c>
      <c r="E673" s="30" t="s">
        <v>98</v>
      </c>
      <c r="F673" s="49"/>
      <c r="G673" s="49">
        <v>53</v>
      </c>
      <c r="H673" s="49">
        <v>53</v>
      </c>
    </row>
    <row r="674" spans="1:8">
      <c r="A674" s="30" t="s">
        <v>3800</v>
      </c>
      <c r="B674" s="29" t="s">
        <v>1678</v>
      </c>
      <c r="C674" s="30" t="s">
        <v>3143</v>
      </c>
      <c r="D674" s="30" t="s">
        <v>3511</v>
      </c>
      <c r="E674" s="30" t="s">
        <v>824</v>
      </c>
      <c r="F674" s="49"/>
      <c r="G674" s="49">
        <v>25</v>
      </c>
      <c r="H674" s="49">
        <v>25</v>
      </c>
    </row>
    <row r="675" spans="1:8">
      <c r="A675" s="30" t="s">
        <v>3801</v>
      </c>
      <c r="B675" s="29" t="s">
        <v>1678</v>
      </c>
      <c r="C675" s="30" t="s">
        <v>3145</v>
      </c>
      <c r="D675" s="30" t="s">
        <v>3511</v>
      </c>
      <c r="E675" s="30" t="s">
        <v>824</v>
      </c>
      <c r="F675" s="49"/>
      <c r="G675" s="49">
        <v>29</v>
      </c>
      <c r="H675" s="49">
        <v>29</v>
      </c>
    </row>
    <row r="676" spans="1:8">
      <c r="A676" s="30" t="s">
        <v>3802</v>
      </c>
      <c r="B676" s="29" t="s">
        <v>1678</v>
      </c>
      <c r="C676" s="30" t="s">
        <v>3133</v>
      </c>
      <c r="D676" s="30" t="s">
        <v>3511</v>
      </c>
      <c r="E676" s="30" t="s">
        <v>824</v>
      </c>
      <c r="F676" s="49"/>
      <c r="G676" s="49">
        <v>29</v>
      </c>
      <c r="H676" s="49">
        <v>29</v>
      </c>
    </row>
    <row r="677" spans="1:8">
      <c r="A677" s="30" t="s">
        <v>3803</v>
      </c>
      <c r="B677" s="29" t="s">
        <v>1684</v>
      </c>
      <c r="C677" s="30" t="s">
        <v>3143</v>
      </c>
      <c r="D677" s="30" t="s">
        <v>3511</v>
      </c>
      <c r="E677" s="30" t="s">
        <v>98</v>
      </c>
      <c r="F677" s="49"/>
      <c r="G677" s="49">
        <v>1</v>
      </c>
      <c r="H677" s="49">
        <v>1</v>
      </c>
    </row>
    <row r="678" spans="1:8">
      <c r="A678" s="30" t="s">
        <v>3804</v>
      </c>
      <c r="B678" s="29" t="s">
        <v>1684</v>
      </c>
      <c r="C678" s="30" t="s">
        <v>3145</v>
      </c>
      <c r="D678" s="30" t="s">
        <v>3511</v>
      </c>
      <c r="E678" s="30" t="s">
        <v>98</v>
      </c>
      <c r="F678" s="49"/>
      <c r="G678" s="49">
        <v>3</v>
      </c>
      <c r="H678" s="49">
        <v>3</v>
      </c>
    </row>
    <row r="679" spans="1:8">
      <c r="A679" s="30" t="s">
        <v>3805</v>
      </c>
      <c r="B679" s="29" t="s">
        <v>1684</v>
      </c>
      <c r="C679" s="30" t="s">
        <v>3133</v>
      </c>
      <c r="D679" s="30" t="s">
        <v>3511</v>
      </c>
      <c r="E679" s="30" t="s">
        <v>98</v>
      </c>
      <c r="F679" s="49"/>
      <c r="G679" s="49">
        <v>2</v>
      </c>
      <c r="H679" s="49">
        <v>2</v>
      </c>
    </row>
    <row r="680" spans="1:8">
      <c r="A680" s="30" t="s">
        <v>3806</v>
      </c>
      <c r="B680" s="29" t="s">
        <v>1687</v>
      </c>
      <c r="C680" s="30" t="s">
        <v>3145</v>
      </c>
      <c r="D680" s="30" t="s">
        <v>3511</v>
      </c>
      <c r="E680" s="30" t="s">
        <v>98</v>
      </c>
      <c r="F680" s="49"/>
      <c r="G680" s="49">
        <v>4</v>
      </c>
      <c r="H680" s="49">
        <v>4</v>
      </c>
    </row>
    <row r="681" spans="1:8">
      <c r="A681" s="30" t="s">
        <v>3807</v>
      </c>
      <c r="B681" s="29" t="s">
        <v>1687</v>
      </c>
      <c r="C681" s="30" t="s">
        <v>3133</v>
      </c>
      <c r="D681" s="30" t="s">
        <v>3511</v>
      </c>
      <c r="E681" s="30" t="s">
        <v>98</v>
      </c>
      <c r="F681" s="49"/>
      <c r="G681" s="49">
        <v>2</v>
      </c>
      <c r="H681" s="49">
        <v>2</v>
      </c>
    </row>
    <row r="682" spans="1:8">
      <c r="A682" s="30" t="s">
        <v>3808</v>
      </c>
      <c r="B682" s="29" t="s">
        <v>1689</v>
      </c>
      <c r="C682" s="30" t="s">
        <v>3125</v>
      </c>
      <c r="D682" s="30" t="s">
        <v>3511</v>
      </c>
      <c r="E682" s="30" t="s">
        <v>98</v>
      </c>
      <c r="F682" s="49"/>
      <c r="G682" s="49">
        <v>1</v>
      </c>
      <c r="H682" s="49">
        <v>1</v>
      </c>
    </row>
    <row r="683" spans="1:8">
      <c r="A683" s="46" t="s">
        <v>3809</v>
      </c>
      <c r="B683" s="29" t="s">
        <v>1689</v>
      </c>
      <c r="C683" s="30" t="s">
        <v>3143</v>
      </c>
      <c r="D683" s="30" t="s">
        <v>3511</v>
      </c>
      <c r="E683" s="30" t="s">
        <v>98</v>
      </c>
      <c r="F683" s="49"/>
      <c r="G683" s="49">
        <v>1</v>
      </c>
      <c r="H683" s="49">
        <v>1</v>
      </c>
    </row>
    <row r="684" spans="1:8">
      <c r="A684" s="30" t="s">
        <v>3810</v>
      </c>
      <c r="B684" s="29" t="s">
        <v>1689</v>
      </c>
      <c r="C684" s="30" t="s">
        <v>3145</v>
      </c>
      <c r="D684" s="30" t="s">
        <v>3511</v>
      </c>
      <c r="E684" s="30" t="s">
        <v>98</v>
      </c>
      <c r="F684" s="49"/>
      <c r="G684" s="49">
        <v>3</v>
      </c>
      <c r="H684" s="49">
        <v>3</v>
      </c>
    </row>
    <row r="685" spans="1:8">
      <c r="A685" s="30" t="s">
        <v>3811</v>
      </c>
      <c r="B685" s="29" t="s">
        <v>1689</v>
      </c>
      <c r="C685" s="30" t="s">
        <v>3133</v>
      </c>
      <c r="D685" s="30" t="s">
        <v>3511</v>
      </c>
      <c r="E685" s="30" t="s">
        <v>98</v>
      </c>
      <c r="F685" s="49"/>
      <c r="G685" s="49">
        <v>3</v>
      </c>
      <c r="H685" s="49">
        <v>3</v>
      </c>
    </row>
    <row r="686" spans="1:8">
      <c r="A686" s="30" t="s">
        <v>3812</v>
      </c>
      <c r="B686" s="29" t="s">
        <v>1689</v>
      </c>
      <c r="C686" s="30" t="s">
        <v>3122</v>
      </c>
      <c r="D686" s="30" t="s">
        <v>3511</v>
      </c>
      <c r="E686" s="30" t="s">
        <v>98</v>
      </c>
      <c r="F686" s="49"/>
      <c r="G686" s="49">
        <v>2</v>
      </c>
      <c r="H686" s="49">
        <v>2</v>
      </c>
    </row>
    <row r="687" spans="1:8">
      <c r="A687" s="30" t="s">
        <v>3813</v>
      </c>
      <c r="B687" s="29" t="s">
        <v>1692</v>
      </c>
      <c r="C687" s="30" t="s">
        <v>3125</v>
      </c>
      <c r="D687" s="30" t="s">
        <v>3511</v>
      </c>
      <c r="E687" s="30" t="s">
        <v>98</v>
      </c>
      <c r="F687" s="49">
        <v>5</v>
      </c>
      <c r="G687" s="49">
        <v>0</v>
      </c>
      <c r="H687" s="49">
        <v>5</v>
      </c>
    </row>
    <row r="688" spans="1:8">
      <c r="A688" s="30" t="s">
        <v>3814</v>
      </c>
      <c r="B688" s="29" t="s">
        <v>1692</v>
      </c>
      <c r="C688" s="30" t="s">
        <v>3143</v>
      </c>
      <c r="D688" s="30" t="s">
        <v>3511</v>
      </c>
      <c r="E688" s="30" t="s">
        <v>98</v>
      </c>
      <c r="F688" s="49">
        <v>5</v>
      </c>
      <c r="G688" s="49">
        <v>0</v>
      </c>
      <c r="H688" s="49">
        <v>5</v>
      </c>
    </row>
    <row r="689" spans="1:8">
      <c r="A689" s="30" t="s">
        <v>3815</v>
      </c>
      <c r="B689" s="29" t="s">
        <v>1692</v>
      </c>
      <c r="C689" s="30" t="s">
        <v>3145</v>
      </c>
      <c r="D689" s="30" t="s">
        <v>3511</v>
      </c>
      <c r="E689" s="30" t="s">
        <v>98</v>
      </c>
      <c r="F689" s="49">
        <v>8</v>
      </c>
      <c r="G689" s="49">
        <v>0</v>
      </c>
      <c r="H689" s="49">
        <v>8</v>
      </c>
    </row>
    <row r="690" spans="1:8">
      <c r="A690" s="30" t="s">
        <v>3816</v>
      </c>
      <c r="B690" s="29" t="s">
        <v>1692</v>
      </c>
      <c r="C690" s="30" t="s">
        <v>3133</v>
      </c>
      <c r="D690" s="30" t="s">
        <v>3511</v>
      </c>
      <c r="E690" s="30" t="s">
        <v>98</v>
      </c>
      <c r="F690" s="49">
        <v>16</v>
      </c>
      <c r="G690" s="49">
        <v>0</v>
      </c>
      <c r="H690" s="49">
        <v>16</v>
      </c>
    </row>
    <row r="691" spans="1:8">
      <c r="A691" s="30" t="s">
        <v>3817</v>
      </c>
      <c r="B691" s="29" t="s">
        <v>1695</v>
      </c>
      <c r="C691" s="30" t="s">
        <v>3125</v>
      </c>
      <c r="D691" s="30" t="s">
        <v>3511</v>
      </c>
      <c r="E691" s="30" t="s">
        <v>824</v>
      </c>
      <c r="F691" s="49">
        <v>9</v>
      </c>
      <c r="G691" s="49">
        <v>0</v>
      </c>
      <c r="H691" s="49">
        <v>9</v>
      </c>
    </row>
    <row r="692" spans="1:8">
      <c r="A692" s="30" t="s">
        <v>3818</v>
      </c>
      <c r="B692" s="29" t="s">
        <v>1695</v>
      </c>
      <c r="C692" s="30" t="s">
        <v>3143</v>
      </c>
      <c r="D692" s="30" t="s">
        <v>3511</v>
      </c>
      <c r="E692" s="30" t="s">
        <v>824</v>
      </c>
      <c r="F692" s="49">
        <v>12</v>
      </c>
      <c r="G692" s="49">
        <v>0</v>
      </c>
      <c r="H692" s="49">
        <v>12</v>
      </c>
    </row>
    <row r="693" spans="1:8">
      <c r="A693" s="30" t="s">
        <v>3819</v>
      </c>
      <c r="B693" s="29" t="s">
        <v>1695</v>
      </c>
      <c r="C693" s="30" t="s">
        <v>3133</v>
      </c>
      <c r="D693" s="30" t="s">
        <v>3511</v>
      </c>
      <c r="E693" s="30" t="s">
        <v>824</v>
      </c>
      <c r="F693" s="49">
        <v>7</v>
      </c>
      <c r="G693" s="49">
        <v>0</v>
      </c>
      <c r="H693" s="49">
        <v>7</v>
      </c>
    </row>
    <row r="694" spans="1:8">
      <c r="A694" s="30" t="s">
        <v>3820</v>
      </c>
      <c r="B694" s="29" t="s">
        <v>1695</v>
      </c>
      <c r="C694" s="30" t="s">
        <v>3122</v>
      </c>
      <c r="D694" s="30" t="s">
        <v>3511</v>
      </c>
      <c r="E694" s="30" t="s">
        <v>824</v>
      </c>
      <c r="F694" s="49">
        <v>3</v>
      </c>
      <c r="G694" s="49">
        <v>0</v>
      </c>
      <c r="H694" s="49">
        <v>3</v>
      </c>
    </row>
    <row r="695" spans="1:8">
      <c r="A695" s="30" t="s">
        <v>3821</v>
      </c>
      <c r="B695" s="29" t="s">
        <v>1698</v>
      </c>
      <c r="C695" s="30" t="s">
        <v>3179</v>
      </c>
      <c r="D695" s="30" t="s">
        <v>3511</v>
      </c>
      <c r="E695" s="30" t="s">
        <v>98</v>
      </c>
      <c r="F695" s="49">
        <v>4</v>
      </c>
      <c r="G695" s="49">
        <v>0</v>
      </c>
      <c r="H695" s="49">
        <v>4</v>
      </c>
    </row>
    <row r="696" spans="1:8">
      <c r="A696" s="30" t="s">
        <v>3822</v>
      </c>
      <c r="B696" s="29" t="s">
        <v>1698</v>
      </c>
      <c r="C696" s="30" t="s">
        <v>3143</v>
      </c>
      <c r="D696" s="30" t="s">
        <v>3511</v>
      </c>
      <c r="E696" s="30" t="s">
        <v>98</v>
      </c>
      <c r="F696" s="49">
        <v>8</v>
      </c>
      <c r="G696" s="49">
        <v>0</v>
      </c>
      <c r="H696" s="49">
        <v>8</v>
      </c>
    </row>
    <row r="697" spans="1:8">
      <c r="A697" s="30" t="s">
        <v>3823</v>
      </c>
      <c r="B697" s="29" t="s">
        <v>1698</v>
      </c>
      <c r="C697" s="30" t="s">
        <v>3145</v>
      </c>
      <c r="D697" s="30" t="s">
        <v>3511</v>
      </c>
      <c r="E697" s="30" t="s">
        <v>98</v>
      </c>
      <c r="F697" s="49">
        <v>10</v>
      </c>
      <c r="G697" s="49">
        <v>0</v>
      </c>
      <c r="H697" s="49">
        <v>10</v>
      </c>
    </row>
    <row r="698" spans="1:8">
      <c r="A698" s="30" t="s">
        <v>3824</v>
      </c>
      <c r="B698" s="29" t="s">
        <v>1698</v>
      </c>
      <c r="C698" s="30" t="s">
        <v>3133</v>
      </c>
      <c r="D698" s="30" t="s">
        <v>3511</v>
      </c>
      <c r="E698" s="30" t="s">
        <v>98</v>
      </c>
      <c r="F698" s="49">
        <v>12</v>
      </c>
      <c r="G698" s="49">
        <v>0</v>
      </c>
      <c r="H698" s="49">
        <v>12</v>
      </c>
    </row>
    <row r="699" spans="1:8">
      <c r="A699" s="30" t="s">
        <v>3825</v>
      </c>
      <c r="B699" s="29" t="s">
        <v>1700</v>
      </c>
      <c r="C699" s="30" t="s">
        <v>3143</v>
      </c>
      <c r="D699" s="30" t="s">
        <v>3511</v>
      </c>
      <c r="E699" s="30" t="s">
        <v>98</v>
      </c>
      <c r="F699" s="49"/>
      <c r="G699" s="49">
        <v>2</v>
      </c>
      <c r="H699" s="49">
        <v>2</v>
      </c>
    </row>
    <row r="700" spans="1:8">
      <c r="A700" s="30" t="s">
        <v>3826</v>
      </c>
      <c r="B700" s="29" t="s">
        <v>1700</v>
      </c>
      <c r="C700" s="30" t="s">
        <v>3145</v>
      </c>
      <c r="D700" s="30" t="s">
        <v>3511</v>
      </c>
      <c r="E700" s="30" t="s">
        <v>98</v>
      </c>
      <c r="F700" s="49"/>
      <c r="G700" s="49">
        <v>3</v>
      </c>
      <c r="H700" s="49">
        <v>3</v>
      </c>
    </row>
    <row r="701" spans="1:8">
      <c r="A701" s="30" t="s">
        <v>3827</v>
      </c>
      <c r="B701" s="29" t="s">
        <v>1700</v>
      </c>
      <c r="C701" s="30" t="s">
        <v>3133</v>
      </c>
      <c r="D701" s="30" t="s">
        <v>3511</v>
      </c>
      <c r="E701" s="30" t="s">
        <v>98</v>
      </c>
      <c r="F701" s="49"/>
      <c r="G701" s="49">
        <v>15</v>
      </c>
      <c r="H701" s="49">
        <v>15</v>
      </c>
    </row>
    <row r="702" spans="1:8">
      <c r="A702" s="30" t="s">
        <v>3828</v>
      </c>
      <c r="B702" s="29" t="s">
        <v>1700</v>
      </c>
      <c r="C702" s="30" t="s">
        <v>3122</v>
      </c>
      <c r="D702" s="30" t="s">
        <v>3511</v>
      </c>
      <c r="E702" s="30" t="s">
        <v>98</v>
      </c>
      <c r="F702" s="49"/>
      <c r="G702" s="49">
        <v>6</v>
      </c>
      <c r="H702" s="49">
        <v>6</v>
      </c>
    </row>
    <row r="703" spans="1:8">
      <c r="A703" s="30" t="s">
        <v>3829</v>
      </c>
      <c r="B703" s="29" t="s">
        <v>1703</v>
      </c>
      <c r="C703" s="30" t="s">
        <v>3145</v>
      </c>
      <c r="D703" s="30" t="s">
        <v>3511</v>
      </c>
      <c r="E703" s="30" t="s">
        <v>98</v>
      </c>
      <c r="F703" s="49"/>
      <c r="G703" s="49">
        <v>1</v>
      </c>
      <c r="H703" s="49">
        <v>1</v>
      </c>
    </row>
    <row r="704" spans="1:8">
      <c r="A704" s="30" t="s">
        <v>3830</v>
      </c>
      <c r="B704" s="29" t="s">
        <v>1703</v>
      </c>
      <c r="C704" s="30" t="s">
        <v>3133</v>
      </c>
      <c r="D704" s="30" t="s">
        <v>3511</v>
      </c>
      <c r="E704" s="30" t="s">
        <v>98</v>
      </c>
      <c r="F704" s="49"/>
      <c r="G704" s="49">
        <v>1</v>
      </c>
      <c r="H704" s="49">
        <v>1</v>
      </c>
    </row>
    <row r="705" spans="1:8">
      <c r="A705" s="30" t="s">
        <v>3831</v>
      </c>
      <c r="B705" s="29" t="s">
        <v>1705</v>
      </c>
      <c r="C705" s="30" t="s">
        <v>3145</v>
      </c>
      <c r="D705" s="30" t="s">
        <v>3511</v>
      </c>
      <c r="E705" s="30" t="s">
        <v>98</v>
      </c>
      <c r="F705" s="49"/>
      <c r="G705" s="49">
        <v>2</v>
      </c>
      <c r="H705" s="49">
        <v>2</v>
      </c>
    </row>
    <row r="706" spans="1:8">
      <c r="A706" s="30" t="s">
        <v>3832</v>
      </c>
      <c r="B706" s="29" t="s">
        <v>1705</v>
      </c>
      <c r="C706" s="30" t="s">
        <v>3133</v>
      </c>
      <c r="D706" s="30" t="s">
        <v>3511</v>
      </c>
      <c r="E706" s="30" t="s">
        <v>98</v>
      </c>
      <c r="F706" s="49"/>
      <c r="G706" s="49">
        <v>1</v>
      </c>
      <c r="H706" s="49">
        <v>1</v>
      </c>
    </row>
    <row r="707" spans="1:8">
      <c r="A707" s="30" t="s">
        <v>3833</v>
      </c>
      <c r="B707" s="29" t="s">
        <v>1707</v>
      </c>
      <c r="C707" s="30" t="s">
        <v>3133</v>
      </c>
      <c r="D707" s="30" t="s">
        <v>3511</v>
      </c>
      <c r="E707" s="30" t="s">
        <v>98</v>
      </c>
      <c r="F707" s="49"/>
      <c r="G707" s="49">
        <v>3</v>
      </c>
      <c r="H707" s="49">
        <v>3</v>
      </c>
    </row>
    <row r="708" spans="1:8">
      <c r="A708" s="30" t="s">
        <v>3834</v>
      </c>
      <c r="B708" s="29" t="s">
        <v>1709</v>
      </c>
      <c r="C708" s="30" t="s">
        <v>3133</v>
      </c>
      <c r="D708" s="30" t="s">
        <v>3126</v>
      </c>
      <c r="E708" s="30" t="s">
        <v>98</v>
      </c>
      <c r="F708" s="49"/>
      <c r="G708" s="49">
        <v>1368</v>
      </c>
      <c r="H708" s="49">
        <v>1368</v>
      </c>
    </row>
    <row r="709" spans="1:8">
      <c r="A709" s="30" t="s">
        <v>3835</v>
      </c>
      <c r="B709" s="29" t="s">
        <v>1722</v>
      </c>
      <c r="C709" s="30" t="s">
        <v>3145</v>
      </c>
      <c r="D709" s="30" t="s">
        <v>3511</v>
      </c>
      <c r="E709" s="30" t="s">
        <v>98</v>
      </c>
      <c r="F709" s="49"/>
      <c r="G709" s="49">
        <v>3</v>
      </c>
      <c r="H709" s="49">
        <v>3</v>
      </c>
    </row>
    <row r="710" spans="1:8">
      <c r="A710" s="30" t="s">
        <v>3836</v>
      </c>
      <c r="B710" s="29" t="s">
        <v>1722</v>
      </c>
      <c r="C710" s="30" t="s">
        <v>3133</v>
      </c>
      <c r="D710" s="30" t="s">
        <v>3511</v>
      </c>
      <c r="E710" s="30" t="s">
        <v>98</v>
      </c>
      <c r="F710" s="49"/>
      <c r="G710" s="49">
        <v>2</v>
      </c>
      <c r="H710" s="49">
        <v>2</v>
      </c>
    </row>
    <row r="711" spans="1:8">
      <c r="A711" s="30" t="s">
        <v>3837</v>
      </c>
      <c r="B711" s="29" t="s">
        <v>1722</v>
      </c>
      <c r="C711" s="30" t="s">
        <v>3122</v>
      </c>
      <c r="D711" s="30" t="s">
        <v>3511</v>
      </c>
      <c r="E711" s="30" t="s">
        <v>98</v>
      </c>
      <c r="F711" s="49"/>
      <c r="G711" s="49">
        <v>1</v>
      </c>
      <c r="H711" s="49">
        <v>1</v>
      </c>
    </row>
    <row r="712" spans="1:8">
      <c r="A712" s="30" t="s">
        <v>3838</v>
      </c>
      <c r="B712" s="29" t="s">
        <v>1724</v>
      </c>
      <c r="C712" s="30" t="s">
        <v>3143</v>
      </c>
      <c r="D712" s="30" t="s">
        <v>3511</v>
      </c>
      <c r="E712" s="30" t="s">
        <v>98</v>
      </c>
      <c r="F712" s="49"/>
      <c r="G712" s="49">
        <v>3</v>
      </c>
      <c r="H712" s="49">
        <v>3</v>
      </c>
    </row>
    <row r="713" spans="1:8">
      <c r="A713" s="30" t="s">
        <v>3839</v>
      </c>
      <c r="B713" s="29" t="s">
        <v>1724</v>
      </c>
      <c r="C713" s="30" t="s">
        <v>3133</v>
      </c>
      <c r="D713" s="30" t="s">
        <v>3511</v>
      </c>
      <c r="E713" s="30" t="s">
        <v>98</v>
      </c>
      <c r="F713" s="49"/>
      <c r="G713" s="49">
        <v>2</v>
      </c>
      <c r="H713" s="49">
        <v>2</v>
      </c>
    </row>
    <row r="714" spans="1:8">
      <c r="A714" s="30" t="s">
        <v>3840</v>
      </c>
      <c r="B714" s="29" t="s">
        <v>1727</v>
      </c>
      <c r="C714" s="30" t="s">
        <v>3145</v>
      </c>
      <c r="D714" s="30" t="s">
        <v>3511</v>
      </c>
      <c r="E714" s="30" t="s">
        <v>98</v>
      </c>
      <c r="F714" s="49"/>
      <c r="G714" s="49">
        <v>3</v>
      </c>
      <c r="H714" s="49">
        <v>3</v>
      </c>
    </row>
    <row r="715" spans="1:8">
      <c r="A715" s="30" t="s">
        <v>3841</v>
      </c>
      <c r="B715" s="29" t="s">
        <v>1727</v>
      </c>
      <c r="C715" s="30" t="s">
        <v>3133</v>
      </c>
      <c r="D715" s="30" t="s">
        <v>3511</v>
      </c>
      <c r="E715" s="30" t="s">
        <v>98</v>
      </c>
      <c r="F715" s="49"/>
      <c r="G715" s="49">
        <v>5</v>
      </c>
      <c r="H715" s="49">
        <v>5</v>
      </c>
    </row>
    <row r="716" spans="1:8">
      <c r="A716" s="30" t="s">
        <v>3842</v>
      </c>
      <c r="B716" s="29" t="s">
        <v>1727</v>
      </c>
      <c r="C716" s="30" t="s">
        <v>3122</v>
      </c>
      <c r="D716" s="30" t="s">
        <v>3511</v>
      </c>
      <c r="E716" s="30" t="s">
        <v>98</v>
      </c>
      <c r="F716" s="49"/>
      <c r="G716" s="49">
        <v>1</v>
      </c>
      <c r="H716" s="49">
        <v>1</v>
      </c>
    </row>
    <row r="717" spans="1:8">
      <c r="A717" s="30" t="s">
        <v>3843</v>
      </c>
      <c r="B717" s="29" t="s">
        <v>1729</v>
      </c>
      <c r="C717" s="30" t="s">
        <v>3125</v>
      </c>
      <c r="D717" s="30" t="s">
        <v>3511</v>
      </c>
      <c r="E717" s="30" t="s">
        <v>98</v>
      </c>
      <c r="F717" s="49"/>
      <c r="G717" s="49">
        <v>1</v>
      </c>
      <c r="H717" s="49">
        <v>1</v>
      </c>
    </row>
    <row r="718" spans="1:8">
      <c r="A718" s="30" t="s">
        <v>3844</v>
      </c>
      <c r="B718" s="29" t="s">
        <v>1729</v>
      </c>
      <c r="C718" s="30" t="s">
        <v>3143</v>
      </c>
      <c r="D718" s="30" t="s">
        <v>3511</v>
      </c>
      <c r="E718" s="30" t="s">
        <v>98</v>
      </c>
      <c r="F718" s="49"/>
      <c r="G718" s="49">
        <v>1</v>
      </c>
      <c r="H718" s="49">
        <v>1</v>
      </c>
    </row>
    <row r="719" spans="1:8">
      <c r="A719" s="30" t="s">
        <v>3845</v>
      </c>
      <c r="B719" s="29" t="s">
        <v>1729</v>
      </c>
      <c r="C719" s="30" t="s">
        <v>3145</v>
      </c>
      <c r="D719" s="30" t="s">
        <v>3511</v>
      </c>
      <c r="E719" s="30" t="s">
        <v>98</v>
      </c>
      <c r="F719" s="49"/>
      <c r="G719" s="49">
        <v>5</v>
      </c>
      <c r="H719" s="49">
        <v>5</v>
      </c>
    </row>
    <row r="720" spans="1:8">
      <c r="A720" s="30" t="s">
        <v>3846</v>
      </c>
      <c r="B720" s="29" t="s">
        <v>1731</v>
      </c>
      <c r="C720" s="30" t="s">
        <v>3145</v>
      </c>
      <c r="D720" s="30" t="s">
        <v>3511</v>
      </c>
      <c r="E720" s="30" t="s">
        <v>98</v>
      </c>
      <c r="F720" s="49"/>
      <c r="G720" s="49">
        <v>21</v>
      </c>
      <c r="H720" s="49">
        <v>21</v>
      </c>
    </row>
    <row r="721" spans="1:8">
      <c r="A721" s="30" t="s">
        <v>3847</v>
      </c>
      <c r="B721" s="29" t="s">
        <v>1733</v>
      </c>
      <c r="C721" s="30" t="s">
        <v>3145</v>
      </c>
      <c r="D721" s="30" t="s">
        <v>3123</v>
      </c>
      <c r="E721" s="30" t="s">
        <v>98</v>
      </c>
      <c r="F721" s="49">
        <v>3</v>
      </c>
      <c r="G721" s="49">
        <v>0</v>
      </c>
      <c r="H721" s="49">
        <v>3</v>
      </c>
    </row>
    <row r="722" spans="1:8">
      <c r="A722" s="30" t="s">
        <v>3848</v>
      </c>
      <c r="B722" s="29" t="s">
        <v>1743</v>
      </c>
      <c r="C722" s="30" t="s">
        <v>3145</v>
      </c>
      <c r="D722" s="30" t="s">
        <v>3525</v>
      </c>
      <c r="E722" s="30" t="s">
        <v>98</v>
      </c>
      <c r="F722" s="49">
        <v>1</v>
      </c>
      <c r="G722" s="49">
        <v>0</v>
      </c>
      <c r="H722" s="49">
        <v>1</v>
      </c>
    </row>
    <row r="723" spans="1:8">
      <c r="A723" s="30" t="s">
        <v>3849</v>
      </c>
      <c r="B723" s="29" t="s">
        <v>1753</v>
      </c>
      <c r="C723" s="30" t="s">
        <v>3143</v>
      </c>
      <c r="D723" s="30" t="s">
        <v>3525</v>
      </c>
      <c r="E723" s="30" t="s">
        <v>98</v>
      </c>
      <c r="F723" s="49">
        <v>1</v>
      </c>
      <c r="G723" s="49">
        <v>0</v>
      </c>
      <c r="H723" s="49">
        <v>1</v>
      </c>
    </row>
    <row r="724" spans="1:8">
      <c r="A724" s="30" t="s">
        <v>3850</v>
      </c>
      <c r="B724" s="29" t="s">
        <v>1759</v>
      </c>
      <c r="C724" s="30" t="s">
        <v>3145</v>
      </c>
      <c r="D724" s="30" t="s">
        <v>3123</v>
      </c>
      <c r="E724" s="30" t="s">
        <v>98</v>
      </c>
      <c r="F724" s="49">
        <v>3</v>
      </c>
      <c r="G724" s="49">
        <v>0</v>
      </c>
      <c r="H724" s="49">
        <v>3</v>
      </c>
    </row>
    <row r="725" spans="1:8">
      <c r="A725" s="30" t="s">
        <v>3851</v>
      </c>
      <c r="B725" s="29" t="s">
        <v>1765</v>
      </c>
      <c r="C725" s="30" t="s">
        <v>3145</v>
      </c>
      <c r="D725" s="30" t="s">
        <v>3123</v>
      </c>
      <c r="E725" s="30" t="s">
        <v>98</v>
      </c>
      <c r="F725" s="49">
        <v>2</v>
      </c>
      <c r="G725" s="49">
        <v>0</v>
      </c>
      <c r="H725" s="49">
        <v>2</v>
      </c>
    </row>
    <row r="726" spans="1:8">
      <c r="A726" s="30" t="s">
        <v>3852</v>
      </c>
      <c r="B726" s="29" t="s">
        <v>1773</v>
      </c>
      <c r="C726" s="30" t="s">
        <v>3145</v>
      </c>
      <c r="D726" s="30" t="s">
        <v>3123</v>
      </c>
      <c r="E726" s="30" t="s">
        <v>98</v>
      </c>
      <c r="F726" s="49">
        <v>9</v>
      </c>
      <c r="G726" s="49">
        <v>0</v>
      </c>
      <c r="H726" s="49">
        <v>9</v>
      </c>
    </row>
    <row r="727" spans="1:8">
      <c r="A727" s="30" t="s">
        <v>3853</v>
      </c>
      <c r="B727" s="29" t="s">
        <v>1780</v>
      </c>
      <c r="C727" s="30" t="s">
        <v>3145</v>
      </c>
      <c r="D727" s="30" t="s">
        <v>3123</v>
      </c>
      <c r="E727" s="30" t="s">
        <v>98</v>
      </c>
      <c r="F727" s="49">
        <v>4</v>
      </c>
      <c r="G727" s="49">
        <v>0</v>
      </c>
      <c r="H727" s="49">
        <v>4</v>
      </c>
    </row>
    <row r="728" spans="1:8">
      <c r="A728" s="30" t="s">
        <v>3854</v>
      </c>
      <c r="B728" s="29" t="s">
        <v>1787</v>
      </c>
      <c r="C728" s="30" t="s">
        <v>3145</v>
      </c>
      <c r="D728" s="30" t="s">
        <v>3123</v>
      </c>
      <c r="E728" s="30" t="s">
        <v>98</v>
      </c>
      <c r="F728" s="49">
        <v>9</v>
      </c>
      <c r="G728" s="49">
        <v>0</v>
      </c>
      <c r="H728" s="49">
        <v>9</v>
      </c>
    </row>
    <row r="729" spans="1:8">
      <c r="A729" s="30" t="s">
        <v>3855</v>
      </c>
      <c r="B729" s="29" t="s">
        <v>1793</v>
      </c>
      <c r="C729" s="30" t="s">
        <v>3145</v>
      </c>
      <c r="D729" s="30" t="s">
        <v>3123</v>
      </c>
      <c r="E729" s="30" t="s">
        <v>98</v>
      </c>
      <c r="F729" s="49">
        <v>4</v>
      </c>
      <c r="G729" s="49">
        <v>0</v>
      </c>
      <c r="H729" s="49">
        <v>4</v>
      </c>
    </row>
    <row r="730" spans="1:8">
      <c r="A730" s="30" t="s">
        <v>3856</v>
      </c>
      <c r="B730" s="29" t="s">
        <v>1800</v>
      </c>
      <c r="C730" s="30" t="s">
        <v>3145</v>
      </c>
      <c r="D730" s="30" t="s">
        <v>3123</v>
      </c>
      <c r="E730" s="30" t="s">
        <v>98</v>
      </c>
      <c r="F730" s="49">
        <v>4</v>
      </c>
      <c r="G730" s="49">
        <v>0</v>
      </c>
      <c r="H730" s="49">
        <v>4</v>
      </c>
    </row>
    <row r="731" spans="1:8">
      <c r="A731" s="30" t="s">
        <v>3857</v>
      </c>
      <c r="B731" s="29" t="s">
        <v>1806</v>
      </c>
      <c r="C731" s="30" t="s">
        <v>3125</v>
      </c>
      <c r="D731" s="30" t="s">
        <v>3123</v>
      </c>
      <c r="E731" s="30" t="s">
        <v>98</v>
      </c>
      <c r="F731" s="49">
        <v>3</v>
      </c>
      <c r="G731" s="49">
        <v>0</v>
      </c>
      <c r="H731" s="49">
        <v>3</v>
      </c>
    </row>
    <row r="732" spans="1:8">
      <c r="A732" s="30" t="s">
        <v>3858</v>
      </c>
      <c r="B732" s="29" t="s">
        <v>1812</v>
      </c>
      <c r="C732" s="30" t="s">
        <v>3145</v>
      </c>
      <c r="D732" s="30" t="s">
        <v>3123</v>
      </c>
      <c r="E732" s="30" t="s">
        <v>98</v>
      </c>
      <c r="F732" s="49">
        <v>4</v>
      </c>
      <c r="G732" s="49">
        <v>0</v>
      </c>
      <c r="H732" s="49">
        <v>4</v>
      </c>
    </row>
    <row r="733" spans="1:8">
      <c r="A733" s="30" t="s">
        <v>3859</v>
      </c>
      <c r="B733" s="29" t="s">
        <v>1819</v>
      </c>
      <c r="C733" s="30" t="s">
        <v>3145</v>
      </c>
      <c r="D733" s="30" t="s">
        <v>3123</v>
      </c>
      <c r="E733" s="30" t="s">
        <v>98</v>
      </c>
      <c r="F733" s="49">
        <v>9</v>
      </c>
      <c r="G733" s="49">
        <v>0</v>
      </c>
      <c r="H733" s="49">
        <v>9</v>
      </c>
    </row>
    <row r="734" spans="1:8">
      <c r="A734" s="30" t="s">
        <v>3860</v>
      </c>
      <c r="B734" s="29" t="s">
        <v>1826</v>
      </c>
      <c r="C734" s="30" t="s">
        <v>3125</v>
      </c>
      <c r="D734" s="30" t="s">
        <v>3123</v>
      </c>
      <c r="E734" s="30" t="s">
        <v>112</v>
      </c>
      <c r="F734" s="49">
        <v>100</v>
      </c>
      <c r="G734" s="49">
        <v>0</v>
      </c>
      <c r="H734" s="49">
        <v>100</v>
      </c>
    </row>
    <row r="735" spans="1:8">
      <c r="A735" s="30" t="s">
        <v>3861</v>
      </c>
      <c r="B735" s="29" t="s">
        <v>1835</v>
      </c>
      <c r="C735" s="30" t="s">
        <v>3125</v>
      </c>
      <c r="D735" s="30" t="s">
        <v>3123</v>
      </c>
      <c r="E735" s="30" t="s">
        <v>98</v>
      </c>
      <c r="F735" s="49">
        <v>16</v>
      </c>
      <c r="G735" s="49">
        <v>0</v>
      </c>
      <c r="H735" s="49">
        <v>16</v>
      </c>
    </row>
    <row r="736" spans="1:8">
      <c r="A736" s="30"/>
      <c r="B736" s="29"/>
      <c r="C736" s="30"/>
      <c r="D736" s="30"/>
      <c r="E736" s="30"/>
      <c r="F736" s="49"/>
      <c r="G736" s="49"/>
      <c r="H736" s="49"/>
    </row>
    <row r="737" spans="1:8">
      <c r="A737" s="30" t="s">
        <v>3862</v>
      </c>
      <c r="B737" s="29" t="s">
        <v>1852</v>
      </c>
      <c r="C737" s="30" t="s">
        <v>3863</v>
      </c>
      <c r="D737" s="30" t="s">
        <v>3511</v>
      </c>
      <c r="E737" s="30" t="s">
        <v>98</v>
      </c>
      <c r="F737" s="49">
        <v>200</v>
      </c>
      <c r="G737" s="49">
        <v>25</v>
      </c>
      <c r="H737" s="49">
        <v>225</v>
      </c>
    </row>
    <row r="738" spans="1:8">
      <c r="A738" s="30" t="s">
        <v>3864</v>
      </c>
      <c r="B738" s="29" t="s">
        <v>1856</v>
      </c>
      <c r="C738" s="30" t="s">
        <v>3125</v>
      </c>
      <c r="D738" s="30" t="s">
        <v>3123</v>
      </c>
      <c r="E738" s="30" t="s">
        <v>112</v>
      </c>
      <c r="F738" s="49">
        <v>13</v>
      </c>
      <c r="G738" s="49">
        <v>0</v>
      </c>
      <c r="H738" s="49">
        <v>13</v>
      </c>
    </row>
    <row r="739" spans="1:8">
      <c r="A739" s="30" t="s">
        <v>3865</v>
      </c>
      <c r="B739" s="29" t="s">
        <v>1861</v>
      </c>
      <c r="C739" s="30" t="s">
        <v>3145</v>
      </c>
      <c r="D739" s="30" t="s">
        <v>3123</v>
      </c>
      <c r="E739" s="30" t="s">
        <v>98</v>
      </c>
      <c r="F739" s="49">
        <v>5</v>
      </c>
      <c r="G739" s="49">
        <v>0</v>
      </c>
      <c r="H739" s="49">
        <v>5</v>
      </c>
    </row>
    <row r="740" spans="1:8">
      <c r="A740" s="30" t="s">
        <v>3866</v>
      </c>
      <c r="B740" s="29" t="s">
        <v>1867</v>
      </c>
      <c r="C740" s="30" t="s">
        <v>3125</v>
      </c>
      <c r="D740" s="30" t="s">
        <v>3511</v>
      </c>
      <c r="E740" s="30" t="s">
        <v>98</v>
      </c>
      <c r="F740" s="49"/>
      <c r="G740" s="49">
        <v>1</v>
      </c>
      <c r="H740" s="49">
        <v>1</v>
      </c>
    </row>
    <row r="741" spans="1:8">
      <c r="A741" s="30" t="s">
        <v>3867</v>
      </c>
      <c r="B741" s="29" t="s">
        <v>1867</v>
      </c>
      <c r="C741" s="30" t="s">
        <v>3145</v>
      </c>
      <c r="D741" s="30" t="s">
        <v>3511</v>
      </c>
      <c r="E741" s="30" t="s">
        <v>98</v>
      </c>
      <c r="F741" s="49"/>
      <c r="G741" s="49">
        <v>3</v>
      </c>
      <c r="H741" s="49">
        <v>3</v>
      </c>
    </row>
    <row r="742" spans="1:8">
      <c r="A742" s="30" t="s">
        <v>3868</v>
      </c>
      <c r="B742" s="29" t="s">
        <v>1867</v>
      </c>
      <c r="C742" s="30" t="s">
        <v>3133</v>
      </c>
      <c r="D742" s="30" t="s">
        <v>3511</v>
      </c>
      <c r="E742" s="30" t="s">
        <v>98</v>
      </c>
      <c r="F742" s="49"/>
      <c r="G742" s="49">
        <v>10</v>
      </c>
      <c r="H742" s="49">
        <v>10</v>
      </c>
    </row>
    <row r="743" spans="1:8">
      <c r="A743" s="30" t="s">
        <v>3869</v>
      </c>
      <c r="B743" s="29" t="s">
        <v>1867</v>
      </c>
      <c r="C743" s="30" t="s">
        <v>3122</v>
      </c>
      <c r="D743" s="30" t="s">
        <v>3511</v>
      </c>
      <c r="E743" s="30" t="s">
        <v>98</v>
      </c>
      <c r="F743" s="49"/>
      <c r="G743" s="49">
        <v>1</v>
      </c>
      <c r="H743" s="49">
        <v>1</v>
      </c>
    </row>
    <row r="744" spans="1:8">
      <c r="A744" s="30" t="s">
        <v>3870</v>
      </c>
      <c r="B744" s="29" t="s">
        <v>1870</v>
      </c>
      <c r="C744" s="30" t="s">
        <v>3125</v>
      </c>
      <c r="D744" s="30" t="s">
        <v>3511</v>
      </c>
      <c r="E744" s="30" t="s">
        <v>1185</v>
      </c>
      <c r="F744" s="49"/>
      <c r="G744" s="49">
        <v>1</v>
      </c>
      <c r="H744" s="49">
        <v>1</v>
      </c>
    </row>
    <row r="745" spans="1:8">
      <c r="A745" s="30" t="s">
        <v>3871</v>
      </c>
      <c r="B745" s="29" t="s">
        <v>1870</v>
      </c>
      <c r="C745" s="30" t="s">
        <v>3145</v>
      </c>
      <c r="D745" s="30" t="s">
        <v>3511</v>
      </c>
      <c r="E745" s="30" t="s">
        <v>1185</v>
      </c>
      <c r="F745" s="49"/>
      <c r="G745" s="49">
        <v>3</v>
      </c>
      <c r="H745" s="49">
        <v>3</v>
      </c>
    </row>
    <row r="746" spans="1:8">
      <c r="A746" s="30" t="s">
        <v>3872</v>
      </c>
      <c r="B746" s="29" t="s">
        <v>1870</v>
      </c>
      <c r="C746" s="30" t="s">
        <v>3133</v>
      </c>
      <c r="D746" s="30" t="s">
        <v>3511</v>
      </c>
      <c r="E746" s="30" t="s">
        <v>1185</v>
      </c>
      <c r="F746" s="49"/>
      <c r="G746" s="49">
        <v>4</v>
      </c>
      <c r="H746" s="49">
        <v>4</v>
      </c>
    </row>
    <row r="747" spans="1:8">
      <c r="A747" s="30" t="s">
        <v>3873</v>
      </c>
      <c r="B747" s="29" t="s">
        <v>1873</v>
      </c>
      <c r="C747" s="30" t="s">
        <v>3125</v>
      </c>
      <c r="D747" s="30" t="s">
        <v>3511</v>
      </c>
      <c r="E747" s="30" t="s">
        <v>98</v>
      </c>
      <c r="F747" s="49"/>
      <c r="G747" s="49">
        <v>2</v>
      </c>
      <c r="H747" s="49">
        <v>2</v>
      </c>
    </row>
    <row r="748" spans="1:8">
      <c r="A748" s="30" t="s">
        <v>3874</v>
      </c>
      <c r="B748" s="29" t="s">
        <v>1873</v>
      </c>
      <c r="C748" s="30" t="s">
        <v>3133</v>
      </c>
      <c r="D748" s="30" t="s">
        <v>3511</v>
      </c>
      <c r="E748" s="30" t="s">
        <v>98</v>
      </c>
      <c r="F748" s="49"/>
      <c r="G748" s="49">
        <v>3</v>
      </c>
      <c r="H748" s="49">
        <v>3</v>
      </c>
    </row>
    <row r="749" spans="1:8">
      <c r="A749" s="30" t="s">
        <v>3875</v>
      </c>
      <c r="B749" s="29" t="s">
        <v>1873</v>
      </c>
      <c r="C749" s="30" t="s">
        <v>3122</v>
      </c>
      <c r="D749" s="30" t="s">
        <v>3511</v>
      </c>
      <c r="E749" s="30" t="s">
        <v>98</v>
      </c>
      <c r="F749" s="49"/>
      <c r="G749" s="49">
        <v>1</v>
      </c>
      <c r="H749" s="49">
        <v>1</v>
      </c>
    </row>
    <row r="750" spans="1:8">
      <c r="A750" s="30" t="s">
        <v>3876</v>
      </c>
      <c r="B750" s="29" t="s">
        <v>1880</v>
      </c>
      <c r="C750" s="30" t="s">
        <v>3863</v>
      </c>
      <c r="D750" s="30" t="s">
        <v>3511</v>
      </c>
      <c r="E750" s="30" t="s">
        <v>98</v>
      </c>
      <c r="F750" s="49">
        <v>13</v>
      </c>
      <c r="G750" s="49">
        <v>0</v>
      </c>
      <c r="H750" s="49">
        <v>13</v>
      </c>
    </row>
    <row r="751" spans="1:8">
      <c r="A751" s="30" t="s">
        <v>3877</v>
      </c>
      <c r="B751" s="29" t="s">
        <v>1885</v>
      </c>
      <c r="C751" s="30" t="s">
        <v>3125</v>
      </c>
      <c r="D751" s="30" t="s">
        <v>3123</v>
      </c>
      <c r="E751" s="30" t="s">
        <v>98</v>
      </c>
      <c r="F751" s="49">
        <v>4</v>
      </c>
      <c r="G751" s="49">
        <v>0</v>
      </c>
      <c r="H751" s="49">
        <v>4</v>
      </c>
    </row>
    <row r="752" spans="1:8">
      <c r="A752" s="30" t="s">
        <v>3878</v>
      </c>
      <c r="B752" s="29" t="s">
        <v>1890</v>
      </c>
      <c r="C752" s="30" t="s">
        <v>3125</v>
      </c>
      <c r="D752" s="30" t="s">
        <v>3123</v>
      </c>
      <c r="E752" s="30" t="s">
        <v>112</v>
      </c>
      <c r="F752" s="49">
        <v>31</v>
      </c>
      <c r="G752" s="49">
        <v>0</v>
      </c>
      <c r="H752" s="49">
        <v>31</v>
      </c>
    </row>
    <row r="753" spans="1:8">
      <c r="A753" s="30" t="s">
        <v>3879</v>
      </c>
      <c r="B753" s="29" t="s">
        <v>1895</v>
      </c>
      <c r="C753" s="30" t="s">
        <v>3125</v>
      </c>
      <c r="D753" s="30" t="s">
        <v>3123</v>
      </c>
      <c r="E753" s="30" t="s">
        <v>98</v>
      </c>
      <c r="F753" s="49">
        <v>19</v>
      </c>
      <c r="G753" s="49">
        <v>0</v>
      </c>
      <c r="H753" s="49">
        <v>19</v>
      </c>
    </row>
    <row r="754" spans="1:8">
      <c r="A754" s="30" t="s">
        <v>3880</v>
      </c>
      <c r="B754" s="29" t="s">
        <v>1905</v>
      </c>
      <c r="C754" s="30" t="s">
        <v>3145</v>
      </c>
      <c r="D754" s="30" t="s">
        <v>3511</v>
      </c>
      <c r="E754" s="30" t="s">
        <v>98</v>
      </c>
      <c r="F754" s="49"/>
      <c r="G754" s="49">
        <v>1</v>
      </c>
      <c r="H754" s="49">
        <v>1</v>
      </c>
    </row>
    <row r="755" spans="1:8">
      <c r="A755" s="30" t="s">
        <v>3881</v>
      </c>
      <c r="B755" s="29" t="s">
        <v>1905</v>
      </c>
      <c r="C755" s="30" t="s">
        <v>3133</v>
      </c>
      <c r="D755" s="30" t="s">
        <v>3511</v>
      </c>
      <c r="E755" s="30" t="s">
        <v>98</v>
      </c>
      <c r="F755" s="49"/>
      <c r="G755" s="49">
        <v>1</v>
      </c>
      <c r="H755" s="49">
        <v>1</v>
      </c>
    </row>
    <row r="756" spans="1:8">
      <c r="A756" s="46" t="s">
        <v>3882</v>
      </c>
      <c r="B756" s="29" t="s">
        <v>1907</v>
      </c>
      <c r="C756" s="30" t="s">
        <v>3863</v>
      </c>
      <c r="D756" s="30" t="s">
        <v>3126</v>
      </c>
      <c r="E756" s="30" t="s">
        <v>98</v>
      </c>
      <c r="F756" s="49"/>
      <c r="G756" s="49">
        <v>751</v>
      </c>
      <c r="H756" s="49">
        <v>751</v>
      </c>
    </row>
    <row r="757" spans="1:8">
      <c r="A757" s="30" t="s">
        <v>3883</v>
      </c>
      <c r="B757" s="29" t="s">
        <v>1912</v>
      </c>
      <c r="C757" s="30" t="s">
        <v>3125</v>
      </c>
      <c r="D757" s="30" t="s">
        <v>3511</v>
      </c>
      <c r="E757" s="30" t="s">
        <v>98</v>
      </c>
      <c r="F757" s="49">
        <v>3</v>
      </c>
      <c r="G757" s="49">
        <v>0</v>
      </c>
      <c r="H757" s="49">
        <v>3</v>
      </c>
    </row>
    <row r="758" spans="1:8">
      <c r="A758" s="30" t="s">
        <v>3884</v>
      </c>
      <c r="B758" s="29" t="s">
        <v>1912</v>
      </c>
      <c r="C758" s="30" t="s">
        <v>3143</v>
      </c>
      <c r="D758" s="30" t="s">
        <v>3511</v>
      </c>
      <c r="E758" s="30" t="s">
        <v>98</v>
      </c>
      <c r="F758" s="49">
        <v>1</v>
      </c>
      <c r="G758" s="49">
        <v>0</v>
      </c>
      <c r="H758" s="49">
        <v>1</v>
      </c>
    </row>
    <row r="759" spans="1:8">
      <c r="A759" s="30" t="s">
        <v>3885</v>
      </c>
      <c r="B759" s="29" t="s">
        <v>1912</v>
      </c>
      <c r="C759" s="30" t="s">
        <v>3145</v>
      </c>
      <c r="D759" s="30" t="s">
        <v>3511</v>
      </c>
      <c r="E759" s="30" t="s">
        <v>98</v>
      </c>
      <c r="F759" s="49">
        <v>1</v>
      </c>
      <c r="G759" s="49">
        <v>0</v>
      </c>
      <c r="H759" s="49">
        <v>1</v>
      </c>
    </row>
    <row r="760" spans="1:8">
      <c r="A760" s="30" t="s">
        <v>3886</v>
      </c>
      <c r="B760" s="29" t="s">
        <v>1912</v>
      </c>
      <c r="C760" s="30" t="s">
        <v>3122</v>
      </c>
      <c r="D760" s="30" t="s">
        <v>3511</v>
      </c>
      <c r="E760" s="30" t="s">
        <v>98</v>
      </c>
      <c r="F760" s="49">
        <v>1</v>
      </c>
      <c r="G760" s="49">
        <v>0</v>
      </c>
      <c r="H760" s="49">
        <v>1</v>
      </c>
    </row>
    <row r="761" spans="1:8">
      <c r="A761" s="30" t="s">
        <v>3887</v>
      </c>
      <c r="B761" s="29" t="s">
        <v>1912</v>
      </c>
      <c r="C761" s="30" t="s">
        <v>3133</v>
      </c>
      <c r="D761" s="30" t="s">
        <v>3511</v>
      </c>
      <c r="E761" s="30" t="s">
        <v>98</v>
      </c>
      <c r="F761" s="49">
        <v>1</v>
      </c>
      <c r="G761" s="49">
        <v>0</v>
      </c>
      <c r="H761" s="49">
        <v>1</v>
      </c>
    </row>
    <row r="762" spans="1:8">
      <c r="A762" s="30" t="s">
        <v>3888</v>
      </c>
      <c r="B762" s="29" t="s">
        <v>1914</v>
      </c>
      <c r="C762" s="30" t="s">
        <v>3125</v>
      </c>
      <c r="D762" s="30" t="s">
        <v>3511</v>
      </c>
      <c r="E762" s="30" t="s">
        <v>98</v>
      </c>
      <c r="F762" s="49">
        <v>2</v>
      </c>
      <c r="G762" s="49">
        <v>0</v>
      </c>
      <c r="H762" s="49">
        <v>2</v>
      </c>
    </row>
    <row r="763" spans="1:8">
      <c r="A763" s="30" t="s">
        <v>3889</v>
      </c>
      <c r="B763" s="29" t="s">
        <v>1914</v>
      </c>
      <c r="C763" s="30" t="s">
        <v>3143</v>
      </c>
      <c r="D763" s="30" t="s">
        <v>3511</v>
      </c>
      <c r="E763" s="30" t="s">
        <v>98</v>
      </c>
      <c r="F763" s="49">
        <v>5</v>
      </c>
      <c r="G763" s="49">
        <v>0</v>
      </c>
      <c r="H763" s="49">
        <v>5</v>
      </c>
    </row>
    <row r="764" spans="1:8">
      <c r="A764" s="30" t="s">
        <v>3890</v>
      </c>
      <c r="B764" s="29" t="s">
        <v>1914</v>
      </c>
      <c r="C764" s="30" t="s">
        <v>3145</v>
      </c>
      <c r="D764" s="30" t="s">
        <v>3511</v>
      </c>
      <c r="E764" s="30" t="s">
        <v>98</v>
      </c>
      <c r="F764" s="49">
        <v>9</v>
      </c>
      <c r="G764" s="49">
        <v>0</v>
      </c>
      <c r="H764" s="49">
        <v>9</v>
      </c>
    </row>
    <row r="765" spans="1:8">
      <c r="A765" s="30" t="s">
        <v>3891</v>
      </c>
      <c r="B765" s="29" t="s">
        <v>1914</v>
      </c>
      <c r="C765" s="30" t="s">
        <v>3133</v>
      </c>
      <c r="D765" s="30" t="s">
        <v>3511</v>
      </c>
      <c r="E765" s="30" t="s">
        <v>98</v>
      </c>
      <c r="F765" s="49">
        <v>5</v>
      </c>
      <c r="G765" s="49">
        <v>0</v>
      </c>
      <c r="H765" s="49">
        <v>5</v>
      </c>
    </row>
    <row r="766" spans="1:8">
      <c r="A766" s="30" t="s">
        <v>3892</v>
      </c>
      <c r="B766" s="29" t="s">
        <v>1916</v>
      </c>
      <c r="C766" s="30" t="s">
        <v>3863</v>
      </c>
      <c r="D766" s="30" t="s">
        <v>3126</v>
      </c>
      <c r="E766" s="30" t="s">
        <v>98</v>
      </c>
      <c r="F766" s="49"/>
      <c r="G766" s="49">
        <v>1338</v>
      </c>
      <c r="H766" s="49">
        <v>1338</v>
      </c>
    </row>
    <row r="767" spans="1:8">
      <c r="A767" s="30" t="s">
        <v>3893</v>
      </c>
      <c r="B767" s="29" t="s">
        <v>1920</v>
      </c>
      <c r="C767" s="30" t="s">
        <v>3863</v>
      </c>
      <c r="D767" s="30" t="s">
        <v>3126</v>
      </c>
      <c r="E767" s="30" t="s">
        <v>98</v>
      </c>
      <c r="F767" s="49"/>
      <c r="G767" s="49">
        <v>445</v>
      </c>
      <c r="H767" s="49">
        <v>445</v>
      </c>
    </row>
    <row r="768" spans="1:8">
      <c r="A768" s="30" t="s">
        <v>3894</v>
      </c>
      <c r="B768" s="29" t="s">
        <v>1934</v>
      </c>
      <c r="C768" s="30" t="s">
        <v>3143</v>
      </c>
      <c r="D768" s="30" t="s">
        <v>3511</v>
      </c>
      <c r="E768" s="30" t="s">
        <v>98</v>
      </c>
      <c r="F768" s="49"/>
      <c r="G768" s="49">
        <v>1</v>
      </c>
      <c r="H768" s="49">
        <v>1</v>
      </c>
    </row>
    <row r="769" spans="1:8">
      <c r="A769" s="30" t="s">
        <v>3895</v>
      </c>
      <c r="B769" s="29" t="s">
        <v>1934</v>
      </c>
      <c r="C769" s="30" t="s">
        <v>3145</v>
      </c>
      <c r="D769" s="30" t="s">
        <v>3511</v>
      </c>
      <c r="E769" s="30" t="s">
        <v>98</v>
      </c>
      <c r="F769" s="49"/>
      <c r="G769" s="49">
        <v>2</v>
      </c>
      <c r="H769" s="49">
        <v>2</v>
      </c>
    </row>
    <row r="770" spans="1:8">
      <c r="A770" s="30" t="s">
        <v>3896</v>
      </c>
      <c r="B770" s="29" t="s">
        <v>1934</v>
      </c>
      <c r="C770" s="30" t="s">
        <v>3133</v>
      </c>
      <c r="D770" s="30" t="s">
        <v>3511</v>
      </c>
      <c r="E770" s="30" t="s">
        <v>98</v>
      </c>
      <c r="F770" s="49"/>
      <c r="G770" s="49">
        <v>4</v>
      </c>
      <c r="H770" s="49">
        <v>4</v>
      </c>
    </row>
    <row r="771" spans="1:8">
      <c r="A771" s="30" t="s">
        <v>3897</v>
      </c>
      <c r="B771" s="29" t="s">
        <v>1934</v>
      </c>
      <c r="C771" s="30" t="s">
        <v>3122</v>
      </c>
      <c r="D771" s="30" t="s">
        <v>3511</v>
      </c>
      <c r="E771" s="30" t="s">
        <v>98</v>
      </c>
      <c r="F771" s="49"/>
      <c r="G771" s="49">
        <v>5</v>
      </c>
      <c r="H771" s="49">
        <v>5</v>
      </c>
    </row>
    <row r="772" spans="1:8">
      <c r="A772" s="30" t="s">
        <v>3898</v>
      </c>
      <c r="B772" s="29" t="s">
        <v>1938</v>
      </c>
      <c r="C772" s="30" t="s">
        <v>3125</v>
      </c>
      <c r="D772" s="30" t="s">
        <v>3511</v>
      </c>
      <c r="E772" s="30" t="s">
        <v>98</v>
      </c>
      <c r="F772" s="49"/>
      <c r="G772" s="49">
        <v>3</v>
      </c>
      <c r="H772" s="49">
        <v>3</v>
      </c>
    </row>
    <row r="773" spans="1:8">
      <c r="A773" s="30" t="s">
        <v>3899</v>
      </c>
      <c r="B773" s="29" t="s">
        <v>1938</v>
      </c>
      <c r="C773" s="30" t="s">
        <v>3143</v>
      </c>
      <c r="D773" s="30" t="s">
        <v>3511</v>
      </c>
      <c r="E773" s="30" t="s">
        <v>98</v>
      </c>
      <c r="F773" s="49"/>
      <c r="G773" s="49">
        <v>3</v>
      </c>
      <c r="H773" s="49">
        <v>3</v>
      </c>
    </row>
    <row r="774" spans="1:8">
      <c r="A774" s="30" t="s">
        <v>3900</v>
      </c>
      <c r="B774" s="29" t="s">
        <v>1938</v>
      </c>
      <c r="C774" s="30" t="s">
        <v>3145</v>
      </c>
      <c r="D774" s="30" t="s">
        <v>3511</v>
      </c>
      <c r="E774" s="30" t="s">
        <v>98</v>
      </c>
      <c r="F774" s="49"/>
      <c r="G774" s="49">
        <v>5</v>
      </c>
      <c r="H774" s="49">
        <v>5</v>
      </c>
    </row>
    <row r="775" spans="1:8">
      <c r="A775" s="30" t="s">
        <v>3901</v>
      </c>
      <c r="B775" s="29" t="s">
        <v>1940</v>
      </c>
      <c r="C775" s="30" t="s">
        <v>3145</v>
      </c>
      <c r="D775" s="30" t="s">
        <v>3511</v>
      </c>
      <c r="E775" s="30" t="s">
        <v>98</v>
      </c>
      <c r="F775" s="49"/>
      <c r="G775" s="49">
        <v>2</v>
      </c>
      <c r="H775" s="49">
        <v>2</v>
      </c>
    </row>
    <row r="776" spans="1:8">
      <c r="A776" s="30" t="s">
        <v>3902</v>
      </c>
      <c r="B776" s="29" t="s">
        <v>1940</v>
      </c>
      <c r="C776" s="30" t="s">
        <v>3133</v>
      </c>
      <c r="D776" s="30" t="s">
        <v>3511</v>
      </c>
      <c r="E776" s="30" t="s">
        <v>98</v>
      </c>
      <c r="F776" s="49"/>
      <c r="G776" s="49">
        <v>6</v>
      </c>
      <c r="H776" s="49">
        <v>6</v>
      </c>
    </row>
    <row r="777" spans="1:8">
      <c r="A777" s="30" t="s">
        <v>3903</v>
      </c>
      <c r="B777" s="29" t="s">
        <v>1942</v>
      </c>
      <c r="C777" s="30" t="s">
        <v>3125</v>
      </c>
      <c r="D777" s="30" t="s">
        <v>3123</v>
      </c>
      <c r="E777" s="30" t="s">
        <v>112</v>
      </c>
      <c r="F777" s="49">
        <v>14</v>
      </c>
      <c r="G777" s="49">
        <v>0</v>
      </c>
      <c r="H777" s="49">
        <v>14</v>
      </c>
    </row>
    <row r="778" spans="1:8">
      <c r="A778" s="30" t="s">
        <v>3904</v>
      </c>
      <c r="B778" s="29" t="s">
        <v>1947</v>
      </c>
      <c r="C778" s="30" t="s">
        <v>3125</v>
      </c>
      <c r="D778" s="30" t="s">
        <v>3123</v>
      </c>
      <c r="E778" s="30" t="s">
        <v>98</v>
      </c>
      <c r="F778" s="49">
        <v>13</v>
      </c>
      <c r="G778" s="49">
        <v>0</v>
      </c>
      <c r="H778" s="49">
        <v>13</v>
      </c>
    </row>
    <row r="779" spans="1:8">
      <c r="A779" s="30" t="s">
        <v>3905</v>
      </c>
      <c r="B779" s="29" t="s">
        <v>1950</v>
      </c>
      <c r="C779" s="30" t="s">
        <v>3125</v>
      </c>
      <c r="D779" s="30" t="s">
        <v>3123</v>
      </c>
      <c r="E779" s="30" t="s">
        <v>98</v>
      </c>
      <c r="F779" s="49">
        <v>15</v>
      </c>
      <c r="G779" s="49">
        <v>1</v>
      </c>
      <c r="H779" s="49">
        <v>16</v>
      </c>
    </row>
    <row r="780" spans="1:8">
      <c r="A780" s="30" t="s">
        <v>3906</v>
      </c>
      <c r="B780" s="29" t="s">
        <v>1953</v>
      </c>
      <c r="C780" s="30" t="s">
        <v>3125</v>
      </c>
      <c r="D780" s="30" t="s">
        <v>3123</v>
      </c>
      <c r="E780" s="30" t="s">
        <v>112</v>
      </c>
      <c r="F780" s="49">
        <v>4</v>
      </c>
      <c r="G780" s="49">
        <v>0</v>
      </c>
      <c r="H780" s="49">
        <v>4</v>
      </c>
    </row>
    <row r="781" spans="1:8">
      <c r="A781" s="30" t="s">
        <v>3907</v>
      </c>
      <c r="B781" s="29" t="s">
        <v>1955</v>
      </c>
      <c r="C781" s="30" t="s">
        <v>3145</v>
      </c>
      <c r="D781" s="30" t="s">
        <v>3123</v>
      </c>
      <c r="E781" s="30" t="s">
        <v>98</v>
      </c>
      <c r="F781" s="49">
        <v>13</v>
      </c>
      <c r="G781" s="49">
        <v>239</v>
      </c>
      <c r="H781" s="49">
        <v>252</v>
      </c>
    </row>
    <row r="782" spans="1:8">
      <c r="A782" s="30" t="s">
        <v>3908</v>
      </c>
      <c r="B782" s="29" t="s">
        <v>1955</v>
      </c>
      <c r="C782" s="30" t="s">
        <v>3145</v>
      </c>
      <c r="D782" s="30" t="s">
        <v>3525</v>
      </c>
      <c r="E782" s="30" t="s">
        <v>98</v>
      </c>
      <c r="F782" s="49">
        <v>1</v>
      </c>
      <c r="G782" s="49">
        <v>251</v>
      </c>
      <c r="H782" s="49">
        <v>252</v>
      </c>
    </row>
    <row r="783" spans="1:8">
      <c r="A783" s="30" t="s">
        <v>3909</v>
      </c>
      <c r="B783" s="29" t="s">
        <v>1955</v>
      </c>
      <c r="C783" s="30" t="s">
        <v>3133</v>
      </c>
      <c r="D783" s="30" t="s">
        <v>3123</v>
      </c>
      <c r="E783" s="30" t="s">
        <v>98</v>
      </c>
      <c r="F783" s="49">
        <v>47</v>
      </c>
      <c r="G783" s="49">
        <v>205</v>
      </c>
      <c r="H783" s="49">
        <v>252</v>
      </c>
    </row>
    <row r="784" spans="1:8">
      <c r="A784" s="30" t="s">
        <v>3910</v>
      </c>
      <c r="B784" s="29" t="s">
        <v>1955</v>
      </c>
      <c r="C784" s="30" t="s">
        <v>3133</v>
      </c>
      <c r="D784" s="30" t="s">
        <v>3525</v>
      </c>
      <c r="E784" s="30" t="s">
        <v>98</v>
      </c>
      <c r="F784" s="49">
        <v>5</v>
      </c>
      <c r="G784" s="49">
        <v>247</v>
      </c>
      <c r="H784" s="49">
        <v>252</v>
      </c>
    </row>
    <row r="785" spans="1:8">
      <c r="A785" s="30" t="s">
        <v>3911</v>
      </c>
      <c r="B785" s="29" t="s">
        <v>1955</v>
      </c>
      <c r="C785" s="30" t="s">
        <v>3122</v>
      </c>
      <c r="D785" s="30" t="s">
        <v>3123</v>
      </c>
      <c r="E785" s="30" t="s">
        <v>98</v>
      </c>
      <c r="F785" s="49">
        <v>15</v>
      </c>
      <c r="G785" s="49">
        <v>237</v>
      </c>
      <c r="H785" s="49">
        <v>252</v>
      </c>
    </row>
    <row r="786" spans="1:8">
      <c r="A786" s="30" t="s">
        <v>3912</v>
      </c>
      <c r="B786" s="29" t="s">
        <v>1955</v>
      </c>
      <c r="C786" s="30" t="s">
        <v>3122</v>
      </c>
      <c r="D786" s="30" t="s">
        <v>3525</v>
      </c>
      <c r="E786" s="30" t="s">
        <v>98</v>
      </c>
      <c r="F786" s="49">
        <v>3</v>
      </c>
      <c r="G786" s="49">
        <v>249</v>
      </c>
      <c r="H786" s="49">
        <v>252</v>
      </c>
    </row>
    <row r="787" spans="1:8">
      <c r="A787" s="30" t="s">
        <v>3913</v>
      </c>
      <c r="B787" s="29" t="s">
        <v>1965</v>
      </c>
      <c r="C787" s="30" t="s">
        <v>3143</v>
      </c>
      <c r="D787" s="30" t="s">
        <v>3525</v>
      </c>
      <c r="E787" s="30" t="s">
        <v>98</v>
      </c>
      <c r="F787" s="49">
        <v>2</v>
      </c>
      <c r="G787" s="49">
        <v>40</v>
      </c>
      <c r="H787" s="49">
        <v>42</v>
      </c>
    </row>
    <row r="788" spans="1:8">
      <c r="A788" s="30" t="s">
        <v>3914</v>
      </c>
      <c r="B788" s="29" t="s">
        <v>1965</v>
      </c>
      <c r="C788" s="30" t="s">
        <v>3145</v>
      </c>
      <c r="D788" s="30" t="s">
        <v>3525</v>
      </c>
      <c r="E788" s="30" t="s">
        <v>98</v>
      </c>
      <c r="F788" s="49">
        <v>4</v>
      </c>
      <c r="G788" s="49">
        <v>38</v>
      </c>
      <c r="H788" s="49">
        <v>42</v>
      </c>
    </row>
    <row r="789" spans="1:8">
      <c r="A789" s="30" t="s">
        <v>3915</v>
      </c>
      <c r="B789" s="29" t="s">
        <v>1965</v>
      </c>
      <c r="C789" s="30" t="s">
        <v>3133</v>
      </c>
      <c r="D789" s="30" t="s">
        <v>3525</v>
      </c>
      <c r="E789" s="30" t="s">
        <v>98</v>
      </c>
      <c r="F789" s="49">
        <v>10</v>
      </c>
      <c r="G789" s="49">
        <v>32</v>
      </c>
      <c r="H789" s="49">
        <v>42</v>
      </c>
    </row>
    <row r="790" spans="1:8">
      <c r="A790" s="30" t="s">
        <v>3916</v>
      </c>
      <c r="B790" s="29" t="s">
        <v>1965</v>
      </c>
      <c r="C790" s="30" t="s">
        <v>3122</v>
      </c>
      <c r="D790" s="30" t="s">
        <v>3525</v>
      </c>
      <c r="E790" s="30" t="s">
        <v>98</v>
      </c>
      <c r="F790" s="49">
        <v>2</v>
      </c>
      <c r="G790" s="49">
        <v>40</v>
      </c>
      <c r="H790" s="49">
        <v>42</v>
      </c>
    </row>
    <row r="791" spans="1:8">
      <c r="A791" s="30" t="s">
        <v>3917</v>
      </c>
      <c r="B791" s="29" t="s">
        <v>1972</v>
      </c>
      <c r="C791" s="30" t="s">
        <v>3863</v>
      </c>
      <c r="D791" s="30" t="s">
        <v>3525</v>
      </c>
      <c r="E791" s="30" t="s">
        <v>98</v>
      </c>
      <c r="F791" s="49"/>
      <c r="G791" s="49">
        <v>44</v>
      </c>
      <c r="H791" s="49">
        <v>44</v>
      </c>
    </row>
    <row r="792" spans="1:8">
      <c r="A792" s="30" t="s">
        <v>3918</v>
      </c>
      <c r="B792" s="29" t="s">
        <v>1972</v>
      </c>
      <c r="C792" s="30" t="s">
        <v>3863</v>
      </c>
      <c r="D792" s="30" t="s">
        <v>3123</v>
      </c>
      <c r="E792" s="30" t="s">
        <v>98</v>
      </c>
      <c r="F792" s="49"/>
      <c r="G792" s="49">
        <v>58</v>
      </c>
      <c r="H792" s="49">
        <v>58</v>
      </c>
    </row>
    <row r="793" spans="1:8">
      <c r="A793" s="30" t="s">
        <v>3919</v>
      </c>
      <c r="B793" s="29" t="s">
        <v>1979</v>
      </c>
      <c r="C793" s="30" t="s">
        <v>3145</v>
      </c>
      <c r="D793" s="30" t="s">
        <v>3123</v>
      </c>
      <c r="E793" s="30" t="s">
        <v>98</v>
      </c>
      <c r="F793" s="49">
        <v>1</v>
      </c>
      <c r="G793" s="49">
        <v>6</v>
      </c>
      <c r="H793" s="49">
        <v>7</v>
      </c>
    </row>
    <row r="794" spans="1:8">
      <c r="A794" s="30" t="s">
        <v>3920</v>
      </c>
      <c r="B794" s="29" t="s">
        <v>1979</v>
      </c>
      <c r="C794" s="30" t="s">
        <v>3133</v>
      </c>
      <c r="D794" s="30" t="s">
        <v>3525</v>
      </c>
      <c r="E794" s="30" t="s">
        <v>98</v>
      </c>
      <c r="F794" s="49">
        <v>5</v>
      </c>
      <c r="G794" s="49">
        <v>2</v>
      </c>
      <c r="H794" s="49">
        <v>7</v>
      </c>
    </row>
    <row r="795" spans="1:8">
      <c r="A795" s="30" t="s">
        <v>3921</v>
      </c>
      <c r="B795" s="29" t="s">
        <v>1985</v>
      </c>
      <c r="C795" s="30" t="s">
        <v>3143</v>
      </c>
      <c r="D795" s="30" t="s">
        <v>3123</v>
      </c>
      <c r="E795" s="30" t="s">
        <v>98</v>
      </c>
      <c r="F795" s="49">
        <v>1</v>
      </c>
      <c r="G795" s="49">
        <v>10</v>
      </c>
      <c r="H795" s="49">
        <v>11</v>
      </c>
    </row>
    <row r="796" spans="1:8">
      <c r="A796" s="30" t="s">
        <v>3922</v>
      </c>
      <c r="B796" s="29" t="s">
        <v>1985</v>
      </c>
      <c r="C796" s="30" t="s">
        <v>3145</v>
      </c>
      <c r="D796" s="30" t="s">
        <v>3525</v>
      </c>
      <c r="E796" s="30" t="s">
        <v>98</v>
      </c>
      <c r="F796" s="49">
        <v>1</v>
      </c>
      <c r="G796" s="49">
        <v>10</v>
      </c>
      <c r="H796" s="49">
        <v>11</v>
      </c>
    </row>
    <row r="797" spans="1:8">
      <c r="A797" s="30" t="s">
        <v>3923</v>
      </c>
      <c r="B797" s="29" t="s">
        <v>1985</v>
      </c>
      <c r="C797" s="30" t="s">
        <v>3145</v>
      </c>
      <c r="D797" s="30" t="s">
        <v>3123</v>
      </c>
      <c r="E797" s="30" t="s">
        <v>98</v>
      </c>
      <c r="F797" s="49">
        <v>1</v>
      </c>
      <c r="G797" s="49">
        <v>10</v>
      </c>
      <c r="H797" s="49">
        <v>11</v>
      </c>
    </row>
    <row r="798" spans="1:8">
      <c r="A798" s="30" t="s">
        <v>3924</v>
      </c>
      <c r="B798" s="29" t="s">
        <v>1985</v>
      </c>
      <c r="C798" s="30" t="s">
        <v>3133</v>
      </c>
      <c r="D798" s="30" t="s">
        <v>3123</v>
      </c>
      <c r="E798" s="30" t="s">
        <v>98</v>
      </c>
      <c r="F798" s="49">
        <v>7</v>
      </c>
      <c r="G798" s="49">
        <v>4</v>
      </c>
      <c r="H798" s="49">
        <v>11</v>
      </c>
    </row>
    <row r="799" spans="1:8">
      <c r="A799" s="30" t="s">
        <v>3925</v>
      </c>
      <c r="B799" s="29" t="s">
        <v>1985</v>
      </c>
      <c r="C799" s="30" t="s">
        <v>3133</v>
      </c>
      <c r="D799" s="30" t="s">
        <v>3525</v>
      </c>
      <c r="E799" s="30" t="s">
        <v>98</v>
      </c>
      <c r="F799" s="49">
        <v>1</v>
      </c>
      <c r="G799" s="49">
        <v>10</v>
      </c>
      <c r="H799" s="49">
        <v>11</v>
      </c>
    </row>
    <row r="800" spans="1:8">
      <c r="A800" s="30" t="s">
        <v>3926</v>
      </c>
      <c r="B800" s="29" t="s">
        <v>1991</v>
      </c>
      <c r="C800" s="30" t="s">
        <v>3145</v>
      </c>
      <c r="D800" s="30" t="s">
        <v>3123</v>
      </c>
      <c r="E800" s="30" t="s">
        <v>98</v>
      </c>
      <c r="F800" s="49">
        <v>1</v>
      </c>
      <c r="G800" s="49">
        <v>24</v>
      </c>
      <c r="H800" s="49">
        <v>25</v>
      </c>
    </row>
    <row r="801" spans="1:8">
      <c r="A801" s="30" t="s">
        <v>3927</v>
      </c>
      <c r="B801" s="29" t="s">
        <v>1991</v>
      </c>
      <c r="C801" s="30" t="s">
        <v>3145</v>
      </c>
      <c r="D801" s="30" t="s">
        <v>3525</v>
      </c>
      <c r="E801" s="30" t="s">
        <v>98</v>
      </c>
      <c r="F801" s="49">
        <v>2</v>
      </c>
      <c r="G801" s="49">
        <v>23</v>
      </c>
      <c r="H801" s="49">
        <v>25</v>
      </c>
    </row>
    <row r="802" spans="1:8">
      <c r="A802" s="30" t="s">
        <v>3928</v>
      </c>
      <c r="B802" s="29" t="s">
        <v>1991</v>
      </c>
      <c r="C802" s="30" t="s">
        <v>3863</v>
      </c>
      <c r="D802" s="30" t="s">
        <v>3126</v>
      </c>
      <c r="E802" s="30" t="s">
        <v>3929</v>
      </c>
      <c r="F802" s="49">
        <v>10</v>
      </c>
      <c r="G802" s="49">
        <v>15</v>
      </c>
      <c r="H802" s="49">
        <v>25</v>
      </c>
    </row>
    <row r="803" spans="1:8">
      <c r="A803" s="30" t="s">
        <v>3930</v>
      </c>
      <c r="B803" s="29" t="s">
        <v>1991</v>
      </c>
      <c r="C803" s="30" t="s">
        <v>3133</v>
      </c>
      <c r="D803" s="30" t="s">
        <v>3126</v>
      </c>
      <c r="E803" s="30" t="s">
        <v>98</v>
      </c>
      <c r="F803" s="49">
        <v>9</v>
      </c>
      <c r="G803" s="49">
        <v>16</v>
      </c>
      <c r="H803" s="49">
        <v>25</v>
      </c>
    </row>
    <row r="804" spans="1:8">
      <c r="A804" s="30"/>
      <c r="B804" s="29"/>
      <c r="C804" s="30"/>
      <c r="D804" s="30"/>
      <c r="E804" s="30"/>
      <c r="F804" s="49"/>
      <c r="G804" s="49"/>
      <c r="H804" s="49"/>
    </row>
    <row r="805" spans="1:8">
      <c r="A805" s="30" t="s">
        <v>3931</v>
      </c>
      <c r="B805" s="29" t="s">
        <v>1991</v>
      </c>
      <c r="C805" s="30" t="s">
        <v>3122</v>
      </c>
      <c r="D805" s="30" t="s">
        <v>3123</v>
      </c>
      <c r="E805" s="30" t="s">
        <v>98</v>
      </c>
      <c r="F805" s="49">
        <v>2</v>
      </c>
      <c r="G805" s="49">
        <v>23</v>
      </c>
      <c r="H805" s="49">
        <v>25</v>
      </c>
    </row>
    <row r="806" spans="1:8">
      <c r="A806" s="30" t="s">
        <v>3932</v>
      </c>
      <c r="B806" s="29" t="s">
        <v>1991</v>
      </c>
      <c r="C806" s="30" t="s">
        <v>3122</v>
      </c>
      <c r="D806" s="30" t="s">
        <v>3525</v>
      </c>
      <c r="E806" s="30" t="s">
        <v>98</v>
      </c>
      <c r="F806" s="49">
        <v>1</v>
      </c>
      <c r="G806" s="49">
        <v>24</v>
      </c>
      <c r="H806" s="49">
        <v>25</v>
      </c>
    </row>
    <row r="807" spans="1:8">
      <c r="A807" s="30" t="s">
        <v>3933</v>
      </c>
      <c r="B807" s="29" t="s">
        <v>1733</v>
      </c>
      <c r="C807" s="30" t="s">
        <v>3133</v>
      </c>
      <c r="D807" s="30" t="s">
        <v>3123</v>
      </c>
      <c r="E807" s="30" t="s">
        <v>98</v>
      </c>
      <c r="F807" s="49">
        <v>1</v>
      </c>
      <c r="G807" s="49">
        <v>0</v>
      </c>
      <c r="H807" s="49">
        <v>1</v>
      </c>
    </row>
    <row r="808" spans="1:8">
      <c r="A808" s="30" t="s">
        <v>3934</v>
      </c>
      <c r="B808" s="29" t="s">
        <v>1733</v>
      </c>
      <c r="C808" s="30" t="s">
        <v>3145</v>
      </c>
      <c r="D808" s="30" t="s">
        <v>3525</v>
      </c>
      <c r="E808" s="30" t="s">
        <v>98</v>
      </c>
      <c r="F808" s="49">
        <v>1</v>
      </c>
      <c r="G808" s="49">
        <v>0</v>
      </c>
      <c r="H808" s="49">
        <v>1</v>
      </c>
    </row>
    <row r="809" spans="1:8">
      <c r="A809" s="30" t="s">
        <v>3935</v>
      </c>
      <c r="B809" s="29" t="s">
        <v>1733</v>
      </c>
      <c r="C809" s="30" t="s">
        <v>3133</v>
      </c>
      <c r="D809" s="30" t="s">
        <v>3525</v>
      </c>
      <c r="E809" s="30" t="s">
        <v>98</v>
      </c>
      <c r="F809" s="49">
        <v>1</v>
      </c>
      <c r="G809" s="49">
        <v>0</v>
      </c>
      <c r="H809" s="49">
        <v>1</v>
      </c>
    </row>
    <row r="810" spans="1:8">
      <c r="A810" s="30" t="s">
        <v>3936</v>
      </c>
      <c r="B810" s="29" t="s">
        <v>1733</v>
      </c>
      <c r="C810" s="30" t="s">
        <v>3122</v>
      </c>
      <c r="D810" s="30" t="s">
        <v>3123</v>
      </c>
      <c r="E810" s="30" t="s">
        <v>98</v>
      </c>
      <c r="F810" s="49">
        <v>1</v>
      </c>
      <c r="G810" s="49">
        <v>0</v>
      </c>
      <c r="H810" s="49">
        <v>1</v>
      </c>
    </row>
    <row r="811" spans="1:8">
      <c r="A811" s="30" t="s">
        <v>3937</v>
      </c>
      <c r="B811" s="29" t="s">
        <v>1743</v>
      </c>
      <c r="C811" s="30" t="s">
        <v>3133</v>
      </c>
      <c r="D811" s="30" t="s">
        <v>3525</v>
      </c>
      <c r="E811" s="30" t="s">
        <v>98</v>
      </c>
      <c r="F811" s="49">
        <v>9</v>
      </c>
      <c r="G811" s="49">
        <v>0</v>
      </c>
      <c r="H811" s="49">
        <v>9</v>
      </c>
    </row>
    <row r="812" spans="1:8">
      <c r="A812" s="30" t="s">
        <v>3938</v>
      </c>
      <c r="B812" s="29" t="s">
        <v>1743</v>
      </c>
      <c r="C812" s="30" t="s">
        <v>3133</v>
      </c>
      <c r="D812" s="30" t="s">
        <v>3123</v>
      </c>
      <c r="E812" s="30" t="s">
        <v>98</v>
      </c>
      <c r="F812" s="49">
        <v>6</v>
      </c>
      <c r="G812" s="49">
        <v>0</v>
      </c>
      <c r="H812" s="49">
        <v>6</v>
      </c>
    </row>
    <row r="813" spans="1:8">
      <c r="A813" s="30" t="s">
        <v>3939</v>
      </c>
      <c r="B813" s="29" t="s">
        <v>1743</v>
      </c>
      <c r="C813" s="30" t="s">
        <v>3122</v>
      </c>
      <c r="D813" s="30" t="s">
        <v>3123</v>
      </c>
      <c r="E813" s="30" t="s">
        <v>98</v>
      </c>
      <c r="F813" s="49">
        <v>2</v>
      </c>
      <c r="G813" s="49">
        <v>0</v>
      </c>
      <c r="H813" s="49">
        <v>2</v>
      </c>
    </row>
    <row r="814" spans="1:8">
      <c r="A814" s="30" t="s">
        <v>3940</v>
      </c>
      <c r="B814" s="29" t="s">
        <v>1743</v>
      </c>
      <c r="C814" s="30" t="s">
        <v>3122</v>
      </c>
      <c r="D814" s="30" t="s">
        <v>3525</v>
      </c>
      <c r="E814" s="30" t="s">
        <v>98</v>
      </c>
      <c r="F814" s="49">
        <v>1</v>
      </c>
      <c r="G814" s="49">
        <v>0</v>
      </c>
      <c r="H814" s="49">
        <v>1</v>
      </c>
    </row>
    <row r="815" spans="1:8">
      <c r="A815" s="30" t="s">
        <v>3941</v>
      </c>
      <c r="B815" s="29" t="s">
        <v>1759</v>
      </c>
      <c r="C815" s="30" t="s">
        <v>3145</v>
      </c>
      <c r="D815" s="30" t="s">
        <v>3525</v>
      </c>
      <c r="E815" s="30" t="s">
        <v>98</v>
      </c>
      <c r="F815" s="49">
        <v>1</v>
      </c>
      <c r="G815" s="49">
        <v>0</v>
      </c>
      <c r="H815" s="49">
        <v>1</v>
      </c>
    </row>
    <row r="816" spans="1:8">
      <c r="A816" s="30" t="s">
        <v>3942</v>
      </c>
      <c r="B816" s="29" t="s">
        <v>1759</v>
      </c>
      <c r="C816" s="30" t="s">
        <v>3133</v>
      </c>
      <c r="D816" s="30" t="s">
        <v>3123</v>
      </c>
      <c r="E816" s="30" t="s">
        <v>98</v>
      </c>
      <c r="F816" s="49">
        <v>6</v>
      </c>
      <c r="G816" s="49">
        <v>0</v>
      </c>
      <c r="H816" s="49">
        <v>6</v>
      </c>
    </row>
    <row r="817" spans="1:8">
      <c r="A817" s="30" t="s">
        <v>3943</v>
      </c>
      <c r="B817" s="29" t="s">
        <v>1759</v>
      </c>
      <c r="C817" s="30" t="s">
        <v>3122</v>
      </c>
      <c r="D817" s="30" t="s">
        <v>3123</v>
      </c>
      <c r="E817" s="30" t="s">
        <v>98</v>
      </c>
      <c r="F817" s="49">
        <v>2</v>
      </c>
      <c r="G817" s="49">
        <v>0</v>
      </c>
      <c r="H817" s="49">
        <v>2</v>
      </c>
    </row>
    <row r="818" spans="1:8">
      <c r="A818" s="30" t="s">
        <v>3944</v>
      </c>
      <c r="B818" s="29" t="s">
        <v>1765</v>
      </c>
      <c r="C818" s="30" t="s">
        <v>3133</v>
      </c>
      <c r="D818" s="30" t="s">
        <v>3123</v>
      </c>
      <c r="E818" s="30" t="s">
        <v>98</v>
      </c>
      <c r="F818" s="49">
        <v>3</v>
      </c>
      <c r="G818" s="49">
        <v>0</v>
      </c>
      <c r="H818" s="49">
        <v>3</v>
      </c>
    </row>
    <row r="819" spans="1:8">
      <c r="A819" s="30" t="s">
        <v>3945</v>
      </c>
      <c r="B819" s="29" t="s">
        <v>1765</v>
      </c>
      <c r="C819" s="30" t="s">
        <v>3133</v>
      </c>
      <c r="D819" s="30" t="s">
        <v>3525</v>
      </c>
      <c r="E819" s="30" t="s">
        <v>98</v>
      </c>
      <c r="F819" s="49">
        <v>1</v>
      </c>
      <c r="G819" s="49">
        <v>0</v>
      </c>
      <c r="H819" s="49">
        <v>1</v>
      </c>
    </row>
    <row r="820" spans="1:8">
      <c r="A820" s="30" t="s">
        <v>3946</v>
      </c>
      <c r="B820" s="29" t="s">
        <v>1800</v>
      </c>
      <c r="C820" s="30" t="s">
        <v>3145</v>
      </c>
      <c r="D820" s="30" t="s">
        <v>3525</v>
      </c>
      <c r="E820" s="30" t="s">
        <v>98</v>
      </c>
      <c r="F820" s="49">
        <v>5</v>
      </c>
      <c r="G820" s="49">
        <v>0</v>
      </c>
      <c r="H820" s="49">
        <v>5</v>
      </c>
    </row>
    <row r="821" spans="1:8">
      <c r="A821" s="30" t="s">
        <v>3947</v>
      </c>
      <c r="B821" s="29" t="s">
        <v>1800</v>
      </c>
      <c r="C821" s="30" t="s">
        <v>3133</v>
      </c>
      <c r="D821" s="30" t="s">
        <v>3123</v>
      </c>
      <c r="E821" s="30" t="s">
        <v>98</v>
      </c>
      <c r="F821" s="49">
        <v>3</v>
      </c>
      <c r="G821" s="49">
        <v>0</v>
      </c>
      <c r="H821" s="49">
        <v>3</v>
      </c>
    </row>
    <row r="822" spans="1:8">
      <c r="A822" s="30" t="s">
        <v>3948</v>
      </c>
      <c r="B822" s="29" t="s">
        <v>1800</v>
      </c>
      <c r="C822" s="30" t="s">
        <v>3133</v>
      </c>
      <c r="D822" s="30" t="s">
        <v>3525</v>
      </c>
      <c r="E822" s="30" t="s">
        <v>98</v>
      </c>
      <c r="F822" s="49">
        <v>3</v>
      </c>
      <c r="G822" s="49">
        <v>0</v>
      </c>
      <c r="H822" s="49">
        <v>3</v>
      </c>
    </row>
    <row r="823" spans="1:8">
      <c r="A823" s="30" t="s">
        <v>3949</v>
      </c>
      <c r="B823" s="29" t="s">
        <v>1812</v>
      </c>
      <c r="C823" s="30" t="s">
        <v>3145</v>
      </c>
      <c r="D823" s="30" t="s">
        <v>3525</v>
      </c>
      <c r="E823" s="30" t="s">
        <v>98</v>
      </c>
      <c r="F823" s="49">
        <v>3</v>
      </c>
      <c r="G823" s="49">
        <v>0</v>
      </c>
      <c r="H823" s="49">
        <v>3</v>
      </c>
    </row>
    <row r="824" spans="1:8">
      <c r="A824" s="30" t="s">
        <v>3950</v>
      </c>
      <c r="B824" s="29" t="s">
        <v>1812</v>
      </c>
      <c r="C824" s="30" t="s">
        <v>3133</v>
      </c>
      <c r="D824" s="30" t="s">
        <v>3123</v>
      </c>
      <c r="E824" s="30" t="s">
        <v>98</v>
      </c>
      <c r="F824" s="49">
        <v>3</v>
      </c>
      <c r="G824" s="49">
        <v>0</v>
      </c>
      <c r="H824" s="49">
        <v>3</v>
      </c>
    </row>
    <row r="825" spans="1:8">
      <c r="A825" s="30" t="s">
        <v>3951</v>
      </c>
      <c r="B825" s="29" t="s">
        <v>1812</v>
      </c>
      <c r="C825" s="30" t="s">
        <v>3133</v>
      </c>
      <c r="D825" s="30" t="s">
        <v>3525</v>
      </c>
      <c r="E825" s="30" t="s">
        <v>98</v>
      </c>
      <c r="F825" s="49">
        <v>3</v>
      </c>
      <c r="G825" s="49">
        <v>0</v>
      </c>
      <c r="H825" s="49">
        <v>3</v>
      </c>
    </row>
    <row r="826" spans="1:8">
      <c r="A826" s="30" t="s">
        <v>3952</v>
      </c>
      <c r="B826" s="29" t="s">
        <v>1819</v>
      </c>
      <c r="C826" s="30" t="s">
        <v>3145</v>
      </c>
      <c r="D826" s="30" t="s">
        <v>3525</v>
      </c>
      <c r="E826" s="30" t="s">
        <v>98</v>
      </c>
      <c r="F826" s="49">
        <v>4</v>
      </c>
      <c r="G826" s="49">
        <v>0</v>
      </c>
      <c r="H826" s="49">
        <v>4</v>
      </c>
    </row>
    <row r="827" spans="1:8">
      <c r="A827" s="30" t="s">
        <v>3953</v>
      </c>
      <c r="B827" s="29" t="s">
        <v>1819</v>
      </c>
      <c r="C827" s="30" t="s">
        <v>3133</v>
      </c>
      <c r="D827" s="30" t="s">
        <v>3123</v>
      </c>
      <c r="E827" s="30" t="s">
        <v>98</v>
      </c>
      <c r="F827" s="49">
        <v>2</v>
      </c>
      <c r="G827" s="49">
        <v>0</v>
      </c>
      <c r="H827" s="49">
        <v>2</v>
      </c>
    </row>
    <row r="828" spans="1:8">
      <c r="A828" s="30" t="s">
        <v>3954</v>
      </c>
      <c r="B828" s="29" t="s">
        <v>1819</v>
      </c>
      <c r="C828" s="30" t="s">
        <v>3133</v>
      </c>
      <c r="D828" s="30" t="s">
        <v>3525</v>
      </c>
      <c r="E828" s="30" t="s">
        <v>98</v>
      </c>
      <c r="F828" s="49">
        <v>3</v>
      </c>
      <c r="G828" s="49">
        <v>0</v>
      </c>
      <c r="H828" s="49">
        <v>3</v>
      </c>
    </row>
    <row r="829" spans="1:8">
      <c r="A829" s="30" t="s">
        <v>3955</v>
      </c>
      <c r="B829" s="29" t="s">
        <v>1861</v>
      </c>
      <c r="C829" s="30" t="s">
        <v>3133</v>
      </c>
      <c r="D829" s="30" t="s">
        <v>3123</v>
      </c>
      <c r="E829" s="30" t="s">
        <v>98</v>
      </c>
      <c r="F829" s="49">
        <v>9</v>
      </c>
      <c r="G829" s="49">
        <v>0</v>
      </c>
      <c r="H829" s="49">
        <v>9</v>
      </c>
    </row>
    <row r="830" spans="1:8">
      <c r="A830" s="30" t="s">
        <v>3956</v>
      </c>
      <c r="B830" s="29" t="s">
        <v>1861</v>
      </c>
      <c r="C830" s="30" t="s">
        <v>3133</v>
      </c>
      <c r="D830" s="30" t="s">
        <v>3525</v>
      </c>
      <c r="E830" s="30" t="s">
        <v>98</v>
      </c>
      <c r="F830" s="49">
        <v>13</v>
      </c>
      <c r="G830" s="49">
        <v>0</v>
      </c>
      <c r="H830" s="49">
        <v>13</v>
      </c>
    </row>
    <row r="831" spans="1:8">
      <c r="A831" s="30" t="s">
        <v>3957</v>
      </c>
      <c r="B831" s="29" t="s">
        <v>1861</v>
      </c>
      <c r="C831" s="30" t="s">
        <v>3122</v>
      </c>
      <c r="D831" s="30" t="s">
        <v>3525</v>
      </c>
      <c r="E831" s="30" t="s">
        <v>98</v>
      </c>
      <c r="F831" s="49">
        <v>1</v>
      </c>
      <c r="G831" s="49">
        <v>0</v>
      </c>
      <c r="H831" s="49">
        <v>1</v>
      </c>
    </row>
    <row r="832" spans="1:8">
      <c r="A832" s="30" t="s">
        <v>3958</v>
      </c>
      <c r="B832" s="29" t="s">
        <v>1861</v>
      </c>
      <c r="C832" s="30" t="s">
        <v>3122</v>
      </c>
      <c r="D832" s="30" t="s">
        <v>3123</v>
      </c>
      <c r="E832" s="30" t="s">
        <v>98</v>
      </c>
      <c r="F832" s="49">
        <v>1</v>
      </c>
      <c r="G832" s="49">
        <v>0</v>
      </c>
      <c r="H832" s="49">
        <v>1</v>
      </c>
    </row>
    <row r="833" spans="1:8">
      <c r="A833" s="30" t="s">
        <v>3959</v>
      </c>
      <c r="B833" s="29" t="s">
        <v>1885</v>
      </c>
      <c r="C833" s="30" t="s">
        <v>3125</v>
      </c>
      <c r="D833" s="30" t="s">
        <v>3525</v>
      </c>
      <c r="E833" s="30" t="s">
        <v>98</v>
      </c>
      <c r="F833" s="49">
        <v>4</v>
      </c>
      <c r="G833" s="49">
        <v>0</v>
      </c>
      <c r="H833" s="49">
        <v>4</v>
      </c>
    </row>
    <row r="834" spans="1:8">
      <c r="A834" s="30" t="s">
        <v>3960</v>
      </c>
      <c r="B834" s="29" t="s">
        <v>1885</v>
      </c>
      <c r="C834" s="30" t="s">
        <v>3143</v>
      </c>
      <c r="D834" s="30" t="s">
        <v>3123</v>
      </c>
      <c r="E834" s="30" t="s">
        <v>98</v>
      </c>
      <c r="F834" s="49">
        <v>10</v>
      </c>
      <c r="G834" s="49">
        <v>0</v>
      </c>
      <c r="H834" s="49">
        <v>10</v>
      </c>
    </row>
    <row r="835" spans="1:8">
      <c r="A835" s="30" t="s">
        <v>3961</v>
      </c>
      <c r="B835" s="29" t="s">
        <v>1885</v>
      </c>
      <c r="C835" s="30" t="s">
        <v>3143</v>
      </c>
      <c r="D835" s="30" t="s">
        <v>3525</v>
      </c>
      <c r="E835" s="30" t="s">
        <v>98</v>
      </c>
      <c r="F835" s="49">
        <v>13</v>
      </c>
      <c r="G835" s="49">
        <v>0</v>
      </c>
      <c r="H835" s="49">
        <v>13</v>
      </c>
    </row>
    <row r="836" spans="1:8">
      <c r="A836" s="30" t="s">
        <v>3962</v>
      </c>
      <c r="B836" s="29" t="s">
        <v>1895</v>
      </c>
      <c r="C836" s="30" t="s">
        <v>3125</v>
      </c>
      <c r="D836" s="30" t="s">
        <v>3525</v>
      </c>
      <c r="E836" s="30" t="s">
        <v>112</v>
      </c>
      <c r="F836" s="49">
        <v>12</v>
      </c>
      <c r="G836" s="49">
        <v>0</v>
      </c>
      <c r="H836" s="49">
        <v>12</v>
      </c>
    </row>
    <row r="837" spans="1:8">
      <c r="A837" s="30" t="s">
        <v>3963</v>
      </c>
      <c r="B837" s="29" t="s">
        <v>1895</v>
      </c>
      <c r="C837" s="30" t="s">
        <v>3143</v>
      </c>
      <c r="D837" s="30" t="s">
        <v>3525</v>
      </c>
      <c r="E837" s="30" t="s">
        <v>98</v>
      </c>
      <c r="F837" s="49">
        <v>3</v>
      </c>
      <c r="G837" s="49">
        <v>0</v>
      </c>
      <c r="H837" s="49">
        <v>3</v>
      </c>
    </row>
    <row r="838" spans="1:8">
      <c r="A838" s="30" t="s">
        <v>3964</v>
      </c>
      <c r="B838" s="29" t="s">
        <v>1950</v>
      </c>
      <c r="C838" s="30" t="s">
        <v>3125</v>
      </c>
      <c r="D838" s="30" t="s">
        <v>3525</v>
      </c>
      <c r="E838" s="30" t="s">
        <v>98</v>
      </c>
      <c r="F838" s="49">
        <v>15</v>
      </c>
      <c r="G838" s="49">
        <v>0</v>
      </c>
      <c r="H838" s="49">
        <v>15</v>
      </c>
    </row>
    <row r="839" spans="1:8">
      <c r="A839" s="30" t="s">
        <v>3965</v>
      </c>
      <c r="B839" s="29" t="s">
        <v>1753</v>
      </c>
      <c r="C839" s="30" t="s">
        <v>3145</v>
      </c>
      <c r="D839" s="30" t="s">
        <v>3123</v>
      </c>
      <c r="E839" s="30" t="s">
        <v>98</v>
      </c>
      <c r="F839" s="49">
        <v>6</v>
      </c>
      <c r="G839" s="49">
        <v>0</v>
      </c>
      <c r="H839" s="49">
        <v>6</v>
      </c>
    </row>
    <row r="840" spans="1:8">
      <c r="A840" s="30" t="s">
        <v>3966</v>
      </c>
      <c r="B840" s="29" t="s">
        <v>1753</v>
      </c>
      <c r="C840" s="30" t="s">
        <v>3122</v>
      </c>
      <c r="D840" s="30" t="s">
        <v>3123</v>
      </c>
      <c r="E840" s="30" t="s">
        <v>98</v>
      </c>
      <c r="F840" s="49">
        <v>1</v>
      </c>
      <c r="G840" s="49">
        <v>0</v>
      </c>
      <c r="H840" s="49">
        <v>1</v>
      </c>
    </row>
    <row r="841" spans="1:8">
      <c r="A841" s="30" t="s">
        <v>3967</v>
      </c>
      <c r="B841" s="29" t="s">
        <v>1780</v>
      </c>
      <c r="C841" s="30" t="s">
        <v>3145</v>
      </c>
      <c r="D841" s="30" t="s">
        <v>3525</v>
      </c>
      <c r="E841" s="30" t="s">
        <v>98</v>
      </c>
      <c r="F841" s="49">
        <v>3</v>
      </c>
      <c r="G841" s="49">
        <v>0</v>
      </c>
      <c r="H841" s="49">
        <v>3</v>
      </c>
    </row>
    <row r="842" spans="1:8">
      <c r="A842" s="30" t="s">
        <v>3968</v>
      </c>
      <c r="B842" s="29" t="s">
        <v>1780</v>
      </c>
      <c r="C842" s="30" t="s">
        <v>3133</v>
      </c>
      <c r="D842" s="30" t="s">
        <v>3123</v>
      </c>
      <c r="E842" s="30" t="s">
        <v>98</v>
      </c>
      <c r="F842" s="49">
        <v>5</v>
      </c>
      <c r="G842" s="49">
        <v>0</v>
      </c>
      <c r="H842" s="49">
        <v>5</v>
      </c>
    </row>
    <row r="843" spans="1:8">
      <c r="A843" s="30" t="s">
        <v>3969</v>
      </c>
      <c r="B843" s="29" t="s">
        <v>1780</v>
      </c>
      <c r="C843" s="30" t="s">
        <v>3133</v>
      </c>
      <c r="D843" s="30" t="s">
        <v>3525</v>
      </c>
      <c r="E843" s="30" t="s">
        <v>98</v>
      </c>
      <c r="F843" s="49">
        <v>2</v>
      </c>
      <c r="G843" s="49">
        <v>0</v>
      </c>
      <c r="H843" s="49">
        <v>2</v>
      </c>
    </row>
    <row r="844" spans="1:8">
      <c r="A844" s="30" t="s">
        <v>3970</v>
      </c>
      <c r="B844" s="29" t="s">
        <v>1806</v>
      </c>
      <c r="C844" s="30" t="s">
        <v>3125</v>
      </c>
      <c r="D844" s="30" t="s">
        <v>3525</v>
      </c>
      <c r="E844" s="30" t="s">
        <v>112</v>
      </c>
      <c r="F844" s="49">
        <v>2</v>
      </c>
      <c r="G844" s="49">
        <v>0</v>
      </c>
      <c r="H844" s="49">
        <v>2</v>
      </c>
    </row>
    <row r="845" spans="1:8">
      <c r="A845" s="30" t="s">
        <v>3971</v>
      </c>
      <c r="B845" s="29" t="s">
        <v>1806</v>
      </c>
      <c r="C845" s="30" t="s">
        <v>3143</v>
      </c>
      <c r="D845" s="30" t="s">
        <v>3123</v>
      </c>
      <c r="E845" s="30" t="s">
        <v>112</v>
      </c>
      <c r="F845" s="49">
        <v>18</v>
      </c>
      <c r="G845" s="49">
        <v>0</v>
      </c>
      <c r="H845" s="49">
        <v>18</v>
      </c>
    </row>
    <row r="846" spans="1:8">
      <c r="A846" s="30" t="s">
        <v>3972</v>
      </c>
      <c r="B846" s="29" t="s">
        <v>1793</v>
      </c>
      <c r="C846" s="30" t="s">
        <v>3145</v>
      </c>
      <c r="D846" s="30" t="s">
        <v>3525</v>
      </c>
      <c r="E846" s="30" t="s">
        <v>98</v>
      </c>
      <c r="F846" s="49">
        <v>6</v>
      </c>
      <c r="G846" s="49">
        <v>0</v>
      </c>
      <c r="H846" s="49">
        <v>6</v>
      </c>
    </row>
    <row r="847" spans="1:8">
      <c r="A847" s="30" t="s">
        <v>3973</v>
      </c>
      <c r="B847" s="29" t="s">
        <v>1793</v>
      </c>
      <c r="C847" s="30" t="s">
        <v>3133</v>
      </c>
      <c r="D847" s="30" t="s">
        <v>3123</v>
      </c>
      <c r="E847" s="30" t="s">
        <v>98</v>
      </c>
      <c r="F847" s="49">
        <v>3</v>
      </c>
      <c r="G847" s="49">
        <v>0</v>
      </c>
      <c r="H847" s="49">
        <v>3</v>
      </c>
    </row>
    <row r="848" spans="1:8">
      <c r="A848" s="30" t="s">
        <v>3974</v>
      </c>
      <c r="B848" s="29" t="s">
        <v>1793</v>
      </c>
      <c r="C848" s="30" t="s">
        <v>3133</v>
      </c>
      <c r="D848" s="30" t="s">
        <v>3525</v>
      </c>
      <c r="E848" s="30" t="s">
        <v>98</v>
      </c>
      <c r="F848" s="49">
        <v>3</v>
      </c>
      <c r="G848" s="49">
        <v>0</v>
      </c>
      <c r="H848" s="49">
        <v>3</v>
      </c>
    </row>
    <row r="849" spans="1:8">
      <c r="A849" s="30" t="s">
        <v>3975</v>
      </c>
      <c r="B849" s="29" t="s">
        <v>1826</v>
      </c>
      <c r="C849" s="30" t="s">
        <v>3125</v>
      </c>
      <c r="D849" s="30" t="s">
        <v>3525</v>
      </c>
      <c r="E849" s="30" t="s">
        <v>112</v>
      </c>
      <c r="F849" s="49">
        <v>82</v>
      </c>
      <c r="G849" s="49">
        <v>0</v>
      </c>
      <c r="H849" s="49">
        <v>82</v>
      </c>
    </row>
    <row r="850" spans="1:8">
      <c r="A850" s="30" t="s">
        <v>3976</v>
      </c>
      <c r="B850" s="29" t="s">
        <v>1856</v>
      </c>
      <c r="C850" s="30" t="s">
        <v>3125</v>
      </c>
      <c r="D850" s="30" t="s">
        <v>3525</v>
      </c>
      <c r="E850" s="30" t="s">
        <v>112</v>
      </c>
      <c r="F850" s="49">
        <v>18</v>
      </c>
      <c r="G850" s="49">
        <v>0</v>
      </c>
      <c r="H850" s="49">
        <v>18</v>
      </c>
    </row>
    <row r="851" spans="1:8">
      <c r="A851" s="30" t="s">
        <v>3977</v>
      </c>
      <c r="B851" s="29" t="s">
        <v>1953</v>
      </c>
      <c r="C851" s="30" t="s">
        <v>3125</v>
      </c>
      <c r="D851" s="30" t="s">
        <v>3525</v>
      </c>
      <c r="E851" s="30" t="s">
        <v>112</v>
      </c>
      <c r="F851" s="49">
        <v>4</v>
      </c>
      <c r="G851" s="49">
        <v>0</v>
      </c>
      <c r="H851" s="49">
        <v>4</v>
      </c>
    </row>
    <row r="852" spans="1:8">
      <c r="A852" s="30" t="s">
        <v>3978</v>
      </c>
      <c r="B852" s="29" t="s">
        <v>1953</v>
      </c>
      <c r="C852" s="30" t="s">
        <v>3143</v>
      </c>
      <c r="D852" s="30" t="s">
        <v>3123</v>
      </c>
      <c r="E852" s="30" t="s">
        <v>112</v>
      </c>
      <c r="F852" s="49">
        <v>10</v>
      </c>
      <c r="G852" s="49">
        <v>0</v>
      </c>
      <c r="H852" s="49">
        <v>10</v>
      </c>
    </row>
    <row r="853" spans="1:8">
      <c r="A853" s="30" t="s">
        <v>3979</v>
      </c>
      <c r="B853" s="29" t="s">
        <v>1953</v>
      </c>
      <c r="C853" s="30" t="s">
        <v>3143</v>
      </c>
      <c r="D853" s="30" t="s">
        <v>3525</v>
      </c>
      <c r="E853" s="30" t="s">
        <v>112</v>
      </c>
      <c r="F853" s="49">
        <v>13</v>
      </c>
      <c r="G853" s="49">
        <v>0</v>
      </c>
      <c r="H853" s="49">
        <v>13</v>
      </c>
    </row>
    <row r="854" spans="1:8">
      <c r="A854" s="30" t="s">
        <v>3980</v>
      </c>
      <c r="B854" s="29" t="s">
        <v>1942</v>
      </c>
      <c r="C854" s="30" t="s">
        <v>3125</v>
      </c>
      <c r="D854" s="30" t="s">
        <v>3525</v>
      </c>
      <c r="E854" s="30" t="s">
        <v>112</v>
      </c>
      <c r="F854" s="49">
        <v>14</v>
      </c>
      <c r="G854" s="49">
        <v>0</v>
      </c>
      <c r="H854" s="49">
        <v>14</v>
      </c>
    </row>
    <row r="855" spans="1:8">
      <c r="A855" s="30" t="s">
        <v>3981</v>
      </c>
      <c r="B855" s="29" t="s">
        <v>1942</v>
      </c>
      <c r="C855" s="30" t="s">
        <v>3133</v>
      </c>
      <c r="D855" s="30" t="s">
        <v>3123</v>
      </c>
      <c r="E855" s="30" t="s">
        <v>98</v>
      </c>
      <c r="F855" s="49">
        <v>11</v>
      </c>
      <c r="G855" s="49">
        <v>0</v>
      </c>
      <c r="H855" s="49">
        <v>11</v>
      </c>
    </row>
    <row r="856" spans="1:8">
      <c r="A856" s="30" t="s">
        <v>3982</v>
      </c>
      <c r="B856" s="29" t="s">
        <v>1942</v>
      </c>
      <c r="C856" s="30" t="s">
        <v>3133</v>
      </c>
      <c r="D856" s="30" t="s">
        <v>3525</v>
      </c>
      <c r="E856" s="30" t="s">
        <v>98</v>
      </c>
      <c r="F856" s="49">
        <v>2</v>
      </c>
      <c r="G856" s="49">
        <v>0</v>
      </c>
      <c r="H856" s="49">
        <v>2</v>
      </c>
    </row>
    <row r="857" spans="1:8">
      <c r="A857" s="30" t="s">
        <v>3983</v>
      </c>
      <c r="B857" s="29" t="s">
        <v>1942</v>
      </c>
      <c r="C857" s="30" t="s">
        <v>3145</v>
      </c>
      <c r="D857" s="30" t="s">
        <v>3123</v>
      </c>
      <c r="E857" s="30" t="s">
        <v>112</v>
      </c>
      <c r="F857" s="49">
        <v>4</v>
      </c>
      <c r="G857" s="49">
        <v>0</v>
      </c>
      <c r="H857" s="49">
        <v>4</v>
      </c>
    </row>
    <row r="858" spans="1:8">
      <c r="A858" s="46" t="s">
        <v>3984</v>
      </c>
      <c r="B858" s="29" t="s">
        <v>1890</v>
      </c>
      <c r="C858" s="30" t="s">
        <v>3125</v>
      </c>
      <c r="D858" s="30" t="s">
        <v>3525</v>
      </c>
      <c r="E858" s="30" t="s">
        <v>112</v>
      </c>
      <c r="F858" s="49">
        <v>25</v>
      </c>
      <c r="G858" s="49">
        <v>0</v>
      </c>
      <c r="H858" s="49">
        <v>25</v>
      </c>
    </row>
    <row r="859" spans="1:8">
      <c r="A859" s="30" t="s">
        <v>3985</v>
      </c>
      <c r="B859" s="29" t="s">
        <v>1947</v>
      </c>
      <c r="C859" s="30" t="s">
        <v>3125</v>
      </c>
      <c r="D859" s="30" t="s">
        <v>3525</v>
      </c>
      <c r="E859" s="30" t="s">
        <v>112</v>
      </c>
      <c r="F859" s="49">
        <v>18</v>
      </c>
      <c r="G859" s="49">
        <v>0</v>
      </c>
      <c r="H859" s="49">
        <v>18</v>
      </c>
    </row>
    <row r="860" spans="1:8">
      <c r="A860" s="30" t="s">
        <v>3986</v>
      </c>
      <c r="B860" s="29" t="s">
        <v>1835</v>
      </c>
      <c r="C860" s="30" t="s">
        <v>3125</v>
      </c>
      <c r="D860" s="30" t="s">
        <v>3525</v>
      </c>
      <c r="E860" s="30" t="s">
        <v>112</v>
      </c>
      <c r="F860" s="49">
        <v>15</v>
      </c>
      <c r="G860" s="49">
        <v>0</v>
      </c>
      <c r="H860" s="49">
        <v>15</v>
      </c>
    </row>
    <row r="861" spans="1:8">
      <c r="A861" s="30" t="s">
        <v>3987</v>
      </c>
      <c r="B861" s="29" t="s">
        <v>1997</v>
      </c>
      <c r="C861" s="30" t="s">
        <v>3125</v>
      </c>
      <c r="D861" s="30" t="s">
        <v>3123</v>
      </c>
      <c r="E861" s="30" t="s">
        <v>112</v>
      </c>
      <c r="F861" s="49">
        <v>4</v>
      </c>
      <c r="G861" s="49">
        <v>0</v>
      </c>
      <c r="H861" s="49">
        <v>4</v>
      </c>
    </row>
    <row r="862" spans="1:8">
      <c r="A862" s="30" t="s">
        <v>3988</v>
      </c>
      <c r="B862" s="29" t="s">
        <v>1997</v>
      </c>
      <c r="C862" s="30" t="s">
        <v>3125</v>
      </c>
      <c r="D862" s="30" t="s">
        <v>3525</v>
      </c>
      <c r="E862" s="30" t="s">
        <v>112</v>
      </c>
      <c r="F862" s="49">
        <v>5</v>
      </c>
      <c r="G862" s="49">
        <v>0</v>
      </c>
      <c r="H862" s="49">
        <v>5</v>
      </c>
    </row>
    <row r="863" spans="1:8">
      <c r="A863" s="30" t="s">
        <v>3989</v>
      </c>
      <c r="B863" s="29" t="s">
        <v>2010</v>
      </c>
      <c r="C863" s="30" t="s">
        <v>3125</v>
      </c>
      <c r="D863" s="30" t="s">
        <v>3511</v>
      </c>
      <c r="E863" s="30" t="s">
        <v>98</v>
      </c>
      <c r="F863" s="49">
        <v>2</v>
      </c>
      <c r="G863" s="49">
        <v>0</v>
      </c>
      <c r="H863" s="49">
        <v>2</v>
      </c>
    </row>
    <row r="864" spans="1:8">
      <c r="A864" s="30" t="s">
        <v>3990</v>
      </c>
      <c r="B864" s="29" t="s">
        <v>2010</v>
      </c>
      <c r="C864" s="30" t="s">
        <v>3145</v>
      </c>
      <c r="D864" s="30" t="s">
        <v>3511</v>
      </c>
      <c r="E864" s="30" t="s">
        <v>98</v>
      </c>
      <c r="F864" s="49">
        <v>2</v>
      </c>
      <c r="G864" s="49">
        <v>0</v>
      </c>
      <c r="H864" s="49">
        <v>2</v>
      </c>
    </row>
    <row r="865" spans="1:8">
      <c r="A865" s="30" t="s">
        <v>3991</v>
      </c>
      <c r="B865" s="29" t="s">
        <v>2010</v>
      </c>
      <c r="C865" s="30" t="s">
        <v>3133</v>
      </c>
      <c r="D865" s="30" t="s">
        <v>3511</v>
      </c>
      <c r="E865" s="30" t="s">
        <v>98</v>
      </c>
      <c r="F865" s="49">
        <v>7</v>
      </c>
      <c r="G865" s="49">
        <v>0</v>
      </c>
      <c r="H865" s="49">
        <v>7</v>
      </c>
    </row>
    <row r="866" spans="1:8">
      <c r="A866" s="30" t="s">
        <v>3992</v>
      </c>
      <c r="B866" s="29" t="s">
        <v>2013</v>
      </c>
      <c r="C866" s="30" t="s">
        <v>3125</v>
      </c>
      <c r="D866" s="30" t="s">
        <v>3511</v>
      </c>
      <c r="E866" s="30" t="s">
        <v>98</v>
      </c>
      <c r="F866" s="49"/>
      <c r="G866" s="49">
        <v>1</v>
      </c>
      <c r="H866" s="49">
        <v>1</v>
      </c>
    </row>
    <row r="867" spans="1:8">
      <c r="A867" s="30" t="s">
        <v>3993</v>
      </c>
      <c r="B867" s="29" t="s">
        <v>2013</v>
      </c>
      <c r="C867" s="30" t="s">
        <v>3145</v>
      </c>
      <c r="D867" s="30" t="s">
        <v>3511</v>
      </c>
      <c r="E867" s="30" t="s">
        <v>98</v>
      </c>
      <c r="F867" s="49"/>
      <c r="G867" s="49">
        <v>2</v>
      </c>
      <c r="H867" s="49">
        <v>2</v>
      </c>
    </row>
    <row r="868" spans="1:8">
      <c r="A868" s="30" t="s">
        <v>3994</v>
      </c>
      <c r="B868" s="29" t="s">
        <v>2013</v>
      </c>
      <c r="C868" s="30" t="s">
        <v>3133</v>
      </c>
      <c r="D868" s="30" t="s">
        <v>3511</v>
      </c>
      <c r="E868" s="30" t="s">
        <v>98</v>
      </c>
      <c r="F868" s="49"/>
      <c r="G868" s="49">
        <v>3</v>
      </c>
      <c r="H868" s="49">
        <v>3</v>
      </c>
    </row>
    <row r="869" spans="1:8">
      <c r="A869" s="30" t="s">
        <v>3995</v>
      </c>
      <c r="B869" s="29" t="s">
        <v>2015</v>
      </c>
      <c r="C869" s="30" t="s">
        <v>3143</v>
      </c>
      <c r="D869" s="30" t="s">
        <v>3511</v>
      </c>
      <c r="E869" s="30" t="s">
        <v>98</v>
      </c>
      <c r="F869" s="49"/>
      <c r="G869" s="49">
        <v>1</v>
      </c>
      <c r="H869" s="49">
        <v>1</v>
      </c>
    </row>
    <row r="870" spans="1:8">
      <c r="A870" s="30" t="s">
        <v>3996</v>
      </c>
      <c r="B870" s="29" t="s">
        <v>2015</v>
      </c>
      <c r="C870" s="30" t="s">
        <v>3145</v>
      </c>
      <c r="D870" s="30" t="s">
        <v>3511</v>
      </c>
      <c r="E870" s="30" t="s">
        <v>98</v>
      </c>
      <c r="F870" s="49"/>
      <c r="G870" s="49">
        <v>2</v>
      </c>
      <c r="H870" s="49">
        <v>2</v>
      </c>
    </row>
    <row r="871" spans="1:8">
      <c r="A871" s="30" t="s">
        <v>3997</v>
      </c>
      <c r="B871" s="29" t="s">
        <v>2015</v>
      </c>
      <c r="C871" s="30" t="s">
        <v>3133</v>
      </c>
      <c r="D871" s="30" t="s">
        <v>3511</v>
      </c>
      <c r="E871" s="30" t="s">
        <v>98</v>
      </c>
      <c r="F871" s="49"/>
      <c r="G871" s="49">
        <v>16</v>
      </c>
      <c r="H871" s="49">
        <v>16</v>
      </c>
    </row>
    <row r="872" spans="1:8">
      <c r="A872" s="30" t="s">
        <v>3998</v>
      </c>
      <c r="B872" s="29" t="s">
        <v>2015</v>
      </c>
      <c r="C872" s="30" t="s">
        <v>3122</v>
      </c>
      <c r="D872" s="30" t="s">
        <v>3511</v>
      </c>
      <c r="E872" s="30" t="s">
        <v>98</v>
      </c>
      <c r="F872" s="49"/>
      <c r="G872" s="49">
        <v>12</v>
      </c>
      <c r="H872" s="49">
        <v>12</v>
      </c>
    </row>
    <row r="873" spans="1:8">
      <c r="A873" s="30" t="s">
        <v>3999</v>
      </c>
      <c r="B873" s="29" t="s">
        <v>2017</v>
      </c>
      <c r="C873" s="30" t="s">
        <v>3143</v>
      </c>
      <c r="D873" s="30" t="s">
        <v>3511</v>
      </c>
      <c r="E873" s="30" t="s">
        <v>98</v>
      </c>
      <c r="F873" s="49"/>
      <c r="G873" s="49">
        <v>2</v>
      </c>
      <c r="H873" s="49">
        <v>2</v>
      </c>
    </row>
    <row r="874" spans="1:8">
      <c r="A874" s="30" t="s">
        <v>4000</v>
      </c>
      <c r="B874" s="29" t="s">
        <v>2019</v>
      </c>
      <c r="C874" s="30" t="s">
        <v>3145</v>
      </c>
      <c r="D874" s="30" t="s">
        <v>3511</v>
      </c>
      <c r="E874" s="30" t="s">
        <v>98</v>
      </c>
      <c r="F874" s="49"/>
      <c r="G874" s="49">
        <v>1</v>
      </c>
      <c r="H874" s="49">
        <v>1</v>
      </c>
    </row>
    <row r="875" spans="1:8">
      <c r="A875" s="30" t="s">
        <v>4001</v>
      </c>
      <c r="B875" s="29" t="s">
        <v>2019</v>
      </c>
      <c r="C875" s="30" t="s">
        <v>3133</v>
      </c>
      <c r="D875" s="30" t="s">
        <v>3511</v>
      </c>
      <c r="E875" s="30" t="s">
        <v>98</v>
      </c>
      <c r="F875" s="49"/>
      <c r="G875" s="49">
        <v>1</v>
      </c>
      <c r="H875" s="49">
        <v>1</v>
      </c>
    </row>
    <row r="876" spans="1:8">
      <c r="A876" s="30" t="s">
        <v>4002</v>
      </c>
      <c r="B876" s="29" t="s">
        <v>2021</v>
      </c>
      <c r="C876" s="30" t="s">
        <v>3143</v>
      </c>
      <c r="D876" s="30" t="s">
        <v>3525</v>
      </c>
      <c r="E876" s="30" t="s">
        <v>98</v>
      </c>
      <c r="F876" s="49">
        <v>1</v>
      </c>
      <c r="G876" s="49">
        <v>0</v>
      </c>
      <c r="H876" s="49">
        <v>1</v>
      </c>
    </row>
    <row r="877" spans="1:8">
      <c r="A877" s="30" t="s">
        <v>4003</v>
      </c>
      <c r="B877" s="29" t="s">
        <v>2021</v>
      </c>
      <c r="C877" s="30" t="s">
        <v>3145</v>
      </c>
      <c r="D877" s="30" t="s">
        <v>3123</v>
      </c>
      <c r="E877" s="30" t="s">
        <v>98</v>
      </c>
      <c r="F877" s="49">
        <v>1</v>
      </c>
      <c r="G877" s="49">
        <v>0</v>
      </c>
      <c r="H877" s="49">
        <v>1</v>
      </c>
    </row>
    <row r="878" spans="1:8">
      <c r="A878" s="30" t="s">
        <v>4004</v>
      </c>
      <c r="B878" s="29" t="s">
        <v>2021</v>
      </c>
      <c r="C878" s="30" t="s">
        <v>3145</v>
      </c>
      <c r="D878" s="30" t="s">
        <v>3525</v>
      </c>
      <c r="E878" s="30" t="s">
        <v>98</v>
      </c>
      <c r="F878" s="49">
        <v>3</v>
      </c>
      <c r="G878" s="49">
        <v>0</v>
      </c>
      <c r="H878" s="49">
        <v>3</v>
      </c>
    </row>
    <row r="879" spans="1:8">
      <c r="A879" s="30" t="s">
        <v>4005</v>
      </c>
      <c r="B879" s="29" t="s">
        <v>2021</v>
      </c>
      <c r="C879" s="30" t="s">
        <v>3133</v>
      </c>
      <c r="D879" s="30" t="s">
        <v>3123</v>
      </c>
      <c r="E879" s="30" t="s">
        <v>98</v>
      </c>
      <c r="F879" s="49">
        <v>5</v>
      </c>
      <c r="G879" s="49">
        <v>0</v>
      </c>
      <c r="H879" s="49">
        <v>5</v>
      </c>
    </row>
    <row r="880" spans="1:8">
      <c r="A880" s="30" t="s">
        <v>4006</v>
      </c>
      <c r="B880" s="29" t="s">
        <v>2021</v>
      </c>
      <c r="C880" s="30" t="s">
        <v>3133</v>
      </c>
      <c r="D880" s="30" t="s">
        <v>3525</v>
      </c>
      <c r="E880" s="30" t="s">
        <v>98</v>
      </c>
      <c r="F880" s="49">
        <v>1</v>
      </c>
      <c r="G880" s="49">
        <v>0</v>
      </c>
      <c r="H880" s="49">
        <v>1</v>
      </c>
    </row>
    <row r="881" spans="1:8">
      <c r="A881" s="30" t="s">
        <v>4007</v>
      </c>
      <c r="B881" s="29" t="s">
        <v>2026</v>
      </c>
      <c r="C881" s="30" t="s">
        <v>3143</v>
      </c>
      <c r="D881" s="30" t="s">
        <v>3525</v>
      </c>
      <c r="E881" s="30" t="s">
        <v>98</v>
      </c>
      <c r="F881" s="49">
        <v>1</v>
      </c>
      <c r="G881" s="49">
        <v>0</v>
      </c>
      <c r="H881" s="49">
        <v>1</v>
      </c>
    </row>
    <row r="882" spans="1:8">
      <c r="A882" s="30" t="s">
        <v>4008</v>
      </c>
      <c r="B882" s="29" t="s">
        <v>2026</v>
      </c>
      <c r="C882" s="30" t="s">
        <v>3145</v>
      </c>
      <c r="D882" s="30" t="s">
        <v>3123</v>
      </c>
      <c r="E882" s="30" t="s">
        <v>98</v>
      </c>
      <c r="F882" s="49">
        <v>6</v>
      </c>
      <c r="G882" s="49">
        <v>0</v>
      </c>
      <c r="H882" s="49">
        <v>6</v>
      </c>
    </row>
    <row r="883" spans="1:8">
      <c r="A883" s="30" t="s">
        <v>4009</v>
      </c>
      <c r="B883" s="29" t="s">
        <v>2026</v>
      </c>
      <c r="C883" s="30" t="s">
        <v>3145</v>
      </c>
      <c r="D883" s="30" t="s">
        <v>3525</v>
      </c>
      <c r="E883" s="30" t="s">
        <v>98</v>
      </c>
      <c r="F883" s="49">
        <v>3</v>
      </c>
      <c r="G883" s="49">
        <v>0</v>
      </c>
      <c r="H883" s="49">
        <v>3</v>
      </c>
    </row>
    <row r="884" spans="1:8">
      <c r="A884" s="30" t="s">
        <v>4010</v>
      </c>
      <c r="B884" s="29" t="s">
        <v>2026</v>
      </c>
      <c r="C884" s="30" t="s">
        <v>3133</v>
      </c>
      <c r="D884" s="30" t="s">
        <v>3123</v>
      </c>
      <c r="E884" s="30" t="s">
        <v>98</v>
      </c>
      <c r="F884" s="49">
        <v>6</v>
      </c>
      <c r="G884" s="49">
        <v>0</v>
      </c>
      <c r="H884" s="49">
        <v>6</v>
      </c>
    </row>
    <row r="885" spans="1:8">
      <c r="A885" s="30" t="s">
        <v>4011</v>
      </c>
      <c r="B885" s="29" t="s">
        <v>2026</v>
      </c>
      <c r="C885" s="30" t="s">
        <v>3133</v>
      </c>
      <c r="D885" s="30" t="s">
        <v>3525</v>
      </c>
      <c r="E885" s="30" t="s">
        <v>98</v>
      </c>
      <c r="F885" s="49">
        <v>1</v>
      </c>
      <c r="G885" s="49">
        <v>0</v>
      </c>
      <c r="H885" s="49">
        <v>1</v>
      </c>
    </row>
    <row r="886" spans="1:8">
      <c r="A886" s="30" t="s">
        <v>4012</v>
      </c>
      <c r="B886" s="29" t="s">
        <v>2026</v>
      </c>
      <c r="C886" s="30" t="s">
        <v>3122</v>
      </c>
      <c r="D886" s="30" t="s">
        <v>3123</v>
      </c>
      <c r="E886" s="30" t="s">
        <v>98</v>
      </c>
      <c r="F886" s="49">
        <v>1</v>
      </c>
      <c r="G886" s="49">
        <v>0</v>
      </c>
      <c r="H886" s="49">
        <v>1</v>
      </c>
    </row>
    <row r="887" spans="1:8">
      <c r="A887" s="30" t="s">
        <v>4013</v>
      </c>
      <c r="B887" s="29" t="s">
        <v>2034</v>
      </c>
      <c r="C887" s="30" t="s">
        <v>3143</v>
      </c>
      <c r="D887" s="30" t="s">
        <v>3123</v>
      </c>
      <c r="E887" s="30" t="s">
        <v>98</v>
      </c>
      <c r="F887" s="49">
        <v>5</v>
      </c>
      <c r="G887" s="49">
        <v>0</v>
      </c>
      <c r="H887" s="49">
        <v>5</v>
      </c>
    </row>
    <row r="888" spans="1:8">
      <c r="A888" s="30" t="s">
        <v>4014</v>
      </c>
      <c r="B888" s="29" t="s">
        <v>2034</v>
      </c>
      <c r="C888" s="30" t="s">
        <v>3145</v>
      </c>
      <c r="D888" s="30" t="s">
        <v>3123</v>
      </c>
      <c r="E888" s="30" t="s">
        <v>98</v>
      </c>
      <c r="F888" s="49">
        <v>10</v>
      </c>
      <c r="G888" s="49">
        <v>0</v>
      </c>
      <c r="H888" s="49">
        <v>10</v>
      </c>
    </row>
    <row r="889" spans="1:8">
      <c r="A889" s="30" t="s">
        <v>4015</v>
      </c>
      <c r="B889" s="29" t="s">
        <v>2034</v>
      </c>
      <c r="C889" s="30" t="s">
        <v>3133</v>
      </c>
      <c r="D889" s="30" t="s">
        <v>3123</v>
      </c>
      <c r="E889" s="30" t="s">
        <v>98</v>
      </c>
      <c r="F889" s="49">
        <v>6</v>
      </c>
      <c r="G889" s="49">
        <v>0</v>
      </c>
      <c r="H889" s="49">
        <v>6</v>
      </c>
    </row>
    <row r="890" spans="1:8">
      <c r="A890" s="30" t="s">
        <v>4016</v>
      </c>
      <c r="B890" s="29" t="s">
        <v>2034</v>
      </c>
      <c r="C890" s="30" t="s">
        <v>3133</v>
      </c>
      <c r="D890" s="30" t="s">
        <v>3525</v>
      </c>
      <c r="E890" s="30" t="s">
        <v>98</v>
      </c>
      <c r="F890" s="49">
        <v>1</v>
      </c>
      <c r="G890" s="49">
        <v>0</v>
      </c>
      <c r="H890" s="49">
        <v>1</v>
      </c>
    </row>
    <row r="891" spans="1:8">
      <c r="A891" s="30" t="s">
        <v>4017</v>
      </c>
      <c r="B891" s="29" t="s">
        <v>2039</v>
      </c>
      <c r="C891" s="30" t="s">
        <v>3143</v>
      </c>
      <c r="D891" s="30" t="s">
        <v>3525</v>
      </c>
      <c r="E891" s="30" t="s">
        <v>98</v>
      </c>
      <c r="F891" s="49">
        <v>1</v>
      </c>
      <c r="G891" s="49">
        <v>0</v>
      </c>
      <c r="H891" s="49">
        <v>1</v>
      </c>
    </row>
    <row r="892" spans="1:8">
      <c r="A892" s="30" t="s">
        <v>4018</v>
      </c>
      <c r="B892" s="29" t="s">
        <v>2039</v>
      </c>
      <c r="C892" s="30" t="s">
        <v>3145</v>
      </c>
      <c r="D892" s="30" t="s">
        <v>3525</v>
      </c>
      <c r="E892" s="30" t="s">
        <v>98</v>
      </c>
      <c r="F892" s="49">
        <v>1</v>
      </c>
      <c r="G892" s="49">
        <v>0</v>
      </c>
      <c r="H892" s="49">
        <v>1</v>
      </c>
    </row>
    <row r="893" spans="1:8">
      <c r="A893" s="30" t="s">
        <v>4019</v>
      </c>
      <c r="B893" s="29" t="s">
        <v>2039</v>
      </c>
      <c r="C893" s="30" t="s">
        <v>3145</v>
      </c>
      <c r="D893" s="30" t="s">
        <v>3123</v>
      </c>
      <c r="E893" s="30" t="s">
        <v>98</v>
      </c>
      <c r="F893" s="49">
        <v>1</v>
      </c>
      <c r="G893" s="49">
        <v>0</v>
      </c>
      <c r="H893" s="49">
        <v>1</v>
      </c>
    </row>
    <row r="894" spans="1:8">
      <c r="A894" s="30" t="s">
        <v>4020</v>
      </c>
      <c r="B894" s="29" t="s">
        <v>2039</v>
      </c>
      <c r="C894" s="30" t="s">
        <v>3133</v>
      </c>
      <c r="D894" s="30" t="s">
        <v>3525</v>
      </c>
      <c r="E894" s="30" t="s">
        <v>98</v>
      </c>
      <c r="F894" s="49">
        <v>5</v>
      </c>
      <c r="G894" s="49">
        <v>0</v>
      </c>
      <c r="H894" s="49">
        <v>5</v>
      </c>
    </row>
    <row r="895" spans="1:8">
      <c r="A895" s="30" t="s">
        <v>4021</v>
      </c>
      <c r="B895" s="29" t="s">
        <v>2045</v>
      </c>
      <c r="C895" s="30" t="s">
        <v>3145</v>
      </c>
      <c r="D895" s="30" t="s">
        <v>3123</v>
      </c>
      <c r="E895" s="30" t="s">
        <v>98</v>
      </c>
      <c r="F895" s="49">
        <v>1</v>
      </c>
      <c r="G895" s="49">
        <v>0</v>
      </c>
      <c r="H895" s="49">
        <v>1</v>
      </c>
    </row>
    <row r="896" spans="1:8">
      <c r="A896" s="30" t="s">
        <v>4022</v>
      </c>
      <c r="B896" s="29" t="s">
        <v>2045</v>
      </c>
      <c r="C896" s="30" t="s">
        <v>3133</v>
      </c>
      <c r="D896" s="30" t="s">
        <v>3123</v>
      </c>
      <c r="E896" s="30" t="s">
        <v>98</v>
      </c>
      <c r="F896" s="49">
        <v>3</v>
      </c>
      <c r="G896" s="49">
        <v>0</v>
      </c>
      <c r="H896" s="49">
        <v>3</v>
      </c>
    </row>
    <row r="897" spans="1:8">
      <c r="A897" s="30" t="s">
        <v>4023</v>
      </c>
      <c r="B897" s="29" t="s">
        <v>2045</v>
      </c>
      <c r="C897" s="30" t="s">
        <v>3133</v>
      </c>
      <c r="D897" s="30" t="s">
        <v>3525</v>
      </c>
      <c r="E897" s="30" t="s">
        <v>98</v>
      </c>
      <c r="F897" s="49">
        <v>2</v>
      </c>
      <c r="G897" s="49">
        <v>0</v>
      </c>
      <c r="H897" s="49">
        <v>2</v>
      </c>
    </row>
    <row r="898" spans="1:8">
      <c r="A898" s="30" t="s">
        <v>4024</v>
      </c>
      <c r="B898" s="29" t="s">
        <v>2045</v>
      </c>
      <c r="C898" s="30" t="s">
        <v>3122</v>
      </c>
      <c r="D898" s="30" t="s">
        <v>3525</v>
      </c>
      <c r="E898" s="30" t="s">
        <v>98</v>
      </c>
      <c r="F898" s="49">
        <v>1</v>
      </c>
      <c r="G898" s="49">
        <v>0</v>
      </c>
      <c r="H898" s="49">
        <v>1</v>
      </c>
    </row>
    <row r="899" spans="1:8">
      <c r="A899" s="30" t="s">
        <v>4025</v>
      </c>
      <c r="B899" s="29" t="s">
        <v>2045</v>
      </c>
      <c r="C899" s="30" t="s">
        <v>3122</v>
      </c>
      <c r="D899" s="30" t="s">
        <v>3123</v>
      </c>
      <c r="E899" s="30" t="s">
        <v>98</v>
      </c>
      <c r="F899" s="49">
        <v>1</v>
      </c>
      <c r="G899" s="49">
        <v>0</v>
      </c>
      <c r="H899" s="49">
        <v>1</v>
      </c>
    </row>
    <row r="900" spans="1:8">
      <c r="A900" s="30" t="s">
        <v>4026</v>
      </c>
      <c r="B900" s="29" t="s">
        <v>2051</v>
      </c>
      <c r="C900" s="30" t="s">
        <v>3145</v>
      </c>
      <c r="D900" s="30" t="s">
        <v>3123</v>
      </c>
      <c r="E900" s="30" t="s">
        <v>98</v>
      </c>
      <c r="F900" s="49">
        <v>10</v>
      </c>
      <c r="G900" s="49">
        <v>0</v>
      </c>
      <c r="H900" s="49">
        <v>10</v>
      </c>
    </row>
    <row r="901" spans="1:8">
      <c r="A901" s="30" t="s">
        <v>4027</v>
      </c>
      <c r="B901" s="29" t="s">
        <v>2051</v>
      </c>
      <c r="C901" s="30" t="s">
        <v>3145</v>
      </c>
      <c r="D901" s="30" t="s">
        <v>3525</v>
      </c>
      <c r="E901" s="30" t="s">
        <v>98</v>
      </c>
      <c r="F901" s="49">
        <v>3</v>
      </c>
      <c r="G901" s="49">
        <v>0</v>
      </c>
      <c r="H901" s="49">
        <v>3</v>
      </c>
    </row>
    <row r="902" spans="1:8">
      <c r="A902" s="30" t="s">
        <v>4028</v>
      </c>
      <c r="B902" s="29" t="s">
        <v>2051</v>
      </c>
      <c r="C902" s="30" t="s">
        <v>3133</v>
      </c>
      <c r="D902" s="30" t="s">
        <v>3123</v>
      </c>
      <c r="E902" s="30" t="s">
        <v>98</v>
      </c>
      <c r="F902" s="49">
        <v>7</v>
      </c>
      <c r="G902" s="49">
        <v>0</v>
      </c>
      <c r="H902" s="49">
        <v>7</v>
      </c>
    </row>
    <row r="903" spans="1:8">
      <c r="A903" s="30" t="s">
        <v>4029</v>
      </c>
      <c r="B903" s="29" t="s">
        <v>2051</v>
      </c>
      <c r="C903" s="30" t="s">
        <v>3133</v>
      </c>
      <c r="D903" s="30" t="s">
        <v>3525</v>
      </c>
      <c r="E903" s="30" t="s">
        <v>98</v>
      </c>
      <c r="F903" s="49">
        <v>7</v>
      </c>
      <c r="G903" s="49">
        <v>0</v>
      </c>
      <c r="H903" s="49">
        <v>7</v>
      </c>
    </row>
    <row r="904" spans="1:8">
      <c r="A904" s="30" t="s">
        <v>4030</v>
      </c>
      <c r="B904" s="29" t="s">
        <v>2056</v>
      </c>
      <c r="C904" s="30" t="s">
        <v>3143</v>
      </c>
      <c r="D904" s="30" t="s">
        <v>3123</v>
      </c>
      <c r="E904" s="30" t="s">
        <v>112</v>
      </c>
      <c r="F904" s="49">
        <v>10</v>
      </c>
      <c r="G904" s="49">
        <v>0</v>
      </c>
      <c r="H904" s="49">
        <v>10</v>
      </c>
    </row>
    <row r="905" spans="1:8">
      <c r="A905" s="30" t="s">
        <v>4031</v>
      </c>
      <c r="B905" s="29" t="s">
        <v>2056</v>
      </c>
      <c r="C905" s="30" t="s">
        <v>3143</v>
      </c>
      <c r="D905" s="30" t="s">
        <v>3525</v>
      </c>
      <c r="E905" s="30" t="s">
        <v>112</v>
      </c>
      <c r="F905" s="49">
        <v>10</v>
      </c>
      <c r="G905" s="49">
        <v>0</v>
      </c>
      <c r="H905" s="49">
        <v>10</v>
      </c>
    </row>
    <row r="906" spans="1:8">
      <c r="A906" s="30" t="s">
        <v>4032</v>
      </c>
      <c r="B906" s="29" t="s">
        <v>2056</v>
      </c>
      <c r="C906" s="30" t="s">
        <v>3145</v>
      </c>
      <c r="D906" s="30" t="s">
        <v>3123</v>
      </c>
      <c r="E906" s="30" t="s">
        <v>98</v>
      </c>
      <c r="F906" s="49">
        <v>15</v>
      </c>
      <c r="G906" s="49">
        <v>0</v>
      </c>
      <c r="H906" s="49">
        <v>15</v>
      </c>
    </row>
    <row r="907" spans="1:8">
      <c r="A907" s="30" t="s">
        <v>4033</v>
      </c>
      <c r="B907" s="29" t="s">
        <v>2056</v>
      </c>
      <c r="C907" s="30" t="s">
        <v>3145</v>
      </c>
      <c r="D907" s="30" t="s">
        <v>3525</v>
      </c>
      <c r="E907" s="30" t="s">
        <v>98</v>
      </c>
      <c r="F907" s="49">
        <v>15</v>
      </c>
      <c r="G907" s="49">
        <v>0</v>
      </c>
      <c r="H907" s="49">
        <v>15</v>
      </c>
    </row>
    <row r="908" spans="1:8">
      <c r="A908" s="30" t="s">
        <v>4034</v>
      </c>
      <c r="B908" s="29" t="s">
        <v>2056</v>
      </c>
      <c r="C908" s="30" t="s">
        <v>3133</v>
      </c>
      <c r="D908" s="30" t="s">
        <v>3123</v>
      </c>
      <c r="E908" s="30" t="s">
        <v>98</v>
      </c>
      <c r="F908" s="49">
        <v>10</v>
      </c>
      <c r="G908" s="49">
        <v>0</v>
      </c>
      <c r="H908" s="49">
        <v>10</v>
      </c>
    </row>
    <row r="909" spans="1:8">
      <c r="A909" s="30" t="s">
        <v>4035</v>
      </c>
      <c r="B909" s="29" t="s">
        <v>2056</v>
      </c>
      <c r="C909" s="30" t="s">
        <v>3133</v>
      </c>
      <c r="D909" s="30" t="s">
        <v>3525</v>
      </c>
      <c r="E909" s="30" t="s">
        <v>98</v>
      </c>
      <c r="F909" s="49">
        <v>10</v>
      </c>
      <c r="G909" s="49">
        <v>0</v>
      </c>
      <c r="H909" s="49">
        <v>10</v>
      </c>
    </row>
    <row r="910" spans="1:8">
      <c r="A910" s="30" t="s">
        <v>4036</v>
      </c>
      <c r="B910" s="29" t="s">
        <v>2061</v>
      </c>
      <c r="C910" s="30" t="s">
        <v>3125</v>
      </c>
      <c r="D910" s="30" t="s">
        <v>3123</v>
      </c>
      <c r="E910" s="30" t="s">
        <v>112</v>
      </c>
      <c r="F910" s="49">
        <v>9</v>
      </c>
      <c r="G910" s="49">
        <v>0</v>
      </c>
      <c r="H910" s="49">
        <v>9</v>
      </c>
    </row>
    <row r="911" spans="1:8">
      <c r="A911" s="30" t="s">
        <v>4037</v>
      </c>
      <c r="B911" s="29" t="s">
        <v>2061</v>
      </c>
      <c r="C911" s="30" t="s">
        <v>3125</v>
      </c>
      <c r="D911" s="30" t="s">
        <v>3525</v>
      </c>
      <c r="E911" s="30" t="s">
        <v>112</v>
      </c>
      <c r="F911" s="49">
        <v>18</v>
      </c>
      <c r="G911" s="49">
        <v>0</v>
      </c>
      <c r="H911" s="49">
        <v>18</v>
      </c>
    </row>
    <row r="912" spans="1:8">
      <c r="A912" s="46" t="s">
        <v>4038</v>
      </c>
      <c r="B912" s="29" t="s">
        <v>2061</v>
      </c>
      <c r="C912" s="30" t="s">
        <v>3143</v>
      </c>
      <c r="D912" s="30" t="s">
        <v>3123</v>
      </c>
      <c r="E912" s="30" t="s">
        <v>112</v>
      </c>
      <c r="F912" s="49">
        <v>5</v>
      </c>
      <c r="G912" s="49">
        <v>0</v>
      </c>
      <c r="H912" s="49">
        <v>5</v>
      </c>
    </row>
    <row r="913" spans="1:8">
      <c r="A913" s="30" t="s">
        <v>4039</v>
      </c>
      <c r="B913" s="29" t="s">
        <v>2061</v>
      </c>
      <c r="C913" s="30" t="s">
        <v>3143</v>
      </c>
      <c r="D913" s="30" t="s">
        <v>3525</v>
      </c>
      <c r="E913" s="30" t="s">
        <v>112</v>
      </c>
      <c r="F913" s="49">
        <v>4</v>
      </c>
      <c r="G913" s="49">
        <v>0</v>
      </c>
      <c r="H913" s="49">
        <v>4</v>
      </c>
    </row>
    <row r="914" spans="1:8">
      <c r="A914" s="30" t="s">
        <v>4040</v>
      </c>
      <c r="B914" s="29" t="s">
        <v>2077</v>
      </c>
      <c r="C914" s="30" t="s">
        <v>3125</v>
      </c>
      <c r="D914" s="30" t="s">
        <v>3123</v>
      </c>
      <c r="E914" s="30" t="s">
        <v>98</v>
      </c>
      <c r="F914" s="49">
        <v>40</v>
      </c>
      <c r="G914" s="49">
        <v>0</v>
      </c>
      <c r="H914" s="49">
        <v>40</v>
      </c>
    </row>
    <row r="915" spans="1:8">
      <c r="A915" s="30" t="s">
        <v>4041</v>
      </c>
      <c r="B915" s="29" t="s">
        <v>2077</v>
      </c>
      <c r="C915" s="30" t="s">
        <v>3125</v>
      </c>
      <c r="D915" s="30" t="s">
        <v>3525</v>
      </c>
      <c r="E915" s="30" t="s">
        <v>98</v>
      </c>
      <c r="F915" s="49">
        <v>40</v>
      </c>
      <c r="G915" s="49">
        <v>0</v>
      </c>
      <c r="H915" s="49">
        <v>40</v>
      </c>
    </row>
    <row r="916" spans="1:8">
      <c r="A916" s="30" t="s">
        <v>4042</v>
      </c>
      <c r="B916" s="29" t="s">
        <v>2083</v>
      </c>
      <c r="C916" s="30" t="s">
        <v>3125</v>
      </c>
      <c r="D916" s="30" t="s">
        <v>3525</v>
      </c>
      <c r="E916" s="30" t="s">
        <v>112</v>
      </c>
      <c r="F916" s="49">
        <v>16</v>
      </c>
      <c r="G916" s="49">
        <v>0</v>
      </c>
      <c r="H916" s="49">
        <v>16</v>
      </c>
    </row>
    <row r="917" spans="1:8">
      <c r="A917" s="30" t="s">
        <v>4043</v>
      </c>
      <c r="B917" s="29" t="s">
        <v>2083</v>
      </c>
      <c r="C917" s="30" t="s">
        <v>3125</v>
      </c>
      <c r="D917" s="30" t="s">
        <v>3123</v>
      </c>
      <c r="E917" s="30" t="s">
        <v>112</v>
      </c>
      <c r="F917" s="49">
        <v>24</v>
      </c>
      <c r="G917" s="49">
        <v>0</v>
      </c>
      <c r="H917" s="49">
        <v>24</v>
      </c>
    </row>
    <row r="918" spans="1:8">
      <c r="A918" s="30" t="s">
        <v>4044</v>
      </c>
      <c r="B918" s="29" t="s">
        <v>2086</v>
      </c>
      <c r="C918" s="30" t="s">
        <v>3125</v>
      </c>
      <c r="D918" s="30" t="s">
        <v>3123</v>
      </c>
      <c r="E918" s="30" t="s">
        <v>112</v>
      </c>
      <c r="F918" s="49">
        <v>20</v>
      </c>
      <c r="G918" s="49">
        <v>0</v>
      </c>
      <c r="H918" s="49">
        <v>20</v>
      </c>
    </row>
    <row r="919" spans="1:8">
      <c r="A919" s="30" t="s">
        <v>4045</v>
      </c>
      <c r="B919" s="29" t="s">
        <v>2086</v>
      </c>
      <c r="C919" s="30" t="s">
        <v>3125</v>
      </c>
      <c r="D919" s="30" t="s">
        <v>3525</v>
      </c>
      <c r="E919" s="30" t="s">
        <v>112</v>
      </c>
      <c r="F919" s="49">
        <v>16</v>
      </c>
      <c r="G919" s="49">
        <v>0</v>
      </c>
      <c r="H919" s="49">
        <v>16</v>
      </c>
    </row>
    <row r="920" spans="1:8">
      <c r="A920" s="30" t="s">
        <v>4046</v>
      </c>
      <c r="B920" s="29" t="s">
        <v>2086</v>
      </c>
      <c r="C920" s="30" t="s">
        <v>3125</v>
      </c>
      <c r="D920" s="30" t="s">
        <v>3511</v>
      </c>
      <c r="E920" s="30" t="s">
        <v>679</v>
      </c>
      <c r="F920" s="49">
        <v>4</v>
      </c>
      <c r="G920" s="49">
        <v>0</v>
      </c>
      <c r="H920" s="49">
        <v>4</v>
      </c>
    </row>
    <row r="921" spans="1:8">
      <c r="A921" s="30" t="s">
        <v>4047</v>
      </c>
      <c r="B921" s="29" t="s">
        <v>2089</v>
      </c>
      <c r="C921" s="30" t="s">
        <v>3125</v>
      </c>
      <c r="D921" s="30" t="s">
        <v>3525</v>
      </c>
      <c r="E921" s="30" t="s">
        <v>112</v>
      </c>
      <c r="F921" s="49">
        <v>20</v>
      </c>
      <c r="G921" s="49">
        <v>0</v>
      </c>
      <c r="H921" s="49">
        <v>20</v>
      </c>
    </row>
    <row r="922" spans="1:8">
      <c r="A922" s="30" t="s">
        <v>4048</v>
      </c>
      <c r="B922" s="29" t="s">
        <v>2089</v>
      </c>
      <c r="C922" s="30" t="s">
        <v>3125</v>
      </c>
      <c r="D922" s="30" t="s">
        <v>3123</v>
      </c>
      <c r="E922" s="30" t="s">
        <v>112</v>
      </c>
      <c r="F922" s="49">
        <v>20</v>
      </c>
      <c r="G922" s="49">
        <v>0</v>
      </c>
      <c r="H922" s="49">
        <v>20</v>
      </c>
    </row>
    <row r="923" spans="1:8">
      <c r="A923" s="30" t="s">
        <v>4049</v>
      </c>
      <c r="B923" s="29" t="s">
        <v>2091</v>
      </c>
      <c r="C923" s="30" t="s">
        <v>3133</v>
      </c>
      <c r="D923" s="30" t="s">
        <v>3511</v>
      </c>
      <c r="E923" s="30" t="s">
        <v>98</v>
      </c>
      <c r="F923" s="49"/>
      <c r="G923" s="49">
        <v>3</v>
      </c>
      <c r="H923" s="49">
        <v>3</v>
      </c>
    </row>
    <row r="924" spans="1:8">
      <c r="A924" s="30" t="s">
        <v>4050</v>
      </c>
      <c r="B924" s="29" t="s">
        <v>2093</v>
      </c>
      <c r="C924" s="30" t="s">
        <v>3133</v>
      </c>
      <c r="D924" s="30" t="s">
        <v>3511</v>
      </c>
      <c r="E924" s="30" t="s">
        <v>98</v>
      </c>
      <c r="F924" s="49"/>
      <c r="G924" s="49">
        <v>2</v>
      </c>
      <c r="H924" s="49">
        <v>2</v>
      </c>
    </row>
    <row r="925" spans="1:8">
      <c r="A925" s="30" t="s">
        <v>4051</v>
      </c>
      <c r="B925" s="29" t="s">
        <v>2095</v>
      </c>
      <c r="C925" s="30" t="s">
        <v>3133</v>
      </c>
      <c r="D925" s="30" t="s">
        <v>3511</v>
      </c>
      <c r="E925" s="30" t="s">
        <v>98</v>
      </c>
      <c r="F925" s="49"/>
      <c r="G925" s="49">
        <v>3</v>
      </c>
      <c r="H925" s="49">
        <v>3</v>
      </c>
    </row>
    <row r="926" spans="1:8">
      <c r="A926" s="30" t="s">
        <v>4052</v>
      </c>
      <c r="B926" s="29" t="s">
        <v>2097</v>
      </c>
      <c r="C926" s="30" t="s">
        <v>3133</v>
      </c>
      <c r="D926" s="30" t="s">
        <v>3511</v>
      </c>
      <c r="E926" s="30" t="s">
        <v>98</v>
      </c>
      <c r="F926" s="49"/>
      <c r="G926" s="49">
        <v>5</v>
      </c>
      <c r="H926" s="49">
        <v>5</v>
      </c>
    </row>
    <row r="927" spans="1:8">
      <c r="A927" s="30" t="s">
        <v>4053</v>
      </c>
      <c r="B927" s="29" t="s">
        <v>2099</v>
      </c>
      <c r="C927" s="30" t="s">
        <v>3145</v>
      </c>
      <c r="D927" s="30" t="s">
        <v>3511</v>
      </c>
      <c r="E927" s="30" t="s">
        <v>98</v>
      </c>
      <c r="F927" s="49"/>
      <c r="G927" s="49">
        <v>4</v>
      </c>
      <c r="H927" s="49">
        <v>4</v>
      </c>
    </row>
    <row r="928" spans="1:8">
      <c r="A928" s="30" t="s">
        <v>4054</v>
      </c>
      <c r="B928" s="29" t="s">
        <v>2101</v>
      </c>
      <c r="C928" s="30" t="s">
        <v>3133</v>
      </c>
      <c r="D928" s="30" t="s">
        <v>3511</v>
      </c>
      <c r="E928" s="30" t="s">
        <v>98</v>
      </c>
      <c r="F928" s="49"/>
      <c r="G928" s="49">
        <v>3</v>
      </c>
      <c r="H928" s="49">
        <v>3</v>
      </c>
    </row>
    <row r="929" spans="1:8">
      <c r="A929" s="30" t="s">
        <v>4055</v>
      </c>
      <c r="B929" s="29" t="s">
        <v>2103</v>
      </c>
      <c r="C929" s="30" t="s">
        <v>3122</v>
      </c>
      <c r="D929" s="30" t="s">
        <v>3511</v>
      </c>
      <c r="E929" s="30" t="s">
        <v>98</v>
      </c>
      <c r="F929" s="49"/>
      <c r="G929" s="49">
        <v>2</v>
      </c>
      <c r="H929" s="49">
        <v>2</v>
      </c>
    </row>
    <row r="930" spans="1:8">
      <c r="A930" s="30" t="s">
        <v>4056</v>
      </c>
      <c r="B930" s="29" t="s">
        <v>2105</v>
      </c>
      <c r="C930" s="30" t="s">
        <v>3145</v>
      </c>
      <c r="D930" s="30" t="s">
        <v>3511</v>
      </c>
      <c r="E930" s="30" t="s">
        <v>98</v>
      </c>
      <c r="F930" s="49"/>
      <c r="G930" s="49">
        <v>2</v>
      </c>
      <c r="H930" s="49">
        <v>2</v>
      </c>
    </row>
    <row r="931" spans="1:8">
      <c r="A931" s="30" t="s">
        <v>4057</v>
      </c>
      <c r="B931" s="29" t="s">
        <v>2107</v>
      </c>
      <c r="C931" s="30" t="s">
        <v>3133</v>
      </c>
      <c r="D931" s="30" t="s">
        <v>3511</v>
      </c>
      <c r="E931" s="30" t="s">
        <v>98</v>
      </c>
      <c r="F931" s="49"/>
      <c r="G931" s="49">
        <v>6</v>
      </c>
      <c r="H931" s="49">
        <v>6</v>
      </c>
    </row>
    <row r="932" spans="1:8">
      <c r="A932" s="30" t="s">
        <v>4058</v>
      </c>
      <c r="B932" s="29" t="s">
        <v>2109</v>
      </c>
      <c r="C932" s="30" t="s">
        <v>3143</v>
      </c>
      <c r="D932" s="30" t="s">
        <v>3511</v>
      </c>
      <c r="E932" s="30" t="s">
        <v>98</v>
      </c>
      <c r="F932" s="49"/>
      <c r="G932" s="49">
        <v>9</v>
      </c>
      <c r="H932" s="49">
        <v>9</v>
      </c>
    </row>
    <row r="933" spans="1:8">
      <c r="A933" s="30" t="s">
        <v>4059</v>
      </c>
      <c r="B933" s="29" t="s">
        <v>2111</v>
      </c>
      <c r="C933" s="30" t="s">
        <v>3133</v>
      </c>
      <c r="D933" s="30" t="s">
        <v>3511</v>
      </c>
      <c r="E933" s="30" t="s">
        <v>98</v>
      </c>
      <c r="F933" s="49"/>
      <c r="G933" s="49">
        <v>3</v>
      </c>
      <c r="H933" s="49">
        <v>3</v>
      </c>
    </row>
    <row r="934" spans="1:8">
      <c r="A934" s="30" t="s">
        <v>4060</v>
      </c>
      <c r="B934" s="29" t="s">
        <v>2113</v>
      </c>
      <c r="C934" s="30" t="s">
        <v>3145</v>
      </c>
      <c r="D934" s="30" t="s">
        <v>3511</v>
      </c>
      <c r="E934" s="30" t="s">
        <v>98</v>
      </c>
      <c r="F934" s="49"/>
      <c r="G934" s="49">
        <v>2</v>
      </c>
      <c r="H934" s="49">
        <v>2</v>
      </c>
    </row>
    <row r="935" spans="1:8">
      <c r="A935" s="30" t="s">
        <v>4061</v>
      </c>
      <c r="B935" s="29" t="s">
        <v>2115</v>
      </c>
      <c r="C935" s="30" t="s">
        <v>3133</v>
      </c>
      <c r="D935" s="30" t="s">
        <v>3511</v>
      </c>
      <c r="E935" s="30" t="s">
        <v>98</v>
      </c>
      <c r="F935" s="49"/>
      <c r="G935" s="49">
        <v>2</v>
      </c>
      <c r="H935" s="49">
        <v>2</v>
      </c>
    </row>
    <row r="936" spans="1:8">
      <c r="A936" s="30" t="s">
        <v>4062</v>
      </c>
      <c r="B936" s="29" t="s">
        <v>2117</v>
      </c>
      <c r="C936" s="30" t="s">
        <v>3122</v>
      </c>
      <c r="D936" s="30" t="s">
        <v>3511</v>
      </c>
      <c r="E936" s="30" t="s">
        <v>98</v>
      </c>
      <c r="F936" s="49"/>
      <c r="G936" s="49">
        <v>7</v>
      </c>
      <c r="H936" s="49">
        <v>7</v>
      </c>
    </row>
    <row r="937" spans="1:8">
      <c r="A937" s="30" t="s">
        <v>4063</v>
      </c>
      <c r="B937" s="29" t="s">
        <v>2119</v>
      </c>
      <c r="C937" s="30" t="s">
        <v>3133</v>
      </c>
      <c r="D937" s="30" t="s">
        <v>3511</v>
      </c>
      <c r="E937" s="30" t="s">
        <v>98</v>
      </c>
      <c r="F937" s="49"/>
      <c r="G937" s="49">
        <v>3</v>
      </c>
      <c r="H937" s="49">
        <v>3</v>
      </c>
    </row>
    <row r="938" spans="1:8">
      <c r="A938" s="30" t="s">
        <v>4064</v>
      </c>
      <c r="B938" s="29" t="s">
        <v>2121</v>
      </c>
      <c r="C938" s="30" t="s">
        <v>3145</v>
      </c>
      <c r="D938" s="30" t="s">
        <v>3511</v>
      </c>
      <c r="E938" s="30" t="s">
        <v>98</v>
      </c>
      <c r="F938" s="49"/>
      <c r="G938" s="49">
        <v>3</v>
      </c>
      <c r="H938" s="49">
        <v>3</v>
      </c>
    </row>
    <row r="939" spans="1:8">
      <c r="A939" s="30" t="s">
        <v>4065</v>
      </c>
      <c r="B939" s="29" t="s">
        <v>2123</v>
      </c>
      <c r="C939" s="30" t="s">
        <v>3145</v>
      </c>
      <c r="D939" s="30" t="s">
        <v>3511</v>
      </c>
      <c r="E939" s="30" t="s">
        <v>98</v>
      </c>
      <c r="F939" s="49"/>
      <c r="G939" s="49">
        <v>2</v>
      </c>
      <c r="H939" s="49">
        <v>2</v>
      </c>
    </row>
    <row r="940" spans="1:8">
      <c r="A940" s="30" t="s">
        <v>4066</v>
      </c>
      <c r="B940" s="29" t="s">
        <v>2125</v>
      </c>
      <c r="C940" s="30" t="s">
        <v>3133</v>
      </c>
      <c r="D940" s="30" t="s">
        <v>3511</v>
      </c>
      <c r="E940" s="30" t="s">
        <v>98</v>
      </c>
      <c r="F940" s="49"/>
      <c r="G940" s="49">
        <v>4</v>
      </c>
      <c r="H940" s="49">
        <v>4</v>
      </c>
    </row>
    <row r="941" spans="1:8">
      <c r="A941" s="30" t="s">
        <v>4067</v>
      </c>
      <c r="B941" s="29" t="s">
        <v>2127</v>
      </c>
      <c r="C941" s="30" t="s">
        <v>3133</v>
      </c>
      <c r="D941" s="30" t="s">
        <v>3123</v>
      </c>
      <c r="E941" s="30" t="s">
        <v>98</v>
      </c>
      <c r="F941" s="49">
        <v>1</v>
      </c>
      <c r="G941" s="49">
        <v>0</v>
      </c>
      <c r="H941" s="49">
        <v>1</v>
      </c>
    </row>
    <row r="942" spans="1:8">
      <c r="A942" s="30" t="s">
        <v>4068</v>
      </c>
      <c r="B942" s="29" t="s">
        <v>2127</v>
      </c>
      <c r="C942" s="30" t="s">
        <v>3122</v>
      </c>
      <c r="D942" s="30" t="s">
        <v>3123</v>
      </c>
      <c r="E942" s="30" t="s">
        <v>98</v>
      </c>
      <c r="F942" s="49">
        <v>5</v>
      </c>
      <c r="G942" s="49">
        <v>0</v>
      </c>
      <c r="H942" s="49">
        <v>5</v>
      </c>
    </row>
    <row r="943" spans="1:8">
      <c r="A943" s="30" t="s">
        <v>4069</v>
      </c>
      <c r="B943" s="29" t="s">
        <v>2132</v>
      </c>
      <c r="C943" s="30" t="s">
        <v>3145</v>
      </c>
      <c r="D943" s="30" t="s">
        <v>3511</v>
      </c>
      <c r="E943" s="30" t="s">
        <v>98</v>
      </c>
      <c r="F943" s="49"/>
      <c r="G943" s="49">
        <v>2</v>
      </c>
      <c r="H943" s="49">
        <v>2</v>
      </c>
    </row>
    <row r="944" spans="1:8">
      <c r="A944" s="30" t="s">
        <v>4070</v>
      </c>
      <c r="B944" s="29" t="s">
        <v>2134</v>
      </c>
      <c r="C944" s="30" t="s">
        <v>3133</v>
      </c>
      <c r="D944" s="30" t="s">
        <v>3511</v>
      </c>
      <c r="E944" s="30" t="s">
        <v>98</v>
      </c>
      <c r="F944" s="49"/>
      <c r="G944" s="49">
        <v>5</v>
      </c>
      <c r="H944" s="49">
        <v>5</v>
      </c>
    </row>
    <row r="945" spans="1:8">
      <c r="A945" s="30" t="s">
        <v>4071</v>
      </c>
      <c r="B945" s="29" t="s">
        <v>2136</v>
      </c>
      <c r="C945" s="30" t="s">
        <v>3133</v>
      </c>
      <c r="D945" s="30" t="s">
        <v>3511</v>
      </c>
      <c r="E945" s="30" t="s">
        <v>98</v>
      </c>
      <c r="F945" s="49"/>
      <c r="G945" s="49">
        <v>4</v>
      </c>
      <c r="H945" s="49">
        <v>4</v>
      </c>
    </row>
    <row r="946" spans="1:8">
      <c r="A946" s="30" t="s">
        <v>4072</v>
      </c>
      <c r="B946" s="29" t="s">
        <v>2138</v>
      </c>
      <c r="C946" s="30" t="s">
        <v>3122</v>
      </c>
      <c r="D946" s="30" t="s">
        <v>3511</v>
      </c>
      <c r="E946" s="30" t="s">
        <v>98</v>
      </c>
      <c r="F946" s="49"/>
      <c r="G946" s="49">
        <v>3</v>
      </c>
      <c r="H946" s="49">
        <v>3</v>
      </c>
    </row>
    <row r="947" spans="1:8">
      <c r="A947" s="30" t="s">
        <v>4073</v>
      </c>
      <c r="B947" s="29" t="s">
        <v>2147</v>
      </c>
      <c r="C947" s="30" t="s">
        <v>3122</v>
      </c>
      <c r="D947" s="30" t="s">
        <v>3511</v>
      </c>
      <c r="E947" s="30" t="s">
        <v>98</v>
      </c>
      <c r="F947" s="49"/>
      <c r="G947" s="49">
        <v>4</v>
      </c>
      <c r="H947" s="49">
        <v>4</v>
      </c>
    </row>
    <row r="948" spans="1:8">
      <c r="A948" s="30" t="s">
        <v>4074</v>
      </c>
      <c r="B948" s="29" t="s">
        <v>2149</v>
      </c>
      <c r="C948" s="30" t="s">
        <v>3133</v>
      </c>
      <c r="D948" s="30" t="s">
        <v>3511</v>
      </c>
      <c r="E948" s="30" t="s">
        <v>98</v>
      </c>
      <c r="F948" s="49">
        <v>5</v>
      </c>
      <c r="G948" s="49">
        <v>0</v>
      </c>
      <c r="H948" s="49">
        <v>5</v>
      </c>
    </row>
    <row r="949" spans="1:8">
      <c r="A949" s="30" t="s">
        <v>4075</v>
      </c>
      <c r="B949" s="29" t="s">
        <v>2153</v>
      </c>
      <c r="C949" s="30" t="s">
        <v>3133</v>
      </c>
      <c r="D949" s="30" t="s">
        <v>3126</v>
      </c>
      <c r="E949" s="30" t="s">
        <v>98</v>
      </c>
      <c r="F949" s="49">
        <v>1</v>
      </c>
      <c r="G949" s="49">
        <v>40</v>
      </c>
      <c r="H949" s="49">
        <v>41</v>
      </c>
    </row>
    <row r="950" spans="1:8">
      <c r="A950" s="30" t="s">
        <v>4076</v>
      </c>
      <c r="B950" s="29" t="s">
        <v>2159</v>
      </c>
      <c r="C950" s="30" t="s">
        <v>3145</v>
      </c>
      <c r="D950" s="30" t="s">
        <v>3123</v>
      </c>
      <c r="E950" s="30" t="s">
        <v>98</v>
      </c>
      <c r="F950" s="49"/>
      <c r="G950" s="49">
        <v>9</v>
      </c>
      <c r="H950" s="49">
        <v>9</v>
      </c>
    </row>
    <row r="951" spans="1:8">
      <c r="A951" s="30" t="s">
        <v>4077</v>
      </c>
      <c r="B951" s="29" t="s">
        <v>2163</v>
      </c>
      <c r="C951" s="30" t="s">
        <v>3863</v>
      </c>
      <c r="D951" s="30" t="s">
        <v>3511</v>
      </c>
      <c r="E951" s="30" t="s">
        <v>98</v>
      </c>
      <c r="F951" s="49"/>
      <c r="G951" s="49">
        <v>250</v>
      </c>
      <c r="H951" s="49">
        <v>250</v>
      </c>
    </row>
    <row r="952" spans="1:8">
      <c r="A952" s="30" t="s">
        <v>4078</v>
      </c>
      <c r="B952" s="29" t="s">
        <v>2165</v>
      </c>
      <c r="C952" s="30" t="s">
        <v>3863</v>
      </c>
      <c r="D952" s="30" t="s">
        <v>3511</v>
      </c>
      <c r="E952" s="30" t="s">
        <v>98</v>
      </c>
      <c r="F952" s="49"/>
      <c r="G952" s="49">
        <v>60</v>
      </c>
      <c r="H952" s="49">
        <v>60</v>
      </c>
    </row>
    <row r="953" spans="1:8">
      <c r="A953" s="30" t="s">
        <v>4079</v>
      </c>
      <c r="B953" s="29" t="s">
        <v>2169</v>
      </c>
      <c r="C953" s="30" t="s">
        <v>3122</v>
      </c>
      <c r="D953" s="30" t="s">
        <v>3511</v>
      </c>
      <c r="E953" s="30" t="s">
        <v>98</v>
      </c>
      <c r="F953" s="49"/>
      <c r="G953" s="49">
        <v>38</v>
      </c>
      <c r="H953" s="49">
        <v>38</v>
      </c>
    </row>
    <row r="954" spans="1:8">
      <c r="A954" s="30" t="s">
        <v>4080</v>
      </c>
      <c r="B954" s="29" t="s">
        <v>2171</v>
      </c>
      <c r="C954" s="30" t="s">
        <v>3145</v>
      </c>
      <c r="D954" s="30" t="s">
        <v>3511</v>
      </c>
      <c r="E954" s="30" t="s">
        <v>98</v>
      </c>
      <c r="F954" s="49"/>
      <c r="G954" s="49">
        <v>4</v>
      </c>
      <c r="H954" s="49">
        <v>4</v>
      </c>
    </row>
    <row r="955" spans="1:8">
      <c r="A955" s="46" t="s">
        <v>4081</v>
      </c>
      <c r="B955" s="29" t="s">
        <v>2175</v>
      </c>
      <c r="C955" s="30" t="s">
        <v>3125</v>
      </c>
      <c r="D955" s="30" t="s">
        <v>3123</v>
      </c>
      <c r="E955" s="30" t="s">
        <v>112</v>
      </c>
      <c r="F955" s="49">
        <v>9</v>
      </c>
      <c r="G955" s="49">
        <v>0</v>
      </c>
      <c r="H955" s="49">
        <v>9</v>
      </c>
    </row>
    <row r="956" spans="1:8">
      <c r="A956" s="30" t="s">
        <v>4082</v>
      </c>
      <c r="B956" s="29" t="s">
        <v>2175</v>
      </c>
      <c r="C956" s="30" t="s">
        <v>3125</v>
      </c>
      <c r="D956" s="30" t="s">
        <v>3525</v>
      </c>
      <c r="E956" s="30" t="s">
        <v>112</v>
      </c>
      <c r="F956" s="49">
        <v>8</v>
      </c>
      <c r="G956" s="49">
        <v>0</v>
      </c>
      <c r="H956" s="49">
        <v>8</v>
      </c>
    </row>
    <row r="957" spans="1:8">
      <c r="A957" s="30" t="s">
        <v>4083</v>
      </c>
      <c r="B957" s="29" t="s">
        <v>2175</v>
      </c>
      <c r="C957" s="30" t="s">
        <v>3143</v>
      </c>
      <c r="D957" s="30" t="s">
        <v>3123</v>
      </c>
      <c r="E957" s="30" t="s">
        <v>112</v>
      </c>
      <c r="F957" s="49">
        <v>57</v>
      </c>
      <c r="G957" s="49">
        <v>0</v>
      </c>
      <c r="H957" s="49">
        <v>57</v>
      </c>
    </row>
    <row r="958" spans="1:8">
      <c r="A958" s="30" t="s">
        <v>4084</v>
      </c>
      <c r="B958" s="29" t="s">
        <v>2175</v>
      </c>
      <c r="C958" s="30" t="s">
        <v>3143</v>
      </c>
      <c r="D958" s="30" t="s">
        <v>3525</v>
      </c>
      <c r="E958" s="30" t="s">
        <v>112</v>
      </c>
      <c r="F958" s="49">
        <v>55</v>
      </c>
      <c r="G958" s="49">
        <v>0</v>
      </c>
      <c r="H958" s="49">
        <v>55</v>
      </c>
    </row>
    <row r="959" spans="1:8">
      <c r="A959" s="30" t="s">
        <v>4085</v>
      </c>
      <c r="B959" s="29" t="s">
        <v>2181</v>
      </c>
      <c r="C959" s="30" t="s">
        <v>3125</v>
      </c>
      <c r="D959" s="30" t="s">
        <v>3511</v>
      </c>
      <c r="E959" s="30" t="s">
        <v>112</v>
      </c>
      <c r="F959" s="49">
        <v>14</v>
      </c>
      <c r="G959" s="49">
        <v>0</v>
      </c>
      <c r="H959" s="49">
        <v>14</v>
      </c>
    </row>
    <row r="960" spans="1:8">
      <c r="A960" s="30" t="s">
        <v>4086</v>
      </c>
      <c r="B960" s="29" t="s">
        <v>2185</v>
      </c>
      <c r="C960" s="30" t="s">
        <v>3145</v>
      </c>
      <c r="D960" s="30" t="s">
        <v>3511</v>
      </c>
      <c r="E960" s="30" t="s">
        <v>679</v>
      </c>
      <c r="F960" s="49">
        <v>19</v>
      </c>
      <c r="G960" s="49">
        <v>0</v>
      </c>
      <c r="H960" s="49">
        <v>19</v>
      </c>
    </row>
    <row r="961" spans="1:8">
      <c r="A961" s="30" t="s">
        <v>4087</v>
      </c>
      <c r="B961" s="29" t="s">
        <v>2188</v>
      </c>
      <c r="C961" s="30" t="s">
        <v>3143</v>
      </c>
      <c r="D961" s="30" t="s">
        <v>3126</v>
      </c>
      <c r="E961" s="30" t="s">
        <v>98</v>
      </c>
      <c r="F961" s="49"/>
      <c r="G961" s="49">
        <v>7</v>
      </c>
      <c r="H961" s="49">
        <v>7</v>
      </c>
    </row>
    <row r="962" spans="1:8">
      <c r="A962" s="30" t="s">
        <v>4088</v>
      </c>
      <c r="B962" s="29" t="s">
        <v>2191</v>
      </c>
      <c r="C962" s="30" t="s">
        <v>3145</v>
      </c>
      <c r="D962" s="30" t="s">
        <v>3511</v>
      </c>
      <c r="E962" s="30" t="s">
        <v>98</v>
      </c>
      <c r="F962" s="49"/>
      <c r="G962" s="49">
        <v>25</v>
      </c>
      <c r="H962" s="49">
        <v>25</v>
      </c>
    </row>
    <row r="963" spans="1:8">
      <c r="A963" s="30" t="s">
        <v>4089</v>
      </c>
      <c r="B963" s="29" t="s">
        <v>2194</v>
      </c>
      <c r="C963" s="30" t="s">
        <v>3145</v>
      </c>
      <c r="D963" s="30" t="s">
        <v>3511</v>
      </c>
      <c r="E963" s="30" t="s">
        <v>98</v>
      </c>
      <c r="F963" s="49"/>
      <c r="G963" s="49">
        <v>28</v>
      </c>
      <c r="H963" s="49">
        <v>28</v>
      </c>
    </row>
    <row r="964" spans="1:8">
      <c r="A964" s="30" t="s">
        <v>4090</v>
      </c>
      <c r="B964" s="29" t="s">
        <v>2197</v>
      </c>
      <c r="C964" s="30" t="s">
        <v>3145</v>
      </c>
      <c r="D964" s="30" t="s">
        <v>3511</v>
      </c>
      <c r="E964" s="30" t="s">
        <v>98</v>
      </c>
      <c r="F964" s="49"/>
      <c r="G964" s="49">
        <v>12</v>
      </c>
      <c r="H964" s="49">
        <v>12</v>
      </c>
    </row>
    <row r="965" spans="1:8">
      <c r="A965" s="30" t="s">
        <v>4091</v>
      </c>
      <c r="B965" s="29" t="s">
        <v>2200</v>
      </c>
      <c r="C965" s="30" t="s">
        <v>3145</v>
      </c>
      <c r="D965" s="30" t="s">
        <v>3123</v>
      </c>
      <c r="E965" s="30" t="s">
        <v>98</v>
      </c>
      <c r="F965" s="49">
        <v>5</v>
      </c>
      <c r="G965" s="49">
        <v>0</v>
      </c>
      <c r="H965" s="49">
        <v>5</v>
      </c>
    </row>
    <row r="966" spans="1:8">
      <c r="A966" s="30" t="s">
        <v>4092</v>
      </c>
      <c r="B966" s="29" t="s">
        <v>2200</v>
      </c>
      <c r="C966" s="30" t="s">
        <v>3145</v>
      </c>
      <c r="D966" s="30" t="s">
        <v>3525</v>
      </c>
      <c r="E966" s="30" t="s">
        <v>98</v>
      </c>
      <c r="F966" s="49">
        <v>3</v>
      </c>
      <c r="G966" s="49">
        <v>0</v>
      </c>
      <c r="H966" s="49">
        <v>3</v>
      </c>
    </row>
    <row r="967" spans="1:8">
      <c r="A967" s="46" t="s">
        <v>4093</v>
      </c>
      <c r="B967" s="29" t="s">
        <v>2200</v>
      </c>
      <c r="C967" s="30" t="s">
        <v>3133</v>
      </c>
      <c r="D967" s="30" t="s">
        <v>3123</v>
      </c>
      <c r="E967" s="30" t="s">
        <v>98</v>
      </c>
      <c r="F967" s="49">
        <v>11</v>
      </c>
      <c r="G967" s="49">
        <v>0</v>
      </c>
      <c r="H967" s="49">
        <v>11</v>
      </c>
    </row>
    <row r="968" spans="1:8">
      <c r="A968" s="30" t="s">
        <v>4094</v>
      </c>
      <c r="B968" s="29" t="s">
        <v>2200</v>
      </c>
      <c r="C968" s="30" t="s">
        <v>3133</v>
      </c>
      <c r="D968" s="30" t="s">
        <v>3525</v>
      </c>
      <c r="E968" s="30" t="s">
        <v>98</v>
      </c>
      <c r="F968" s="49">
        <v>7</v>
      </c>
      <c r="G968" s="49">
        <v>0</v>
      </c>
      <c r="H968" s="49">
        <v>7</v>
      </c>
    </row>
    <row r="969" spans="1:8">
      <c r="A969" s="30" t="s">
        <v>4095</v>
      </c>
      <c r="B969" s="29" t="s">
        <v>2207</v>
      </c>
      <c r="C969" s="30" t="s">
        <v>3145</v>
      </c>
      <c r="D969" s="30" t="s">
        <v>3123</v>
      </c>
      <c r="E969" s="30" t="s">
        <v>98</v>
      </c>
      <c r="F969" s="49">
        <v>2</v>
      </c>
      <c r="G969" s="49">
        <v>0</v>
      </c>
      <c r="H969" s="49">
        <v>2</v>
      </c>
    </row>
    <row r="970" spans="1:8">
      <c r="A970" s="30" t="s">
        <v>4096</v>
      </c>
      <c r="B970" s="29" t="s">
        <v>2207</v>
      </c>
      <c r="C970" s="30" t="s">
        <v>3133</v>
      </c>
      <c r="D970" s="30" t="s">
        <v>3525</v>
      </c>
      <c r="E970" s="30" t="s">
        <v>98</v>
      </c>
      <c r="F970" s="49">
        <v>4</v>
      </c>
      <c r="G970" s="49">
        <v>0</v>
      </c>
      <c r="H970" s="49">
        <v>4</v>
      </c>
    </row>
    <row r="971" spans="1:8">
      <c r="A971" s="30" t="s">
        <v>4097</v>
      </c>
      <c r="B971" s="29" t="s">
        <v>2207</v>
      </c>
      <c r="C971" s="30" t="s">
        <v>3133</v>
      </c>
      <c r="D971" s="30" t="s">
        <v>3123</v>
      </c>
      <c r="E971" s="30" t="s">
        <v>98</v>
      </c>
      <c r="F971" s="49">
        <v>4</v>
      </c>
      <c r="G971" s="49">
        <v>0</v>
      </c>
      <c r="H971" s="49">
        <v>4</v>
      </c>
    </row>
    <row r="972" spans="1:8">
      <c r="A972" s="30" t="s">
        <v>4098</v>
      </c>
      <c r="B972" s="29" t="s">
        <v>2210</v>
      </c>
      <c r="C972" s="30" t="s">
        <v>3145</v>
      </c>
      <c r="D972" s="30" t="s">
        <v>3123</v>
      </c>
      <c r="E972" s="30" t="s">
        <v>98</v>
      </c>
      <c r="F972" s="49">
        <v>2</v>
      </c>
      <c r="G972" s="49">
        <v>0</v>
      </c>
      <c r="H972" s="49">
        <v>2</v>
      </c>
    </row>
    <row r="973" spans="1:8">
      <c r="A973" s="30" t="s">
        <v>4099</v>
      </c>
      <c r="B973" s="29" t="s">
        <v>2210</v>
      </c>
      <c r="C973" s="30" t="s">
        <v>3133</v>
      </c>
      <c r="D973" s="30" t="s">
        <v>3123</v>
      </c>
      <c r="E973" s="30" t="s">
        <v>98</v>
      </c>
      <c r="F973" s="49">
        <v>5</v>
      </c>
      <c r="G973" s="49">
        <v>0</v>
      </c>
      <c r="H973" s="49">
        <v>5</v>
      </c>
    </row>
    <row r="974" spans="1:8">
      <c r="A974" s="30" t="s">
        <v>4100</v>
      </c>
      <c r="B974" s="29" t="s">
        <v>2210</v>
      </c>
      <c r="C974" s="30" t="s">
        <v>3133</v>
      </c>
      <c r="D974" s="30" t="s">
        <v>3525</v>
      </c>
      <c r="E974" s="30" t="s">
        <v>98</v>
      </c>
      <c r="F974" s="49">
        <v>11</v>
      </c>
      <c r="G974" s="49">
        <v>0</v>
      </c>
      <c r="H974" s="49">
        <v>11</v>
      </c>
    </row>
    <row r="975" spans="1:8">
      <c r="A975" s="30" t="s">
        <v>4101</v>
      </c>
      <c r="B975" s="29" t="s">
        <v>2213</v>
      </c>
      <c r="C975" s="30" t="s">
        <v>3145</v>
      </c>
      <c r="D975" s="30" t="s">
        <v>3123</v>
      </c>
      <c r="E975" s="30" t="s">
        <v>98</v>
      </c>
      <c r="F975" s="49">
        <v>2</v>
      </c>
      <c r="G975" s="49">
        <v>0</v>
      </c>
      <c r="H975" s="49">
        <v>2</v>
      </c>
    </row>
    <row r="976" spans="1:8">
      <c r="A976" s="30" t="s">
        <v>4102</v>
      </c>
      <c r="B976" s="29" t="s">
        <v>2213</v>
      </c>
      <c r="C976" s="30" t="s">
        <v>3145</v>
      </c>
      <c r="D976" s="30" t="s">
        <v>3525</v>
      </c>
      <c r="E976" s="30" t="s">
        <v>98</v>
      </c>
      <c r="F976" s="49">
        <v>2</v>
      </c>
      <c r="G976" s="49">
        <v>0</v>
      </c>
      <c r="H976" s="49">
        <v>2</v>
      </c>
    </row>
    <row r="977" spans="1:8">
      <c r="A977" s="30" t="s">
        <v>4103</v>
      </c>
      <c r="B977" s="29" t="s">
        <v>2213</v>
      </c>
      <c r="C977" s="30" t="s">
        <v>3133</v>
      </c>
      <c r="D977" s="30" t="s">
        <v>3123</v>
      </c>
      <c r="E977" s="30" t="s">
        <v>98</v>
      </c>
      <c r="F977" s="49">
        <v>11</v>
      </c>
      <c r="G977" s="49">
        <v>0</v>
      </c>
      <c r="H977" s="49">
        <v>11</v>
      </c>
    </row>
    <row r="978" spans="1:8">
      <c r="A978" s="30" t="s">
        <v>4104</v>
      </c>
      <c r="B978" s="29" t="s">
        <v>2213</v>
      </c>
      <c r="C978" s="30" t="s">
        <v>3133</v>
      </c>
      <c r="D978" s="30" t="s">
        <v>3525</v>
      </c>
      <c r="E978" s="30" t="s">
        <v>98</v>
      </c>
      <c r="F978" s="49">
        <v>16</v>
      </c>
      <c r="G978" s="49">
        <v>0</v>
      </c>
      <c r="H978" s="49">
        <v>16</v>
      </c>
    </row>
    <row r="979" spans="1:8">
      <c r="A979" s="30" t="s">
        <v>4105</v>
      </c>
      <c r="B979" s="29" t="s">
        <v>2216</v>
      </c>
      <c r="C979" s="30" t="s">
        <v>3143</v>
      </c>
      <c r="D979" s="30" t="s">
        <v>3123</v>
      </c>
      <c r="E979" s="30" t="s">
        <v>112</v>
      </c>
      <c r="F979" s="49">
        <v>49</v>
      </c>
      <c r="G979" s="49">
        <v>0</v>
      </c>
      <c r="H979" s="49">
        <v>49</v>
      </c>
    </row>
    <row r="980" spans="1:8">
      <c r="A980" s="30" t="s">
        <v>4106</v>
      </c>
      <c r="B980" s="29" t="s">
        <v>2216</v>
      </c>
      <c r="C980" s="30" t="s">
        <v>3143</v>
      </c>
      <c r="D980" s="30" t="s">
        <v>3525</v>
      </c>
      <c r="E980" s="30" t="s">
        <v>112</v>
      </c>
      <c r="F980" s="49">
        <v>47</v>
      </c>
      <c r="G980" s="49">
        <v>0</v>
      </c>
      <c r="H980" s="49">
        <v>47</v>
      </c>
    </row>
    <row r="981" spans="1:8">
      <c r="A981" s="30" t="s">
        <v>4107</v>
      </c>
      <c r="B981" s="29" t="s">
        <v>2216</v>
      </c>
      <c r="C981" s="30" t="s">
        <v>3133</v>
      </c>
      <c r="D981" s="30" t="s">
        <v>3123</v>
      </c>
      <c r="E981" s="30" t="s">
        <v>98</v>
      </c>
      <c r="F981" s="49">
        <v>8</v>
      </c>
      <c r="G981" s="49">
        <v>0</v>
      </c>
      <c r="H981" s="49">
        <v>8</v>
      </c>
    </row>
    <row r="982" spans="1:8">
      <c r="A982" s="30" t="s">
        <v>4108</v>
      </c>
      <c r="B982" s="29" t="s">
        <v>2216</v>
      </c>
      <c r="C982" s="30" t="s">
        <v>3133</v>
      </c>
      <c r="D982" s="30" t="s">
        <v>3525</v>
      </c>
      <c r="E982" s="30" t="s">
        <v>98</v>
      </c>
      <c r="F982" s="49">
        <v>1</v>
      </c>
      <c r="G982" s="49">
        <v>0</v>
      </c>
      <c r="H982" s="49">
        <v>1</v>
      </c>
    </row>
    <row r="983" spans="1:8">
      <c r="A983" s="30" t="s">
        <v>4109</v>
      </c>
      <c r="B983" s="29" t="s">
        <v>2222</v>
      </c>
      <c r="C983" s="30" t="s">
        <v>3145</v>
      </c>
      <c r="D983" s="30" t="s">
        <v>3511</v>
      </c>
      <c r="E983" s="30" t="s">
        <v>98</v>
      </c>
      <c r="F983" s="49"/>
      <c r="G983" s="49">
        <v>10</v>
      </c>
      <c r="H983" s="49">
        <v>10</v>
      </c>
    </row>
    <row r="984" spans="1:8">
      <c r="A984" s="30" t="s">
        <v>4110</v>
      </c>
      <c r="B984" s="29" t="s">
        <v>2225</v>
      </c>
      <c r="C984" s="30" t="s">
        <v>3145</v>
      </c>
      <c r="D984" s="30" t="s">
        <v>3511</v>
      </c>
      <c r="E984" s="30" t="s">
        <v>98</v>
      </c>
      <c r="F984" s="49"/>
      <c r="G984" s="49">
        <v>17</v>
      </c>
      <c r="H984" s="49">
        <v>17</v>
      </c>
    </row>
    <row r="985" spans="1:8">
      <c r="A985" s="30" t="s">
        <v>4111</v>
      </c>
      <c r="B985" s="29" t="s">
        <v>2228</v>
      </c>
      <c r="C985" s="30" t="s">
        <v>3133</v>
      </c>
      <c r="D985" s="30" t="s">
        <v>3126</v>
      </c>
      <c r="E985" s="30" t="s">
        <v>98</v>
      </c>
      <c r="F985" s="49"/>
      <c r="G985" s="49">
        <v>26</v>
      </c>
      <c r="H985" s="49">
        <v>26</v>
      </c>
    </row>
    <row r="986" spans="1:8">
      <c r="A986" s="30" t="s">
        <v>4112</v>
      </c>
      <c r="B986" s="29" t="s">
        <v>2231</v>
      </c>
      <c r="C986" s="30" t="s">
        <v>3122</v>
      </c>
      <c r="D986" s="30" t="s">
        <v>3511</v>
      </c>
      <c r="E986" s="30" t="s">
        <v>98</v>
      </c>
      <c r="F986" s="49">
        <v>28</v>
      </c>
      <c r="G986" s="49">
        <v>0</v>
      </c>
      <c r="H986" s="49">
        <v>28</v>
      </c>
    </row>
    <row r="987" spans="1:8">
      <c r="A987" s="30" t="s">
        <v>4113</v>
      </c>
      <c r="B987" s="29" t="s">
        <v>2233</v>
      </c>
      <c r="C987" s="30" t="s">
        <v>3133</v>
      </c>
      <c r="D987" s="30" t="s">
        <v>3511</v>
      </c>
      <c r="E987" s="30" t="s">
        <v>98</v>
      </c>
      <c r="F987" s="49"/>
      <c r="G987" s="49">
        <v>10</v>
      </c>
      <c r="H987" s="49">
        <v>10</v>
      </c>
    </row>
    <row r="988" spans="1:8">
      <c r="A988" s="30" t="s">
        <v>4114</v>
      </c>
      <c r="B988" s="29" t="s">
        <v>2237</v>
      </c>
      <c r="C988" s="30" t="s">
        <v>3125</v>
      </c>
      <c r="D988" s="30" t="s">
        <v>3123</v>
      </c>
      <c r="E988" s="30" t="s">
        <v>112</v>
      </c>
      <c r="F988" s="49">
        <v>8</v>
      </c>
      <c r="G988" s="49">
        <v>0</v>
      </c>
      <c r="H988" s="49">
        <v>8</v>
      </c>
    </row>
    <row r="989" spans="1:8">
      <c r="A989" s="30" t="s">
        <v>4115</v>
      </c>
      <c r="B989" s="29" t="s">
        <v>2237</v>
      </c>
      <c r="C989" s="30" t="s">
        <v>3125</v>
      </c>
      <c r="D989" s="30" t="s">
        <v>3525</v>
      </c>
      <c r="E989" s="30" t="s">
        <v>112</v>
      </c>
      <c r="F989" s="49">
        <v>8</v>
      </c>
      <c r="G989" s="49">
        <v>0</v>
      </c>
      <c r="H989" s="49">
        <v>8</v>
      </c>
    </row>
    <row r="990" spans="1:8">
      <c r="A990" s="30" t="s">
        <v>4116</v>
      </c>
      <c r="B990" s="29" t="s">
        <v>2237</v>
      </c>
      <c r="C990" s="30" t="s">
        <v>3143</v>
      </c>
      <c r="D990" s="30" t="s">
        <v>3123</v>
      </c>
      <c r="E990" s="30" t="s">
        <v>112</v>
      </c>
      <c r="F990" s="49">
        <v>8</v>
      </c>
      <c r="G990" s="49">
        <v>0</v>
      </c>
      <c r="H990" s="49">
        <v>8</v>
      </c>
    </row>
    <row r="991" spans="1:8">
      <c r="A991" s="30" t="s">
        <v>4117</v>
      </c>
      <c r="B991" s="29" t="s">
        <v>2237</v>
      </c>
      <c r="C991" s="30" t="s">
        <v>3143</v>
      </c>
      <c r="D991" s="30" t="s">
        <v>3525</v>
      </c>
      <c r="E991" s="30" t="s">
        <v>112</v>
      </c>
      <c r="F991" s="49">
        <v>10</v>
      </c>
      <c r="G991" s="49">
        <v>0</v>
      </c>
      <c r="H991" s="49">
        <v>10</v>
      </c>
    </row>
    <row r="992" spans="1:8">
      <c r="A992" s="30" t="s">
        <v>4118</v>
      </c>
      <c r="B992" s="29" t="s">
        <v>2237</v>
      </c>
      <c r="C992" s="30" t="s">
        <v>3145</v>
      </c>
      <c r="D992" s="30" t="s">
        <v>3123</v>
      </c>
      <c r="E992" s="30" t="s">
        <v>98</v>
      </c>
      <c r="F992" s="49">
        <v>2</v>
      </c>
      <c r="G992" s="49">
        <v>0</v>
      </c>
      <c r="H992" s="49">
        <v>2</v>
      </c>
    </row>
    <row r="993" spans="1:8">
      <c r="A993" s="30" t="s">
        <v>4119</v>
      </c>
      <c r="B993" s="29" t="s">
        <v>2237</v>
      </c>
      <c r="C993" s="30" t="s">
        <v>3145</v>
      </c>
      <c r="D993" s="30" t="s">
        <v>3525</v>
      </c>
      <c r="E993" s="30" t="s">
        <v>98</v>
      </c>
      <c r="F993" s="49">
        <v>2</v>
      </c>
      <c r="G993" s="49">
        <v>0</v>
      </c>
      <c r="H993" s="49">
        <v>2</v>
      </c>
    </row>
    <row r="994" spans="1:8">
      <c r="A994" s="30" t="s">
        <v>4120</v>
      </c>
      <c r="B994" s="29" t="s">
        <v>2237</v>
      </c>
      <c r="C994" s="30" t="s">
        <v>3133</v>
      </c>
      <c r="D994" s="30" t="s">
        <v>3123</v>
      </c>
      <c r="E994" s="30" t="s">
        <v>98</v>
      </c>
      <c r="F994" s="49">
        <v>6</v>
      </c>
      <c r="G994" s="49">
        <v>0</v>
      </c>
      <c r="H994" s="49">
        <v>6</v>
      </c>
    </row>
    <row r="995" spans="1:8">
      <c r="A995" s="30" t="s">
        <v>4121</v>
      </c>
      <c r="B995" s="29" t="s">
        <v>2237</v>
      </c>
      <c r="C995" s="30" t="s">
        <v>3133</v>
      </c>
      <c r="D995" s="30" t="s">
        <v>3525</v>
      </c>
      <c r="E995" s="30" t="s">
        <v>98</v>
      </c>
      <c r="F995" s="49">
        <v>6</v>
      </c>
      <c r="G995" s="49">
        <v>0</v>
      </c>
      <c r="H995" s="49">
        <v>6</v>
      </c>
    </row>
    <row r="996" spans="1:8">
      <c r="A996" s="30" t="s">
        <v>4122</v>
      </c>
      <c r="B996" s="29" t="s">
        <v>2237</v>
      </c>
      <c r="C996" s="30" t="s">
        <v>3122</v>
      </c>
      <c r="D996" s="30" t="s">
        <v>3123</v>
      </c>
      <c r="E996" s="30" t="s">
        <v>98</v>
      </c>
      <c r="F996" s="49">
        <v>10</v>
      </c>
      <c r="G996" s="49">
        <v>0</v>
      </c>
      <c r="H996" s="49">
        <v>10</v>
      </c>
    </row>
    <row r="997" spans="1:8">
      <c r="A997" s="30" t="s">
        <v>4123</v>
      </c>
      <c r="B997" s="29" t="s">
        <v>2237</v>
      </c>
      <c r="C997" s="30" t="s">
        <v>3122</v>
      </c>
      <c r="D997" s="30" t="s">
        <v>3525</v>
      </c>
      <c r="E997" s="30" t="s">
        <v>98</v>
      </c>
      <c r="F997" s="49">
        <v>10</v>
      </c>
      <c r="G997" s="49">
        <v>0</v>
      </c>
      <c r="H997" s="49">
        <v>10</v>
      </c>
    </row>
    <row r="998" spans="1:8">
      <c r="A998" s="30" t="s">
        <v>4124</v>
      </c>
      <c r="B998" s="29" t="s">
        <v>2242</v>
      </c>
      <c r="C998" s="30" t="s">
        <v>3863</v>
      </c>
      <c r="D998" s="30" t="s">
        <v>3511</v>
      </c>
      <c r="E998" s="30" t="s">
        <v>98</v>
      </c>
      <c r="F998" s="49"/>
      <c r="G998" s="49">
        <v>187</v>
      </c>
      <c r="H998" s="49">
        <v>187</v>
      </c>
    </row>
    <row r="999" spans="1:8">
      <c r="A999" s="30" t="s">
        <v>4125</v>
      </c>
      <c r="B999" s="29" t="s">
        <v>2246</v>
      </c>
      <c r="C999" s="30" t="s">
        <v>3133</v>
      </c>
      <c r="D999" s="30" t="s">
        <v>3511</v>
      </c>
      <c r="E999" s="30" t="s">
        <v>98</v>
      </c>
      <c r="F999" s="49"/>
      <c r="G999" s="49">
        <v>2</v>
      </c>
      <c r="H999" s="49">
        <v>2</v>
      </c>
    </row>
    <row r="1000" spans="1:8">
      <c r="A1000" s="30" t="s">
        <v>4126</v>
      </c>
      <c r="B1000" s="29" t="s">
        <v>2248</v>
      </c>
      <c r="C1000" s="30" t="s">
        <v>3863</v>
      </c>
      <c r="D1000" s="30" t="s">
        <v>3511</v>
      </c>
      <c r="E1000" s="30" t="s">
        <v>98</v>
      </c>
      <c r="F1000" s="49"/>
      <c r="G1000" s="49">
        <v>3</v>
      </c>
      <c r="H1000" s="49">
        <v>3</v>
      </c>
    </row>
    <row r="1001" spans="1:8">
      <c r="A1001" s="30" t="s">
        <v>4127</v>
      </c>
      <c r="B1001" s="29" t="s">
        <v>2250</v>
      </c>
      <c r="C1001" s="30" t="s">
        <v>3145</v>
      </c>
      <c r="D1001" s="30" t="s">
        <v>3511</v>
      </c>
      <c r="E1001" s="30" t="s">
        <v>98</v>
      </c>
      <c r="F1001" s="49"/>
      <c r="G1001" s="49">
        <v>11</v>
      </c>
      <c r="H1001" s="49">
        <v>11</v>
      </c>
    </row>
    <row r="1002" spans="1:8">
      <c r="A1002" s="30" t="s">
        <v>4128</v>
      </c>
      <c r="B1002" s="29" t="s">
        <v>2253</v>
      </c>
      <c r="C1002" s="30" t="s">
        <v>3863</v>
      </c>
      <c r="D1002" s="30" t="s">
        <v>3123</v>
      </c>
      <c r="E1002" s="30" t="s">
        <v>98</v>
      </c>
      <c r="F1002" s="49">
        <v>19</v>
      </c>
      <c r="G1002" s="49">
        <v>0</v>
      </c>
      <c r="H1002" s="49">
        <v>19</v>
      </c>
    </row>
    <row r="1003" spans="1:8">
      <c r="A1003" s="30" t="s">
        <v>4129</v>
      </c>
      <c r="B1003" s="29" t="s">
        <v>2253</v>
      </c>
      <c r="C1003" s="30" t="s">
        <v>3863</v>
      </c>
      <c r="D1003" s="30" t="s">
        <v>3525</v>
      </c>
      <c r="E1003" s="30" t="s">
        <v>98</v>
      </c>
      <c r="F1003" s="49">
        <v>2</v>
      </c>
      <c r="G1003" s="49">
        <v>0</v>
      </c>
      <c r="H1003" s="49">
        <v>2</v>
      </c>
    </row>
    <row r="1004" spans="1:8">
      <c r="A1004" s="30" t="s">
        <v>4130</v>
      </c>
      <c r="B1004" s="29" t="s">
        <v>2257</v>
      </c>
      <c r="C1004" s="30" t="s">
        <v>3145</v>
      </c>
      <c r="D1004" s="30" t="s">
        <v>3123</v>
      </c>
      <c r="E1004" s="30" t="s">
        <v>98</v>
      </c>
      <c r="F1004" s="49">
        <v>2</v>
      </c>
      <c r="G1004" s="49">
        <v>0</v>
      </c>
      <c r="H1004" s="49">
        <v>2</v>
      </c>
    </row>
    <row r="1005" spans="1:8">
      <c r="A1005" s="30" t="s">
        <v>4131</v>
      </c>
      <c r="B1005" s="29" t="s">
        <v>2257</v>
      </c>
      <c r="C1005" s="30" t="s">
        <v>3145</v>
      </c>
      <c r="D1005" s="30" t="s">
        <v>3525</v>
      </c>
      <c r="E1005" s="30" t="s">
        <v>98</v>
      </c>
      <c r="F1005" s="49">
        <v>1</v>
      </c>
      <c r="G1005" s="49">
        <v>0</v>
      </c>
      <c r="H1005" s="49">
        <v>1</v>
      </c>
    </row>
    <row r="1006" spans="1:8">
      <c r="A1006" s="30" t="s">
        <v>4132</v>
      </c>
      <c r="B1006" s="29" t="s">
        <v>2257</v>
      </c>
      <c r="C1006" s="30" t="s">
        <v>3133</v>
      </c>
      <c r="D1006" s="30" t="s">
        <v>3123</v>
      </c>
      <c r="E1006" s="30" t="s">
        <v>98</v>
      </c>
      <c r="F1006" s="49">
        <v>4</v>
      </c>
      <c r="G1006" s="49">
        <v>0</v>
      </c>
      <c r="H1006" s="49">
        <v>4</v>
      </c>
    </row>
    <row r="1007" spans="1:8">
      <c r="A1007" s="30" t="s">
        <v>4133</v>
      </c>
      <c r="B1007" s="29" t="s">
        <v>2257</v>
      </c>
      <c r="C1007" s="30" t="s">
        <v>3133</v>
      </c>
      <c r="D1007" s="30" t="s">
        <v>3525</v>
      </c>
      <c r="E1007" s="30" t="s">
        <v>98</v>
      </c>
      <c r="F1007" s="49">
        <v>7</v>
      </c>
      <c r="G1007" s="49">
        <v>0</v>
      </c>
      <c r="H1007" s="49">
        <v>7</v>
      </c>
    </row>
    <row r="1008" spans="1:8">
      <c r="A1008" s="30" t="s">
        <v>4134</v>
      </c>
      <c r="B1008" s="29" t="s">
        <v>2257</v>
      </c>
      <c r="C1008" s="30" t="s">
        <v>3122</v>
      </c>
      <c r="D1008" s="30" t="s">
        <v>3123</v>
      </c>
      <c r="E1008" s="30" t="s">
        <v>98</v>
      </c>
      <c r="F1008" s="49">
        <v>1</v>
      </c>
      <c r="G1008" s="49">
        <v>0</v>
      </c>
      <c r="H1008" s="49">
        <v>1</v>
      </c>
    </row>
    <row r="1009" spans="1:8">
      <c r="A1009" s="30" t="s">
        <v>4135</v>
      </c>
      <c r="B1009" s="29" t="s">
        <v>2263</v>
      </c>
      <c r="C1009" s="30" t="s">
        <v>3145</v>
      </c>
      <c r="D1009" s="30" t="s">
        <v>3123</v>
      </c>
      <c r="E1009" s="30" t="s">
        <v>98</v>
      </c>
      <c r="F1009" s="49">
        <v>3</v>
      </c>
      <c r="G1009" s="49">
        <v>0</v>
      </c>
      <c r="H1009" s="49">
        <v>3</v>
      </c>
    </row>
    <row r="1010" spans="1:8">
      <c r="A1010" s="30" t="s">
        <v>4136</v>
      </c>
      <c r="B1010" s="29" t="s">
        <v>2263</v>
      </c>
      <c r="C1010" s="30" t="s">
        <v>3145</v>
      </c>
      <c r="D1010" s="30" t="s">
        <v>3525</v>
      </c>
      <c r="E1010" s="30" t="s">
        <v>98</v>
      </c>
      <c r="F1010" s="49">
        <v>1</v>
      </c>
      <c r="G1010" s="49">
        <v>0</v>
      </c>
      <c r="H1010" s="49">
        <v>1</v>
      </c>
    </row>
    <row r="1011" spans="1:8">
      <c r="A1011" s="30" t="s">
        <v>4137</v>
      </c>
      <c r="B1011" s="29" t="s">
        <v>2263</v>
      </c>
      <c r="C1011" s="30" t="s">
        <v>3133</v>
      </c>
      <c r="D1011" s="30" t="s">
        <v>3123</v>
      </c>
      <c r="E1011" s="30" t="s">
        <v>98</v>
      </c>
      <c r="F1011" s="49">
        <v>10</v>
      </c>
      <c r="G1011" s="49">
        <v>0</v>
      </c>
      <c r="H1011" s="49">
        <v>10</v>
      </c>
    </row>
    <row r="1012" spans="1:8">
      <c r="A1012" s="30" t="s">
        <v>4138</v>
      </c>
      <c r="B1012" s="29" t="s">
        <v>2269</v>
      </c>
      <c r="C1012" s="30" t="s">
        <v>3125</v>
      </c>
      <c r="D1012" s="30" t="s">
        <v>3511</v>
      </c>
      <c r="E1012" s="30" t="s">
        <v>98</v>
      </c>
      <c r="F1012" s="49">
        <v>9</v>
      </c>
      <c r="G1012" s="49">
        <v>0</v>
      </c>
      <c r="H1012" s="49">
        <v>9</v>
      </c>
    </row>
    <row r="1013" spans="1:8">
      <c r="A1013" s="30" t="s">
        <v>4139</v>
      </c>
      <c r="B1013" s="29" t="s">
        <v>2271</v>
      </c>
      <c r="C1013" s="30" t="s">
        <v>3145</v>
      </c>
      <c r="D1013" s="30" t="s">
        <v>3123</v>
      </c>
      <c r="E1013" s="30" t="s">
        <v>98</v>
      </c>
      <c r="F1013" s="49">
        <v>7</v>
      </c>
      <c r="G1013" s="49">
        <v>0</v>
      </c>
      <c r="H1013" s="49">
        <v>7</v>
      </c>
    </row>
    <row r="1014" spans="1:8">
      <c r="A1014" s="30" t="s">
        <v>4140</v>
      </c>
      <c r="B1014" s="29" t="s">
        <v>2271</v>
      </c>
      <c r="C1014" s="30" t="s">
        <v>3145</v>
      </c>
      <c r="D1014" s="30" t="s">
        <v>3525</v>
      </c>
      <c r="E1014" s="30" t="s">
        <v>98</v>
      </c>
      <c r="F1014" s="49">
        <v>3</v>
      </c>
      <c r="G1014" s="49">
        <v>0</v>
      </c>
      <c r="H1014" s="49">
        <v>3</v>
      </c>
    </row>
    <row r="1015" spans="1:8">
      <c r="A1015" s="30" t="s">
        <v>4141</v>
      </c>
      <c r="B1015" s="29" t="s">
        <v>2271</v>
      </c>
      <c r="C1015" s="30" t="s">
        <v>3133</v>
      </c>
      <c r="D1015" s="30" t="s">
        <v>3123</v>
      </c>
      <c r="E1015" s="30" t="s">
        <v>98</v>
      </c>
      <c r="F1015" s="49">
        <v>2</v>
      </c>
      <c r="G1015" s="49">
        <v>0</v>
      </c>
      <c r="H1015" s="49">
        <v>2</v>
      </c>
    </row>
    <row r="1016" spans="1:8">
      <c r="A1016" s="30" t="s">
        <v>4142</v>
      </c>
      <c r="B1016" s="29" t="s">
        <v>2271</v>
      </c>
      <c r="C1016" s="30" t="s">
        <v>3133</v>
      </c>
      <c r="D1016" s="30" t="s">
        <v>3525</v>
      </c>
      <c r="E1016" s="30" t="s">
        <v>98</v>
      </c>
      <c r="F1016" s="49">
        <v>3</v>
      </c>
      <c r="G1016" s="49">
        <v>0</v>
      </c>
      <c r="H1016" s="49">
        <v>3</v>
      </c>
    </row>
    <row r="1017" spans="1:8">
      <c r="A1017" s="30" t="s">
        <v>4143</v>
      </c>
      <c r="B1017" s="29" t="s">
        <v>2277</v>
      </c>
      <c r="C1017" s="30" t="s">
        <v>3145</v>
      </c>
      <c r="D1017" s="30" t="s">
        <v>3123</v>
      </c>
      <c r="E1017" s="30" t="s">
        <v>98</v>
      </c>
      <c r="F1017" s="49">
        <v>1</v>
      </c>
      <c r="G1017" s="49">
        <v>0</v>
      </c>
      <c r="H1017" s="49">
        <v>1</v>
      </c>
    </row>
    <row r="1018" spans="1:8">
      <c r="A1018" s="30" t="s">
        <v>4144</v>
      </c>
      <c r="B1018" s="29" t="s">
        <v>2277</v>
      </c>
      <c r="C1018" s="30" t="s">
        <v>3145</v>
      </c>
      <c r="D1018" s="30" t="s">
        <v>3525</v>
      </c>
      <c r="E1018" s="30" t="s">
        <v>98</v>
      </c>
      <c r="F1018" s="49">
        <v>4</v>
      </c>
      <c r="G1018" s="49">
        <v>0</v>
      </c>
      <c r="H1018" s="49">
        <v>4</v>
      </c>
    </row>
    <row r="1019" spans="1:8">
      <c r="A1019" s="30" t="s">
        <v>4145</v>
      </c>
      <c r="B1019" s="29" t="s">
        <v>2277</v>
      </c>
      <c r="C1019" s="30" t="s">
        <v>3133</v>
      </c>
      <c r="D1019" s="30" t="s">
        <v>3123</v>
      </c>
      <c r="E1019" s="30" t="s">
        <v>98</v>
      </c>
      <c r="F1019" s="49">
        <v>11</v>
      </c>
      <c r="G1019" s="49">
        <v>0</v>
      </c>
      <c r="H1019" s="49">
        <v>11</v>
      </c>
    </row>
    <row r="1020" spans="1:8">
      <c r="A1020" s="46" t="s">
        <v>4146</v>
      </c>
      <c r="B1020" s="29" t="s">
        <v>2277</v>
      </c>
      <c r="C1020" s="30" t="s">
        <v>3133</v>
      </c>
      <c r="D1020" s="30" t="s">
        <v>3525</v>
      </c>
      <c r="E1020" s="30" t="s">
        <v>98</v>
      </c>
      <c r="F1020" s="49">
        <v>19</v>
      </c>
      <c r="G1020" s="49">
        <v>0</v>
      </c>
      <c r="H1020" s="49">
        <v>19</v>
      </c>
    </row>
    <row r="1021" spans="1:8">
      <c r="A1021" s="30" t="s">
        <v>4147</v>
      </c>
      <c r="B1021" s="29" t="s">
        <v>2277</v>
      </c>
      <c r="C1021" s="30" t="s">
        <v>3122</v>
      </c>
      <c r="D1021" s="30" t="s">
        <v>3525</v>
      </c>
      <c r="E1021" s="30" t="s">
        <v>98</v>
      </c>
      <c r="F1021" s="49">
        <v>2</v>
      </c>
      <c r="G1021" s="49">
        <v>0</v>
      </c>
      <c r="H1021" s="49">
        <v>2</v>
      </c>
    </row>
    <row r="1022" spans="1:8">
      <c r="A1022" s="30" t="s">
        <v>4148</v>
      </c>
      <c r="B1022" s="29" t="s">
        <v>2290</v>
      </c>
      <c r="C1022" s="30" t="s">
        <v>3145</v>
      </c>
      <c r="D1022" s="30" t="s">
        <v>3511</v>
      </c>
      <c r="E1022" s="30" t="s">
        <v>98</v>
      </c>
      <c r="F1022" s="49"/>
      <c r="G1022" s="49">
        <v>19</v>
      </c>
      <c r="H1022" s="49">
        <v>19</v>
      </c>
    </row>
    <row r="1023" spans="1:8">
      <c r="A1023" s="30" t="s">
        <v>4149</v>
      </c>
      <c r="B1023" s="29" t="s">
        <v>2293</v>
      </c>
      <c r="C1023" s="30" t="s">
        <v>3143</v>
      </c>
      <c r="D1023" s="30" t="s">
        <v>3123</v>
      </c>
      <c r="E1023" s="30" t="s">
        <v>112</v>
      </c>
      <c r="F1023" s="49">
        <v>2</v>
      </c>
      <c r="G1023" s="49">
        <v>0</v>
      </c>
      <c r="H1023" s="49">
        <v>2</v>
      </c>
    </row>
    <row r="1024" spans="1:8">
      <c r="A1024" s="30" t="s">
        <v>4150</v>
      </c>
      <c r="B1024" s="29" t="s">
        <v>2293</v>
      </c>
      <c r="C1024" s="30" t="s">
        <v>3143</v>
      </c>
      <c r="D1024" s="30" t="s">
        <v>3525</v>
      </c>
      <c r="E1024" s="30" t="s">
        <v>112</v>
      </c>
      <c r="F1024" s="49">
        <v>2</v>
      </c>
      <c r="G1024" s="49">
        <v>0</v>
      </c>
      <c r="H1024" s="49">
        <v>2</v>
      </c>
    </row>
    <row r="1025" spans="1:8">
      <c r="A1025" s="30" t="s">
        <v>4151</v>
      </c>
      <c r="B1025" s="29" t="s">
        <v>2293</v>
      </c>
      <c r="C1025" s="30" t="s">
        <v>3145</v>
      </c>
      <c r="D1025" s="30" t="s">
        <v>3525</v>
      </c>
      <c r="E1025" s="30" t="s">
        <v>112</v>
      </c>
      <c r="F1025" s="49">
        <v>1</v>
      </c>
      <c r="G1025" s="49">
        <v>0</v>
      </c>
      <c r="H1025" s="49">
        <v>1</v>
      </c>
    </row>
    <row r="1026" spans="1:8">
      <c r="A1026" s="30" t="s">
        <v>4152</v>
      </c>
      <c r="B1026" s="29" t="s">
        <v>2327</v>
      </c>
      <c r="C1026" s="30" t="s">
        <v>3143</v>
      </c>
      <c r="D1026" s="30" t="s">
        <v>3511</v>
      </c>
      <c r="E1026" s="30" t="s">
        <v>98</v>
      </c>
      <c r="F1026" s="49"/>
      <c r="G1026" s="49">
        <v>10</v>
      </c>
      <c r="H1026" s="49">
        <v>10</v>
      </c>
    </row>
    <row r="1027" spans="1:8">
      <c r="A1027" s="30" t="s">
        <v>4153</v>
      </c>
      <c r="B1027" s="29" t="s">
        <v>2330</v>
      </c>
      <c r="C1027" s="30" t="s">
        <v>3143</v>
      </c>
      <c r="D1027" s="30" t="s">
        <v>3511</v>
      </c>
      <c r="E1027" s="30" t="s">
        <v>98</v>
      </c>
      <c r="F1027" s="49"/>
      <c r="G1027" s="49">
        <v>86</v>
      </c>
      <c r="H1027" s="49">
        <v>86</v>
      </c>
    </row>
    <row r="1028" spans="1:8">
      <c r="A1028" s="30" t="s">
        <v>4154</v>
      </c>
      <c r="B1028" s="29" t="s">
        <v>2333</v>
      </c>
      <c r="C1028" s="30" t="s">
        <v>3133</v>
      </c>
      <c r="D1028" s="30" t="s">
        <v>3511</v>
      </c>
      <c r="E1028" s="30" t="s">
        <v>98</v>
      </c>
      <c r="F1028" s="49"/>
      <c r="G1028" s="49">
        <v>15</v>
      </c>
      <c r="H1028" s="49">
        <v>15</v>
      </c>
    </row>
    <row r="1029" spans="1:8">
      <c r="A1029" s="30" t="s">
        <v>4155</v>
      </c>
      <c r="B1029" s="29" t="s">
        <v>2336</v>
      </c>
      <c r="C1029" s="30" t="s">
        <v>3143</v>
      </c>
      <c r="D1029" s="30" t="s">
        <v>3511</v>
      </c>
      <c r="E1029" s="30" t="s">
        <v>98</v>
      </c>
      <c r="F1029" s="49"/>
      <c r="G1029" s="49">
        <v>10</v>
      </c>
      <c r="H1029" s="49">
        <v>10</v>
      </c>
    </row>
    <row r="1030" spans="1:8">
      <c r="A1030" s="30" t="s">
        <v>4156</v>
      </c>
      <c r="B1030" s="29" t="s">
        <v>2339</v>
      </c>
      <c r="C1030" s="30" t="s">
        <v>3145</v>
      </c>
      <c r="D1030" s="30" t="s">
        <v>3511</v>
      </c>
      <c r="E1030" s="30" t="s">
        <v>98</v>
      </c>
      <c r="F1030" s="49"/>
      <c r="G1030" s="49">
        <v>34</v>
      </c>
      <c r="H1030" s="49">
        <v>34</v>
      </c>
    </row>
    <row r="1031" spans="1:8">
      <c r="A1031" s="30" t="s">
        <v>4157</v>
      </c>
      <c r="B1031" s="29" t="s">
        <v>2342</v>
      </c>
      <c r="C1031" s="30" t="s">
        <v>3145</v>
      </c>
      <c r="D1031" s="30" t="s">
        <v>3511</v>
      </c>
      <c r="E1031" s="30" t="s">
        <v>98</v>
      </c>
      <c r="F1031" s="49"/>
      <c r="G1031" s="49">
        <v>15</v>
      </c>
      <c r="H1031" s="49">
        <v>15</v>
      </c>
    </row>
    <row r="1032" spans="1:8">
      <c r="A1032" s="30" t="s">
        <v>4158</v>
      </c>
      <c r="B1032" s="29" t="s">
        <v>2345</v>
      </c>
      <c r="C1032" s="30" t="s">
        <v>3145</v>
      </c>
      <c r="D1032" s="30" t="s">
        <v>3511</v>
      </c>
      <c r="E1032" s="30" t="s">
        <v>98</v>
      </c>
      <c r="F1032" s="49"/>
      <c r="G1032" s="49">
        <v>21</v>
      </c>
      <c r="H1032" s="49">
        <v>21</v>
      </c>
    </row>
    <row r="1033" spans="1:8">
      <c r="A1033" s="30" t="s">
        <v>4159</v>
      </c>
      <c r="B1033" s="29" t="s">
        <v>2347</v>
      </c>
      <c r="C1033" s="30" t="s">
        <v>3145</v>
      </c>
      <c r="D1033" s="30" t="s">
        <v>3511</v>
      </c>
      <c r="E1033" s="30" t="s">
        <v>98</v>
      </c>
      <c r="F1033" s="49"/>
      <c r="G1033" s="49">
        <v>21</v>
      </c>
      <c r="H1033" s="49">
        <v>21</v>
      </c>
    </row>
    <row r="1034" spans="1:8">
      <c r="A1034" s="30" t="s">
        <v>4160</v>
      </c>
      <c r="B1034" s="29" t="s">
        <v>2349</v>
      </c>
      <c r="C1034" s="30" t="s">
        <v>3143</v>
      </c>
      <c r="D1034" s="30" t="s">
        <v>3511</v>
      </c>
      <c r="E1034" s="30" t="s">
        <v>98</v>
      </c>
      <c r="F1034" s="49"/>
      <c r="G1034" s="49">
        <v>10</v>
      </c>
      <c r="H1034" s="49">
        <v>10</v>
      </c>
    </row>
    <row r="1035" spans="1:8">
      <c r="A1035" s="30" t="s">
        <v>4161</v>
      </c>
      <c r="B1035" s="29" t="s">
        <v>2351</v>
      </c>
      <c r="C1035" s="30" t="s">
        <v>3145</v>
      </c>
      <c r="D1035" s="30" t="s">
        <v>3511</v>
      </c>
      <c r="E1035" s="30" t="s">
        <v>98</v>
      </c>
      <c r="F1035" s="49"/>
      <c r="G1035" s="49">
        <v>27</v>
      </c>
      <c r="H1035" s="49">
        <v>27</v>
      </c>
    </row>
    <row r="1036" spans="1:8">
      <c r="A1036" s="30" t="s">
        <v>4162</v>
      </c>
      <c r="B1036" s="29" t="s">
        <v>2354</v>
      </c>
      <c r="C1036" s="30" t="s">
        <v>3125</v>
      </c>
      <c r="D1036" s="30" t="s">
        <v>3511</v>
      </c>
      <c r="E1036" s="30" t="s">
        <v>98</v>
      </c>
      <c r="F1036" s="49">
        <v>16</v>
      </c>
      <c r="G1036" s="49">
        <v>0</v>
      </c>
      <c r="H1036" s="49">
        <v>16</v>
      </c>
    </row>
    <row r="1037" spans="1:8">
      <c r="A1037" s="30" t="s">
        <v>4163</v>
      </c>
      <c r="B1037" s="29" t="s">
        <v>2354</v>
      </c>
      <c r="C1037" s="30" t="s">
        <v>3133</v>
      </c>
      <c r="D1037" s="30" t="s">
        <v>3511</v>
      </c>
      <c r="E1037" s="30" t="s">
        <v>98</v>
      </c>
      <c r="F1037" s="49">
        <v>10</v>
      </c>
      <c r="G1037" s="49">
        <v>0</v>
      </c>
      <c r="H1037" s="49">
        <v>10</v>
      </c>
    </row>
    <row r="1038" spans="1:8">
      <c r="A1038" s="30" t="s">
        <v>4164</v>
      </c>
      <c r="B1038" s="29" t="s">
        <v>2358</v>
      </c>
      <c r="C1038" s="30" t="s">
        <v>3863</v>
      </c>
      <c r="D1038" s="30" t="s">
        <v>3126</v>
      </c>
      <c r="E1038" s="30" t="s">
        <v>98</v>
      </c>
      <c r="F1038" s="49">
        <v>116</v>
      </c>
      <c r="G1038" s="49">
        <v>0</v>
      </c>
      <c r="H1038" s="49">
        <v>116</v>
      </c>
    </row>
    <row r="1039" spans="1:8">
      <c r="A1039" s="30" t="s">
        <v>4165</v>
      </c>
      <c r="B1039" s="29" t="s">
        <v>2366</v>
      </c>
      <c r="C1039" s="30" t="s">
        <v>3863</v>
      </c>
      <c r="D1039" s="30" t="s">
        <v>3126</v>
      </c>
      <c r="E1039" s="30" t="s">
        <v>98</v>
      </c>
      <c r="F1039" s="49">
        <v>16765</v>
      </c>
      <c r="G1039" s="49">
        <v>0</v>
      </c>
      <c r="H1039" s="49">
        <v>16765</v>
      </c>
    </row>
    <row r="1040" spans="1:8">
      <c r="A1040" s="30" t="s">
        <v>4166</v>
      </c>
      <c r="B1040" s="29" t="s">
        <v>2370</v>
      </c>
      <c r="C1040" s="30" t="s">
        <v>3863</v>
      </c>
      <c r="D1040" s="30" t="s">
        <v>3126</v>
      </c>
      <c r="E1040" s="30" t="s">
        <v>98</v>
      </c>
      <c r="F1040" s="49">
        <v>406</v>
      </c>
      <c r="G1040" s="49">
        <v>0</v>
      </c>
      <c r="H1040" s="49">
        <v>406</v>
      </c>
    </row>
    <row r="1041" spans="1:8">
      <c r="A1041" s="30" t="s">
        <v>4167</v>
      </c>
      <c r="B1041" s="29" t="s">
        <v>2379</v>
      </c>
      <c r="C1041" s="30" t="s">
        <v>3863</v>
      </c>
      <c r="D1041" s="30" t="s">
        <v>3511</v>
      </c>
      <c r="E1041" s="30" t="s">
        <v>98</v>
      </c>
      <c r="F1041" s="49"/>
      <c r="G1041" s="49">
        <v>77</v>
      </c>
      <c r="H1041" s="49">
        <v>77</v>
      </c>
    </row>
    <row r="1042" spans="1:8">
      <c r="A1042" s="30" t="s">
        <v>4168</v>
      </c>
      <c r="B1042" s="29" t="s">
        <v>2384</v>
      </c>
      <c r="C1042" s="30" t="s">
        <v>3863</v>
      </c>
      <c r="D1042" s="30" t="s">
        <v>3126</v>
      </c>
      <c r="E1042" s="30" t="s">
        <v>98</v>
      </c>
      <c r="F1042" s="49"/>
      <c r="G1042" s="49">
        <v>708</v>
      </c>
      <c r="H1042" s="49">
        <v>708</v>
      </c>
    </row>
    <row r="1043" spans="1:8">
      <c r="A1043" s="30" t="s">
        <v>4169</v>
      </c>
      <c r="B1043" s="29" t="s">
        <v>2389</v>
      </c>
      <c r="C1043" s="30" t="s">
        <v>3863</v>
      </c>
      <c r="D1043" s="30" t="s">
        <v>3126</v>
      </c>
      <c r="E1043" s="30" t="s">
        <v>98</v>
      </c>
      <c r="F1043" s="49">
        <v>336</v>
      </c>
      <c r="G1043" s="49">
        <v>0</v>
      </c>
      <c r="H1043" s="49">
        <v>336</v>
      </c>
    </row>
    <row r="1044" spans="1:8">
      <c r="A1044" s="30" t="s">
        <v>4170</v>
      </c>
      <c r="B1044" s="29" t="s">
        <v>2395</v>
      </c>
      <c r="C1044" s="30" t="s">
        <v>3863</v>
      </c>
      <c r="D1044" s="30" t="s">
        <v>3511</v>
      </c>
      <c r="E1044" s="30" t="s">
        <v>98</v>
      </c>
      <c r="F1044" s="49">
        <v>43</v>
      </c>
      <c r="G1044" s="49">
        <v>0</v>
      </c>
      <c r="H1044" s="49">
        <v>43</v>
      </c>
    </row>
    <row r="1045" spans="1:8">
      <c r="A1045" s="30" t="s">
        <v>4171</v>
      </c>
      <c r="B1045" s="29" t="s">
        <v>2398</v>
      </c>
      <c r="C1045" s="30" t="s">
        <v>3863</v>
      </c>
      <c r="D1045" s="30" t="s">
        <v>3126</v>
      </c>
      <c r="E1045" s="30" t="s">
        <v>98</v>
      </c>
      <c r="F1045" s="49">
        <v>36</v>
      </c>
      <c r="G1045" s="49">
        <v>0</v>
      </c>
      <c r="H1045" s="49">
        <v>36</v>
      </c>
    </row>
    <row r="1046" spans="1:8">
      <c r="A1046" s="30" t="s">
        <v>4172</v>
      </c>
      <c r="B1046" s="29" t="s">
        <v>2402</v>
      </c>
      <c r="C1046" s="30" t="s">
        <v>3133</v>
      </c>
      <c r="D1046" s="30" t="s">
        <v>3511</v>
      </c>
      <c r="E1046" s="30" t="s">
        <v>98</v>
      </c>
      <c r="F1046" s="49">
        <v>4</v>
      </c>
      <c r="G1046" s="49">
        <v>0</v>
      </c>
      <c r="H1046" s="49">
        <v>4</v>
      </c>
    </row>
    <row r="1047" spans="1:8">
      <c r="A1047" s="30" t="s">
        <v>4173</v>
      </c>
      <c r="B1047" s="29" t="s">
        <v>2407</v>
      </c>
      <c r="C1047" s="30" t="s">
        <v>3133</v>
      </c>
      <c r="D1047" s="30" t="s">
        <v>3511</v>
      </c>
      <c r="E1047" s="30" t="s">
        <v>98</v>
      </c>
      <c r="F1047" s="49">
        <v>4</v>
      </c>
      <c r="G1047" s="49">
        <v>0</v>
      </c>
      <c r="H1047" s="49">
        <v>4</v>
      </c>
    </row>
    <row r="1048" spans="1:8">
      <c r="A1048" s="30" t="s">
        <v>4174</v>
      </c>
      <c r="B1048" s="29" t="s">
        <v>2410</v>
      </c>
      <c r="C1048" s="30" t="s">
        <v>3145</v>
      </c>
      <c r="D1048" s="30" t="s">
        <v>3511</v>
      </c>
      <c r="E1048" s="30" t="s">
        <v>98</v>
      </c>
      <c r="F1048" s="49">
        <v>5</v>
      </c>
      <c r="G1048" s="49">
        <v>0</v>
      </c>
      <c r="H1048" s="49">
        <v>5</v>
      </c>
    </row>
    <row r="1049" spans="1:8">
      <c r="A1049" s="30" t="s">
        <v>4175</v>
      </c>
      <c r="B1049" s="29" t="s">
        <v>2415</v>
      </c>
      <c r="C1049" s="30" t="s">
        <v>3863</v>
      </c>
      <c r="D1049" s="30" t="s">
        <v>3126</v>
      </c>
      <c r="E1049" s="30" t="s">
        <v>98</v>
      </c>
      <c r="F1049" s="49"/>
      <c r="G1049" s="49">
        <v>12542</v>
      </c>
      <c r="H1049" s="49">
        <v>12542</v>
      </c>
    </row>
    <row r="1050" spans="1:8">
      <c r="A1050" s="30" t="s">
        <v>4176</v>
      </c>
      <c r="B1050" s="29" t="s">
        <v>2420</v>
      </c>
      <c r="C1050" s="30" t="s">
        <v>3133</v>
      </c>
      <c r="D1050" s="30" t="s">
        <v>3511</v>
      </c>
      <c r="E1050" s="30" t="s">
        <v>98</v>
      </c>
      <c r="F1050" s="49"/>
      <c r="G1050" s="49">
        <v>5</v>
      </c>
      <c r="H1050" s="49">
        <v>5</v>
      </c>
    </row>
    <row r="1051" spans="1:8">
      <c r="A1051" s="30" t="s">
        <v>4177</v>
      </c>
      <c r="B1051" s="29" t="s">
        <v>2423</v>
      </c>
      <c r="C1051" s="30" t="s">
        <v>3133</v>
      </c>
      <c r="D1051" s="30" t="s">
        <v>3511</v>
      </c>
      <c r="E1051" s="30" t="s">
        <v>98</v>
      </c>
      <c r="F1051" s="49">
        <v>15</v>
      </c>
      <c r="G1051" s="49">
        <v>0</v>
      </c>
      <c r="H1051" s="49">
        <v>15</v>
      </c>
    </row>
    <row r="1052" spans="1:8">
      <c r="A1052" s="30" t="s">
        <v>4178</v>
      </c>
      <c r="B1052" s="29" t="s">
        <v>2426</v>
      </c>
      <c r="C1052" s="30" t="s">
        <v>3122</v>
      </c>
      <c r="D1052" s="30" t="s">
        <v>3511</v>
      </c>
      <c r="E1052" s="30" t="s">
        <v>98</v>
      </c>
      <c r="F1052" s="49">
        <v>23</v>
      </c>
      <c r="G1052" s="49">
        <v>0</v>
      </c>
      <c r="H1052" s="49">
        <v>23</v>
      </c>
    </row>
    <row r="1053" spans="1:8">
      <c r="A1053" s="30" t="s">
        <v>4179</v>
      </c>
      <c r="B1053" s="29" t="s">
        <v>2429</v>
      </c>
      <c r="C1053" s="30" t="s">
        <v>3125</v>
      </c>
      <c r="D1053" s="30" t="s">
        <v>3511</v>
      </c>
      <c r="E1053" s="30" t="s">
        <v>98</v>
      </c>
      <c r="F1053" s="49">
        <v>11</v>
      </c>
      <c r="G1053" s="49">
        <v>0</v>
      </c>
      <c r="H1053" s="49">
        <v>11</v>
      </c>
    </row>
    <row r="1054" spans="1:8">
      <c r="A1054" s="30" t="s">
        <v>4180</v>
      </c>
      <c r="B1054" s="29" t="s">
        <v>2433</v>
      </c>
      <c r="C1054" s="30" t="s">
        <v>3125</v>
      </c>
      <c r="D1054" s="30" t="s">
        <v>3511</v>
      </c>
      <c r="E1054" s="30" t="s">
        <v>98</v>
      </c>
      <c r="F1054" s="49">
        <v>4</v>
      </c>
      <c r="G1054" s="49">
        <v>0</v>
      </c>
      <c r="H1054" s="49">
        <v>4</v>
      </c>
    </row>
    <row r="1055" spans="1:8">
      <c r="A1055" s="30" t="s">
        <v>4181</v>
      </c>
      <c r="B1055" s="29" t="s">
        <v>2435</v>
      </c>
      <c r="C1055" s="30" t="s">
        <v>3133</v>
      </c>
      <c r="D1055" s="30" t="s">
        <v>3511</v>
      </c>
      <c r="E1055" s="30" t="s">
        <v>98</v>
      </c>
      <c r="F1055" s="49">
        <v>14</v>
      </c>
      <c r="G1055" s="49">
        <v>0</v>
      </c>
      <c r="H1055" s="49">
        <v>14</v>
      </c>
    </row>
    <row r="1056" spans="1:8">
      <c r="A1056" s="30" t="s">
        <v>4182</v>
      </c>
      <c r="B1056" s="29" t="s">
        <v>2437</v>
      </c>
      <c r="C1056" s="30" t="s">
        <v>3122</v>
      </c>
      <c r="D1056" s="30" t="s">
        <v>3511</v>
      </c>
      <c r="E1056" s="30" t="s">
        <v>98</v>
      </c>
      <c r="F1056" s="49">
        <v>25</v>
      </c>
      <c r="G1056" s="49">
        <v>0</v>
      </c>
      <c r="H1056" s="49">
        <v>25</v>
      </c>
    </row>
    <row r="1057" spans="1:8">
      <c r="A1057" s="30" t="s">
        <v>4183</v>
      </c>
      <c r="B1057" s="29" t="s">
        <v>2439</v>
      </c>
      <c r="C1057" s="30" t="s">
        <v>3125</v>
      </c>
      <c r="D1057" s="30" t="s">
        <v>3511</v>
      </c>
      <c r="E1057" s="30" t="s">
        <v>98</v>
      </c>
      <c r="F1057" s="49">
        <v>4</v>
      </c>
      <c r="G1057" s="49">
        <v>0</v>
      </c>
      <c r="H1057" s="49">
        <v>4</v>
      </c>
    </row>
    <row r="1058" spans="1:8">
      <c r="A1058" s="30" t="s">
        <v>4184</v>
      </c>
      <c r="B1058" s="29" t="s">
        <v>2441</v>
      </c>
      <c r="C1058" s="30" t="s">
        <v>3125</v>
      </c>
      <c r="D1058" s="30" t="s">
        <v>3511</v>
      </c>
      <c r="E1058" s="30" t="s">
        <v>98</v>
      </c>
      <c r="F1058" s="49">
        <v>16</v>
      </c>
      <c r="G1058" s="49">
        <v>0</v>
      </c>
      <c r="H1058" s="49">
        <v>16</v>
      </c>
    </row>
    <row r="1059" spans="1:8">
      <c r="A1059" s="30" t="s">
        <v>4185</v>
      </c>
      <c r="B1059" s="29" t="s">
        <v>2443</v>
      </c>
      <c r="C1059" s="30" t="s">
        <v>3125</v>
      </c>
      <c r="D1059" s="30" t="s">
        <v>3126</v>
      </c>
      <c r="E1059" s="30" t="s">
        <v>98</v>
      </c>
      <c r="F1059" s="49"/>
      <c r="G1059" s="49">
        <v>52</v>
      </c>
      <c r="H1059" s="49">
        <v>52</v>
      </c>
    </row>
    <row r="1060" spans="1:8">
      <c r="A1060" s="30" t="s">
        <v>4186</v>
      </c>
      <c r="B1060" s="29" t="s">
        <v>2447</v>
      </c>
      <c r="C1060" s="30" t="s">
        <v>3133</v>
      </c>
      <c r="D1060" s="30" t="s">
        <v>3511</v>
      </c>
      <c r="E1060" s="30" t="s">
        <v>98</v>
      </c>
      <c r="F1060" s="49"/>
      <c r="G1060" s="49">
        <v>15</v>
      </c>
      <c r="H1060" s="49">
        <v>15</v>
      </c>
    </row>
    <row r="1061" spans="1:8">
      <c r="A1061" s="30" t="s">
        <v>4187</v>
      </c>
      <c r="B1061" s="29" t="s">
        <v>2451</v>
      </c>
      <c r="C1061" s="30" t="s">
        <v>3143</v>
      </c>
      <c r="D1061" s="30" t="s">
        <v>3511</v>
      </c>
      <c r="E1061" s="30" t="s">
        <v>98</v>
      </c>
      <c r="F1061" s="49">
        <v>34</v>
      </c>
      <c r="G1061" s="49">
        <v>0</v>
      </c>
      <c r="H1061" s="49">
        <v>34</v>
      </c>
    </row>
    <row r="1062" spans="1:8">
      <c r="A1062" s="30" t="s">
        <v>4188</v>
      </c>
      <c r="B1062" s="29" t="s">
        <v>2455</v>
      </c>
      <c r="C1062" s="30" t="s">
        <v>3122</v>
      </c>
      <c r="D1062" s="30" t="s">
        <v>3511</v>
      </c>
      <c r="E1062" s="30" t="s">
        <v>98</v>
      </c>
      <c r="F1062" s="49">
        <v>19</v>
      </c>
      <c r="G1062" s="49">
        <v>0</v>
      </c>
      <c r="H1062" s="49">
        <v>19</v>
      </c>
    </row>
    <row r="1063" spans="1:8">
      <c r="A1063" s="30" t="s">
        <v>4189</v>
      </c>
      <c r="B1063" s="29" t="s">
        <v>2457</v>
      </c>
      <c r="C1063" s="30" t="s">
        <v>3133</v>
      </c>
      <c r="D1063" s="30" t="s">
        <v>3511</v>
      </c>
      <c r="E1063" s="30" t="s">
        <v>98</v>
      </c>
      <c r="F1063" s="49">
        <v>13</v>
      </c>
      <c r="G1063" s="49">
        <v>0</v>
      </c>
      <c r="H1063" s="49">
        <v>13</v>
      </c>
    </row>
    <row r="1064" spans="1:8">
      <c r="A1064" s="30" t="s">
        <v>4190</v>
      </c>
      <c r="B1064" s="29" t="s">
        <v>2459</v>
      </c>
      <c r="C1064" s="30" t="s">
        <v>3125</v>
      </c>
      <c r="D1064" s="30" t="s">
        <v>3511</v>
      </c>
      <c r="E1064" s="30" t="s">
        <v>98</v>
      </c>
      <c r="F1064" s="49">
        <v>4</v>
      </c>
      <c r="G1064" s="49">
        <v>0</v>
      </c>
      <c r="H1064" s="49">
        <v>4</v>
      </c>
    </row>
    <row r="1065" spans="1:8">
      <c r="A1065" s="30" t="s">
        <v>4191</v>
      </c>
      <c r="B1065" s="29" t="s">
        <v>2461</v>
      </c>
      <c r="C1065" s="30" t="s">
        <v>3125</v>
      </c>
      <c r="D1065" s="30" t="s">
        <v>3511</v>
      </c>
      <c r="E1065" s="30" t="s">
        <v>98</v>
      </c>
      <c r="F1065" s="49">
        <v>2</v>
      </c>
      <c r="G1065" s="49">
        <v>0</v>
      </c>
      <c r="H1065" s="49">
        <v>2</v>
      </c>
    </row>
    <row r="1066" spans="1:8">
      <c r="A1066" s="30" t="s">
        <v>4192</v>
      </c>
      <c r="B1066" s="29" t="s">
        <v>2463</v>
      </c>
      <c r="C1066" s="30" t="s">
        <v>3133</v>
      </c>
      <c r="D1066" s="30" t="s">
        <v>3511</v>
      </c>
      <c r="E1066" s="30" t="s">
        <v>98</v>
      </c>
      <c r="F1066" s="49">
        <v>16</v>
      </c>
      <c r="G1066" s="49">
        <v>0</v>
      </c>
      <c r="H1066" s="49">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summaryBelow="0" summaryRight="0"/>
  </sheetPr>
  <dimension ref="A1:AF999"/>
  <sheetViews>
    <sheetView workbookViewId="0">
      <pane ySplit="1" topLeftCell="A2" activePane="bottomLeft" state="frozen"/>
      <selection pane="bottomLeft" activeCell="B3" sqref="B3"/>
    </sheetView>
  </sheetViews>
  <sheetFormatPr baseColWidth="10" defaultColWidth="12.6328125" defaultRowHeight="15.75" customHeight="1"/>
  <sheetData>
    <row r="1" spans="1:32">
      <c r="A1" s="48" t="s">
        <v>4193</v>
      </c>
      <c r="B1" s="48" t="s">
        <v>0</v>
      </c>
      <c r="C1" s="50" t="s">
        <v>4194</v>
      </c>
      <c r="D1" s="51" t="s">
        <v>4195</v>
      </c>
      <c r="E1" s="51" t="s">
        <v>4196</v>
      </c>
      <c r="F1" s="50"/>
      <c r="G1" s="51"/>
      <c r="H1" s="51"/>
      <c r="I1" s="50"/>
      <c r="J1" s="51"/>
      <c r="K1" s="51"/>
      <c r="L1" s="52"/>
      <c r="M1" s="51"/>
      <c r="N1" s="51"/>
      <c r="O1" s="51"/>
      <c r="P1" s="51"/>
      <c r="Q1" s="51"/>
      <c r="R1" s="51"/>
      <c r="S1" s="51"/>
      <c r="T1" s="51"/>
      <c r="U1" s="51"/>
      <c r="V1" s="51"/>
      <c r="W1" s="51"/>
      <c r="X1" s="51"/>
      <c r="Y1" s="51"/>
      <c r="Z1" s="51"/>
      <c r="AA1" s="51"/>
      <c r="AB1" s="51"/>
      <c r="AC1" s="51"/>
      <c r="AD1" s="51"/>
      <c r="AE1" s="51"/>
      <c r="AF1" s="51"/>
    </row>
    <row r="2" spans="1:32">
      <c r="A2" s="30" t="s">
        <v>4197</v>
      </c>
      <c r="B2" s="29" t="s">
        <v>72</v>
      </c>
      <c r="C2" s="30" t="s">
        <v>4198</v>
      </c>
      <c r="D2" s="30" t="s">
        <v>4199</v>
      </c>
      <c r="E2" s="53"/>
      <c r="L2" s="32"/>
      <c r="M2" s="34"/>
      <c r="N2" s="34"/>
      <c r="O2" s="34"/>
    </row>
    <row r="3" spans="1:32">
      <c r="A3" s="30" t="s">
        <v>4200</v>
      </c>
      <c r="B3" s="29" t="s">
        <v>109</v>
      </c>
      <c r="C3" s="30" t="s">
        <v>4201</v>
      </c>
      <c r="D3" s="30" t="s">
        <v>4199</v>
      </c>
      <c r="E3" s="53"/>
      <c r="L3" s="32"/>
      <c r="M3" s="34"/>
      <c r="N3" s="34"/>
      <c r="O3" s="34"/>
    </row>
    <row r="4" spans="1:32">
      <c r="A4" s="30" t="s">
        <v>4202</v>
      </c>
      <c r="B4" s="29" t="s">
        <v>114</v>
      </c>
      <c r="C4" s="30" t="s">
        <v>4203</v>
      </c>
      <c r="D4" s="30" t="s">
        <v>4199</v>
      </c>
      <c r="E4" s="53"/>
      <c r="L4" s="32"/>
      <c r="M4" s="34"/>
      <c r="N4" s="34"/>
      <c r="O4" s="34"/>
    </row>
    <row r="5" spans="1:32">
      <c r="A5" s="30" t="s">
        <v>4204</v>
      </c>
      <c r="B5" s="29" t="s">
        <v>119</v>
      </c>
      <c r="C5" s="30" t="s">
        <v>4205</v>
      </c>
      <c r="D5" s="30" t="s">
        <v>4199</v>
      </c>
      <c r="E5" s="53"/>
      <c r="L5" s="32"/>
      <c r="M5" s="34"/>
      <c r="N5" s="34"/>
      <c r="O5" s="34"/>
    </row>
    <row r="6" spans="1:32">
      <c r="A6" s="30" t="s">
        <v>4206</v>
      </c>
      <c r="B6" s="29" t="s">
        <v>123</v>
      </c>
      <c r="C6" s="30" t="s">
        <v>4207</v>
      </c>
      <c r="D6" s="30" t="s">
        <v>4208</v>
      </c>
      <c r="E6" s="53"/>
      <c r="L6" s="32"/>
      <c r="M6" s="34"/>
      <c r="N6" s="34"/>
      <c r="O6" s="34"/>
    </row>
    <row r="7" spans="1:32">
      <c r="A7" s="30" t="s">
        <v>4209</v>
      </c>
      <c r="B7" s="29" t="s">
        <v>126</v>
      </c>
      <c r="C7" s="30" t="s">
        <v>4210</v>
      </c>
      <c r="D7" s="30" t="s">
        <v>4199</v>
      </c>
      <c r="E7" s="53"/>
      <c r="L7" s="32"/>
      <c r="M7" s="34"/>
      <c r="N7" s="34"/>
      <c r="O7" s="34"/>
    </row>
    <row r="8" spans="1:32">
      <c r="A8" s="30" t="s">
        <v>4211</v>
      </c>
      <c r="B8" s="29" t="s">
        <v>129</v>
      </c>
      <c r="C8" s="30" t="s">
        <v>4212</v>
      </c>
      <c r="D8" s="30" t="s">
        <v>4199</v>
      </c>
      <c r="E8" s="53"/>
      <c r="L8" s="32"/>
      <c r="M8" s="34"/>
      <c r="N8" s="34"/>
      <c r="O8" s="34"/>
    </row>
    <row r="9" spans="1:32">
      <c r="A9" s="30" t="s">
        <v>4213</v>
      </c>
      <c r="B9" s="29" t="s">
        <v>131</v>
      </c>
      <c r="C9" s="30" t="s">
        <v>4214</v>
      </c>
      <c r="D9" s="30" t="s">
        <v>4199</v>
      </c>
      <c r="E9" s="53"/>
      <c r="L9" s="32"/>
      <c r="M9" s="34"/>
      <c r="N9" s="34"/>
      <c r="O9" s="34"/>
    </row>
    <row r="10" spans="1:32">
      <c r="A10" s="46" t="s">
        <v>4215</v>
      </c>
      <c r="B10" s="29" t="s">
        <v>152</v>
      </c>
      <c r="C10" s="30" t="s">
        <v>4216</v>
      </c>
      <c r="D10" s="30" t="s">
        <v>4199</v>
      </c>
      <c r="E10" s="53"/>
      <c r="L10" s="32"/>
      <c r="M10" s="34"/>
      <c r="N10" s="34"/>
      <c r="O10" s="34"/>
    </row>
    <row r="11" spans="1:32">
      <c r="A11" s="30" t="s">
        <v>4217</v>
      </c>
      <c r="B11" s="29" t="s">
        <v>156</v>
      </c>
      <c r="C11" s="30" t="s">
        <v>4218</v>
      </c>
      <c r="D11" s="30" t="s">
        <v>4199</v>
      </c>
      <c r="E11" s="53"/>
      <c r="L11" s="32"/>
      <c r="M11" s="34"/>
      <c r="N11" s="34"/>
      <c r="O11" s="34"/>
    </row>
    <row r="12" spans="1:32">
      <c r="A12" s="30" t="s">
        <v>4219</v>
      </c>
      <c r="B12" s="29" t="s">
        <v>162</v>
      </c>
      <c r="C12" s="30" t="s">
        <v>4220</v>
      </c>
      <c r="D12" s="30" t="s">
        <v>4199</v>
      </c>
      <c r="E12" s="53"/>
      <c r="L12" s="32"/>
      <c r="M12" s="34"/>
      <c r="N12" s="34"/>
      <c r="O12" s="34"/>
    </row>
    <row r="13" spans="1:32">
      <c r="A13" s="30" t="s">
        <v>4221</v>
      </c>
      <c r="B13" s="29" t="s">
        <v>169</v>
      </c>
      <c r="C13" s="30" t="s">
        <v>4222</v>
      </c>
      <c r="D13" s="30" t="s">
        <v>4199</v>
      </c>
      <c r="E13" s="53"/>
      <c r="L13" s="32"/>
      <c r="M13" s="34"/>
      <c r="N13" s="34"/>
      <c r="O13" s="34"/>
    </row>
    <row r="14" spans="1:32">
      <c r="A14" s="30" t="s">
        <v>4223</v>
      </c>
      <c r="B14" s="29" t="s">
        <v>173</v>
      </c>
      <c r="C14" s="30" t="s">
        <v>4224</v>
      </c>
      <c r="D14" s="30" t="s">
        <v>4199</v>
      </c>
      <c r="E14" s="53"/>
      <c r="L14" s="32"/>
      <c r="M14" s="34"/>
      <c r="N14" s="34"/>
      <c r="O14" s="34"/>
    </row>
    <row r="15" spans="1:32">
      <c r="A15" s="46" t="s">
        <v>4225</v>
      </c>
      <c r="B15" s="29" t="s">
        <v>176</v>
      </c>
      <c r="C15" s="30" t="s">
        <v>4226</v>
      </c>
      <c r="D15" s="30" t="s">
        <v>4199</v>
      </c>
      <c r="E15" s="53"/>
      <c r="L15" s="32"/>
      <c r="M15" s="34"/>
      <c r="N15" s="34"/>
      <c r="O15" s="34"/>
    </row>
    <row r="16" spans="1:32">
      <c r="A16" s="30" t="s">
        <v>4227</v>
      </c>
      <c r="B16" s="29" t="s">
        <v>180</v>
      </c>
      <c r="C16" s="30" t="s">
        <v>4228</v>
      </c>
      <c r="D16" s="30" t="s">
        <v>4199</v>
      </c>
      <c r="E16" s="53"/>
      <c r="L16" s="32"/>
      <c r="M16" s="34"/>
      <c r="N16" s="34"/>
      <c r="O16" s="34"/>
    </row>
    <row r="17" spans="1:15">
      <c r="A17" s="30" t="s">
        <v>4229</v>
      </c>
      <c r="B17" s="29" t="s">
        <v>186</v>
      </c>
      <c r="C17" s="30" t="s">
        <v>4230</v>
      </c>
      <c r="D17" s="30" t="s">
        <v>4199</v>
      </c>
      <c r="E17" s="53"/>
      <c r="L17" s="32"/>
      <c r="M17" s="34"/>
      <c r="N17" s="34"/>
      <c r="O17" s="34"/>
    </row>
    <row r="18" spans="1:15">
      <c r="A18" s="30" t="s">
        <v>4231</v>
      </c>
      <c r="B18" s="29" t="s">
        <v>190</v>
      </c>
      <c r="C18" s="30" t="s">
        <v>4232</v>
      </c>
      <c r="D18" s="30" t="s">
        <v>4208</v>
      </c>
      <c r="E18" s="53"/>
      <c r="L18" s="32"/>
      <c r="M18" s="34"/>
      <c r="N18" s="34"/>
      <c r="O18" s="34"/>
    </row>
    <row r="19" spans="1:15">
      <c r="A19" s="30" t="s">
        <v>4233</v>
      </c>
      <c r="B19" s="29" t="s">
        <v>209</v>
      </c>
      <c r="C19" s="30" t="s">
        <v>4234</v>
      </c>
      <c r="D19" s="30" t="s">
        <v>4208</v>
      </c>
      <c r="E19" s="53"/>
      <c r="L19" s="32"/>
      <c r="M19" s="34"/>
      <c r="N19" s="34"/>
      <c r="O19" s="34"/>
    </row>
    <row r="20" spans="1:15">
      <c r="A20" s="30" t="s">
        <v>4235</v>
      </c>
      <c r="B20" s="29" t="s">
        <v>222</v>
      </c>
      <c r="C20" s="30" t="s">
        <v>4236</v>
      </c>
      <c r="D20" s="30" t="s">
        <v>4208</v>
      </c>
      <c r="E20" s="53"/>
      <c r="L20" s="32"/>
      <c r="M20" s="34"/>
      <c r="N20" s="34"/>
      <c r="O20" s="34"/>
    </row>
    <row r="21" spans="1:15">
      <c r="A21" s="30" t="s">
        <v>4237</v>
      </c>
      <c r="B21" s="29" t="s">
        <v>228</v>
      </c>
      <c r="C21" s="30" t="s">
        <v>4238</v>
      </c>
      <c r="D21" s="30" t="s">
        <v>4208</v>
      </c>
      <c r="E21" s="53"/>
      <c r="L21" s="32"/>
      <c r="M21" s="34"/>
      <c r="N21" s="34"/>
      <c r="O21" s="34"/>
    </row>
    <row r="22" spans="1:15">
      <c r="A22" s="30" t="s">
        <v>4239</v>
      </c>
      <c r="B22" s="29" t="s">
        <v>234</v>
      </c>
      <c r="C22" s="30" t="s">
        <v>4240</v>
      </c>
      <c r="D22" s="30" t="s">
        <v>4208</v>
      </c>
      <c r="E22" s="53"/>
      <c r="L22" s="32"/>
      <c r="M22" s="34"/>
      <c r="N22" s="34"/>
      <c r="O22" s="34"/>
    </row>
    <row r="23" spans="1:15">
      <c r="A23" s="30" t="s">
        <v>4241</v>
      </c>
      <c r="B23" s="29" t="s">
        <v>239</v>
      </c>
      <c r="C23" s="30" t="s">
        <v>4242</v>
      </c>
      <c r="D23" s="30" t="s">
        <v>4208</v>
      </c>
      <c r="E23" s="53"/>
      <c r="L23" s="32"/>
      <c r="M23" s="34"/>
      <c r="N23" s="34"/>
      <c r="O23" s="34"/>
    </row>
    <row r="24" spans="1:15">
      <c r="A24" s="30" t="s">
        <v>4243</v>
      </c>
      <c r="B24" s="29" t="s">
        <v>245</v>
      </c>
      <c r="C24" s="30" t="s">
        <v>4244</v>
      </c>
      <c r="D24" s="30" t="s">
        <v>4208</v>
      </c>
      <c r="E24" s="53"/>
      <c r="L24" s="32"/>
      <c r="M24" s="34"/>
      <c r="N24" s="34"/>
      <c r="O24" s="34"/>
    </row>
    <row r="25" spans="1:15">
      <c r="A25" s="30" t="s">
        <v>4245</v>
      </c>
      <c r="B25" s="29" t="s">
        <v>255</v>
      </c>
      <c r="C25" s="30" t="s">
        <v>4246</v>
      </c>
      <c r="D25" s="30" t="s">
        <v>4208</v>
      </c>
      <c r="E25" s="53"/>
      <c r="L25" s="32"/>
      <c r="M25" s="34"/>
      <c r="N25" s="34"/>
      <c r="O25" s="34"/>
    </row>
    <row r="26" spans="1:15">
      <c r="A26" s="30" t="s">
        <v>4247</v>
      </c>
      <c r="B26" s="29" t="s">
        <v>260</v>
      </c>
      <c r="C26" s="30" t="s">
        <v>4248</v>
      </c>
      <c r="D26" s="30" t="s">
        <v>4208</v>
      </c>
      <c r="E26" s="53"/>
      <c r="L26" s="32"/>
      <c r="M26" s="34"/>
      <c r="N26" s="34"/>
      <c r="O26" s="34"/>
    </row>
    <row r="27" spans="1:15">
      <c r="A27" s="30" t="s">
        <v>4249</v>
      </c>
      <c r="B27" s="29" t="s">
        <v>270</v>
      </c>
      <c r="C27" s="30" t="s">
        <v>4250</v>
      </c>
      <c r="D27" s="30" t="s">
        <v>4208</v>
      </c>
      <c r="E27" s="53"/>
      <c r="L27" s="32"/>
      <c r="M27" s="34"/>
      <c r="N27" s="34"/>
      <c r="O27" s="34"/>
    </row>
    <row r="28" spans="1:15">
      <c r="A28" s="30" t="s">
        <v>4251</v>
      </c>
      <c r="B28" s="29" t="s">
        <v>280</v>
      </c>
      <c r="C28" s="30" t="s">
        <v>4252</v>
      </c>
      <c r="D28" s="30" t="s">
        <v>4208</v>
      </c>
      <c r="E28" s="53"/>
      <c r="L28" s="32"/>
      <c r="M28" s="34"/>
      <c r="N28" s="34"/>
      <c r="O28" s="34"/>
    </row>
    <row r="29" spans="1:15">
      <c r="A29" s="30" t="s">
        <v>4253</v>
      </c>
      <c r="B29" s="29" t="s">
        <v>284</v>
      </c>
      <c r="C29" s="30" t="s">
        <v>4254</v>
      </c>
      <c r="D29" s="30" t="s">
        <v>4208</v>
      </c>
      <c r="E29" s="53"/>
      <c r="L29" s="32"/>
      <c r="M29" s="34"/>
      <c r="N29" s="34"/>
      <c r="O29" s="34"/>
    </row>
    <row r="30" spans="1:15">
      <c r="A30" s="30" t="s">
        <v>4255</v>
      </c>
      <c r="B30" s="29" t="s">
        <v>289</v>
      </c>
      <c r="C30" s="30" t="s">
        <v>4256</v>
      </c>
      <c r="D30" s="30" t="s">
        <v>4208</v>
      </c>
      <c r="E30" s="53"/>
      <c r="L30" s="32"/>
      <c r="M30" s="34"/>
      <c r="N30" s="34"/>
      <c r="O30" s="34"/>
    </row>
    <row r="31" spans="1:15">
      <c r="A31" s="30" t="s">
        <v>4257</v>
      </c>
      <c r="B31" s="29" t="s">
        <v>296</v>
      </c>
      <c r="C31" s="30" t="s">
        <v>4258</v>
      </c>
      <c r="D31" s="30" t="s">
        <v>4208</v>
      </c>
      <c r="E31" s="53"/>
      <c r="L31" s="32"/>
      <c r="M31" s="34"/>
      <c r="N31" s="34"/>
      <c r="O31" s="34"/>
    </row>
    <row r="32" spans="1:15">
      <c r="A32" s="30" t="s">
        <v>4259</v>
      </c>
      <c r="B32" s="29" t="s">
        <v>303</v>
      </c>
      <c r="C32" s="30" t="s">
        <v>4260</v>
      </c>
      <c r="D32" s="30" t="s">
        <v>4208</v>
      </c>
      <c r="E32" s="53"/>
      <c r="L32" s="32"/>
      <c r="M32" s="34"/>
      <c r="N32" s="34"/>
      <c r="O32" s="34"/>
    </row>
    <row r="33" spans="1:15">
      <c r="A33" s="30" t="s">
        <v>4261</v>
      </c>
      <c r="B33" s="29" t="s">
        <v>309</v>
      </c>
      <c r="C33" s="30" t="s">
        <v>4262</v>
      </c>
      <c r="D33" s="30" t="s">
        <v>4208</v>
      </c>
      <c r="E33" s="53"/>
      <c r="L33" s="32"/>
      <c r="M33" s="34"/>
      <c r="N33" s="34"/>
      <c r="O33" s="34"/>
    </row>
    <row r="34" spans="1:15">
      <c r="A34" s="30" t="s">
        <v>4263</v>
      </c>
      <c r="B34" s="29" t="s">
        <v>314</v>
      </c>
      <c r="C34" s="30" t="s">
        <v>4264</v>
      </c>
      <c r="D34" s="30" t="s">
        <v>4265</v>
      </c>
      <c r="E34" s="53"/>
      <c r="L34" s="32"/>
      <c r="M34" s="34"/>
      <c r="N34" s="34"/>
      <c r="O34" s="34"/>
    </row>
    <row r="35" spans="1:15">
      <c r="A35" s="30" t="s">
        <v>4266</v>
      </c>
      <c r="B35" s="29" t="s">
        <v>318</v>
      </c>
      <c r="C35" s="30" t="s">
        <v>4267</v>
      </c>
      <c r="D35" s="30" t="s">
        <v>4265</v>
      </c>
      <c r="E35" s="53"/>
      <c r="L35" s="32"/>
      <c r="M35" s="34"/>
      <c r="N35" s="34"/>
      <c r="O35" s="34"/>
    </row>
    <row r="36" spans="1:15">
      <c r="A36" s="30" t="s">
        <v>4268</v>
      </c>
      <c r="B36" s="29" t="s">
        <v>324</v>
      </c>
      <c r="C36" s="30" t="s">
        <v>4269</v>
      </c>
      <c r="D36" s="30" t="s">
        <v>4265</v>
      </c>
      <c r="E36" s="53"/>
      <c r="L36" s="32"/>
      <c r="M36" s="34"/>
      <c r="N36" s="34"/>
      <c r="O36" s="34"/>
    </row>
    <row r="37" spans="1:15">
      <c r="A37" s="30" t="s">
        <v>4270</v>
      </c>
      <c r="B37" s="29" t="s">
        <v>329</v>
      </c>
      <c r="C37" s="30" t="s">
        <v>4271</v>
      </c>
      <c r="D37" s="30" t="s">
        <v>4208</v>
      </c>
      <c r="E37" s="53"/>
      <c r="L37" s="32"/>
      <c r="M37" s="34"/>
      <c r="N37" s="34"/>
      <c r="O37" s="34"/>
    </row>
    <row r="38" spans="1:15">
      <c r="A38" s="30" t="s">
        <v>4272</v>
      </c>
      <c r="B38" s="29" t="s">
        <v>334</v>
      </c>
      <c r="C38" s="30" t="s">
        <v>4273</v>
      </c>
      <c r="D38" s="30" t="s">
        <v>4208</v>
      </c>
      <c r="E38" s="53"/>
      <c r="L38" s="32"/>
      <c r="M38" s="34"/>
      <c r="N38" s="34"/>
      <c r="O38" s="34"/>
    </row>
    <row r="39" spans="1:15">
      <c r="A39" s="30" t="s">
        <v>4274</v>
      </c>
      <c r="B39" s="29" t="s">
        <v>340</v>
      </c>
      <c r="C39" s="30" t="s">
        <v>4275</v>
      </c>
      <c r="D39" s="30" t="s">
        <v>4265</v>
      </c>
      <c r="E39" s="53"/>
      <c r="L39" s="32"/>
      <c r="M39" s="34"/>
      <c r="N39" s="34"/>
      <c r="O39" s="34"/>
    </row>
    <row r="40" spans="1:15">
      <c r="A40" s="30" t="s">
        <v>4276</v>
      </c>
      <c r="B40" s="29" t="s">
        <v>345</v>
      </c>
      <c r="C40" s="30" t="s">
        <v>4277</v>
      </c>
      <c r="D40" s="30" t="s">
        <v>4265</v>
      </c>
      <c r="E40" s="53"/>
      <c r="L40" s="32"/>
      <c r="M40" s="34"/>
      <c r="N40" s="34"/>
      <c r="O40" s="34"/>
    </row>
    <row r="41" spans="1:15">
      <c r="A41" s="30" t="s">
        <v>4278</v>
      </c>
      <c r="B41" s="29" t="s">
        <v>350</v>
      </c>
      <c r="C41" s="30" t="s">
        <v>4279</v>
      </c>
      <c r="D41" s="30" t="s">
        <v>4265</v>
      </c>
      <c r="E41" s="53"/>
      <c r="L41" s="32"/>
      <c r="M41" s="34"/>
      <c r="N41" s="34"/>
      <c r="O41" s="34"/>
    </row>
    <row r="42" spans="1:15">
      <c r="A42" s="30" t="s">
        <v>4280</v>
      </c>
      <c r="B42" s="29" t="s">
        <v>355</v>
      </c>
      <c r="C42" s="30" t="s">
        <v>4281</v>
      </c>
      <c r="D42" s="30" t="s">
        <v>4265</v>
      </c>
      <c r="E42" s="53"/>
      <c r="L42" s="32"/>
      <c r="M42" s="34"/>
      <c r="N42" s="34"/>
      <c r="O42" s="34"/>
    </row>
    <row r="43" spans="1:15">
      <c r="A43" s="30" t="s">
        <v>4282</v>
      </c>
      <c r="B43" s="29" t="s">
        <v>359</v>
      </c>
      <c r="C43" s="30" t="s">
        <v>4283</v>
      </c>
      <c r="D43" s="30" t="s">
        <v>4265</v>
      </c>
      <c r="E43" s="53"/>
      <c r="L43" s="32"/>
      <c r="M43" s="34"/>
      <c r="N43" s="34"/>
      <c r="O43" s="34"/>
    </row>
    <row r="44" spans="1:15">
      <c r="A44" s="30" t="s">
        <v>4284</v>
      </c>
      <c r="B44" s="29" t="s">
        <v>363</v>
      </c>
      <c r="C44" s="30" t="s">
        <v>4285</v>
      </c>
      <c r="D44" s="30" t="s">
        <v>4265</v>
      </c>
      <c r="E44" s="53"/>
      <c r="L44" s="32"/>
      <c r="M44" s="34"/>
      <c r="N44" s="34"/>
      <c r="O44" s="34"/>
    </row>
    <row r="45" spans="1:15">
      <c r="A45" s="30" t="s">
        <v>4286</v>
      </c>
      <c r="B45" s="29" t="s">
        <v>368</v>
      </c>
      <c r="C45" s="30" t="s">
        <v>4287</v>
      </c>
      <c r="D45" s="30" t="s">
        <v>4265</v>
      </c>
      <c r="E45" s="53"/>
      <c r="L45" s="32"/>
      <c r="M45" s="34"/>
      <c r="N45" s="34"/>
      <c r="O45" s="34"/>
    </row>
    <row r="46" spans="1:15">
      <c r="A46" s="30" t="s">
        <v>4288</v>
      </c>
      <c r="B46" s="29" t="s">
        <v>374</v>
      </c>
      <c r="C46" s="30" t="s">
        <v>4289</v>
      </c>
      <c r="D46" s="30" t="s">
        <v>4265</v>
      </c>
      <c r="E46" s="53"/>
      <c r="L46" s="32"/>
      <c r="M46" s="34"/>
      <c r="N46" s="34"/>
      <c r="O46" s="34"/>
    </row>
    <row r="47" spans="1:15">
      <c r="A47" s="30" t="s">
        <v>4290</v>
      </c>
      <c r="B47" s="29" t="s">
        <v>380</v>
      </c>
      <c r="C47" s="30" t="s">
        <v>4291</v>
      </c>
      <c r="D47" s="30" t="s">
        <v>4265</v>
      </c>
      <c r="E47" s="53"/>
      <c r="L47" s="32"/>
      <c r="M47" s="34"/>
      <c r="N47" s="34"/>
      <c r="O47" s="34"/>
    </row>
    <row r="48" spans="1:15">
      <c r="A48" s="30" t="s">
        <v>4292</v>
      </c>
      <c r="B48" s="29" t="s">
        <v>388</v>
      </c>
      <c r="C48" s="30" t="s">
        <v>4293</v>
      </c>
      <c r="D48" s="30" t="s">
        <v>4265</v>
      </c>
      <c r="E48" s="53"/>
      <c r="L48" s="32"/>
      <c r="M48" s="34"/>
      <c r="N48" s="34"/>
      <c r="O48" s="34"/>
    </row>
    <row r="49" spans="1:15">
      <c r="A49" s="30" t="s">
        <v>4294</v>
      </c>
      <c r="B49" s="29" t="s">
        <v>391</v>
      </c>
      <c r="C49" s="30" t="s">
        <v>4295</v>
      </c>
      <c r="D49" s="30" t="s">
        <v>4265</v>
      </c>
      <c r="E49" s="53"/>
      <c r="L49" s="32"/>
      <c r="M49" s="34"/>
      <c r="N49" s="34"/>
      <c r="O49" s="34"/>
    </row>
    <row r="50" spans="1:15">
      <c r="A50" s="30" t="s">
        <v>4296</v>
      </c>
      <c r="B50" s="29" t="s">
        <v>394</v>
      </c>
      <c r="C50" s="30" t="s">
        <v>4297</v>
      </c>
      <c r="D50" s="30" t="s">
        <v>4265</v>
      </c>
      <c r="E50" s="53"/>
      <c r="L50" s="32"/>
      <c r="M50" s="34"/>
      <c r="N50" s="34"/>
      <c r="O50" s="34"/>
    </row>
    <row r="51" spans="1:15">
      <c r="A51" s="30" t="s">
        <v>4298</v>
      </c>
      <c r="B51" s="29" t="s">
        <v>442</v>
      </c>
      <c r="C51" s="30" t="s">
        <v>4299</v>
      </c>
      <c r="D51" s="30" t="s">
        <v>4265</v>
      </c>
      <c r="E51" s="53"/>
      <c r="L51" s="32"/>
      <c r="M51" s="34"/>
      <c r="N51" s="34"/>
      <c r="O51" s="34"/>
    </row>
    <row r="52" spans="1:15">
      <c r="A52" s="30" t="s">
        <v>4300</v>
      </c>
      <c r="B52" s="29" t="s">
        <v>450</v>
      </c>
      <c r="C52" s="30" t="s">
        <v>4301</v>
      </c>
      <c r="D52" s="30" t="s">
        <v>4265</v>
      </c>
      <c r="E52" s="53"/>
      <c r="L52" s="32"/>
      <c r="M52" s="34"/>
      <c r="N52" s="34"/>
      <c r="O52" s="34"/>
    </row>
    <row r="53" spans="1:15">
      <c r="A53" s="30" t="s">
        <v>4302</v>
      </c>
      <c r="B53" s="29" t="s">
        <v>459</v>
      </c>
      <c r="C53" s="30" t="s">
        <v>4303</v>
      </c>
      <c r="D53" s="30" t="s">
        <v>4265</v>
      </c>
      <c r="E53" s="53"/>
      <c r="L53" s="32"/>
      <c r="M53" s="34"/>
      <c r="N53" s="34"/>
      <c r="O53" s="34"/>
    </row>
    <row r="54" spans="1:15">
      <c r="A54" s="30" t="s">
        <v>4304</v>
      </c>
      <c r="B54" s="29" t="s">
        <v>465</v>
      </c>
      <c r="C54" s="30" t="s">
        <v>4305</v>
      </c>
      <c r="D54" s="30" t="s">
        <v>4265</v>
      </c>
      <c r="E54" s="53"/>
      <c r="L54" s="32"/>
      <c r="M54" s="34"/>
      <c r="N54" s="34"/>
      <c r="O54" s="34"/>
    </row>
    <row r="55" spans="1:15">
      <c r="A55" s="30" t="s">
        <v>4306</v>
      </c>
      <c r="B55" s="29" t="s">
        <v>472</v>
      </c>
      <c r="C55" s="30" t="s">
        <v>4307</v>
      </c>
      <c r="D55" s="30" t="s">
        <v>4265</v>
      </c>
      <c r="E55" s="53"/>
      <c r="L55" s="32"/>
      <c r="M55" s="34"/>
      <c r="N55" s="34"/>
      <c r="O55" s="34"/>
    </row>
    <row r="56" spans="1:15">
      <c r="A56" s="30" t="s">
        <v>4308</v>
      </c>
      <c r="B56" s="29" t="s">
        <v>476</v>
      </c>
      <c r="E56" s="53"/>
      <c r="L56" s="32"/>
      <c r="M56" s="34"/>
      <c r="N56" s="34"/>
      <c r="O56" s="34"/>
    </row>
    <row r="57" spans="1:15">
      <c r="A57" s="30" t="s">
        <v>4309</v>
      </c>
      <c r="B57" s="29" t="s">
        <v>476</v>
      </c>
      <c r="C57" s="30" t="s">
        <v>4310</v>
      </c>
      <c r="D57" s="30" t="s">
        <v>4265</v>
      </c>
      <c r="E57" s="53"/>
      <c r="L57" s="32"/>
      <c r="M57" s="34"/>
      <c r="N57" s="34"/>
      <c r="O57" s="34"/>
    </row>
    <row r="58" spans="1:15">
      <c r="A58" s="30" t="s">
        <v>4311</v>
      </c>
      <c r="B58" s="29" t="s">
        <v>481</v>
      </c>
      <c r="C58" s="30" t="s">
        <v>4312</v>
      </c>
      <c r="D58" s="30" t="s">
        <v>4265</v>
      </c>
      <c r="E58" s="53"/>
      <c r="L58" s="32"/>
      <c r="M58" s="34"/>
      <c r="N58" s="34"/>
      <c r="O58" s="34"/>
    </row>
    <row r="59" spans="1:15">
      <c r="A59" s="30" t="s">
        <v>4313</v>
      </c>
      <c r="B59" s="29" t="s">
        <v>485</v>
      </c>
      <c r="C59" s="30" t="s">
        <v>4314</v>
      </c>
      <c r="E59" s="53"/>
      <c r="L59" s="32"/>
      <c r="M59" s="34"/>
      <c r="N59" s="34"/>
      <c r="O59" s="34"/>
    </row>
    <row r="60" spans="1:15">
      <c r="A60" s="30" t="s">
        <v>4315</v>
      </c>
      <c r="B60" s="29" t="s">
        <v>490</v>
      </c>
      <c r="C60" s="30" t="s">
        <v>4316</v>
      </c>
      <c r="D60" s="30" t="s">
        <v>4265</v>
      </c>
      <c r="E60" s="53"/>
      <c r="L60" s="32"/>
      <c r="M60" s="34"/>
      <c r="N60" s="34"/>
      <c r="O60" s="34"/>
    </row>
    <row r="61" spans="1:15">
      <c r="A61" s="30" t="s">
        <v>4317</v>
      </c>
      <c r="B61" s="29" t="s">
        <v>494</v>
      </c>
      <c r="C61" s="30" t="s">
        <v>4318</v>
      </c>
      <c r="D61" s="30" t="s">
        <v>4265</v>
      </c>
      <c r="E61" s="53"/>
      <c r="L61" s="32"/>
      <c r="M61" s="34"/>
      <c r="N61" s="34"/>
      <c r="O61" s="34"/>
    </row>
    <row r="62" spans="1:15">
      <c r="A62" s="30" t="s">
        <v>4319</v>
      </c>
      <c r="B62" s="29" t="s">
        <v>502</v>
      </c>
      <c r="C62" s="30" t="s">
        <v>4320</v>
      </c>
      <c r="D62" s="30" t="s">
        <v>4265</v>
      </c>
      <c r="E62" s="53"/>
      <c r="L62" s="32"/>
      <c r="M62" s="34"/>
      <c r="N62" s="34"/>
      <c r="O62" s="34"/>
    </row>
    <row r="63" spans="1:15">
      <c r="A63" s="30" t="s">
        <v>4321</v>
      </c>
      <c r="B63" s="29" t="s">
        <v>533</v>
      </c>
      <c r="C63" s="30" t="s">
        <v>4322</v>
      </c>
      <c r="D63" s="30" t="s">
        <v>4265</v>
      </c>
      <c r="E63" s="53"/>
      <c r="L63" s="32"/>
      <c r="M63" s="34"/>
      <c r="N63" s="34"/>
      <c r="O63" s="34"/>
    </row>
    <row r="64" spans="1:15">
      <c r="A64" s="30" t="s">
        <v>4323</v>
      </c>
      <c r="B64" s="29" t="s">
        <v>537</v>
      </c>
      <c r="C64" s="30" t="s">
        <v>4324</v>
      </c>
      <c r="D64" s="30" t="s">
        <v>4265</v>
      </c>
      <c r="E64" s="53"/>
      <c r="L64" s="32"/>
      <c r="M64" s="34"/>
      <c r="N64" s="34"/>
      <c r="O64" s="34"/>
    </row>
    <row r="65" spans="1:15">
      <c r="A65" s="30" t="s">
        <v>4325</v>
      </c>
      <c r="B65" s="29" t="s">
        <v>541</v>
      </c>
      <c r="C65" s="30" t="s">
        <v>4326</v>
      </c>
      <c r="D65" s="30" t="s">
        <v>4265</v>
      </c>
      <c r="E65" s="53"/>
      <c r="L65" s="32"/>
      <c r="M65" s="34"/>
      <c r="N65" s="34"/>
      <c r="O65" s="34"/>
    </row>
    <row r="66" spans="1:15">
      <c r="A66" s="30" t="s">
        <v>4327</v>
      </c>
      <c r="B66" s="29" t="s">
        <v>545</v>
      </c>
      <c r="C66" s="30" t="s">
        <v>4328</v>
      </c>
      <c r="D66" s="30" t="s">
        <v>4265</v>
      </c>
      <c r="E66" s="53"/>
      <c r="L66" s="32"/>
      <c r="M66" s="34"/>
      <c r="N66" s="34"/>
      <c r="O66" s="34"/>
    </row>
    <row r="67" spans="1:15">
      <c r="A67" s="30" t="s">
        <v>4329</v>
      </c>
      <c r="B67" s="29" t="s">
        <v>553</v>
      </c>
      <c r="C67" s="30" t="s">
        <v>4330</v>
      </c>
      <c r="D67" s="30" t="s">
        <v>4265</v>
      </c>
      <c r="E67" s="53"/>
      <c r="L67" s="32"/>
      <c r="M67" s="34"/>
      <c r="N67" s="34"/>
      <c r="O67" s="34"/>
    </row>
    <row r="68" spans="1:15">
      <c r="A68" s="30" t="s">
        <v>4331</v>
      </c>
      <c r="B68" s="29" t="s">
        <v>563</v>
      </c>
      <c r="C68" s="30" t="s">
        <v>4332</v>
      </c>
      <c r="D68" s="30" t="s">
        <v>4265</v>
      </c>
      <c r="E68" s="53"/>
      <c r="L68" s="32"/>
      <c r="M68" s="34"/>
      <c r="N68" s="34"/>
      <c r="O68" s="34"/>
    </row>
    <row r="69" spans="1:15">
      <c r="A69" s="30" t="s">
        <v>4333</v>
      </c>
      <c r="B69" s="29" t="s">
        <v>657</v>
      </c>
      <c r="C69" s="30" t="s">
        <v>4334</v>
      </c>
      <c r="D69" s="30" t="s">
        <v>4199</v>
      </c>
      <c r="E69" s="53"/>
      <c r="L69" s="32"/>
      <c r="M69" s="34"/>
      <c r="N69" s="34"/>
      <c r="O69" s="34"/>
    </row>
    <row r="70" spans="1:15">
      <c r="A70" s="30" t="s">
        <v>4335</v>
      </c>
      <c r="B70" s="29" t="s">
        <v>682</v>
      </c>
      <c r="C70" s="30" t="s">
        <v>4336</v>
      </c>
      <c r="D70" s="30" t="s">
        <v>4199</v>
      </c>
      <c r="E70" s="53"/>
      <c r="L70" s="32"/>
      <c r="M70" s="34"/>
      <c r="N70" s="34"/>
      <c r="O70" s="34"/>
    </row>
    <row r="71" spans="1:15">
      <c r="A71" s="30" t="s">
        <v>4337</v>
      </c>
      <c r="B71" s="29" t="s">
        <v>686</v>
      </c>
      <c r="C71" s="30" t="s">
        <v>4338</v>
      </c>
      <c r="D71" s="30" t="s">
        <v>4199</v>
      </c>
      <c r="E71" s="53"/>
      <c r="L71" s="32"/>
      <c r="M71" s="34"/>
      <c r="N71" s="34"/>
      <c r="O71" s="34"/>
    </row>
    <row r="72" spans="1:15">
      <c r="A72" s="30" t="s">
        <v>4339</v>
      </c>
      <c r="B72" s="29" t="s">
        <v>692</v>
      </c>
      <c r="C72" s="30" t="s">
        <v>4340</v>
      </c>
      <c r="D72" s="30" t="s">
        <v>4199</v>
      </c>
      <c r="E72" s="53"/>
      <c r="L72" s="32"/>
      <c r="M72" s="34"/>
      <c r="N72" s="34"/>
      <c r="O72" s="34"/>
    </row>
    <row r="73" spans="1:15">
      <c r="A73" s="30" t="s">
        <v>4341</v>
      </c>
      <c r="B73" s="29" t="s">
        <v>695</v>
      </c>
      <c r="C73" s="30" t="s">
        <v>4342</v>
      </c>
      <c r="D73" s="30" t="s">
        <v>4199</v>
      </c>
      <c r="E73" s="53"/>
      <c r="L73" s="32"/>
      <c r="M73" s="34"/>
      <c r="N73" s="34"/>
      <c r="O73" s="34"/>
    </row>
    <row r="74" spans="1:15">
      <c r="A74" s="30" t="s">
        <v>4343</v>
      </c>
      <c r="B74" s="29" t="s">
        <v>699</v>
      </c>
      <c r="C74" s="30" t="s">
        <v>4344</v>
      </c>
      <c r="D74" s="30" t="s">
        <v>4199</v>
      </c>
      <c r="E74" s="53"/>
      <c r="L74" s="32"/>
      <c r="M74" s="34"/>
      <c r="N74" s="34"/>
      <c r="O74" s="34"/>
    </row>
    <row r="75" spans="1:15">
      <c r="A75" s="30" t="s">
        <v>4345</v>
      </c>
      <c r="B75" s="29" t="s">
        <v>704</v>
      </c>
      <c r="C75" s="30" t="s">
        <v>4346</v>
      </c>
      <c r="D75" s="30" t="s">
        <v>4199</v>
      </c>
      <c r="E75" s="53"/>
      <c r="L75" s="32"/>
      <c r="M75" s="34"/>
      <c r="N75" s="34"/>
      <c r="O75" s="34"/>
    </row>
    <row r="76" spans="1:15">
      <c r="A76" s="30" t="s">
        <v>4347</v>
      </c>
      <c r="B76" s="29" t="s">
        <v>707</v>
      </c>
      <c r="C76" s="30" t="s">
        <v>4348</v>
      </c>
      <c r="D76" s="30" t="s">
        <v>4199</v>
      </c>
      <c r="E76" s="53"/>
      <c r="L76" s="32"/>
      <c r="M76" s="34"/>
      <c r="N76" s="34"/>
      <c r="O76" s="34"/>
    </row>
    <row r="77" spans="1:15">
      <c r="A77" s="30" t="s">
        <v>4349</v>
      </c>
      <c r="B77" s="29" t="s">
        <v>709</v>
      </c>
      <c r="C77" s="30" t="s">
        <v>4350</v>
      </c>
      <c r="D77" s="30" t="s">
        <v>4199</v>
      </c>
      <c r="E77" s="53"/>
      <c r="L77" s="32"/>
      <c r="M77" s="34"/>
      <c r="N77" s="34"/>
      <c r="O77" s="34"/>
    </row>
    <row r="78" spans="1:15">
      <c r="A78" s="30" t="s">
        <v>4351</v>
      </c>
      <c r="B78" s="29" t="s">
        <v>713</v>
      </c>
      <c r="C78" s="30" t="s">
        <v>4352</v>
      </c>
      <c r="D78" s="30" t="s">
        <v>4199</v>
      </c>
      <c r="E78" s="53"/>
      <c r="L78" s="32"/>
      <c r="M78" s="34"/>
      <c r="N78" s="34"/>
      <c r="O78" s="34"/>
    </row>
    <row r="79" spans="1:15">
      <c r="A79" s="30" t="s">
        <v>4353</v>
      </c>
      <c r="B79" s="29" t="s">
        <v>719</v>
      </c>
      <c r="C79" s="30" t="s">
        <v>4354</v>
      </c>
      <c r="D79" s="30" t="s">
        <v>4199</v>
      </c>
      <c r="E79" s="53"/>
      <c r="L79" s="32"/>
      <c r="M79" s="34"/>
      <c r="N79" s="34"/>
      <c r="O79" s="34"/>
    </row>
    <row r="80" spans="1:15">
      <c r="A80" s="30" t="s">
        <v>4355</v>
      </c>
      <c r="B80" s="29" t="s">
        <v>726</v>
      </c>
      <c r="C80" s="30" t="s">
        <v>4356</v>
      </c>
      <c r="D80" s="30" t="s">
        <v>4199</v>
      </c>
      <c r="E80" s="53"/>
      <c r="L80" s="32"/>
      <c r="M80" s="34"/>
      <c r="N80" s="34"/>
      <c r="O80" s="34"/>
    </row>
    <row r="81" spans="1:15">
      <c r="A81" s="30" t="s">
        <v>4357</v>
      </c>
      <c r="B81" s="29" t="s">
        <v>736</v>
      </c>
      <c r="C81" s="30" t="s">
        <v>4358</v>
      </c>
      <c r="D81" s="30" t="s">
        <v>4199</v>
      </c>
      <c r="E81" s="53"/>
      <c r="L81" s="32"/>
      <c r="M81" s="34"/>
      <c r="N81" s="34"/>
      <c r="O81" s="34"/>
    </row>
    <row r="82" spans="1:15">
      <c r="A82" s="30" t="s">
        <v>4359</v>
      </c>
      <c r="B82" s="29" t="s">
        <v>742</v>
      </c>
      <c r="C82" s="30" t="s">
        <v>4360</v>
      </c>
      <c r="D82" s="30" t="s">
        <v>4208</v>
      </c>
      <c r="E82" s="53"/>
      <c r="L82" s="32"/>
      <c r="M82" s="34"/>
      <c r="N82" s="34"/>
      <c r="O82" s="34"/>
    </row>
    <row r="83" spans="1:15">
      <c r="A83" s="30" t="s">
        <v>4361</v>
      </c>
      <c r="B83" s="29" t="s">
        <v>746</v>
      </c>
      <c r="C83" s="30" t="s">
        <v>4362</v>
      </c>
      <c r="D83" s="30" t="s">
        <v>4208</v>
      </c>
      <c r="E83" s="53"/>
      <c r="L83" s="32"/>
      <c r="M83" s="34"/>
      <c r="N83" s="34"/>
      <c r="O83" s="34"/>
    </row>
    <row r="84" spans="1:15">
      <c r="A84" s="30" t="s">
        <v>4363</v>
      </c>
      <c r="B84" s="29" t="s">
        <v>751</v>
      </c>
      <c r="C84" s="30" t="s">
        <v>4364</v>
      </c>
      <c r="D84" s="30" t="s">
        <v>4208</v>
      </c>
      <c r="E84" s="53"/>
      <c r="L84" s="32"/>
      <c r="M84" s="34"/>
      <c r="N84" s="34"/>
      <c r="O84" s="34"/>
    </row>
    <row r="85" spans="1:15">
      <c r="A85" s="30" t="s">
        <v>4365</v>
      </c>
      <c r="B85" s="29" t="s">
        <v>759</v>
      </c>
      <c r="C85" s="30" t="s">
        <v>4366</v>
      </c>
      <c r="D85" s="30" t="s">
        <v>4208</v>
      </c>
      <c r="E85" s="53"/>
      <c r="L85" s="32"/>
      <c r="M85" s="34"/>
      <c r="N85" s="34"/>
      <c r="O85" s="34"/>
    </row>
    <row r="86" spans="1:15">
      <c r="A86" s="30" t="s">
        <v>4367</v>
      </c>
      <c r="B86" s="29" t="s">
        <v>763</v>
      </c>
      <c r="C86" s="30" t="s">
        <v>4368</v>
      </c>
      <c r="D86" s="30" t="s">
        <v>4208</v>
      </c>
      <c r="E86" s="53"/>
      <c r="L86" s="32"/>
      <c r="M86" s="34"/>
      <c r="N86" s="34"/>
      <c r="O86" s="34"/>
    </row>
    <row r="87" spans="1:15">
      <c r="A87" s="30" t="s">
        <v>4369</v>
      </c>
      <c r="B87" s="29" t="s">
        <v>768</v>
      </c>
      <c r="C87" s="30" t="s">
        <v>4370</v>
      </c>
      <c r="D87" s="30" t="s">
        <v>4208</v>
      </c>
      <c r="E87" s="53"/>
      <c r="L87" s="32"/>
      <c r="M87" s="34"/>
      <c r="N87" s="34"/>
      <c r="O87" s="34"/>
    </row>
    <row r="88" spans="1:15">
      <c r="A88" s="30" t="s">
        <v>4371</v>
      </c>
      <c r="B88" s="29" t="s">
        <v>773</v>
      </c>
      <c r="C88" s="30" t="s">
        <v>4372</v>
      </c>
      <c r="D88" s="30" t="s">
        <v>4208</v>
      </c>
      <c r="E88" s="53"/>
      <c r="L88" s="32"/>
      <c r="M88" s="34"/>
      <c r="N88" s="34"/>
      <c r="O88" s="34"/>
    </row>
    <row r="89" spans="1:15">
      <c r="A89" s="30" t="s">
        <v>4373</v>
      </c>
      <c r="B89" s="29" t="s">
        <v>779</v>
      </c>
      <c r="C89" s="30" t="s">
        <v>4374</v>
      </c>
      <c r="D89" s="30" t="s">
        <v>4208</v>
      </c>
      <c r="E89" s="53"/>
      <c r="L89" s="32"/>
      <c r="M89" s="34"/>
      <c r="N89" s="34"/>
      <c r="O89" s="34"/>
    </row>
    <row r="90" spans="1:15">
      <c r="A90" s="30" t="s">
        <v>4375</v>
      </c>
      <c r="B90" s="29" t="s">
        <v>864</v>
      </c>
      <c r="C90" s="30" t="s">
        <v>4376</v>
      </c>
      <c r="D90" s="30" t="s">
        <v>4199</v>
      </c>
      <c r="E90" s="53"/>
      <c r="L90" s="32"/>
      <c r="M90" s="34"/>
      <c r="N90" s="34"/>
      <c r="O90" s="34"/>
    </row>
    <row r="91" spans="1:15">
      <c r="A91" s="30" t="s">
        <v>4377</v>
      </c>
      <c r="B91" s="29" t="s">
        <v>869</v>
      </c>
      <c r="C91" s="30" t="s">
        <v>4378</v>
      </c>
      <c r="D91" s="30" t="s">
        <v>4199</v>
      </c>
      <c r="E91" s="53"/>
      <c r="L91" s="32"/>
      <c r="M91" s="34"/>
      <c r="N91" s="34"/>
      <c r="O91" s="34"/>
    </row>
    <row r="92" spans="1:15">
      <c r="A92" s="30" t="s">
        <v>4379</v>
      </c>
      <c r="B92" s="29" t="s">
        <v>874</v>
      </c>
      <c r="C92" s="30" t="s">
        <v>4380</v>
      </c>
      <c r="D92" s="30" t="s">
        <v>4199</v>
      </c>
      <c r="E92" s="53"/>
      <c r="L92" s="32"/>
      <c r="M92" s="34"/>
      <c r="N92" s="34"/>
      <c r="O92" s="34"/>
    </row>
    <row r="93" spans="1:15">
      <c r="A93" s="30" t="s">
        <v>4381</v>
      </c>
      <c r="B93" s="29" t="s">
        <v>878</v>
      </c>
      <c r="C93" s="30" t="s">
        <v>4382</v>
      </c>
      <c r="D93" s="30" t="s">
        <v>4199</v>
      </c>
      <c r="E93" s="53"/>
      <c r="L93" s="32"/>
      <c r="M93" s="34"/>
      <c r="N93" s="34"/>
      <c r="O93" s="34"/>
    </row>
    <row r="94" spans="1:15">
      <c r="A94" s="30" t="s">
        <v>4383</v>
      </c>
      <c r="B94" s="29" t="s">
        <v>882</v>
      </c>
      <c r="C94" s="30" t="s">
        <v>4384</v>
      </c>
      <c r="D94" s="30" t="s">
        <v>4199</v>
      </c>
      <c r="E94" s="53"/>
      <c r="L94" s="32"/>
      <c r="M94" s="34"/>
      <c r="N94" s="34"/>
      <c r="O94" s="34"/>
    </row>
    <row r="95" spans="1:15">
      <c r="A95" s="30" t="s">
        <v>4385</v>
      </c>
      <c r="B95" s="29" t="s">
        <v>884</v>
      </c>
      <c r="C95" s="30" t="s">
        <v>4386</v>
      </c>
      <c r="D95" s="30" t="s">
        <v>4199</v>
      </c>
      <c r="E95" s="53"/>
      <c r="L95" s="32"/>
      <c r="M95" s="34"/>
      <c r="N95" s="34"/>
      <c r="O95" s="34"/>
    </row>
    <row r="96" spans="1:15">
      <c r="A96" s="30" t="s">
        <v>4387</v>
      </c>
      <c r="B96" s="29" t="s">
        <v>892</v>
      </c>
      <c r="C96" s="30" t="s">
        <v>4388</v>
      </c>
      <c r="D96" s="30" t="s">
        <v>4199</v>
      </c>
      <c r="E96" s="53"/>
      <c r="L96" s="32"/>
      <c r="M96" s="34"/>
      <c r="N96" s="34"/>
      <c r="O96" s="34"/>
    </row>
    <row r="97" spans="1:15">
      <c r="A97" s="30" t="s">
        <v>4389</v>
      </c>
      <c r="B97" s="29" t="s">
        <v>1011</v>
      </c>
      <c r="C97" s="30" t="s">
        <v>4390</v>
      </c>
      <c r="D97" s="30" t="s">
        <v>4199</v>
      </c>
      <c r="E97" s="53"/>
      <c r="L97" s="32"/>
      <c r="M97" s="34"/>
      <c r="N97" s="34"/>
      <c r="O97" s="34"/>
    </row>
    <row r="98" spans="1:15">
      <c r="A98" s="30" t="s">
        <v>4391</v>
      </c>
      <c r="B98" s="29" t="s">
        <v>1016</v>
      </c>
      <c r="C98" s="30" t="s">
        <v>4392</v>
      </c>
      <c r="D98" s="30" t="s">
        <v>4199</v>
      </c>
      <c r="E98" s="53"/>
      <c r="L98" s="32"/>
      <c r="M98" s="34"/>
      <c r="N98" s="34"/>
      <c r="O98" s="34"/>
    </row>
    <row r="99" spans="1:15">
      <c r="A99" s="30" t="s">
        <v>4393</v>
      </c>
      <c r="B99" s="29" t="s">
        <v>1020</v>
      </c>
      <c r="C99" s="30" t="s">
        <v>4394</v>
      </c>
      <c r="D99" s="30" t="s">
        <v>4199</v>
      </c>
      <c r="E99" s="53"/>
      <c r="L99" s="32"/>
      <c r="M99" s="34"/>
      <c r="N99" s="34"/>
      <c r="O99" s="34"/>
    </row>
    <row r="100" spans="1:15">
      <c r="A100" s="46" t="s">
        <v>4395</v>
      </c>
      <c r="B100" s="29" t="s">
        <v>1024</v>
      </c>
      <c r="C100" s="30" t="s">
        <v>4396</v>
      </c>
      <c r="D100" s="30" t="s">
        <v>4199</v>
      </c>
      <c r="E100" s="53"/>
      <c r="L100" s="32"/>
      <c r="M100" s="34"/>
      <c r="N100" s="34"/>
      <c r="O100" s="34"/>
    </row>
    <row r="101" spans="1:15">
      <c r="A101" s="30" t="s">
        <v>4397</v>
      </c>
      <c r="B101" s="29" t="s">
        <v>1027</v>
      </c>
      <c r="C101" s="30" t="s">
        <v>4398</v>
      </c>
      <c r="D101" s="30" t="s">
        <v>4199</v>
      </c>
      <c r="E101" s="53"/>
      <c r="L101" s="32"/>
      <c r="M101" s="34"/>
      <c r="N101" s="34"/>
      <c r="O101" s="34"/>
    </row>
    <row r="102" spans="1:15">
      <c r="A102" s="30" t="s">
        <v>4399</v>
      </c>
      <c r="B102" s="29" t="s">
        <v>1035</v>
      </c>
      <c r="C102" s="30" t="s">
        <v>4400</v>
      </c>
      <c r="D102" s="30" t="s">
        <v>4199</v>
      </c>
      <c r="E102" s="53"/>
      <c r="L102" s="32"/>
      <c r="M102" s="34"/>
      <c r="N102" s="34"/>
      <c r="O102" s="34"/>
    </row>
    <row r="103" spans="1:15">
      <c r="A103" s="30" t="s">
        <v>4401</v>
      </c>
      <c r="B103" s="29" t="s">
        <v>1077</v>
      </c>
      <c r="C103" s="30" t="s">
        <v>4402</v>
      </c>
      <c r="D103" s="30" t="s">
        <v>4403</v>
      </c>
      <c r="E103" s="53"/>
      <c r="L103" s="32"/>
      <c r="M103" s="34"/>
      <c r="N103" s="34"/>
      <c r="O103" s="34"/>
    </row>
    <row r="104" spans="1:15">
      <c r="A104" s="30" t="s">
        <v>4404</v>
      </c>
      <c r="B104" s="29" t="s">
        <v>1079</v>
      </c>
      <c r="C104" s="30" t="s">
        <v>4405</v>
      </c>
      <c r="D104" s="30" t="s">
        <v>4403</v>
      </c>
      <c r="E104" s="53"/>
      <c r="L104" s="32"/>
      <c r="M104" s="34"/>
      <c r="N104" s="34"/>
      <c r="O104" s="34"/>
    </row>
    <row r="105" spans="1:15">
      <c r="A105" s="30" t="s">
        <v>4406</v>
      </c>
      <c r="B105" s="29" t="s">
        <v>1082</v>
      </c>
      <c r="C105" s="30" t="s">
        <v>4407</v>
      </c>
      <c r="D105" s="30" t="s">
        <v>4403</v>
      </c>
      <c r="E105" s="53"/>
      <c r="L105" s="32"/>
      <c r="M105" s="34"/>
      <c r="N105" s="34"/>
      <c r="O105" s="34"/>
    </row>
    <row r="106" spans="1:15">
      <c r="A106" s="30" t="s">
        <v>4408</v>
      </c>
      <c r="B106" s="29" t="s">
        <v>1085</v>
      </c>
      <c r="C106" s="30" t="s">
        <v>4409</v>
      </c>
      <c r="E106" s="53"/>
      <c r="L106" s="32"/>
      <c r="M106" s="34"/>
      <c r="N106" s="34"/>
      <c r="O106" s="34"/>
    </row>
    <row r="107" spans="1:15">
      <c r="A107" s="30" t="s">
        <v>4410</v>
      </c>
      <c r="B107" s="29" t="s">
        <v>1088</v>
      </c>
      <c r="C107" s="30" t="s">
        <v>4411</v>
      </c>
      <c r="D107" s="30" t="s">
        <v>4403</v>
      </c>
      <c r="E107" s="53"/>
      <c r="L107" s="32"/>
      <c r="M107" s="34"/>
      <c r="N107" s="34"/>
      <c r="O107" s="34"/>
    </row>
    <row r="108" spans="1:15">
      <c r="A108" s="30" t="s">
        <v>4412</v>
      </c>
      <c r="B108" s="29" t="s">
        <v>1090</v>
      </c>
      <c r="C108" s="30" t="s">
        <v>4413</v>
      </c>
      <c r="D108" s="30" t="s">
        <v>4403</v>
      </c>
      <c r="E108" s="53"/>
      <c r="L108" s="32"/>
      <c r="M108" s="34"/>
      <c r="N108" s="34"/>
      <c r="O108" s="34"/>
    </row>
    <row r="109" spans="1:15">
      <c r="A109" s="30" t="s">
        <v>4414</v>
      </c>
      <c r="B109" s="29" t="s">
        <v>1092</v>
      </c>
      <c r="C109" s="30" t="s">
        <v>4415</v>
      </c>
      <c r="D109" s="30" t="s">
        <v>4403</v>
      </c>
      <c r="E109" s="53"/>
      <c r="L109" s="32"/>
      <c r="M109" s="34"/>
      <c r="N109" s="34"/>
      <c r="O109" s="34"/>
    </row>
    <row r="110" spans="1:15">
      <c r="A110" s="30" t="s">
        <v>4416</v>
      </c>
      <c r="B110" s="29" t="s">
        <v>1095</v>
      </c>
      <c r="C110" s="30" t="s">
        <v>4417</v>
      </c>
      <c r="D110" s="30" t="s">
        <v>4403</v>
      </c>
      <c r="E110" s="53"/>
      <c r="L110" s="32"/>
      <c r="M110" s="34"/>
      <c r="N110" s="34"/>
      <c r="O110" s="34"/>
    </row>
    <row r="111" spans="1:15">
      <c r="A111" s="30" t="s">
        <v>4418</v>
      </c>
      <c r="B111" s="29" t="s">
        <v>1097</v>
      </c>
      <c r="C111" s="30" t="s">
        <v>4419</v>
      </c>
      <c r="D111" s="30" t="s">
        <v>4403</v>
      </c>
      <c r="E111" s="53"/>
      <c r="L111" s="32"/>
      <c r="M111" s="34"/>
      <c r="N111" s="34"/>
      <c r="O111" s="34"/>
    </row>
    <row r="112" spans="1:15">
      <c r="A112" s="30" t="s">
        <v>4420</v>
      </c>
      <c r="B112" s="29" t="s">
        <v>1100</v>
      </c>
      <c r="C112" s="30" t="s">
        <v>4421</v>
      </c>
      <c r="D112" s="30" t="s">
        <v>4403</v>
      </c>
      <c r="E112" s="53"/>
      <c r="L112" s="32"/>
      <c r="M112" s="34"/>
      <c r="N112" s="34"/>
      <c r="O112" s="34"/>
    </row>
    <row r="113" spans="1:15">
      <c r="A113" s="30" t="s">
        <v>4422</v>
      </c>
      <c r="B113" s="29" t="s">
        <v>1104</v>
      </c>
      <c r="C113" s="30" t="s">
        <v>4423</v>
      </c>
      <c r="D113" s="30" t="s">
        <v>4403</v>
      </c>
      <c r="E113" s="53"/>
      <c r="L113" s="32"/>
      <c r="M113" s="34"/>
      <c r="N113" s="34"/>
      <c r="O113" s="34"/>
    </row>
    <row r="114" spans="1:15">
      <c r="A114" s="30" t="s">
        <v>4424</v>
      </c>
      <c r="B114" s="29" t="s">
        <v>1107</v>
      </c>
      <c r="C114" s="30" t="s">
        <v>4425</v>
      </c>
      <c r="D114" s="30" t="s">
        <v>4403</v>
      </c>
      <c r="E114" s="53"/>
      <c r="L114" s="32"/>
      <c r="M114" s="34"/>
      <c r="N114" s="34"/>
      <c r="O114" s="34"/>
    </row>
    <row r="115" spans="1:15">
      <c r="A115" s="30" t="s">
        <v>4426</v>
      </c>
      <c r="B115" s="29" t="s">
        <v>1110</v>
      </c>
      <c r="C115" s="30" t="s">
        <v>4427</v>
      </c>
      <c r="D115" s="30" t="s">
        <v>4403</v>
      </c>
      <c r="E115" s="53"/>
      <c r="L115" s="32"/>
      <c r="M115" s="34"/>
      <c r="N115" s="34"/>
      <c r="O115" s="34"/>
    </row>
    <row r="116" spans="1:15">
      <c r="A116" s="30" t="s">
        <v>4428</v>
      </c>
      <c r="B116" s="29" t="s">
        <v>1112</v>
      </c>
      <c r="C116" s="30" t="s">
        <v>4429</v>
      </c>
      <c r="D116" s="30" t="s">
        <v>4403</v>
      </c>
      <c r="E116" s="53"/>
      <c r="L116" s="32"/>
      <c r="M116" s="34"/>
      <c r="N116" s="34"/>
      <c r="O116" s="34"/>
    </row>
    <row r="117" spans="1:15">
      <c r="A117" s="30" t="s">
        <v>4430</v>
      </c>
      <c r="B117" s="29" t="s">
        <v>1115</v>
      </c>
      <c r="C117" s="30" t="s">
        <v>4431</v>
      </c>
      <c r="D117" s="30" t="s">
        <v>4403</v>
      </c>
      <c r="E117" s="53"/>
      <c r="L117" s="32"/>
      <c r="M117" s="34"/>
      <c r="N117" s="34"/>
      <c r="O117" s="34"/>
    </row>
    <row r="118" spans="1:15">
      <c r="A118" s="30" t="s">
        <v>4432</v>
      </c>
      <c r="B118" s="29" t="s">
        <v>1118</v>
      </c>
      <c r="C118" s="30" t="s">
        <v>4433</v>
      </c>
      <c r="D118" s="30" t="s">
        <v>4403</v>
      </c>
      <c r="E118" s="53"/>
      <c r="L118" s="32"/>
      <c r="M118" s="34"/>
      <c r="N118" s="34"/>
      <c r="O118" s="34"/>
    </row>
    <row r="119" spans="1:15">
      <c r="A119" s="30" t="s">
        <v>4434</v>
      </c>
      <c r="B119" s="29" t="s">
        <v>1120</v>
      </c>
      <c r="C119" s="30" t="s">
        <v>4435</v>
      </c>
      <c r="D119" s="30" t="s">
        <v>4403</v>
      </c>
      <c r="E119" s="53"/>
      <c r="L119" s="32"/>
      <c r="M119" s="34"/>
      <c r="N119" s="34"/>
      <c r="O119" s="34"/>
    </row>
    <row r="120" spans="1:15">
      <c r="A120" s="30" t="s">
        <v>4436</v>
      </c>
      <c r="B120" s="29" t="s">
        <v>1122</v>
      </c>
      <c r="C120" s="30" t="s">
        <v>4437</v>
      </c>
      <c r="D120" s="30" t="s">
        <v>4403</v>
      </c>
      <c r="E120" s="53"/>
      <c r="L120" s="32"/>
      <c r="M120" s="34"/>
      <c r="N120" s="34"/>
      <c r="O120" s="34"/>
    </row>
    <row r="121" spans="1:15">
      <c r="A121" s="30" t="s">
        <v>4438</v>
      </c>
      <c r="B121" s="29" t="s">
        <v>1124</v>
      </c>
      <c r="C121" s="30" t="s">
        <v>4439</v>
      </c>
      <c r="E121" s="53"/>
      <c r="L121" s="32"/>
      <c r="M121" s="34"/>
      <c r="N121" s="34"/>
      <c r="O121" s="34"/>
    </row>
    <row r="122" spans="1:15">
      <c r="A122" s="30" t="s">
        <v>4440</v>
      </c>
      <c r="B122" s="29" t="s">
        <v>1127</v>
      </c>
      <c r="C122" s="30" t="s">
        <v>4441</v>
      </c>
      <c r="E122" s="53"/>
      <c r="L122" s="32"/>
      <c r="M122" s="34"/>
      <c r="N122" s="34"/>
      <c r="O122" s="34"/>
    </row>
    <row r="123" spans="1:15">
      <c r="A123" s="30" t="s">
        <v>4442</v>
      </c>
      <c r="B123" s="29" t="s">
        <v>1129</v>
      </c>
      <c r="C123" s="30" t="s">
        <v>4443</v>
      </c>
      <c r="D123" s="30" t="s">
        <v>4403</v>
      </c>
      <c r="E123" s="53"/>
      <c r="L123" s="32"/>
      <c r="M123" s="34"/>
      <c r="N123" s="34"/>
      <c r="O123" s="34"/>
    </row>
    <row r="124" spans="1:15">
      <c r="A124" s="30" t="s">
        <v>4444</v>
      </c>
      <c r="B124" s="29" t="s">
        <v>1132</v>
      </c>
      <c r="C124" s="30" t="s">
        <v>4445</v>
      </c>
      <c r="D124" s="30" t="s">
        <v>4403</v>
      </c>
      <c r="E124" s="53"/>
      <c r="L124" s="32"/>
      <c r="M124" s="34"/>
      <c r="N124" s="34"/>
      <c r="O124" s="34"/>
    </row>
    <row r="125" spans="1:15">
      <c r="A125" s="30" t="s">
        <v>4446</v>
      </c>
      <c r="B125" s="29" t="s">
        <v>1134</v>
      </c>
      <c r="C125" s="30" t="s">
        <v>4447</v>
      </c>
      <c r="D125" s="30" t="s">
        <v>4403</v>
      </c>
      <c r="E125" s="53"/>
      <c r="L125" s="32"/>
      <c r="M125" s="34"/>
      <c r="N125" s="34"/>
      <c r="O125" s="34"/>
    </row>
    <row r="126" spans="1:15">
      <c r="A126" s="30" t="s">
        <v>4448</v>
      </c>
      <c r="B126" s="29" t="s">
        <v>1136</v>
      </c>
      <c r="C126" s="30" t="s">
        <v>4449</v>
      </c>
      <c r="D126" s="30" t="s">
        <v>4403</v>
      </c>
      <c r="E126" s="53"/>
      <c r="L126" s="32"/>
      <c r="M126" s="34"/>
      <c r="N126" s="34"/>
      <c r="O126" s="34"/>
    </row>
    <row r="127" spans="1:15">
      <c r="A127" s="30" t="s">
        <v>4450</v>
      </c>
      <c r="B127" s="29" t="s">
        <v>1138</v>
      </c>
      <c r="C127" s="30" t="s">
        <v>4451</v>
      </c>
      <c r="D127" s="30" t="s">
        <v>4403</v>
      </c>
      <c r="E127" s="53"/>
      <c r="L127" s="32"/>
      <c r="M127" s="34"/>
      <c r="N127" s="34"/>
      <c r="O127" s="34"/>
    </row>
    <row r="128" spans="1:15">
      <c r="A128" s="30" t="s">
        <v>4452</v>
      </c>
      <c r="B128" s="29" t="s">
        <v>1140</v>
      </c>
      <c r="C128" s="30" t="s">
        <v>4453</v>
      </c>
      <c r="D128" s="30" t="s">
        <v>4403</v>
      </c>
      <c r="E128" s="53"/>
      <c r="L128" s="32"/>
      <c r="M128" s="34"/>
      <c r="N128" s="34"/>
      <c r="O128" s="34"/>
    </row>
    <row r="129" spans="1:15">
      <c r="A129" s="30" t="s">
        <v>4454</v>
      </c>
      <c r="B129" s="29" t="s">
        <v>1143</v>
      </c>
      <c r="C129" s="30" t="s">
        <v>4455</v>
      </c>
      <c r="D129" s="30" t="s">
        <v>4403</v>
      </c>
      <c r="E129" s="53"/>
      <c r="L129" s="32"/>
      <c r="M129" s="34"/>
      <c r="N129" s="34"/>
      <c r="O129" s="34"/>
    </row>
    <row r="130" spans="1:15">
      <c r="A130" s="30" t="s">
        <v>4456</v>
      </c>
      <c r="B130" s="29" t="s">
        <v>1146</v>
      </c>
      <c r="C130" s="30" t="s">
        <v>4457</v>
      </c>
      <c r="E130" s="53"/>
      <c r="L130" s="32"/>
      <c r="M130" s="34"/>
      <c r="N130" s="34"/>
      <c r="O130" s="34"/>
    </row>
    <row r="131" spans="1:15">
      <c r="A131" s="30" t="s">
        <v>4458</v>
      </c>
      <c r="B131" s="29" t="s">
        <v>1149</v>
      </c>
      <c r="C131" s="30" t="s">
        <v>4459</v>
      </c>
      <c r="D131" s="30" t="s">
        <v>4199</v>
      </c>
      <c r="E131" s="53"/>
      <c r="L131" s="32"/>
      <c r="M131" s="34"/>
      <c r="N131" s="34"/>
      <c r="O131" s="34"/>
    </row>
    <row r="132" spans="1:15">
      <c r="A132" s="30" t="s">
        <v>4460</v>
      </c>
      <c r="B132" s="29" t="s">
        <v>1154</v>
      </c>
      <c r="C132" s="30" t="s">
        <v>4461</v>
      </c>
      <c r="D132" s="30" t="s">
        <v>4199</v>
      </c>
      <c r="E132" s="53"/>
      <c r="L132" s="32"/>
      <c r="M132" s="34"/>
      <c r="N132" s="34"/>
      <c r="O132" s="34"/>
    </row>
    <row r="133" spans="1:15">
      <c r="A133" s="30" t="s">
        <v>4462</v>
      </c>
      <c r="B133" s="29" t="s">
        <v>1160</v>
      </c>
      <c r="C133" s="30" t="s">
        <v>4463</v>
      </c>
      <c r="D133" s="30" t="s">
        <v>4199</v>
      </c>
      <c r="E133" s="53"/>
      <c r="L133" s="32"/>
      <c r="M133" s="34"/>
      <c r="N133" s="34"/>
      <c r="O133" s="34"/>
    </row>
    <row r="134" spans="1:15">
      <c r="A134" s="30" t="s">
        <v>4464</v>
      </c>
      <c r="B134" s="29" t="s">
        <v>1165</v>
      </c>
      <c r="C134" s="30" t="s">
        <v>4465</v>
      </c>
      <c r="D134" s="30" t="s">
        <v>4199</v>
      </c>
      <c r="E134" s="53"/>
      <c r="L134" s="32"/>
      <c r="M134" s="34"/>
      <c r="N134" s="34"/>
      <c r="O134" s="34"/>
    </row>
    <row r="135" spans="1:15">
      <c r="A135" s="30" t="s">
        <v>4466</v>
      </c>
      <c r="B135" s="29" t="s">
        <v>1169</v>
      </c>
      <c r="C135" s="30" t="s">
        <v>4467</v>
      </c>
      <c r="D135" s="30" t="s">
        <v>4199</v>
      </c>
      <c r="E135" s="53"/>
      <c r="L135" s="32"/>
      <c r="M135" s="34"/>
      <c r="N135" s="34"/>
      <c r="O135" s="34"/>
    </row>
    <row r="136" spans="1:15">
      <c r="A136" s="30" t="s">
        <v>4468</v>
      </c>
      <c r="B136" s="29" t="s">
        <v>1190</v>
      </c>
      <c r="C136" s="30" t="s">
        <v>4469</v>
      </c>
      <c r="D136" s="30" t="s">
        <v>4403</v>
      </c>
      <c r="E136" s="53"/>
      <c r="L136" s="32"/>
      <c r="M136" s="34"/>
      <c r="N136" s="34"/>
      <c r="O136" s="34"/>
    </row>
    <row r="137" spans="1:15">
      <c r="A137" s="30" t="s">
        <v>4470</v>
      </c>
      <c r="B137" s="29" t="s">
        <v>1193</v>
      </c>
      <c r="C137" s="30" t="s">
        <v>4471</v>
      </c>
      <c r="D137" s="30" t="s">
        <v>4403</v>
      </c>
      <c r="E137" s="53"/>
      <c r="L137" s="32"/>
      <c r="M137" s="34"/>
      <c r="N137" s="34"/>
      <c r="O137" s="34"/>
    </row>
    <row r="138" spans="1:15">
      <c r="A138" s="30" t="s">
        <v>4472</v>
      </c>
      <c r="B138" s="29" t="s">
        <v>1196</v>
      </c>
      <c r="C138" s="30" t="s">
        <v>4473</v>
      </c>
      <c r="D138" s="30" t="s">
        <v>4403</v>
      </c>
      <c r="E138" s="53"/>
      <c r="L138" s="32"/>
      <c r="M138" s="34"/>
      <c r="N138" s="34"/>
      <c r="O138" s="34"/>
    </row>
    <row r="139" spans="1:15">
      <c r="A139" s="30" t="s">
        <v>4474</v>
      </c>
      <c r="B139" s="29" t="s">
        <v>1200</v>
      </c>
      <c r="C139" s="30" t="s">
        <v>4475</v>
      </c>
      <c r="D139" s="30" t="s">
        <v>4403</v>
      </c>
      <c r="E139" s="53"/>
      <c r="L139" s="32"/>
      <c r="M139" s="34"/>
      <c r="N139" s="34"/>
      <c r="O139" s="34"/>
    </row>
    <row r="140" spans="1:15">
      <c r="A140" s="30" t="s">
        <v>4476</v>
      </c>
      <c r="B140" s="29" t="s">
        <v>1203</v>
      </c>
      <c r="C140" s="30" t="s">
        <v>4477</v>
      </c>
      <c r="D140" s="30" t="s">
        <v>4403</v>
      </c>
      <c r="E140" s="53"/>
      <c r="L140" s="32"/>
      <c r="M140" s="34"/>
      <c r="N140" s="34"/>
      <c r="O140" s="34"/>
    </row>
    <row r="141" spans="1:15">
      <c r="A141" s="30" t="s">
        <v>4478</v>
      </c>
      <c r="B141" s="29" t="s">
        <v>1206</v>
      </c>
      <c r="C141" s="30" t="s">
        <v>4479</v>
      </c>
      <c r="D141" s="30" t="s">
        <v>4403</v>
      </c>
      <c r="E141" s="53"/>
      <c r="L141" s="32"/>
      <c r="M141" s="34"/>
      <c r="N141" s="34"/>
      <c r="O141" s="34"/>
    </row>
    <row r="142" spans="1:15">
      <c r="A142" s="30" t="s">
        <v>4480</v>
      </c>
      <c r="B142" s="29" t="s">
        <v>1209</v>
      </c>
      <c r="C142" s="30" t="s">
        <v>4481</v>
      </c>
      <c r="D142" s="30" t="s">
        <v>4403</v>
      </c>
      <c r="E142" s="53"/>
      <c r="L142" s="32"/>
      <c r="M142" s="34"/>
      <c r="N142" s="34"/>
      <c r="O142" s="34"/>
    </row>
    <row r="143" spans="1:15">
      <c r="A143" s="30" t="s">
        <v>4482</v>
      </c>
      <c r="B143" s="29" t="s">
        <v>1212</v>
      </c>
      <c r="C143" s="30" t="s">
        <v>4483</v>
      </c>
      <c r="D143" s="30" t="s">
        <v>4403</v>
      </c>
      <c r="E143" s="53"/>
      <c r="L143" s="32"/>
      <c r="M143" s="34"/>
      <c r="N143" s="34"/>
      <c r="O143" s="34"/>
    </row>
    <row r="144" spans="1:15">
      <c r="A144" s="30" t="s">
        <v>4484</v>
      </c>
      <c r="B144" s="29" t="s">
        <v>1215</v>
      </c>
      <c r="C144" s="30" t="s">
        <v>4485</v>
      </c>
      <c r="D144" s="30" t="s">
        <v>4403</v>
      </c>
      <c r="E144" s="53"/>
      <c r="L144" s="32"/>
      <c r="M144" s="34"/>
      <c r="N144" s="34"/>
      <c r="O144" s="34"/>
    </row>
    <row r="145" spans="1:15">
      <c r="A145" s="30" t="s">
        <v>4486</v>
      </c>
      <c r="B145" s="29" t="s">
        <v>1218</v>
      </c>
      <c r="C145" s="30" t="s">
        <v>4487</v>
      </c>
      <c r="D145" s="30" t="s">
        <v>4403</v>
      </c>
      <c r="E145" s="53"/>
      <c r="L145" s="32"/>
      <c r="M145" s="34"/>
      <c r="N145" s="34"/>
      <c r="O145" s="34"/>
    </row>
    <row r="146" spans="1:15">
      <c r="A146" s="30" t="s">
        <v>4488</v>
      </c>
      <c r="B146" s="29" t="s">
        <v>1221</v>
      </c>
      <c r="C146" s="30" t="s">
        <v>4489</v>
      </c>
      <c r="D146" s="30" t="s">
        <v>4403</v>
      </c>
      <c r="E146" s="53"/>
      <c r="L146" s="32"/>
      <c r="M146" s="34"/>
      <c r="N146" s="34"/>
      <c r="O146" s="34"/>
    </row>
    <row r="147" spans="1:15">
      <c r="A147" s="30" t="s">
        <v>4490</v>
      </c>
      <c r="B147" s="29" t="s">
        <v>1224</v>
      </c>
      <c r="C147" s="30" t="s">
        <v>4491</v>
      </c>
      <c r="D147" s="30" t="s">
        <v>4403</v>
      </c>
      <c r="E147" s="53"/>
      <c r="L147" s="32"/>
      <c r="M147" s="34"/>
      <c r="N147" s="34"/>
      <c r="O147" s="34"/>
    </row>
    <row r="148" spans="1:15">
      <c r="A148" s="30" t="s">
        <v>4492</v>
      </c>
      <c r="B148" s="29" t="s">
        <v>1227</v>
      </c>
      <c r="C148" s="30" t="s">
        <v>4493</v>
      </c>
      <c r="D148" s="30" t="s">
        <v>4403</v>
      </c>
      <c r="E148" s="53"/>
      <c r="L148" s="32"/>
      <c r="M148" s="34"/>
      <c r="N148" s="34"/>
      <c r="O148" s="34"/>
    </row>
    <row r="149" spans="1:15">
      <c r="A149" s="30" t="s">
        <v>4494</v>
      </c>
      <c r="B149" s="29" t="s">
        <v>1230</v>
      </c>
      <c r="C149" s="30" t="s">
        <v>4495</v>
      </c>
      <c r="D149" s="30" t="s">
        <v>4403</v>
      </c>
      <c r="E149" s="53"/>
      <c r="L149" s="32"/>
      <c r="M149" s="34"/>
      <c r="N149" s="34"/>
      <c r="O149" s="34"/>
    </row>
    <row r="150" spans="1:15">
      <c r="A150" s="30" t="s">
        <v>4496</v>
      </c>
      <c r="B150" s="29" t="s">
        <v>1232</v>
      </c>
      <c r="C150" s="30" t="s">
        <v>4497</v>
      </c>
      <c r="D150" s="30" t="s">
        <v>4208</v>
      </c>
      <c r="E150" s="53"/>
      <c r="L150" s="32"/>
      <c r="M150" s="34"/>
      <c r="N150" s="34"/>
      <c r="O150" s="34"/>
    </row>
    <row r="151" spans="1:15">
      <c r="A151" s="30" t="s">
        <v>4498</v>
      </c>
      <c r="B151" s="29" t="s">
        <v>1235</v>
      </c>
      <c r="C151" s="30" t="s">
        <v>4499</v>
      </c>
      <c r="D151" s="30" t="s">
        <v>4208</v>
      </c>
      <c r="E151" s="53"/>
      <c r="L151" s="32"/>
      <c r="M151" s="34"/>
      <c r="N151" s="34"/>
      <c r="O151" s="34"/>
    </row>
    <row r="152" spans="1:15">
      <c r="A152" s="30" t="s">
        <v>4500</v>
      </c>
      <c r="B152" s="29" t="s">
        <v>1243</v>
      </c>
      <c r="C152" s="30" t="s">
        <v>4501</v>
      </c>
      <c r="D152" s="30" t="s">
        <v>4208</v>
      </c>
      <c r="E152" s="53"/>
      <c r="L152" s="32"/>
      <c r="M152" s="34"/>
      <c r="N152" s="34"/>
      <c r="O152" s="34"/>
    </row>
    <row r="153" spans="1:15">
      <c r="A153" s="30" t="s">
        <v>4502</v>
      </c>
      <c r="B153" s="29" t="s">
        <v>1247</v>
      </c>
      <c r="C153" s="30" t="s">
        <v>4503</v>
      </c>
      <c r="D153" s="30" t="s">
        <v>4208</v>
      </c>
      <c r="E153" s="53"/>
      <c r="L153" s="32"/>
      <c r="M153" s="34"/>
      <c r="N153" s="34"/>
      <c r="O153" s="34"/>
    </row>
    <row r="154" spans="1:15">
      <c r="A154" s="30" t="s">
        <v>4504</v>
      </c>
      <c r="B154" s="29" t="s">
        <v>1251</v>
      </c>
      <c r="C154" s="30" t="s">
        <v>4505</v>
      </c>
      <c r="D154" s="30" t="s">
        <v>4208</v>
      </c>
      <c r="E154" s="53"/>
      <c r="L154" s="32"/>
      <c r="M154" s="34"/>
      <c r="N154" s="34"/>
      <c r="O154" s="34"/>
    </row>
    <row r="155" spans="1:15">
      <c r="A155" s="30" t="s">
        <v>4506</v>
      </c>
      <c r="B155" s="29" t="s">
        <v>1254</v>
      </c>
      <c r="C155" s="30" t="s">
        <v>4507</v>
      </c>
      <c r="D155" s="30" t="s">
        <v>4208</v>
      </c>
      <c r="E155" s="53"/>
      <c r="L155" s="32"/>
      <c r="M155" s="34"/>
      <c r="N155" s="34"/>
      <c r="O155" s="34"/>
    </row>
    <row r="156" spans="1:15">
      <c r="A156" s="30" t="s">
        <v>4508</v>
      </c>
      <c r="B156" s="29" t="s">
        <v>1258</v>
      </c>
      <c r="C156" s="30" t="s">
        <v>4509</v>
      </c>
      <c r="D156" s="30" t="s">
        <v>4208</v>
      </c>
      <c r="E156" s="53"/>
      <c r="L156" s="32"/>
      <c r="M156" s="34"/>
      <c r="N156" s="34"/>
      <c r="O156" s="34"/>
    </row>
    <row r="157" spans="1:15">
      <c r="A157" s="30" t="s">
        <v>4510</v>
      </c>
      <c r="B157" s="29" t="s">
        <v>1262</v>
      </c>
      <c r="C157" s="30" t="s">
        <v>4511</v>
      </c>
      <c r="D157" s="30" t="s">
        <v>4208</v>
      </c>
      <c r="E157" s="53"/>
      <c r="L157" s="32"/>
      <c r="M157" s="34"/>
      <c r="N157" s="34"/>
      <c r="O157" s="34"/>
    </row>
    <row r="158" spans="1:15">
      <c r="A158" s="30" t="s">
        <v>4512</v>
      </c>
      <c r="B158" s="29" t="s">
        <v>1266</v>
      </c>
      <c r="C158" s="30" t="s">
        <v>4513</v>
      </c>
      <c r="D158" s="30" t="s">
        <v>4199</v>
      </c>
      <c r="E158" s="53"/>
      <c r="L158" s="32"/>
      <c r="M158" s="34"/>
      <c r="N158" s="34"/>
      <c r="O158" s="34"/>
    </row>
    <row r="159" spans="1:15">
      <c r="A159" s="30" t="s">
        <v>4514</v>
      </c>
      <c r="B159" s="29" t="s">
        <v>1271</v>
      </c>
      <c r="C159" s="30" t="s">
        <v>4515</v>
      </c>
      <c r="D159" s="30" t="s">
        <v>4208</v>
      </c>
      <c r="E159" s="53"/>
      <c r="L159" s="32"/>
      <c r="M159" s="34"/>
      <c r="N159" s="34"/>
      <c r="O159" s="34"/>
    </row>
    <row r="160" spans="1:15">
      <c r="A160" s="30" t="s">
        <v>4516</v>
      </c>
      <c r="B160" s="29" t="s">
        <v>1276</v>
      </c>
      <c r="C160" s="30" t="s">
        <v>4517</v>
      </c>
      <c r="E160" s="53"/>
      <c r="L160" s="32"/>
      <c r="M160" s="34"/>
      <c r="N160" s="34"/>
      <c r="O160" s="34"/>
    </row>
    <row r="161" spans="1:15">
      <c r="A161" s="30" t="s">
        <v>4518</v>
      </c>
      <c r="B161" s="29" t="s">
        <v>1289</v>
      </c>
      <c r="C161" s="30" t="s">
        <v>4519</v>
      </c>
      <c r="D161" s="30" t="s">
        <v>4208</v>
      </c>
      <c r="E161" s="53"/>
      <c r="L161" s="32"/>
      <c r="M161" s="34"/>
      <c r="N161" s="34"/>
      <c r="O161" s="34"/>
    </row>
    <row r="162" spans="1:15">
      <c r="A162" s="30" t="s">
        <v>4520</v>
      </c>
      <c r="B162" s="29" t="s">
        <v>1291</v>
      </c>
      <c r="C162" s="30" t="s">
        <v>4521</v>
      </c>
      <c r="D162" s="30" t="s">
        <v>4208</v>
      </c>
      <c r="E162" s="53"/>
      <c r="L162" s="32"/>
      <c r="M162" s="34"/>
      <c r="N162" s="34"/>
      <c r="O162" s="34"/>
    </row>
    <row r="163" spans="1:15">
      <c r="A163" s="30" t="s">
        <v>4522</v>
      </c>
      <c r="B163" s="29" t="s">
        <v>1295</v>
      </c>
      <c r="C163" s="30" t="s">
        <v>4523</v>
      </c>
      <c r="D163" s="30" t="s">
        <v>4208</v>
      </c>
      <c r="E163" s="53"/>
      <c r="L163" s="32"/>
      <c r="M163" s="34"/>
      <c r="N163" s="34"/>
      <c r="O163" s="34"/>
    </row>
    <row r="164" spans="1:15">
      <c r="A164" s="30" t="s">
        <v>4524</v>
      </c>
      <c r="B164" s="29" t="s">
        <v>1299</v>
      </c>
      <c r="C164" s="30" t="s">
        <v>4525</v>
      </c>
      <c r="D164" s="30" t="s">
        <v>4208</v>
      </c>
      <c r="E164" s="53"/>
      <c r="L164" s="32"/>
      <c r="M164" s="34"/>
      <c r="N164" s="34"/>
      <c r="O164" s="34"/>
    </row>
    <row r="165" spans="1:15">
      <c r="A165" s="30" t="s">
        <v>4526</v>
      </c>
      <c r="B165" s="29" t="s">
        <v>1314</v>
      </c>
      <c r="C165" s="30" t="s">
        <v>4527</v>
      </c>
      <c r="D165" s="30" t="s">
        <v>4208</v>
      </c>
      <c r="E165" s="53"/>
      <c r="L165" s="32"/>
      <c r="M165" s="34"/>
      <c r="N165" s="34"/>
      <c r="O165" s="34"/>
    </row>
    <row r="166" spans="1:15">
      <c r="A166" s="30" t="s">
        <v>4528</v>
      </c>
      <c r="B166" s="29" t="s">
        <v>1316</v>
      </c>
      <c r="C166" s="30" t="s">
        <v>4529</v>
      </c>
      <c r="D166" s="30" t="s">
        <v>4208</v>
      </c>
      <c r="E166" s="53"/>
      <c r="L166" s="32"/>
      <c r="M166" s="34"/>
      <c r="N166" s="34"/>
      <c r="O166" s="34"/>
    </row>
    <row r="167" spans="1:15">
      <c r="A167" s="30" t="s">
        <v>4530</v>
      </c>
      <c r="B167" s="29" t="s">
        <v>1343</v>
      </c>
      <c r="C167" s="30" t="s">
        <v>4531</v>
      </c>
      <c r="D167" s="30" t="s">
        <v>4208</v>
      </c>
      <c r="E167" s="53"/>
      <c r="L167" s="32"/>
      <c r="M167" s="34"/>
      <c r="N167" s="34"/>
      <c r="O167" s="34"/>
    </row>
    <row r="168" spans="1:15">
      <c r="A168" s="30" t="s">
        <v>4532</v>
      </c>
      <c r="B168" s="29" t="s">
        <v>1357</v>
      </c>
      <c r="C168" s="30" t="s">
        <v>4533</v>
      </c>
      <c r="D168" s="30" t="s">
        <v>4208</v>
      </c>
      <c r="E168" s="53" t="s">
        <v>4534</v>
      </c>
      <c r="L168" s="32"/>
      <c r="M168" s="34"/>
      <c r="N168" s="34"/>
      <c r="O168" s="34"/>
    </row>
    <row r="169" spans="1:15">
      <c r="A169" s="30" t="s">
        <v>4535</v>
      </c>
      <c r="B169" s="29" t="s">
        <v>1367</v>
      </c>
      <c r="C169" s="30" t="s">
        <v>4536</v>
      </c>
      <c r="D169" s="30" t="s">
        <v>4208</v>
      </c>
      <c r="E169" s="53" t="s">
        <v>4537</v>
      </c>
      <c r="L169" s="32"/>
      <c r="M169" s="34"/>
      <c r="N169" s="34"/>
      <c r="O169" s="34"/>
    </row>
    <row r="170" spans="1:15">
      <c r="A170" s="30" t="s">
        <v>4538</v>
      </c>
      <c r="B170" s="29" t="s">
        <v>1378</v>
      </c>
      <c r="C170" s="30" t="s">
        <v>4539</v>
      </c>
      <c r="D170" s="30" t="s">
        <v>4208</v>
      </c>
      <c r="E170" s="53" t="s">
        <v>4540</v>
      </c>
      <c r="L170" s="32"/>
      <c r="M170" s="34"/>
      <c r="N170" s="34"/>
      <c r="O170" s="34"/>
    </row>
    <row r="171" spans="1:15">
      <c r="A171" s="30" t="s">
        <v>4541</v>
      </c>
      <c r="B171" s="29" t="s">
        <v>1387</v>
      </c>
      <c r="C171" s="30" t="s">
        <v>4542</v>
      </c>
      <c r="D171" s="30" t="s">
        <v>4199</v>
      </c>
      <c r="E171" s="53" t="s">
        <v>4543</v>
      </c>
      <c r="L171" s="32"/>
      <c r="M171" s="34"/>
      <c r="N171" s="34"/>
      <c r="O171" s="34"/>
    </row>
    <row r="172" spans="1:15">
      <c r="A172" s="30" t="s">
        <v>4544</v>
      </c>
      <c r="B172" s="29" t="s">
        <v>1403</v>
      </c>
      <c r="C172" s="30" t="s">
        <v>4545</v>
      </c>
      <c r="D172" s="30" t="s">
        <v>4208</v>
      </c>
      <c r="E172" s="53" t="s">
        <v>4546</v>
      </c>
      <c r="L172" s="32"/>
      <c r="M172" s="34"/>
      <c r="N172" s="34"/>
      <c r="O172" s="34"/>
    </row>
    <row r="173" spans="1:15">
      <c r="A173" s="30" t="s">
        <v>4547</v>
      </c>
      <c r="B173" s="29" t="s">
        <v>1412</v>
      </c>
      <c r="C173" s="30" t="s">
        <v>4548</v>
      </c>
      <c r="D173" s="30" t="s">
        <v>4208</v>
      </c>
      <c r="E173" s="53" t="s">
        <v>1383</v>
      </c>
      <c r="L173" s="32"/>
      <c r="M173" s="34"/>
      <c r="N173" s="34"/>
      <c r="O173" s="34"/>
    </row>
    <row r="174" spans="1:15">
      <c r="A174" s="30" t="s">
        <v>4549</v>
      </c>
      <c r="B174" s="29" t="s">
        <v>1420</v>
      </c>
      <c r="C174" s="30" t="s">
        <v>4550</v>
      </c>
      <c r="E174" s="53"/>
      <c r="L174" s="32"/>
      <c r="M174" s="34"/>
      <c r="N174" s="34"/>
      <c r="O174" s="34"/>
    </row>
    <row r="175" spans="1:15">
      <c r="A175" s="30" t="s">
        <v>4551</v>
      </c>
      <c r="B175" s="29" t="s">
        <v>1426</v>
      </c>
      <c r="C175" s="30" t="s">
        <v>4552</v>
      </c>
      <c r="D175" s="30" t="s">
        <v>4199</v>
      </c>
      <c r="E175" s="53"/>
      <c r="L175" s="32"/>
      <c r="M175" s="34"/>
      <c r="N175" s="34"/>
      <c r="O175" s="34"/>
    </row>
    <row r="176" spans="1:15">
      <c r="A176" s="30" t="s">
        <v>4553</v>
      </c>
      <c r="B176" s="29" t="s">
        <v>1454</v>
      </c>
      <c r="C176" s="30" t="s">
        <v>4554</v>
      </c>
      <c r="D176" s="30" t="s">
        <v>4208</v>
      </c>
      <c r="E176" s="53"/>
      <c r="L176" s="32"/>
      <c r="M176" s="34"/>
      <c r="N176" s="34"/>
      <c r="O176" s="34"/>
    </row>
    <row r="177" spans="1:15">
      <c r="A177" s="30" t="s">
        <v>4555</v>
      </c>
      <c r="B177" s="29" t="s">
        <v>1467</v>
      </c>
      <c r="C177" s="30" t="s">
        <v>4556</v>
      </c>
      <c r="D177" s="30" t="s">
        <v>4208</v>
      </c>
      <c r="E177" s="53"/>
      <c r="L177" s="32"/>
      <c r="M177" s="34"/>
      <c r="N177" s="34"/>
      <c r="O177" s="34"/>
    </row>
    <row r="178" spans="1:15">
      <c r="A178" s="30" t="s">
        <v>4557</v>
      </c>
      <c r="B178" s="29" t="s">
        <v>1471</v>
      </c>
      <c r="C178" s="30" t="s">
        <v>4558</v>
      </c>
      <c r="D178" s="30" t="s">
        <v>4208</v>
      </c>
      <c r="E178" s="53"/>
      <c r="L178" s="32"/>
      <c r="M178" s="34"/>
      <c r="N178" s="34"/>
      <c r="O178" s="34"/>
    </row>
    <row r="179" spans="1:15">
      <c r="A179" s="30" t="s">
        <v>4559</v>
      </c>
      <c r="B179" s="29" t="s">
        <v>1478</v>
      </c>
      <c r="C179" s="30" t="s">
        <v>4560</v>
      </c>
      <c r="D179" s="30" t="s">
        <v>4208</v>
      </c>
      <c r="E179" s="53"/>
      <c r="L179" s="32"/>
      <c r="M179" s="34"/>
      <c r="N179" s="34"/>
      <c r="O179" s="34"/>
    </row>
    <row r="180" spans="1:15">
      <c r="A180" s="30" t="s">
        <v>4561</v>
      </c>
      <c r="B180" s="29" t="s">
        <v>1480</v>
      </c>
      <c r="C180" s="30" t="s">
        <v>4562</v>
      </c>
      <c r="D180" s="30" t="s">
        <v>4199</v>
      </c>
      <c r="E180" s="53"/>
      <c r="L180" s="32"/>
      <c r="M180" s="34"/>
      <c r="N180" s="34"/>
      <c r="O180" s="34"/>
    </row>
    <row r="181" spans="1:15">
      <c r="A181" s="30" t="s">
        <v>4563</v>
      </c>
      <c r="B181" s="29" t="s">
        <v>1484</v>
      </c>
      <c r="C181" s="30" t="s">
        <v>4564</v>
      </c>
      <c r="D181" s="30" t="s">
        <v>4199</v>
      </c>
      <c r="E181" s="53"/>
      <c r="L181" s="32"/>
      <c r="M181" s="34"/>
      <c r="N181" s="34"/>
      <c r="O181" s="34"/>
    </row>
    <row r="182" spans="1:15">
      <c r="A182" s="30" t="s">
        <v>4565</v>
      </c>
      <c r="B182" s="29" t="s">
        <v>1484</v>
      </c>
      <c r="C182" s="30" t="s">
        <v>4566</v>
      </c>
      <c r="D182" s="30" t="s">
        <v>4199</v>
      </c>
      <c r="E182" s="53"/>
      <c r="L182" s="32"/>
      <c r="M182" s="34"/>
      <c r="N182" s="34"/>
      <c r="O182" s="34"/>
    </row>
    <row r="183" spans="1:15">
      <c r="A183" s="30" t="s">
        <v>4567</v>
      </c>
      <c r="B183" s="29" t="s">
        <v>1487</v>
      </c>
      <c r="C183" s="30" t="s">
        <v>4568</v>
      </c>
      <c r="D183" s="30" t="s">
        <v>4199</v>
      </c>
      <c r="E183" s="53"/>
      <c r="L183" s="32"/>
      <c r="M183" s="34"/>
      <c r="N183" s="34"/>
      <c r="O183" s="34"/>
    </row>
    <row r="184" spans="1:15">
      <c r="A184" s="30" t="s">
        <v>4569</v>
      </c>
      <c r="B184" s="29" t="s">
        <v>1492</v>
      </c>
      <c r="C184" s="30" t="s">
        <v>4570</v>
      </c>
      <c r="D184" s="30" t="s">
        <v>4199</v>
      </c>
      <c r="E184" s="53"/>
      <c r="L184" s="32"/>
      <c r="M184" s="34"/>
      <c r="N184" s="34"/>
      <c r="O184" s="34"/>
    </row>
    <row r="185" spans="1:15">
      <c r="A185" s="30" t="s">
        <v>4571</v>
      </c>
      <c r="B185" s="29" t="s">
        <v>1496</v>
      </c>
      <c r="C185" s="30" t="s">
        <v>4572</v>
      </c>
      <c r="D185" s="30" t="s">
        <v>4208</v>
      </c>
      <c r="E185" s="53"/>
      <c r="L185" s="32"/>
      <c r="M185" s="34"/>
      <c r="N185" s="34"/>
      <c r="O185" s="34"/>
    </row>
    <row r="186" spans="1:15">
      <c r="A186" s="30" t="s">
        <v>4573</v>
      </c>
      <c r="B186" s="29" t="s">
        <v>1498</v>
      </c>
      <c r="C186" s="30" t="s">
        <v>4574</v>
      </c>
      <c r="D186" s="30" t="s">
        <v>4208</v>
      </c>
      <c r="E186" s="53"/>
      <c r="L186" s="32"/>
      <c r="M186" s="34"/>
      <c r="N186" s="34"/>
      <c r="O186" s="34"/>
    </row>
    <row r="187" spans="1:15">
      <c r="A187" s="30" t="s">
        <v>4575</v>
      </c>
      <c r="B187" s="29" t="s">
        <v>1507</v>
      </c>
      <c r="C187" s="30" t="s">
        <v>4576</v>
      </c>
      <c r="D187" s="30" t="s">
        <v>4208</v>
      </c>
      <c r="E187" s="53"/>
      <c r="L187" s="32"/>
      <c r="M187" s="34"/>
      <c r="N187" s="34"/>
      <c r="O187" s="34"/>
    </row>
    <row r="188" spans="1:15">
      <c r="A188" s="30" t="s">
        <v>4577</v>
      </c>
      <c r="B188" s="29" t="s">
        <v>1511</v>
      </c>
      <c r="C188" s="30" t="s">
        <v>4578</v>
      </c>
      <c r="D188" s="30" t="s">
        <v>4208</v>
      </c>
      <c r="E188" s="53"/>
      <c r="L188" s="32"/>
      <c r="M188" s="34"/>
      <c r="N188" s="34"/>
      <c r="O188" s="34"/>
    </row>
    <row r="189" spans="1:15">
      <c r="A189" s="30" t="s">
        <v>4579</v>
      </c>
      <c r="B189" s="29" t="s">
        <v>1515</v>
      </c>
      <c r="C189" s="30" t="s">
        <v>4580</v>
      </c>
      <c r="D189" s="30" t="s">
        <v>4208</v>
      </c>
      <c r="E189" s="53"/>
      <c r="L189" s="32"/>
      <c r="M189" s="34"/>
      <c r="N189" s="34"/>
      <c r="O189" s="34"/>
    </row>
    <row r="190" spans="1:15">
      <c r="A190" s="30" t="s">
        <v>4581</v>
      </c>
      <c r="B190" s="29" t="s">
        <v>1517</v>
      </c>
      <c r="C190" s="30" t="s">
        <v>4582</v>
      </c>
      <c r="D190" s="30" t="s">
        <v>4208</v>
      </c>
      <c r="E190" s="53"/>
      <c r="L190" s="32"/>
      <c r="M190" s="34"/>
      <c r="N190" s="34"/>
      <c r="O190" s="34"/>
    </row>
    <row r="191" spans="1:15">
      <c r="A191" s="30" t="s">
        <v>4583</v>
      </c>
      <c r="B191" s="29" t="s">
        <v>1519</v>
      </c>
      <c r="C191" s="30" t="s">
        <v>4584</v>
      </c>
      <c r="D191" s="30" t="s">
        <v>4208</v>
      </c>
      <c r="E191" s="53"/>
      <c r="L191" s="32"/>
      <c r="M191" s="34"/>
      <c r="N191" s="34"/>
      <c r="O191" s="34"/>
    </row>
    <row r="192" spans="1:15">
      <c r="A192" s="30" t="s">
        <v>4585</v>
      </c>
      <c r="B192" s="29" t="s">
        <v>1521</v>
      </c>
      <c r="C192" s="30" t="s">
        <v>4586</v>
      </c>
      <c r="D192" s="30" t="s">
        <v>4208</v>
      </c>
      <c r="E192" s="53"/>
      <c r="L192" s="32"/>
      <c r="M192" s="34"/>
      <c r="N192" s="34"/>
      <c r="O192" s="34"/>
    </row>
    <row r="193" spans="1:15">
      <c r="A193" s="30" t="s">
        <v>4587</v>
      </c>
      <c r="B193" s="29" t="s">
        <v>1523</v>
      </c>
      <c r="C193" s="30" t="s">
        <v>4588</v>
      </c>
      <c r="D193" s="30" t="s">
        <v>4208</v>
      </c>
      <c r="E193" s="53"/>
      <c r="L193" s="32"/>
      <c r="M193" s="34"/>
      <c r="N193" s="34"/>
      <c r="O193" s="34"/>
    </row>
    <row r="194" spans="1:15">
      <c r="A194" s="30" t="s">
        <v>4589</v>
      </c>
      <c r="B194" s="29" t="s">
        <v>1529</v>
      </c>
      <c r="C194" s="30" t="s">
        <v>4590</v>
      </c>
      <c r="D194" s="30" t="s">
        <v>4208</v>
      </c>
      <c r="E194" s="53"/>
      <c r="L194" s="32"/>
      <c r="M194" s="34"/>
      <c r="N194" s="34"/>
      <c r="O194" s="34"/>
    </row>
    <row r="195" spans="1:15">
      <c r="A195" s="30" t="s">
        <v>4591</v>
      </c>
      <c r="B195" s="29" t="s">
        <v>1533</v>
      </c>
      <c r="C195" s="30" t="s">
        <v>4592</v>
      </c>
      <c r="D195" s="30" t="s">
        <v>4208</v>
      </c>
      <c r="E195" s="53"/>
      <c r="L195" s="32"/>
      <c r="M195" s="34"/>
      <c r="N195" s="34"/>
      <c r="O195" s="34"/>
    </row>
    <row r="196" spans="1:15">
      <c r="A196" s="30" t="s">
        <v>4593</v>
      </c>
      <c r="B196" s="29" t="s">
        <v>1537</v>
      </c>
      <c r="C196" s="30" t="s">
        <v>4594</v>
      </c>
      <c r="D196" s="30" t="s">
        <v>4208</v>
      </c>
      <c r="E196" s="53"/>
      <c r="L196" s="32"/>
      <c r="M196" s="34"/>
      <c r="N196" s="34"/>
      <c r="O196" s="34"/>
    </row>
    <row r="197" spans="1:15">
      <c r="A197" s="30" t="s">
        <v>4595</v>
      </c>
      <c r="B197" s="29" t="s">
        <v>1541</v>
      </c>
      <c r="C197" s="30" t="s">
        <v>4596</v>
      </c>
      <c r="D197" s="30" t="s">
        <v>4208</v>
      </c>
      <c r="E197" s="53"/>
      <c r="L197" s="32"/>
      <c r="M197" s="34"/>
      <c r="N197" s="34"/>
      <c r="O197" s="34"/>
    </row>
    <row r="198" spans="1:15">
      <c r="A198" s="30" t="s">
        <v>4597</v>
      </c>
      <c r="B198" s="29" t="s">
        <v>1545</v>
      </c>
      <c r="C198" s="30" t="s">
        <v>4598</v>
      </c>
      <c r="D198" s="30" t="s">
        <v>4208</v>
      </c>
      <c r="E198" s="53"/>
      <c r="L198" s="32"/>
      <c r="M198" s="34"/>
      <c r="N198" s="34"/>
      <c r="O198" s="34"/>
    </row>
    <row r="199" spans="1:15">
      <c r="A199" s="30" t="s">
        <v>4599</v>
      </c>
      <c r="B199" s="29" t="s">
        <v>1555</v>
      </c>
      <c r="C199" s="30" t="s">
        <v>4600</v>
      </c>
      <c r="D199" s="30" t="s">
        <v>4208</v>
      </c>
      <c r="E199" s="53"/>
      <c r="L199" s="32"/>
      <c r="M199" s="34"/>
      <c r="N199" s="34"/>
      <c r="O199" s="34"/>
    </row>
    <row r="200" spans="1:15">
      <c r="A200" s="30" t="s">
        <v>4601</v>
      </c>
      <c r="B200" s="29" t="s">
        <v>1559</v>
      </c>
      <c r="C200" s="30" t="s">
        <v>4602</v>
      </c>
      <c r="D200" s="30" t="s">
        <v>4208</v>
      </c>
      <c r="E200" s="53"/>
      <c r="L200" s="32"/>
      <c r="M200" s="34"/>
      <c r="N200" s="34"/>
      <c r="O200" s="34"/>
    </row>
    <row r="201" spans="1:15">
      <c r="A201" s="30" t="s">
        <v>4603</v>
      </c>
      <c r="B201" s="29" t="s">
        <v>1605</v>
      </c>
      <c r="C201" s="30" t="s">
        <v>4604</v>
      </c>
      <c r="D201" s="30" t="s">
        <v>4208</v>
      </c>
      <c r="E201" s="53"/>
      <c r="L201" s="32"/>
      <c r="M201" s="34"/>
      <c r="N201" s="34"/>
      <c r="O201" s="34"/>
    </row>
    <row r="202" spans="1:15">
      <c r="A202" s="30" t="s">
        <v>4605</v>
      </c>
      <c r="B202" s="29" t="s">
        <v>1609</v>
      </c>
      <c r="C202" s="30" t="s">
        <v>4606</v>
      </c>
      <c r="D202" s="30" t="s">
        <v>4208</v>
      </c>
      <c r="E202" s="53"/>
      <c r="L202" s="32"/>
      <c r="M202" s="34"/>
      <c r="N202" s="34"/>
      <c r="O202" s="34"/>
    </row>
    <row r="203" spans="1:15">
      <c r="A203" s="30" t="s">
        <v>4607</v>
      </c>
      <c r="B203" s="29" t="s">
        <v>1613</v>
      </c>
      <c r="D203" s="30" t="s">
        <v>4208</v>
      </c>
      <c r="E203" s="53"/>
      <c r="L203" s="32"/>
      <c r="M203" s="34"/>
      <c r="N203" s="34"/>
      <c r="O203" s="34"/>
    </row>
    <row r="204" spans="1:15">
      <c r="A204" s="30" t="s">
        <v>4608</v>
      </c>
      <c r="B204" s="29" t="s">
        <v>1617</v>
      </c>
      <c r="C204" s="30" t="s">
        <v>4609</v>
      </c>
      <c r="D204" s="30" t="s">
        <v>4208</v>
      </c>
      <c r="E204" s="53"/>
      <c r="L204" s="32"/>
      <c r="M204" s="34"/>
      <c r="N204" s="34"/>
      <c r="O204" s="34"/>
    </row>
    <row r="205" spans="1:15">
      <c r="A205" s="30" t="s">
        <v>4610</v>
      </c>
      <c r="B205" s="29" t="s">
        <v>1621</v>
      </c>
      <c r="C205" s="30" t="s">
        <v>4611</v>
      </c>
      <c r="D205" s="30" t="s">
        <v>4208</v>
      </c>
      <c r="E205" s="53"/>
      <c r="L205" s="32"/>
      <c r="M205" s="34"/>
      <c r="N205" s="34"/>
      <c r="O205" s="34"/>
    </row>
    <row r="206" spans="1:15">
      <c r="A206" s="30" t="s">
        <v>4612</v>
      </c>
      <c r="B206" s="29" t="s">
        <v>1623</v>
      </c>
      <c r="C206" s="30" t="s">
        <v>4613</v>
      </c>
      <c r="D206" s="30" t="s">
        <v>4208</v>
      </c>
      <c r="E206" s="53"/>
      <c r="L206" s="32"/>
      <c r="M206" s="34"/>
      <c r="N206" s="34"/>
      <c r="O206" s="34"/>
    </row>
    <row r="207" spans="1:15">
      <c r="A207" s="30" t="s">
        <v>4614</v>
      </c>
      <c r="B207" s="29" t="s">
        <v>1627</v>
      </c>
      <c r="C207" s="30" t="s">
        <v>4615</v>
      </c>
      <c r="D207" s="30" t="s">
        <v>4208</v>
      </c>
      <c r="E207" s="53"/>
      <c r="L207" s="32"/>
      <c r="M207" s="34"/>
      <c r="N207" s="34"/>
      <c r="O207" s="34"/>
    </row>
    <row r="208" spans="1:15">
      <c r="A208" s="30" t="s">
        <v>4616</v>
      </c>
      <c r="B208" s="29" t="s">
        <v>1631</v>
      </c>
      <c r="C208" s="30" t="s">
        <v>4617</v>
      </c>
      <c r="D208" s="30" t="s">
        <v>4208</v>
      </c>
      <c r="E208" s="53"/>
      <c r="L208" s="32"/>
      <c r="M208" s="34"/>
      <c r="N208" s="34"/>
      <c r="O208" s="34"/>
    </row>
    <row r="209" spans="1:15">
      <c r="A209" s="30" t="s">
        <v>4618</v>
      </c>
      <c r="B209" s="29" t="s">
        <v>1635</v>
      </c>
      <c r="C209" s="30" t="s">
        <v>4619</v>
      </c>
      <c r="D209" s="30" t="s">
        <v>4208</v>
      </c>
      <c r="E209" s="53"/>
      <c r="L209" s="32"/>
      <c r="M209" s="34"/>
      <c r="N209" s="34"/>
      <c r="O209" s="34"/>
    </row>
    <row r="210" spans="1:15">
      <c r="A210" s="46" t="s">
        <v>4620</v>
      </c>
      <c r="B210" s="29" t="s">
        <v>1639</v>
      </c>
      <c r="C210" s="30" t="s">
        <v>4621</v>
      </c>
      <c r="D210" s="30" t="s">
        <v>4208</v>
      </c>
      <c r="E210" s="53"/>
      <c r="L210" s="32"/>
      <c r="M210" s="34"/>
      <c r="N210" s="34"/>
      <c r="O210" s="34"/>
    </row>
    <row r="211" spans="1:15">
      <c r="A211" s="30" t="s">
        <v>4622</v>
      </c>
      <c r="B211" s="29" t="s">
        <v>1642</v>
      </c>
      <c r="C211" s="30" t="s">
        <v>4623</v>
      </c>
      <c r="D211" s="30" t="s">
        <v>4208</v>
      </c>
      <c r="E211" s="53"/>
      <c r="L211" s="32"/>
      <c r="M211" s="34"/>
      <c r="N211" s="34"/>
      <c r="O211" s="34"/>
    </row>
    <row r="212" spans="1:15">
      <c r="A212" s="30" t="s">
        <v>4624</v>
      </c>
      <c r="B212" s="29" t="s">
        <v>1645</v>
      </c>
      <c r="C212" s="30" t="s">
        <v>4625</v>
      </c>
      <c r="D212" s="30" t="s">
        <v>4208</v>
      </c>
      <c r="E212" s="53"/>
      <c r="L212" s="32"/>
      <c r="M212" s="34"/>
      <c r="N212" s="34"/>
      <c r="O212" s="34"/>
    </row>
    <row r="213" spans="1:15">
      <c r="A213" s="30" t="s">
        <v>4626</v>
      </c>
      <c r="B213" s="29" t="s">
        <v>1650</v>
      </c>
      <c r="C213" s="30" t="s">
        <v>4627</v>
      </c>
      <c r="D213" s="30" t="s">
        <v>4208</v>
      </c>
      <c r="E213" s="53"/>
      <c r="L213" s="32"/>
      <c r="M213" s="34"/>
      <c r="N213" s="34"/>
      <c r="O213" s="34"/>
    </row>
    <row r="214" spans="1:15">
      <c r="A214" s="30" t="s">
        <v>4628</v>
      </c>
      <c r="B214" s="29" t="s">
        <v>1654</v>
      </c>
      <c r="C214" s="30" t="s">
        <v>4629</v>
      </c>
      <c r="D214" s="30" t="s">
        <v>4208</v>
      </c>
      <c r="E214" s="53"/>
      <c r="L214" s="32"/>
      <c r="M214" s="34"/>
      <c r="N214" s="34"/>
      <c r="O214" s="34"/>
    </row>
    <row r="215" spans="1:15">
      <c r="A215" s="30" t="s">
        <v>4630</v>
      </c>
      <c r="B215" s="29" t="s">
        <v>1709</v>
      </c>
      <c r="C215" s="30" t="s">
        <v>4631</v>
      </c>
      <c r="D215" s="30" t="s">
        <v>4208</v>
      </c>
      <c r="E215" s="53" t="s">
        <v>4632</v>
      </c>
      <c r="L215" s="32"/>
      <c r="M215" s="34"/>
      <c r="N215" s="34"/>
      <c r="O215" s="34"/>
    </row>
    <row r="216" spans="1:15">
      <c r="A216" s="30" t="s">
        <v>4633</v>
      </c>
      <c r="B216" s="29" t="s">
        <v>1733</v>
      </c>
      <c r="C216" s="30" t="s">
        <v>4634</v>
      </c>
      <c r="D216" s="30" t="s">
        <v>4208</v>
      </c>
      <c r="E216" s="53" t="s">
        <v>4635</v>
      </c>
      <c r="L216" s="32"/>
      <c r="M216" s="34"/>
      <c r="N216" s="34"/>
      <c r="O216" s="34"/>
    </row>
    <row r="217" spans="1:15">
      <c r="A217" s="30" t="s">
        <v>4636</v>
      </c>
      <c r="B217" s="29" t="s">
        <v>1733</v>
      </c>
      <c r="C217" s="30" t="s">
        <v>4637</v>
      </c>
      <c r="D217" s="30" t="s">
        <v>4208</v>
      </c>
      <c r="E217" s="53" t="s">
        <v>4638</v>
      </c>
      <c r="L217" s="32"/>
      <c r="M217" s="34"/>
      <c r="N217" s="34"/>
      <c r="O217" s="34"/>
    </row>
    <row r="218" spans="1:15">
      <c r="A218" s="46" t="s">
        <v>4639</v>
      </c>
      <c r="B218" s="29" t="s">
        <v>1743</v>
      </c>
      <c r="C218" s="30" t="s">
        <v>4640</v>
      </c>
      <c r="D218" s="30" t="s">
        <v>4208</v>
      </c>
      <c r="E218" s="53" t="s">
        <v>4641</v>
      </c>
      <c r="L218" s="32"/>
      <c r="M218" s="34"/>
      <c r="N218" s="34"/>
      <c r="O218" s="34"/>
    </row>
    <row r="219" spans="1:15">
      <c r="A219" s="30" t="s">
        <v>4642</v>
      </c>
      <c r="B219" s="29" t="s">
        <v>1743</v>
      </c>
      <c r="C219" s="30" t="s">
        <v>4643</v>
      </c>
      <c r="D219" s="30" t="s">
        <v>4208</v>
      </c>
      <c r="E219" s="53" t="s">
        <v>4644</v>
      </c>
      <c r="L219" s="32"/>
      <c r="M219" s="34"/>
      <c r="N219" s="34"/>
      <c r="O219" s="34"/>
    </row>
    <row r="220" spans="1:15">
      <c r="A220" s="30" t="s">
        <v>4645</v>
      </c>
      <c r="B220" s="29" t="s">
        <v>1753</v>
      </c>
      <c r="C220" s="30" t="s">
        <v>4646</v>
      </c>
      <c r="D220" s="30" t="s">
        <v>4208</v>
      </c>
      <c r="E220" s="53" t="s">
        <v>4647</v>
      </c>
      <c r="L220" s="32"/>
      <c r="M220" s="34"/>
      <c r="N220" s="34"/>
      <c r="O220" s="34"/>
    </row>
    <row r="221" spans="1:15">
      <c r="A221" s="30" t="s">
        <v>4648</v>
      </c>
      <c r="B221" s="29" t="s">
        <v>1759</v>
      </c>
      <c r="C221" s="30" t="s">
        <v>4649</v>
      </c>
      <c r="D221" s="30" t="s">
        <v>4208</v>
      </c>
      <c r="E221" s="53" t="s">
        <v>4650</v>
      </c>
      <c r="L221" s="32"/>
      <c r="M221" s="34"/>
      <c r="N221" s="34"/>
      <c r="O221" s="34"/>
    </row>
    <row r="222" spans="1:15">
      <c r="A222" s="30" t="s">
        <v>4651</v>
      </c>
      <c r="B222" s="29" t="s">
        <v>1759</v>
      </c>
      <c r="C222" s="30" t="s">
        <v>4652</v>
      </c>
      <c r="D222" s="30" t="s">
        <v>4208</v>
      </c>
      <c r="E222" s="53" t="s">
        <v>4653</v>
      </c>
      <c r="L222" s="32"/>
      <c r="M222" s="34"/>
      <c r="N222" s="34"/>
      <c r="O222" s="34"/>
    </row>
    <row r="223" spans="1:15">
      <c r="A223" s="30" t="s">
        <v>4654</v>
      </c>
      <c r="B223" s="29" t="s">
        <v>1765</v>
      </c>
      <c r="C223" s="30" t="s">
        <v>4655</v>
      </c>
      <c r="D223" s="30" t="s">
        <v>4208</v>
      </c>
      <c r="E223" s="53" t="s">
        <v>4656</v>
      </c>
      <c r="L223" s="32"/>
      <c r="M223" s="34"/>
      <c r="N223" s="34"/>
      <c r="O223" s="34"/>
    </row>
    <row r="224" spans="1:15">
      <c r="A224" s="30" t="s">
        <v>4657</v>
      </c>
      <c r="B224" s="29" t="s">
        <v>1765</v>
      </c>
      <c r="C224" s="30" t="s">
        <v>4658</v>
      </c>
      <c r="D224" s="30" t="s">
        <v>4208</v>
      </c>
      <c r="E224" s="53" t="s">
        <v>4659</v>
      </c>
      <c r="L224" s="32"/>
      <c r="M224" s="34"/>
      <c r="N224" s="34"/>
      <c r="O224" s="34"/>
    </row>
    <row r="225" spans="1:15">
      <c r="A225" s="30" t="s">
        <v>4660</v>
      </c>
      <c r="B225" s="29" t="s">
        <v>1773</v>
      </c>
      <c r="C225" s="30" t="s">
        <v>4661</v>
      </c>
      <c r="D225" s="30" t="s">
        <v>4208</v>
      </c>
      <c r="E225" s="53"/>
      <c r="L225" s="32"/>
      <c r="M225" s="34"/>
      <c r="N225" s="34"/>
      <c r="O225" s="34"/>
    </row>
    <row r="226" spans="1:15">
      <c r="A226" s="30" t="s">
        <v>4662</v>
      </c>
      <c r="B226" s="29" t="s">
        <v>1780</v>
      </c>
      <c r="C226" s="30" t="s">
        <v>4663</v>
      </c>
      <c r="D226" s="30" t="s">
        <v>4199</v>
      </c>
      <c r="E226" s="53" t="s">
        <v>4664</v>
      </c>
      <c r="L226" s="32"/>
      <c r="M226" s="34"/>
      <c r="N226" s="34"/>
      <c r="O226" s="34"/>
    </row>
    <row r="227" spans="1:15">
      <c r="A227" s="30" t="s">
        <v>4665</v>
      </c>
      <c r="B227" s="29" t="s">
        <v>1787</v>
      </c>
      <c r="C227" s="30" t="s">
        <v>4666</v>
      </c>
      <c r="D227" s="30" t="s">
        <v>4208</v>
      </c>
      <c r="E227" s="53" t="s">
        <v>4667</v>
      </c>
      <c r="L227" s="32"/>
      <c r="M227" s="34"/>
      <c r="N227" s="34"/>
      <c r="O227" s="34"/>
    </row>
    <row r="228" spans="1:15">
      <c r="A228" s="30" t="s">
        <v>4668</v>
      </c>
      <c r="B228" s="29" t="s">
        <v>1800</v>
      </c>
      <c r="C228" s="30" t="s">
        <v>4669</v>
      </c>
      <c r="D228" s="30" t="s">
        <v>4199</v>
      </c>
      <c r="E228" s="53" t="s">
        <v>4670</v>
      </c>
      <c r="L228" s="32"/>
      <c r="M228" s="34"/>
      <c r="N228" s="34"/>
      <c r="O228" s="34"/>
    </row>
    <row r="229" spans="1:15">
      <c r="A229" s="30" t="s">
        <v>4671</v>
      </c>
      <c r="B229" s="29" t="s">
        <v>1806</v>
      </c>
      <c r="C229" s="30"/>
      <c r="D229" s="30"/>
      <c r="E229" s="53"/>
      <c r="L229" s="32"/>
      <c r="M229" s="34"/>
      <c r="N229" s="34"/>
      <c r="O229" s="34"/>
    </row>
    <row r="230" spans="1:15">
      <c r="A230" s="30" t="s">
        <v>4672</v>
      </c>
      <c r="B230" s="29" t="s">
        <v>1812</v>
      </c>
      <c r="C230" s="30" t="s">
        <v>4673</v>
      </c>
      <c r="D230" s="30" t="s">
        <v>4199</v>
      </c>
      <c r="E230" s="53" t="s">
        <v>4674</v>
      </c>
      <c r="L230" s="32"/>
      <c r="M230" s="34"/>
      <c r="N230" s="34"/>
      <c r="O230" s="34"/>
    </row>
    <row r="231" spans="1:15">
      <c r="A231" s="30" t="s">
        <v>4675</v>
      </c>
      <c r="B231" s="29" t="s">
        <v>1819</v>
      </c>
      <c r="C231" s="30" t="s">
        <v>4676</v>
      </c>
      <c r="D231" s="30" t="s">
        <v>4199</v>
      </c>
      <c r="E231" s="53" t="s">
        <v>4677</v>
      </c>
      <c r="L231" s="32"/>
      <c r="M231" s="34"/>
      <c r="N231" s="34"/>
      <c r="O231" s="34"/>
    </row>
    <row r="232" spans="1:15">
      <c r="A232" s="30" t="s">
        <v>4678</v>
      </c>
      <c r="B232" s="29" t="s">
        <v>1835</v>
      </c>
      <c r="C232" s="30" t="s">
        <v>4679</v>
      </c>
      <c r="D232" s="30" t="s">
        <v>4208</v>
      </c>
      <c r="E232" s="53" t="s">
        <v>4680</v>
      </c>
      <c r="L232" s="32"/>
      <c r="M232" s="34"/>
      <c r="N232" s="34"/>
      <c r="O232" s="34"/>
    </row>
    <row r="233" spans="1:15">
      <c r="A233" s="30" t="s">
        <v>4681</v>
      </c>
      <c r="B233" s="29" t="s">
        <v>1835</v>
      </c>
      <c r="C233" s="30" t="s">
        <v>4682</v>
      </c>
      <c r="D233" s="30" t="s">
        <v>4208</v>
      </c>
      <c r="E233" s="53" t="s">
        <v>4680</v>
      </c>
      <c r="L233" s="32"/>
      <c r="M233" s="34"/>
      <c r="N233" s="34"/>
      <c r="O233" s="34"/>
    </row>
    <row r="234" spans="1:15">
      <c r="A234" s="30" t="s">
        <v>4683</v>
      </c>
      <c r="B234" s="29" t="s">
        <v>1852</v>
      </c>
      <c r="C234" s="30" t="s">
        <v>4684</v>
      </c>
      <c r="D234" s="30" t="s">
        <v>4208</v>
      </c>
      <c r="E234" s="53" t="s">
        <v>4685</v>
      </c>
      <c r="L234" s="32"/>
      <c r="M234" s="34"/>
      <c r="N234" s="34"/>
      <c r="O234" s="34"/>
    </row>
    <row r="235" spans="1:15">
      <c r="A235" s="30" t="s">
        <v>4686</v>
      </c>
      <c r="B235" s="29" t="s">
        <v>1856</v>
      </c>
      <c r="C235" s="30" t="s">
        <v>4687</v>
      </c>
      <c r="D235" s="30" t="s">
        <v>4208</v>
      </c>
      <c r="E235" s="53"/>
      <c r="L235" s="32"/>
      <c r="M235" s="34"/>
      <c r="N235" s="34"/>
      <c r="O235" s="34"/>
    </row>
    <row r="236" spans="1:15">
      <c r="A236" s="30" t="s">
        <v>4688</v>
      </c>
      <c r="B236" s="29" t="s">
        <v>1875</v>
      </c>
      <c r="C236" s="30" t="s">
        <v>4689</v>
      </c>
      <c r="D236" s="30" t="s">
        <v>4208</v>
      </c>
      <c r="E236" s="53"/>
      <c r="L236" s="32"/>
      <c r="M236" s="34"/>
      <c r="N236" s="34"/>
      <c r="O236" s="34"/>
    </row>
    <row r="237" spans="1:15">
      <c r="A237" s="30" t="s">
        <v>4690</v>
      </c>
      <c r="B237" s="29" t="s">
        <v>1880</v>
      </c>
      <c r="C237" s="30" t="s">
        <v>4691</v>
      </c>
      <c r="D237" s="30" t="s">
        <v>4199</v>
      </c>
      <c r="E237" s="53" t="s">
        <v>4692</v>
      </c>
      <c r="L237" s="32"/>
      <c r="M237" s="34"/>
      <c r="N237" s="34"/>
      <c r="O237" s="34"/>
    </row>
    <row r="238" spans="1:15">
      <c r="A238" s="30" t="s">
        <v>4693</v>
      </c>
      <c r="B238" s="29" t="s">
        <v>1907</v>
      </c>
      <c r="C238" s="30" t="s">
        <v>4694</v>
      </c>
      <c r="D238" s="30" t="s">
        <v>4208</v>
      </c>
      <c r="E238" s="53"/>
      <c r="L238" s="32"/>
      <c r="M238" s="34"/>
      <c r="N238" s="34"/>
      <c r="O238" s="34"/>
    </row>
    <row r="239" spans="1:15">
      <c r="A239" s="30" t="s">
        <v>4695</v>
      </c>
      <c r="B239" s="29" t="s">
        <v>1916</v>
      </c>
      <c r="C239" s="30" t="s">
        <v>4696</v>
      </c>
      <c r="D239" s="30" t="s">
        <v>4208</v>
      </c>
      <c r="E239" s="53"/>
      <c r="L239" s="32"/>
      <c r="M239" s="34"/>
      <c r="N239" s="34"/>
      <c r="O239" s="34"/>
    </row>
    <row r="240" spans="1:15">
      <c r="A240" s="30" t="s">
        <v>4697</v>
      </c>
      <c r="B240" s="29" t="s">
        <v>1920</v>
      </c>
      <c r="C240" s="30" t="s">
        <v>4698</v>
      </c>
      <c r="D240" s="30" t="s">
        <v>4208</v>
      </c>
      <c r="E240" s="53"/>
      <c r="L240" s="32"/>
      <c r="M240" s="34"/>
      <c r="N240" s="34"/>
      <c r="O240" s="34"/>
    </row>
    <row r="241" spans="1:15">
      <c r="A241" s="30" t="s">
        <v>4699</v>
      </c>
      <c r="B241" s="29" t="s">
        <v>1924</v>
      </c>
      <c r="C241" s="30" t="s">
        <v>4700</v>
      </c>
      <c r="D241" s="30" t="s">
        <v>4199</v>
      </c>
      <c r="E241" s="53"/>
      <c r="L241" s="32"/>
      <c r="M241" s="34"/>
      <c r="N241" s="34"/>
      <c r="O241" s="34"/>
    </row>
    <row r="242" spans="1:15">
      <c r="A242" s="30" t="s">
        <v>4701</v>
      </c>
      <c r="B242" s="29" t="s">
        <v>1942</v>
      </c>
      <c r="C242" s="30" t="s">
        <v>4702</v>
      </c>
      <c r="D242" s="30" t="s">
        <v>4208</v>
      </c>
      <c r="E242" s="53"/>
      <c r="L242" s="32"/>
      <c r="M242" s="34"/>
      <c r="N242" s="34"/>
      <c r="O242" s="34"/>
    </row>
    <row r="243" spans="1:15">
      <c r="A243" s="30" t="s">
        <v>4703</v>
      </c>
      <c r="B243" s="29" t="s">
        <v>1890</v>
      </c>
      <c r="C243" s="30" t="s">
        <v>4704</v>
      </c>
      <c r="D243" s="30" t="s">
        <v>4199</v>
      </c>
      <c r="E243" s="53"/>
      <c r="L243" s="32"/>
      <c r="M243" s="34"/>
      <c r="N243" s="34"/>
      <c r="O243" s="34"/>
    </row>
    <row r="244" spans="1:15">
      <c r="A244" s="30" t="s">
        <v>4705</v>
      </c>
      <c r="B244" s="29" t="s">
        <v>1947</v>
      </c>
      <c r="C244" s="30" t="s">
        <v>4706</v>
      </c>
      <c r="D244" s="30" t="s">
        <v>4208</v>
      </c>
      <c r="E244" s="53"/>
      <c r="L244" s="32"/>
      <c r="M244" s="34"/>
      <c r="N244" s="34"/>
      <c r="O244" s="34"/>
    </row>
    <row r="245" spans="1:15">
      <c r="A245" s="30" t="s">
        <v>4707</v>
      </c>
      <c r="B245" s="29" t="s">
        <v>1947</v>
      </c>
      <c r="C245" s="30" t="s">
        <v>4708</v>
      </c>
      <c r="D245" s="30" t="s">
        <v>4208</v>
      </c>
      <c r="E245" s="53"/>
      <c r="L245" s="32"/>
      <c r="M245" s="34"/>
      <c r="N245" s="34"/>
      <c r="O245" s="34"/>
    </row>
    <row r="246" spans="1:15">
      <c r="A246" s="30" t="s">
        <v>4709</v>
      </c>
      <c r="B246" s="29" t="s">
        <v>1953</v>
      </c>
      <c r="C246" s="30" t="s">
        <v>4710</v>
      </c>
      <c r="D246" s="30" t="s">
        <v>4208</v>
      </c>
      <c r="E246" s="53"/>
      <c r="L246" s="32"/>
      <c r="M246" s="34"/>
      <c r="N246" s="34"/>
      <c r="O246" s="34"/>
    </row>
    <row r="247" spans="1:15">
      <c r="A247" s="30" t="s">
        <v>4711</v>
      </c>
      <c r="B247" s="29" t="s">
        <v>1955</v>
      </c>
      <c r="C247" s="30" t="s">
        <v>4712</v>
      </c>
      <c r="D247" s="30" t="s">
        <v>4208</v>
      </c>
      <c r="E247" s="53"/>
      <c r="L247" s="32"/>
      <c r="M247" s="34"/>
      <c r="N247" s="34"/>
      <c r="O247" s="34"/>
    </row>
    <row r="248" spans="1:15">
      <c r="A248" s="30" t="s">
        <v>4713</v>
      </c>
      <c r="B248" s="29" t="s">
        <v>1965</v>
      </c>
      <c r="C248" s="30" t="s">
        <v>4714</v>
      </c>
      <c r="D248" s="30" t="s">
        <v>4208</v>
      </c>
      <c r="E248" s="53"/>
      <c r="L248" s="32"/>
      <c r="M248" s="34"/>
      <c r="N248" s="34"/>
      <c r="O248" s="34"/>
    </row>
    <row r="249" spans="1:15">
      <c r="A249" s="30" t="s">
        <v>4715</v>
      </c>
      <c r="B249" s="29" t="s">
        <v>1972</v>
      </c>
      <c r="C249" s="30" t="s">
        <v>4716</v>
      </c>
      <c r="D249" s="30" t="s">
        <v>4208</v>
      </c>
      <c r="E249" s="53"/>
      <c r="L249" s="32"/>
      <c r="M249" s="34"/>
      <c r="N249" s="34"/>
      <c r="O249" s="34"/>
    </row>
    <row r="250" spans="1:15">
      <c r="A250" s="30" t="s">
        <v>4717</v>
      </c>
      <c r="B250" s="29" t="s">
        <v>1979</v>
      </c>
      <c r="C250" s="30" t="s">
        <v>4718</v>
      </c>
      <c r="D250" s="30" t="s">
        <v>4208</v>
      </c>
      <c r="E250" s="53"/>
      <c r="L250" s="32"/>
      <c r="M250" s="34"/>
      <c r="N250" s="34"/>
      <c r="O250" s="34"/>
    </row>
    <row r="251" spans="1:15">
      <c r="A251" s="30" t="s">
        <v>4719</v>
      </c>
      <c r="B251" s="29" t="s">
        <v>1985</v>
      </c>
      <c r="C251" s="30" t="s">
        <v>4720</v>
      </c>
      <c r="D251" s="30" t="s">
        <v>4208</v>
      </c>
      <c r="E251" s="53"/>
      <c r="L251" s="32"/>
      <c r="M251" s="34"/>
      <c r="N251" s="34"/>
      <c r="O251" s="34"/>
    </row>
    <row r="252" spans="1:15">
      <c r="A252" s="30" t="s">
        <v>4721</v>
      </c>
      <c r="B252" s="29" t="s">
        <v>1991</v>
      </c>
      <c r="C252" s="30" t="s">
        <v>4722</v>
      </c>
      <c r="D252" s="30" t="s">
        <v>4208</v>
      </c>
      <c r="E252" s="53"/>
      <c r="L252" s="32"/>
      <c r="M252" s="34"/>
      <c r="N252" s="34"/>
      <c r="O252" s="34"/>
    </row>
    <row r="253" spans="1:15">
      <c r="A253" s="30" t="s">
        <v>4723</v>
      </c>
      <c r="B253" s="29" t="s">
        <v>2021</v>
      </c>
      <c r="C253" s="30" t="s">
        <v>4724</v>
      </c>
      <c r="D253" s="30" t="s">
        <v>4208</v>
      </c>
      <c r="E253" s="53" t="s">
        <v>4725</v>
      </c>
      <c r="L253" s="32"/>
      <c r="M253" s="34"/>
      <c r="N253" s="34"/>
      <c r="O253" s="34"/>
    </row>
    <row r="254" spans="1:15">
      <c r="A254" s="30" t="s">
        <v>4726</v>
      </c>
      <c r="B254" s="29" t="s">
        <v>2021</v>
      </c>
      <c r="C254" s="30" t="s">
        <v>4727</v>
      </c>
      <c r="D254" s="30" t="s">
        <v>4208</v>
      </c>
      <c r="E254" s="53"/>
      <c r="L254" s="32"/>
      <c r="M254" s="34"/>
      <c r="N254" s="34"/>
      <c r="O254" s="34"/>
    </row>
    <row r="255" spans="1:15">
      <c r="A255" s="30" t="s">
        <v>4728</v>
      </c>
      <c r="B255" s="29" t="s">
        <v>2026</v>
      </c>
      <c r="C255" s="30" t="s">
        <v>4729</v>
      </c>
      <c r="D255" s="30" t="s">
        <v>4208</v>
      </c>
      <c r="E255" s="53" t="s">
        <v>4730</v>
      </c>
      <c r="L255" s="32"/>
      <c r="M255" s="34"/>
      <c r="N255" s="34"/>
      <c r="O255" s="34"/>
    </row>
    <row r="256" spans="1:15">
      <c r="A256" s="30" t="s">
        <v>4731</v>
      </c>
      <c r="B256" s="29" t="s">
        <v>2026</v>
      </c>
      <c r="C256" s="30" t="s">
        <v>4732</v>
      </c>
      <c r="D256" s="30" t="s">
        <v>4208</v>
      </c>
      <c r="E256" s="53"/>
      <c r="L256" s="32"/>
      <c r="M256" s="34"/>
      <c r="N256" s="34"/>
      <c r="O256" s="34"/>
    </row>
    <row r="257" spans="1:15">
      <c r="A257" s="30" t="s">
        <v>4733</v>
      </c>
      <c r="B257" s="29" t="s">
        <v>2034</v>
      </c>
      <c r="C257" s="30" t="s">
        <v>4734</v>
      </c>
      <c r="D257" s="30" t="s">
        <v>4208</v>
      </c>
      <c r="E257" s="53"/>
      <c r="L257" s="32"/>
      <c r="M257" s="34"/>
      <c r="N257" s="34"/>
      <c r="O257" s="34"/>
    </row>
    <row r="258" spans="1:15">
      <c r="A258" s="30" t="s">
        <v>4735</v>
      </c>
      <c r="B258" s="29" t="s">
        <v>2034</v>
      </c>
      <c r="C258" s="30" t="s">
        <v>4736</v>
      </c>
      <c r="D258" s="30" t="s">
        <v>4208</v>
      </c>
      <c r="E258" s="53"/>
      <c r="L258" s="32"/>
      <c r="M258" s="34"/>
      <c r="N258" s="34"/>
      <c r="O258" s="34"/>
    </row>
    <row r="259" spans="1:15">
      <c r="A259" s="30" t="s">
        <v>4737</v>
      </c>
      <c r="B259" s="29" t="s">
        <v>2039</v>
      </c>
      <c r="C259" s="30" t="s">
        <v>4738</v>
      </c>
      <c r="D259" s="30" t="s">
        <v>4199</v>
      </c>
      <c r="E259" s="53" t="s">
        <v>4739</v>
      </c>
      <c r="L259" s="32"/>
      <c r="M259" s="34"/>
      <c r="N259" s="34"/>
      <c r="O259" s="34"/>
    </row>
    <row r="260" spans="1:15">
      <c r="A260" s="30" t="s">
        <v>4740</v>
      </c>
      <c r="B260" s="29" t="s">
        <v>2045</v>
      </c>
      <c r="C260" s="30" t="s">
        <v>4741</v>
      </c>
      <c r="D260" s="30" t="s">
        <v>4208</v>
      </c>
      <c r="E260" s="53" t="s">
        <v>4742</v>
      </c>
      <c r="L260" s="32"/>
      <c r="M260" s="34"/>
      <c r="N260" s="34"/>
      <c r="O260" s="34"/>
    </row>
    <row r="261" spans="1:15">
      <c r="A261" s="30" t="s">
        <v>4743</v>
      </c>
      <c r="B261" s="29" t="s">
        <v>2045</v>
      </c>
      <c r="C261" s="30" t="s">
        <v>4744</v>
      </c>
      <c r="D261" s="30" t="s">
        <v>4208</v>
      </c>
      <c r="E261" s="53"/>
      <c r="L261" s="32"/>
      <c r="M261" s="34"/>
      <c r="N261" s="34"/>
      <c r="O261" s="34"/>
    </row>
    <row r="262" spans="1:15">
      <c r="A262" s="30" t="s">
        <v>4745</v>
      </c>
      <c r="B262" s="29" t="s">
        <v>2077</v>
      </c>
      <c r="C262" s="30" t="s">
        <v>4746</v>
      </c>
      <c r="D262" s="30" t="s">
        <v>4199</v>
      </c>
      <c r="E262" s="53" t="s">
        <v>4747</v>
      </c>
      <c r="L262" s="32"/>
      <c r="M262" s="34"/>
      <c r="N262" s="34"/>
      <c r="O262" s="34"/>
    </row>
    <row r="263" spans="1:15">
      <c r="A263" s="30" t="s">
        <v>4748</v>
      </c>
      <c r="B263" s="29" t="s">
        <v>2140</v>
      </c>
      <c r="C263" s="30" t="s">
        <v>4749</v>
      </c>
      <c r="D263" s="30" t="s">
        <v>4208</v>
      </c>
      <c r="E263" s="53" t="s">
        <v>1363</v>
      </c>
      <c r="L263" s="32"/>
      <c r="M263" s="34"/>
      <c r="N263" s="34"/>
      <c r="O263" s="34"/>
    </row>
    <row r="264" spans="1:15">
      <c r="A264" s="30" t="s">
        <v>4750</v>
      </c>
      <c r="B264" s="29" t="s">
        <v>2153</v>
      </c>
      <c r="C264" s="30" t="s">
        <v>4751</v>
      </c>
      <c r="D264" s="30" t="s">
        <v>4208</v>
      </c>
      <c r="E264" s="53" t="s">
        <v>308</v>
      </c>
      <c r="L264" s="32"/>
      <c r="M264" s="34"/>
      <c r="N264" s="34"/>
      <c r="O264" s="34"/>
    </row>
    <row r="265" spans="1:15">
      <c r="A265" s="30" t="s">
        <v>4752</v>
      </c>
      <c r="B265" s="29" t="s">
        <v>2159</v>
      </c>
      <c r="C265" s="30" t="s">
        <v>4753</v>
      </c>
      <c r="D265" s="30" t="s">
        <v>4208</v>
      </c>
      <c r="E265" s="53"/>
      <c r="L265" s="32"/>
      <c r="M265" s="34"/>
      <c r="N265" s="34"/>
      <c r="O265" s="34"/>
    </row>
    <row r="266" spans="1:15">
      <c r="A266" s="30" t="s">
        <v>4754</v>
      </c>
      <c r="B266" s="29" t="s">
        <v>2165</v>
      </c>
      <c r="C266" s="30" t="s">
        <v>4755</v>
      </c>
      <c r="D266" s="30" t="s">
        <v>4208</v>
      </c>
      <c r="E266" s="53"/>
      <c r="L266" s="32"/>
      <c r="M266" s="34"/>
      <c r="N266" s="34"/>
      <c r="O266" s="34"/>
    </row>
    <row r="267" spans="1:15">
      <c r="A267" s="30" t="s">
        <v>4756</v>
      </c>
      <c r="B267" s="29" t="s">
        <v>2169</v>
      </c>
      <c r="C267" s="30" t="s">
        <v>4757</v>
      </c>
      <c r="D267" s="30" t="s">
        <v>4208</v>
      </c>
      <c r="E267" s="53"/>
      <c r="L267" s="32"/>
      <c r="M267" s="34"/>
      <c r="N267" s="34"/>
      <c r="O267" s="34"/>
    </row>
    <row r="268" spans="1:15">
      <c r="A268" s="30" t="s">
        <v>4758</v>
      </c>
      <c r="B268" s="29" t="s">
        <v>2171</v>
      </c>
      <c r="C268" s="30" t="s">
        <v>4759</v>
      </c>
      <c r="D268" s="30" t="s">
        <v>4208</v>
      </c>
      <c r="E268" s="53"/>
      <c r="L268" s="32"/>
      <c r="M268" s="34"/>
      <c r="N268" s="34"/>
      <c r="O268" s="34"/>
    </row>
    <row r="269" spans="1:15">
      <c r="A269" s="30" t="s">
        <v>4760</v>
      </c>
      <c r="B269" s="29" t="s">
        <v>2175</v>
      </c>
      <c r="C269" s="30" t="s">
        <v>4761</v>
      </c>
      <c r="D269" s="30" t="s">
        <v>4208</v>
      </c>
      <c r="E269" s="53"/>
      <c r="L269" s="32"/>
      <c r="M269" s="34"/>
      <c r="N269" s="34"/>
      <c r="O269" s="34"/>
    </row>
    <row r="270" spans="1:15">
      <c r="A270" s="30" t="s">
        <v>4762</v>
      </c>
      <c r="B270" s="29" t="s">
        <v>2181</v>
      </c>
      <c r="C270" s="30" t="s">
        <v>4763</v>
      </c>
      <c r="D270" s="30" t="s">
        <v>4208</v>
      </c>
      <c r="E270" s="53"/>
      <c r="L270" s="32"/>
      <c r="M270" s="34"/>
      <c r="N270" s="34"/>
      <c r="O270" s="34"/>
    </row>
    <row r="271" spans="1:15">
      <c r="A271" s="30" t="s">
        <v>4764</v>
      </c>
      <c r="B271" s="29" t="s">
        <v>2185</v>
      </c>
      <c r="C271" s="30" t="s">
        <v>4765</v>
      </c>
      <c r="D271" s="30" t="s">
        <v>4208</v>
      </c>
      <c r="E271" s="53"/>
      <c r="L271" s="32"/>
      <c r="M271" s="34"/>
      <c r="N271" s="34"/>
      <c r="O271" s="34"/>
    </row>
    <row r="272" spans="1:15">
      <c r="A272" s="30" t="s">
        <v>4766</v>
      </c>
      <c r="B272" s="29" t="s">
        <v>2233</v>
      </c>
      <c r="C272" s="30" t="s">
        <v>4767</v>
      </c>
      <c r="D272" s="30" t="s">
        <v>4208</v>
      </c>
      <c r="E272" s="53"/>
      <c r="L272" s="32"/>
      <c r="M272" s="34"/>
      <c r="N272" s="34"/>
      <c r="O272" s="34"/>
    </row>
    <row r="273" spans="1:15">
      <c r="A273" s="46" t="s">
        <v>4768</v>
      </c>
      <c r="B273" s="29" t="s">
        <v>2242</v>
      </c>
      <c r="C273" s="30" t="s">
        <v>4769</v>
      </c>
      <c r="D273" s="30" t="s">
        <v>4199</v>
      </c>
      <c r="E273" s="53"/>
      <c r="L273" s="32"/>
      <c r="M273" s="34"/>
      <c r="N273" s="34"/>
      <c r="O273" s="34"/>
    </row>
    <row r="274" spans="1:15">
      <c r="A274" s="30" t="s">
        <v>4770</v>
      </c>
      <c r="B274" s="29" t="s">
        <v>2127</v>
      </c>
      <c r="C274" s="30" t="s">
        <v>4771</v>
      </c>
      <c r="D274" s="30" t="s">
        <v>4208</v>
      </c>
      <c r="E274" s="53"/>
      <c r="L274" s="32"/>
      <c r="M274" s="34"/>
      <c r="N274" s="34"/>
      <c r="O274" s="34"/>
    </row>
    <row r="275" spans="1:15">
      <c r="A275" s="30" t="s">
        <v>4772</v>
      </c>
      <c r="B275" s="29" t="s">
        <v>2127</v>
      </c>
      <c r="C275" s="30" t="s">
        <v>4773</v>
      </c>
      <c r="D275" s="30" t="s">
        <v>4208</v>
      </c>
      <c r="E275" s="53"/>
      <c r="L275" s="32"/>
      <c r="M275" s="34"/>
      <c r="N275" s="34"/>
      <c r="O275" s="34"/>
    </row>
    <row r="276" spans="1:15">
      <c r="A276" s="30" t="s">
        <v>4774</v>
      </c>
      <c r="B276" s="29" t="s">
        <v>2127</v>
      </c>
      <c r="C276" s="30" t="s">
        <v>4775</v>
      </c>
      <c r="D276" s="30" t="s">
        <v>4208</v>
      </c>
      <c r="E276" s="53"/>
      <c r="L276" s="32"/>
      <c r="M276" s="34"/>
      <c r="N276" s="34"/>
      <c r="O276" s="34"/>
    </row>
    <row r="277" spans="1:15">
      <c r="A277" s="30" t="s">
        <v>4776</v>
      </c>
      <c r="B277" s="29" t="s">
        <v>2257</v>
      </c>
      <c r="C277" s="30" t="s">
        <v>4777</v>
      </c>
      <c r="D277" s="30" t="s">
        <v>4208</v>
      </c>
      <c r="E277" s="53" t="s">
        <v>4778</v>
      </c>
      <c r="L277" s="32"/>
      <c r="M277" s="34"/>
      <c r="N277" s="34"/>
      <c r="O277" s="34"/>
    </row>
    <row r="278" spans="1:15">
      <c r="A278" s="30" t="s">
        <v>4779</v>
      </c>
      <c r="B278" s="29" t="s">
        <v>2257</v>
      </c>
      <c r="C278" s="30" t="s">
        <v>4780</v>
      </c>
      <c r="D278" s="30" t="s">
        <v>4208</v>
      </c>
      <c r="E278" s="53"/>
      <c r="L278" s="32"/>
      <c r="M278" s="34"/>
      <c r="N278" s="34"/>
      <c r="O278" s="34"/>
    </row>
    <row r="279" spans="1:15">
      <c r="A279" s="30" t="s">
        <v>4781</v>
      </c>
      <c r="B279" s="29" t="s">
        <v>2061</v>
      </c>
      <c r="C279" s="30" t="s">
        <v>4782</v>
      </c>
      <c r="D279" s="30" t="s">
        <v>4208</v>
      </c>
      <c r="E279" s="53"/>
      <c r="L279" s="32"/>
      <c r="M279" s="34"/>
      <c r="N279" s="34"/>
      <c r="O279" s="34"/>
    </row>
    <row r="280" spans="1:15">
      <c r="A280" s="30" t="s">
        <v>4783</v>
      </c>
      <c r="B280" s="29" t="s">
        <v>2061</v>
      </c>
      <c r="C280" s="30" t="s">
        <v>4784</v>
      </c>
      <c r="D280" s="30" t="s">
        <v>4208</v>
      </c>
      <c r="E280" s="53"/>
      <c r="L280" s="32"/>
      <c r="M280" s="34"/>
      <c r="N280" s="34"/>
      <c r="O280" s="34"/>
    </row>
    <row r="281" spans="1:15">
      <c r="A281" s="30" t="s">
        <v>4785</v>
      </c>
      <c r="B281" s="29" t="s">
        <v>2061</v>
      </c>
      <c r="C281" s="30" t="s">
        <v>4786</v>
      </c>
      <c r="D281" s="30" t="s">
        <v>4208</v>
      </c>
      <c r="E281" s="53"/>
      <c r="L281" s="32"/>
      <c r="M281" s="34"/>
      <c r="N281" s="34"/>
      <c r="O281" s="34"/>
    </row>
    <row r="282" spans="1:15">
      <c r="A282" s="30" t="s">
        <v>4787</v>
      </c>
      <c r="B282" s="29" t="s">
        <v>2061</v>
      </c>
      <c r="C282" s="30" t="s">
        <v>4788</v>
      </c>
      <c r="D282" s="30" t="s">
        <v>4208</v>
      </c>
      <c r="E282" s="53"/>
      <c r="L282" s="32"/>
      <c r="M282" s="34"/>
      <c r="N282" s="34"/>
      <c r="O282" s="34"/>
    </row>
    <row r="283" spans="1:15">
      <c r="A283" s="46" t="s">
        <v>4789</v>
      </c>
      <c r="B283" s="29" t="s">
        <v>2056</v>
      </c>
      <c r="C283" s="30" t="s">
        <v>4790</v>
      </c>
      <c r="D283" s="30" t="s">
        <v>4208</v>
      </c>
      <c r="E283" s="53"/>
      <c r="L283" s="32"/>
      <c r="M283" s="34"/>
      <c r="N283" s="34"/>
      <c r="O283" s="34"/>
    </row>
    <row r="284" spans="1:15">
      <c r="A284" s="30" t="s">
        <v>4791</v>
      </c>
      <c r="B284" s="29" t="s">
        <v>2056</v>
      </c>
      <c r="C284" s="30" t="s">
        <v>4792</v>
      </c>
      <c r="D284" s="30" t="s">
        <v>4208</v>
      </c>
      <c r="E284" s="53"/>
      <c r="L284" s="32"/>
      <c r="M284" s="34"/>
      <c r="N284" s="34"/>
      <c r="O284" s="34"/>
    </row>
    <row r="285" spans="1:15">
      <c r="A285" s="30" t="s">
        <v>4793</v>
      </c>
      <c r="B285" s="29" t="s">
        <v>2056</v>
      </c>
      <c r="C285" s="30" t="s">
        <v>4794</v>
      </c>
      <c r="D285" s="30" t="s">
        <v>4208</v>
      </c>
      <c r="E285" s="53"/>
      <c r="L285" s="32"/>
      <c r="M285" s="34"/>
      <c r="N285" s="34"/>
      <c r="O285" s="34"/>
    </row>
    <row r="286" spans="1:15">
      <c r="A286" s="30" t="s">
        <v>4795</v>
      </c>
      <c r="B286" s="29" t="s">
        <v>2056</v>
      </c>
      <c r="C286" s="30" t="s">
        <v>4796</v>
      </c>
      <c r="D286" s="30" t="s">
        <v>4208</v>
      </c>
      <c r="E286" s="53"/>
      <c r="L286" s="32"/>
      <c r="M286" s="34"/>
      <c r="N286" s="34"/>
      <c r="O286" s="34"/>
    </row>
    <row r="287" spans="1:15">
      <c r="A287" s="30" t="s">
        <v>4797</v>
      </c>
      <c r="B287" s="29" t="s">
        <v>2056</v>
      </c>
      <c r="C287" s="30" t="s">
        <v>4798</v>
      </c>
      <c r="D287" s="30" t="s">
        <v>4208</v>
      </c>
      <c r="E287" s="53"/>
      <c r="L287" s="32"/>
      <c r="M287" s="34"/>
      <c r="N287" s="34"/>
      <c r="O287" s="34"/>
    </row>
    <row r="288" spans="1:15">
      <c r="A288" s="30" t="s">
        <v>4799</v>
      </c>
      <c r="B288" s="29" t="s">
        <v>2263</v>
      </c>
      <c r="C288" s="30" t="s">
        <v>4800</v>
      </c>
      <c r="D288" s="30" t="s">
        <v>4208</v>
      </c>
      <c r="E288" s="53"/>
      <c r="L288" s="32"/>
      <c r="M288" s="34"/>
      <c r="N288" s="34"/>
      <c r="O288" s="34"/>
    </row>
    <row r="289" spans="1:15">
      <c r="A289" s="46" t="s">
        <v>4801</v>
      </c>
      <c r="B289" s="29" t="s">
        <v>2263</v>
      </c>
      <c r="C289" s="30" t="s">
        <v>4802</v>
      </c>
      <c r="D289" s="30" t="s">
        <v>4208</v>
      </c>
      <c r="E289" s="53"/>
      <c r="L289" s="32"/>
      <c r="M289" s="34"/>
      <c r="N289" s="34"/>
      <c r="O289" s="34"/>
    </row>
    <row r="290" spans="1:15">
      <c r="A290" s="30" t="s">
        <v>4803</v>
      </c>
      <c r="B290" s="29" t="s">
        <v>2269</v>
      </c>
      <c r="C290" s="30" t="s">
        <v>4804</v>
      </c>
      <c r="D290" s="30" t="s">
        <v>4403</v>
      </c>
      <c r="E290" s="53"/>
      <c r="L290" s="32"/>
      <c r="M290" s="34"/>
      <c r="N290" s="34"/>
      <c r="O290" s="34"/>
    </row>
    <row r="291" spans="1:15">
      <c r="A291" s="30" t="s">
        <v>4805</v>
      </c>
      <c r="B291" s="29" t="s">
        <v>2379</v>
      </c>
      <c r="C291" s="30" t="s">
        <v>4806</v>
      </c>
      <c r="D291" s="30" t="s">
        <v>4199</v>
      </c>
      <c r="E291" s="53"/>
      <c r="L291" s="32"/>
      <c r="M291" s="34"/>
      <c r="N291" s="34"/>
      <c r="O291" s="34"/>
    </row>
    <row r="292" spans="1:15">
      <c r="A292" s="30" t="s">
        <v>4807</v>
      </c>
      <c r="B292" s="29" t="s">
        <v>2384</v>
      </c>
      <c r="C292" s="30" t="s">
        <v>4808</v>
      </c>
      <c r="D292" s="30" t="s">
        <v>4199</v>
      </c>
      <c r="E292" s="53"/>
      <c r="L292" s="32"/>
      <c r="M292" s="34"/>
      <c r="N292" s="34"/>
      <c r="O292" s="34"/>
    </row>
    <row r="293" spans="1:15">
      <c r="A293" s="30" t="s">
        <v>4809</v>
      </c>
      <c r="B293" s="29" t="s">
        <v>2410</v>
      </c>
      <c r="C293" s="30" t="s">
        <v>4810</v>
      </c>
      <c r="D293" s="30" t="s">
        <v>4199</v>
      </c>
      <c r="E293" s="53"/>
      <c r="L293" s="32"/>
      <c r="M293" s="34"/>
      <c r="N293" s="34"/>
      <c r="O293" s="34"/>
    </row>
    <row r="294" spans="1:15">
      <c r="A294" s="30" t="s">
        <v>4811</v>
      </c>
      <c r="B294" s="29" t="s">
        <v>2415</v>
      </c>
      <c r="C294" s="30" t="s">
        <v>4812</v>
      </c>
      <c r="D294" s="30" t="s">
        <v>4199</v>
      </c>
      <c r="E294" s="53"/>
      <c r="L294" s="32"/>
      <c r="M294" s="34"/>
      <c r="N294" s="34"/>
      <c r="O294" s="34"/>
    </row>
    <row r="295" spans="1:15">
      <c r="A295" s="30" t="s">
        <v>4813</v>
      </c>
      <c r="B295" s="29" t="s">
        <v>2426</v>
      </c>
      <c r="C295" s="30" t="s">
        <v>4814</v>
      </c>
      <c r="D295" s="30" t="s">
        <v>4208</v>
      </c>
      <c r="E295" s="53"/>
      <c r="L295" s="32"/>
      <c r="M295" s="34"/>
      <c r="N295" s="34"/>
      <c r="O295" s="34"/>
    </row>
    <row r="296" spans="1:15">
      <c r="A296" s="46" t="s">
        <v>4815</v>
      </c>
      <c r="B296" s="29" t="s">
        <v>2429</v>
      </c>
      <c r="C296" s="30" t="s">
        <v>4816</v>
      </c>
      <c r="D296" s="30" t="s">
        <v>4208</v>
      </c>
      <c r="E296" s="53"/>
      <c r="L296" s="32"/>
      <c r="M296" s="34"/>
      <c r="N296" s="34"/>
      <c r="O296" s="34"/>
    </row>
    <row r="297" spans="1:15">
      <c r="A297" s="30" t="s">
        <v>4817</v>
      </c>
      <c r="B297" s="29" t="s">
        <v>2433</v>
      </c>
      <c r="C297" s="30" t="s">
        <v>4818</v>
      </c>
      <c r="D297" s="30" t="s">
        <v>4208</v>
      </c>
      <c r="E297" s="53"/>
      <c r="L297" s="32"/>
      <c r="M297" s="34"/>
      <c r="N297" s="34"/>
      <c r="O297" s="34"/>
    </row>
    <row r="298" spans="1:15">
      <c r="A298" s="30" t="s">
        <v>4819</v>
      </c>
      <c r="B298" s="29" t="s">
        <v>2435</v>
      </c>
      <c r="C298" s="30" t="s">
        <v>4820</v>
      </c>
      <c r="D298" s="30" t="s">
        <v>4208</v>
      </c>
      <c r="E298" s="53"/>
      <c r="L298" s="32"/>
      <c r="M298" s="34"/>
      <c r="N298" s="34"/>
      <c r="O298" s="34"/>
    </row>
    <row r="299" spans="1:15">
      <c r="A299" s="30" t="s">
        <v>4821</v>
      </c>
      <c r="B299" s="29" t="s">
        <v>2437</v>
      </c>
      <c r="C299" s="30" t="s">
        <v>4822</v>
      </c>
      <c r="D299" s="30" t="s">
        <v>4208</v>
      </c>
      <c r="E299" s="53"/>
      <c r="L299" s="32"/>
      <c r="M299" s="34"/>
      <c r="N299" s="34"/>
      <c r="O299" s="34"/>
    </row>
    <row r="300" spans="1:15">
      <c r="A300" s="30" t="s">
        <v>4823</v>
      </c>
      <c r="B300" s="29" t="s">
        <v>2439</v>
      </c>
      <c r="C300" s="30" t="s">
        <v>4824</v>
      </c>
      <c r="D300" s="30" t="s">
        <v>4208</v>
      </c>
      <c r="E300" s="53"/>
      <c r="L300" s="32"/>
      <c r="M300" s="34"/>
      <c r="N300" s="34"/>
      <c r="O300" s="34"/>
    </row>
    <row r="301" spans="1:15">
      <c r="A301" s="30" t="s">
        <v>4825</v>
      </c>
      <c r="B301" s="29" t="s">
        <v>2441</v>
      </c>
      <c r="C301" s="30" t="s">
        <v>4826</v>
      </c>
      <c r="D301" s="30" t="s">
        <v>4208</v>
      </c>
      <c r="E301" s="53"/>
      <c r="L301" s="32"/>
      <c r="M301" s="34"/>
      <c r="N301" s="34"/>
      <c r="O301" s="34"/>
    </row>
    <row r="302" spans="1:15">
      <c r="A302" s="30" t="s">
        <v>4827</v>
      </c>
      <c r="B302" s="29" t="s">
        <v>2443</v>
      </c>
      <c r="C302" s="30" t="s">
        <v>4828</v>
      </c>
      <c r="D302" s="30" t="s">
        <v>4208</v>
      </c>
      <c r="E302" s="53"/>
      <c r="L302" s="32"/>
      <c r="M302" s="34"/>
      <c r="N302" s="34"/>
      <c r="O302" s="34"/>
    </row>
    <row r="303" spans="1:15">
      <c r="A303" s="30" t="s">
        <v>4829</v>
      </c>
      <c r="B303" s="29" t="s">
        <v>2447</v>
      </c>
      <c r="C303" s="30" t="s">
        <v>4830</v>
      </c>
      <c r="D303" s="30" t="s">
        <v>4208</v>
      </c>
      <c r="E303" s="53"/>
      <c r="L303" s="32"/>
      <c r="M303" s="34"/>
      <c r="N303" s="34"/>
      <c r="O303" s="34"/>
    </row>
    <row r="304" spans="1:15">
      <c r="A304" s="30" t="s">
        <v>4831</v>
      </c>
      <c r="B304" s="29" t="s">
        <v>2455</v>
      </c>
      <c r="C304" s="30" t="s">
        <v>4832</v>
      </c>
      <c r="D304" s="30" t="s">
        <v>4208</v>
      </c>
      <c r="E304" s="53"/>
      <c r="L304" s="32"/>
      <c r="M304" s="34"/>
      <c r="N304" s="34"/>
      <c r="O304" s="34"/>
    </row>
    <row r="305" spans="1:15">
      <c r="A305" s="30" t="s">
        <v>4833</v>
      </c>
      <c r="B305" s="29" t="s">
        <v>2457</v>
      </c>
      <c r="C305" s="30" t="s">
        <v>4834</v>
      </c>
      <c r="D305" s="30" t="s">
        <v>4208</v>
      </c>
      <c r="E305" s="53"/>
      <c r="L305" s="32"/>
      <c r="M305" s="34"/>
      <c r="N305" s="34"/>
      <c r="O305" s="34"/>
    </row>
    <row r="306" spans="1:15">
      <c r="A306" s="30" t="s">
        <v>4835</v>
      </c>
      <c r="B306" s="29" t="s">
        <v>2459</v>
      </c>
      <c r="C306" s="30" t="s">
        <v>4836</v>
      </c>
      <c r="D306" s="30" t="s">
        <v>4208</v>
      </c>
      <c r="E306" s="53"/>
      <c r="L306" s="32"/>
      <c r="M306" s="34"/>
      <c r="N306" s="34"/>
      <c r="O306" s="34"/>
    </row>
    <row r="307" spans="1:15">
      <c r="A307" s="30" t="s">
        <v>4837</v>
      </c>
      <c r="B307" s="29" t="s">
        <v>2461</v>
      </c>
      <c r="C307" s="30" t="s">
        <v>4838</v>
      </c>
      <c r="D307" s="30" t="s">
        <v>4208</v>
      </c>
      <c r="E307" s="53"/>
      <c r="L307" s="32"/>
      <c r="M307" s="34"/>
      <c r="N307" s="34"/>
      <c r="O307" s="34"/>
    </row>
    <row r="308" spans="1:15">
      <c r="A308" s="46" t="s">
        <v>4839</v>
      </c>
      <c r="B308" s="29" t="s">
        <v>2463</v>
      </c>
      <c r="C308" s="30" t="s">
        <v>4840</v>
      </c>
      <c r="D308" s="30" t="s">
        <v>4208</v>
      </c>
      <c r="E308" s="53"/>
      <c r="L308" s="32"/>
      <c r="M308" s="34"/>
      <c r="N308" s="34"/>
      <c r="O308" s="34"/>
    </row>
    <row r="309" spans="1:15">
      <c r="B309" s="29"/>
      <c r="E309" s="53"/>
      <c r="L309" s="32"/>
      <c r="M309" s="34"/>
      <c r="N309" s="34"/>
      <c r="O309" s="34"/>
    </row>
    <row r="310" spans="1:15">
      <c r="B310" s="29"/>
      <c r="E310" s="53"/>
      <c r="L310" s="32"/>
      <c r="M310" s="34"/>
      <c r="N310" s="34"/>
      <c r="O310" s="34"/>
    </row>
    <row r="311" spans="1:15">
      <c r="B311" s="29"/>
      <c r="E311" s="53"/>
      <c r="L311" s="32"/>
      <c r="M311" s="34"/>
      <c r="N311" s="34"/>
      <c r="O311" s="34"/>
    </row>
    <row r="312" spans="1:15">
      <c r="B312" s="29"/>
      <c r="E312" s="53"/>
      <c r="L312" s="32"/>
      <c r="M312" s="34"/>
      <c r="N312" s="34"/>
      <c r="O312" s="34"/>
    </row>
    <row r="313" spans="1:15">
      <c r="B313" s="29"/>
      <c r="E313" s="53"/>
      <c r="L313" s="32"/>
      <c r="M313" s="34"/>
      <c r="N313" s="34"/>
      <c r="O313" s="34"/>
    </row>
    <row r="314" spans="1:15">
      <c r="B314" s="29"/>
      <c r="E314" s="53"/>
      <c r="L314" s="32"/>
      <c r="M314" s="34"/>
      <c r="N314" s="34"/>
      <c r="O314" s="34"/>
    </row>
    <row r="315" spans="1:15">
      <c r="B315" s="29"/>
      <c r="E315" s="53"/>
      <c r="L315" s="32"/>
      <c r="M315" s="34"/>
      <c r="N315" s="34"/>
      <c r="O315" s="34"/>
    </row>
    <row r="316" spans="1:15">
      <c r="B316" s="29"/>
      <c r="E316" s="53"/>
      <c r="L316" s="32"/>
      <c r="M316" s="34"/>
      <c r="N316" s="34"/>
      <c r="O316" s="34"/>
    </row>
    <row r="317" spans="1:15">
      <c r="B317" s="29"/>
      <c r="E317" s="53"/>
      <c r="L317" s="32"/>
      <c r="M317" s="34"/>
      <c r="N317" s="34"/>
      <c r="O317" s="34"/>
    </row>
    <row r="318" spans="1:15">
      <c r="B318" s="29"/>
      <c r="E318" s="53"/>
      <c r="L318" s="32"/>
      <c r="M318" s="34"/>
      <c r="N318" s="34"/>
      <c r="O318" s="34"/>
    </row>
    <row r="319" spans="1:15">
      <c r="B319" s="29"/>
      <c r="E319" s="53"/>
      <c r="L319" s="32"/>
      <c r="M319" s="34"/>
      <c r="N319" s="34"/>
      <c r="O319" s="34"/>
    </row>
    <row r="320" spans="1:15">
      <c r="B320" s="29"/>
      <c r="E320" s="53"/>
      <c r="L320" s="32"/>
      <c r="M320" s="34"/>
      <c r="N320" s="34"/>
      <c r="O320" s="34"/>
    </row>
    <row r="321" spans="2:15">
      <c r="B321" s="29"/>
      <c r="E321" s="53"/>
      <c r="L321" s="32"/>
      <c r="M321" s="34"/>
      <c r="N321" s="34"/>
      <c r="O321" s="34"/>
    </row>
    <row r="322" spans="2:15">
      <c r="B322" s="29"/>
      <c r="E322" s="53"/>
      <c r="L322" s="32"/>
      <c r="M322" s="34"/>
      <c r="N322" s="34"/>
      <c r="O322" s="34"/>
    </row>
    <row r="323" spans="2:15">
      <c r="B323" s="29"/>
      <c r="E323" s="53"/>
      <c r="L323" s="32"/>
      <c r="M323" s="34"/>
      <c r="N323" s="34"/>
      <c r="O323" s="34"/>
    </row>
    <row r="324" spans="2:15">
      <c r="B324" s="29"/>
      <c r="E324" s="53"/>
      <c r="L324" s="32"/>
      <c r="M324" s="34"/>
      <c r="N324" s="34"/>
      <c r="O324" s="34"/>
    </row>
    <row r="325" spans="2:15">
      <c r="B325" s="29"/>
      <c r="E325" s="53"/>
      <c r="L325" s="32"/>
      <c r="M325" s="34"/>
      <c r="N325" s="34"/>
      <c r="O325" s="34"/>
    </row>
    <row r="326" spans="2:15">
      <c r="B326" s="29"/>
      <c r="E326" s="53"/>
      <c r="L326" s="32"/>
      <c r="M326" s="34"/>
      <c r="N326" s="34"/>
      <c r="O326" s="34"/>
    </row>
    <row r="327" spans="2:15">
      <c r="B327" s="29"/>
      <c r="E327" s="53"/>
      <c r="L327" s="32"/>
      <c r="M327" s="34"/>
      <c r="N327" s="34"/>
      <c r="O327" s="34"/>
    </row>
    <row r="328" spans="2:15">
      <c r="B328" s="29"/>
      <c r="E328" s="53"/>
      <c r="L328" s="32"/>
      <c r="M328" s="34"/>
      <c r="N328" s="34"/>
      <c r="O328" s="34"/>
    </row>
    <row r="329" spans="2:15">
      <c r="B329" s="29"/>
      <c r="E329" s="53"/>
      <c r="L329" s="32"/>
      <c r="M329" s="34"/>
      <c r="N329" s="34"/>
      <c r="O329" s="34"/>
    </row>
    <row r="330" spans="2:15">
      <c r="B330" s="29"/>
      <c r="E330" s="53"/>
      <c r="L330" s="32"/>
      <c r="M330" s="34"/>
      <c r="N330" s="34"/>
      <c r="O330" s="34"/>
    </row>
    <row r="331" spans="2:15">
      <c r="B331" s="29"/>
      <c r="E331" s="53"/>
      <c r="L331" s="32"/>
      <c r="M331" s="34"/>
      <c r="N331" s="34"/>
      <c r="O331" s="34"/>
    </row>
    <row r="332" spans="2:15">
      <c r="B332" s="29"/>
      <c r="E332" s="53"/>
      <c r="L332" s="32"/>
      <c r="M332" s="34"/>
      <c r="N332" s="34"/>
      <c r="O332" s="34"/>
    </row>
    <row r="333" spans="2:15">
      <c r="B333" s="29"/>
      <c r="E333" s="53"/>
      <c r="L333" s="32"/>
      <c r="M333" s="34"/>
      <c r="N333" s="34"/>
      <c r="O333" s="34"/>
    </row>
    <row r="334" spans="2:15">
      <c r="B334" s="29"/>
      <c r="E334" s="53"/>
      <c r="L334" s="32"/>
      <c r="M334" s="34"/>
      <c r="N334" s="34"/>
      <c r="O334" s="34"/>
    </row>
    <row r="335" spans="2:15">
      <c r="B335" s="29"/>
      <c r="E335" s="53"/>
      <c r="L335" s="32"/>
      <c r="M335" s="34"/>
      <c r="N335" s="34"/>
      <c r="O335" s="34"/>
    </row>
    <row r="336" spans="2:15">
      <c r="B336" s="29"/>
      <c r="E336" s="53"/>
      <c r="L336" s="32"/>
      <c r="M336" s="34"/>
      <c r="N336" s="34"/>
      <c r="O336" s="34"/>
    </row>
    <row r="337" spans="2:15">
      <c r="B337" s="29"/>
      <c r="E337" s="53"/>
      <c r="L337" s="32"/>
      <c r="M337" s="34"/>
      <c r="N337" s="34"/>
      <c r="O337" s="34"/>
    </row>
    <row r="338" spans="2:15">
      <c r="B338" s="29"/>
      <c r="E338" s="53"/>
      <c r="L338" s="32"/>
      <c r="M338" s="34"/>
      <c r="N338" s="34"/>
      <c r="O338" s="34"/>
    </row>
    <row r="339" spans="2:15">
      <c r="B339" s="29"/>
      <c r="E339" s="53"/>
      <c r="L339" s="32"/>
      <c r="M339" s="34"/>
      <c r="N339" s="34"/>
      <c r="O339" s="34"/>
    </row>
    <row r="340" spans="2:15">
      <c r="B340" s="29"/>
      <c r="E340" s="53"/>
      <c r="L340" s="32"/>
      <c r="M340" s="34"/>
      <c r="N340" s="34"/>
      <c r="O340" s="34"/>
    </row>
    <row r="341" spans="2:15">
      <c r="B341" s="29"/>
      <c r="E341" s="53"/>
      <c r="L341" s="32"/>
      <c r="M341" s="34"/>
      <c r="N341" s="34"/>
      <c r="O341" s="34"/>
    </row>
    <row r="342" spans="2:15">
      <c r="B342" s="29"/>
      <c r="E342" s="53"/>
      <c r="L342" s="32"/>
      <c r="M342" s="34"/>
      <c r="N342" s="34"/>
      <c r="O342" s="34"/>
    </row>
    <row r="343" spans="2:15">
      <c r="B343" s="29"/>
      <c r="E343" s="53"/>
      <c r="L343" s="32"/>
      <c r="M343" s="34"/>
      <c r="N343" s="34"/>
      <c r="O343" s="34"/>
    </row>
    <row r="344" spans="2:15">
      <c r="B344" s="29"/>
      <c r="E344" s="53"/>
      <c r="L344" s="32"/>
      <c r="M344" s="34"/>
      <c r="N344" s="34"/>
      <c r="O344" s="34"/>
    </row>
    <row r="345" spans="2:15">
      <c r="B345" s="29"/>
      <c r="E345" s="53"/>
      <c r="L345" s="32"/>
      <c r="M345" s="34"/>
      <c r="N345" s="34"/>
      <c r="O345" s="34"/>
    </row>
    <row r="346" spans="2:15">
      <c r="B346" s="29"/>
      <c r="E346" s="53"/>
      <c r="L346" s="32"/>
      <c r="M346" s="34"/>
      <c r="N346" s="34"/>
      <c r="O346" s="34"/>
    </row>
    <row r="347" spans="2:15">
      <c r="B347" s="29"/>
      <c r="E347" s="53"/>
      <c r="L347" s="32"/>
      <c r="M347" s="34"/>
      <c r="N347" s="34"/>
      <c r="O347" s="34"/>
    </row>
    <row r="348" spans="2:15">
      <c r="B348" s="29"/>
      <c r="E348" s="53"/>
      <c r="L348" s="32"/>
      <c r="M348" s="34"/>
      <c r="N348" s="34"/>
      <c r="O348" s="34"/>
    </row>
    <row r="349" spans="2:15">
      <c r="B349" s="29"/>
      <c r="E349" s="53"/>
      <c r="L349" s="32"/>
      <c r="M349" s="34"/>
      <c r="N349" s="34"/>
      <c r="O349" s="34"/>
    </row>
    <row r="350" spans="2:15">
      <c r="B350" s="29"/>
      <c r="E350" s="53"/>
      <c r="L350" s="32"/>
      <c r="M350" s="34"/>
      <c r="N350" s="34"/>
      <c r="O350" s="34"/>
    </row>
    <row r="351" spans="2:15">
      <c r="B351" s="29"/>
      <c r="E351" s="53"/>
      <c r="L351" s="32"/>
      <c r="M351" s="34"/>
      <c r="N351" s="34"/>
      <c r="O351" s="34"/>
    </row>
    <row r="352" spans="2:15">
      <c r="B352" s="29"/>
      <c r="E352" s="53"/>
      <c r="L352" s="32"/>
      <c r="M352" s="34"/>
      <c r="N352" s="34"/>
      <c r="O352" s="34"/>
    </row>
    <row r="353" spans="2:15">
      <c r="B353" s="29"/>
      <c r="E353" s="53"/>
      <c r="L353" s="32"/>
      <c r="M353" s="34"/>
      <c r="N353" s="34"/>
      <c r="O353" s="34"/>
    </row>
    <row r="354" spans="2:15">
      <c r="B354" s="29"/>
      <c r="E354" s="53"/>
      <c r="L354" s="32"/>
      <c r="M354" s="34"/>
      <c r="N354" s="34"/>
      <c r="O354" s="34"/>
    </row>
    <row r="355" spans="2:15">
      <c r="B355" s="29"/>
      <c r="E355" s="53"/>
      <c r="L355" s="32"/>
      <c r="M355" s="34"/>
      <c r="N355" s="34"/>
      <c r="O355" s="34"/>
    </row>
    <row r="356" spans="2:15">
      <c r="B356" s="29"/>
      <c r="E356" s="53"/>
      <c r="L356" s="32"/>
      <c r="M356" s="34"/>
      <c r="N356" s="34"/>
      <c r="O356" s="34"/>
    </row>
    <row r="357" spans="2:15">
      <c r="B357" s="29"/>
      <c r="E357" s="53"/>
      <c r="L357" s="32"/>
      <c r="M357" s="34"/>
      <c r="N357" s="34"/>
      <c r="O357" s="34"/>
    </row>
    <row r="358" spans="2:15">
      <c r="B358" s="29"/>
      <c r="E358" s="53"/>
      <c r="L358" s="32"/>
      <c r="M358" s="34"/>
      <c r="N358" s="34"/>
      <c r="O358" s="34"/>
    </row>
    <row r="359" spans="2:15">
      <c r="B359" s="29"/>
      <c r="E359" s="53"/>
      <c r="L359" s="32"/>
      <c r="M359" s="34"/>
      <c r="N359" s="34"/>
      <c r="O359" s="34"/>
    </row>
    <row r="360" spans="2:15">
      <c r="B360" s="29"/>
      <c r="E360" s="53"/>
      <c r="L360" s="32"/>
      <c r="M360" s="34"/>
      <c r="N360" s="34"/>
      <c r="O360" s="34"/>
    </row>
    <row r="361" spans="2:15">
      <c r="B361" s="29"/>
      <c r="E361" s="53"/>
      <c r="L361" s="32"/>
      <c r="M361" s="34"/>
      <c r="N361" s="34"/>
      <c r="O361" s="34"/>
    </row>
    <row r="362" spans="2:15">
      <c r="B362" s="29"/>
      <c r="E362" s="53"/>
      <c r="L362" s="32"/>
      <c r="M362" s="34"/>
      <c r="N362" s="34"/>
      <c r="O362" s="34"/>
    </row>
    <row r="363" spans="2:15">
      <c r="B363" s="29"/>
      <c r="E363" s="53"/>
      <c r="L363" s="32"/>
      <c r="M363" s="34"/>
      <c r="N363" s="34"/>
      <c r="O363" s="34"/>
    </row>
    <row r="364" spans="2:15">
      <c r="B364" s="29"/>
      <c r="E364" s="53"/>
      <c r="L364" s="32"/>
      <c r="M364" s="34"/>
      <c r="N364" s="34"/>
      <c r="O364" s="34"/>
    </row>
    <row r="365" spans="2:15">
      <c r="B365" s="29"/>
      <c r="E365" s="53"/>
      <c r="L365" s="32"/>
      <c r="M365" s="34"/>
      <c r="N365" s="34"/>
      <c r="O365" s="34"/>
    </row>
    <row r="366" spans="2:15">
      <c r="B366" s="29"/>
      <c r="E366" s="53"/>
      <c r="L366" s="32"/>
      <c r="M366" s="34"/>
      <c r="N366" s="34"/>
      <c r="O366" s="34"/>
    </row>
    <row r="367" spans="2:15">
      <c r="B367" s="29"/>
      <c r="E367" s="53"/>
      <c r="L367" s="32"/>
      <c r="M367" s="34"/>
      <c r="N367" s="34"/>
      <c r="O367" s="34"/>
    </row>
    <row r="368" spans="2:15">
      <c r="B368" s="29"/>
      <c r="E368" s="53"/>
      <c r="L368" s="32"/>
      <c r="M368" s="34"/>
      <c r="N368" s="34"/>
      <c r="O368" s="34"/>
    </row>
    <row r="369" spans="2:15">
      <c r="B369" s="29"/>
      <c r="E369" s="53"/>
      <c r="L369" s="32"/>
      <c r="M369" s="34"/>
      <c r="N369" s="34"/>
      <c r="O369" s="34"/>
    </row>
    <row r="370" spans="2:15">
      <c r="B370" s="29"/>
      <c r="E370" s="53"/>
      <c r="L370" s="32"/>
      <c r="M370" s="34"/>
      <c r="N370" s="34"/>
      <c r="O370" s="34"/>
    </row>
    <row r="371" spans="2:15">
      <c r="B371" s="29"/>
      <c r="E371" s="53"/>
      <c r="L371" s="32"/>
      <c r="M371" s="34"/>
      <c r="N371" s="34"/>
      <c r="O371" s="34"/>
    </row>
    <row r="372" spans="2:15">
      <c r="B372" s="29"/>
      <c r="E372" s="53"/>
      <c r="L372" s="32"/>
      <c r="M372" s="34"/>
      <c r="N372" s="34"/>
      <c r="O372" s="34"/>
    </row>
    <row r="373" spans="2:15">
      <c r="B373" s="29"/>
      <c r="E373" s="53"/>
      <c r="L373" s="32"/>
      <c r="M373" s="34"/>
      <c r="N373" s="34"/>
      <c r="O373" s="34"/>
    </row>
    <row r="374" spans="2:15">
      <c r="B374" s="29"/>
      <c r="E374" s="53"/>
      <c r="L374" s="32"/>
      <c r="M374" s="34"/>
      <c r="N374" s="34"/>
      <c r="O374" s="34"/>
    </row>
    <row r="375" spans="2:15">
      <c r="B375" s="29"/>
      <c r="E375" s="53"/>
      <c r="L375" s="32"/>
      <c r="M375" s="34"/>
      <c r="N375" s="34"/>
      <c r="O375" s="34"/>
    </row>
    <row r="376" spans="2:15">
      <c r="B376" s="29"/>
      <c r="E376" s="53"/>
      <c r="L376" s="32"/>
      <c r="M376" s="34"/>
      <c r="N376" s="34"/>
      <c r="O376" s="34"/>
    </row>
    <row r="377" spans="2:15">
      <c r="B377" s="29"/>
      <c r="E377" s="53"/>
      <c r="L377" s="32"/>
      <c r="M377" s="34"/>
      <c r="N377" s="34"/>
      <c r="O377" s="34"/>
    </row>
    <row r="378" spans="2:15">
      <c r="B378" s="29"/>
      <c r="E378" s="53"/>
      <c r="L378" s="32"/>
      <c r="M378" s="34"/>
      <c r="N378" s="34"/>
      <c r="O378" s="34"/>
    </row>
    <row r="379" spans="2:15">
      <c r="B379" s="29"/>
      <c r="E379" s="53"/>
      <c r="L379" s="32"/>
      <c r="M379" s="34"/>
      <c r="N379" s="34"/>
      <c r="O379" s="34"/>
    </row>
    <row r="380" spans="2:15">
      <c r="B380" s="29"/>
      <c r="E380" s="53"/>
      <c r="L380" s="32"/>
      <c r="M380" s="34"/>
      <c r="N380" s="34"/>
      <c r="O380" s="34"/>
    </row>
    <row r="381" spans="2:15">
      <c r="B381" s="29"/>
      <c r="E381" s="53"/>
      <c r="L381" s="32"/>
      <c r="M381" s="34"/>
      <c r="N381" s="34"/>
      <c r="O381" s="34"/>
    </row>
    <row r="382" spans="2:15">
      <c r="B382" s="29"/>
      <c r="E382" s="53"/>
      <c r="L382" s="32"/>
      <c r="M382" s="34"/>
      <c r="N382" s="34"/>
      <c r="O382" s="34"/>
    </row>
    <row r="383" spans="2:15">
      <c r="B383" s="29"/>
      <c r="E383" s="53"/>
      <c r="L383" s="32"/>
      <c r="M383" s="34"/>
      <c r="N383" s="34"/>
      <c r="O383" s="34"/>
    </row>
    <row r="384" spans="2:15">
      <c r="B384" s="29"/>
      <c r="E384" s="53"/>
      <c r="L384" s="32"/>
      <c r="M384" s="34"/>
      <c r="N384" s="34"/>
      <c r="O384" s="34"/>
    </row>
    <row r="385" spans="2:15">
      <c r="B385" s="29"/>
      <c r="E385" s="53"/>
      <c r="L385" s="32"/>
      <c r="M385" s="34"/>
      <c r="N385" s="34"/>
      <c r="O385" s="34"/>
    </row>
    <row r="386" spans="2:15">
      <c r="B386" s="29"/>
      <c r="E386" s="53"/>
      <c r="L386" s="32"/>
      <c r="M386" s="34"/>
      <c r="N386" s="34"/>
      <c r="O386" s="34"/>
    </row>
    <row r="387" spans="2:15">
      <c r="B387" s="29"/>
      <c r="E387" s="53"/>
      <c r="L387" s="32"/>
      <c r="M387" s="34"/>
      <c r="N387" s="34"/>
      <c r="O387" s="34"/>
    </row>
    <row r="388" spans="2:15">
      <c r="B388" s="29"/>
      <c r="E388" s="53"/>
      <c r="L388" s="32"/>
      <c r="M388" s="34"/>
      <c r="N388" s="34"/>
      <c r="O388" s="34"/>
    </row>
    <row r="389" spans="2:15">
      <c r="B389" s="29"/>
      <c r="E389" s="53"/>
      <c r="L389" s="32"/>
      <c r="M389" s="34"/>
      <c r="N389" s="34"/>
      <c r="O389" s="34"/>
    </row>
    <row r="390" spans="2:15">
      <c r="B390" s="29"/>
      <c r="E390" s="53"/>
      <c r="L390" s="32"/>
      <c r="M390" s="34"/>
      <c r="N390" s="34"/>
      <c r="O390" s="34"/>
    </row>
    <row r="391" spans="2:15">
      <c r="B391" s="29"/>
      <c r="E391" s="53"/>
      <c r="L391" s="32"/>
      <c r="M391" s="34"/>
      <c r="N391" s="34"/>
      <c r="O391" s="34"/>
    </row>
    <row r="392" spans="2:15">
      <c r="B392" s="29"/>
      <c r="E392" s="53"/>
      <c r="L392" s="32"/>
      <c r="M392" s="34"/>
      <c r="N392" s="34"/>
      <c r="O392" s="34"/>
    </row>
    <row r="393" spans="2:15">
      <c r="B393" s="29"/>
      <c r="E393" s="53"/>
      <c r="L393" s="32"/>
      <c r="M393" s="34"/>
      <c r="N393" s="34"/>
      <c r="O393" s="34"/>
    </row>
    <row r="394" spans="2:15">
      <c r="B394" s="29"/>
      <c r="E394" s="53"/>
      <c r="L394" s="32"/>
      <c r="M394" s="34"/>
      <c r="N394" s="34"/>
      <c r="O394" s="34"/>
    </row>
    <row r="395" spans="2:15">
      <c r="B395" s="29"/>
      <c r="E395" s="53"/>
      <c r="L395" s="32"/>
      <c r="M395" s="34"/>
      <c r="N395" s="34"/>
      <c r="O395" s="34"/>
    </row>
    <row r="396" spans="2:15">
      <c r="B396" s="29"/>
      <c r="E396" s="53"/>
      <c r="L396" s="32"/>
      <c r="M396" s="34"/>
      <c r="N396" s="34"/>
      <c r="O396" s="34"/>
    </row>
    <row r="397" spans="2:15">
      <c r="B397" s="29"/>
      <c r="E397" s="53"/>
      <c r="L397" s="32"/>
      <c r="M397" s="34"/>
      <c r="N397" s="34"/>
      <c r="O397" s="34"/>
    </row>
    <row r="398" spans="2:15">
      <c r="B398" s="29"/>
      <c r="E398" s="53"/>
      <c r="L398" s="32"/>
      <c r="M398" s="34"/>
      <c r="N398" s="34"/>
      <c r="O398" s="34"/>
    </row>
    <row r="399" spans="2:15">
      <c r="B399" s="29"/>
      <c r="E399" s="53"/>
      <c r="L399" s="32"/>
      <c r="M399" s="34"/>
      <c r="N399" s="34"/>
      <c r="O399" s="34"/>
    </row>
    <row r="400" spans="2:15">
      <c r="B400" s="29"/>
      <c r="E400" s="53"/>
      <c r="L400" s="32"/>
      <c r="M400" s="34"/>
      <c r="N400" s="34"/>
      <c r="O400" s="34"/>
    </row>
    <row r="401" spans="2:15">
      <c r="B401" s="29"/>
      <c r="E401" s="53"/>
      <c r="L401" s="32"/>
      <c r="M401" s="34"/>
      <c r="N401" s="34"/>
      <c r="O401" s="34"/>
    </row>
    <row r="402" spans="2:15">
      <c r="B402" s="29"/>
      <c r="E402" s="53"/>
      <c r="L402" s="32"/>
      <c r="M402" s="34"/>
      <c r="N402" s="34"/>
      <c r="O402" s="34"/>
    </row>
    <row r="403" spans="2:15">
      <c r="B403" s="29"/>
      <c r="E403" s="53"/>
      <c r="L403" s="32"/>
      <c r="M403" s="34"/>
      <c r="N403" s="34"/>
      <c r="O403" s="34"/>
    </row>
    <row r="404" spans="2:15">
      <c r="B404" s="29"/>
      <c r="E404" s="53"/>
      <c r="L404" s="32"/>
      <c r="M404" s="34"/>
      <c r="N404" s="34"/>
      <c r="O404" s="34"/>
    </row>
    <row r="405" spans="2:15">
      <c r="B405" s="29"/>
      <c r="E405" s="53"/>
      <c r="L405" s="32"/>
      <c r="M405" s="34"/>
      <c r="N405" s="34"/>
      <c r="O405" s="34"/>
    </row>
    <row r="406" spans="2:15">
      <c r="B406" s="29"/>
      <c r="E406" s="53"/>
      <c r="L406" s="32"/>
      <c r="M406" s="34"/>
      <c r="N406" s="34"/>
      <c r="O406" s="34"/>
    </row>
    <row r="407" spans="2:15">
      <c r="B407" s="29"/>
      <c r="E407" s="53"/>
      <c r="L407" s="32"/>
      <c r="M407" s="34"/>
      <c r="N407" s="34"/>
      <c r="O407" s="34"/>
    </row>
    <row r="408" spans="2:15">
      <c r="B408" s="29"/>
      <c r="E408" s="53"/>
      <c r="L408" s="32"/>
      <c r="M408" s="34"/>
      <c r="N408" s="34"/>
      <c r="O408" s="34"/>
    </row>
    <row r="409" spans="2:15">
      <c r="B409" s="29"/>
      <c r="E409" s="53"/>
      <c r="L409" s="32"/>
      <c r="M409" s="34"/>
      <c r="N409" s="34"/>
      <c r="O409" s="34"/>
    </row>
    <row r="410" spans="2:15">
      <c r="B410" s="29"/>
      <c r="E410" s="53"/>
      <c r="L410" s="32"/>
      <c r="M410" s="34"/>
      <c r="N410" s="34"/>
      <c r="O410" s="34"/>
    </row>
    <row r="411" spans="2:15">
      <c r="B411" s="29"/>
      <c r="E411" s="53"/>
      <c r="L411" s="32"/>
      <c r="M411" s="34"/>
      <c r="N411" s="34"/>
      <c r="O411" s="34"/>
    </row>
    <row r="412" spans="2:15">
      <c r="B412" s="29"/>
      <c r="E412" s="53"/>
      <c r="L412" s="32"/>
      <c r="M412" s="34"/>
      <c r="N412" s="34"/>
      <c r="O412" s="34"/>
    </row>
    <row r="413" spans="2:15">
      <c r="B413" s="29"/>
      <c r="E413" s="53"/>
      <c r="L413" s="32"/>
      <c r="M413" s="34"/>
      <c r="N413" s="34"/>
      <c r="O413" s="34"/>
    </row>
    <row r="414" spans="2:15">
      <c r="B414" s="29"/>
      <c r="E414" s="53"/>
      <c r="L414" s="32"/>
      <c r="M414" s="34"/>
      <c r="N414" s="34"/>
      <c r="O414" s="34"/>
    </row>
    <row r="415" spans="2:15">
      <c r="B415" s="29"/>
      <c r="E415" s="53"/>
      <c r="L415" s="32"/>
      <c r="M415" s="34"/>
      <c r="N415" s="34"/>
      <c r="O415" s="34"/>
    </row>
    <row r="416" spans="2:15">
      <c r="B416" s="29"/>
      <c r="E416" s="53"/>
      <c r="L416" s="32"/>
      <c r="M416" s="34"/>
      <c r="N416" s="34"/>
      <c r="O416" s="34"/>
    </row>
    <row r="417" spans="2:15">
      <c r="B417" s="29"/>
      <c r="E417" s="53"/>
      <c r="L417" s="32"/>
      <c r="M417" s="34"/>
      <c r="N417" s="34"/>
      <c r="O417" s="34"/>
    </row>
    <row r="418" spans="2:15">
      <c r="B418" s="29"/>
      <c r="E418" s="53"/>
      <c r="L418" s="32"/>
      <c r="M418" s="34"/>
      <c r="N418" s="34"/>
      <c r="O418" s="34"/>
    </row>
    <row r="419" spans="2:15">
      <c r="B419" s="29"/>
      <c r="E419" s="53"/>
      <c r="L419" s="32"/>
      <c r="M419" s="34"/>
      <c r="N419" s="34"/>
      <c r="O419" s="34"/>
    </row>
    <row r="420" spans="2:15">
      <c r="B420" s="29"/>
      <c r="E420" s="53"/>
      <c r="L420" s="32"/>
      <c r="M420" s="34"/>
      <c r="N420" s="34"/>
      <c r="O420" s="34"/>
    </row>
    <row r="421" spans="2:15">
      <c r="B421" s="29"/>
      <c r="E421" s="53"/>
      <c r="L421" s="32"/>
      <c r="M421" s="34"/>
      <c r="N421" s="34"/>
      <c r="O421" s="34"/>
    </row>
    <row r="422" spans="2:15">
      <c r="B422" s="29"/>
      <c r="E422" s="53"/>
      <c r="L422" s="32"/>
      <c r="M422" s="34"/>
      <c r="N422" s="34"/>
      <c r="O422" s="34"/>
    </row>
    <row r="423" spans="2:15">
      <c r="B423" s="29"/>
      <c r="E423" s="53"/>
      <c r="L423" s="32"/>
      <c r="M423" s="34"/>
      <c r="N423" s="34"/>
      <c r="O423" s="34"/>
    </row>
    <row r="424" spans="2:15">
      <c r="B424" s="29"/>
      <c r="E424" s="53"/>
      <c r="L424" s="32"/>
      <c r="M424" s="34"/>
      <c r="N424" s="34"/>
      <c r="O424" s="34"/>
    </row>
    <row r="425" spans="2:15">
      <c r="B425" s="29"/>
      <c r="E425" s="53"/>
      <c r="L425" s="32"/>
      <c r="M425" s="34"/>
      <c r="N425" s="34"/>
      <c r="O425" s="34"/>
    </row>
    <row r="426" spans="2:15">
      <c r="B426" s="29"/>
      <c r="E426" s="53"/>
      <c r="L426" s="32"/>
      <c r="M426" s="34"/>
      <c r="N426" s="34"/>
      <c r="O426" s="34"/>
    </row>
    <row r="427" spans="2:15">
      <c r="B427" s="29"/>
      <c r="E427" s="53"/>
      <c r="L427" s="32"/>
      <c r="M427" s="34"/>
      <c r="N427" s="34"/>
      <c r="O427" s="34"/>
    </row>
    <row r="428" spans="2:15">
      <c r="B428" s="29"/>
      <c r="E428" s="53"/>
      <c r="L428" s="32"/>
      <c r="M428" s="34"/>
      <c r="N428" s="34"/>
      <c r="O428" s="34"/>
    </row>
    <row r="429" spans="2:15">
      <c r="B429" s="29"/>
      <c r="E429" s="53"/>
      <c r="L429" s="32"/>
      <c r="M429" s="34"/>
      <c r="N429" s="34"/>
      <c r="O429" s="34"/>
    </row>
    <row r="430" spans="2:15">
      <c r="B430" s="29"/>
      <c r="E430" s="53"/>
      <c r="L430" s="32"/>
      <c r="M430" s="34"/>
      <c r="N430" s="34"/>
      <c r="O430" s="34"/>
    </row>
    <row r="431" spans="2:15">
      <c r="B431" s="29"/>
      <c r="E431" s="53"/>
      <c r="L431" s="32"/>
      <c r="M431" s="34"/>
      <c r="N431" s="34"/>
      <c r="O431" s="34"/>
    </row>
    <row r="432" spans="2:15">
      <c r="B432" s="29"/>
      <c r="E432" s="53"/>
      <c r="L432" s="32"/>
      <c r="M432" s="34"/>
      <c r="N432" s="34"/>
      <c r="O432" s="34"/>
    </row>
    <row r="433" spans="2:15">
      <c r="B433" s="29"/>
      <c r="E433" s="53"/>
      <c r="L433" s="32"/>
      <c r="M433" s="34"/>
      <c r="N433" s="34"/>
      <c r="O433" s="34"/>
    </row>
    <row r="434" spans="2:15">
      <c r="B434" s="29"/>
      <c r="E434" s="53"/>
      <c r="L434" s="32"/>
      <c r="M434" s="34"/>
      <c r="N434" s="34"/>
      <c r="O434" s="34"/>
    </row>
    <row r="435" spans="2:15">
      <c r="B435" s="29"/>
      <c r="E435" s="53"/>
      <c r="L435" s="32"/>
      <c r="M435" s="34"/>
      <c r="N435" s="34"/>
      <c r="O435" s="34"/>
    </row>
    <row r="436" spans="2:15">
      <c r="B436" s="29"/>
      <c r="E436" s="53"/>
      <c r="L436" s="32"/>
      <c r="M436" s="34"/>
      <c r="N436" s="34"/>
      <c r="O436" s="34"/>
    </row>
    <row r="437" spans="2:15">
      <c r="B437" s="29"/>
      <c r="E437" s="53"/>
      <c r="L437" s="32"/>
      <c r="M437" s="34"/>
      <c r="N437" s="34"/>
      <c r="O437" s="34"/>
    </row>
    <row r="438" spans="2:15">
      <c r="B438" s="29"/>
      <c r="E438" s="53"/>
      <c r="L438" s="32"/>
      <c r="M438" s="34"/>
      <c r="N438" s="34"/>
      <c r="O438" s="34"/>
    </row>
    <row r="439" spans="2:15">
      <c r="B439" s="29"/>
      <c r="E439" s="53"/>
      <c r="L439" s="32"/>
      <c r="M439" s="34"/>
      <c r="N439" s="34"/>
      <c r="O439" s="34"/>
    </row>
    <row r="440" spans="2:15">
      <c r="B440" s="29"/>
      <c r="E440" s="53"/>
      <c r="L440" s="32"/>
      <c r="M440" s="34"/>
      <c r="N440" s="34"/>
      <c r="O440" s="34"/>
    </row>
    <row r="441" spans="2:15">
      <c r="B441" s="29"/>
      <c r="E441" s="53"/>
      <c r="L441" s="32"/>
      <c r="M441" s="34"/>
      <c r="N441" s="34"/>
      <c r="O441" s="34"/>
    </row>
    <row r="442" spans="2:15">
      <c r="B442" s="29"/>
      <c r="E442" s="53"/>
      <c r="L442" s="32"/>
      <c r="M442" s="34"/>
      <c r="N442" s="34"/>
      <c r="O442" s="34"/>
    </row>
    <row r="443" spans="2:15">
      <c r="B443" s="29"/>
      <c r="E443" s="53"/>
      <c r="L443" s="32"/>
      <c r="M443" s="34"/>
      <c r="N443" s="34"/>
      <c r="O443" s="34"/>
    </row>
    <row r="444" spans="2:15">
      <c r="B444" s="29"/>
      <c r="E444" s="53"/>
      <c r="L444" s="32"/>
      <c r="M444" s="34"/>
      <c r="N444" s="34"/>
      <c r="O444" s="34"/>
    </row>
    <row r="445" spans="2:15">
      <c r="B445" s="29"/>
      <c r="E445" s="53"/>
      <c r="L445" s="32"/>
      <c r="M445" s="34"/>
      <c r="N445" s="34"/>
      <c r="O445" s="34"/>
    </row>
    <row r="446" spans="2:15">
      <c r="B446" s="29"/>
      <c r="E446" s="53"/>
      <c r="L446" s="32"/>
      <c r="M446" s="34"/>
      <c r="N446" s="34"/>
      <c r="O446" s="34"/>
    </row>
    <row r="447" spans="2:15">
      <c r="B447" s="29"/>
      <c r="E447" s="53"/>
      <c r="L447" s="32"/>
      <c r="M447" s="34"/>
      <c r="N447" s="34"/>
      <c r="O447" s="34"/>
    </row>
    <row r="448" spans="2:15">
      <c r="B448" s="29"/>
      <c r="E448" s="53"/>
      <c r="L448" s="32"/>
      <c r="M448" s="34"/>
      <c r="N448" s="34"/>
      <c r="O448" s="34"/>
    </row>
    <row r="449" spans="2:15">
      <c r="B449" s="29"/>
      <c r="E449" s="53"/>
      <c r="L449" s="32"/>
      <c r="M449" s="34"/>
      <c r="N449" s="34"/>
      <c r="O449" s="34"/>
    </row>
    <row r="450" spans="2:15">
      <c r="B450" s="29"/>
      <c r="E450" s="53"/>
      <c r="L450" s="32"/>
      <c r="M450" s="34"/>
      <c r="N450" s="34"/>
      <c r="O450" s="34"/>
    </row>
    <row r="451" spans="2:15">
      <c r="B451" s="29"/>
      <c r="E451" s="53"/>
      <c r="L451" s="32"/>
      <c r="M451" s="34"/>
      <c r="N451" s="34"/>
      <c r="O451" s="34"/>
    </row>
    <row r="452" spans="2:15">
      <c r="B452" s="29"/>
      <c r="E452" s="53"/>
      <c r="L452" s="32"/>
      <c r="M452" s="34"/>
      <c r="N452" s="34"/>
      <c r="O452" s="34"/>
    </row>
    <row r="453" spans="2:15">
      <c r="B453" s="29"/>
      <c r="E453" s="53"/>
      <c r="L453" s="32"/>
      <c r="M453" s="34"/>
      <c r="N453" s="34"/>
      <c r="O453" s="34"/>
    </row>
    <row r="454" spans="2:15">
      <c r="B454" s="29"/>
      <c r="E454" s="53"/>
      <c r="L454" s="32"/>
      <c r="M454" s="34"/>
      <c r="N454" s="34"/>
      <c r="O454" s="34"/>
    </row>
    <row r="455" spans="2:15">
      <c r="B455" s="29"/>
      <c r="E455" s="53"/>
      <c r="L455" s="32"/>
      <c r="M455" s="34"/>
      <c r="N455" s="34"/>
      <c r="O455" s="34"/>
    </row>
    <row r="456" spans="2:15">
      <c r="B456" s="29"/>
      <c r="E456" s="53"/>
      <c r="L456" s="32"/>
      <c r="M456" s="34"/>
      <c r="N456" s="34"/>
      <c r="O456" s="34"/>
    </row>
    <row r="457" spans="2:15">
      <c r="B457" s="29"/>
      <c r="E457" s="53"/>
      <c r="L457" s="32"/>
      <c r="M457" s="34"/>
      <c r="N457" s="34"/>
      <c r="O457" s="34"/>
    </row>
    <row r="458" spans="2:15">
      <c r="B458" s="29"/>
      <c r="E458" s="53"/>
      <c r="L458" s="32"/>
      <c r="M458" s="34"/>
      <c r="N458" s="34"/>
      <c r="O458" s="34"/>
    </row>
    <row r="459" spans="2:15">
      <c r="B459" s="29"/>
      <c r="E459" s="53"/>
      <c r="L459" s="32"/>
      <c r="M459" s="34"/>
      <c r="N459" s="34"/>
      <c r="O459" s="34"/>
    </row>
    <row r="460" spans="2:15">
      <c r="B460" s="29"/>
      <c r="E460" s="53"/>
      <c r="L460" s="32"/>
      <c r="M460" s="34"/>
      <c r="N460" s="34"/>
      <c r="O460" s="34"/>
    </row>
    <row r="461" spans="2:15">
      <c r="B461" s="29"/>
      <c r="E461" s="53"/>
      <c r="L461" s="32"/>
      <c r="M461" s="34"/>
      <c r="N461" s="34"/>
      <c r="O461" s="34"/>
    </row>
    <row r="462" spans="2:15">
      <c r="B462" s="29"/>
      <c r="E462" s="53"/>
      <c r="L462" s="32"/>
      <c r="M462" s="34"/>
      <c r="N462" s="34"/>
      <c r="O462" s="34"/>
    </row>
    <row r="463" spans="2:15">
      <c r="B463" s="29"/>
      <c r="E463" s="53"/>
      <c r="L463" s="32"/>
      <c r="M463" s="34"/>
      <c r="N463" s="34"/>
      <c r="O463" s="34"/>
    </row>
    <row r="464" spans="2:15">
      <c r="B464" s="29"/>
      <c r="E464" s="53"/>
      <c r="L464" s="32"/>
      <c r="M464" s="34"/>
      <c r="N464" s="34"/>
      <c r="O464" s="34"/>
    </row>
    <row r="465" spans="2:15">
      <c r="B465" s="29"/>
      <c r="E465" s="53"/>
      <c r="L465" s="32"/>
      <c r="M465" s="34"/>
      <c r="N465" s="34"/>
      <c r="O465" s="34"/>
    </row>
    <row r="466" spans="2:15">
      <c r="B466" s="29"/>
      <c r="E466" s="53"/>
      <c r="L466" s="32"/>
      <c r="M466" s="34"/>
      <c r="N466" s="34"/>
      <c r="O466" s="34"/>
    </row>
    <row r="467" spans="2:15">
      <c r="B467" s="29"/>
      <c r="E467" s="53"/>
      <c r="L467" s="32"/>
      <c r="M467" s="34"/>
      <c r="N467" s="34"/>
      <c r="O467" s="34"/>
    </row>
    <row r="468" spans="2:15">
      <c r="B468" s="29"/>
      <c r="E468" s="53"/>
      <c r="L468" s="32"/>
      <c r="M468" s="34"/>
      <c r="N468" s="34"/>
      <c r="O468" s="34"/>
    </row>
    <row r="469" spans="2:15">
      <c r="B469" s="29"/>
      <c r="E469" s="53"/>
      <c r="L469" s="32"/>
      <c r="M469" s="34"/>
      <c r="N469" s="34"/>
      <c r="O469" s="34"/>
    </row>
    <row r="470" spans="2:15">
      <c r="B470" s="29"/>
      <c r="E470" s="53"/>
      <c r="L470" s="32"/>
      <c r="M470" s="34"/>
      <c r="N470" s="34"/>
      <c r="O470" s="34"/>
    </row>
    <row r="471" spans="2:15">
      <c r="B471" s="29"/>
      <c r="E471" s="53"/>
      <c r="L471" s="32"/>
      <c r="M471" s="34"/>
      <c r="N471" s="34"/>
      <c r="O471" s="34"/>
    </row>
    <row r="472" spans="2:15">
      <c r="B472" s="29"/>
      <c r="E472" s="53"/>
      <c r="L472" s="32"/>
      <c r="M472" s="34"/>
      <c r="N472" s="34"/>
      <c r="O472" s="34"/>
    </row>
    <row r="473" spans="2:15">
      <c r="B473" s="29"/>
      <c r="E473" s="53"/>
      <c r="L473" s="32"/>
      <c r="M473" s="34"/>
      <c r="N473" s="34"/>
      <c r="O473" s="34"/>
    </row>
    <row r="474" spans="2:15">
      <c r="B474" s="29"/>
      <c r="E474" s="53"/>
      <c r="L474" s="32"/>
      <c r="M474" s="34"/>
      <c r="N474" s="34"/>
      <c r="O474" s="34"/>
    </row>
    <row r="475" spans="2:15">
      <c r="B475" s="29"/>
      <c r="E475" s="53"/>
      <c r="L475" s="32"/>
      <c r="M475" s="34"/>
      <c r="N475" s="34"/>
      <c r="O475" s="34"/>
    </row>
    <row r="476" spans="2:15">
      <c r="B476" s="29"/>
      <c r="E476" s="53"/>
      <c r="L476" s="32"/>
      <c r="M476" s="34"/>
      <c r="N476" s="34"/>
      <c r="O476" s="34"/>
    </row>
    <row r="477" spans="2:15">
      <c r="B477" s="29"/>
      <c r="E477" s="53"/>
      <c r="L477" s="32"/>
      <c r="M477" s="34"/>
      <c r="N477" s="34"/>
      <c r="O477" s="34"/>
    </row>
    <row r="478" spans="2:15">
      <c r="B478" s="29"/>
      <c r="E478" s="53"/>
      <c r="L478" s="32"/>
      <c r="M478" s="34"/>
      <c r="N478" s="34"/>
      <c r="O478" s="34"/>
    </row>
    <row r="479" spans="2:15">
      <c r="B479" s="29"/>
      <c r="E479" s="53"/>
      <c r="L479" s="32"/>
      <c r="M479" s="34"/>
      <c r="N479" s="34"/>
      <c r="O479" s="34"/>
    </row>
    <row r="480" spans="2:15">
      <c r="B480" s="29"/>
      <c r="E480" s="53"/>
      <c r="L480" s="32"/>
      <c r="M480" s="34"/>
      <c r="N480" s="34"/>
      <c r="O480" s="34"/>
    </row>
    <row r="481" spans="2:15">
      <c r="B481" s="29"/>
      <c r="E481" s="53"/>
      <c r="L481" s="32"/>
      <c r="M481" s="34"/>
      <c r="N481" s="34"/>
      <c r="O481" s="34"/>
    </row>
    <row r="482" spans="2:15">
      <c r="B482" s="29"/>
      <c r="E482" s="53"/>
      <c r="L482" s="32"/>
      <c r="M482" s="34"/>
      <c r="N482" s="34"/>
      <c r="O482" s="34"/>
    </row>
    <row r="483" spans="2:15">
      <c r="B483" s="29"/>
      <c r="E483" s="53"/>
      <c r="L483" s="32"/>
      <c r="M483" s="34"/>
      <c r="N483" s="34"/>
      <c r="O483" s="34"/>
    </row>
    <row r="484" spans="2:15">
      <c r="B484" s="29"/>
      <c r="E484" s="53"/>
      <c r="L484" s="32"/>
      <c r="M484" s="34"/>
      <c r="N484" s="34"/>
      <c r="O484" s="34"/>
    </row>
    <row r="485" spans="2:15">
      <c r="B485" s="29"/>
      <c r="E485" s="53"/>
      <c r="L485" s="32"/>
      <c r="M485" s="34"/>
      <c r="N485" s="34"/>
      <c r="O485" s="34"/>
    </row>
    <row r="486" spans="2:15">
      <c r="B486" s="29"/>
      <c r="E486" s="53"/>
      <c r="L486" s="32"/>
      <c r="M486" s="34"/>
      <c r="N486" s="34"/>
      <c r="O486" s="34"/>
    </row>
    <row r="487" spans="2:15">
      <c r="B487" s="29"/>
      <c r="E487" s="53"/>
      <c r="L487" s="32"/>
      <c r="M487" s="34"/>
      <c r="N487" s="34"/>
      <c r="O487" s="34"/>
    </row>
    <row r="488" spans="2:15">
      <c r="B488" s="29"/>
      <c r="E488" s="53"/>
      <c r="L488" s="32"/>
      <c r="M488" s="34"/>
      <c r="N488" s="34"/>
      <c r="O488" s="34"/>
    </row>
    <row r="489" spans="2:15">
      <c r="B489" s="29"/>
      <c r="E489" s="53"/>
      <c r="L489" s="32"/>
      <c r="M489" s="34"/>
      <c r="N489" s="34"/>
      <c r="O489" s="34"/>
    </row>
    <row r="490" spans="2:15">
      <c r="B490" s="29"/>
      <c r="E490" s="53"/>
      <c r="L490" s="32"/>
      <c r="M490" s="34"/>
      <c r="N490" s="34"/>
      <c r="O490" s="34"/>
    </row>
    <row r="491" spans="2:15">
      <c r="B491" s="29"/>
      <c r="E491" s="53"/>
      <c r="L491" s="32"/>
      <c r="M491" s="34"/>
      <c r="N491" s="34"/>
      <c r="O491" s="34"/>
    </row>
    <row r="492" spans="2:15">
      <c r="B492" s="29"/>
      <c r="E492" s="53"/>
      <c r="L492" s="32"/>
      <c r="M492" s="34"/>
      <c r="N492" s="34"/>
      <c r="O492" s="34"/>
    </row>
    <row r="493" spans="2:15">
      <c r="B493" s="29"/>
      <c r="E493" s="53"/>
      <c r="L493" s="32"/>
      <c r="M493" s="34"/>
      <c r="N493" s="34"/>
      <c r="O493" s="34"/>
    </row>
    <row r="494" spans="2:15">
      <c r="B494" s="29"/>
      <c r="E494" s="53"/>
      <c r="L494" s="32"/>
      <c r="M494" s="34"/>
      <c r="N494" s="34"/>
      <c r="O494" s="34"/>
    </row>
    <row r="495" spans="2:15">
      <c r="B495" s="29"/>
      <c r="E495" s="53"/>
      <c r="L495" s="32"/>
      <c r="M495" s="34"/>
      <c r="N495" s="34"/>
      <c r="O495" s="34"/>
    </row>
    <row r="496" spans="2:15">
      <c r="B496" s="29"/>
      <c r="E496" s="53"/>
      <c r="L496" s="32"/>
      <c r="M496" s="34"/>
      <c r="N496" s="34"/>
      <c r="O496" s="34"/>
    </row>
    <row r="497" spans="2:15">
      <c r="B497" s="29"/>
      <c r="E497" s="53"/>
      <c r="L497" s="32"/>
      <c r="M497" s="34"/>
      <c r="N497" s="34"/>
      <c r="O497" s="34"/>
    </row>
    <row r="498" spans="2:15">
      <c r="B498" s="29"/>
      <c r="E498" s="53"/>
      <c r="L498" s="32"/>
      <c r="M498" s="34"/>
      <c r="N498" s="34"/>
      <c r="O498" s="34"/>
    </row>
    <row r="499" spans="2:15">
      <c r="B499" s="29"/>
      <c r="E499" s="53"/>
      <c r="L499" s="32"/>
      <c r="M499" s="34"/>
      <c r="N499" s="34"/>
      <c r="O499" s="34"/>
    </row>
    <row r="500" spans="2:15">
      <c r="B500" s="29"/>
      <c r="E500" s="53"/>
      <c r="L500" s="32"/>
      <c r="M500" s="34"/>
      <c r="N500" s="34"/>
      <c r="O500" s="34"/>
    </row>
    <row r="501" spans="2:15">
      <c r="B501" s="29"/>
      <c r="E501" s="53"/>
      <c r="L501" s="32"/>
      <c r="M501" s="34"/>
      <c r="N501" s="34"/>
      <c r="O501" s="34"/>
    </row>
    <row r="502" spans="2:15">
      <c r="B502" s="29"/>
      <c r="E502" s="53"/>
      <c r="L502" s="32"/>
      <c r="M502" s="34"/>
      <c r="N502" s="34"/>
      <c r="O502" s="34"/>
    </row>
    <row r="503" spans="2:15">
      <c r="B503" s="29"/>
      <c r="E503" s="53"/>
      <c r="L503" s="32"/>
      <c r="M503" s="34"/>
      <c r="N503" s="34"/>
      <c r="O503" s="34"/>
    </row>
    <row r="504" spans="2:15">
      <c r="B504" s="29"/>
      <c r="E504" s="53"/>
      <c r="L504" s="32"/>
      <c r="M504" s="34"/>
      <c r="N504" s="34"/>
      <c r="O504" s="34"/>
    </row>
    <row r="505" spans="2:15">
      <c r="B505" s="29"/>
      <c r="E505" s="53"/>
      <c r="L505" s="32"/>
      <c r="M505" s="34"/>
      <c r="N505" s="34"/>
      <c r="O505" s="34"/>
    </row>
    <row r="506" spans="2:15">
      <c r="B506" s="29"/>
      <c r="E506" s="53"/>
      <c r="L506" s="32"/>
      <c r="M506" s="34"/>
      <c r="N506" s="34"/>
      <c r="O506" s="34"/>
    </row>
    <row r="507" spans="2:15">
      <c r="B507" s="29"/>
      <c r="E507" s="53"/>
      <c r="L507" s="32"/>
      <c r="M507" s="34"/>
      <c r="N507" s="34"/>
      <c r="O507" s="34"/>
    </row>
    <row r="508" spans="2:15">
      <c r="B508" s="29"/>
      <c r="E508" s="53"/>
      <c r="L508" s="32"/>
      <c r="M508" s="34"/>
      <c r="N508" s="34"/>
      <c r="O508" s="34"/>
    </row>
    <row r="509" spans="2:15">
      <c r="B509" s="29"/>
      <c r="E509" s="53"/>
      <c r="L509" s="32"/>
      <c r="M509" s="34"/>
      <c r="N509" s="34"/>
      <c r="O509" s="34"/>
    </row>
    <row r="510" spans="2:15">
      <c r="B510" s="29"/>
      <c r="E510" s="53"/>
      <c r="L510" s="32"/>
      <c r="M510" s="34"/>
      <c r="N510" s="34"/>
      <c r="O510" s="34"/>
    </row>
    <row r="511" spans="2:15">
      <c r="B511" s="29"/>
      <c r="E511" s="53"/>
      <c r="L511" s="32"/>
      <c r="M511" s="34"/>
      <c r="N511" s="34"/>
      <c r="O511" s="34"/>
    </row>
    <row r="512" spans="2:15">
      <c r="B512" s="29"/>
      <c r="E512" s="53"/>
      <c r="L512" s="32"/>
      <c r="M512" s="34"/>
      <c r="N512" s="34"/>
      <c r="O512" s="34"/>
    </row>
    <row r="513" spans="2:15">
      <c r="B513" s="29"/>
      <c r="E513" s="53"/>
      <c r="L513" s="32"/>
      <c r="M513" s="34"/>
      <c r="N513" s="34"/>
      <c r="O513" s="34"/>
    </row>
    <row r="514" spans="2:15">
      <c r="B514" s="29"/>
      <c r="E514" s="53"/>
      <c r="L514" s="32"/>
      <c r="M514" s="34"/>
      <c r="N514" s="34"/>
      <c r="O514" s="34"/>
    </row>
    <row r="515" spans="2:15">
      <c r="B515" s="29"/>
      <c r="E515" s="53"/>
      <c r="L515" s="32"/>
      <c r="M515" s="34"/>
      <c r="N515" s="34"/>
      <c r="O515" s="34"/>
    </row>
    <row r="516" spans="2:15">
      <c r="B516" s="29"/>
      <c r="E516" s="53"/>
      <c r="L516" s="32"/>
      <c r="M516" s="34"/>
      <c r="N516" s="34"/>
      <c r="O516" s="34"/>
    </row>
    <row r="517" spans="2:15">
      <c r="B517" s="29"/>
      <c r="E517" s="53"/>
      <c r="L517" s="32"/>
      <c r="M517" s="34"/>
      <c r="N517" s="34"/>
      <c r="O517" s="34"/>
    </row>
    <row r="518" spans="2:15">
      <c r="B518" s="29"/>
      <c r="E518" s="53"/>
      <c r="L518" s="32"/>
      <c r="M518" s="34"/>
      <c r="N518" s="34"/>
      <c r="O518" s="34"/>
    </row>
    <row r="519" spans="2:15">
      <c r="B519" s="29"/>
      <c r="E519" s="53"/>
      <c r="L519" s="32"/>
      <c r="M519" s="34"/>
      <c r="N519" s="34"/>
      <c r="O519" s="34"/>
    </row>
    <row r="520" spans="2:15">
      <c r="B520" s="29"/>
      <c r="E520" s="53"/>
      <c r="L520" s="32"/>
      <c r="M520" s="34"/>
      <c r="N520" s="34"/>
      <c r="O520" s="34"/>
    </row>
    <row r="521" spans="2:15">
      <c r="B521" s="29"/>
      <c r="E521" s="53"/>
      <c r="L521" s="32"/>
      <c r="M521" s="34"/>
      <c r="N521" s="34"/>
      <c r="O521" s="34"/>
    </row>
    <row r="522" spans="2:15">
      <c r="B522" s="29"/>
      <c r="E522" s="53"/>
      <c r="L522" s="32"/>
      <c r="M522" s="34"/>
      <c r="N522" s="34"/>
      <c r="O522" s="34"/>
    </row>
    <row r="523" spans="2:15">
      <c r="B523" s="29"/>
      <c r="E523" s="53"/>
      <c r="L523" s="32"/>
      <c r="M523" s="34"/>
      <c r="N523" s="34"/>
      <c r="O523" s="34"/>
    </row>
    <row r="524" spans="2:15">
      <c r="B524" s="29"/>
      <c r="E524" s="53"/>
      <c r="L524" s="32"/>
      <c r="M524" s="34"/>
      <c r="N524" s="34"/>
      <c r="O524" s="34"/>
    </row>
    <row r="525" spans="2:15">
      <c r="B525" s="29"/>
      <c r="E525" s="53"/>
      <c r="L525" s="32"/>
      <c r="M525" s="34"/>
      <c r="N525" s="34"/>
      <c r="O525" s="34"/>
    </row>
    <row r="526" spans="2:15">
      <c r="B526" s="29"/>
      <c r="E526" s="53"/>
      <c r="L526" s="32"/>
      <c r="M526" s="34"/>
      <c r="N526" s="34"/>
      <c r="O526" s="34"/>
    </row>
    <row r="527" spans="2:15">
      <c r="B527" s="29"/>
      <c r="E527" s="53"/>
      <c r="L527" s="32"/>
      <c r="M527" s="34"/>
      <c r="N527" s="34"/>
      <c r="O527" s="34"/>
    </row>
    <row r="528" spans="2:15">
      <c r="B528" s="29"/>
      <c r="E528" s="53"/>
      <c r="L528" s="32"/>
      <c r="M528" s="34"/>
      <c r="N528" s="34"/>
      <c r="O528" s="34"/>
    </row>
    <row r="529" spans="2:15">
      <c r="B529" s="29"/>
      <c r="E529" s="53"/>
      <c r="L529" s="32"/>
      <c r="M529" s="34"/>
      <c r="N529" s="34"/>
      <c r="O529" s="34"/>
    </row>
    <row r="530" spans="2:15">
      <c r="B530" s="29"/>
      <c r="E530" s="53"/>
      <c r="L530" s="32"/>
      <c r="M530" s="34"/>
      <c r="N530" s="34"/>
      <c r="O530" s="34"/>
    </row>
    <row r="531" spans="2:15">
      <c r="B531" s="29"/>
      <c r="E531" s="53"/>
      <c r="L531" s="32"/>
      <c r="M531" s="34"/>
      <c r="N531" s="34"/>
      <c r="O531" s="34"/>
    </row>
    <row r="532" spans="2:15">
      <c r="B532" s="29"/>
      <c r="E532" s="53"/>
      <c r="L532" s="32"/>
      <c r="M532" s="34"/>
      <c r="N532" s="34"/>
      <c r="O532" s="34"/>
    </row>
    <row r="533" spans="2:15">
      <c r="B533" s="29"/>
      <c r="E533" s="53"/>
      <c r="L533" s="32"/>
      <c r="M533" s="34"/>
      <c r="N533" s="34"/>
      <c r="O533" s="34"/>
    </row>
    <row r="534" spans="2:15">
      <c r="B534" s="29"/>
      <c r="E534" s="53"/>
      <c r="L534" s="32"/>
      <c r="M534" s="34"/>
      <c r="N534" s="34"/>
      <c r="O534" s="34"/>
    </row>
    <row r="535" spans="2:15">
      <c r="B535" s="29"/>
      <c r="E535" s="53"/>
      <c r="L535" s="32"/>
      <c r="M535" s="34"/>
      <c r="N535" s="34"/>
      <c r="O535" s="34"/>
    </row>
    <row r="536" spans="2:15">
      <c r="B536" s="29"/>
      <c r="E536" s="53"/>
      <c r="L536" s="32"/>
      <c r="M536" s="34"/>
      <c r="N536" s="34"/>
      <c r="O536" s="34"/>
    </row>
    <row r="537" spans="2:15">
      <c r="B537" s="29"/>
      <c r="E537" s="53"/>
      <c r="L537" s="32"/>
      <c r="M537" s="34"/>
      <c r="N537" s="34"/>
      <c r="O537" s="34"/>
    </row>
    <row r="538" spans="2:15">
      <c r="B538" s="29"/>
      <c r="E538" s="53"/>
      <c r="L538" s="32"/>
      <c r="M538" s="34"/>
      <c r="N538" s="34"/>
      <c r="O538" s="34"/>
    </row>
    <row r="539" spans="2:15">
      <c r="B539" s="29"/>
      <c r="E539" s="53"/>
      <c r="L539" s="32"/>
      <c r="M539" s="34"/>
      <c r="N539" s="34"/>
      <c r="O539" s="34"/>
    </row>
    <row r="540" spans="2:15">
      <c r="B540" s="29"/>
      <c r="E540" s="53"/>
      <c r="L540" s="32"/>
      <c r="M540" s="34"/>
      <c r="N540" s="34"/>
      <c r="O540" s="34"/>
    </row>
    <row r="541" spans="2:15">
      <c r="B541" s="29"/>
      <c r="E541" s="53"/>
      <c r="L541" s="32"/>
      <c r="M541" s="34"/>
      <c r="N541" s="34"/>
      <c r="O541" s="34"/>
    </row>
    <row r="542" spans="2:15">
      <c r="B542" s="29"/>
      <c r="E542" s="53"/>
      <c r="L542" s="32"/>
      <c r="M542" s="34"/>
      <c r="N542" s="34"/>
      <c r="O542" s="34"/>
    </row>
    <row r="543" spans="2:15">
      <c r="B543" s="29"/>
      <c r="E543" s="53"/>
      <c r="L543" s="32"/>
      <c r="M543" s="34"/>
      <c r="N543" s="34"/>
      <c r="O543" s="34"/>
    </row>
    <row r="544" spans="2:15">
      <c r="B544" s="29"/>
      <c r="E544" s="53"/>
      <c r="L544" s="32"/>
      <c r="M544" s="34"/>
      <c r="N544" s="34"/>
      <c r="O544" s="34"/>
    </row>
    <row r="545" spans="2:15">
      <c r="B545" s="29"/>
      <c r="E545" s="53"/>
      <c r="L545" s="32"/>
      <c r="M545" s="34"/>
      <c r="N545" s="34"/>
      <c r="O545" s="34"/>
    </row>
    <row r="546" spans="2:15">
      <c r="B546" s="29"/>
      <c r="E546" s="53"/>
      <c r="L546" s="32"/>
      <c r="M546" s="34"/>
      <c r="N546" s="34"/>
      <c r="O546" s="34"/>
    </row>
    <row r="547" spans="2:15">
      <c r="B547" s="29"/>
      <c r="E547" s="53"/>
      <c r="L547" s="32"/>
      <c r="M547" s="34"/>
      <c r="N547" s="34"/>
      <c r="O547" s="34"/>
    </row>
    <row r="548" spans="2:15">
      <c r="B548" s="29"/>
      <c r="E548" s="53"/>
      <c r="L548" s="32"/>
      <c r="M548" s="34"/>
      <c r="N548" s="34"/>
      <c r="O548" s="34"/>
    </row>
    <row r="549" spans="2:15">
      <c r="B549" s="29"/>
      <c r="E549" s="53"/>
      <c r="L549" s="32"/>
      <c r="M549" s="34"/>
      <c r="N549" s="34"/>
      <c r="O549" s="34"/>
    </row>
    <row r="550" spans="2:15">
      <c r="B550" s="29"/>
      <c r="E550" s="53"/>
      <c r="L550" s="32"/>
      <c r="M550" s="34"/>
      <c r="N550" s="34"/>
      <c r="O550" s="34"/>
    </row>
    <row r="551" spans="2:15">
      <c r="B551" s="29"/>
      <c r="E551" s="53"/>
      <c r="L551" s="32"/>
      <c r="M551" s="34"/>
      <c r="N551" s="34"/>
      <c r="O551" s="34"/>
    </row>
    <row r="552" spans="2:15">
      <c r="B552" s="29"/>
      <c r="E552" s="53"/>
      <c r="L552" s="32"/>
      <c r="M552" s="34"/>
      <c r="N552" s="34"/>
      <c r="O552" s="34"/>
    </row>
    <row r="553" spans="2:15">
      <c r="B553" s="29"/>
      <c r="E553" s="53"/>
      <c r="L553" s="32"/>
      <c r="M553" s="34"/>
      <c r="N553" s="34"/>
      <c r="O553" s="34"/>
    </row>
    <row r="554" spans="2:15">
      <c r="B554" s="29"/>
      <c r="E554" s="53"/>
      <c r="L554" s="32"/>
      <c r="M554" s="34"/>
      <c r="N554" s="34"/>
      <c r="O554" s="34"/>
    </row>
    <row r="555" spans="2:15">
      <c r="B555" s="29"/>
      <c r="E555" s="53"/>
      <c r="L555" s="32"/>
      <c r="M555" s="34"/>
      <c r="N555" s="34"/>
      <c r="O555" s="34"/>
    </row>
    <row r="556" spans="2:15">
      <c r="B556" s="29"/>
      <c r="E556" s="53"/>
      <c r="L556" s="32"/>
      <c r="M556" s="34"/>
      <c r="N556" s="34"/>
      <c r="O556" s="34"/>
    </row>
    <row r="557" spans="2:15">
      <c r="B557" s="29"/>
      <c r="E557" s="53"/>
      <c r="L557" s="32"/>
      <c r="M557" s="34"/>
      <c r="N557" s="34"/>
      <c r="O557" s="34"/>
    </row>
    <row r="558" spans="2:15">
      <c r="B558" s="29"/>
      <c r="E558" s="53"/>
      <c r="L558" s="32"/>
      <c r="M558" s="34"/>
      <c r="N558" s="34"/>
      <c r="O558" s="34"/>
    </row>
    <row r="559" spans="2:15">
      <c r="B559" s="29"/>
      <c r="E559" s="53"/>
      <c r="L559" s="32"/>
      <c r="M559" s="34"/>
      <c r="N559" s="34"/>
      <c r="O559" s="34"/>
    </row>
    <row r="560" spans="2:15">
      <c r="B560" s="29"/>
      <c r="E560" s="53"/>
      <c r="L560" s="32"/>
      <c r="M560" s="34"/>
      <c r="N560" s="34"/>
      <c r="O560" s="34"/>
    </row>
    <row r="561" spans="2:15">
      <c r="B561" s="29"/>
      <c r="E561" s="53"/>
      <c r="L561" s="32"/>
      <c r="M561" s="34"/>
      <c r="N561" s="34"/>
      <c r="O561" s="34"/>
    </row>
    <row r="562" spans="2:15">
      <c r="B562" s="29"/>
      <c r="E562" s="53"/>
      <c r="L562" s="32"/>
      <c r="M562" s="34"/>
      <c r="N562" s="34"/>
      <c r="O562" s="34"/>
    </row>
    <row r="563" spans="2:15">
      <c r="B563" s="29"/>
      <c r="E563" s="53"/>
      <c r="L563" s="32"/>
      <c r="M563" s="34"/>
      <c r="N563" s="34"/>
      <c r="O563" s="34"/>
    </row>
    <row r="564" spans="2:15">
      <c r="B564" s="29"/>
      <c r="E564" s="53"/>
      <c r="L564" s="32"/>
      <c r="M564" s="34"/>
      <c r="N564" s="34"/>
      <c r="O564" s="34"/>
    </row>
    <row r="565" spans="2:15">
      <c r="B565" s="29"/>
      <c r="E565" s="53"/>
      <c r="L565" s="32"/>
      <c r="M565" s="34"/>
      <c r="N565" s="34"/>
      <c r="O565" s="34"/>
    </row>
    <row r="566" spans="2:15">
      <c r="B566" s="29"/>
      <c r="E566" s="53"/>
      <c r="L566" s="32"/>
      <c r="M566" s="34"/>
      <c r="N566" s="34"/>
      <c r="O566" s="34"/>
    </row>
    <row r="567" spans="2:15">
      <c r="B567" s="29"/>
      <c r="E567" s="53"/>
      <c r="L567" s="32"/>
      <c r="M567" s="34"/>
      <c r="N567" s="34"/>
      <c r="O567" s="34"/>
    </row>
    <row r="568" spans="2:15">
      <c r="B568" s="29"/>
      <c r="E568" s="53"/>
      <c r="L568" s="32"/>
      <c r="M568" s="34"/>
      <c r="N568" s="34"/>
      <c r="O568" s="34"/>
    </row>
    <row r="569" spans="2:15">
      <c r="B569" s="29"/>
      <c r="E569" s="53"/>
      <c r="L569" s="32"/>
      <c r="M569" s="34"/>
      <c r="N569" s="34"/>
      <c r="O569" s="34"/>
    </row>
    <row r="570" spans="2:15">
      <c r="B570" s="29"/>
      <c r="E570" s="53"/>
      <c r="L570" s="32"/>
      <c r="M570" s="34"/>
      <c r="N570" s="34"/>
      <c r="O570" s="34"/>
    </row>
    <row r="571" spans="2:15">
      <c r="B571" s="29"/>
      <c r="E571" s="53"/>
      <c r="L571" s="32"/>
      <c r="M571" s="34"/>
      <c r="N571" s="34"/>
      <c r="O571" s="34"/>
    </row>
    <row r="572" spans="2:15">
      <c r="B572" s="29"/>
      <c r="E572" s="53"/>
      <c r="L572" s="32"/>
      <c r="M572" s="34"/>
      <c r="N572" s="34"/>
      <c r="O572" s="34"/>
    </row>
    <row r="573" spans="2:15">
      <c r="B573" s="29"/>
      <c r="E573" s="53"/>
      <c r="L573" s="32"/>
      <c r="M573" s="34"/>
      <c r="N573" s="34"/>
      <c r="O573" s="34"/>
    </row>
    <row r="574" spans="2:15">
      <c r="B574" s="29"/>
      <c r="E574" s="53"/>
      <c r="L574" s="32"/>
      <c r="M574" s="34"/>
      <c r="N574" s="34"/>
      <c r="O574" s="34"/>
    </row>
    <row r="575" spans="2:15">
      <c r="B575" s="29"/>
      <c r="E575" s="53"/>
      <c r="L575" s="32"/>
      <c r="M575" s="34"/>
      <c r="N575" s="34"/>
      <c r="O575" s="34"/>
    </row>
    <row r="576" spans="2:15">
      <c r="B576" s="29"/>
      <c r="E576" s="53"/>
      <c r="L576" s="32"/>
      <c r="M576" s="34"/>
      <c r="N576" s="34"/>
      <c r="O576" s="34"/>
    </row>
    <row r="577" spans="2:15">
      <c r="B577" s="29"/>
      <c r="E577" s="53"/>
      <c r="L577" s="32"/>
      <c r="M577" s="34"/>
      <c r="N577" s="34"/>
      <c r="O577" s="34"/>
    </row>
    <row r="578" spans="2:15">
      <c r="B578" s="29"/>
      <c r="E578" s="53"/>
      <c r="L578" s="32"/>
      <c r="M578" s="34"/>
      <c r="N578" s="34"/>
      <c r="O578" s="34"/>
    </row>
    <row r="579" spans="2:15">
      <c r="B579" s="29"/>
      <c r="E579" s="53"/>
      <c r="L579" s="32"/>
      <c r="M579" s="34"/>
      <c r="N579" s="34"/>
      <c r="O579" s="34"/>
    </row>
    <row r="580" spans="2:15">
      <c r="B580" s="29"/>
      <c r="E580" s="53"/>
      <c r="L580" s="32"/>
      <c r="M580" s="34"/>
      <c r="N580" s="34"/>
      <c r="O580" s="34"/>
    </row>
    <row r="581" spans="2:15">
      <c r="B581" s="29"/>
      <c r="E581" s="53"/>
      <c r="L581" s="32"/>
      <c r="M581" s="34"/>
      <c r="N581" s="34"/>
      <c r="O581" s="34"/>
    </row>
    <row r="582" spans="2:15">
      <c r="B582" s="29"/>
      <c r="E582" s="53"/>
      <c r="L582" s="32"/>
      <c r="M582" s="34"/>
      <c r="N582" s="34"/>
      <c r="O582" s="34"/>
    </row>
    <row r="583" spans="2:15">
      <c r="B583" s="29"/>
      <c r="E583" s="53"/>
      <c r="L583" s="32"/>
      <c r="M583" s="34"/>
      <c r="N583" s="34"/>
      <c r="O583" s="34"/>
    </row>
    <row r="584" spans="2:15">
      <c r="B584" s="29"/>
      <c r="E584" s="53"/>
      <c r="L584" s="32"/>
      <c r="M584" s="34"/>
      <c r="N584" s="34"/>
      <c r="O584" s="34"/>
    </row>
    <row r="585" spans="2:15">
      <c r="B585" s="29"/>
      <c r="E585" s="53"/>
      <c r="L585" s="32"/>
      <c r="M585" s="34"/>
      <c r="N585" s="34"/>
      <c r="O585" s="34"/>
    </row>
    <row r="586" spans="2:15">
      <c r="B586" s="29"/>
      <c r="E586" s="53"/>
      <c r="L586" s="32"/>
      <c r="M586" s="34"/>
      <c r="N586" s="34"/>
      <c r="O586" s="34"/>
    </row>
    <row r="587" spans="2:15">
      <c r="B587" s="29"/>
      <c r="E587" s="53"/>
      <c r="L587" s="32"/>
      <c r="M587" s="34"/>
      <c r="N587" s="34"/>
      <c r="O587" s="34"/>
    </row>
    <row r="588" spans="2:15">
      <c r="B588" s="29"/>
      <c r="E588" s="53"/>
      <c r="L588" s="32"/>
      <c r="M588" s="34"/>
      <c r="N588" s="34"/>
      <c r="O588" s="34"/>
    </row>
    <row r="589" spans="2:15">
      <c r="B589" s="29"/>
      <c r="E589" s="53"/>
      <c r="L589" s="32"/>
      <c r="M589" s="34"/>
      <c r="N589" s="34"/>
      <c r="O589" s="34"/>
    </row>
    <row r="590" spans="2:15">
      <c r="B590" s="29"/>
      <c r="E590" s="53"/>
      <c r="L590" s="32"/>
      <c r="M590" s="34"/>
      <c r="N590" s="34"/>
      <c r="O590" s="34"/>
    </row>
    <row r="591" spans="2:15">
      <c r="B591" s="29"/>
      <c r="E591" s="53"/>
      <c r="L591" s="32"/>
      <c r="M591" s="34"/>
      <c r="N591" s="34"/>
      <c r="O591" s="34"/>
    </row>
    <row r="592" spans="2:15">
      <c r="B592" s="29"/>
      <c r="E592" s="53"/>
      <c r="L592" s="32"/>
      <c r="M592" s="34"/>
      <c r="N592" s="34"/>
      <c r="O592" s="34"/>
    </row>
    <row r="593" spans="2:15">
      <c r="B593" s="29"/>
      <c r="E593" s="53"/>
      <c r="L593" s="32"/>
      <c r="M593" s="34"/>
      <c r="N593" s="34"/>
      <c r="O593" s="34"/>
    </row>
    <row r="594" spans="2:15">
      <c r="B594" s="29"/>
      <c r="E594" s="53"/>
      <c r="L594" s="32"/>
      <c r="M594" s="34"/>
      <c r="N594" s="34"/>
      <c r="O594" s="34"/>
    </row>
    <row r="595" spans="2:15">
      <c r="B595" s="29"/>
      <c r="E595" s="53"/>
      <c r="L595" s="32"/>
      <c r="M595" s="34"/>
      <c r="N595" s="34"/>
      <c r="O595" s="34"/>
    </row>
    <row r="596" spans="2:15">
      <c r="B596" s="29"/>
      <c r="E596" s="53"/>
      <c r="L596" s="32"/>
      <c r="M596" s="34"/>
      <c r="N596" s="34"/>
      <c r="O596" s="34"/>
    </row>
    <row r="597" spans="2:15">
      <c r="B597" s="29"/>
      <c r="E597" s="53"/>
      <c r="L597" s="32"/>
      <c r="M597" s="34"/>
      <c r="N597" s="34"/>
      <c r="O597" s="34"/>
    </row>
    <row r="598" spans="2:15">
      <c r="B598" s="29"/>
      <c r="E598" s="53"/>
      <c r="L598" s="32"/>
      <c r="M598" s="34"/>
      <c r="N598" s="34"/>
      <c r="O598" s="34"/>
    </row>
    <row r="599" spans="2:15">
      <c r="B599" s="29"/>
      <c r="E599" s="53"/>
      <c r="L599" s="32"/>
      <c r="M599" s="34"/>
      <c r="N599" s="34"/>
      <c r="O599" s="34"/>
    </row>
    <row r="600" spans="2:15">
      <c r="B600" s="29"/>
      <c r="E600" s="53"/>
      <c r="L600" s="32"/>
      <c r="M600" s="34"/>
      <c r="N600" s="34"/>
      <c r="O600" s="34"/>
    </row>
    <row r="601" spans="2:15">
      <c r="B601" s="29"/>
      <c r="E601" s="53"/>
      <c r="L601" s="32"/>
      <c r="M601" s="34"/>
      <c r="N601" s="34"/>
      <c r="O601" s="34"/>
    </row>
    <row r="602" spans="2:15">
      <c r="B602" s="29"/>
      <c r="E602" s="53"/>
      <c r="L602" s="32"/>
      <c r="M602" s="34"/>
      <c r="N602" s="34"/>
      <c r="O602" s="34"/>
    </row>
    <row r="603" spans="2:15">
      <c r="B603" s="29"/>
      <c r="E603" s="53"/>
      <c r="L603" s="32"/>
      <c r="M603" s="34"/>
      <c r="N603" s="34"/>
      <c r="O603" s="34"/>
    </row>
    <row r="604" spans="2:15">
      <c r="B604" s="29"/>
      <c r="E604" s="53"/>
      <c r="L604" s="32"/>
      <c r="M604" s="34"/>
      <c r="N604" s="34"/>
      <c r="O604" s="34"/>
    </row>
    <row r="605" spans="2:15">
      <c r="B605" s="29"/>
      <c r="E605" s="53"/>
      <c r="L605" s="32"/>
      <c r="M605" s="34"/>
      <c r="N605" s="34"/>
      <c r="O605" s="34"/>
    </row>
    <row r="606" spans="2:15">
      <c r="B606" s="29"/>
      <c r="E606" s="53"/>
      <c r="L606" s="32"/>
      <c r="M606" s="34"/>
      <c r="N606" s="34"/>
      <c r="O606" s="34"/>
    </row>
    <row r="607" spans="2:15">
      <c r="B607" s="29"/>
      <c r="E607" s="53"/>
      <c r="L607" s="32"/>
      <c r="M607" s="34"/>
      <c r="N607" s="34"/>
      <c r="O607" s="34"/>
    </row>
    <row r="608" spans="2:15">
      <c r="B608" s="29"/>
      <c r="E608" s="53"/>
      <c r="L608" s="32"/>
      <c r="M608" s="34"/>
      <c r="N608" s="34"/>
      <c r="O608" s="34"/>
    </row>
    <row r="609" spans="2:15">
      <c r="B609" s="29"/>
      <c r="E609" s="53"/>
      <c r="L609" s="32"/>
      <c r="M609" s="34"/>
      <c r="N609" s="34"/>
      <c r="O609" s="34"/>
    </row>
    <row r="610" spans="2:15">
      <c r="B610" s="29"/>
      <c r="E610" s="53"/>
      <c r="L610" s="32"/>
      <c r="M610" s="34"/>
      <c r="N610" s="34"/>
      <c r="O610" s="34"/>
    </row>
    <row r="611" spans="2:15">
      <c r="B611" s="29"/>
      <c r="E611" s="53"/>
      <c r="L611" s="32"/>
      <c r="M611" s="34"/>
      <c r="N611" s="34"/>
      <c r="O611" s="34"/>
    </row>
    <row r="612" spans="2:15">
      <c r="B612" s="29"/>
      <c r="E612" s="53"/>
      <c r="L612" s="32"/>
      <c r="M612" s="34"/>
      <c r="N612" s="34"/>
      <c r="O612" s="34"/>
    </row>
    <row r="613" spans="2:15">
      <c r="B613" s="29"/>
      <c r="E613" s="53"/>
      <c r="L613" s="32"/>
      <c r="M613" s="34"/>
      <c r="N613" s="34"/>
      <c r="O613" s="34"/>
    </row>
    <row r="614" spans="2:15">
      <c r="B614" s="29"/>
      <c r="E614" s="53"/>
      <c r="L614" s="32"/>
      <c r="M614" s="34"/>
      <c r="N614" s="34"/>
      <c r="O614" s="34"/>
    </row>
    <row r="615" spans="2:15">
      <c r="B615" s="29"/>
      <c r="E615" s="53"/>
      <c r="L615" s="32"/>
      <c r="M615" s="34"/>
      <c r="N615" s="34"/>
      <c r="O615" s="34"/>
    </row>
    <row r="616" spans="2:15">
      <c r="B616" s="29"/>
      <c r="E616" s="53"/>
      <c r="L616" s="32"/>
      <c r="M616" s="34"/>
      <c r="N616" s="34"/>
      <c r="O616" s="34"/>
    </row>
    <row r="617" spans="2:15">
      <c r="B617" s="29"/>
      <c r="E617" s="53"/>
      <c r="L617" s="32"/>
      <c r="M617" s="34"/>
      <c r="N617" s="34"/>
      <c r="O617" s="34"/>
    </row>
    <row r="618" spans="2:15">
      <c r="B618" s="29"/>
      <c r="E618" s="53"/>
      <c r="L618" s="32"/>
      <c r="M618" s="34"/>
      <c r="N618" s="34"/>
      <c r="O618" s="34"/>
    </row>
    <row r="619" spans="2:15">
      <c r="B619" s="29"/>
      <c r="E619" s="53"/>
      <c r="L619" s="32"/>
      <c r="M619" s="34"/>
      <c r="N619" s="34"/>
      <c r="O619" s="34"/>
    </row>
    <row r="620" spans="2:15">
      <c r="B620" s="29"/>
      <c r="E620" s="53"/>
      <c r="L620" s="32"/>
      <c r="M620" s="34"/>
      <c r="N620" s="34"/>
      <c r="O620" s="34"/>
    </row>
    <row r="621" spans="2:15">
      <c r="B621" s="29"/>
      <c r="E621" s="53"/>
      <c r="L621" s="32"/>
      <c r="M621" s="34"/>
      <c r="N621" s="34"/>
      <c r="O621" s="34"/>
    </row>
    <row r="622" spans="2:15">
      <c r="B622" s="29"/>
      <c r="E622" s="53"/>
      <c r="L622" s="32"/>
      <c r="M622" s="34"/>
      <c r="N622" s="34"/>
      <c r="O622" s="34"/>
    </row>
    <row r="623" spans="2:15">
      <c r="B623" s="29"/>
      <c r="E623" s="53"/>
      <c r="L623" s="32"/>
      <c r="M623" s="34"/>
      <c r="N623" s="34"/>
      <c r="O623" s="34"/>
    </row>
    <row r="624" spans="2:15">
      <c r="B624" s="29"/>
      <c r="E624" s="53"/>
      <c r="L624" s="32"/>
      <c r="M624" s="34"/>
      <c r="N624" s="34"/>
      <c r="O624" s="34"/>
    </row>
    <row r="625" spans="2:15">
      <c r="B625" s="29"/>
      <c r="E625" s="53"/>
      <c r="L625" s="32"/>
      <c r="M625" s="34"/>
      <c r="N625" s="34"/>
      <c r="O625" s="34"/>
    </row>
    <row r="626" spans="2:15">
      <c r="B626" s="29"/>
      <c r="E626" s="53"/>
      <c r="L626" s="32"/>
      <c r="M626" s="34"/>
      <c r="N626" s="34"/>
      <c r="O626" s="34"/>
    </row>
    <row r="627" spans="2:15">
      <c r="B627" s="29"/>
      <c r="E627" s="53"/>
      <c r="L627" s="32"/>
      <c r="M627" s="34"/>
      <c r="N627" s="34"/>
      <c r="O627" s="34"/>
    </row>
    <row r="628" spans="2:15">
      <c r="B628" s="29"/>
      <c r="E628" s="53"/>
      <c r="L628" s="32"/>
      <c r="M628" s="34"/>
      <c r="N628" s="34"/>
      <c r="O628" s="34"/>
    </row>
    <row r="629" spans="2:15">
      <c r="B629" s="29"/>
      <c r="E629" s="53"/>
      <c r="L629" s="32"/>
      <c r="M629" s="34"/>
      <c r="N629" s="34"/>
      <c r="O629" s="34"/>
    </row>
    <row r="630" spans="2:15">
      <c r="B630" s="29"/>
      <c r="E630" s="53"/>
      <c r="L630" s="32"/>
      <c r="M630" s="34"/>
      <c r="N630" s="34"/>
      <c r="O630" s="34"/>
    </row>
    <row r="631" spans="2:15">
      <c r="B631" s="29"/>
      <c r="E631" s="53"/>
      <c r="L631" s="32"/>
      <c r="M631" s="34"/>
      <c r="N631" s="34"/>
      <c r="O631" s="34"/>
    </row>
    <row r="632" spans="2:15">
      <c r="B632" s="29"/>
      <c r="E632" s="53"/>
      <c r="L632" s="32"/>
      <c r="M632" s="34"/>
      <c r="N632" s="34"/>
      <c r="O632" s="34"/>
    </row>
    <row r="633" spans="2:15">
      <c r="B633" s="29"/>
      <c r="E633" s="53"/>
      <c r="L633" s="32"/>
      <c r="M633" s="34"/>
      <c r="N633" s="34"/>
      <c r="O633" s="34"/>
    </row>
    <row r="634" spans="2:15">
      <c r="B634" s="29"/>
      <c r="E634" s="53"/>
      <c r="L634" s="32"/>
      <c r="M634" s="34"/>
      <c r="N634" s="34"/>
      <c r="O634" s="34"/>
    </row>
    <row r="635" spans="2:15">
      <c r="B635" s="29"/>
      <c r="E635" s="53"/>
      <c r="L635" s="32"/>
      <c r="M635" s="34"/>
      <c r="N635" s="34"/>
      <c r="O635" s="34"/>
    </row>
    <row r="636" spans="2:15">
      <c r="B636" s="29"/>
      <c r="E636" s="53"/>
      <c r="L636" s="32"/>
      <c r="M636" s="34"/>
      <c r="N636" s="34"/>
      <c r="O636" s="34"/>
    </row>
    <row r="637" spans="2:15">
      <c r="B637" s="29"/>
      <c r="E637" s="53"/>
      <c r="L637" s="32"/>
      <c r="M637" s="34"/>
      <c r="N637" s="34"/>
      <c r="O637" s="34"/>
    </row>
    <row r="638" spans="2:15">
      <c r="B638" s="29"/>
      <c r="E638" s="53"/>
      <c r="L638" s="32"/>
      <c r="M638" s="34"/>
      <c r="N638" s="34"/>
      <c r="O638" s="34"/>
    </row>
    <row r="639" spans="2:15">
      <c r="B639" s="29"/>
      <c r="E639" s="53"/>
      <c r="L639" s="32"/>
      <c r="M639" s="34"/>
      <c r="N639" s="34"/>
      <c r="O639" s="34"/>
    </row>
    <row r="640" spans="2:15">
      <c r="B640" s="29"/>
      <c r="E640" s="53"/>
      <c r="L640" s="32"/>
      <c r="M640" s="34"/>
      <c r="N640" s="34"/>
      <c r="O640" s="34"/>
    </row>
    <row r="641" spans="2:15">
      <c r="B641" s="29"/>
      <c r="E641" s="53"/>
      <c r="L641" s="32"/>
      <c r="M641" s="34"/>
      <c r="N641" s="34"/>
      <c r="O641" s="34"/>
    </row>
    <row r="642" spans="2:15">
      <c r="B642" s="29"/>
      <c r="E642" s="53"/>
      <c r="L642" s="32"/>
      <c r="M642" s="34"/>
      <c r="N642" s="34"/>
      <c r="O642" s="34"/>
    </row>
    <row r="643" spans="2:15">
      <c r="B643" s="29"/>
      <c r="E643" s="53"/>
      <c r="L643" s="32"/>
      <c r="M643" s="34"/>
      <c r="N643" s="34"/>
      <c r="O643" s="34"/>
    </row>
    <row r="644" spans="2:15">
      <c r="B644" s="29"/>
      <c r="E644" s="53"/>
      <c r="L644" s="32"/>
      <c r="M644" s="34"/>
      <c r="N644" s="34"/>
      <c r="O644" s="34"/>
    </row>
    <row r="645" spans="2:15">
      <c r="B645" s="29"/>
      <c r="E645" s="53"/>
      <c r="L645" s="32"/>
      <c r="M645" s="34"/>
      <c r="N645" s="34"/>
      <c r="O645" s="34"/>
    </row>
    <row r="646" spans="2:15">
      <c r="B646" s="29"/>
      <c r="E646" s="53"/>
      <c r="L646" s="32"/>
      <c r="M646" s="34"/>
      <c r="N646" s="34"/>
      <c r="O646" s="34"/>
    </row>
    <row r="647" spans="2:15">
      <c r="B647" s="29"/>
      <c r="E647" s="53"/>
      <c r="L647" s="32"/>
      <c r="M647" s="34"/>
      <c r="N647" s="34"/>
      <c r="O647" s="34"/>
    </row>
    <row r="648" spans="2:15">
      <c r="B648" s="29"/>
      <c r="E648" s="53"/>
      <c r="L648" s="32"/>
      <c r="M648" s="34"/>
      <c r="N648" s="34"/>
      <c r="O648" s="34"/>
    </row>
    <row r="649" spans="2:15">
      <c r="B649" s="29"/>
      <c r="E649" s="53"/>
      <c r="L649" s="32"/>
      <c r="M649" s="34"/>
      <c r="N649" s="34"/>
      <c r="O649" s="34"/>
    </row>
    <row r="650" spans="2:15">
      <c r="B650" s="29"/>
      <c r="E650" s="53"/>
      <c r="L650" s="32"/>
      <c r="M650" s="34"/>
      <c r="N650" s="34"/>
      <c r="O650" s="34"/>
    </row>
    <row r="651" spans="2:15">
      <c r="B651" s="29"/>
      <c r="E651" s="53"/>
      <c r="L651" s="32"/>
      <c r="M651" s="34"/>
      <c r="N651" s="34"/>
      <c r="O651" s="34"/>
    </row>
    <row r="652" spans="2:15">
      <c r="B652" s="29"/>
      <c r="E652" s="53"/>
      <c r="L652" s="32"/>
      <c r="M652" s="34"/>
      <c r="N652" s="34"/>
      <c r="O652" s="34"/>
    </row>
    <row r="653" spans="2:15">
      <c r="B653" s="29"/>
      <c r="E653" s="53"/>
      <c r="L653" s="32"/>
      <c r="M653" s="34"/>
      <c r="N653" s="34"/>
      <c r="O653" s="34"/>
    </row>
    <row r="654" spans="2:15">
      <c r="B654" s="29"/>
      <c r="E654" s="53"/>
      <c r="L654" s="32"/>
      <c r="M654" s="34"/>
      <c r="N654" s="34"/>
      <c r="O654" s="34"/>
    </row>
    <row r="655" spans="2:15">
      <c r="B655" s="29"/>
      <c r="E655" s="53"/>
      <c r="L655" s="32"/>
      <c r="M655" s="34"/>
      <c r="N655" s="34"/>
      <c r="O655" s="34"/>
    </row>
    <row r="656" spans="2:15">
      <c r="B656" s="29"/>
      <c r="E656" s="53"/>
      <c r="L656" s="32"/>
      <c r="M656" s="34"/>
      <c r="N656" s="34"/>
      <c r="O656" s="34"/>
    </row>
    <row r="657" spans="2:15">
      <c r="B657" s="29"/>
      <c r="E657" s="53"/>
      <c r="L657" s="32"/>
      <c r="M657" s="34"/>
      <c r="N657" s="34"/>
      <c r="O657" s="34"/>
    </row>
    <row r="658" spans="2:15">
      <c r="B658" s="29"/>
      <c r="E658" s="53"/>
      <c r="L658" s="32"/>
      <c r="M658" s="34"/>
      <c r="N658" s="34"/>
      <c r="O658" s="34"/>
    </row>
    <row r="659" spans="2:15">
      <c r="B659" s="29"/>
      <c r="E659" s="53"/>
      <c r="L659" s="32"/>
      <c r="M659" s="34"/>
      <c r="N659" s="34"/>
      <c r="O659" s="34"/>
    </row>
    <row r="660" spans="2:15">
      <c r="B660" s="29"/>
      <c r="E660" s="53"/>
      <c r="L660" s="32"/>
      <c r="M660" s="34"/>
      <c r="N660" s="34"/>
      <c r="O660" s="34"/>
    </row>
    <row r="661" spans="2:15">
      <c r="B661" s="29"/>
      <c r="E661" s="53"/>
      <c r="L661" s="32"/>
      <c r="M661" s="34"/>
      <c r="N661" s="34"/>
      <c r="O661" s="34"/>
    </row>
    <row r="662" spans="2:15">
      <c r="B662" s="29"/>
      <c r="E662" s="53"/>
      <c r="L662" s="32"/>
      <c r="M662" s="34"/>
      <c r="N662" s="34"/>
      <c r="O662" s="34"/>
    </row>
    <row r="663" spans="2:15">
      <c r="B663" s="29"/>
      <c r="E663" s="53"/>
      <c r="L663" s="32"/>
      <c r="M663" s="34"/>
      <c r="N663" s="34"/>
      <c r="O663" s="34"/>
    </row>
    <row r="664" spans="2:15">
      <c r="B664" s="29"/>
      <c r="E664" s="53"/>
      <c r="L664" s="32"/>
      <c r="M664" s="34"/>
      <c r="N664" s="34"/>
      <c r="O664" s="34"/>
    </row>
    <row r="665" spans="2:15">
      <c r="B665" s="29"/>
      <c r="E665" s="53"/>
      <c r="L665" s="32"/>
      <c r="M665" s="34"/>
      <c r="N665" s="34"/>
      <c r="O665" s="34"/>
    </row>
    <row r="666" spans="2:15">
      <c r="B666" s="29"/>
      <c r="E666" s="53"/>
      <c r="L666" s="32"/>
      <c r="M666" s="34"/>
      <c r="N666" s="34"/>
      <c r="O666" s="34"/>
    </row>
    <row r="667" spans="2:15">
      <c r="B667" s="29"/>
      <c r="E667" s="53"/>
      <c r="L667" s="32"/>
      <c r="M667" s="34"/>
      <c r="N667" s="34"/>
      <c r="O667" s="34"/>
    </row>
    <row r="668" spans="2:15">
      <c r="B668" s="29"/>
      <c r="E668" s="53"/>
      <c r="L668" s="32"/>
      <c r="M668" s="34"/>
      <c r="N668" s="34"/>
      <c r="O668" s="34"/>
    </row>
    <row r="669" spans="2:15">
      <c r="B669" s="29"/>
      <c r="E669" s="53"/>
      <c r="L669" s="32"/>
      <c r="M669" s="34"/>
      <c r="N669" s="34"/>
      <c r="O669" s="34"/>
    </row>
    <row r="670" spans="2:15">
      <c r="B670" s="29"/>
      <c r="E670" s="53"/>
      <c r="L670" s="32"/>
      <c r="M670" s="34"/>
      <c r="N670" s="34"/>
      <c r="O670" s="34"/>
    </row>
    <row r="671" spans="2:15">
      <c r="B671" s="29"/>
      <c r="E671" s="53"/>
      <c r="L671" s="32"/>
      <c r="M671" s="34"/>
      <c r="N671" s="34"/>
      <c r="O671" s="34"/>
    </row>
    <row r="672" spans="2:15">
      <c r="B672" s="29"/>
      <c r="E672" s="53"/>
      <c r="L672" s="32"/>
      <c r="M672" s="34"/>
      <c r="N672" s="34"/>
      <c r="O672" s="34"/>
    </row>
    <row r="673" spans="2:15">
      <c r="B673" s="29"/>
      <c r="E673" s="53"/>
      <c r="L673" s="32"/>
      <c r="M673" s="34"/>
      <c r="N673" s="34"/>
      <c r="O673" s="34"/>
    </row>
    <row r="674" spans="2:15">
      <c r="B674" s="29"/>
      <c r="E674" s="53"/>
      <c r="L674" s="32"/>
      <c r="M674" s="34"/>
      <c r="N674" s="34"/>
      <c r="O674" s="34"/>
    </row>
    <row r="675" spans="2:15">
      <c r="B675" s="29"/>
      <c r="E675" s="53"/>
      <c r="L675" s="32"/>
      <c r="M675" s="34"/>
      <c r="N675" s="34"/>
      <c r="O675" s="34"/>
    </row>
    <row r="676" spans="2:15">
      <c r="B676" s="29"/>
      <c r="E676" s="53"/>
      <c r="L676" s="32"/>
      <c r="M676" s="34"/>
      <c r="N676" s="34"/>
      <c r="O676" s="34"/>
    </row>
    <row r="677" spans="2:15">
      <c r="B677" s="29"/>
      <c r="E677" s="53"/>
      <c r="L677" s="32"/>
      <c r="M677" s="34"/>
      <c r="N677" s="34"/>
      <c r="O677" s="34"/>
    </row>
    <row r="678" spans="2:15">
      <c r="B678" s="29"/>
      <c r="E678" s="53"/>
      <c r="L678" s="32"/>
      <c r="M678" s="34"/>
      <c r="N678" s="34"/>
      <c r="O678" s="34"/>
    </row>
    <row r="679" spans="2:15">
      <c r="B679" s="29"/>
      <c r="E679" s="53"/>
      <c r="L679" s="32"/>
      <c r="M679" s="34"/>
      <c r="N679" s="34"/>
      <c r="O679" s="34"/>
    </row>
    <row r="680" spans="2:15">
      <c r="B680" s="29"/>
      <c r="E680" s="53"/>
      <c r="L680" s="32"/>
      <c r="M680" s="34"/>
      <c r="N680" s="34"/>
      <c r="O680" s="34"/>
    </row>
    <row r="681" spans="2:15">
      <c r="B681" s="29"/>
      <c r="E681" s="53"/>
      <c r="L681" s="32"/>
      <c r="M681" s="34"/>
      <c r="N681" s="34"/>
      <c r="O681" s="34"/>
    </row>
    <row r="682" spans="2:15">
      <c r="B682" s="29"/>
      <c r="E682" s="53"/>
      <c r="L682" s="32"/>
      <c r="M682" s="34"/>
      <c r="N682" s="34"/>
      <c r="O682" s="34"/>
    </row>
    <row r="683" spans="2:15">
      <c r="B683" s="29"/>
      <c r="E683" s="53"/>
      <c r="L683" s="32"/>
      <c r="M683" s="34"/>
      <c r="N683" s="34"/>
      <c r="O683" s="34"/>
    </row>
    <row r="684" spans="2:15">
      <c r="B684" s="29"/>
      <c r="E684" s="53"/>
      <c r="L684" s="32"/>
      <c r="M684" s="34"/>
      <c r="N684" s="34"/>
      <c r="O684" s="34"/>
    </row>
    <row r="685" spans="2:15">
      <c r="B685" s="29"/>
      <c r="E685" s="53"/>
      <c r="L685" s="32"/>
      <c r="M685" s="34"/>
      <c r="N685" s="34"/>
      <c r="O685" s="34"/>
    </row>
    <row r="686" spans="2:15">
      <c r="B686" s="29"/>
      <c r="E686" s="53"/>
      <c r="L686" s="32"/>
      <c r="M686" s="34"/>
      <c r="N686" s="34"/>
      <c r="O686" s="34"/>
    </row>
    <row r="687" spans="2:15">
      <c r="B687" s="29"/>
      <c r="E687" s="53"/>
      <c r="L687" s="32"/>
      <c r="M687" s="34"/>
      <c r="N687" s="34"/>
      <c r="O687" s="34"/>
    </row>
    <row r="688" spans="2:15">
      <c r="B688" s="29"/>
      <c r="E688" s="53"/>
      <c r="L688" s="32"/>
      <c r="M688" s="34"/>
      <c r="N688" s="34"/>
      <c r="O688" s="34"/>
    </row>
    <row r="689" spans="2:15">
      <c r="B689" s="29"/>
      <c r="E689" s="53"/>
      <c r="L689" s="32"/>
      <c r="M689" s="34"/>
      <c r="N689" s="34"/>
      <c r="O689" s="34"/>
    </row>
    <row r="690" spans="2:15">
      <c r="B690" s="29"/>
      <c r="E690" s="53"/>
      <c r="L690" s="32"/>
      <c r="M690" s="34"/>
      <c r="N690" s="34"/>
      <c r="O690" s="34"/>
    </row>
    <row r="691" spans="2:15">
      <c r="B691" s="29"/>
      <c r="E691" s="53"/>
      <c r="L691" s="32"/>
      <c r="M691" s="34"/>
      <c r="N691" s="34"/>
      <c r="O691" s="34"/>
    </row>
    <row r="692" spans="2:15">
      <c r="B692" s="29"/>
      <c r="E692" s="53"/>
      <c r="L692" s="32"/>
      <c r="M692" s="34"/>
      <c r="N692" s="34"/>
      <c r="O692" s="34"/>
    </row>
    <row r="693" spans="2:15">
      <c r="B693" s="29"/>
      <c r="E693" s="53"/>
      <c r="L693" s="32"/>
      <c r="M693" s="34"/>
      <c r="N693" s="34"/>
      <c r="O693" s="34"/>
    </row>
    <row r="694" spans="2:15">
      <c r="B694" s="29"/>
      <c r="E694" s="53"/>
      <c r="L694" s="32"/>
      <c r="M694" s="34"/>
      <c r="N694" s="34"/>
      <c r="O694" s="34"/>
    </row>
    <row r="695" spans="2:15">
      <c r="B695" s="29"/>
      <c r="E695" s="53"/>
      <c r="L695" s="32"/>
      <c r="M695" s="34"/>
      <c r="N695" s="34"/>
      <c r="O695" s="34"/>
    </row>
    <row r="696" spans="2:15">
      <c r="B696" s="29"/>
      <c r="E696" s="53"/>
      <c r="L696" s="32"/>
      <c r="M696" s="34"/>
      <c r="N696" s="34"/>
      <c r="O696" s="34"/>
    </row>
    <row r="697" spans="2:15">
      <c r="B697" s="29"/>
      <c r="E697" s="53"/>
      <c r="L697" s="32"/>
      <c r="M697" s="34"/>
      <c r="N697" s="34"/>
      <c r="O697" s="34"/>
    </row>
    <row r="698" spans="2:15">
      <c r="B698" s="29"/>
      <c r="E698" s="53"/>
      <c r="L698" s="32"/>
      <c r="M698" s="34"/>
      <c r="N698" s="34"/>
      <c r="O698" s="34"/>
    </row>
    <row r="699" spans="2:15">
      <c r="B699" s="29"/>
      <c r="E699" s="53"/>
      <c r="L699" s="32"/>
      <c r="M699" s="34"/>
      <c r="N699" s="34"/>
      <c r="O699" s="34"/>
    </row>
    <row r="700" spans="2:15">
      <c r="B700" s="29"/>
      <c r="E700" s="53"/>
      <c r="L700" s="32"/>
      <c r="M700" s="34"/>
      <c r="N700" s="34"/>
      <c r="O700" s="34"/>
    </row>
    <row r="701" spans="2:15">
      <c r="B701" s="29"/>
      <c r="E701" s="53"/>
      <c r="L701" s="32"/>
      <c r="M701" s="34"/>
      <c r="N701" s="34"/>
      <c r="O701" s="34"/>
    </row>
    <row r="702" spans="2:15">
      <c r="B702" s="29"/>
      <c r="E702" s="53"/>
      <c r="L702" s="32"/>
      <c r="M702" s="34"/>
      <c r="N702" s="34"/>
      <c r="O702" s="34"/>
    </row>
    <row r="703" spans="2:15">
      <c r="B703" s="29"/>
      <c r="E703" s="53"/>
      <c r="L703" s="32"/>
      <c r="M703" s="34"/>
      <c r="N703" s="34"/>
      <c r="O703" s="34"/>
    </row>
    <row r="704" spans="2:15">
      <c r="B704" s="29"/>
      <c r="E704" s="53"/>
      <c r="L704" s="32"/>
      <c r="M704" s="34"/>
      <c r="N704" s="34"/>
      <c r="O704" s="34"/>
    </row>
    <row r="705" spans="2:15">
      <c r="B705" s="29"/>
      <c r="E705" s="53"/>
      <c r="L705" s="32"/>
      <c r="M705" s="34"/>
      <c r="N705" s="34"/>
      <c r="O705" s="34"/>
    </row>
    <row r="706" spans="2:15">
      <c r="B706" s="29"/>
      <c r="E706" s="53"/>
      <c r="L706" s="32"/>
      <c r="M706" s="34"/>
      <c r="N706" s="34"/>
      <c r="O706" s="34"/>
    </row>
    <row r="707" spans="2:15">
      <c r="B707" s="29"/>
      <c r="E707" s="53"/>
      <c r="L707" s="32"/>
      <c r="M707" s="34"/>
      <c r="N707" s="34"/>
      <c r="O707" s="34"/>
    </row>
    <row r="708" spans="2:15">
      <c r="B708" s="29"/>
      <c r="E708" s="53"/>
      <c r="L708" s="32"/>
      <c r="M708" s="34"/>
      <c r="N708" s="34"/>
      <c r="O708" s="34"/>
    </row>
    <row r="709" spans="2:15">
      <c r="B709" s="29"/>
      <c r="E709" s="53"/>
      <c r="L709" s="32"/>
      <c r="M709" s="34"/>
      <c r="N709" s="34"/>
      <c r="O709" s="34"/>
    </row>
    <row r="710" spans="2:15">
      <c r="B710" s="29"/>
      <c r="E710" s="53"/>
      <c r="L710" s="32"/>
      <c r="M710" s="34"/>
      <c r="N710" s="34"/>
      <c r="O710" s="34"/>
    </row>
    <row r="711" spans="2:15">
      <c r="B711" s="29"/>
      <c r="E711" s="53"/>
      <c r="L711" s="32"/>
      <c r="M711" s="34"/>
      <c r="N711" s="34"/>
      <c r="O711" s="34"/>
    </row>
    <row r="712" spans="2:15">
      <c r="B712" s="29"/>
      <c r="E712" s="53"/>
      <c r="L712" s="32"/>
      <c r="M712" s="34"/>
      <c r="N712" s="34"/>
      <c r="O712" s="34"/>
    </row>
    <row r="713" spans="2:15">
      <c r="B713" s="29"/>
      <c r="E713" s="53"/>
      <c r="L713" s="32"/>
      <c r="M713" s="34"/>
      <c r="N713" s="34"/>
      <c r="O713" s="34"/>
    </row>
    <row r="714" spans="2:15">
      <c r="B714" s="29"/>
      <c r="E714" s="53"/>
      <c r="L714" s="32"/>
      <c r="M714" s="34"/>
      <c r="N714" s="34"/>
      <c r="O714" s="34"/>
    </row>
    <row r="715" spans="2:15">
      <c r="B715" s="29"/>
      <c r="E715" s="53"/>
      <c r="L715" s="32"/>
      <c r="M715" s="34"/>
      <c r="N715" s="34"/>
      <c r="O715" s="34"/>
    </row>
    <row r="716" spans="2:15">
      <c r="B716" s="29"/>
      <c r="E716" s="53"/>
      <c r="L716" s="32"/>
      <c r="M716" s="34"/>
      <c r="N716" s="34"/>
      <c r="O716" s="34"/>
    </row>
    <row r="717" spans="2:15">
      <c r="B717" s="29"/>
      <c r="E717" s="53"/>
      <c r="L717" s="32"/>
      <c r="M717" s="34"/>
      <c r="N717" s="34"/>
      <c r="O717" s="34"/>
    </row>
    <row r="718" spans="2:15">
      <c r="B718" s="29"/>
      <c r="E718" s="53"/>
      <c r="L718" s="32"/>
      <c r="M718" s="34"/>
      <c r="N718" s="34"/>
      <c r="O718" s="34"/>
    </row>
    <row r="719" spans="2:15">
      <c r="B719" s="29"/>
      <c r="E719" s="53"/>
      <c r="L719" s="32"/>
      <c r="M719" s="34"/>
      <c r="N719" s="34"/>
      <c r="O719" s="34"/>
    </row>
    <row r="720" spans="2:15">
      <c r="B720" s="29"/>
      <c r="E720" s="53"/>
      <c r="L720" s="32"/>
      <c r="M720" s="34"/>
      <c r="N720" s="34"/>
      <c r="O720" s="34"/>
    </row>
    <row r="721" spans="2:15">
      <c r="B721" s="29"/>
      <c r="E721" s="53"/>
      <c r="L721" s="32"/>
      <c r="M721" s="34"/>
      <c r="N721" s="34"/>
      <c r="O721" s="34"/>
    </row>
    <row r="722" spans="2:15">
      <c r="B722" s="29"/>
      <c r="E722" s="53"/>
      <c r="L722" s="32"/>
      <c r="M722" s="34"/>
      <c r="N722" s="34"/>
      <c r="O722" s="34"/>
    </row>
    <row r="723" spans="2:15">
      <c r="B723" s="29"/>
      <c r="E723" s="53"/>
      <c r="L723" s="32"/>
      <c r="M723" s="34"/>
      <c r="N723" s="34"/>
      <c r="O723" s="34"/>
    </row>
    <row r="724" spans="2:15">
      <c r="B724" s="29"/>
      <c r="E724" s="53"/>
      <c r="L724" s="32"/>
      <c r="M724" s="34"/>
      <c r="N724" s="34"/>
      <c r="O724" s="34"/>
    </row>
    <row r="725" spans="2:15">
      <c r="B725" s="29"/>
      <c r="E725" s="53"/>
      <c r="L725" s="32"/>
      <c r="M725" s="34"/>
      <c r="N725" s="34"/>
      <c r="O725" s="34"/>
    </row>
    <row r="726" spans="2:15">
      <c r="B726" s="29"/>
      <c r="E726" s="53"/>
      <c r="L726" s="32"/>
      <c r="M726" s="34"/>
      <c r="N726" s="34"/>
      <c r="O726" s="34"/>
    </row>
    <row r="727" spans="2:15">
      <c r="B727" s="29"/>
      <c r="E727" s="53"/>
      <c r="L727" s="32"/>
      <c r="M727" s="34"/>
      <c r="N727" s="34"/>
      <c r="O727" s="34"/>
    </row>
    <row r="728" spans="2:15">
      <c r="B728" s="29"/>
      <c r="E728" s="53"/>
      <c r="L728" s="32"/>
      <c r="M728" s="34"/>
      <c r="N728" s="34"/>
      <c r="O728" s="34"/>
    </row>
    <row r="729" spans="2:15">
      <c r="B729" s="29"/>
      <c r="E729" s="53"/>
      <c r="L729" s="32"/>
      <c r="M729" s="34"/>
      <c r="N729" s="34"/>
      <c r="O729" s="34"/>
    </row>
    <row r="730" spans="2:15">
      <c r="B730" s="29"/>
      <c r="E730" s="53"/>
      <c r="L730" s="32"/>
      <c r="M730" s="34"/>
      <c r="N730" s="34"/>
      <c r="O730" s="34"/>
    </row>
    <row r="731" spans="2:15">
      <c r="B731" s="29"/>
      <c r="E731" s="53"/>
      <c r="L731" s="32"/>
      <c r="M731" s="34"/>
      <c r="N731" s="34"/>
      <c r="O731" s="34"/>
    </row>
    <row r="732" spans="2:15">
      <c r="B732" s="29"/>
      <c r="E732" s="53"/>
      <c r="L732" s="32"/>
      <c r="M732" s="34"/>
      <c r="N732" s="34"/>
      <c r="O732" s="34"/>
    </row>
    <row r="733" spans="2:15">
      <c r="B733" s="29"/>
      <c r="E733" s="53"/>
      <c r="L733" s="32"/>
      <c r="M733" s="34"/>
      <c r="N733" s="34"/>
      <c r="O733" s="34"/>
    </row>
    <row r="734" spans="2:15">
      <c r="B734" s="29"/>
      <c r="E734" s="53"/>
      <c r="L734" s="32"/>
      <c r="M734" s="34"/>
      <c r="N734" s="34"/>
      <c r="O734" s="34"/>
    </row>
    <row r="735" spans="2:15">
      <c r="B735" s="29"/>
      <c r="E735" s="53"/>
      <c r="L735" s="32"/>
      <c r="M735" s="34"/>
      <c r="N735" s="34"/>
      <c r="O735" s="34"/>
    </row>
    <row r="736" spans="2:15">
      <c r="B736" s="29"/>
      <c r="E736" s="53"/>
      <c r="L736" s="32"/>
      <c r="M736" s="34"/>
      <c r="N736" s="34"/>
      <c r="O736" s="34"/>
    </row>
    <row r="737" spans="2:15">
      <c r="B737" s="29"/>
      <c r="E737" s="53"/>
      <c r="L737" s="32"/>
      <c r="M737" s="34"/>
      <c r="N737" s="34"/>
      <c r="O737" s="34"/>
    </row>
    <row r="738" spans="2:15">
      <c r="B738" s="29"/>
      <c r="E738" s="53"/>
      <c r="L738" s="32"/>
      <c r="M738" s="34"/>
      <c r="N738" s="34"/>
      <c r="O738" s="34"/>
    </row>
    <row r="739" spans="2:15">
      <c r="B739" s="29"/>
      <c r="E739" s="53"/>
      <c r="L739" s="32"/>
      <c r="M739" s="34"/>
      <c r="N739" s="34"/>
      <c r="O739" s="34"/>
    </row>
    <row r="740" spans="2:15">
      <c r="B740" s="29"/>
      <c r="E740" s="53"/>
      <c r="L740" s="32"/>
      <c r="M740" s="34"/>
      <c r="N740" s="34"/>
      <c r="O740" s="34"/>
    </row>
    <row r="741" spans="2:15">
      <c r="B741" s="29"/>
      <c r="E741" s="53"/>
      <c r="L741" s="32"/>
      <c r="M741" s="34"/>
      <c r="N741" s="34"/>
      <c r="O741" s="34"/>
    </row>
    <row r="742" spans="2:15">
      <c r="B742" s="29"/>
      <c r="E742" s="53"/>
      <c r="L742" s="32"/>
      <c r="M742" s="34"/>
      <c r="N742" s="34"/>
      <c r="O742" s="34"/>
    </row>
    <row r="743" spans="2:15">
      <c r="B743" s="29"/>
      <c r="E743" s="53"/>
      <c r="L743" s="32"/>
      <c r="M743" s="34"/>
      <c r="N743" s="34"/>
      <c r="O743" s="34"/>
    </row>
    <row r="744" spans="2:15">
      <c r="B744" s="29"/>
      <c r="E744" s="53"/>
      <c r="L744" s="32"/>
      <c r="M744" s="34"/>
      <c r="N744" s="34"/>
      <c r="O744" s="34"/>
    </row>
    <row r="745" spans="2:15">
      <c r="B745" s="29"/>
      <c r="E745" s="53"/>
      <c r="L745" s="32"/>
      <c r="M745" s="34"/>
      <c r="N745" s="34"/>
      <c r="O745" s="34"/>
    </row>
    <row r="746" spans="2:15">
      <c r="B746" s="29"/>
      <c r="E746" s="53"/>
      <c r="L746" s="32"/>
      <c r="M746" s="34"/>
      <c r="N746" s="34"/>
      <c r="O746" s="34"/>
    </row>
    <row r="747" spans="2:15">
      <c r="B747" s="29"/>
      <c r="E747" s="53"/>
      <c r="L747" s="32"/>
      <c r="M747" s="34"/>
      <c r="N747" s="34"/>
      <c r="O747" s="34"/>
    </row>
    <row r="748" spans="2:15">
      <c r="B748" s="29"/>
      <c r="E748" s="53"/>
      <c r="L748" s="32"/>
      <c r="M748" s="34"/>
      <c r="N748" s="34"/>
      <c r="O748" s="34"/>
    </row>
    <row r="749" spans="2:15">
      <c r="B749" s="29"/>
      <c r="E749" s="53"/>
      <c r="L749" s="32"/>
      <c r="M749" s="34"/>
      <c r="N749" s="34"/>
      <c r="O749" s="34"/>
    </row>
    <row r="750" spans="2:15">
      <c r="B750" s="29"/>
      <c r="E750" s="53"/>
      <c r="L750" s="32"/>
      <c r="M750" s="34"/>
      <c r="N750" s="34"/>
      <c r="O750" s="34"/>
    </row>
    <row r="751" spans="2:15">
      <c r="B751" s="29"/>
      <c r="E751" s="53"/>
      <c r="L751" s="32"/>
      <c r="M751" s="34"/>
      <c r="N751" s="34"/>
      <c r="O751" s="34"/>
    </row>
    <row r="752" spans="2:15">
      <c r="B752" s="29"/>
      <c r="E752" s="53"/>
      <c r="L752" s="32"/>
      <c r="M752" s="34"/>
      <c r="N752" s="34"/>
      <c r="O752" s="34"/>
    </row>
    <row r="753" spans="2:15">
      <c r="B753" s="29"/>
      <c r="E753" s="53"/>
      <c r="L753" s="32"/>
      <c r="M753" s="34"/>
      <c r="N753" s="34"/>
      <c r="O753" s="34"/>
    </row>
    <row r="754" spans="2:15">
      <c r="B754" s="29"/>
      <c r="E754" s="53"/>
      <c r="L754" s="32"/>
      <c r="M754" s="34"/>
      <c r="N754" s="34"/>
      <c r="O754" s="34"/>
    </row>
    <row r="755" spans="2:15">
      <c r="B755" s="29"/>
      <c r="E755" s="53"/>
      <c r="L755" s="32"/>
      <c r="M755" s="34"/>
      <c r="N755" s="34"/>
      <c r="O755" s="34"/>
    </row>
    <row r="756" spans="2:15">
      <c r="B756" s="29"/>
      <c r="E756" s="53"/>
      <c r="L756" s="32"/>
      <c r="M756" s="34"/>
      <c r="N756" s="34"/>
      <c r="O756" s="34"/>
    </row>
    <row r="757" spans="2:15">
      <c r="B757" s="29"/>
      <c r="E757" s="53"/>
      <c r="L757" s="32"/>
      <c r="M757" s="34"/>
      <c r="N757" s="34"/>
      <c r="O757" s="34"/>
    </row>
    <row r="758" spans="2:15">
      <c r="B758" s="29"/>
      <c r="E758" s="53"/>
      <c r="L758" s="32"/>
      <c r="M758" s="34"/>
      <c r="N758" s="34"/>
      <c r="O758" s="34"/>
    </row>
    <row r="759" spans="2:15">
      <c r="B759" s="29"/>
      <c r="E759" s="53"/>
      <c r="L759" s="32"/>
      <c r="M759" s="34"/>
      <c r="N759" s="34"/>
      <c r="O759" s="34"/>
    </row>
    <row r="760" spans="2:15">
      <c r="B760" s="29"/>
      <c r="E760" s="53"/>
      <c r="L760" s="32"/>
      <c r="M760" s="34"/>
      <c r="N760" s="34"/>
      <c r="O760" s="34"/>
    </row>
    <row r="761" spans="2:15">
      <c r="B761" s="29"/>
      <c r="E761" s="53"/>
      <c r="L761" s="32"/>
      <c r="M761" s="34"/>
      <c r="N761" s="34"/>
      <c r="O761" s="34"/>
    </row>
    <row r="762" spans="2:15">
      <c r="B762" s="29"/>
      <c r="E762" s="53"/>
      <c r="L762" s="32"/>
      <c r="M762" s="34"/>
      <c r="N762" s="34"/>
      <c r="O762" s="34"/>
    </row>
    <row r="763" spans="2:15">
      <c r="B763" s="29"/>
      <c r="E763" s="53"/>
      <c r="L763" s="32"/>
      <c r="M763" s="34"/>
      <c r="N763" s="34"/>
      <c r="O763" s="34"/>
    </row>
    <row r="764" spans="2:15">
      <c r="B764" s="29"/>
      <c r="E764" s="53"/>
      <c r="L764" s="32"/>
      <c r="M764" s="34"/>
      <c r="N764" s="34"/>
      <c r="O764" s="34"/>
    </row>
    <row r="765" spans="2:15">
      <c r="B765" s="29"/>
      <c r="E765" s="53"/>
      <c r="L765" s="32"/>
      <c r="M765" s="34"/>
      <c r="N765" s="34"/>
      <c r="O765" s="34"/>
    </row>
    <row r="766" spans="2:15">
      <c r="B766" s="29"/>
      <c r="E766" s="53"/>
      <c r="L766" s="32"/>
      <c r="M766" s="34"/>
      <c r="N766" s="34"/>
      <c r="O766" s="34"/>
    </row>
    <row r="767" spans="2:15">
      <c r="B767" s="29"/>
      <c r="E767" s="53"/>
      <c r="L767" s="32"/>
      <c r="M767" s="34"/>
      <c r="N767" s="34"/>
      <c r="O767" s="34"/>
    </row>
    <row r="768" spans="2:15">
      <c r="B768" s="29"/>
      <c r="E768" s="53"/>
      <c r="L768" s="32"/>
      <c r="M768" s="34"/>
      <c r="N768" s="34"/>
      <c r="O768" s="34"/>
    </row>
    <row r="769" spans="2:15">
      <c r="B769" s="29"/>
      <c r="E769" s="53"/>
      <c r="L769" s="32"/>
      <c r="M769" s="34"/>
      <c r="N769" s="34"/>
      <c r="O769" s="34"/>
    </row>
    <row r="770" spans="2:15">
      <c r="B770" s="29"/>
      <c r="E770" s="53"/>
      <c r="L770" s="32"/>
      <c r="M770" s="34"/>
      <c r="N770" s="34"/>
      <c r="O770" s="34"/>
    </row>
    <row r="771" spans="2:15">
      <c r="B771" s="29"/>
      <c r="E771" s="53"/>
      <c r="L771" s="32"/>
      <c r="M771" s="34"/>
      <c r="N771" s="34"/>
      <c r="O771" s="34"/>
    </row>
    <row r="772" spans="2:15">
      <c r="B772" s="29"/>
      <c r="E772" s="53"/>
      <c r="L772" s="32"/>
      <c r="M772" s="34"/>
      <c r="N772" s="34"/>
      <c r="O772" s="34"/>
    </row>
    <row r="773" spans="2:15">
      <c r="B773" s="29"/>
      <c r="E773" s="53"/>
      <c r="L773" s="32"/>
      <c r="M773" s="34"/>
      <c r="N773" s="34"/>
      <c r="O773" s="34"/>
    </row>
    <row r="774" spans="2:15">
      <c r="B774" s="29"/>
      <c r="E774" s="53"/>
      <c r="L774" s="32"/>
      <c r="M774" s="34"/>
      <c r="N774" s="34"/>
      <c r="O774" s="34"/>
    </row>
    <row r="775" spans="2:15">
      <c r="B775" s="29"/>
      <c r="E775" s="53"/>
      <c r="L775" s="32"/>
      <c r="M775" s="34"/>
      <c r="N775" s="34"/>
      <c r="O775" s="34"/>
    </row>
    <row r="776" spans="2:15">
      <c r="B776" s="29"/>
      <c r="E776" s="53"/>
      <c r="L776" s="32"/>
      <c r="M776" s="34"/>
      <c r="N776" s="34"/>
      <c r="O776" s="34"/>
    </row>
    <row r="777" spans="2:15">
      <c r="B777" s="29"/>
      <c r="E777" s="53"/>
      <c r="L777" s="32"/>
      <c r="M777" s="34"/>
      <c r="N777" s="34"/>
      <c r="O777" s="34"/>
    </row>
    <row r="778" spans="2:15">
      <c r="B778" s="29"/>
      <c r="E778" s="53"/>
      <c r="L778" s="32"/>
      <c r="M778" s="34"/>
      <c r="N778" s="34"/>
      <c r="O778" s="34"/>
    </row>
    <row r="779" spans="2:15">
      <c r="B779" s="29"/>
      <c r="E779" s="53"/>
      <c r="L779" s="32"/>
      <c r="M779" s="34"/>
      <c r="N779" s="34"/>
      <c r="O779" s="34"/>
    </row>
    <row r="780" spans="2:15">
      <c r="B780" s="29"/>
      <c r="E780" s="53"/>
      <c r="L780" s="32"/>
      <c r="M780" s="34"/>
      <c r="N780" s="34"/>
      <c r="O780" s="34"/>
    </row>
    <row r="781" spans="2:15">
      <c r="B781" s="29"/>
      <c r="E781" s="53"/>
      <c r="L781" s="32"/>
      <c r="M781" s="34"/>
      <c r="N781" s="34"/>
      <c r="O781" s="34"/>
    </row>
    <row r="782" spans="2:15">
      <c r="B782" s="29"/>
      <c r="E782" s="53"/>
      <c r="L782" s="32"/>
      <c r="M782" s="34"/>
      <c r="N782" s="34"/>
      <c r="O782" s="34"/>
    </row>
    <row r="783" spans="2:15">
      <c r="B783" s="29"/>
      <c r="E783" s="53"/>
      <c r="L783" s="32"/>
      <c r="M783" s="34"/>
      <c r="N783" s="34"/>
      <c r="O783" s="34"/>
    </row>
    <row r="784" spans="2:15">
      <c r="B784" s="29"/>
      <c r="E784" s="53"/>
      <c r="L784" s="32"/>
      <c r="M784" s="34"/>
      <c r="N784" s="34"/>
      <c r="O784" s="34"/>
    </row>
    <row r="785" spans="2:15">
      <c r="B785" s="29"/>
      <c r="E785" s="53"/>
      <c r="L785" s="32"/>
      <c r="M785" s="34"/>
      <c r="N785" s="34"/>
      <c r="O785" s="34"/>
    </row>
    <row r="786" spans="2:15">
      <c r="B786" s="29"/>
      <c r="E786" s="53"/>
      <c r="L786" s="32"/>
      <c r="M786" s="34"/>
      <c r="N786" s="34"/>
      <c r="O786" s="34"/>
    </row>
    <row r="787" spans="2:15">
      <c r="B787" s="29"/>
      <c r="E787" s="53"/>
      <c r="L787" s="32"/>
      <c r="M787" s="34"/>
      <c r="N787" s="34"/>
      <c r="O787" s="34"/>
    </row>
    <row r="788" spans="2:15">
      <c r="B788" s="29"/>
      <c r="E788" s="53"/>
      <c r="L788" s="32"/>
      <c r="M788" s="34"/>
      <c r="N788" s="34"/>
      <c r="O788" s="34"/>
    </row>
    <row r="789" spans="2:15">
      <c r="B789" s="29"/>
      <c r="E789" s="53"/>
      <c r="L789" s="32"/>
      <c r="M789" s="34"/>
      <c r="N789" s="34"/>
      <c r="O789" s="34"/>
    </row>
    <row r="790" spans="2:15">
      <c r="B790" s="29"/>
      <c r="E790" s="53"/>
      <c r="L790" s="32"/>
      <c r="M790" s="34"/>
      <c r="N790" s="34"/>
      <c r="O790" s="34"/>
    </row>
    <row r="791" spans="2:15">
      <c r="B791" s="29"/>
      <c r="E791" s="53"/>
      <c r="L791" s="32"/>
      <c r="M791" s="34"/>
      <c r="N791" s="34"/>
      <c r="O791" s="34"/>
    </row>
    <row r="792" spans="2:15">
      <c r="B792" s="29"/>
      <c r="E792" s="53"/>
      <c r="L792" s="32"/>
      <c r="M792" s="34"/>
      <c r="N792" s="34"/>
      <c r="O792" s="34"/>
    </row>
    <row r="793" spans="2:15">
      <c r="B793" s="29"/>
      <c r="E793" s="53"/>
      <c r="L793" s="32"/>
      <c r="M793" s="34"/>
      <c r="N793" s="34"/>
      <c r="O793" s="34"/>
    </row>
    <row r="794" spans="2:15">
      <c r="B794" s="29"/>
      <c r="E794" s="53"/>
      <c r="L794" s="32"/>
      <c r="M794" s="34"/>
      <c r="N794" s="34"/>
      <c r="O794" s="34"/>
    </row>
    <row r="795" spans="2:15">
      <c r="B795" s="29"/>
      <c r="E795" s="53"/>
      <c r="L795" s="32"/>
      <c r="M795" s="34"/>
      <c r="N795" s="34"/>
      <c r="O795" s="34"/>
    </row>
    <row r="796" spans="2:15">
      <c r="B796" s="29"/>
      <c r="E796" s="53"/>
      <c r="L796" s="32"/>
      <c r="M796" s="34"/>
      <c r="N796" s="34"/>
      <c r="O796" s="34"/>
    </row>
    <row r="797" spans="2:15">
      <c r="B797" s="29"/>
      <c r="E797" s="53"/>
      <c r="L797" s="32"/>
      <c r="M797" s="34"/>
      <c r="N797" s="34"/>
      <c r="O797" s="34"/>
    </row>
    <row r="798" spans="2:15">
      <c r="B798" s="29"/>
      <c r="E798" s="53"/>
      <c r="L798" s="32"/>
      <c r="M798" s="34"/>
      <c r="N798" s="34"/>
      <c r="O798" s="34"/>
    </row>
    <row r="799" spans="2:15">
      <c r="B799" s="29"/>
      <c r="E799" s="53"/>
      <c r="L799" s="32"/>
      <c r="M799" s="34"/>
      <c r="N799" s="34"/>
      <c r="O799" s="34"/>
    </row>
    <row r="800" spans="2:15">
      <c r="B800" s="29"/>
      <c r="E800" s="53"/>
      <c r="L800" s="32"/>
      <c r="M800" s="34"/>
      <c r="N800" s="34"/>
      <c r="O800" s="34"/>
    </row>
    <row r="801" spans="2:15">
      <c r="B801" s="29"/>
      <c r="E801" s="53"/>
      <c r="L801" s="32"/>
      <c r="M801" s="34"/>
      <c r="N801" s="34"/>
      <c r="O801" s="34"/>
    </row>
    <row r="802" spans="2:15">
      <c r="B802" s="29"/>
      <c r="E802" s="53"/>
      <c r="L802" s="32"/>
      <c r="M802" s="34"/>
      <c r="N802" s="34"/>
      <c r="O802" s="34"/>
    </row>
    <row r="803" spans="2:15">
      <c r="B803" s="29"/>
      <c r="E803" s="53"/>
      <c r="L803" s="32"/>
      <c r="M803" s="34"/>
      <c r="N803" s="34"/>
      <c r="O803" s="34"/>
    </row>
    <row r="804" spans="2:15">
      <c r="B804" s="29"/>
      <c r="E804" s="53"/>
      <c r="L804" s="32"/>
      <c r="M804" s="34"/>
      <c r="N804" s="34"/>
      <c r="O804" s="34"/>
    </row>
    <row r="805" spans="2:15">
      <c r="B805" s="29"/>
      <c r="E805" s="53"/>
      <c r="L805" s="32"/>
      <c r="M805" s="34"/>
      <c r="N805" s="34"/>
      <c r="O805" s="34"/>
    </row>
    <row r="806" spans="2:15">
      <c r="B806" s="29"/>
      <c r="E806" s="53"/>
      <c r="L806" s="32"/>
      <c r="M806" s="34"/>
      <c r="N806" s="34"/>
      <c r="O806" s="34"/>
    </row>
    <row r="807" spans="2:15">
      <c r="B807" s="29"/>
      <c r="E807" s="53"/>
      <c r="L807" s="32"/>
      <c r="M807" s="34"/>
      <c r="N807" s="34"/>
      <c r="O807" s="34"/>
    </row>
    <row r="808" spans="2:15">
      <c r="B808" s="29"/>
      <c r="E808" s="53"/>
      <c r="L808" s="32"/>
      <c r="M808" s="34"/>
      <c r="N808" s="34"/>
      <c r="O808" s="34"/>
    </row>
    <row r="809" spans="2:15">
      <c r="B809" s="29"/>
      <c r="E809" s="53"/>
      <c r="L809" s="32"/>
      <c r="M809" s="34"/>
      <c r="N809" s="34"/>
      <c r="O809" s="34"/>
    </row>
    <row r="810" spans="2:15">
      <c r="B810" s="29"/>
      <c r="E810" s="53"/>
      <c r="L810" s="32"/>
      <c r="M810" s="34"/>
      <c r="N810" s="34"/>
      <c r="O810" s="34"/>
    </row>
    <row r="811" spans="2:15">
      <c r="B811" s="29"/>
      <c r="E811" s="53"/>
      <c r="L811" s="32"/>
      <c r="M811" s="34"/>
      <c r="N811" s="34"/>
      <c r="O811" s="34"/>
    </row>
    <row r="812" spans="2:15">
      <c r="B812" s="29"/>
      <c r="E812" s="53"/>
      <c r="L812" s="32"/>
      <c r="M812" s="34"/>
      <c r="N812" s="34"/>
      <c r="O812" s="34"/>
    </row>
    <row r="813" spans="2:15">
      <c r="B813" s="29"/>
      <c r="E813" s="53"/>
      <c r="L813" s="32"/>
      <c r="M813" s="34"/>
      <c r="N813" s="34"/>
      <c r="O813" s="34"/>
    </row>
    <row r="814" spans="2:15">
      <c r="B814" s="29"/>
      <c r="E814" s="53"/>
      <c r="L814" s="32"/>
      <c r="M814" s="34"/>
      <c r="N814" s="34"/>
      <c r="O814" s="34"/>
    </row>
    <row r="815" spans="2:15">
      <c r="B815" s="29"/>
      <c r="E815" s="53"/>
      <c r="L815" s="32"/>
      <c r="M815" s="34"/>
      <c r="N815" s="34"/>
      <c r="O815" s="34"/>
    </row>
    <row r="816" spans="2:15">
      <c r="B816" s="29"/>
      <c r="E816" s="53"/>
      <c r="L816" s="32"/>
      <c r="M816" s="34"/>
      <c r="N816" s="34"/>
      <c r="O816" s="34"/>
    </row>
    <row r="817" spans="2:15">
      <c r="B817" s="29"/>
      <c r="E817" s="53"/>
      <c r="L817" s="32"/>
      <c r="M817" s="34"/>
      <c r="N817" s="34"/>
      <c r="O817" s="34"/>
    </row>
    <row r="818" spans="2:15">
      <c r="B818" s="29"/>
      <c r="E818" s="53"/>
      <c r="L818" s="32"/>
      <c r="M818" s="34"/>
      <c r="N818" s="34"/>
      <c r="O818" s="34"/>
    </row>
    <row r="819" spans="2:15">
      <c r="B819" s="29"/>
      <c r="E819" s="53"/>
      <c r="L819" s="32"/>
      <c r="M819" s="34"/>
      <c r="N819" s="34"/>
      <c r="O819" s="34"/>
    </row>
    <row r="820" spans="2:15">
      <c r="B820" s="29"/>
      <c r="E820" s="53"/>
      <c r="L820" s="32"/>
      <c r="M820" s="34"/>
      <c r="N820" s="34"/>
      <c r="O820" s="34"/>
    </row>
    <row r="821" spans="2:15">
      <c r="B821" s="29"/>
      <c r="E821" s="53"/>
      <c r="L821" s="32"/>
      <c r="M821" s="34"/>
      <c r="N821" s="34"/>
      <c r="O821" s="34"/>
    </row>
    <row r="822" spans="2:15">
      <c r="B822" s="29"/>
      <c r="E822" s="53"/>
      <c r="L822" s="32"/>
      <c r="M822" s="34"/>
      <c r="N822" s="34"/>
      <c r="O822" s="34"/>
    </row>
    <row r="823" spans="2:15">
      <c r="B823" s="29"/>
      <c r="E823" s="53"/>
      <c r="L823" s="32"/>
      <c r="M823" s="34"/>
      <c r="N823" s="34"/>
      <c r="O823" s="34"/>
    </row>
    <row r="824" spans="2:15">
      <c r="B824" s="29"/>
      <c r="E824" s="53"/>
      <c r="L824" s="32"/>
      <c r="M824" s="34"/>
      <c r="N824" s="34"/>
      <c r="O824" s="34"/>
    </row>
    <row r="825" spans="2:15">
      <c r="B825" s="29"/>
      <c r="E825" s="53"/>
      <c r="L825" s="32"/>
      <c r="M825" s="34"/>
      <c r="N825" s="34"/>
      <c r="O825" s="34"/>
    </row>
    <row r="826" spans="2:15">
      <c r="B826" s="29"/>
      <c r="E826" s="53"/>
      <c r="L826" s="32"/>
      <c r="M826" s="34"/>
      <c r="N826" s="34"/>
      <c r="O826" s="34"/>
    </row>
    <row r="827" spans="2:15">
      <c r="B827" s="29"/>
      <c r="E827" s="53"/>
      <c r="L827" s="32"/>
      <c r="M827" s="34"/>
      <c r="N827" s="34"/>
      <c r="O827" s="34"/>
    </row>
    <row r="828" spans="2:15">
      <c r="B828" s="29"/>
      <c r="E828" s="53"/>
      <c r="L828" s="32"/>
      <c r="M828" s="34"/>
      <c r="N828" s="34"/>
      <c r="O828" s="34"/>
    </row>
    <row r="829" spans="2:15">
      <c r="B829" s="29"/>
      <c r="E829" s="53"/>
      <c r="L829" s="32"/>
      <c r="M829" s="34"/>
      <c r="N829" s="34"/>
      <c r="O829" s="34"/>
    </row>
    <row r="830" spans="2:15">
      <c r="B830" s="29"/>
      <c r="E830" s="53"/>
      <c r="L830" s="32"/>
      <c r="M830" s="34"/>
      <c r="N830" s="34"/>
      <c r="O830" s="34"/>
    </row>
    <row r="831" spans="2:15">
      <c r="B831" s="29"/>
      <c r="E831" s="53"/>
      <c r="L831" s="32"/>
      <c r="M831" s="34"/>
      <c r="N831" s="34"/>
      <c r="O831" s="34"/>
    </row>
    <row r="832" spans="2:15">
      <c r="B832" s="29"/>
      <c r="E832" s="53"/>
      <c r="L832" s="32"/>
      <c r="M832" s="34"/>
      <c r="N832" s="34"/>
      <c r="O832" s="34"/>
    </row>
    <row r="833" spans="2:15">
      <c r="B833" s="29"/>
      <c r="E833" s="53"/>
      <c r="L833" s="32"/>
      <c r="M833" s="34"/>
      <c r="N833" s="34"/>
      <c r="O833" s="34"/>
    </row>
    <row r="834" spans="2:15">
      <c r="B834" s="29"/>
      <c r="E834" s="53"/>
      <c r="L834" s="32"/>
      <c r="M834" s="34"/>
      <c r="N834" s="34"/>
      <c r="O834" s="34"/>
    </row>
    <row r="835" spans="2:15">
      <c r="B835" s="29"/>
      <c r="E835" s="53"/>
      <c r="L835" s="32"/>
      <c r="M835" s="34"/>
      <c r="N835" s="34"/>
      <c r="O835" s="34"/>
    </row>
    <row r="836" spans="2:15">
      <c r="B836" s="29"/>
      <c r="E836" s="53"/>
      <c r="L836" s="32"/>
      <c r="M836" s="34"/>
      <c r="N836" s="34"/>
      <c r="O836" s="34"/>
    </row>
    <row r="837" spans="2:15">
      <c r="B837" s="29"/>
      <c r="E837" s="53"/>
      <c r="L837" s="32"/>
      <c r="M837" s="34"/>
      <c r="N837" s="34"/>
      <c r="O837" s="34"/>
    </row>
    <row r="838" spans="2:15">
      <c r="B838" s="29"/>
      <c r="E838" s="53"/>
      <c r="L838" s="32"/>
      <c r="M838" s="34"/>
      <c r="N838" s="34"/>
      <c r="O838" s="34"/>
    </row>
    <row r="839" spans="2:15">
      <c r="B839" s="29"/>
      <c r="E839" s="53"/>
      <c r="L839" s="32"/>
      <c r="M839" s="34"/>
      <c r="N839" s="34"/>
      <c r="O839" s="34"/>
    </row>
    <row r="840" spans="2:15">
      <c r="B840" s="29"/>
      <c r="E840" s="53"/>
      <c r="L840" s="32"/>
      <c r="M840" s="34"/>
      <c r="N840" s="34"/>
      <c r="O840" s="34"/>
    </row>
    <row r="841" spans="2:15">
      <c r="B841" s="29"/>
      <c r="E841" s="53"/>
      <c r="L841" s="32"/>
      <c r="M841" s="34"/>
      <c r="N841" s="34"/>
      <c r="O841" s="34"/>
    </row>
    <row r="842" spans="2:15">
      <c r="B842" s="29"/>
      <c r="E842" s="53"/>
      <c r="L842" s="32"/>
      <c r="M842" s="34"/>
      <c r="N842" s="34"/>
      <c r="O842" s="34"/>
    </row>
    <row r="843" spans="2:15">
      <c r="B843" s="29"/>
      <c r="E843" s="53"/>
      <c r="L843" s="32"/>
      <c r="M843" s="34"/>
      <c r="N843" s="34"/>
      <c r="O843" s="34"/>
    </row>
    <row r="844" spans="2:15">
      <c r="B844" s="29"/>
      <c r="E844" s="53"/>
      <c r="L844" s="32"/>
      <c r="M844" s="34"/>
      <c r="N844" s="34"/>
      <c r="O844" s="34"/>
    </row>
    <row r="845" spans="2:15">
      <c r="B845" s="29"/>
      <c r="E845" s="53"/>
      <c r="L845" s="32"/>
      <c r="M845" s="34"/>
      <c r="N845" s="34"/>
      <c r="O845" s="34"/>
    </row>
    <row r="846" spans="2:15">
      <c r="B846" s="29"/>
      <c r="E846" s="53"/>
      <c r="L846" s="32"/>
      <c r="M846" s="34"/>
      <c r="N846" s="34"/>
      <c r="O846" s="34"/>
    </row>
    <row r="847" spans="2:15">
      <c r="B847" s="29"/>
      <c r="E847" s="53"/>
      <c r="L847" s="32"/>
      <c r="M847" s="34"/>
      <c r="N847" s="34"/>
      <c r="O847" s="34"/>
    </row>
    <row r="848" spans="2:15">
      <c r="B848" s="29"/>
      <c r="E848" s="53"/>
      <c r="L848" s="32"/>
      <c r="M848" s="34"/>
      <c r="N848" s="34"/>
      <c r="O848" s="34"/>
    </row>
    <row r="849" spans="2:15">
      <c r="B849" s="29"/>
      <c r="E849" s="53"/>
      <c r="L849" s="32"/>
      <c r="M849" s="34"/>
      <c r="N849" s="34"/>
      <c r="O849" s="34"/>
    </row>
    <row r="850" spans="2:15">
      <c r="B850" s="29"/>
      <c r="E850" s="53"/>
      <c r="L850" s="32"/>
      <c r="M850" s="34"/>
      <c r="N850" s="34"/>
      <c r="O850" s="34"/>
    </row>
    <row r="851" spans="2:15">
      <c r="B851" s="29"/>
      <c r="E851" s="53"/>
      <c r="L851" s="32"/>
      <c r="M851" s="34"/>
      <c r="N851" s="34"/>
      <c r="O851" s="34"/>
    </row>
    <row r="852" spans="2:15">
      <c r="B852" s="29"/>
      <c r="E852" s="53"/>
      <c r="L852" s="32"/>
      <c r="M852" s="34"/>
      <c r="N852" s="34"/>
      <c r="O852" s="34"/>
    </row>
    <row r="853" spans="2:15">
      <c r="B853" s="29"/>
      <c r="E853" s="53"/>
      <c r="L853" s="32"/>
      <c r="M853" s="34"/>
      <c r="N853" s="34"/>
      <c r="O853" s="34"/>
    </row>
    <row r="854" spans="2:15">
      <c r="B854" s="29"/>
      <c r="E854" s="53"/>
      <c r="L854" s="32"/>
      <c r="M854" s="34"/>
      <c r="N854" s="34"/>
      <c r="O854" s="34"/>
    </row>
    <row r="855" spans="2:15">
      <c r="B855" s="29"/>
      <c r="E855" s="53"/>
      <c r="L855" s="32"/>
      <c r="M855" s="34"/>
      <c r="N855" s="34"/>
      <c r="O855" s="34"/>
    </row>
    <row r="856" spans="2:15">
      <c r="B856" s="29"/>
      <c r="E856" s="53"/>
      <c r="L856" s="32"/>
      <c r="M856" s="34"/>
      <c r="N856" s="34"/>
      <c r="O856" s="34"/>
    </row>
    <row r="857" spans="2:15">
      <c r="B857" s="29"/>
      <c r="E857" s="53"/>
      <c r="L857" s="32"/>
      <c r="M857" s="34"/>
      <c r="N857" s="34"/>
      <c r="O857" s="34"/>
    </row>
    <row r="858" spans="2:15">
      <c r="B858" s="29"/>
      <c r="E858" s="53"/>
      <c r="L858" s="32"/>
      <c r="M858" s="34"/>
      <c r="N858" s="34"/>
      <c r="O858" s="34"/>
    </row>
    <row r="859" spans="2:15">
      <c r="B859" s="29"/>
      <c r="E859" s="53"/>
      <c r="L859" s="32"/>
      <c r="M859" s="34"/>
      <c r="N859" s="34"/>
      <c r="O859" s="34"/>
    </row>
    <row r="860" spans="2:15">
      <c r="B860" s="29"/>
      <c r="E860" s="53"/>
      <c r="L860" s="32"/>
      <c r="M860" s="34"/>
      <c r="N860" s="34"/>
      <c r="O860" s="34"/>
    </row>
    <row r="861" spans="2:15">
      <c r="B861" s="29"/>
      <c r="E861" s="53"/>
      <c r="L861" s="32"/>
      <c r="M861" s="34"/>
      <c r="N861" s="34"/>
      <c r="O861" s="34"/>
    </row>
    <row r="862" spans="2:15">
      <c r="B862" s="29"/>
      <c r="E862" s="53"/>
      <c r="L862" s="32"/>
      <c r="M862" s="34"/>
      <c r="N862" s="34"/>
      <c r="O862" s="34"/>
    </row>
    <row r="863" spans="2:15">
      <c r="B863" s="29"/>
      <c r="E863" s="53"/>
      <c r="L863" s="32"/>
      <c r="M863" s="34"/>
      <c r="N863" s="34"/>
      <c r="O863" s="34"/>
    </row>
    <row r="864" spans="2:15">
      <c r="B864" s="29"/>
      <c r="E864" s="53"/>
      <c r="L864" s="32"/>
      <c r="M864" s="34"/>
      <c r="N864" s="34"/>
      <c r="O864" s="34"/>
    </row>
    <row r="865" spans="2:15">
      <c r="B865" s="29"/>
      <c r="E865" s="53"/>
      <c r="L865" s="32"/>
      <c r="M865" s="34"/>
      <c r="N865" s="34"/>
      <c r="O865" s="34"/>
    </row>
    <row r="866" spans="2:15">
      <c r="B866" s="29"/>
      <c r="E866" s="53"/>
      <c r="L866" s="32"/>
      <c r="M866" s="34"/>
      <c r="N866" s="34"/>
      <c r="O866" s="34"/>
    </row>
    <row r="867" spans="2:15">
      <c r="B867" s="29"/>
      <c r="E867" s="53"/>
      <c r="L867" s="32"/>
      <c r="M867" s="34"/>
      <c r="N867" s="34"/>
      <c r="O867" s="34"/>
    </row>
    <row r="868" spans="2:15">
      <c r="B868" s="29"/>
      <c r="E868" s="53"/>
      <c r="L868" s="32"/>
      <c r="M868" s="34"/>
      <c r="N868" s="34"/>
      <c r="O868" s="34"/>
    </row>
    <row r="869" spans="2:15">
      <c r="B869" s="29"/>
      <c r="E869" s="53"/>
      <c r="L869" s="32"/>
      <c r="M869" s="34"/>
      <c r="N869" s="34"/>
      <c r="O869" s="34"/>
    </row>
    <row r="870" spans="2:15">
      <c r="B870" s="29"/>
      <c r="E870" s="53"/>
      <c r="L870" s="32"/>
      <c r="M870" s="34"/>
      <c r="N870" s="34"/>
      <c r="O870" s="34"/>
    </row>
    <row r="871" spans="2:15">
      <c r="B871" s="29"/>
      <c r="E871" s="53"/>
      <c r="L871" s="32"/>
      <c r="M871" s="34"/>
      <c r="N871" s="34"/>
      <c r="O871" s="34"/>
    </row>
    <row r="872" spans="2:15">
      <c r="B872" s="29"/>
      <c r="E872" s="53"/>
      <c r="L872" s="32"/>
      <c r="M872" s="34"/>
      <c r="N872" s="34"/>
      <c r="O872" s="34"/>
    </row>
    <row r="873" spans="2:15">
      <c r="B873" s="29"/>
      <c r="E873" s="53"/>
      <c r="L873" s="32"/>
      <c r="M873" s="34"/>
      <c r="N873" s="34"/>
      <c r="O873" s="34"/>
    </row>
    <row r="874" spans="2:15">
      <c r="B874" s="29"/>
      <c r="E874" s="53"/>
      <c r="L874" s="32"/>
      <c r="M874" s="34"/>
      <c r="N874" s="34"/>
      <c r="O874" s="34"/>
    </row>
    <row r="875" spans="2:15">
      <c r="B875" s="29"/>
      <c r="E875" s="53"/>
      <c r="L875" s="32"/>
      <c r="M875" s="34"/>
      <c r="N875" s="34"/>
      <c r="O875" s="34"/>
    </row>
    <row r="876" spans="2:15">
      <c r="B876" s="29"/>
      <c r="E876" s="53"/>
      <c r="L876" s="32"/>
      <c r="M876" s="34"/>
      <c r="N876" s="34"/>
      <c r="O876" s="34"/>
    </row>
    <row r="877" spans="2:15">
      <c r="B877" s="29"/>
      <c r="E877" s="53"/>
      <c r="L877" s="32"/>
      <c r="M877" s="34"/>
      <c r="N877" s="34"/>
      <c r="O877" s="34"/>
    </row>
    <row r="878" spans="2:15">
      <c r="B878" s="29"/>
      <c r="E878" s="53"/>
      <c r="L878" s="32"/>
      <c r="M878" s="34"/>
      <c r="N878" s="34"/>
      <c r="O878" s="34"/>
    </row>
    <row r="879" spans="2:15">
      <c r="B879" s="29"/>
      <c r="E879" s="53"/>
      <c r="L879" s="32"/>
      <c r="M879" s="34"/>
      <c r="N879" s="34"/>
      <c r="O879" s="34"/>
    </row>
    <row r="880" spans="2:15">
      <c r="B880" s="29"/>
      <c r="E880" s="53"/>
      <c r="L880" s="32"/>
      <c r="M880" s="34"/>
      <c r="N880" s="34"/>
      <c r="O880" s="34"/>
    </row>
    <row r="881" spans="2:15">
      <c r="B881" s="29"/>
      <c r="E881" s="53"/>
      <c r="L881" s="32"/>
      <c r="M881" s="34"/>
      <c r="N881" s="34"/>
      <c r="O881" s="34"/>
    </row>
    <row r="882" spans="2:15">
      <c r="B882" s="29"/>
      <c r="E882" s="53"/>
      <c r="L882" s="32"/>
      <c r="M882" s="34"/>
      <c r="N882" s="34"/>
      <c r="O882" s="34"/>
    </row>
    <row r="883" spans="2:15">
      <c r="B883" s="29"/>
      <c r="E883" s="53"/>
      <c r="L883" s="32"/>
      <c r="M883" s="34"/>
      <c r="N883" s="34"/>
      <c r="O883" s="34"/>
    </row>
    <row r="884" spans="2:15">
      <c r="B884" s="29"/>
      <c r="E884" s="53"/>
      <c r="L884" s="32"/>
      <c r="M884" s="34"/>
      <c r="N884" s="34"/>
      <c r="O884" s="34"/>
    </row>
    <row r="885" spans="2:15">
      <c r="B885" s="29"/>
      <c r="E885" s="53"/>
      <c r="L885" s="32"/>
      <c r="M885" s="34"/>
      <c r="N885" s="34"/>
      <c r="O885" s="34"/>
    </row>
    <row r="886" spans="2:15">
      <c r="B886" s="29"/>
      <c r="E886" s="53"/>
      <c r="L886" s="32"/>
      <c r="M886" s="34"/>
      <c r="N886" s="34"/>
      <c r="O886" s="34"/>
    </row>
    <row r="887" spans="2:15">
      <c r="B887" s="29"/>
      <c r="E887" s="53"/>
      <c r="L887" s="32"/>
      <c r="M887" s="34"/>
      <c r="N887" s="34"/>
      <c r="O887" s="34"/>
    </row>
    <row r="888" spans="2:15">
      <c r="B888" s="29"/>
      <c r="E888" s="53"/>
      <c r="L888" s="32"/>
      <c r="M888" s="34"/>
      <c r="N888" s="34"/>
      <c r="O888" s="34"/>
    </row>
    <row r="889" spans="2:15">
      <c r="B889" s="29"/>
      <c r="E889" s="53"/>
      <c r="L889" s="32"/>
      <c r="M889" s="34"/>
      <c r="N889" s="34"/>
      <c r="O889" s="34"/>
    </row>
    <row r="890" spans="2:15">
      <c r="B890" s="29"/>
      <c r="E890" s="53"/>
      <c r="L890" s="32"/>
      <c r="M890" s="34"/>
      <c r="N890" s="34"/>
      <c r="O890" s="34"/>
    </row>
    <row r="891" spans="2:15">
      <c r="B891" s="29"/>
      <c r="E891" s="53"/>
      <c r="L891" s="32"/>
      <c r="M891" s="34"/>
      <c r="N891" s="34"/>
      <c r="O891" s="34"/>
    </row>
    <row r="892" spans="2:15">
      <c r="B892" s="29"/>
      <c r="E892" s="53"/>
      <c r="L892" s="32"/>
      <c r="M892" s="34"/>
      <c r="N892" s="34"/>
      <c r="O892" s="34"/>
    </row>
    <row r="893" spans="2:15">
      <c r="B893" s="29"/>
      <c r="E893" s="53"/>
      <c r="L893" s="32"/>
      <c r="M893" s="34"/>
      <c r="N893" s="34"/>
      <c r="O893" s="34"/>
    </row>
    <row r="894" spans="2:15">
      <c r="B894" s="29"/>
      <c r="E894" s="53"/>
      <c r="L894" s="32"/>
      <c r="M894" s="34"/>
      <c r="N894" s="34"/>
      <c r="O894" s="34"/>
    </row>
    <row r="895" spans="2:15">
      <c r="B895" s="29"/>
      <c r="E895" s="53"/>
      <c r="L895" s="32"/>
      <c r="M895" s="34"/>
      <c r="N895" s="34"/>
      <c r="O895" s="34"/>
    </row>
    <row r="896" spans="2:15">
      <c r="B896" s="29"/>
      <c r="E896" s="53"/>
      <c r="L896" s="32"/>
      <c r="M896" s="34"/>
      <c r="N896" s="34"/>
      <c r="O896" s="34"/>
    </row>
    <row r="897" spans="2:15">
      <c r="B897" s="29"/>
      <c r="E897" s="53"/>
      <c r="L897" s="32"/>
      <c r="M897" s="34"/>
      <c r="N897" s="34"/>
      <c r="O897" s="34"/>
    </row>
    <row r="898" spans="2:15">
      <c r="B898" s="29"/>
      <c r="E898" s="53"/>
      <c r="L898" s="32"/>
      <c r="M898" s="34"/>
      <c r="N898" s="34"/>
      <c r="O898" s="34"/>
    </row>
    <row r="899" spans="2:15">
      <c r="B899" s="29"/>
      <c r="E899" s="53"/>
      <c r="L899" s="32"/>
      <c r="M899" s="34"/>
      <c r="N899" s="34"/>
      <c r="O899" s="34"/>
    </row>
    <row r="900" spans="2:15">
      <c r="B900" s="29"/>
      <c r="E900" s="53"/>
      <c r="L900" s="32"/>
      <c r="M900" s="34"/>
      <c r="N900" s="34"/>
      <c r="O900" s="34"/>
    </row>
    <row r="901" spans="2:15">
      <c r="B901" s="29"/>
      <c r="E901" s="53"/>
      <c r="L901" s="32"/>
      <c r="M901" s="34"/>
      <c r="N901" s="34"/>
      <c r="O901" s="34"/>
    </row>
    <row r="902" spans="2:15">
      <c r="B902" s="29"/>
      <c r="E902" s="53"/>
      <c r="L902" s="32"/>
      <c r="M902" s="34"/>
      <c r="N902" s="34"/>
      <c r="O902" s="34"/>
    </row>
    <row r="903" spans="2:15">
      <c r="B903" s="29"/>
      <c r="E903" s="53"/>
      <c r="L903" s="32"/>
      <c r="M903" s="34"/>
      <c r="N903" s="34"/>
      <c r="O903" s="34"/>
    </row>
    <row r="904" spans="2:15">
      <c r="B904" s="29"/>
      <c r="E904" s="53"/>
      <c r="L904" s="32"/>
      <c r="M904" s="34"/>
      <c r="N904" s="34"/>
      <c r="O904" s="34"/>
    </row>
    <row r="905" spans="2:15">
      <c r="B905" s="29"/>
      <c r="E905" s="53"/>
      <c r="L905" s="32"/>
      <c r="M905" s="34"/>
      <c r="N905" s="34"/>
      <c r="O905" s="34"/>
    </row>
    <row r="906" spans="2:15">
      <c r="B906" s="29"/>
      <c r="E906" s="53"/>
      <c r="L906" s="32"/>
      <c r="M906" s="34"/>
      <c r="N906" s="34"/>
      <c r="O906" s="34"/>
    </row>
    <row r="907" spans="2:15">
      <c r="B907" s="29"/>
      <c r="E907" s="53"/>
      <c r="L907" s="32"/>
      <c r="M907" s="34"/>
      <c r="N907" s="34"/>
      <c r="O907" s="34"/>
    </row>
    <row r="908" spans="2:15">
      <c r="B908" s="29"/>
      <c r="E908" s="53"/>
      <c r="L908" s="32"/>
      <c r="M908" s="34"/>
      <c r="N908" s="34"/>
      <c r="O908" s="34"/>
    </row>
    <row r="909" spans="2:15">
      <c r="B909" s="29"/>
      <c r="E909" s="53"/>
      <c r="L909" s="32"/>
      <c r="M909" s="34"/>
      <c r="N909" s="34"/>
      <c r="O909" s="34"/>
    </row>
    <row r="910" spans="2:15">
      <c r="B910" s="29"/>
      <c r="E910" s="53"/>
      <c r="L910" s="32"/>
      <c r="M910" s="34"/>
      <c r="N910" s="34"/>
      <c r="O910" s="34"/>
    </row>
    <row r="911" spans="2:15">
      <c r="B911" s="29"/>
      <c r="E911" s="53"/>
      <c r="L911" s="32"/>
      <c r="M911" s="34"/>
      <c r="N911" s="34"/>
      <c r="O911" s="34"/>
    </row>
    <row r="912" spans="2:15">
      <c r="B912" s="29"/>
      <c r="E912" s="53"/>
      <c r="L912" s="32"/>
      <c r="M912" s="34"/>
      <c r="N912" s="34"/>
      <c r="O912" s="34"/>
    </row>
    <row r="913" spans="2:15">
      <c r="B913" s="29"/>
      <c r="E913" s="53"/>
      <c r="L913" s="32"/>
      <c r="M913" s="34"/>
      <c r="N913" s="34"/>
      <c r="O913" s="34"/>
    </row>
    <row r="914" spans="2:15">
      <c r="B914" s="29"/>
      <c r="E914" s="53"/>
      <c r="L914" s="32"/>
      <c r="M914" s="34"/>
      <c r="N914" s="34"/>
      <c r="O914" s="34"/>
    </row>
    <row r="915" spans="2:15">
      <c r="B915" s="29"/>
      <c r="E915" s="53"/>
      <c r="L915" s="32"/>
      <c r="M915" s="34"/>
      <c r="N915" s="34"/>
      <c r="O915" s="34"/>
    </row>
    <row r="916" spans="2:15">
      <c r="B916" s="29"/>
      <c r="E916" s="53"/>
      <c r="L916" s="32"/>
      <c r="M916" s="34"/>
      <c r="N916" s="34"/>
      <c r="O916" s="34"/>
    </row>
    <row r="917" spans="2:15">
      <c r="B917" s="29"/>
      <c r="E917" s="53"/>
      <c r="L917" s="32"/>
      <c r="M917" s="34"/>
      <c r="N917" s="34"/>
      <c r="O917" s="34"/>
    </row>
    <row r="918" spans="2:15">
      <c r="B918" s="29"/>
      <c r="E918" s="53"/>
      <c r="L918" s="32"/>
      <c r="M918" s="34"/>
      <c r="N918" s="34"/>
      <c r="O918" s="34"/>
    </row>
    <row r="919" spans="2:15">
      <c r="B919" s="29"/>
      <c r="E919" s="53"/>
      <c r="L919" s="32"/>
      <c r="M919" s="34"/>
      <c r="N919" s="34"/>
      <c r="O919" s="34"/>
    </row>
    <row r="920" spans="2:15">
      <c r="B920" s="29"/>
      <c r="E920" s="53"/>
      <c r="L920" s="32"/>
      <c r="M920" s="34"/>
      <c r="N920" s="34"/>
      <c r="O920" s="34"/>
    </row>
    <row r="921" spans="2:15">
      <c r="B921" s="29"/>
      <c r="E921" s="53"/>
      <c r="L921" s="32"/>
      <c r="M921" s="34"/>
      <c r="N921" s="34"/>
      <c r="O921" s="34"/>
    </row>
    <row r="922" spans="2:15">
      <c r="B922" s="29"/>
      <c r="E922" s="53"/>
      <c r="L922" s="32"/>
      <c r="M922" s="34"/>
      <c r="N922" s="34"/>
      <c r="O922" s="34"/>
    </row>
    <row r="923" spans="2:15">
      <c r="B923" s="29"/>
      <c r="E923" s="53"/>
      <c r="L923" s="32"/>
      <c r="M923" s="34"/>
      <c r="N923" s="34"/>
      <c r="O923" s="34"/>
    </row>
    <row r="924" spans="2:15">
      <c r="B924" s="29"/>
      <c r="E924" s="53"/>
      <c r="L924" s="32"/>
      <c r="M924" s="34"/>
      <c r="N924" s="34"/>
      <c r="O924" s="34"/>
    </row>
    <row r="925" spans="2:15">
      <c r="B925" s="29"/>
      <c r="E925" s="53"/>
      <c r="L925" s="32"/>
      <c r="M925" s="34"/>
      <c r="N925" s="34"/>
      <c r="O925" s="34"/>
    </row>
    <row r="926" spans="2:15">
      <c r="B926" s="29"/>
      <c r="E926" s="53"/>
      <c r="L926" s="32"/>
      <c r="M926" s="34"/>
      <c r="N926" s="34"/>
      <c r="O926" s="34"/>
    </row>
    <row r="927" spans="2:15">
      <c r="B927" s="29"/>
      <c r="E927" s="53"/>
      <c r="L927" s="32"/>
      <c r="M927" s="34"/>
      <c r="N927" s="34"/>
      <c r="O927" s="34"/>
    </row>
    <row r="928" spans="2:15">
      <c r="B928" s="29"/>
      <c r="E928" s="53"/>
      <c r="L928" s="32"/>
      <c r="M928" s="34"/>
      <c r="N928" s="34"/>
      <c r="O928" s="34"/>
    </row>
    <row r="929" spans="2:15">
      <c r="B929" s="29"/>
      <c r="E929" s="53"/>
      <c r="L929" s="32"/>
      <c r="M929" s="34"/>
      <c r="N929" s="34"/>
      <c r="O929" s="34"/>
    </row>
    <row r="930" spans="2:15">
      <c r="B930" s="29"/>
      <c r="E930" s="53"/>
      <c r="L930" s="32"/>
      <c r="M930" s="34"/>
      <c r="N930" s="34"/>
      <c r="O930" s="34"/>
    </row>
    <row r="931" spans="2:15">
      <c r="B931" s="29"/>
      <c r="E931" s="53"/>
      <c r="L931" s="32"/>
      <c r="M931" s="34"/>
      <c r="N931" s="34"/>
      <c r="O931" s="34"/>
    </row>
    <row r="932" spans="2:15">
      <c r="B932" s="29"/>
      <c r="E932" s="53"/>
      <c r="L932" s="32"/>
      <c r="M932" s="34"/>
      <c r="N932" s="34"/>
      <c r="O932" s="34"/>
    </row>
    <row r="933" spans="2:15">
      <c r="B933" s="29"/>
      <c r="E933" s="53"/>
      <c r="L933" s="32"/>
      <c r="M933" s="34"/>
      <c r="N933" s="34"/>
      <c r="O933" s="34"/>
    </row>
    <row r="934" spans="2:15">
      <c r="B934" s="29"/>
      <c r="E934" s="53"/>
      <c r="L934" s="32"/>
      <c r="M934" s="34"/>
      <c r="N934" s="34"/>
      <c r="O934" s="34"/>
    </row>
    <row r="935" spans="2:15">
      <c r="B935" s="29"/>
      <c r="E935" s="53"/>
      <c r="L935" s="32"/>
      <c r="M935" s="34"/>
      <c r="N935" s="34"/>
      <c r="O935" s="34"/>
    </row>
    <row r="936" spans="2:15">
      <c r="B936" s="29"/>
      <c r="E936" s="53"/>
      <c r="L936" s="32"/>
      <c r="M936" s="34"/>
      <c r="N936" s="34"/>
      <c r="O936" s="34"/>
    </row>
    <row r="937" spans="2:15">
      <c r="B937" s="29"/>
      <c r="E937" s="53"/>
      <c r="L937" s="32"/>
      <c r="M937" s="34"/>
      <c r="N937" s="34"/>
      <c r="O937" s="34"/>
    </row>
    <row r="938" spans="2:15">
      <c r="B938" s="29"/>
      <c r="E938" s="53"/>
      <c r="L938" s="32"/>
      <c r="M938" s="34"/>
      <c r="N938" s="34"/>
      <c r="O938" s="34"/>
    </row>
    <row r="939" spans="2:15">
      <c r="B939" s="29"/>
      <c r="E939" s="53"/>
      <c r="L939" s="32"/>
      <c r="M939" s="34"/>
      <c r="N939" s="34"/>
      <c r="O939" s="34"/>
    </row>
    <row r="940" spans="2:15">
      <c r="B940" s="29"/>
      <c r="E940" s="53"/>
      <c r="L940" s="32"/>
      <c r="M940" s="34"/>
      <c r="N940" s="34"/>
      <c r="O940" s="34"/>
    </row>
    <row r="941" spans="2:15">
      <c r="B941" s="29"/>
      <c r="E941" s="53"/>
      <c r="L941" s="32"/>
      <c r="M941" s="34"/>
      <c r="N941" s="34"/>
      <c r="O941" s="34"/>
    </row>
    <row r="942" spans="2:15">
      <c r="B942" s="29"/>
      <c r="E942" s="53"/>
      <c r="L942" s="32"/>
      <c r="M942" s="34"/>
      <c r="N942" s="34"/>
      <c r="O942" s="34"/>
    </row>
    <row r="943" spans="2:15">
      <c r="B943" s="29"/>
      <c r="E943" s="53"/>
      <c r="L943" s="32"/>
      <c r="M943" s="34"/>
      <c r="N943" s="34"/>
      <c r="O943" s="34"/>
    </row>
    <row r="944" spans="2:15">
      <c r="B944" s="29"/>
      <c r="E944" s="53"/>
      <c r="L944" s="32"/>
      <c r="M944" s="34"/>
      <c r="N944" s="34"/>
      <c r="O944" s="34"/>
    </row>
    <row r="945" spans="2:15">
      <c r="B945" s="29"/>
      <c r="E945" s="53"/>
      <c r="L945" s="32"/>
      <c r="M945" s="34"/>
      <c r="N945" s="34"/>
      <c r="O945" s="34"/>
    </row>
    <row r="946" spans="2:15">
      <c r="B946" s="29"/>
      <c r="E946" s="53"/>
      <c r="L946" s="32"/>
      <c r="M946" s="34"/>
      <c r="N946" s="34"/>
      <c r="O946" s="34"/>
    </row>
    <row r="947" spans="2:15">
      <c r="B947" s="29"/>
      <c r="E947" s="53"/>
      <c r="L947" s="32"/>
      <c r="M947" s="34"/>
      <c r="N947" s="34"/>
      <c r="O947" s="34"/>
    </row>
    <row r="948" spans="2:15">
      <c r="B948" s="29"/>
      <c r="E948" s="53"/>
      <c r="L948" s="32"/>
      <c r="M948" s="34"/>
      <c r="N948" s="34"/>
      <c r="O948" s="34"/>
    </row>
    <row r="949" spans="2:15">
      <c r="B949" s="29"/>
      <c r="E949" s="53"/>
      <c r="L949" s="32"/>
      <c r="M949" s="34"/>
      <c r="N949" s="34"/>
      <c r="O949" s="34"/>
    </row>
    <row r="950" spans="2:15">
      <c r="B950" s="29"/>
      <c r="E950" s="53"/>
      <c r="L950" s="32"/>
      <c r="M950" s="34"/>
      <c r="N950" s="34"/>
      <c r="O950" s="34"/>
    </row>
    <row r="951" spans="2:15">
      <c r="B951" s="29"/>
      <c r="E951" s="53"/>
      <c r="L951" s="32"/>
      <c r="M951" s="34"/>
      <c r="N951" s="34"/>
      <c r="O951" s="34"/>
    </row>
    <row r="952" spans="2:15">
      <c r="B952" s="29"/>
      <c r="E952" s="53"/>
      <c r="L952" s="32"/>
      <c r="M952" s="34"/>
      <c r="N952" s="34"/>
      <c r="O952" s="34"/>
    </row>
    <row r="953" spans="2:15">
      <c r="B953" s="29"/>
      <c r="E953" s="53"/>
      <c r="L953" s="32"/>
      <c r="M953" s="34"/>
      <c r="N953" s="34"/>
      <c r="O953" s="34"/>
    </row>
    <row r="954" spans="2:15">
      <c r="B954" s="29"/>
      <c r="E954" s="53"/>
      <c r="L954" s="32"/>
      <c r="M954" s="34"/>
      <c r="N954" s="34"/>
      <c r="O954" s="34"/>
    </row>
    <row r="955" spans="2:15">
      <c r="B955" s="29"/>
      <c r="E955" s="53"/>
      <c r="L955" s="32"/>
      <c r="M955" s="34"/>
      <c r="N955" s="34"/>
      <c r="O955" s="34"/>
    </row>
    <row r="956" spans="2:15">
      <c r="B956" s="29"/>
      <c r="E956" s="53"/>
      <c r="L956" s="32"/>
      <c r="M956" s="34"/>
      <c r="N956" s="34"/>
      <c r="O956" s="34"/>
    </row>
    <row r="957" spans="2:15">
      <c r="B957" s="29"/>
      <c r="E957" s="53"/>
      <c r="L957" s="32"/>
      <c r="M957" s="34"/>
      <c r="N957" s="34"/>
      <c r="O957" s="34"/>
    </row>
    <row r="958" spans="2:15">
      <c r="B958" s="29"/>
      <c r="E958" s="53"/>
      <c r="L958" s="32"/>
      <c r="M958" s="34"/>
      <c r="N958" s="34"/>
      <c r="O958" s="34"/>
    </row>
    <row r="959" spans="2:15">
      <c r="B959" s="29"/>
      <c r="E959" s="53"/>
      <c r="L959" s="32"/>
      <c r="M959" s="34"/>
      <c r="N959" s="34"/>
      <c r="O959" s="34"/>
    </row>
    <row r="960" spans="2:15">
      <c r="B960" s="29"/>
      <c r="E960" s="53"/>
      <c r="L960" s="32"/>
      <c r="M960" s="34"/>
      <c r="N960" s="34"/>
      <c r="O960" s="34"/>
    </row>
    <row r="961" spans="2:15">
      <c r="B961" s="29"/>
      <c r="E961" s="53"/>
      <c r="L961" s="32"/>
      <c r="M961" s="34"/>
      <c r="N961" s="34"/>
      <c r="O961" s="34"/>
    </row>
    <row r="962" spans="2:15">
      <c r="B962" s="29"/>
      <c r="E962" s="53"/>
      <c r="L962" s="32"/>
      <c r="M962" s="34"/>
      <c r="N962" s="34"/>
      <c r="O962" s="34"/>
    </row>
    <row r="963" spans="2:15">
      <c r="B963" s="29"/>
      <c r="E963" s="53"/>
      <c r="L963" s="32"/>
      <c r="M963" s="34"/>
      <c r="N963" s="34"/>
      <c r="O963" s="34"/>
    </row>
    <row r="964" spans="2:15">
      <c r="B964" s="29"/>
      <c r="E964" s="53"/>
      <c r="L964" s="32"/>
      <c r="M964" s="34"/>
      <c r="N964" s="34"/>
      <c r="O964" s="34"/>
    </row>
    <row r="965" spans="2:15">
      <c r="B965" s="29"/>
      <c r="E965" s="53"/>
      <c r="L965" s="32"/>
      <c r="M965" s="34"/>
      <c r="N965" s="34"/>
      <c r="O965" s="34"/>
    </row>
    <row r="966" spans="2:15">
      <c r="B966" s="29"/>
      <c r="E966" s="53"/>
      <c r="L966" s="32"/>
      <c r="M966" s="34"/>
      <c r="N966" s="34"/>
      <c r="O966" s="34"/>
    </row>
    <row r="967" spans="2:15">
      <c r="B967" s="29"/>
      <c r="E967" s="53"/>
      <c r="L967" s="32"/>
      <c r="M967" s="34"/>
      <c r="N967" s="34"/>
      <c r="O967" s="34"/>
    </row>
    <row r="968" spans="2:15">
      <c r="B968" s="29"/>
      <c r="E968" s="53"/>
      <c r="L968" s="32"/>
      <c r="M968" s="34"/>
      <c r="N968" s="34"/>
      <c r="O968" s="34"/>
    </row>
    <row r="969" spans="2:15">
      <c r="B969" s="29"/>
      <c r="E969" s="53"/>
      <c r="L969" s="32"/>
      <c r="M969" s="34"/>
      <c r="N969" s="34"/>
      <c r="O969" s="34"/>
    </row>
    <row r="970" spans="2:15">
      <c r="B970" s="29"/>
      <c r="E970" s="53"/>
      <c r="L970" s="32"/>
      <c r="M970" s="34"/>
      <c r="N970" s="34"/>
      <c r="O970" s="34"/>
    </row>
    <row r="971" spans="2:15">
      <c r="B971" s="29"/>
      <c r="E971" s="53"/>
      <c r="L971" s="32"/>
      <c r="M971" s="34"/>
      <c r="N971" s="34"/>
      <c r="O971" s="34"/>
    </row>
    <row r="972" spans="2:15">
      <c r="B972" s="29"/>
      <c r="E972" s="53"/>
      <c r="L972" s="32"/>
      <c r="M972" s="34"/>
      <c r="N972" s="34"/>
      <c r="O972" s="34"/>
    </row>
    <row r="973" spans="2:15">
      <c r="B973" s="29"/>
      <c r="E973" s="53"/>
      <c r="L973" s="32"/>
      <c r="M973" s="34"/>
      <c r="N973" s="34"/>
      <c r="O973" s="34"/>
    </row>
    <row r="974" spans="2:15">
      <c r="B974" s="29"/>
      <c r="E974" s="53"/>
      <c r="L974" s="32"/>
      <c r="M974" s="34"/>
      <c r="N974" s="34"/>
      <c r="O974" s="34"/>
    </row>
    <row r="975" spans="2:15">
      <c r="B975" s="29"/>
      <c r="E975" s="53"/>
      <c r="L975" s="32"/>
      <c r="M975" s="34"/>
      <c r="N975" s="34"/>
      <c r="O975" s="34"/>
    </row>
    <row r="976" spans="2:15">
      <c r="B976" s="29"/>
      <c r="E976" s="53"/>
      <c r="L976" s="32"/>
      <c r="M976" s="34"/>
      <c r="N976" s="34"/>
      <c r="O976" s="34"/>
    </row>
    <row r="977" spans="2:15">
      <c r="B977" s="29"/>
      <c r="E977" s="53"/>
      <c r="L977" s="32"/>
      <c r="M977" s="34"/>
      <c r="N977" s="34"/>
      <c r="O977" s="34"/>
    </row>
    <row r="978" spans="2:15">
      <c r="B978" s="29"/>
      <c r="E978" s="53"/>
      <c r="L978" s="32"/>
      <c r="M978" s="34"/>
      <c r="N978" s="34"/>
      <c r="O978" s="34"/>
    </row>
    <row r="979" spans="2:15">
      <c r="B979" s="29"/>
      <c r="E979" s="53"/>
      <c r="L979" s="32"/>
      <c r="M979" s="34"/>
      <c r="N979" s="34"/>
      <c r="O979" s="34"/>
    </row>
    <row r="980" spans="2:15">
      <c r="B980" s="29"/>
      <c r="E980" s="53"/>
      <c r="L980" s="32"/>
      <c r="M980" s="34"/>
      <c r="N980" s="34"/>
      <c r="O980" s="34"/>
    </row>
    <row r="981" spans="2:15">
      <c r="B981" s="29"/>
      <c r="E981" s="53"/>
      <c r="L981" s="32"/>
      <c r="M981" s="34"/>
      <c r="N981" s="34"/>
      <c r="O981" s="34"/>
    </row>
    <row r="982" spans="2:15">
      <c r="B982" s="29"/>
      <c r="E982" s="53"/>
      <c r="L982" s="32"/>
      <c r="M982" s="34"/>
      <c r="N982" s="34"/>
      <c r="O982" s="34"/>
    </row>
    <row r="983" spans="2:15">
      <c r="B983" s="29"/>
      <c r="E983" s="53"/>
      <c r="L983" s="32"/>
      <c r="M983" s="34"/>
      <c r="N983" s="34"/>
      <c r="O983" s="34"/>
    </row>
    <row r="984" spans="2:15">
      <c r="B984" s="29"/>
      <c r="E984" s="53"/>
      <c r="L984" s="32"/>
      <c r="M984" s="34"/>
      <c r="N984" s="34"/>
      <c r="O984" s="34"/>
    </row>
    <row r="985" spans="2:15">
      <c r="B985" s="29"/>
      <c r="E985" s="53"/>
      <c r="L985" s="32"/>
      <c r="M985" s="34"/>
      <c r="N985" s="34"/>
      <c r="O985" s="34"/>
    </row>
    <row r="986" spans="2:15">
      <c r="B986" s="29"/>
      <c r="E986" s="53"/>
      <c r="L986" s="32"/>
      <c r="M986" s="34"/>
      <c r="N986" s="34"/>
      <c r="O986" s="34"/>
    </row>
    <row r="987" spans="2:15">
      <c r="B987" s="29"/>
      <c r="E987" s="53"/>
      <c r="L987" s="32"/>
      <c r="M987" s="34"/>
      <c r="N987" s="34"/>
      <c r="O987" s="34"/>
    </row>
    <row r="988" spans="2:15">
      <c r="B988" s="29"/>
      <c r="E988" s="53"/>
      <c r="L988" s="32"/>
      <c r="M988" s="34"/>
      <c r="N988" s="34"/>
      <c r="O988" s="34"/>
    </row>
    <row r="989" spans="2:15">
      <c r="B989" s="29"/>
      <c r="E989" s="53"/>
      <c r="L989" s="32"/>
      <c r="M989" s="34"/>
      <c r="N989" s="34"/>
      <c r="O989" s="34"/>
    </row>
    <row r="990" spans="2:15">
      <c r="B990" s="29"/>
      <c r="E990" s="53"/>
      <c r="L990" s="32"/>
      <c r="M990" s="34"/>
      <c r="N990" s="34"/>
      <c r="O990" s="34"/>
    </row>
    <row r="991" spans="2:15">
      <c r="B991" s="29"/>
      <c r="E991" s="53"/>
      <c r="L991" s="32"/>
      <c r="M991" s="34"/>
      <c r="N991" s="34"/>
      <c r="O991" s="34"/>
    </row>
    <row r="992" spans="2:15">
      <c r="B992" s="29"/>
      <c r="E992" s="53"/>
      <c r="L992" s="32"/>
      <c r="M992" s="34"/>
      <c r="N992" s="34"/>
      <c r="O992" s="34"/>
    </row>
    <row r="993" spans="2:15">
      <c r="B993" s="29"/>
      <c r="E993" s="53"/>
      <c r="L993" s="32"/>
      <c r="M993" s="34"/>
      <c r="N993" s="34"/>
      <c r="O993" s="34"/>
    </row>
    <row r="994" spans="2:15">
      <c r="B994" s="29"/>
      <c r="E994" s="53"/>
      <c r="L994" s="32"/>
      <c r="M994" s="34"/>
      <c r="N994" s="34"/>
      <c r="O994" s="34"/>
    </row>
    <row r="995" spans="2:15">
      <c r="B995" s="29"/>
      <c r="E995" s="53"/>
      <c r="L995" s="32"/>
      <c r="M995" s="34"/>
      <c r="N995" s="34"/>
      <c r="O995" s="34"/>
    </row>
    <row r="996" spans="2:15">
      <c r="B996" s="29"/>
      <c r="E996" s="53"/>
      <c r="L996" s="32"/>
      <c r="M996" s="34"/>
      <c r="N996" s="34"/>
      <c r="O996" s="34"/>
    </row>
    <row r="997" spans="2:15">
      <c r="B997" s="29"/>
      <c r="E997" s="53"/>
      <c r="L997" s="32"/>
      <c r="M997" s="34"/>
      <c r="N997" s="34"/>
      <c r="O997" s="34"/>
    </row>
    <row r="998" spans="2:15">
      <c r="B998" s="29"/>
      <c r="E998" s="53"/>
      <c r="L998" s="32"/>
      <c r="M998" s="34"/>
      <c r="N998" s="34"/>
      <c r="O998" s="34"/>
    </row>
    <row r="999" spans="2:15">
      <c r="B999" s="29"/>
      <c r="E999" s="53"/>
      <c r="L999" s="32"/>
      <c r="M999" s="34"/>
      <c r="N999" s="34"/>
      <c r="O999"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00"/>
    <outlinePr summaryBelow="0" summaryRight="0"/>
  </sheetPr>
  <dimension ref="A1:CW15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328125" defaultRowHeight="15.75" customHeight="1"/>
  <cols>
    <col min="97" max="97" width="14" customWidth="1"/>
  </cols>
  <sheetData>
    <row r="1" spans="1:101">
      <c r="A1" s="54" t="str">
        <f ca="1">IFERROR(__xludf.DUMMYFUNCTION("QUERY(Registro_Actividades!A:BN, ""SELECT * WHERE A IS NOT NULL"", 1)"),"ID_Actividad")</f>
        <v>ID_Actividad</v>
      </c>
      <c r="B1" s="54" t="str">
        <f ca="1">IFERROR(__xludf.DUMMYFUNCTION("""COMPUTED_VALUE"""),"Folio")</f>
        <v>Folio</v>
      </c>
      <c r="C1" s="55" t="str">
        <f ca="1">IFERROR(__xludf.DUMMYFUNCTION("""COMPUTED_VALUE"""),"Fecha_Captura")</f>
        <v>Fecha_Captura</v>
      </c>
      <c r="D1" s="54" t="str">
        <f ca="1">IFERROR(__xludf.DUMMYFUNCTION("""COMPUTED_VALUE"""),"Clave_Proceso")</f>
        <v>Clave_Proceso</v>
      </c>
      <c r="E1" s="54" t="str">
        <f ca="1">IFERROR(__xludf.DUMMYFUNCTION("""COMPUTED_VALUE"""),"Clave_Proceso_Txt")</f>
        <v>Clave_Proceso_Txt</v>
      </c>
      <c r="F1" s="54" t="str">
        <f ca="1">IFERROR(__xludf.DUMMYFUNCTION("""COMPUTED_VALUE"""),"Meta")</f>
        <v>Meta</v>
      </c>
      <c r="G1" s="54" t="str">
        <f ca="1">IFERROR(__xludf.DUMMYFUNCTION("""COMPUTED_VALUE"""),"Nombre_Meta")</f>
        <v>Nombre_Meta</v>
      </c>
      <c r="H1" s="54" t="str">
        <f ca="1">IFERROR(__xludf.DUMMYFUNCTION("""COMPUTED_VALUE"""),"Area")</f>
        <v>Area</v>
      </c>
      <c r="I1" s="54" t="str">
        <f ca="1">IFERROR(__xludf.DUMMYFUNCTION("""COMPUTED_VALUE"""),"Direccion")</f>
        <v>Direccion</v>
      </c>
      <c r="J1" s="54" t="str">
        <f ca="1">IFERROR(__xludf.DUMMYFUNCTION("""COMPUTED_VALUE"""),"Unidad_Medida")</f>
        <v>Unidad_Medida</v>
      </c>
      <c r="K1" s="54" t="str">
        <f ca="1">IFERROR(__xludf.DUMMYFUNCTION("""COMPUTED_VALUE"""),"Meta_Anual")</f>
        <v>Meta_Anual</v>
      </c>
      <c r="L1" s="54" t="str">
        <f ca="1">IFERROR(__xludf.DUMMYFUNCTION("""COMPUTED_VALUE"""),"Enfoque_Actividad")</f>
        <v>Enfoque_Actividad</v>
      </c>
      <c r="M1" s="54" t="str">
        <f ca="1">IFERROR(__xludf.DUMMYFUNCTION("""COMPUTED_VALUE"""),"Nombre_Actividad")</f>
        <v>Nombre_Actividad</v>
      </c>
      <c r="N1" s="54" t="str">
        <f ca="1">IFERROR(__xludf.DUMMYFUNCTION("""COMPUTED_VALUE"""),"Descripcion_Breve")</f>
        <v>Descripcion_Breve</v>
      </c>
      <c r="O1" s="54" t="str">
        <f ca="1">IFERROR(__xludf.DUMMYFUNCTION("""COMPUTED_VALUE"""),"Temporalidad")</f>
        <v>Temporalidad</v>
      </c>
      <c r="P1" s="54" t="str">
        <f ca="1">IFERROR(__xludf.DUMMYFUNCTION("""COMPUTED_VALUE"""),"Fecha_Inicio")</f>
        <v>Fecha_Inicio</v>
      </c>
      <c r="Q1" s="54" t="str">
        <f ca="1">IFERROR(__xludf.DUMMYFUNCTION("""COMPUTED_VALUE"""),"Fecha_Fin")</f>
        <v>Fecha_Fin</v>
      </c>
      <c r="R1" s="54" t="str">
        <f ca="1">IFERROR(__xludf.DUMMYFUNCTION("""COMPUTED_VALUE"""),"Total_Sesiones")</f>
        <v>Total_Sesiones</v>
      </c>
      <c r="S1" s="54" t="str">
        <f ca="1">IFERROR(__xludf.DUMMYFUNCTION("""COMPUTED_VALUE"""),"Disciplina")</f>
        <v>Disciplina</v>
      </c>
      <c r="T1" s="54" t="str">
        <f ca="1">IFERROR(__xludf.DUMMYFUNCTION("""COMPUTED_VALUE"""),"Subdisciplina")</f>
        <v>Subdisciplina</v>
      </c>
      <c r="U1" s="54" t="str">
        <f ca="1">IFERROR(__xludf.DUMMYFUNCTION("""COMPUTED_VALUE"""),"Tipo_Actividad")</f>
        <v>Tipo_Actividad</v>
      </c>
      <c r="V1" s="54" t="str">
        <f ca="1">IFERROR(__xludf.DUMMYFUNCTION("""COMPUTED_VALUE"""),"Proceso_Institucional")</f>
        <v>Proceso_Institucional</v>
      </c>
      <c r="W1" s="54" t="str">
        <f ca="1">IFERROR(__xludf.DUMMYFUNCTION("""COMPUTED_VALUE"""),"Formato")</f>
        <v>Formato</v>
      </c>
      <c r="X1" s="54" t="str">
        <f ca="1">IFERROR(__xludf.DUMMYFUNCTION("""COMPUTED_VALUE"""),"Tipo_Espacio")</f>
        <v>Tipo_Espacio</v>
      </c>
      <c r="Y1" s="54" t="str">
        <f ca="1">IFERROR(__xludf.DUMMYFUNCTION("""COMPUTED_VALUE"""),"Nombre_Espacio")</f>
        <v>Nombre_Espacio</v>
      </c>
      <c r="Z1" s="54" t="str">
        <f ca="1">IFERROR(__xludf.DUMMYFUNCTION("""COMPUTED_VALUE"""),"Especifique_Espacio")</f>
        <v>Especifique_Espacio</v>
      </c>
      <c r="AA1" s="54" t="str">
        <f ca="1">IFERROR(__xludf.DUMMYFUNCTION("""COMPUTED_VALUE"""),"Foto_Evidencia")</f>
        <v>Foto_Evidencia</v>
      </c>
      <c r="AB1" s="54" t="str">
        <f ca="1">IFERROR(__xludf.DUMMYFUNCTION("""COMPUTED_VALUE"""),"Genera_Ingresos")</f>
        <v>Genera_Ingresos</v>
      </c>
      <c r="AC1" s="54" t="str">
        <f ca="1">IFERROR(__xludf.DUMMYFUNCTION("""COMPUTED_VALUE"""),"Monto_Ingreso")</f>
        <v>Monto_Ingreso</v>
      </c>
      <c r="AD1" s="54" t="str">
        <f ca="1">IFERROR(__xludf.DUMMYFUNCTION("""COMPUTED_VALUE"""),"Agentes_Con_Contrato")</f>
        <v>Agentes_Con_Contrato</v>
      </c>
      <c r="AE1" s="54" t="str">
        <f ca="1">IFERROR(__xludf.DUMMYFUNCTION("""COMPUTED_VALUE"""),"Cantidad_Agentes")</f>
        <v>Cantidad_Agentes</v>
      </c>
      <c r="AF1" s="54" t="str">
        <f ca="1">IFERROR(__xludf.DUMMYFUNCTION("""COMPUTED_VALUE"""),"Registros_INDAUTOR")</f>
        <v>Registros_INDAUTOR</v>
      </c>
      <c r="AG1" s="54" t="str">
        <f ca="1">IFERROR(__xludf.DUMMYFUNCTION("""COMPUTED_VALUE"""),"Folio_INDAUTOR")</f>
        <v>Folio_INDAUTOR</v>
      </c>
      <c r="AH1" s="54" t="str">
        <f ca="1">IFERROR(__xludf.DUMMYFUNCTION("""COMPUTED_VALUE"""),"Costo")</f>
        <v>Costo</v>
      </c>
      <c r="AI1" s="54" t="str">
        <f ca="1">IFERROR(__xludf.DUMMYFUNCTION("""COMPUTED_VALUE"""),"Costo_Minimo")</f>
        <v>Costo_Minimo</v>
      </c>
      <c r="AJ1" s="54" t="str">
        <f ca="1">IFERROR(__xludf.DUMMYFUNCTION("""COMPUTED_VALUE"""),"Costo_Maximo")</f>
        <v>Costo_Maximo</v>
      </c>
      <c r="AK1" s="54" t="str">
        <f ca="1">IFERROR(__xludf.DUMMYFUNCTION("""COMPUTED_VALUE"""),"Detalle_Tarifas")</f>
        <v>Detalle_Tarifas</v>
      </c>
      <c r="AL1" s="54" t="str">
        <f ca="1">IFERROR(__xludf.DUMMYFUNCTION("""COMPUTED_VALUE"""),"Usuario_Registra")</f>
        <v>Usuario_Registra</v>
      </c>
      <c r="AM1" s="54" t="str">
        <f ca="1">IFERROR(__xludf.DUMMYFUNCTION("""COMPUTED_VALUE"""),"Promesa_NC")</f>
        <v>Promesa_NC</v>
      </c>
      <c r="AN1" s="54" t="str">
        <f ca="1">IFERROR(__xludf.DUMMYFUNCTION("""COMPUTED_VALUE"""),"Eje_PG")</f>
        <v>Eje_PG</v>
      </c>
      <c r="AO1" s="54" t="str">
        <f ca="1">IFERROR(__xludf.DUMMYFUNCTION("""COMPUTED_VALUE"""),"Objetivo_PG")</f>
        <v>Objetivo_PG</v>
      </c>
      <c r="AP1" s="54" t="str">
        <f ca="1">IFERROR(__xludf.DUMMYFUNCTION("""COMPUTED_VALUE"""),"Estrategia_PG")</f>
        <v>Estrategia_PG</v>
      </c>
      <c r="AQ1" s="54" t="str">
        <f ca="1">IFERROR(__xludf.DUMMYFUNCTION("""COMPUTED_VALUE"""),"Acciones_PG")</f>
        <v>Acciones_PG</v>
      </c>
      <c r="AR1" s="54" t="str">
        <f ca="1">IFERROR(__xludf.DUMMYFUNCTION("""COMPUTED_VALUE"""),"Eje_Tranversal_PEC")</f>
        <v>Eje_Tranversal_PEC</v>
      </c>
      <c r="AS1" s="54" t="str">
        <f ca="1">IFERROR(__xludf.DUMMYFUNCTION("""COMPUTED_VALUE"""),"Enfoque_Accion")</f>
        <v>Enfoque_Accion</v>
      </c>
      <c r="AT1" s="54" t="str">
        <f ca="1">IFERROR(__xludf.DUMMYFUNCTION("""COMPUTED_VALUE"""),"Linea_PEC")</f>
        <v>Linea_PEC</v>
      </c>
      <c r="AU1" s="54" t="str">
        <f ca="1">IFERROR(__xludf.DUMMYFUNCTION("""COMPUTED_VALUE"""),"Estrategia_PEC")</f>
        <v>Estrategia_PEC</v>
      </c>
      <c r="AV1" s="54" t="str">
        <f ca="1">IFERROR(__xludf.DUMMYFUNCTION("""COMPUTED_VALUE"""),"Acciones_PEC")</f>
        <v>Acciones_PEC</v>
      </c>
      <c r="AW1" s="54" t="str">
        <f ca="1">IFERROR(__xludf.DUMMYFUNCTION("""COMPUTED_VALUE"""),"Metas_PEC")</f>
        <v>Metas_PEC</v>
      </c>
      <c r="AX1" s="54" t="str">
        <f ca="1">IFERROR(__xludf.DUMMYFUNCTION("""COMPUTED_VALUE"""),"Actividad")</f>
        <v>Actividad</v>
      </c>
      <c r="AY1" s="54" t="str">
        <f ca="1">IFERROR(__xludf.DUMMYFUNCTION("""COMPUTED_VALUE"""),"Categoria_Helper")</f>
        <v>Categoria_Helper</v>
      </c>
      <c r="AZ1" s="54" t="str">
        <f ca="1">IFERROR(__xludf.DUMMYFUNCTION("""COMPUTED_VALUE"""),"Tipo_Proceso_Formacion")</f>
        <v>Tipo_Proceso_Formacion</v>
      </c>
      <c r="BA1" s="54" t="str">
        <f ca="1">IFERROR(__xludf.DUMMYFUNCTION("""COMPUTED_VALUE"""),"Tipo_Oferta_Formacion")</f>
        <v>Tipo_Oferta_Formacion</v>
      </c>
      <c r="BB1" s="54" t="str">
        <f ca="1">IFERROR(__xludf.DUMMYFUNCTION("""COMPUTED_VALUE"""),"Tipo_Agente_Apoyado")</f>
        <v>Tipo_Agente_Apoyado</v>
      </c>
      <c r="BC1" s="54" t="str">
        <f ca="1">IFERROR(__xludf.DUMMYFUNCTION("""COMPUTED_VALUE"""),"Cantidad_Agente_Apoyado")</f>
        <v>Cantidad_Agente_Apoyado</v>
      </c>
      <c r="BD1" s="54" t="str">
        <f ca="1">IFERROR(__xludf.DUMMYFUNCTION("""COMPUTED_VALUE"""),"Condicion_Agente")</f>
        <v>Condicion_Agente</v>
      </c>
      <c r="BE1" s="54" t="str">
        <f ca="1">IFERROR(__xludf.DUMMYFUNCTION("""COMPUTED_VALUE"""),"Nombre_Agente")</f>
        <v>Nombre_Agente</v>
      </c>
      <c r="BF1" s="54" t="str">
        <f ca="1">IFERROR(__xludf.DUMMYFUNCTION("""COMPUTED_VALUE"""),"Con_Apoyo")</f>
        <v>Con_Apoyo</v>
      </c>
      <c r="BG1" s="54" t="str">
        <f ca="1">IFERROR(__xludf.DUMMYFUNCTION("""COMPUTED_VALUE"""),"Tipo_Apoyo")</f>
        <v>Tipo_Apoyo</v>
      </c>
      <c r="BH1" s="54" t="str">
        <f ca="1">IFERROR(__xludf.DUMMYFUNCTION("""COMPUTED_VALUE"""),"Monto_Total_Contratado")</f>
        <v>Monto_Total_Contratado</v>
      </c>
      <c r="BI1" s="54" t="str">
        <f ca="1">IFERROR(__xludf.DUMMYFUNCTION("""COMPUTED_VALUE"""),"Tipo_Proyecto_Artistico")</f>
        <v>Tipo_Proyecto_Artistico</v>
      </c>
      <c r="BJ1" s="54" t="str">
        <f ca="1">IFERROR(__xludf.DUMMYFUNCTION("""COMPUTED_VALUE"""),"Tipo_Circulacion")</f>
        <v>Tipo_Circulacion</v>
      </c>
      <c r="BK1" s="54" t="str">
        <f ca="1">IFERROR(__xludf.DUMMYFUNCTION("""COMPUTED_VALUE"""),"Tipo_Patrimonio")</f>
        <v>Tipo_Patrimonio</v>
      </c>
      <c r="BL1" s="54" t="str">
        <f ca="1">IFERROR(__xludf.DUMMYFUNCTION("""COMPUTED_VALUE"""),"Tipo_Convenio")</f>
        <v>Tipo_Convenio</v>
      </c>
      <c r="BM1" s="54" t="str">
        <f ca="1">IFERROR(__xludf.DUMMYFUNCTION("""COMPUTED_VALUE"""),"Vinculacion_Actores")</f>
        <v>Vinculacion_Actores</v>
      </c>
      <c r="BN1" s="54" t="str">
        <f ca="1">IFERROR(__xludf.DUMMYFUNCTION("""COMPUTED_VALUE"""),"Tipo_Vinculacion")</f>
        <v>Tipo_Vinculacion</v>
      </c>
      <c r="BO1" s="56" t="str">
        <f ca="1">IFERROR(__xludf.DUMMYFUNCTION("QUERY(Registro_Territorio!A:O, ""SELECT A, C, D, E, F, G, H, I, J, K, L, M, N, O WHERE A IS NOT NULL"", 1)"),"ID_Territorio")</f>
        <v>ID_Territorio</v>
      </c>
      <c r="BP1" s="56" t="str">
        <f ca="1">IFERROR(__xludf.DUMMYFUNCTION("""COMPUTED_VALUE"""),"Municipio")</f>
        <v>Municipio</v>
      </c>
      <c r="BQ1" s="56" t="str">
        <f ca="1">IFERROR(__xludf.DUMMYFUNCTION("""COMPUTED_VALUE"""),"Tipo_Asentamiento")</f>
        <v>Tipo_Asentamiento</v>
      </c>
      <c r="BR1" s="56" t="str">
        <f ca="1">IFERROR(__xludf.DUMMYFUNCTION("""COMPUTED_VALUE"""),"Comunidad")</f>
        <v>Comunidad</v>
      </c>
      <c r="BS1" s="56" t="str">
        <f ca="1">IFERROR(__xludf.DUMMYFUNCTION("""COMPUTED_VALUE"""),"Nombre_Comunidad")</f>
        <v>Nombre_Comunidad</v>
      </c>
      <c r="BT1" s="56" t="str">
        <f ca="1">IFERROR(__xludf.DUMMYFUNCTION("""COMPUTED_VALUE"""),"Otra_Comunidad")</f>
        <v>Otra_Comunidad</v>
      </c>
      <c r="BU1" s="56" t="str">
        <f ca="1">IFERROR(__xludf.DUMMYFUNCTION("""COMPUTED_VALUE"""),"ZAP_Nuevo_Comienzo")</f>
        <v>ZAP_Nuevo_Comienzo</v>
      </c>
      <c r="BV1" s="56" t="str">
        <f ca="1">IFERROR(__xludf.DUMMYFUNCTION("""COMPUTED_VALUE"""),"ZAP_SSyP")</f>
        <v>ZAP_SSyP</v>
      </c>
      <c r="BW1" s="56" t="str">
        <f ca="1">IFERROR(__xludf.DUMMYFUNCTION("""COMPUTED_VALUE"""),"Cantidad")</f>
        <v>Cantidad</v>
      </c>
      <c r="BX1" s="56" t="str">
        <f ca="1">IFERROR(__xludf.DUMMYFUNCTION("""COMPUTED_VALUE"""),"Cantidad_Participacion")</f>
        <v>Cantidad_Participacion</v>
      </c>
      <c r="BY1" s="56" t="str">
        <f ca="1">IFERROR(__xludf.DUMMYFUNCTION("""COMPUTED_VALUE"""),"Cantidad_Acceso")</f>
        <v>Cantidad_Acceso</v>
      </c>
      <c r="BZ1" s="56" t="str">
        <f ca="1">IFERROR(__xludf.DUMMYFUNCTION("""COMPUTED_VALUE"""),"Nombre_Comunidad_Final")</f>
        <v>Nombre_Comunidad_Final</v>
      </c>
      <c r="CA1" s="56" t="str">
        <f ca="1">IFERROR(__xludf.DUMMYFUNCTION("""COMPUTED_VALUE"""),"ZAP_NC_SI_NO")</f>
        <v>ZAP_NC_SI_NO</v>
      </c>
      <c r="CB1" s="56" t="str">
        <f ca="1">IFERROR(__xludf.DUMMYFUNCTION("""COMPUTED_VALUE"""),"ZAP_SSyP_SI_NO")</f>
        <v>ZAP_SSyP_SI_NO</v>
      </c>
      <c r="CC1" s="57" t="str">
        <f ca="1">IFERROR(__xludf.DUMMYFUNCTION("QUERY(Registro_Poblacion!A:H, ""SELECT A, C, D, E, H WHERE A IS NOT NULL"", 1)"),"ID_Poblacion")</f>
        <v>ID_Poblacion</v>
      </c>
      <c r="CD1" s="57" t="str">
        <f ca="1">IFERROR(__xludf.DUMMYFUNCTION("""COMPUTED_VALUE"""),"Grupo_Etario")</f>
        <v>Grupo_Etario</v>
      </c>
      <c r="CE1" s="57" t="str">
        <f ca="1">IFERROR(__xludf.DUMMYFUNCTION("""COMPUTED_VALUE"""),"Genero")</f>
        <v>Genero</v>
      </c>
      <c r="CF1" s="57" t="str">
        <f ca="1">IFERROR(__xludf.DUMMYFUNCTION("""COMPUTED_VALUE"""),"Grupo_Prioritario")</f>
        <v>Grupo_Prioritario</v>
      </c>
      <c r="CG1" s="57" t="str">
        <f ca="1">IFERROR(__xludf.DUMMYFUNCTION("""COMPUTED_VALUE"""),"Cantidad_Poblacion")</f>
        <v>Cantidad_Poblacion</v>
      </c>
      <c r="CH1" s="57"/>
      <c r="CI1" s="58" t="str">
        <f ca="1">IFERROR(__xludf.DUMMYFUNCTION("QUERY(Regitro_Evidencia!A:E, ""SELECT A, C, D, E WHERE A IS NOT NULL"", 1)"),"ID_Evidencia")</f>
        <v>ID_Evidencia</v>
      </c>
      <c r="CJ1" s="58" t="str">
        <f ca="1">IFERROR(__xludf.DUMMYFUNCTION("""COMPUTED_VALUE"""),"Archivo_Evidencia")</f>
        <v>Archivo_Evidencia</v>
      </c>
      <c r="CK1" s="58" t="str">
        <f ca="1">IFERROR(__xludf.DUMMYFUNCTION("""COMPUTED_VALUE"""),"Tipo_Evidencia")</f>
        <v>Tipo_Evidencia</v>
      </c>
      <c r="CL1" s="58" t="str">
        <f ca="1">IFERROR(__xludf.DUMMYFUNCTION("""COMPUTED_VALUE"""),"Descripcion")</f>
        <v>Descripcion</v>
      </c>
      <c r="CM1" s="59" t="s">
        <v>4841</v>
      </c>
      <c r="CN1" s="60" t="s">
        <v>4842</v>
      </c>
      <c r="CO1" s="60" t="s">
        <v>4843</v>
      </c>
      <c r="CP1" s="60" t="s">
        <v>4844</v>
      </c>
      <c r="CQ1" s="61" t="s">
        <v>4845</v>
      </c>
      <c r="CR1" s="59" t="s">
        <v>4846</v>
      </c>
      <c r="CS1" s="59" t="s">
        <v>4847</v>
      </c>
      <c r="CT1" s="58"/>
      <c r="CU1" s="58"/>
      <c r="CV1" s="58"/>
      <c r="CW1" s="58"/>
    </row>
    <row r="2" spans="1:101" ht="15.75" customHeight="1">
      <c r="A2" s="29" t="str">
        <f ca="1">IFERROR(__xludf.DUMMYFUNCTION("""COMPUTED_VALUE"""),"ACT00031")</f>
        <v>ACT00031</v>
      </c>
      <c r="B2" s="33" t="str">
        <f ca="1">IFERROR(__xludf.DUMMYFUNCTION("""COMPUTED_VALUE"""),"SC-260604-111329")</f>
        <v>SC-260604-111329</v>
      </c>
      <c r="C2" s="62">
        <f ca="1">IFERROR(__xludf.DUMMYFUNCTION("""COMPUTED_VALUE"""),46177.4676967592)</f>
        <v>46177.467696759202</v>
      </c>
      <c r="D2" s="30">
        <f ca="1">IFERROR(__xludf.DUMMYFUNCTION("""COMPUTED_VALUE"""),94)</f>
        <v>94</v>
      </c>
      <c r="E2" s="30" t="str">
        <f ca="1">IFERROR(__xludf.DUMMYFUNCTION("""COMPUTED_VALUE"""),"PB3572")</f>
        <v>PB3572</v>
      </c>
      <c r="F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 s="30" t="str">
        <f ca="1">IFERROR(__xludf.DUMMYFUNCTION("""COMPUTED_VALUE"""),"SUBSECRETARÍA DE DESARROLLO Y PROMOCIÓN ARTÍSTICA Y CULTURAL")</f>
        <v>SUBSECRETARÍA DE DESARROLLO Y PROMOCIÓN ARTÍSTICA Y CULTURAL</v>
      </c>
      <c r="I2" s="63" t="str">
        <f ca="1">IFERROR(__xludf.DUMMYFUNCTION("""COMPUTED_VALUE"""),"DIRECCIÓN GENERAL DE MUSEOS, ARTES VISUALES Y EXPOSICIONES")</f>
        <v>DIRECCIÓN GENERAL DE MUSEOS, ARTES VISUALES Y EXPOSICIONES</v>
      </c>
      <c r="J2" s="30" t="str">
        <f ca="1">IFERROR(__xludf.DUMMYFUNCTION("""COMPUTED_VALUE"""),"Número de Actividades realizadas")</f>
        <v>Número de Actividades realizadas</v>
      </c>
      <c r="K2" s="30">
        <f ca="1">IFERROR(__xludf.DUMMYFUNCTION("""COMPUTED_VALUE"""),12)</f>
        <v>12</v>
      </c>
      <c r="L2" s="30" t="str">
        <f ca="1">IFERROR(__xludf.DUMMYFUNCTION("""COMPUTED_VALUE"""),"Cultural")</f>
        <v>Cultural</v>
      </c>
      <c r="M2" s="30" t="str">
        <f ca="1">IFERROR(__xludf.DUMMYFUNCTION("""COMPUTED_VALUE"""),"Juguetes tipicos en estampa alternativa")</f>
        <v>Juguetes tipicos en estampa alternativa</v>
      </c>
      <c r="N2" s="30" t="str">
        <f ca="1">IFERROR(__xludf.DUMMYFUNCTION("""COMPUTED_VALUE"""),"Fomento del sentido crítico sobre la importancia de las artes visuales en el desarrollo cognitivo, social, humano y artístico.")</f>
        <v>Fomento del sentido crítico sobre la importancia de las artes visuales en el desarrollo cognitivo, social, humano y artístico.</v>
      </c>
      <c r="O2" s="30" t="str">
        <f ca="1">IFERROR(__xludf.DUMMYFUNCTION("""COMPUTED_VALUE"""),"Única")</f>
        <v>Única</v>
      </c>
      <c r="P2" s="33">
        <f ca="1">IFERROR(__xludf.DUMMYFUNCTION("""COMPUTED_VALUE"""),46120)</f>
        <v>46120</v>
      </c>
      <c r="Q2" s="64">
        <f ca="1">IFERROR(__xludf.DUMMYFUNCTION("""COMPUTED_VALUE"""),46120)</f>
        <v>46120</v>
      </c>
      <c r="R2" s="30">
        <f ca="1">IFERROR(__xludf.DUMMYFUNCTION("""COMPUTED_VALUE"""),1)</f>
        <v>1</v>
      </c>
      <c r="S2" s="30" t="str">
        <f ca="1">IFERROR(__xludf.DUMMYFUNCTION("""COMPUTED_VALUE"""),"Cultura comunitaria")</f>
        <v>Cultura comunitaria</v>
      </c>
      <c r="T2" s="30" t="str">
        <f ca="1">IFERROR(__xludf.DUMMYFUNCTION("""COMPUTED_VALUE"""),"Procesos de memoria")</f>
        <v>Procesos de memoria</v>
      </c>
      <c r="U2" s="30" t="str">
        <f ca="1">IFERROR(__xludf.DUMMYFUNCTION("""COMPUTED_VALUE"""),"Taller")</f>
        <v>Taller</v>
      </c>
      <c r="V2" s="30" t="str">
        <f ca="1">IFERROR(__xludf.DUMMYFUNCTION("""COMPUTED_VALUE"""),"Ninguna")</f>
        <v>Ninguna</v>
      </c>
      <c r="W2" s="30" t="str">
        <f ca="1">IFERROR(__xludf.DUMMYFUNCTION("""COMPUTED_VALUE"""),"Presencial")</f>
        <v>Presencial</v>
      </c>
      <c r="X2" s="30" t="str">
        <f ca="1">IFERROR(__xludf.DUMMYFUNCTION("""COMPUTED_VALUE"""),"Espacio Público")</f>
        <v>Espacio Público</v>
      </c>
      <c r="Y2" s="30"/>
      <c r="Z2" s="30" t="str">
        <f ca="1">IFERROR(__xludf.DUMMYFUNCTION("""COMPUTED_VALUE"""),"Centro Nuevo Comienzo Balcones de las Joyas")</f>
        <v>Centro Nuevo Comienzo Balcones de las Joyas</v>
      </c>
      <c r="AA2" s="30"/>
      <c r="AB2" s="30" t="b">
        <f ca="1">IFERROR(__xludf.DUMMYFUNCTION("""COMPUTED_VALUE"""),FALSE)</f>
        <v>0</v>
      </c>
      <c r="AC2" s="30"/>
      <c r="AD2" s="30" t="b">
        <f ca="1">IFERROR(__xludf.DUMMYFUNCTION("""COMPUTED_VALUE"""),FALSE)</f>
        <v>0</v>
      </c>
      <c r="AE2" s="30"/>
      <c r="AF2" s="30" t="b">
        <f ca="1">IFERROR(__xludf.DUMMYFUNCTION("""COMPUTED_VALUE"""),FALSE)</f>
        <v>0</v>
      </c>
      <c r="AG2" s="30"/>
      <c r="AH2" s="30" t="str">
        <f ca="1">IFERROR(__xludf.DUMMYFUNCTION("""COMPUTED_VALUE"""),"Sin costo")</f>
        <v>Sin costo</v>
      </c>
      <c r="AI2" s="30"/>
      <c r="AJ2" s="30"/>
      <c r="AK2" s="30"/>
      <c r="AL2" s="30" t="str">
        <f ca="1">IFERROR(__xludf.DUMMYFUNCTION("""COMPUTED_VALUE"""),"ccardonav@guanajuato.gob.mx")</f>
        <v>ccardonav@guanajuato.gob.mx</v>
      </c>
      <c r="AM2" s="30" t="str">
        <f ca="1">IFERROR(__xludf.DUMMYFUNCTION("""COMPUTED_VALUE"""),"Arraigo y empoderamiento cultural de comunidades.")</f>
        <v>Arraigo y empoderamiento cultural de comunidades.</v>
      </c>
      <c r="AN2" s="30" t="str">
        <f ca="1">IFERROR(__xludf.DUMMYFUNCTION("""COMPUTED_VALUE"""),"2 Igualdad")</f>
        <v>2 Igualdad</v>
      </c>
      <c r="AO2" s="30" t="str">
        <f ca="1">IFERROR(__xludf.DUMMYFUNCTION("""COMPUTED_VALUE"""),"2.2 Fortalecer cohesión social")</f>
        <v>2.2 Fortalecer cohesión social</v>
      </c>
      <c r="AP2" s="30" t="str">
        <f ca="1">IFERROR(__xludf.DUMMYFUNCTION("""COMPUTED_VALUE"""),"2.2 Fortalecer cohesión social")</f>
        <v>2.2 Fortalecer cohesión social</v>
      </c>
      <c r="AQ2" s="30" t="str">
        <f ca="1">IFERROR(__xludf.DUMMYFUNCTION("""COMPUTED_VALUE"""),"2.2.3.2 Promover la participación de grupos prioritarios en actividades culturales")</f>
        <v>2.2.3.2 Promover la participación de grupos prioritarios en actividades culturales</v>
      </c>
      <c r="AR2" s="30" t="str">
        <f ca="1">IFERROR(__xludf.DUMMYFUNCTION("""COMPUTED_VALUE"""),"Inclusión")</f>
        <v>Inclusión</v>
      </c>
      <c r="AS2" s="30" t="str">
        <f ca="1">IFERROR(__xludf.DUMMYFUNCTION("""COMPUTED_VALUE"""),"Ninguno (Población General)")</f>
        <v>Ninguno (Población General)</v>
      </c>
      <c r="AT2" s="30" t="str">
        <f ca="1">IFERROR(__xludf.DUMMYFUNCTION("""COMPUTED_VALUE"""),"Fortalecimiento de la participación ciudadana y la mediación cultural")</f>
        <v>Fortalecimiento de la participación ciudadana y la mediación cultural</v>
      </c>
      <c r="AU2" s="30" t="str">
        <f ca="1">IFERROR(__xludf.DUMMYFUNCTION("""COMPUTED_VALUE"""),"Impulso a la ampliación de la oferta cultural en los territorios.")</f>
        <v>Impulso a la ampliación de la oferta cultural en los territorios.</v>
      </c>
      <c r="AV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 s="30" t="str">
        <f ca="1">IFERROR(__xludf.DUMMYFUNCTION("""COMPUTED_VALUE"""),"Incrementar en 25% la oferta cultural realizada en los municipios.")</f>
        <v>Incrementar en 25% la oferta cultural realizada en los municipios.</v>
      </c>
      <c r="AX2" s="30" t="str">
        <f ca="1">IFERROR(__xludf.DUMMYFUNCTION("""COMPUTED_VALUE"""),"Taller")</f>
        <v>Taller</v>
      </c>
      <c r="AY2" s="30" t="str">
        <f ca="1">IFERROR(__xludf.DUMMYFUNCTION("""COMPUTED_VALUE"""),"Mediación")</f>
        <v>Mediación</v>
      </c>
      <c r="AZ2" s="30"/>
      <c r="BA2" s="30"/>
      <c r="BB2" s="30"/>
      <c r="BC2" s="30">
        <f ca="1">IFERROR(__xludf.DUMMYFUNCTION("""COMPUTED_VALUE"""),0)</f>
        <v>0</v>
      </c>
      <c r="BD2" s="30"/>
      <c r="BE2" s="30"/>
      <c r="BF2" s="30" t="b">
        <f ca="1">IFERROR(__xludf.DUMMYFUNCTION("""COMPUTED_VALUE"""),TRUE)</f>
        <v>1</v>
      </c>
      <c r="BG2" s="30" t="str">
        <f ca="1">IFERROR(__xludf.DUMMYFUNCTION("""COMPUTED_VALUE"""),"Especie")</f>
        <v>Especie</v>
      </c>
      <c r="BH2" s="30"/>
      <c r="BI2" s="30"/>
      <c r="BJ2" s="30"/>
      <c r="BK2" s="30"/>
      <c r="BL2" s="30" t="str">
        <f ca="1">IFERROR(__xludf.DUMMYFUNCTION("""COMPUTED_VALUE"""),"Convenio de colaboración entre la DGMAE y la Secretaría del Nuevo Comienzo")</f>
        <v>Convenio de colaboración entre la DGMAE y la Secretaría del Nuevo Comienzo</v>
      </c>
      <c r="BM2" s="30" t="str">
        <f ca="1">IFERROR(__xludf.DUMMYFUNCTION("""COMPUTED_VALUE"""),"Sí")</f>
        <v>Sí</v>
      </c>
      <c r="BN2" s="30" t="str">
        <f ca="1">IFERROR(__xludf.DUMMYFUNCTION("""COMPUTED_VALUE"""),"Acompañamiento Técnico")</f>
        <v>Acompañamiento Técnico</v>
      </c>
      <c r="BO2" s="30" t="str">
        <f ca="1">IFERROR(__xludf.DUMMYFUNCTION("""COMPUTED_VALUE"""),"4db1e6e8")</f>
        <v>4db1e6e8</v>
      </c>
      <c r="BP2" s="29" t="str">
        <f ca="1">IFERROR(__xludf.DUMMYFUNCTION("""COMPUTED_VALUE"""),"León")</f>
        <v>León</v>
      </c>
      <c r="BQ2" s="30" t="str">
        <f ca="1">IFERROR(__xludf.DUMMYFUNCTION("""COMPUTED_VALUE"""),"Periurbano")</f>
        <v>Periurbano</v>
      </c>
      <c r="BR2" s="30">
        <f ca="1">IFERROR(__xludf.DUMMYFUNCTION("""COMPUTED_VALUE"""),100)</f>
        <v>100</v>
      </c>
      <c r="BS2" s="30" t="str">
        <f ca="1">IFERROR(__xludf.DUMMYFUNCTION("""COMPUTED_VALUE"""),"Las Joyas")</f>
        <v>Las Joyas</v>
      </c>
      <c r="BT2" s="30"/>
      <c r="BU2" s="30" t="str">
        <f ca="1">IFERROR(__xludf.DUMMYFUNCTION("""COMPUTED_VALUE"""),"Si")</f>
        <v>Si</v>
      </c>
      <c r="BV2" s="30" t="str">
        <f ca="1">IFERROR(__xludf.DUMMYFUNCTION("""COMPUTED_VALUE"""),"No")</f>
        <v>No</v>
      </c>
      <c r="BW2" s="30">
        <f ca="1">IFERROR(__xludf.DUMMYFUNCTION("""COMPUTED_VALUE"""),11)</f>
        <v>11</v>
      </c>
      <c r="BX2" s="30">
        <f ca="1">IFERROR(__xludf.DUMMYFUNCTION("""COMPUTED_VALUE"""),11)</f>
        <v>11</v>
      </c>
      <c r="BY2" s="30">
        <f ca="1">IFERROR(__xludf.DUMMYFUNCTION("""COMPUTED_VALUE"""),0)</f>
        <v>0</v>
      </c>
      <c r="BZ2" s="30" t="str">
        <f ca="1">IFERROR(__xludf.DUMMYFUNCTION("""COMPUTED_VALUE"""),"Las Joyas")</f>
        <v>Las Joyas</v>
      </c>
      <c r="CA2" s="30" t="str">
        <f ca="1">IFERROR(__xludf.DUMMYFUNCTION("""COMPUTED_VALUE"""),"No")</f>
        <v>No</v>
      </c>
      <c r="CB2" s="30" t="str">
        <f ca="1">IFERROR(__xludf.DUMMYFUNCTION("""COMPUTED_VALUE"""),"No")</f>
        <v>No</v>
      </c>
      <c r="CC2" s="30" t="str">
        <f ca="1">IFERROR(__xludf.DUMMYFUNCTION("""COMPUTED_VALUE"""),"c674760c")</f>
        <v>c674760c</v>
      </c>
      <c r="CD2" s="29" t="str">
        <f ca="1">IFERROR(__xludf.DUMMYFUNCTION("""COMPUTED_VALUE"""),"Adultos Mayores (60 años o más)")</f>
        <v>Adultos Mayores (60 años o más)</v>
      </c>
      <c r="CE2" s="30" t="str">
        <f ca="1">IFERROR(__xludf.DUMMYFUNCTION("""COMPUTED_VALUE"""),"Mujer")</f>
        <v>Mujer</v>
      </c>
      <c r="CF2" s="30" t="str">
        <f ca="1">IFERROR(__xludf.DUMMYFUNCTION("""COMPUTED_VALUE"""),"Ninguno (Población General)")</f>
        <v>Ninguno (Población General)</v>
      </c>
      <c r="CG2" s="30">
        <f ca="1">IFERROR(__xludf.DUMMYFUNCTION("""COMPUTED_VALUE"""),11)</f>
        <v>11</v>
      </c>
      <c r="CI2" s="30" t="str">
        <f ca="1">IFERROR(__xludf.DUMMYFUNCTION("""COMPUTED_VALUE"""),"ff739d20")</f>
        <v>ff739d20</v>
      </c>
      <c r="CJ2" s="29" t="str">
        <f ca="1">IFERROR(__xludf.DUMMYFUNCTION("""COMPUTED_VALUE"""),"Regitro_Evidencia_Files_/ff739d20.Archivo_Evidencia.220323.pdf")</f>
        <v>Regitro_Evidencia_Files_/ff739d20.Archivo_Evidencia.220323.pdf</v>
      </c>
      <c r="CK2" s="30" t="str">
        <f ca="1">IFERROR(__xludf.DUMMYFUNCTION("""COMPUTED_VALUE"""),"PDF")</f>
        <v>PDF</v>
      </c>
      <c r="CL2" s="30"/>
      <c r="CM2" s="30" t="str">
        <f ca="1">IFERROR(__xludf.DUMMYFUNCTION("MAP(A7:A1501, LAMBDA(id, IF(id="""", """", IFERROR(TEXTJOIN("", "", TRUE, FILTER(Registro_Territorio!$C:$C, Registro_Territorio!$B:$B = id)), """"))))"),"León")</f>
        <v>León</v>
      </c>
      <c r="CN2" s="32" t="e">
        <f t="array" aca="1" ref="CN2:CN1496" ca="1">_xludf.MAP(A7:A1501, _xludf.LAMBDA(id, IF(id="", "", SUMIFS(Registro_Poblacion!$G:$G, Registro_Poblacion!$B:$B, id))))</f>
        <v>#NAME?</v>
      </c>
      <c r="CO2" s="32" t="e">
        <f t="array" aca="1" ref="CO2:CO1496" ca="1">_xludf.MAP(A7:A1501, _xludf.LAMBDA(id, IF(id="", "", SUMIFS(Registro_Poblacion!$F:$F, Registro_Poblacion!$B:$B, id))))</f>
        <v>#NAME?</v>
      </c>
      <c r="CP2" s="32" t="e">
        <f t="array" aca="1" ref="CP2:CP1496" ca="1">_xludf.MAP(A7:A1501, _xludf.LAMBDA(id, IF(id="", "", COUNTIFS(Registro_Territorio!$B:$B, id, Registro_Territorio!$H:$H, "Si") + COUNTIFS(Registro_Territorio!$B:$B, id, Registro_Territorio!$I:$I, "Si"))))</f>
        <v>#NAME?</v>
      </c>
      <c r="CQ2" s="30" t="e">
        <f t="array" aca="1" ref="CQ2:CQ1496" ca="1">_xludf.MAP(A7:A1501, _xludf.LAMBDA(id, IF(id="", "", IF(COUNTIFS(Registro_Territorio!$B:$B, id, Registro_Territorio!$H:$H, "Si") &gt; 0, "Si", "No"))))</f>
        <v>#NAME?</v>
      </c>
      <c r="CR2" s="30" t="e">
        <f t="array" aca="1" ref="CR2:CR1496" ca="1">_xludf.MAP(A7:A1501, _xludf.LAMBDA(id, IF(id="", "", IF(COUNTIFS(Registro_Territorio!$B:$B, id, Registro_Territorio!$I:$I, "Si") &gt; 0, "Si", "No"))))</f>
        <v>#NAME?</v>
      </c>
      <c r="CS2" s="30" t="str">
        <f ca="1">IFERROR(__xludf.DUMMYFUNCTION("MAP(A7:A1501, LAMBDA(id, IF(id="""", """", IFERROR(TEXTJOIN("", "", TRUE, FILTER(Registro_Poblacion!$E:$E, Registro_Poblacion!$B:$B = id)), ""Población General""))))"),"NNA (Niñas, Niños y Adolescentes)")</f>
        <v>NNA (Niñas, Niños y Adolescentes)</v>
      </c>
      <c r="CU2" s="32"/>
      <c r="CV2" s="32"/>
      <c r="CW2" s="32"/>
    </row>
    <row r="3" spans="1:101" ht="15.75" customHeight="1">
      <c r="A3" s="29" t="str">
        <f ca="1">IFERROR(__xludf.DUMMYFUNCTION("""COMPUTED_VALUE"""),"ACT00032")</f>
        <v>ACT00032</v>
      </c>
      <c r="B3" s="30" t="str">
        <f ca="1">IFERROR(__xludf.DUMMYFUNCTION("""COMPUTED_VALUE"""),"SC-260604-160740")</f>
        <v>SC-260604-160740</v>
      </c>
      <c r="C3" s="62">
        <f ca="1">IFERROR(__xludf.DUMMYFUNCTION("""COMPUTED_VALUE"""),46177.6719907407)</f>
        <v>46177.671990740702</v>
      </c>
      <c r="D3" s="30">
        <f ca="1">IFERROR(__xludf.DUMMYFUNCTION("""COMPUTED_VALUE"""),94)</f>
        <v>94</v>
      </c>
      <c r="E3" s="30" t="str">
        <f ca="1">IFERROR(__xludf.DUMMYFUNCTION("""COMPUTED_VALUE"""),"PB3572")</f>
        <v>PB3572</v>
      </c>
      <c r="F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3" s="30" t="str">
        <f ca="1">IFERROR(__xludf.DUMMYFUNCTION("""COMPUTED_VALUE"""),"SUBSECRETARÍA DE DESARROLLO Y PROMOCIÓN ARTÍSTICA Y CULTURAL")</f>
        <v>SUBSECRETARÍA DE DESARROLLO Y PROMOCIÓN ARTÍSTICA Y CULTURAL</v>
      </c>
      <c r="I3" s="63" t="str">
        <f ca="1">IFERROR(__xludf.DUMMYFUNCTION("""COMPUTED_VALUE"""),"DIRECCIÓN GENERAL DE MUSEOS, ARTES VISUALES Y EXPOSICIONES")</f>
        <v>DIRECCIÓN GENERAL DE MUSEOS, ARTES VISUALES Y EXPOSICIONES</v>
      </c>
      <c r="J3" s="30" t="str">
        <f ca="1">IFERROR(__xludf.DUMMYFUNCTION("""COMPUTED_VALUE"""),"Número de Actividades realizadas")</f>
        <v>Número de Actividades realizadas</v>
      </c>
      <c r="K3" s="30">
        <f ca="1">IFERROR(__xludf.DUMMYFUNCTION("""COMPUTED_VALUE"""),12)</f>
        <v>12</v>
      </c>
      <c r="L3" s="30" t="str">
        <f ca="1">IFERROR(__xludf.DUMMYFUNCTION("""COMPUTED_VALUE"""),"Cultural")</f>
        <v>Cultural</v>
      </c>
      <c r="M3" s="30" t="str">
        <f ca="1">IFERROR(__xludf.DUMMYFUNCTION("""COMPUTED_VALUE"""),"Juguetes tipicos en estampa alternativa")</f>
        <v>Juguetes tipicos en estampa alternativa</v>
      </c>
      <c r="N3" s="30" t="str">
        <f ca="1">IFERROR(__xludf.DUMMYFUNCTION("""COMPUTED_VALUE"""),"Fomento del sentido crítico sobre la importancia de las artes visuales en el desarrollo cognitivo, social, humano y artístico.")</f>
        <v>Fomento del sentido crítico sobre la importancia de las artes visuales en el desarrollo cognitivo, social, humano y artístico.</v>
      </c>
      <c r="O3" s="30" t="str">
        <f ca="1">IFERROR(__xludf.DUMMYFUNCTION("""COMPUTED_VALUE"""),"Única")</f>
        <v>Única</v>
      </c>
      <c r="P3" s="33">
        <f ca="1">IFERROR(__xludf.DUMMYFUNCTION("""COMPUTED_VALUE"""),46129)</f>
        <v>46129</v>
      </c>
      <c r="Q3" s="64">
        <f ca="1">IFERROR(__xludf.DUMMYFUNCTION("""COMPUTED_VALUE"""),46129)</f>
        <v>46129</v>
      </c>
      <c r="R3" s="30">
        <f ca="1">IFERROR(__xludf.DUMMYFUNCTION("""COMPUTED_VALUE"""),1)</f>
        <v>1</v>
      </c>
      <c r="S3" s="30" t="str">
        <f ca="1">IFERROR(__xludf.DUMMYFUNCTION("""COMPUTED_VALUE"""),"Cultura comunitaria")</f>
        <v>Cultura comunitaria</v>
      </c>
      <c r="T3" s="30" t="str">
        <f ca="1">IFERROR(__xludf.DUMMYFUNCTION("""COMPUTED_VALUE"""),"Procesos de memoria")</f>
        <v>Procesos de memoria</v>
      </c>
      <c r="U3" s="30" t="str">
        <f ca="1">IFERROR(__xludf.DUMMYFUNCTION("""COMPUTED_VALUE"""),"Taller")</f>
        <v>Taller</v>
      </c>
      <c r="V3" s="30" t="str">
        <f ca="1">IFERROR(__xludf.DUMMYFUNCTION("""COMPUTED_VALUE"""),"Ninguna")</f>
        <v>Ninguna</v>
      </c>
      <c r="W3" s="30" t="str">
        <f ca="1">IFERROR(__xludf.DUMMYFUNCTION("""COMPUTED_VALUE"""),"Presencial")</f>
        <v>Presencial</v>
      </c>
      <c r="X3" s="30" t="str">
        <f ca="1">IFERROR(__xludf.DUMMYFUNCTION("""COMPUTED_VALUE"""),"Espacio Público")</f>
        <v>Espacio Público</v>
      </c>
      <c r="Y3" s="30"/>
      <c r="Z3" s="30" t="str">
        <f ca="1">IFERROR(__xludf.DUMMYFUNCTION("""COMPUTED_VALUE"""),"Centro Nuevo Comienzo Nuevo Amanecer")</f>
        <v>Centro Nuevo Comienzo Nuevo Amanecer</v>
      </c>
      <c r="AA3" s="30"/>
      <c r="AB3" s="30" t="b">
        <f ca="1">IFERROR(__xludf.DUMMYFUNCTION("""COMPUTED_VALUE"""),FALSE)</f>
        <v>0</v>
      </c>
      <c r="AC3" s="30"/>
      <c r="AD3" s="30" t="b">
        <f ca="1">IFERROR(__xludf.DUMMYFUNCTION("""COMPUTED_VALUE"""),FALSE)</f>
        <v>0</v>
      </c>
      <c r="AE3" s="30"/>
      <c r="AF3" s="30" t="b">
        <f ca="1">IFERROR(__xludf.DUMMYFUNCTION("""COMPUTED_VALUE"""),FALSE)</f>
        <v>0</v>
      </c>
      <c r="AG3" s="30"/>
      <c r="AH3" s="30" t="str">
        <f ca="1">IFERROR(__xludf.DUMMYFUNCTION("""COMPUTED_VALUE"""),"Sin costo")</f>
        <v>Sin costo</v>
      </c>
      <c r="AI3" s="30"/>
      <c r="AJ3" s="30"/>
      <c r="AK3" s="30"/>
      <c r="AL3" s="30" t="str">
        <f ca="1">IFERROR(__xludf.DUMMYFUNCTION("""COMPUTED_VALUE"""),"ccardonav@guanajuato.gob.mx")</f>
        <v>ccardonav@guanajuato.gob.mx</v>
      </c>
      <c r="AM3" s="30" t="str">
        <f ca="1">IFERROR(__xludf.DUMMYFUNCTION("""COMPUTED_VALUE"""),"Arraigo y empoderamiento cultural de comunidades.")</f>
        <v>Arraigo y empoderamiento cultural de comunidades.</v>
      </c>
      <c r="AN3" s="30" t="str">
        <f ca="1">IFERROR(__xludf.DUMMYFUNCTION("""COMPUTED_VALUE"""),"2 Igualdad")</f>
        <v>2 Igualdad</v>
      </c>
      <c r="AO3" s="30" t="str">
        <f ca="1">IFERROR(__xludf.DUMMYFUNCTION("""COMPUTED_VALUE"""),"2.2 Fortalecer cohesión social")</f>
        <v>2.2 Fortalecer cohesión social</v>
      </c>
      <c r="AP3" s="30" t="str">
        <f ca="1">IFERROR(__xludf.DUMMYFUNCTION("""COMPUTED_VALUE"""),"2.2 Fortalecer cohesión social")</f>
        <v>2.2 Fortalecer cohesión social</v>
      </c>
      <c r="AQ3" s="30" t="str">
        <f ca="1">IFERROR(__xludf.DUMMYFUNCTION("""COMPUTED_VALUE"""),"2.2.3.2 Promover la participación de grupos prioritarios en actividades culturales")</f>
        <v>2.2.3.2 Promover la participación de grupos prioritarios en actividades culturales</v>
      </c>
      <c r="AR3" s="30" t="str">
        <f ca="1">IFERROR(__xludf.DUMMYFUNCTION("""COMPUTED_VALUE"""),"Inclusión")</f>
        <v>Inclusión</v>
      </c>
      <c r="AS3" s="30" t="str">
        <f ca="1">IFERROR(__xludf.DUMMYFUNCTION("""COMPUTED_VALUE"""),"NNA (Niñas, Niños y Adolescentes)")</f>
        <v>NNA (Niñas, Niños y Adolescentes)</v>
      </c>
      <c r="AT3" s="30" t="str">
        <f ca="1">IFERROR(__xludf.DUMMYFUNCTION("""COMPUTED_VALUE"""),"Fortalecimiento de la participación ciudadana y la mediación cultural")</f>
        <v>Fortalecimiento de la participación ciudadana y la mediación cultural</v>
      </c>
      <c r="AU3" s="30" t="str">
        <f ca="1">IFERROR(__xludf.DUMMYFUNCTION("""COMPUTED_VALUE"""),"Impulso a la ampliación de la oferta cultural en los territorios.")</f>
        <v>Impulso a la ampliación de la oferta cultural en los territorios.</v>
      </c>
      <c r="AV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 s="30" t="str">
        <f ca="1">IFERROR(__xludf.DUMMYFUNCTION("""COMPUTED_VALUE"""),"Incrementar en 25% la oferta cultural realizada en los municipios.")</f>
        <v>Incrementar en 25% la oferta cultural realizada en los municipios.</v>
      </c>
      <c r="AX3" s="30" t="str">
        <f ca="1">IFERROR(__xludf.DUMMYFUNCTION("""COMPUTED_VALUE"""),"Taller")</f>
        <v>Taller</v>
      </c>
      <c r="AY3" s="30" t="str">
        <f ca="1">IFERROR(__xludf.DUMMYFUNCTION("""COMPUTED_VALUE"""),"Mediación")</f>
        <v>Mediación</v>
      </c>
      <c r="AZ3" s="30"/>
      <c r="BA3" s="30"/>
      <c r="BB3" s="30"/>
      <c r="BC3" s="30">
        <f ca="1">IFERROR(__xludf.DUMMYFUNCTION("""COMPUTED_VALUE"""),0)</f>
        <v>0</v>
      </c>
      <c r="BD3" s="30"/>
      <c r="BE3" s="30"/>
      <c r="BF3" s="30" t="b">
        <f ca="1">IFERROR(__xludf.DUMMYFUNCTION("""COMPUTED_VALUE"""),TRUE)</f>
        <v>1</v>
      </c>
      <c r="BG3" s="30" t="str">
        <f ca="1">IFERROR(__xludf.DUMMYFUNCTION("""COMPUTED_VALUE"""),"Especie")</f>
        <v>Especie</v>
      </c>
      <c r="BH3" s="30"/>
      <c r="BI3" s="30"/>
      <c r="BJ3" s="30"/>
      <c r="BK3" s="30"/>
      <c r="BL3" s="30" t="str">
        <f ca="1">IFERROR(__xludf.DUMMYFUNCTION("""COMPUTED_VALUE"""),"Convenio de colaboración entre la DGMAVE y la Secretaría del Nuevo Comienzo")</f>
        <v>Convenio de colaboración entre la DGMAVE y la Secretaría del Nuevo Comienzo</v>
      </c>
      <c r="BM3" s="30" t="str">
        <f ca="1">IFERROR(__xludf.DUMMYFUNCTION("""COMPUTED_VALUE"""),"Sí")</f>
        <v>Sí</v>
      </c>
      <c r="BN3" s="30" t="str">
        <f ca="1">IFERROR(__xludf.DUMMYFUNCTION("""COMPUTED_VALUE"""),"Acompañamiento Técnico")</f>
        <v>Acompañamiento Técnico</v>
      </c>
      <c r="BO3" s="30" t="str">
        <f ca="1">IFERROR(__xludf.DUMMYFUNCTION("""COMPUTED_VALUE"""),"2d81693b")</f>
        <v>2d81693b</v>
      </c>
      <c r="BP3" s="29" t="str">
        <f ca="1">IFERROR(__xludf.DUMMYFUNCTION("""COMPUTED_VALUE"""),"León")</f>
        <v>León</v>
      </c>
      <c r="BQ3" s="30" t="str">
        <f ca="1">IFERROR(__xludf.DUMMYFUNCTION("""COMPUTED_VALUE"""),"Periurbano")</f>
        <v>Periurbano</v>
      </c>
      <c r="BR3" s="30">
        <f ca="1">IFERROR(__xludf.DUMMYFUNCTION("""COMPUTED_VALUE"""),115)</f>
        <v>115</v>
      </c>
      <c r="BS3" s="30" t="str">
        <f ca="1">IFERROR(__xludf.DUMMYFUNCTION("""COMPUTED_VALUE"""),"El Carmen")</f>
        <v>El Carmen</v>
      </c>
      <c r="BT3" s="30"/>
      <c r="BU3" s="30" t="str">
        <f ca="1">IFERROR(__xludf.DUMMYFUNCTION("""COMPUTED_VALUE"""),"Si")</f>
        <v>Si</v>
      </c>
      <c r="BV3" s="30" t="str">
        <f ca="1">IFERROR(__xludf.DUMMYFUNCTION("""COMPUTED_VALUE"""),"No")</f>
        <v>No</v>
      </c>
      <c r="BW3" s="30">
        <f ca="1">IFERROR(__xludf.DUMMYFUNCTION("""COMPUTED_VALUE"""),8)</f>
        <v>8</v>
      </c>
      <c r="BX3" s="30"/>
      <c r="BY3" s="30">
        <f ca="1">IFERROR(__xludf.DUMMYFUNCTION("""COMPUTED_VALUE"""),8)</f>
        <v>8</v>
      </c>
      <c r="BZ3" s="30" t="str">
        <f ca="1">IFERROR(__xludf.DUMMYFUNCTION("""COMPUTED_VALUE"""),"El Carmen")</f>
        <v>El Carmen</v>
      </c>
      <c r="CA3" s="30" t="str">
        <f ca="1">IFERROR(__xludf.DUMMYFUNCTION("""COMPUTED_VALUE"""),"No")</f>
        <v>No</v>
      </c>
      <c r="CB3" s="30" t="str">
        <f ca="1">IFERROR(__xludf.DUMMYFUNCTION("""COMPUTED_VALUE"""),"No")</f>
        <v>No</v>
      </c>
      <c r="CC3" s="30" t="str">
        <f ca="1">IFERROR(__xludf.DUMMYFUNCTION("""COMPUTED_VALUE"""),"7ce416e4")</f>
        <v>7ce416e4</v>
      </c>
      <c r="CD3" s="29" t="str">
        <f ca="1">IFERROR(__xludf.DUMMYFUNCTION("""COMPUTED_VALUE"""),"Niñas y Niños (6 a 12 años)")</f>
        <v>Niñas y Niños (6 a 12 años)</v>
      </c>
      <c r="CE3" s="30" t="str">
        <f ca="1">IFERROR(__xludf.DUMMYFUNCTION("""COMPUTED_VALUE"""),"Dato global")</f>
        <v>Dato global</v>
      </c>
      <c r="CF3" s="30" t="str">
        <f ca="1">IFERROR(__xludf.DUMMYFUNCTION("""COMPUTED_VALUE"""),"NNA (Niñas, Niños y Adolescentes)")</f>
        <v>NNA (Niñas, Niños y Adolescentes)</v>
      </c>
      <c r="CG3" s="30">
        <f ca="1">IFERROR(__xludf.DUMMYFUNCTION("""COMPUTED_VALUE"""),8)</f>
        <v>8</v>
      </c>
      <c r="CI3" s="30" t="str">
        <f ca="1">IFERROR(__xludf.DUMMYFUNCTION("""COMPUTED_VALUE"""),"6f64c98b")</f>
        <v>6f64c98b</v>
      </c>
      <c r="CJ3" s="29" t="str">
        <f ca="1">IFERROR(__xludf.DUMMYFUNCTION("""COMPUTED_VALUE"""),"Regitro_Evidencia_Files_/6f64c98b.Archivo_Evidencia.224043.pdf")</f>
        <v>Regitro_Evidencia_Files_/6f64c98b.Archivo_Evidencia.224043.pdf</v>
      </c>
      <c r="CK3" s="30" t="str">
        <f ca="1">IFERROR(__xludf.DUMMYFUNCTION("""COMPUTED_VALUE"""),"PDF")</f>
        <v>PDF</v>
      </c>
      <c r="CL3" s="30"/>
      <c r="CM3" s="30" t="str">
        <f ca="1">IFERROR(__xludf.DUMMYFUNCTION("""COMPUTED_VALUE"""),"León")</f>
        <v>León</v>
      </c>
      <c r="CN3" s="32" t="e">
        <f ca="1"/>
        <v>#NAME?</v>
      </c>
      <c r="CO3" s="32" t="e">
        <f ca="1"/>
        <v>#NAME?</v>
      </c>
      <c r="CP3" s="32" t="e">
        <f ca="1"/>
        <v>#NAME?</v>
      </c>
      <c r="CQ3" s="30" t="e">
        <f ca="1"/>
        <v>#NAME?</v>
      </c>
      <c r="CR3" s="30" t="e">
        <f ca="1"/>
        <v>#NAME?</v>
      </c>
      <c r="CS3" s="30" t="str">
        <f ca="1">IFERROR(__xludf.DUMMYFUNCTION("""COMPUTED_VALUE"""),"Ninguno (Población General)")</f>
        <v>Ninguno (Población General)</v>
      </c>
      <c r="CU3" s="32"/>
      <c r="CV3" s="32"/>
      <c r="CW3" s="32"/>
    </row>
    <row r="4" spans="1:101" ht="15.75" customHeight="1">
      <c r="A4" s="29" t="str">
        <f ca="1">IFERROR(__xludf.DUMMYFUNCTION("""COMPUTED_VALUE"""),"ACT00033")</f>
        <v>ACT00033</v>
      </c>
      <c r="B4" s="30" t="str">
        <f ca="1">IFERROR(__xludf.DUMMYFUNCTION("""COMPUTED_VALUE"""),"SC-260605-100441")</f>
        <v>SC-260605-100441</v>
      </c>
      <c r="C4" s="62">
        <f ca="1">IFERROR(__xludf.DUMMYFUNCTION("""COMPUTED_VALUE"""),46178.4199189814)</f>
        <v>46178.419918981403</v>
      </c>
      <c r="D4" s="30">
        <f ca="1">IFERROR(__xludf.DUMMYFUNCTION("""COMPUTED_VALUE"""),94)</f>
        <v>94</v>
      </c>
      <c r="E4" s="30" t="str">
        <f ca="1">IFERROR(__xludf.DUMMYFUNCTION("""COMPUTED_VALUE"""),"PB3572")</f>
        <v>PB3572</v>
      </c>
      <c r="F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 s="30" t="str">
        <f ca="1">IFERROR(__xludf.DUMMYFUNCTION("""COMPUTED_VALUE"""),"SUBSECRETARÍA DE DESARROLLO Y PROMOCIÓN ARTÍSTICA Y CULTURAL")</f>
        <v>SUBSECRETARÍA DE DESARROLLO Y PROMOCIÓN ARTÍSTICA Y CULTURAL</v>
      </c>
      <c r="I4" s="63" t="str">
        <f ca="1">IFERROR(__xludf.DUMMYFUNCTION("""COMPUTED_VALUE"""),"DIRECCIÓN GENERAL DE MUSEOS, ARTES VISUALES Y EXPOSICIONES")</f>
        <v>DIRECCIÓN GENERAL DE MUSEOS, ARTES VISUALES Y EXPOSICIONES</v>
      </c>
      <c r="J4" s="30" t="str">
        <f ca="1">IFERROR(__xludf.DUMMYFUNCTION("""COMPUTED_VALUE"""),"Número de Actividades realizadas")</f>
        <v>Número de Actividades realizadas</v>
      </c>
      <c r="K4" s="30">
        <f ca="1">IFERROR(__xludf.DUMMYFUNCTION("""COMPUTED_VALUE"""),12)</f>
        <v>12</v>
      </c>
      <c r="L4" s="30" t="str">
        <f ca="1">IFERROR(__xludf.DUMMYFUNCTION("""COMPUTED_VALUE"""),"Cultural")</f>
        <v>Cultural</v>
      </c>
      <c r="M4" s="30" t="str">
        <f ca="1">IFERROR(__xludf.DUMMYFUNCTION("""COMPUTED_VALUE"""),"Derechos de los niños y niñas")</f>
        <v>Derechos de los niños y niñas</v>
      </c>
      <c r="N4" s="30" t="str">
        <f ca="1">IFERROR(__xludf.DUMMYFUNCTION("""COMPUTED_VALUE"""),"Fomento del sentido crítico sobre la importancia de las artes visuales en el desarrollo cognitivo, social, humano y artístico.")</f>
        <v>Fomento del sentido crítico sobre la importancia de las artes visuales en el desarrollo cognitivo, social, humano y artístico.</v>
      </c>
      <c r="O4" s="30" t="str">
        <f ca="1">IFERROR(__xludf.DUMMYFUNCTION("""COMPUTED_VALUE"""),"Única")</f>
        <v>Única</v>
      </c>
      <c r="P4" s="33">
        <f ca="1">IFERROR(__xludf.DUMMYFUNCTION("""COMPUTED_VALUE"""),46127)</f>
        <v>46127</v>
      </c>
      <c r="Q4" s="64">
        <f ca="1">IFERROR(__xludf.DUMMYFUNCTION("""COMPUTED_VALUE"""),46127)</f>
        <v>46127</v>
      </c>
      <c r="R4" s="30">
        <f ca="1">IFERROR(__xludf.DUMMYFUNCTION("""COMPUTED_VALUE"""),1)</f>
        <v>1</v>
      </c>
      <c r="S4" s="30" t="str">
        <f ca="1">IFERROR(__xludf.DUMMYFUNCTION("""COMPUTED_VALUE"""),"Cultura comunitaria")</f>
        <v>Cultura comunitaria</v>
      </c>
      <c r="T4" s="30" t="str">
        <f ca="1">IFERROR(__xludf.DUMMYFUNCTION("""COMPUTED_VALUE"""),"Mediación cultural")</f>
        <v>Mediación cultural</v>
      </c>
      <c r="U4" s="30" t="str">
        <f ca="1">IFERROR(__xludf.DUMMYFUNCTION("""COMPUTED_VALUE"""),"Taller")</f>
        <v>Taller</v>
      </c>
      <c r="V4" s="30" t="str">
        <f ca="1">IFERROR(__xludf.DUMMYFUNCTION("""COMPUTED_VALUE"""),"Ninguna")</f>
        <v>Ninguna</v>
      </c>
      <c r="W4" s="30" t="str">
        <f ca="1">IFERROR(__xludf.DUMMYFUNCTION("""COMPUTED_VALUE"""),"Presencial")</f>
        <v>Presencial</v>
      </c>
      <c r="X4" s="30" t="str">
        <f ca="1">IFERROR(__xludf.DUMMYFUNCTION("""COMPUTED_VALUE"""),"Espacio Público")</f>
        <v>Espacio Público</v>
      </c>
      <c r="Y4" s="30"/>
      <c r="Z4" s="30" t="str">
        <f ca="1">IFERROR(__xludf.DUMMYFUNCTION("""COMPUTED_VALUE"""),"Escuela Primaria Vespertina “Francisco Javier Mina”")</f>
        <v>Escuela Primaria Vespertina “Francisco Javier Mina”</v>
      </c>
      <c r="AA4" s="30"/>
      <c r="AB4" s="30" t="b">
        <f ca="1">IFERROR(__xludf.DUMMYFUNCTION("""COMPUTED_VALUE"""),FALSE)</f>
        <v>0</v>
      </c>
      <c r="AC4" s="30"/>
      <c r="AD4" s="30" t="b">
        <f ca="1">IFERROR(__xludf.DUMMYFUNCTION("""COMPUTED_VALUE"""),FALSE)</f>
        <v>0</v>
      </c>
      <c r="AE4" s="30"/>
      <c r="AF4" s="30" t="b">
        <f ca="1">IFERROR(__xludf.DUMMYFUNCTION("""COMPUTED_VALUE"""),FALSE)</f>
        <v>0</v>
      </c>
      <c r="AG4" s="30"/>
      <c r="AH4" s="30" t="str">
        <f ca="1">IFERROR(__xludf.DUMMYFUNCTION("""COMPUTED_VALUE"""),"Sin costo")</f>
        <v>Sin costo</v>
      </c>
      <c r="AI4" s="30"/>
      <c r="AJ4" s="30"/>
      <c r="AK4" s="30"/>
      <c r="AL4" s="30" t="str">
        <f ca="1">IFERROR(__xludf.DUMMYFUNCTION("""COMPUTED_VALUE"""),"ccardonav@guanajuato.gob.mx")</f>
        <v>ccardonav@guanajuato.gob.mx</v>
      </c>
      <c r="AM4" s="30" t="str">
        <f ca="1">IFERROR(__xludf.DUMMYFUNCTION("""COMPUTED_VALUE"""),"Arraigo y empoderamiento cultural de comunidades.")</f>
        <v>Arraigo y empoderamiento cultural de comunidades.</v>
      </c>
      <c r="AN4" s="30" t="str">
        <f ca="1">IFERROR(__xludf.DUMMYFUNCTION("""COMPUTED_VALUE"""),"2 Igualdad")</f>
        <v>2 Igualdad</v>
      </c>
      <c r="AO4" s="30" t="str">
        <f ca="1">IFERROR(__xludf.DUMMYFUNCTION("""COMPUTED_VALUE"""),"2.2 Fortalecer cohesión social")</f>
        <v>2.2 Fortalecer cohesión social</v>
      </c>
      <c r="AP4" s="30" t="str">
        <f ca="1">IFERROR(__xludf.DUMMYFUNCTION("""COMPUTED_VALUE"""),"2.2 Fortalecer cohesión social")</f>
        <v>2.2 Fortalecer cohesión social</v>
      </c>
      <c r="AQ4" s="30" t="str">
        <f ca="1">IFERROR(__xludf.DUMMYFUNCTION("""COMPUTED_VALUE"""),"2.2.3.2 Promover la participación de grupos prioritarios en actividades culturales")</f>
        <v>2.2.3.2 Promover la participación de grupos prioritarios en actividades culturales</v>
      </c>
      <c r="AR4" s="30" t="str">
        <f ca="1">IFERROR(__xludf.DUMMYFUNCTION("""COMPUTED_VALUE"""),"Inclusión")</f>
        <v>Inclusión</v>
      </c>
      <c r="AS4" s="30" t="str">
        <f ca="1">IFERROR(__xludf.DUMMYFUNCTION("""COMPUTED_VALUE"""),"NNA (Niñas, Niños y Adolescentes)")</f>
        <v>NNA (Niñas, Niños y Adolescentes)</v>
      </c>
      <c r="AT4" s="30" t="str">
        <f ca="1">IFERROR(__xludf.DUMMYFUNCTION("""COMPUTED_VALUE"""),"Fortalecimiento de la participación ciudadana y la mediación cultural")</f>
        <v>Fortalecimiento de la participación ciudadana y la mediación cultural</v>
      </c>
      <c r="AU4" s="30" t="str">
        <f ca="1">IFERROR(__xludf.DUMMYFUNCTION("""COMPUTED_VALUE"""),"Impulso a la ampliación de la oferta cultural en los territorios.")</f>
        <v>Impulso a la ampliación de la oferta cultural en los territorios.</v>
      </c>
      <c r="AV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 s="30" t="str">
        <f ca="1">IFERROR(__xludf.DUMMYFUNCTION("""COMPUTED_VALUE"""),"Incrementar en 25% la oferta cultural realizada en los municipios.")</f>
        <v>Incrementar en 25% la oferta cultural realizada en los municipios.</v>
      </c>
      <c r="AX4" s="30" t="str">
        <f ca="1">IFERROR(__xludf.DUMMYFUNCTION("""COMPUTED_VALUE"""),"Taller")</f>
        <v>Taller</v>
      </c>
      <c r="AY4" s="30" t="str">
        <f ca="1">IFERROR(__xludf.DUMMYFUNCTION("""COMPUTED_VALUE"""),"Mediación")</f>
        <v>Mediación</v>
      </c>
      <c r="AZ4" s="30"/>
      <c r="BA4" s="30"/>
      <c r="BB4" s="30"/>
      <c r="BC4" s="30">
        <f ca="1">IFERROR(__xludf.DUMMYFUNCTION("""COMPUTED_VALUE"""),0)</f>
        <v>0</v>
      </c>
      <c r="BD4" s="30"/>
      <c r="BE4" s="30"/>
      <c r="BF4" s="30" t="b">
        <f ca="1">IFERROR(__xludf.DUMMYFUNCTION("""COMPUTED_VALUE"""),TRUE)</f>
        <v>1</v>
      </c>
      <c r="BG4" s="30" t="str">
        <f ca="1">IFERROR(__xludf.DUMMYFUNCTION("""COMPUTED_VALUE"""),"Especie")</f>
        <v>Especie</v>
      </c>
      <c r="BH4" s="30">
        <f ca="1">IFERROR(__xludf.DUMMYFUNCTION("""COMPUTED_VALUE"""),0)</f>
        <v>0</v>
      </c>
      <c r="BI4" s="30"/>
      <c r="BJ4" s="30"/>
      <c r="BK4" s="30"/>
      <c r="BL4" s="30" t="str">
        <f ca="1">IFERROR(__xludf.DUMMYFUNCTION("""COMPUTED_VALUE"""),"Convenio de colaboración entre la DGMAVE y la Secretaría del Nuevo Comienzo")</f>
        <v>Convenio de colaboración entre la DGMAVE y la Secretaría del Nuevo Comienzo</v>
      </c>
      <c r="BM4" s="30" t="str">
        <f ca="1">IFERROR(__xludf.DUMMYFUNCTION("""COMPUTED_VALUE"""),"Sí")</f>
        <v>Sí</v>
      </c>
      <c r="BN4" s="30" t="str">
        <f ca="1">IFERROR(__xludf.DUMMYFUNCTION("""COMPUTED_VALUE"""),"Acompañamiento Técnico")</f>
        <v>Acompañamiento Técnico</v>
      </c>
      <c r="BO4" s="30" t="str">
        <f ca="1">IFERROR(__xludf.DUMMYFUNCTION("""COMPUTED_VALUE"""),"635c2bd3")</f>
        <v>635c2bd3</v>
      </c>
      <c r="BP4" s="29" t="str">
        <f ca="1">IFERROR(__xludf.DUMMYFUNCTION("""COMPUTED_VALUE"""),"Silao de la Victoria")</f>
        <v>Silao de la Victoria</v>
      </c>
      <c r="BQ4" s="30" t="str">
        <f ca="1">IFERROR(__xludf.DUMMYFUNCTION("""COMPUTED_VALUE"""),"Urbano")</f>
        <v>Urbano</v>
      </c>
      <c r="BR4" s="30">
        <f ca="1">IFERROR(__xludf.DUMMYFUNCTION("""COMPUTED_VALUE"""),215)</f>
        <v>215</v>
      </c>
      <c r="BS4" s="30" t="str">
        <f ca="1">IFERROR(__xludf.DUMMYFUNCTION("""COMPUTED_VALUE"""),"Silao")</f>
        <v>Silao</v>
      </c>
      <c r="BT4" s="30"/>
      <c r="BU4" s="30" t="str">
        <f ca="1">IFERROR(__xludf.DUMMYFUNCTION("""COMPUTED_VALUE"""),"Si")</f>
        <v>Si</v>
      </c>
      <c r="BV4" s="30" t="str">
        <f ca="1">IFERROR(__xludf.DUMMYFUNCTION("""COMPUTED_VALUE"""),"Si")</f>
        <v>Si</v>
      </c>
      <c r="BW4" s="30">
        <f ca="1">IFERROR(__xludf.DUMMYFUNCTION("""COMPUTED_VALUE"""),15)</f>
        <v>15</v>
      </c>
      <c r="BX4" s="30">
        <f ca="1">IFERROR(__xludf.DUMMYFUNCTION("""COMPUTED_VALUE"""),15)</f>
        <v>15</v>
      </c>
      <c r="BY4" s="30">
        <f ca="1">IFERROR(__xludf.DUMMYFUNCTION("""COMPUTED_VALUE"""),0)</f>
        <v>0</v>
      </c>
      <c r="BZ4" s="30" t="str">
        <f ca="1">IFERROR(__xludf.DUMMYFUNCTION("""COMPUTED_VALUE"""),"Silao")</f>
        <v>Silao</v>
      </c>
      <c r="CA4" s="30" t="str">
        <f ca="1">IFERROR(__xludf.DUMMYFUNCTION("""COMPUTED_VALUE"""),"No")</f>
        <v>No</v>
      </c>
      <c r="CB4" s="30" t="str">
        <f ca="1">IFERROR(__xludf.DUMMYFUNCTION("""COMPUTED_VALUE"""),"No")</f>
        <v>No</v>
      </c>
      <c r="CC4" s="30" t="str">
        <f ca="1">IFERROR(__xludf.DUMMYFUNCTION("""COMPUTED_VALUE"""),"f2bd699b")</f>
        <v>f2bd699b</v>
      </c>
      <c r="CD4" s="29" t="str">
        <f ca="1">IFERROR(__xludf.DUMMYFUNCTION("""COMPUTED_VALUE"""),"Niñas y Niños (6 a 12 años)")</f>
        <v>Niñas y Niños (6 a 12 años)</v>
      </c>
      <c r="CE4" s="30" t="str">
        <f ca="1">IFERROR(__xludf.DUMMYFUNCTION("""COMPUTED_VALUE"""),"Dato global")</f>
        <v>Dato global</v>
      </c>
      <c r="CF4" s="30" t="str">
        <f ca="1">IFERROR(__xludf.DUMMYFUNCTION("""COMPUTED_VALUE"""),"NNA (Niñas, Niños y Adolescentes)")</f>
        <v>NNA (Niñas, Niños y Adolescentes)</v>
      </c>
      <c r="CG4" s="30">
        <f ca="1">IFERROR(__xludf.DUMMYFUNCTION("""COMPUTED_VALUE"""),15)</f>
        <v>15</v>
      </c>
      <c r="CI4" s="30" t="str">
        <f ca="1">IFERROR(__xludf.DUMMYFUNCTION("""COMPUTED_VALUE"""),"7026134e")</f>
        <v>7026134e</v>
      </c>
      <c r="CJ4" s="29" t="str">
        <f ca="1">IFERROR(__xludf.DUMMYFUNCTION("""COMPUTED_VALUE"""),"Regitro_Evidencia_Files_/7026134e.Archivo_Evidencia.162052.pdf")</f>
        <v>Regitro_Evidencia_Files_/7026134e.Archivo_Evidencia.162052.pdf</v>
      </c>
      <c r="CK4" s="30" t="str">
        <f ca="1">IFERROR(__xludf.DUMMYFUNCTION("""COMPUTED_VALUE"""),"PDF")</f>
        <v>PDF</v>
      </c>
      <c r="CL4" s="30"/>
      <c r="CM4" s="30" t="str">
        <f ca="1">IFERROR(__xludf.DUMMYFUNCTION("""COMPUTED_VALUE"""),"Silao de la Victoria")</f>
        <v>Silao de la Victoria</v>
      </c>
      <c r="CN4" s="32" t="e">
        <f ca="1"/>
        <v>#NAME?</v>
      </c>
      <c r="CO4" s="32" t="e">
        <f ca="1"/>
        <v>#NAME?</v>
      </c>
      <c r="CP4" s="32" t="e">
        <f ca="1"/>
        <v>#NAME?</v>
      </c>
      <c r="CQ4" s="30" t="e">
        <f ca="1"/>
        <v>#NAME?</v>
      </c>
      <c r="CR4" s="30" t="e">
        <f ca="1"/>
        <v>#NAME?</v>
      </c>
      <c r="CS4" s="30" t="str">
        <f ca="1">IFERROR(__xludf.DUMMYFUNCTION("""COMPUTED_VALUE"""),"Ninguno (Población General)")</f>
        <v>Ninguno (Población General)</v>
      </c>
      <c r="CU4" s="32"/>
      <c r="CV4" s="32"/>
      <c r="CW4" s="32"/>
    </row>
    <row r="5" spans="1:101" ht="15.75" customHeight="1">
      <c r="A5" s="29" t="str">
        <f ca="1">IFERROR(__xludf.DUMMYFUNCTION("""COMPUTED_VALUE"""),"ACT00034")</f>
        <v>ACT00034</v>
      </c>
      <c r="B5" s="30" t="str">
        <f ca="1">IFERROR(__xludf.DUMMYFUNCTION("""COMPUTED_VALUE"""),"SC-260605-103419")</f>
        <v>SC-260605-103419</v>
      </c>
      <c r="C5" s="62">
        <f ca="1">IFERROR(__xludf.DUMMYFUNCTION("""COMPUTED_VALUE"""),46178.4404976851)</f>
        <v>46178.4404976851</v>
      </c>
      <c r="D5" s="30">
        <f ca="1">IFERROR(__xludf.DUMMYFUNCTION("""COMPUTED_VALUE"""),94)</f>
        <v>94</v>
      </c>
      <c r="E5" s="30" t="str">
        <f ca="1">IFERROR(__xludf.DUMMYFUNCTION("""COMPUTED_VALUE"""),"PB3572")</f>
        <v>PB3572</v>
      </c>
      <c r="F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5" s="30" t="str">
        <f ca="1">IFERROR(__xludf.DUMMYFUNCTION("""COMPUTED_VALUE"""),"SUBSECRETARÍA DE DESARROLLO Y PROMOCIÓN ARTÍSTICA Y CULTURAL")</f>
        <v>SUBSECRETARÍA DE DESARROLLO Y PROMOCIÓN ARTÍSTICA Y CULTURAL</v>
      </c>
      <c r="I5" s="63" t="str">
        <f ca="1">IFERROR(__xludf.DUMMYFUNCTION("""COMPUTED_VALUE"""),"DIRECCIÓN GENERAL DE MUSEOS, ARTES VISUALES Y EXPOSICIONES")</f>
        <v>DIRECCIÓN GENERAL DE MUSEOS, ARTES VISUALES Y EXPOSICIONES</v>
      </c>
      <c r="J5" s="30" t="str">
        <f ca="1">IFERROR(__xludf.DUMMYFUNCTION("""COMPUTED_VALUE"""),"Número de Actividades realizadas")</f>
        <v>Número de Actividades realizadas</v>
      </c>
      <c r="K5" s="30">
        <f ca="1">IFERROR(__xludf.DUMMYFUNCTION("""COMPUTED_VALUE"""),12)</f>
        <v>12</v>
      </c>
      <c r="L5" s="30" t="str">
        <f ca="1">IFERROR(__xludf.DUMMYFUNCTION("""COMPUTED_VALUE"""),"Cultural")</f>
        <v>Cultural</v>
      </c>
      <c r="M5" s="30" t="str">
        <f ca="1">IFERROR(__xludf.DUMMYFUNCTION("""COMPUTED_VALUE"""),"Acoso Escolar")</f>
        <v>Acoso Escolar</v>
      </c>
      <c r="N5" s="30" t="str">
        <f ca="1">IFERROR(__xludf.DUMMYFUNCTION("""COMPUTED_VALUE"""),"Incentivar y fomentar un sentido crítico sobre la importancia de los derechos de los niños, niñas y adolescentes, en el desarrollo cognitivo, social, humano y artístico en la Escuela Primaria Vespertina Francisco Javier Mina, a través del programa “El Mus"&amp;"eo a la vuelta de tu casa”.")</f>
        <v>Incentivar y fomentar un sentido crítico sobre la importancia de los derechos de los niños, niñas y adolescentes, en el desarrollo cognitivo, social, humano y artístico en la Escuela Primaria Vespertina Francisco Javier Mina, a través del programa “El Museo a la vuelta de tu casa”.</v>
      </c>
      <c r="O5" s="30" t="str">
        <f ca="1">IFERROR(__xludf.DUMMYFUNCTION("""COMPUTED_VALUE"""),"Única")</f>
        <v>Única</v>
      </c>
      <c r="P5" s="33">
        <f ca="1">IFERROR(__xludf.DUMMYFUNCTION("""COMPUTED_VALUE"""),46134)</f>
        <v>46134</v>
      </c>
      <c r="Q5" s="64">
        <f ca="1">IFERROR(__xludf.DUMMYFUNCTION("""COMPUTED_VALUE"""),46134)</f>
        <v>46134</v>
      </c>
      <c r="R5" s="30">
        <f ca="1">IFERROR(__xludf.DUMMYFUNCTION("""COMPUTED_VALUE"""),1)</f>
        <v>1</v>
      </c>
      <c r="S5" s="30" t="str">
        <f ca="1">IFERROR(__xludf.DUMMYFUNCTION("""COMPUTED_VALUE"""),"Cultura comunitaria")</f>
        <v>Cultura comunitaria</v>
      </c>
      <c r="T5" s="30" t="str">
        <f ca="1">IFERROR(__xludf.DUMMYFUNCTION("""COMPUTED_VALUE"""),"Mediación cultural")</f>
        <v>Mediación cultural</v>
      </c>
      <c r="U5" s="30" t="str">
        <f ca="1">IFERROR(__xludf.DUMMYFUNCTION("""COMPUTED_VALUE"""),"Taller")</f>
        <v>Taller</v>
      </c>
      <c r="V5" s="30" t="str">
        <f ca="1">IFERROR(__xludf.DUMMYFUNCTION("""COMPUTED_VALUE"""),"Ninguna")</f>
        <v>Ninguna</v>
      </c>
      <c r="W5" s="30" t="str">
        <f ca="1">IFERROR(__xludf.DUMMYFUNCTION("""COMPUTED_VALUE"""),"Presencial")</f>
        <v>Presencial</v>
      </c>
      <c r="X5" s="30" t="str">
        <f ca="1">IFERROR(__xludf.DUMMYFUNCTION("""COMPUTED_VALUE"""),"Espacio Público")</f>
        <v>Espacio Público</v>
      </c>
      <c r="Y5" s="30"/>
      <c r="Z5" s="30" t="str">
        <f ca="1">IFERROR(__xludf.DUMMYFUNCTION("""COMPUTED_VALUE"""),"Escuela Primaria Vespertina “Francisco Javier Mina”")</f>
        <v>Escuela Primaria Vespertina “Francisco Javier Mina”</v>
      </c>
      <c r="AA5" s="30"/>
      <c r="AB5" s="30" t="b">
        <f ca="1">IFERROR(__xludf.DUMMYFUNCTION("""COMPUTED_VALUE"""),FALSE)</f>
        <v>0</v>
      </c>
      <c r="AC5" s="30"/>
      <c r="AD5" s="30" t="b">
        <f ca="1">IFERROR(__xludf.DUMMYFUNCTION("""COMPUTED_VALUE"""),FALSE)</f>
        <v>0</v>
      </c>
      <c r="AE5" s="30"/>
      <c r="AF5" s="30" t="b">
        <f ca="1">IFERROR(__xludf.DUMMYFUNCTION("""COMPUTED_VALUE"""),FALSE)</f>
        <v>0</v>
      </c>
      <c r="AG5" s="30"/>
      <c r="AH5" s="30" t="str">
        <f ca="1">IFERROR(__xludf.DUMMYFUNCTION("""COMPUTED_VALUE"""),"Sin costo")</f>
        <v>Sin costo</v>
      </c>
      <c r="AI5" s="30"/>
      <c r="AJ5" s="30"/>
      <c r="AK5" s="30"/>
      <c r="AL5" s="30" t="str">
        <f ca="1">IFERROR(__xludf.DUMMYFUNCTION("""COMPUTED_VALUE"""),"ccardonav@guanajuato.gob.mx")</f>
        <v>ccardonav@guanajuato.gob.mx</v>
      </c>
      <c r="AM5" s="30" t="str">
        <f ca="1">IFERROR(__xludf.DUMMYFUNCTION("""COMPUTED_VALUE"""),"Arraigo y empoderamiento cultural de comunidades.")</f>
        <v>Arraigo y empoderamiento cultural de comunidades.</v>
      </c>
      <c r="AN5" s="30" t="str">
        <f ca="1">IFERROR(__xludf.DUMMYFUNCTION("""COMPUTED_VALUE"""),"2 Igualdad")</f>
        <v>2 Igualdad</v>
      </c>
      <c r="AO5" s="30" t="str">
        <f ca="1">IFERROR(__xludf.DUMMYFUNCTION("""COMPUTED_VALUE"""),"2.2 Fortalecer cohesión social")</f>
        <v>2.2 Fortalecer cohesión social</v>
      </c>
      <c r="AP5" s="30" t="str">
        <f ca="1">IFERROR(__xludf.DUMMYFUNCTION("""COMPUTED_VALUE"""),"2.2 Fortalecer cohesión social")</f>
        <v>2.2 Fortalecer cohesión social</v>
      </c>
      <c r="AQ5" s="30" t="str">
        <f ca="1">IFERROR(__xludf.DUMMYFUNCTION("""COMPUTED_VALUE"""),"2.2.3.2 Promover la participación de grupos prioritarios en actividades culturales")</f>
        <v>2.2.3.2 Promover la participación de grupos prioritarios en actividades culturales</v>
      </c>
      <c r="AR5" s="30" t="str">
        <f ca="1">IFERROR(__xludf.DUMMYFUNCTION("""COMPUTED_VALUE"""),"Inclusión")</f>
        <v>Inclusión</v>
      </c>
      <c r="AS5" s="30" t="str">
        <f ca="1">IFERROR(__xludf.DUMMYFUNCTION("""COMPUTED_VALUE"""),"NNA (Niñas, Niños y Adolescentes)")</f>
        <v>NNA (Niñas, Niños y Adolescentes)</v>
      </c>
      <c r="AT5" s="30" t="str">
        <f ca="1">IFERROR(__xludf.DUMMYFUNCTION("""COMPUTED_VALUE"""),"Fortalecimiento de la participación ciudadana y la mediación cultural")</f>
        <v>Fortalecimiento de la participación ciudadana y la mediación cultural</v>
      </c>
      <c r="AU5" s="30" t="str">
        <f ca="1">IFERROR(__xludf.DUMMYFUNCTION("""COMPUTED_VALUE"""),"Impulso a la ampliación de la oferta cultural en los territorios.")</f>
        <v>Impulso a la ampliación de la oferta cultural en los territorios.</v>
      </c>
      <c r="AV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 s="30" t="str">
        <f ca="1">IFERROR(__xludf.DUMMYFUNCTION("""COMPUTED_VALUE"""),"Incrementar en 25% la oferta cultural realizada en los municipios.")</f>
        <v>Incrementar en 25% la oferta cultural realizada en los municipios.</v>
      </c>
      <c r="AX5" s="30" t="str">
        <f ca="1">IFERROR(__xludf.DUMMYFUNCTION("""COMPUTED_VALUE"""),"Taller")</f>
        <v>Taller</v>
      </c>
      <c r="AY5" s="30" t="str">
        <f ca="1">IFERROR(__xludf.DUMMYFUNCTION("""COMPUTED_VALUE"""),"Mediación")</f>
        <v>Mediación</v>
      </c>
      <c r="AZ5" s="30"/>
      <c r="BA5" s="30"/>
      <c r="BB5" s="30"/>
      <c r="BC5" s="30">
        <f ca="1">IFERROR(__xludf.DUMMYFUNCTION("""COMPUTED_VALUE"""),0)</f>
        <v>0</v>
      </c>
      <c r="BD5" s="30"/>
      <c r="BE5" s="30"/>
      <c r="BF5" s="30" t="b">
        <f ca="1">IFERROR(__xludf.DUMMYFUNCTION("""COMPUTED_VALUE"""),TRUE)</f>
        <v>1</v>
      </c>
      <c r="BG5" s="30" t="str">
        <f ca="1">IFERROR(__xludf.DUMMYFUNCTION("""COMPUTED_VALUE"""),"Especie")</f>
        <v>Especie</v>
      </c>
      <c r="BH5" s="30"/>
      <c r="BI5" s="30"/>
      <c r="BJ5" s="30"/>
      <c r="BK5" s="30"/>
      <c r="BL5" s="30" t="str">
        <f ca="1">IFERROR(__xludf.DUMMYFUNCTION("""COMPUTED_VALUE"""),"Convenio de colaboración entre la DGMAVE y la Secretaría del Nuevo Comienzo")</f>
        <v>Convenio de colaboración entre la DGMAVE y la Secretaría del Nuevo Comienzo</v>
      </c>
      <c r="BM5" s="30" t="str">
        <f ca="1">IFERROR(__xludf.DUMMYFUNCTION("""COMPUTED_VALUE"""),"Sí")</f>
        <v>Sí</v>
      </c>
      <c r="BN5" s="30" t="str">
        <f ca="1">IFERROR(__xludf.DUMMYFUNCTION("""COMPUTED_VALUE"""),"Acompañamiento Técnico")</f>
        <v>Acompañamiento Técnico</v>
      </c>
      <c r="BO5" s="30" t="str">
        <f ca="1">IFERROR(__xludf.DUMMYFUNCTION("""COMPUTED_VALUE"""),"9803f503")</f>
        <v>9803f503</v>
      </c>
      <c r="BP5" s="29" t="str">
        <f ca="1">IFERROR(__xludf.DUMMYFUNCTION("""COMPUTED_VALUE"""),"Silao de la Victoria")</f>
        <v>Silao de la Victoria</v>
      </c>
      <c r="BQ5" s="30" t="str">
        <f ca="1">IFERROR(__xludf.DUMMYFUNCTION("""COMPUTED_VALUE"""),"Urbano")</f>
        <v>Urbano</v>
      </c>
      <c r="BR5" s="30">
        <f ca="1">IFERROR(__xludf.DUMMYFUNCTION("""COMPUTED_VALUE"""),215)</f>
        <v>215</v>
      </c>
      <c r="BS5" s="30" t="str">
        <f ca="1">IFERROR(__xludf.DUMMYFUNCTION("""COMPUTED_VALUE"""),"Silao")</f>
        <v>Silao</v>
      </c>
      <c r="BT5" s="30"/>
      <c r="BU5" s="30" t="str">
        <f ca="1">IFERROR(__xludf.DUMMYFUNCTION("""COMPUTED_VALUE"""),"Si")</f>
        <v>Si</v>
      </c>
      <c r="BV5" s="30" t="str">
        <f ca="1">IFERROR(__xludf.DUMMYFUNCTION("""COMPUTED_VALUE"""),"Si")</f>
        <v>Si</v>
      </c>
      <c r="BW5" s="30">
        <f ca="1">IFERROR(__xludf.DUMMYFUNCTION("""COMPUTED_VALUE"""),12)</f>
        <v>12</v>
      </c>
      <c r="BX5" s="30">
        <f ca="1">IFERROR(__xludf.DUMMYFUNCTION("""COMPUTED_VALUE"""),12)</f>
        <v>12</v>
      </c>
      <c r="BY5" s="30">
        <f ca="1">IFERROR(__xludf.DUMMYFUNCTION("""COMPUTED_VALUE"""),0)</f>
        <v>0</v>
      </c>
      <c r="BZ5" s="30" t="str">
        <f ca="1">IFERROR(__xludf.DUMMYFUNCTION("""COMPUTED_VALUE"""),"Silao")</f>
        <v>Silao</v>
      </c>
      <c r="CA5" s="30" t="str">
        <f ca="1">IFERROR(__xludf.DUMMYFUNCTION("""COMPUTED_VALUE"""),"No")</f>
        <v>No</v>
      </c>
      <c r="CB5" s="30" t="str">
        <f ca="1">IFERROR(__xludf.DUMMYFUNCTION("""COMPUTED_VALUE"""),"No")</f>
        <v>No</v>
      </c>
      <c r="CC5" s="30" t="str">
        <f ca="1">IFERROR(__xludf.DUMMYFUNCTION("""COMPUTED_VALUE"""),"a3f1a579")</f>
        <v>a3f1a579</v>
      </c>
      <c r="CD5" s="29" t="str">
        <f ca="1">IFERROR(__xludf.DUMMYFUNCTION("""COMPUTED_VALUE"""),"Niñas y Niños (6 a 12 años)")</f>
        <v>Niñas y Niños (6 a 12 años)</v>
      </c>
      <c r="CE5" s="30" t="str">
        <f ca="1">IFERROR(__xludf.DUMMYFUNCTION("""COMPUTED_VALUE"""),"Dato global")</f>
        <v>Dato global</v>
      </c>
      <c r="CF5" s="30" t="str">
        <f ca="1">IFERROR(__xludf.DUMMYFUNCTION("""COMPUTED_VALUE"""),"NNA (Niñas, Niños y Adolescentes)")</f>
        <v>NNA (Niñas, Niños y Adolescentes)</v>
      </c>
      <c r="CG5" s="30">
        <f ca="1">IFERROR(__xludf.DUMMYFUNCTION("""COMPUTED_VALUE"""),12)</f>
        <v>12</v>
      </c>
      <c r="CI5" s="30" t="str">
        <f ca="1">IFERROR(__xludf.DUMMYFUNCTION("""COMPUTED_VALUE"""),"60b0b308")</f>
        <v>60b0b308</v>
      </c>
      <c r="CJ5" s="29" t="str">
        <f ca="1">IFERROR(__xludf.DUMMYFUNCTION("""COMPUTED_VALUE"""),"Regitro_Evidencia_Files_/60b0b308.Archivo_Evidencia.170317.pdf")</f>
        <v>Regitro_Evidencia_Files_/60b0b308.Archivo_Evidencia.170317.pdf</v>
      </c>
      <c r="CK5" s="30" t="str">
        <f ca="1">IFERROR(__xludf.DUMMYFUNCTION("""COMPUTED_VALUE"""),"PDF")</f>
        <v>PDF</v>
      </c>
      <c r="CL5" s="30"/>
      <c r="CM5" s="30" t="str">
        <f ca="1">IFERROR(__xludf.DUMMYFUNCTION("""COMPUTED_VALUE"""),"Silao de la Victoria")</f>
        <v>Silao de la Victoria</v>
      </c>
      <c r="CN5" s="32" t="e">
        <f ca="1"/>
        <v>#NAME?</v>
      </c>
      <c r="CO5" s="32" t="e">
        <f ca="1"/>
        <v>#NAME?</v>
      </c>
      <c r="CP5" s="32" t="e">
        <f ca="1"/>
        <v>#NAME?</v>
      </c>
      <c r="CQ5" s="30" t="e">
        <f ca="1"/>
        <v>#NAME?</v>
      </c>
      <c r="CR5" s="30" t="e">
        <f ca="1"/>
        <v>#NAME?</v>
      </c>
      <c r="CS5" s="30" t="str">
        <f ca="1">IFERROR(__xludf.DUMMYFUNCTION("""COMPUTED_VALUE"""),"Ninguno (Población General)")</f>
        <v>Ninguno (Población General)</v>
      </c>
      <c r="CU5" s="32"/>
      <c r="CV5" s="32"/>
      <c r="CW5" s="32"/>
    </row>
    <row r="6" spans="1:101" ht="15.75" customHeight="1">
      <c r="A6" s="29" t="str">
        <f ca="1">IFERROR(__xludf.DUMMYFUNCTION("""COMPUTED_VALUE"""),"ACT00035")</f>
        <v>ACT00035</v>
      </c>
      <c r="B6" s="30" t="str">
        <f ca="1">IFERROR(__xludf.DUMMYFUNCTION("""COMPUTED_VALUE"""),"SC-260605-110629")</f>
        <v>SC-260605-110629</v>
      </c>
      <c r="C6" s="62">
        <f ca="1">IFERROR(__xludf.DUMMYFUNCTION("""COMPUTED_VALUE"""),46178.4628356481)</f>
        <v>46178.462835648097</v>
      </c>
      <c r="D6" s="30">
        <f ca="1">IFERROR(__xludf.DUMMYFUNCTION("""COMPUTED_VALUE"""),94)</f>
        <v>94</v>
      </c>
      <c r="E6" s="30" t="str">
        <f ca="1">IFERROR(__xludf.DUMMYFUNCTION("""COMPUTED_VALUE"""),"PB3572")</f>
        <v>PB3572</v>
      </c>
      <c r="F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6" s="30" t="str">
        <f ca="1">IFERROR(__xludf.DUMMYFUNCTION("""COMPUTED_VALUE"""),"SUBSECRETARÍA DE DESARROLLO Y PROMOCIÓN ARTÍSTICA Y CULTURAL")</f>
        <v>SUBSECRETARÍA DE DESARROLLO Y PROMOCIÓN ARTÍSTICA Y CULTURAL</v>
      </c>
      <c r="I6" s="63" t="str">
        <f ca="1">IFERROR(__xludf.DUMMYFUNCTION("""COMPUTED_VALUE"""),"DIRECCIÓN GENERAL DE MUSEOS, ARTES VISUALES Y EXPOSICIONES")</f>
        <v>DIRECCIÓN GENERAL DE MUSEOS, ARTES VISUALES Y EXPOSICIONES</v>
      </c>
      <c r="J6" s="30" t="str">
        <f ca="1">IFERROR(__xludf.DUMMYFUNCTION("""COMPUTED_VALUE"""),"Número de Actividades realizadas")</f>
        <v>Número de Actividades realizadas</v>
      </c>
      <c r="K6" s="30">
        <f ca="1">IFERROR(__xludf.DUMMYFUNCTION("""COMPUTED_VALUE"""),12)</f>
        <v>12</v>
      </c>
      <c r="L6" s="30" t="str">
        <f ca="1">IFERROR(__xludf.DUMMYFUNCTION("""COMPUTED_VALUE"""),"Cultural")</f>
        <v>Cultural</v>
      </c>
      <c r="M6" s="30" t="str">
        <f ca="1">IFERROR(__xludf.DUMMYFUNCTION("""COMPUTED_VALUE"""),"Sana Convivencia")</f>
        <v>Sana Convivencia</v>
      </c>
      <c r="N6" s="30" t="str">
        <f ca="1">IFERROR(__xludf.DUMMYFUNCTION("""COMPUTED_VALUE"""),"Incentivar y fomentar un sentido crítico sobre la importancia de los derechos de los niños, niñas y adolescentes, en el desarrollo cognitivo, social, humano y artístico en la Escuela Primaria Vespertina Francisco Javier Mina, a través del programa “El Mus"&amp;"eo a la vuelta de tu casa”.")</f>
        <v>Incentivar y fomentar un sentido crítico sobre la importancia de los derechos de los niños, niñas y adolescentes, en el desarrollo cognitivo, social, humano y artístico en la Escuela Primaria Vespertina Francisco Javier Mina, a través del programa “El Museo a la vuelta de tu casa”.</v>
      </c>
      <c r="O6" s="30" t="str">
        <f ca="1">IFERROR(__xludf.DUMMYFUNCTION("""COMPUTED_VALUE"""),"Única")</f>
        <v>Única</v>
      </c>
      <c r="P6" s="33">
        <f ca="1">IFERROR(__xludf.DUMMYFUNCTION("""COMPUTED_VALUE"""),46141)</f>
        <v>46141</v>
      </c>
      <c r="Q6" s="64">
        <f ca="1">IFERROR(__xludf.DUMMYFUNCTION("""COMPUTED_VALUE"""),46141)</f>
        <v>46141</v>
      </c>
      <c r="R6" s="30">
        <f ca="1">IFERROR(__xludf.DUMMYFUNCTION("""COMPUTED_VALUE"""),1)</f>
        <v>1</v>
      </c>
      <c r="S6" s="30" t="str">
        <f ca="1">IFERROR(__xludf.DUMMYFUNCTION("""COMPUTED_VALUE"""),"Cultura comunitaria")</f>
        <v>Cultura comunitaria</v>
      </c>
      <c r="T6" s="30" t="str">
        <f ca="1">IFERROR(__xludf.DUMMYFUNCTION("""COMPUTED_VALUE"""),"Mediación cultural")</f>
        <v>Mediación cultural</v>
      </c>
      <c r="U6" s="30" t="str">
        <f ca="1">IFERROR(__xludf.DUMMYFUNCTION("""COMPUTED_VALUE"""),"Taller")</f>
        <v>Taller</v>
      </c>
      <c r="V6" s="30" t="str">
        <f ca="1">IFERROR(__xludf.DUMMYFUNCTION("""COMPUTED_VALUE"""),"Ninguna")</f>
        <v>Ninguna</v>
      </c>
      <c r="W6" s="30" t="str">
        <f ca="1">IFERROR(__xludf.DUMMYFUNCTION("""COMPUTED_VALUE"""),"Presencial")</f>
        <v>Presencial</v>
      </c>
      <c r="X6" s="30" t="str">
        <f ca="1">IFERROR(__xludf.DUMMYFUNCTION("""COMPUTED_VALUE"""),"Espacio Público")</f>
        <v>Espacio Público</v>
      </c>
      <c r="Y6" s="30"/>
      <c r="Z6" s="30" t="str">
        <f ca="1">IFERROR(__xludf.DUMMYFUNCTION("""COMPUTED_VALUE"""),"Escuela Primaria Vespertina “Francisco Javier Mina”")</f>
        <v>Escuela Primaria Vespertina “Francisco Javier Mina”</v>
      </c>
      <c r="AA6" s="30"/>
      <c r="AB6" s="30" t="b">
        <f ca="1">IFERROR(__xludf.DUMMYFUNCTION("""COMPUTED_VALUE"""),FALSE)</f>
        <v>0</v>
      </c>
      <c r="AC6" s="30"/>
      <c r="AD6" s="30" t="b">
        <f ca="1">IFERROR(__xludf.DUMMYFUNCTION("""COMPUTED_VALUE"""),FALSE)</f>
        <v>0</v>
      </c>
      <c r="AE6" s="30"/>
      <c r="AF6" s="30" t="b">
        <f ca="1">IFERROR(__xludf.DUMMYFUNCTION("""COMPUTED_VALUE"""),FALSE)</f>
        <v>0</v>
      </c>
      <c r="AG6" s="30"/>
      <c r="AH6" s="30" t="str">
        <f ca="1">IFERROR(__xludf.DUMMYFUNCTION("""COMPUTED_VALUE"""),"Sin costo")</f>
        <v>Sin costo</v>
      </c>
      <c r="AI6" s="30"/>
      <c r="AJ6" s="30"/>
      <c r="AK6" s="30"/>
      <c r="AL6" s="30" t="str">
        <f ca="1">IFERROR(__xludf.DUMMYFUNCTION("""COMPUTED_VALUE"""),"ccardonav@guanajuato.gob.mx")</f>
        <v>ccardonav@guanajuato.gob.mx</v>
      </c>
      <c r="AM6" s="30" t="str">
        <f ca="1">IFERROR(__xludf.DUMMYFUNCTION("""COMPUTED_VALUE"""),"Arraigo y empoderamiento cultural de comunidades.")</f>
        <v>Arraigo y empoderamiento cultural de comunidades.</v>
      </c>
      <c r="AN6" s="30" t="str">
        <f ca="1">IFERROR(__xludf.DUMMYFUNCTION("""COMPUTED_VALUE"""),"2 Igualdad")</f>
        <v>2 Igualdad</v>
      </c>
      <c r="AO6" s="30" t="str">
        <f ca="1">IFERROR(__xludf.DUMMYFUNCTION("""COMPUTED_VALUE"""),"2.2 Fortalecer cohesión social")</f>
        <v>2.2 Fortalecer cohesión social</v>
      </c>
      <c r="AP6" s="30" t="str">
        <f ca="1">IFERROR(__xludf.DUMMYFUNCTION("""COMPUTED_VALUE"""),"2.2 Fortalecer cohesión social")</f>
        <v>2.2 Fortalecer cohesión social</v>
      </c>
      <c r="AQ6" s="30" t="str">
        <f ca="1">IFERROR(__xludf.DUMMYFUNCTION("""COMPUTED_VALUE"""),"2.2.3.2 Promover la participación de grupos prioritarios en actividades culturales")</f>
        <v>2.2.3.2 Promover la participación de grupos prioritarios en actividades culturales</v>
      </c>
      <c r="AR6" s="30" t="str">
        <f ca="1">IFERROR(__xludf.DUMMYFUNCTION("""COMPUTED_VALUE"""),"Inclusión")</f>
        <v>Inclusión</v>
      </c>
      <c r="AS6" s="30" t="str">
        <f ca="1">IFERROR(__xludf.DUMMYFUNCTION("""COMPUTED_VALUE"""),"NNA (Niñas, Niños y Adolescentes)")</f>
        <v>NNA (Niñas, Niños y Adolescentes)</v>
      </c>
      <c r="AT6" s="30" t="str">
        <f ca="1">IFERROR(__xludf.DUMMYFUNCTION("""COMPUTED_VALUE"""),"Fortalecimiento de la participación ciudadana y la mediación cultural")</f>
        <v>Fortalecimiento de la participación ciudadana y la mediación cultural</v>
      </c>
      <c r="AU6" s="30" t="str">
        <f ca="1">IFERROR(__xludf.DUMMYFUNCTION("""COMPUTED_VALUE"""),"Impulso a la ampliación de la oferta cultural en los territorios.")</f>
        <v>Impulso a la ampliación de la oferta cultural en los territorios.</v>
      </c>
      <c r="AV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 s="30" t="str">
        <f ca="1">IFERROR(__xludf.DUMMYFUNCTION("""COMPUTED_VALUE"""),"Incrementar en 25% la oferta cultural realizada en los municipios.")</f>
        <v>Incrementar en 25% la oferta cultural realizada en los municipios.</v>
      </c>
      <c r="AX6" s="30" t="str">
        <f ca="1">IFERROR(__xludf.DUMMYFUNCTION("""COMPUTED_VALUE"""),"Taller")</f>
        <v>Taller</v>
      </c>
      <c r="AY6" s="30" t="str">
        <f ca="1">IFERROR(__xludf.DUMMYFUNCTION("""COMPUTED_VALUE"""),"Mediación")</f>
        <v>Mediación</v>
      </c>
      <c r="AZ6" s="30"/>
      <c r="BA6" s="30"/>
      <c r="BB6" s="30"/>
      <c r="BC6" s="30">
        <f ca="1">IFERROR(__xludf.DUMMYFUNCTION("""COMPUTED_VALUE"""),0)</f>
        <v>0</v>
      </c>
      <c r="BD6" s="30"/>
      <c r="BE6" s="30"/>
      <c r="BF6" s="30" t="b">
        <f ca="1">IFERROR(__xludf.DUMMYFUNCTION("""COMPUTED_VALUE"""),TRUE)</f>
        <v>1</v>
      </c>
      <c r="BG6" s="30" t="str">
        <f ca="1">IFERROR(__xludf.DUMMYFUNCTION("""COMPUTED_VALUE"""),"Especie")</f>
        <v>Especie</v>
      </c>
      <c r="BH6" s="30">
        <f ca="1">IFERROR(__xludf.DUMMYFUNCTION("""COMPUTED_VALUE"""),0)</f>
        <v>0</v>
      </c>
      <c r="BI6" s="30"/>
      <c r="BJ6" s="30"/>
      <c r="BK6" s="30"/>
      <c r="BL6" s="30" t="str">
        <f ca="1">IFERROR(__xludf.DUMMYFUNCTION("""COMPUTED_VALUE"""),"Convenio de colaboración entre la DGMAVE y la Secretaría del Nuevo Comienzo")</f>
        <v>Convenio de colaboración entre la DGMAVE y la Secretaría del Nuevo Comienzo</v>
      </c>
      <c r="BM6" s="30" t="str">
        <f ca="1">IFERROR(__xludf.DUMMYFUNCTION("""COMPUTED_VALUE"""),"Sí")</f>
        <v>Sí</v>
      </c>
      <c r="BN6" s="30" t="str">
        <f ca="1">IFERROR(__xludf.DUMMYFUNCTION("""COMPUTED_VALUE"""),"Acompañamiento Técnico")</f>
        <v>Acompañamiento Técnico</v>
      </c>
      <c r="BO6" s="30" t="str">
        <f ca="1">IFERROR(__xludf.DUMMYFUNCTION("""COMPUTED_VALUE"""),"c28cdb33")</f>
        <v>c28cdb33</v>
      </c>
      <c r="BP6" s="29" t="str">
        <f ca="1">IFERROR(__xludf.DUMMYFUNCTION("""COMPUTED_VALUE"""),"Silao de la Victoria")</f>
        <v>Silao de la Victoria</v>
      </c>
      <c r="BQ6" s="30" t="str">
        <f ca="1">IFERROR(__xludf.DUMMYFUNCTION("""COMPUTED_VALUE"""),"Urbano")</f>
        <v>Urbano</v>
      </c>
      <c r="BR6" s="30">
        <f ca="1">IFERROR(__xludf.DUMMYFUNCTION("""COMPUTED_VALUE"""),215)</f>
        <v>215</v>
      </c>
      <c r="BS6" s="30" t="str">
        <f ca="1">IFERROR(__xludf.DUMMYFUNCTION("""COMPUTED_VALUE"""),"Silao")</f>
        <v>Silao</v>
      </c>
      <c r="BT6" s="30"/>
      <c r="BU6" s="30" t="str">
        <f ca="1">IFERROR(__xludf.DUMMYFUNCTION("""COMPUTED_VALUE"""),"Si")</f>
        <v>Si</v>
      </c>
      <c r="BV6" s="30" t="str">
        <f ca="1">IFERROR(__xludf.DUMMYFUNCTION("""COMPUTED_VALUE"""),"Si")</f>
        <v>Si</v>
      </c>
      <c r="BW6" s="30">
        <f ca="1">IFERROR(__xludf.DUMMYFUNCTION("""COMPUTED_VALUE"""),28)</f>
        <v>28</v>
      </c>
      <c r="BX6" s="30">
        <f ca="1">IFERROR(__xludf.DUMMYFUNCTION("""COMPUTED_VALUE"""),28)</f>
        <v>28</v>
      </c>
      <c r="BY6" s="30">
        <f ca="1">IFERROR(__xludf.DUMMYFUNCTION("""COMPUTED_VALUE"""),0)</f>
        <v>0</v>
      </c>
      <c r="BZ6" s="30" t="str">
        <f ca="1">IFERROR(__xludf.DUMMYFUNCTION("""COMPUTED_VALUE"""),"Silao")</f>
        <v>Silao</v>
      </c>
      <c r="CA6" s="30" t="str">
        <f ca="1">IFERROR(__xludf.DUMMYFUNCTION("""COMPUTED_VALUE"""),"No")</f>
        <v>No</v>
      </c>
      <c r="CB6" s="30" t="str">
        <f ca="1">IFERROR(__xludf.DUMMYFUNCTION("""COMPUTED_VALUE"""),"No")</f>
        <v>No</v>
      </c>
      <c r="CC6" s="30" t="str">
        <f ca="1">IFERROR(__xludf.DUMMYFUNCTION("""COMPUTED_VALUE"""),"534e70ac")</f>
        <v>534e70ac</v>
      </c>
      <c r="CD6" s="29" t="str">
        <f ca="1">IFERROR(__xludf.DUMMYFUNCTION("""COMPUTED_VALUE"""),"Niñas y Niños (6 a 12 años)")</f>
        <v>Niñas y Niños (6 a 12 años)</v>
      </c>
      <c r="CE6" s="30" t="str">
        <f ca="1">IFERROR(__xludf.DUMMYFUNCTION("""COMPUTED_VALUE"""),"Dato global")</f>
        <v>Dato global</v>
      </c>
      <c r="CF6" s="30" t="str">
        <f ca="1">IFERROR(__xludf.DUMMYFUNCTION("""COMPUTED_VALUE"""),"NNA (Niñas, Niños y Adolescentes)")</f>
        <v>NNA (Niñas, Niños y Adolescentes)</v>
      </c>
      <c r="CG6" s="30">
        <f ca="1">IFERROR(__xludf.DUMMYFUNCTION("""COMPUTED_VALUE"""),28)</f>
        <v>28</v>
      </c>
      <c r="CI6" s="30" t="str">
        <f ca="1">IFERROR(__xludf.DUMMYFUNCTION("""COMPUTED_VALUE"""),"a4a4c9b7")</f>
        <v>a4a4c9b7</v>
      </c>
      <c r="CJ6" s="29" t="str">
        <f ca="1">IFERROR(__xludf.DUMMYFUNCTION("""COMPUTED_VALUE"""),"Regitro_Evidencia_Files_/a4a4c9b7.Archivo_Evidencia.171503.zip")</f>
        <v>Regitro_Evidencia_Files_/a4a4c9b7.Archivo_Evidencia.171503.zip</v>
      </c>
      <c r="CK6" s="30" t="str">
        <f ca="1">IFERROR(__xludf.DUMMYFUNCTION("""COMPUTED_VALUE"""),"Foto")</f>
        <v>Foto</v>
      </c>
      <c r="CL6" s="30"/>
      <c r="CM6" s="30" t="str">
        <f ca="1">IFERROR(__xludf.DUMMYFUNCTION("""COMPUTED_VALUE"""),"Silao de la Victoria")</f>
        <v>Silao de la Victoria</v>
      </c>
      <c r="CN6" s="32" t="e">
        <f ca="1"/>
        <v>#NAME?</v>
      </c>
      <c r="CO6" s="32" t="e">
        <f ca="1"/>
        <v>#NAME?</v>
      </c>
      <c r="CP6" s="32" t="e">
        <f ca="1"/>
        <v>#NAME?</v>
      </c>
      <c r="CQ6" s="30" t="e">
        <f ca="1"/>
        <v>#NAME?</v>
      </c>
      <c r="CR6" s="30" t="e">
        <f ca="1"/>
        <v>#NAME?</v>
      </c>
      <c r="CS6" s="30" t="str">
        <f ca="1">IFERROR(__xludf.DUMMYFUNCTION("""COMPUTED_VALUE"""),"Ninguno (Población General)")</f>
        <v>Ninguno (Población General)</v>
      </c>
      <c r="CU6" s="32"/>
      <c r="CV6" s="32"/>
      <c r="CW6" s="32"/>
    </row>
    <row r="7" spans="1:101" ht="15.75" customHeight="1">
      <c r="A7" s="29" t="str">
        <f ca="1">IFERROR(__xludf.DUMMYFUNCTION("""COMPUTED_VALUE"""),"ACT00036")</f>
        <v>ACT00036</v>
      </c>
      <c r="B7" s="30" t="str">
        <f ca="1">IFERROR(__xludf.DUMMYFUNCTION("""COMPUTED_VALUE"""),"SC-260610-105550")</f>
        <v>SC-260610-105550</v>
      </c>
      <c r="C7" s="62">
        <f ca="1">IFERROR(__xludf.DUMMYFUNCTION("""COMPUTED_VALUE"""),46183.4554398148)</f>
        <v>46183.455439814803</v>
      </c>
      <c r="D7" s="30">
        <f ca="1">IFERROR(__xludf.DUMMYFUNCTION("""COMPUTED_VALUE"""),94)</f>
        <v>94</v>
      </c>
      <c r="E7" s="30" t="str">
        <f ca="1">IFERROR(__xludf.DUMMYFUNCTION("""COMPUTED_VALUE"""),"PB3572")</f>
        <v>PB3572</v>
      </c>
      <c r="F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7" s="30" t="str">
        <f ca="1">IFERROR(__xludf.DUMMYFUNCTION("""COMPUTED_VALUE"""),"SUBSECRETARÍA DE DESARROLLO Y PROMOCIÓN ARTÍSTICA Y CULTURAL")</f>
        <v>SUBSECRETARÍA DE DESARROLLO Y PROMOCIÓN ARTÍSTICA Y CULTURAL</v>
      </c>
      <c r="I7" s="63" t="str">
        <f ca="1">IFERROR(__xludf.DUMMYFUNCTION("""COMPUTED_VALUE"""),"DIRECCIÓN GENERAL DE MUSEOS, ARTES VISUALES Y EXPOSICIONES")</f>
        <v>DIRECCIÓN GENERAL DE MUSEOS, ARTES VISUALES Y EXPOSICIONES</v>
      </c>
      <c r="J7" s="30" t="str">
        <f ca="1">IFERROR(__xludf.DUMMYFUNCTION("""COMPUTED_VALUE"""),"Número de Actividades realizadas")</f>
        <v>Número de Actividades realizadas</v>
      </c>
      <c r="K7" s="30">
        <f ca="1">IFERROR(__xludf.DUMMYFUNCTION("""COMPUTED_VALUE"""),12)</f>
        <v>12</v>
      </c>
      <c r="L7" s="30" t="str">
        <f ca="1">IFERROR(__xludf.DUMMYFUNCTION("""COMPUTED_VALUE"""),"Cultural")</f>
        <v>Cultural</v>
      </c>
      <c r="M7" s="30" t="str">
        <f ca="1">IFERROR(__xludf.DUMMYFUNCTION("""COMPUTED_VALUE"""),"Tarjeta Española para Mamá")</f>
        <v>Tarjeta Española para Mamá</v>
      </c>
      <c r="N7" s="30" t="str">
        <f ca="1">IFERROR(__xludf.DUMMYFUNCTION("""COMPUTED_VALUE"""),"Incentivar y fomentar un sentido crítico sobre la importancia de los derechos de los niños, niñas y adolescentes, en el desarrollo cognitivo, social, humano y artístico en la Escuela Primaria Vespertina Francisco Javier Mina, a través del programa “El Mus"&amp;"eo a la vuelta de tu casa”.")</f>
        <v>Incentivar y fomentar un sentido crítico sobre la importancia de los derechos de los niños, niñas y adolescentes, en el desarrollo cognitivo, social, humano y artístico en la Escuela Primaria Vespertina Francisco Javier Mina, a través del programa “El Museo a la vuelta de tu casa”.</v>
      </c>
      <c r="O7" s="30" t="str">
        <f ca="1">IFERROR(__xludf.DUMMYFUNCTION("""COMPUTED_VALUE"""),"Única")</f>
        <v>Única</v>
      </c>
      <c r="P7" s="33">
        <f ca="1">IFERROR(__xludf.DUMMYFUNCTION("""COMPUTED_VALUE"""),46150)</f>
        <v>46150</v>
      </c>
      <c r="Q7" s="64">
        <f ca="1">IFERROR(__xludf.DUMMYFUNCTION("""COMPUTED_VALUE"""),46150)</f>
        <v>46150</v>
      </c>
      <c r="R7" s="30">
        <f ca="1">IFERROR(__xludf.DUMMYFUNCTION("""COMPUTED_VALUE"""),1)</f>
        <v>1</v>
      </c>
      <c r="S7" s="30" t="str">
        <f ca="1">IFERROR(__xludf.DUMMYFUNCTION("""COMPUTED_VALUE"""),"Cultura comunitaria")</f>
        <v>Cultura comunitaria</v>
      </c>
      <c r="T7" s="30" t="str">
        <f ca="1">IFERROR(__xludf.DUMMYFUNCTION("""COMPUTED_VALUE"""),"Mediación cultural")</f>
        <v>Mediación cultural</v>
      </c>
      <c r="U7" s="30" t="str">
        <f ca="1">IFERROR(__xludf.DUMMYFUNCTION("""COMPUTED_VALUE"""),"Taller")</f>
        <v>Taller</v>
      </c>
      <c r="V7" s="30" t="str">
        <f ca="1">IFERROR(__xludf.DUMMYFUNCTION("""COMPUTED_VALUE"""),"Ninguna")</f>
        <v>Ninguna</v>
      </c>
      <c r="W7" s="30" t="str">
        <f ca="1">IFERROR(__xludf.DUMMYFUNCTION("""COMPUTED_VALUE"""),"Presencial")</f>
        <v>Presencial</v>
      </c>
      <c r="X7" s="30" t="str">
        <f ca="1">IFERROR(__xludf.DUMMYFUNCTION("""COMPUTED_VALUE"""),"Espacio Público")</f>
        <v>Espacio Público</v>
      </c>
      <c r="Y7" s="30"/>
      <c r="Z7" s="30" t="str">
        <f ca="1">IFERROR(__xludf.DUMMYFUNCTION("""COMPUTED_VALUE"""),"Centro Nuevo Comienzo Nuevo Amanecer")</f>
        <v>Centro Nuevo Comienzo Nuevo Amanecer</v>
      </c>
      <c r="AA7" s="30"/>
      <c r="AB7" s="30" t="b">
        <f ca="1">IFERROR(__xludf.DUMMYFUNCTION("""COMPUTED_VALUE"""),FALSE)</f>
        <v>0</v>
      </c>
      <c r="AC7" s="30"/>
      <c r="AD7" s="30" t="b">
        <f ca="1">IFERROR(__xludf.DUMMYFUNCTION("""COMPUTED_VALUE"""),FALSE)</f>
        <v>0</v>
      </c>
      <c r="AE7" s="30"/>
      <c r="AF7" s="30" t="b">
        <f ca="1">IFERROR(__xludf.DUMMYFUNCTION("""COMPUTED_VALUE"""),FALSE)</f>
        <v>0</v>
      </c>
      <c r="AG7" s="30"/>
      <c r="AH7" s="30" t="str">
        <f ca="1">IFERROR(__xludf.DUMMYFUNCTION("""COMPUTED_VALUE"""),"Sin costo")</f>
        <v>Sin costo</v>
      </c>
      <c r="AI7" s="30"/>
      <c r="AJ7" s="30"/>
      <c r="AK7" s="30"/>
      <c r="AL7" s="30" t="str">
        <f ca="1">IFERROR(__xludf.DUMMYFUNCTION("""COMPUTED_VALUE"""),"ccardonav@guanajuato.gob.mx")</f>
        <v>ccardonav@guanajuato.gob.mx</v>
      </c>
      <c r="AM7" s="30" t="str">
        <f ca="1">IFERROR(__xludf.DUMMYFUNCTION("""COMPUTED_VALUE"""),"Arraigo y empoderamiento cultural de comunidades.")</f>
        <v>Arraigo y empoderamiento cultural de comunidades.</v>
      </c>
      <c r="AN7" s="30" t="str">
        <f ca="1">IFERROR(__xludf.DUMMYFUNCTION("""COMPUTED_VALUE"""),"2 Igualdad")</f>
        <v>2 Igualdad</v>
      </c>
      <c r="AO7" s="30" t="str">
        <f ca="1">IFERROR(__xludf.DUMMYFUNCTION("""COMPUTED_VALUE"""),"2.2 Fortalecer cohesión social")</f>
        <v>2.2 Fortalecer cohesión social</v>
      </c>
      <c r="AP7" s="30" t="str">
        <f ca="1">IFERROR(__xludf.DUMMYFUNCTION("""COMPUTED_VALUE"""),"2.2 Fortalecer cohesión social")</f>
        <v>2.2 Fortalecer cohesión social</v>
      </c>
      <c r="AQ7" s="30" t="str">
        <f ca="1">IFERROR(__xludf.DUMMYFUNCTION("""COMPUTED_VALUE"""),"2.2.3.2 Promover la participación de grupos prioritarios en actividades culturales")</f>
        <v>2.2.3.2 Promover la participación de grupos prioritarios en actividades culturales</v>
      </c>
      <c r="AR7" s="30" t="str">
        <f ca="1">IFERROR(__xludf.DUMMYFUNCTION("""COMPUTED_VALUE"""),"Inclusión")</f>
        <v>Inclusión</v>
      </c>
      <c r="AS7" s="30" t="str">
        <f ca="1">IFERROR(__xludf.DUMMYFUNCTION("""COMPUTED_VALUE"""),"NNA (Niñas, Niños y Adolescentes)")</f>
        <v>NNA (Niñas, Niños y Adolescentes)</v>
      </c>
      <c r="AT7" s="30" t="str">
        <f ca="1">IFERROR(__xludf.DUMMYFUNCTION("""COMPUTED_VALUE"""),"Fortalecimiento de la participación ciudadana y la mediación cultural")</f>
        <v>Fortalecimiento de la participación ciudadana y la mediación cultural</v>
      </c>
      <c r="AU7" s="30" t="str">
        <f ca="1">IFERROR(__xludf.DUMMYFUNCTION("""COMPUTED_VALUE"""),"Impulso a la ampliación de la oferta cultural en los territorios.")</f>
        <v>Impulso a la ampliación de la oferta cultural en los territorios.</v>
      </c>
      <c r="AV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 s="30" t="str">
        <f ca="1">IFERROR(__xludf.DUMMYFUNCTION("""COMPUTED_VALUE"""),"Incrementar en 25% la oferta cultural realizada en los municipios.")</f>
        <v>Incrementar en 25% la oferta cultural realizada en los municipios.</v>
      </c>
      <c r="AX7" s="30" t="str">
        <f ca="1">IFERROR(__xludf.DUMMYFUNCTION("""COMPUTED_VALUE"""),"Taller")</f>
        <v>Taller</v>
      </c>
      <c r="AY7" s="30" t="str">
        <f ca="1">IFERROR(__xludf.DUMMYFUNCTION("""COMPUTED_VALUE"""),"Mediación")</f>
        <v>Mediación</v>
      </c>
      <c r="AZ7" s="30"/>
      <c r="BA7" s="30"/>
      <c r="BB7" s="30"/>
      <c r="BC7" s="30">
        <f ca="1">IFERROR(__xludf.DUMMYFUNCTION("""COMPUTED_VALUE"""),0)</f>
        <v>0</v>
      </c>
      <c r="BD7" s="30"/>
      <c r="BE7" s="30"/>
      <c r="BF7" s="30" t="b">
        <f ca="1">IFERROR(__xludf.DUMMYFUNCTION("""COMPUTED_VALUE"""),TRUE)</f>
        <v>1</v>
      </c>
      <c r="BG7" s="30" t="str">
        <f ca="1">IFERROR(__xludf.DUMMYFUNCTION("""COMPUTED_VALUE"""),"Especie")</f>
        <v>Especie</v>
      </c>
      <c r="BH7" s="30"/>
      <c r="BI7" s="30"/>
      <c r="BJ7" s="30"/>
      <c r="BK7" s="30"/>
      <c r="BL7" s="30" t="str">
        <f ca="1">IFERROR(__xludf.DUMMYFUNCTION("""COMPUTED_VALUE"""),"Convenio de colaboración entre la DGMAVE y la Secretaría del Nuevo Comienzo")</f>
        <v>Convenio de colaboración entre la DGMAVE y la Secretaría del Nuevo Comienzo</v>
      </c>
      <c r="BM7" s="30" t="str">
        <f ca="1">IFERROR(__xludf.DUMMYFUNCTION("""COMPUTED_VALUE"""),"Sí")</f>
        <v>Sí</v>
      </c>
      <c r="BN7" s="30" t="str">
        <f ca="1">IFERROR(__xludf.DUMMYFUNCTION("""COMPUTED_VALUE"""),"Acompañamiento Técnico")</f>
        <v>Acompañamiento Técnico</v>
      </c>
      <c r="BO7" s="30" t="str">
        <f ca="1">IFERROR(__xludf.DUMMYFUNCTION("""COMPUTED_VALUE"""),"88f64665")</f>
        <v>88f64665</v>
      </c>
      <c r="BP7" s="29" t="str">
        <f ca="1">IFERROR(__xludf.DUMMYFUNCTION("""COMPUTED_VALUE"""),"León")</f>
        <v>León</v>
      </c>
      <c r="BQ7" s="30" t="str">
        <f ca="1">IFERROR(__xludf.DUMMYFUNCTION("""COMPUTED_VALUE"""),"Periurbano")</f>
        <v>Periurbano</v>
      </c>
      <c r="BR7" s="30">
        <f ca="1">IFERROR(__xludf.DUMMYFUNCTION("""COMPUTED_VALUE"""),100)</f>
        <v>100</v>
      </c>
      <c r="BS7" s="30" t="str">
        <f ca="1">IFERROR(__xludf.DUMMYFUNCTION("""COMPUTED_VALUE"""),"Las Joyas")</f>
        <v>Las Joyas</v>
      </c>
      <c r="BT7" s="30"/>
      <c r="BU7" s="30" t="str">
        <f ca="1">IFERROR(__xludf.DUMMYFUNCTION("""COMPUTED_VALUE"""),"Si")</f>
        <v>Si</v>
      </c>
      <c r="BV7" s="30" t="str">
        <f ca="1">IFERROR(__xludf.DUMMYFUNCTION("""COMPUTED_VALUE"""),"No")</f>
        <v>No</v>
      </c>
      <c r="BW7" s="30">
        <f ca="1">IFERROR(__xludf.DUMMYFUNCTION("""COMPUTED_VALUE"""),24)</f>
        <v>24</v>
      </c>
      <c r="BX7" s="30">
        <f ca="1">IFERROR(__xludf.DUMMYFUNCTION("""COMPUTED_VALUE"""),24)</f>
        <v>24</v>
      </c>
      <c r="BY7" s="30">
        <f ca="1">IFERROR(__xludf.DUMMYFUNCTION("""COMPUTED_VALUE"""),0)</f>
        <v>0</v>
      </c>
      <c r="BZ7" s="30" t="str">
        <f ca="1">IFERROR(__xludf.DUMMYFUNCTION("""COMPUTED_VALUE"""),"Las Joyas")</f>
        <v>Las Joyas</v>
      </c>
      <c r="CA7" s="30" t="str">
        <f ca="1">IFERROR(__xludf.DUMMYFUNCTION("""COMPUTED_VALUE"""),"No")</f>
        <v>No</v>
      </c>
      <c r="CB7" s="30" t="str">
        <f ca="1">IFERROR(__xludf.DUMMYFUNCTION("""COMPUTED_VALUE"""),"No")</f>
        <v>No</v>
      </c>
      <c r="CC7" s="30" t="str">
        <f ca="1">IFERROR(__xludf.DUMMYFUNCTION("""COMPUTED_VALUE"""),"50488ace")</f>
        <v>50488ace</v>
      </c>
      <c r="CD7" s="29" t="str">
        <f ca="1">IFERROR(__xludf.DUMMYFUNCTION("""COMPUTED_VALUE"""),"Niñas y Niños (6 a 12 años)")</f>
        <v>Niñas y Niños (6 a 12 años)</v>
      </c>
      <c r="CE7" s="30" t="str">
        <f ca="1">IFERROR(__xludf.DUMMYFUNCTION("""COMPUTED_VALUE"""),"Dato global")</f>
        <v>Dato global</v>
      </c>
      <c r="CF7" s="30" t="str">
        <f ca="1">IFERROR(__xludf.DUMMYFUNCTION("""COMPUTED_VALUE"""),"NNA (Niñas, Niños y Adolescentes)")</f>
        <v>NNA (Niñas, Niños y Adolescentes)</v>
      </c>
      <c r="CG7" s="30">
        <f ca="1">IFERROR(__xludf.DUMMYFUNCTION("""COMPUTED_VALUE"""),24)</f>
        <v>24</v>
      </c>
      <c r="CI7" s="30" t="str">
        <f ca="1">IFERROR(__xludf.DUMMYFUNCTION("""COMPUTED_VALUE"""),"8a252f15")</f>
        <v>8a252f15</v>
      </c>
      <c r="CJ7" s="29" t="str">
        <f ca="1">IFERROR(__xludf.DUMMYFUNCTION("""COMPUTED_VALUE"""),"Regitro_Evidencia_Files_/8a252f15.Archivo_Evidencia.174059.pdf")</f>
        <v>Regitro_Evidencia_Files_/8a252f15.Archivo_Evidencia.174059.pdf</v>
      </c>
      <c r="CK7" s="30" t="str">
        <f ca="1">IFERROR(__xludf.DUMMYFUNCTION("""COMPUTED_VALUE"""),"PDF")</f>
        <v>PDF</v>
      </c>
      <c r="CL7" s="30"/>
      <c r="CM7" s="30" t="str">
        <f ca="1">IFERROR(__xludf.DUMMYFUNCTION("""COMPUTED_VALUE"""),"Silao de la Victoria")</f>
        <v>Silao de la Victoria</v>
      </c>
      <c r="CN7" s="32" t="e">
        <f ca="1"/>
        <v>#NAME?</v>
      </c>
      <c r="CO7" s="32" t="e">
        <f ca="1"/>
        <v>#NAME?</v>
      </c>
      <c r="CP7" s="32" t="e">
        <f ca="1"/>
        <v>#NAME?</v>
      </c>
      <c r="CQ7" s="30" t="e">
        <f ca="1"/>
        <v>#NAME?</v>
      </c>
      <c r="CR7" s="30" t="e">
        <f ca="1"/>
        <v>#NAME?</v>
      </c>
      <c r="CS7" s="30" t="str">
        <f ca="1">IFERROR(__xludf.DUMMYFUNCTION("""COMPUTED_VALUE"""),"Ninguno (Población General)")</f>
        <v>Ninguno (Población General)</v>
      </c>
      <c r="CU7" s="32"/>
      <c r="CV7" s="32"/>
      <c r="CW7" s="32"/>
    </row>
    <row r="8" spans="1:101" ht="15.75" customHeight="1">
      <c r="A8" s="29" t="str">
        <f ca="1">IFERROR(__xludf.DUMMYFUNCTION("""COMPUTED_VALUE"""),"ACT00037")</f>
        <v>ACT00037</v>
      </c>
      <c r="B8" s="30" t="str">
        <f ca="1">IFERROR(__xludf.DUMMYFUNCTION("""COMPUTED_VALUE"""),"SC-260610-114106")</f>
        <v>SC-260610-114106</v>
      </c>
      <c r="C8" s="62">
        <f ca="1">IFERROR(__xludf.DUMMYFUNCTION("""COMPUTED_VALUE"""),46183.486875)</f>
        <v>46183.486875000002</v>
      </c>
      <c r="D8" s="30">
        <f ca="1">IFERROR(__xludf.DUMMYFUNCTION("""COMPUTED_VALUE"""),94)</f>
        <v>94</v>
      </c>
      <c r="E8" s="30" t="str">
        <f ca="1">IFERROR(__xludf.DUMMYFUNCTION("""COMPUTED_VALUE"""),"PB3572")</f>
        <v>PB3572</v>
      </c>
      <c r="F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8" s="30" t="str">
        <f ca="1">IFERROR(__xludf.DUMMYFUNCTION("""COMPUTED_VALUE"""),"SUBSECRETARÍA DE DESARROLLO Y PROMOCIÓN ARTÍSTICA Y CULTURAL")</f>
        <v>SUBSECRETARÍA DE DESARROLLO Y PROMOCIÓN ARTÍSTICA Y CULTURAL</v>
      </c>
      <c r="I8" s="63" t="str">
        <f ca="1">IFERROR(__xludf.DUMMYFUNCTION("""COMPUTED_VALUE"""),"DIRECCIÓN GENERAL DE MUSEOS, ARTES VISUALES Y EXPOSICIONES")</f>
        <v>DIRECCIÓN GENERAL DE MUSEOS, ARTES VISUALES Y EXPOSICIONES</v>
      </c>
      <c r="J8" s="30" t="str">
        <f ca="1">IFERROR(__xludf.DUMMYFUNCTION("""COMPUTED_VALUE"""),"Número de Actividades realizadas")</f>
        <v>Número de Actividades realizadas</v>
      </c>
      <c r="K8" s="30">
        <f ca="1">IFERROR(__xludf.DUMMYFUNCTION("""COMPUTED_VALUE"""),12)</f>
        <v>12</v>
      </c>
      <c r="L8" s="30" t="str">
        <f ca="1">IFERROR(__xludf.DUMMYFUNCTION("""COMPUTED_VALUE"""),"Cultural")</f>
        <v>Cultural</v>
      </c>
      <c r="M8" s="30" t="str">
        <f ca="1">IFERROR(__xludf.DUMMYFUNCTION("""COMPUTED_VALUE"""),"Tarjeta Española para Mamá")</f>
        <v>Tarjeta Española para Mamá</v>
      </c>
      <c r="N8" s="30" t="str">
        <f ca="1">IFERROR(__xludf.DUMMYFUNCTION("""COMPUTED_VALUE"""),"Incentivar y fomentar un sentido crítico sobre la importancia de los derechos de los niños, niñas y adolescentes, en el desarrollo cognitivo, social, humano y artístico en la Escuela Primaria Vespertina Francisco Javier Mina, a través del programa “El Mus"&amp;"eo a la vuelta de tu casa”.")</f>
        <v>Incentivar y fomentar un sentido crítico sobre la importancia de los derechos de los niños, niñas y adolescentes, en el desarrollo cognitivo, social, humano y artístico en la Escuela Primaria Vespertina Francisco Javier Mina, a través del programa “El Museo a la vuelta de tu casa”.</v>
      </c>
      <c r="O8" s="30" t="str">
        <f ca="1">IFERROR(__xludf.DUMMYFUNCTION("""COMPUTED_VALUE"""),"Única")</f>
        <v>Única</v>
      </c>
      <c r="P8" s="33">
        <f ca="1">IFERROR(__xludf.DUMMYFUNCTION("""COMPUTED_VALUE"""),46186)</f>
        <v>46186</v>
      </c>
      <c r="Q8" s="64">
        <f ca="1">IFERROR(__xludf.DUMMYFUNCTION("""COMPUTED_VALUE"""),46186)</f>
        <v>46186</v>
      </c>
      <c r="R8" s="30">
        <f ca="1">IFERROR(__xludf.DUMMYFUNCTION("""COMPUTED_VALUE"""),1)</f>
        <v>1</v>
      </c>
      <c r="S8" s="30" t="str">
        <f ca="1">IFERROR(__xludf.DUMMYFUNCTION("""COMPUTED_VALUE"""),"Cultura comunitaria")</f>
        <v>Cultura comunitaria</v>
      </c>
      <c r="T8" s="30" t="str">
        <f ca="1">IFERROR(__xludf.DUMMYFUNCTION("""COMPUTED_VALUE"""),"Mediación cultural")</f>
        <v>Mediación cultural</v>
      </c>
      <c r="U8" s="30" t="str">
        <f ca="1">IFERROR(__xludf.DUMMYFUNCTION("""COMPUTED_VALUE"""),"Taller")</f>
        <v>Taller</v>
      </c>
      <c r="V8" s="30" t="str">
        <f ca="1">IFERROR(__xludf.DUMMYFUNCTION("""COMPUTED_VALUE"""),"Ninguna")</f>
        <v>Ninguna</v>
      </c>
      <c r="W8" s="30" t="str">
        <f ca="1">IFERROR(__xludf.DUMMYFUNCTION("""COMPUTED_VALUE"""),"Presencial")</f>
        <v>Presencial</v>
      </c>
      <c r="X8" s="30" t="str">
        <f ca="1">IFERROR(__xludf.DUMMYFUNCTION("""COMPUTED_VALUE"""),"Espacio Público")</f>
        <v>Espacio Público</v>
      </c>
      <c r="Y8" s="30"/>
      <c r="Z8" s="30" t="str">
        <f ca="1">IFERROR(__xludf.DUMMYFUNCTION("""COMPUTED_VALUE"""),"Centro Nuevo Comienzo Balcones de las Joyas")</f>
        <v>Centro Nuevo Comienzo Balcones de las Joyas</v>
      </c>
      <c r="AA8" s="30"/>
      <c r="AB8" s="30" t="b">
        <f ca="1">IFERROR(__xludf.DUMMYFUNCTION("""COMPUTED_VALUE"""),FALSE)</f>
        <v>0</v>
      </c>
      <c r="AC8" s="30"/>
      <c r="AD8" s="30" t="b">
        <f ca="1">IFERROR(__xludf.DUMMYFUNCTION("""COMPUTED_VALUE"""),FALSE)</f>
        <v>0</v>
      </c>
      <c r="AE8" s="30"/>
      <c r="AF8" s="30" t="b">
        <f ca="1">IFERROR(__xludf.DUMMYFUNCTION("""COMPUTED_VALUE"""),FALSE)</f>
        <v>0</v>
      </c>
      <c r="AG8" s="30"/>
      <c r="AH8" s="30" t="str">
        <f ca="1">IFERROR(__xludf.DUMMYFUNCTION("""COMPUTED_VALUE"""),"Sin costo")</f>
        <v>Sin costo</v>
      </c>
      <c r="AI8" s="30"/>
      <c r="AJ8" s="30"/>
      <c r="AK8" s="30"/>
      <c r="AL8" s="30" t="str">
        <f ca="1">IFERROR(__xludf.DUMMYFUNCTION("""COMPUTED_VALUE"""),"ccardonav@guanajuato.gob.mx")</f>
        <v>ccardonav@guanajuato.gob.mx</v>
      </c>
      <c r="AM8" s="30" t="str">
        <f ca="1">IFERROR(__xludf.DUMMYFUNCTION("""COMPUTED_VALUE"""),"Arraigo y empoderamiento cultural de comunidades.")</f>
        <v>Arraigo y empoderamiento cultural de comunidades.</v>
      </c>
      <c r="AN8" s="30" t="str">
        <f ca="1">IFERROR(__xludf.DUMMYFUNCTION("""COMPUTED_VALUE"""),"2 Igualdad")</f>
        <v>2 Igualdad</v>
      </c>
      <c r="AO8" s="30" t="str">
        <f ca="1">IFERROR(__xludf.DUMMYFUNCTION("""COMPUTED_VALUE"""),"2.2 Fortalecer cohesión social")</f>
        <v>2.2 Fortalecer cohesión social</v>
      </c>
      <c r="AP8" s="30" t="str">
        <f ca="1">IFERROR(__xludf.DUMMYFUNCTION("""COMPUTED_VALUE"""),"2.2 Fortalecer cohesión social")</f>
        <v>2.2 Fortalecer cohesión social</v>
      </c>
      <c r="AQ8" s="30" t="str">
        <f ca="1">IFERROR(__xludf.DUMMYFUNCTION("""COMPUTED_VALUE"""),"2.2.3.2 Promover la participación de grupos prioritarios en actividades culturales")</f>
        <v>2.2.3.2 Promover la participación de grupos prioritarios en actividades culturales</v>
      </c>
      <c r="AR8" s="30" t="str">
        <f ca="1">IFERROR(__xludf.DUMMYFUNCTION("""COMPUTED_VALUE"""),"Inclusión")</f>
        <v>Inclusión</v>
      </c>
      <c r="AS8" s="30" t="str">
        <f ca="1">IFERROR(__xludf.DUMMYFUNCTION("""COMPUTED_VALUE"""),"Ninguno (Población General)")</f>
        <v>Ninguno (Población General)</v>
      </c>
      <c r="AT8" s="30" t="str">
        <f ca="1">IFERROR(__xludf.DUMMYFUNCTION("""COMPUTED_VALUE"""),"Fortalecimiento de la participación ciudadana y la mediación cultural")</f>
        <v>Fortalecimiento de la participación ciudadana y la mediación cultural</v>
      </c>
      <c r="AU8" s="30" t="str">
        <f ca="1">IFERROR(__xludf.DUMMYFUNCTION("""COMPUTED_VALUE"""),"Impulso a la ampliación de la oferta cultural en los territorios.")</f>
        <v>Impulso a la ampliación de la oferta cultural en los territorios.</v>
      </c>
      <c r="AV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 s="30" t="str">
        <f ca="1">IFERROR(__xludf.DUMMYFUNCTION("""COMPUTED_VALUE"""),"Incrementar en 25% la oferta cultural realizada en los municipios.")</f>
        <v>Incrementar en 25% la oferta cultural realizada en los municipios.</v>
      </c>
      <c r="AX8" s="30" t="str">
        <f ca="1">IFERROR(__xludf.DUMMYFUNCTION("""COMPUTED_VALUE"""),"Taller")</f>
        <v>Taller</v>
      </c>
      <c r="AY8" s="30" t="str">
        <f ca="1">IFERROR(__xludf.DUMMYFUNCTION("""COMPUTED_VALUE"""),"Mediación")</f>
        <v>Mediación</v>
      </c>
      <c r="AZ8" s="30"/>
      <c r="BA8" s="30"/>
      <c r="BB8" s="30"/>
      <c r="BC8" s="30">
        <f ca="1">IFERROR(__xludf.DUMMYFUNCTION("""COMPUTED_VALUE"""),0)</f>
        <v>0</v>
      </c>
      <c r="BD8" s="30"/>
      <c r="BE8" s="30"/>
      <c r="BF8" s="30" t="b">
        <f ca="1">IFERROR(__xludf.DUMMYFUNCTION("""COMPUTED_VALUE"""),TRUE)</f>
        <v>1</v>
      </c>
      <c r="BG8" s="30" t="str">
        <f ca="1">IFERROR(__xludf.DUMMYFUNCTION("""COMPUTED_VALUE"""),"Especie")</f>
        <v>Especie</v>
      </c>
      <c r="BH8" s="30"/>
      <c r="BI8" s="30"/>
      <c r="BJ8" s="30"/>
      <c r="BK8" s="30"/>
      <c r="BL8" s="30" t="str">
        <f ca="1">IFERROR(__xludf.DUMMYFUNCTION("""COMPUTED_VALUE"""),"Convenio de colaboración entre la DGMAVE y la Secretaría del Nuevo Comienzo")</f>
        <v>Convenio de colaboración entre la DGMAVE y la Secretaría del Nuevo Comienzo</v>
      </c>
      <c r="BM8" s="30" t="str">
        <f ca="1">IFERROR(__xludf.DUMMYFUNCTION("""COMPUTED_VALUE"""),"Sí")</f>
        <v>Sí</v>
      </c>
      <c r="BN8" s="30" t="str">
        <f ca="1">IFERROR(__xludf.DUMMYFUNCTION("""COMPUTED_VALUE"""),"Acompañamiento Técnico")</f>
        <v>Acompañamiento Técnico</v>
      </c>
      <c r="BO8" s="30" t="str">
        <f ca="1">IFERROR(__xludf.DUMMYFUNCTION("""COMPUTED_VALUE"""),"6143a7e4")</f>
        <v>6143a7e4</v>
      </c>
      <c r="BP8" s="29" t="str">
        <f ca="1">IFERROR(__xludf.DUMMYFUNCTION("""COMPUTED_VALUE"""),"León")</f>
        <v>León</v>
      </c>
      <c r="BQ8" s="30" t="str">
        <f ca="1">IFERROR(__xludf.DUMMYFUNCTION("""COMPUTED_VALUE"""),"Periurbano")</f>
        <v>Periurbano</v>
      </c>
      <c r="BR8" s="30">
        <f ca="1">IFERROR(__xludf.DUMMYFUNCTION("""COMPUTED_VALUE"""),100)</f>
        <v>100</v>
      </c>
      <c r="BS8" s="30" t="str">
        <f ca="1">IFERROR(__xludf.DUMMYFUNCTION("""COMPUTED_VALUE"""),"Las Joyas")</f>
        <v>Las Joyas</v>
      </c>
      <c r="BT8" s="30"/>
      <c r="BU8" s="30" t="str">
        <f ca="1">IFERROR(__xludf.DUMMYFUNCTION("""COMPUTED_VALUE"""),"Si")</f>
        <v>Si</v>
      </c>
      <c r="BV8" s="30" t="str">
        <f ca="1">IFERROR(__xludf.DUMMYFUNCTION("""COMPUTED_VALUE"""),"No")</f>
        <v>No</v>
      </c>
      <c r="BW8" s="30">
        <f ca="1">IFERROR(__xludf.DUMMYFUNCTION("""COMPUTED_VALUE"""),10)</f>
        <v>10</v>
      </c>
      <c r="BX8" s="30">
        <f ca="1">IFERROR(__xludf.DUMMYFUNCTION("""COMPUTED_VALUE"""),10)</f>
        <v>10</v>
      </c>
      <c r="BY8" s="30">
        <f ca="1">IFERROR(__xludf.DUMMYFUNCTION("""COMPUTED_VALUE"""),0)</f>
        <v>0</v>
      </c>
      <c r="BZ8" s="30" t="str">
        <f ca="1">IFERROR(__xludf.DUMMYFUNCTION("""COMPUTED_VALUE"""),"Las Joyas")</f>
        <v>Las Joyas</v>
      </c>
      <c r="CA8" s="30" t="str">
        <f ca="1">IFERROR(__xludf.DUMMYFUNCTION("""COMPUTED_VALUE"""),"No")</f>
        <v>No</v>
      </c>
      <c r="CB8" s="30" t="str">
        <f ca="1">IFERROR(__xludf.DUMMYFUNCTION("""COMPUTED_VALUE"""),"No")</f>
        <v>No</v>
      </c>
      <c r="CC8" s="30" t="str">
        <f ca="1">IFERROR(__xludf.DUMMYFUNCTION("""COMPUTED_VALUE"""),"c2883e9e")</f>
        <v>c2883e9e</v>
      </c>
      <c r="CD8" s="29" t="str">
        <f ca="1">IFERROR(__xludf.DUMMYFUNCTION("""COMPUTED_VALUE"""),"Adultos Mayores (60 años o más)")</f>
        <v>Adultos Mayores (60 años o más)</v>
      </c>
      <c r="CE8" s="30" t="str">
        <f ca="1">IFERROR(__xludf.DUMMYFUNCTION("""COMPUTED_VALUE"""),"Dato global")</f>
        <v>Dato global</v>
      </c>
      <c r="CF8" s="30" t="str">
        <f ca="1">IFERROR(__xludf.DUMMYFUNCTION("""COMPUTED_VALUE"""),"Ninguno (Población General)")</f>
        <v>Ninguno (Población General)</v>
      </c>
      <c r="CG8" s="30">
        <f ca="1">IFERROR(__xludf.DUMMYFUNCTION("""COMPUTED_VALUE"""),10)</f>
        <v>10</v>
      </c>
      <c r="CI8" s="30" t="str">
        <f ca="1">IFERROR(__xludf.DUMMYFUNCTION("""COMPUTED_VALUE"""),"26d7b9ca")</f>
        <v>26d7b9ca</v>
      </c>
      <c r="CJ8" s="29" t="str">
        <f ca="1">IFERROR(__xludf.DUMMYFUNCTION("""COMPUTED_VALUE"""),"Regitro_Evidencia_Files_/26d7b9ca.Archivo_Evidencia.180738.pdf")</f>
        <v>Regitro_Evidencia_Files_/26d7b9ca.Archivo_Evidencia.180738.pdf</v>
      </c>
      <c r="CK8" s="30" t="str">
        <f ca="1">IFERROR(__xludf.DUMMYFUNCTION("""COMPUTED_VALUE"""),"PDF")</f>
        <v>PDF</v>
      </c>
      <c r="CL8" s="30"/>
      <c r="CM8" s="30" t="str">
        <f ca="1">IFERROR(__xludf.DUMMYFUNCTION("""COMPUTED_VALUE"""),"Silao de la Victoria")</f>
        <v>Silao de la Victoria</v>
      </c>
      <c r="CN8" s="32" t="e">
        <f ca="1"/>
        <v>#NAME?</v>
      </c>
      <c r="CO8" s="32" t="e">
        <f ca="1"/>
        <v>#NAME?</v>
      </c>
      <c r="CP8" s="32" t="e">
        <f ca="1"/>
        <v>#NAME?</v>
      </c>
      <c r="CQ8" s="30" t="e">
        <f ca="1"/>
        <v>#NAME?</v>
      </c>
      <c r="CR8" s="30" t="e">
        <f ca="1"/>
        <v>#NAME?</v>
      </c>
      <c r="CS8" s="30" t="str">
        <f ca="1">IFERROR(__xludf.DUMMYFUNCTION("""COMPUTED_VALUE"""),"Ninguno (Población General)")</f>
        <v>Ninguno (Población General)</v>
      </c>
      <c r="CU8" s="32"/>
      <c r="CV8" s="32"/>
      <c r="CW8" s="32"/>
    </row>
    <row r="9" spans="1:101" ht="15.75" customHeight="1">
      <c r="A9" s="29" t="str">
        <f ca="1">IFERROR(__xludf.DUMMYFUNCTION("""COMPUTED_VALUE"""),"ACT00038")</f>
        <v>ACT00038</v>
      </c>
      <c r="B9" s="30" t="str">
        <f ca="1">IFERROR(__xludf.DUMMYFUNCTION("""COMPUTED_VALUE"""),"SC-260611-102905")</f>
        <v>SC-260611-102905</v>
      </c>
      <c r="C9" s="62">
        <f ca="1">IFERROR(__xludf.DUMMYFUNCTION("""COMPUTED_VALUE"""),46184.4368634259)</f>
        <v>46184.436863425901</v>
      </c>
      <c r="D9" s="30">
        <f ca="1">IFERROR(__xludf.DUMMYFUNCTION("""COMPUTED_VALUE"""),92)</f>
        <v>92</v>
      </c>
      <c r="E9" s="30" t="str">
        <f ca="1">IFERROR(__xludf.DUMMYFUNCTION("""COMPUTED_VALUE"""),"PB3572")</f>
        <v>PB3572</v>
      </c>
      <c r="F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 s="30" t="str">
        <f ca="1">IFERROR(__xludf.DUMMYFUNCTION("""COMPUTED_VALUE"""),"SUBSECRETARÍA DE DESARROLLO Y PROMOCIÓN ARTÍSTICA Y CULTURAL")</f>
        <v>SUBSECRETARÍA DE DESARROLLO Y PROMOCIÓN ARTÍSTICA Y CULTURAL</v>
      </c>
      <c r="I9" s="63" t="str">
        <f ca="1">IFERROR(__xludf.DUMMYFUNCTION("""COMPUTED_VALUE"""),"DIRECCIÓN GENERAL DE MUSEOS, ARTES VISUALES Y EXPOSICIONES")</f>
        <v>DIRECCIÓN GENERAL DE MUSEOS, ARTES VISUALES Y EXPOSICIONES</v>
      </c>
      <c r="J9" s="30" t="str">
        <f ca="1">IFERROR(__xludf.DUMMYFUNCTION("""COMPUTED_VALUE"""),"Número de Actividades realizadas")</f>
        <v>Número de Actividades realizadas</v>
      </c>
      <c r="K9" s="30">
        <f ca="1">IFERROR(__xludf.DUMMYFUNCTION("""COMPUTED_VALUE"""),800)</f>
        <v>800</v>
      </c>
      <c r="L9" s="30" t="str">
        <f ca="1">IFERROR(__xludf.DUMMYFUNCTION("""COMPUTED_VALUE"""),"Cultural")</f>
        <v>Cultural</v>
      </c>
      <c r="M9" s="30" t="str">
        <f ca="1">IFERROR(__xludf.DUMMYFUNCTION("""COMPUTED_VALUE"""),"1EEM ""Diálogos de Museos y política pública""")</f>
        <v>1EEM "Diálogos de Museos y política pública"</v>
      </c>
      <c r="N9" s="30" t="str">
        <f ca="1">IFERROR(__xludf.DUMMYFUNCTION("""COMPUTED_VALUE"""),"El I Encuentro Estatal de Museos de Guanajuato es un espacio de reunión y diálogo que convoca a representantes de museos, gestores culturales y profesionales del sector de los 46 municipios del estado, con el propósito de compartir experiencias, reflexion"&amp;"ar sobre los retos actuales y visibilizar la diversidad del patrimonio cultural guanajuatense. Este encuentro impulsa la colaboración intermunicipal y el trabajo en red como ejes para fortalecer el papel social, educativo y cultural de los museos.")</f>
        <v>El I Encuentro Estatal de Museos de Guanajuato es un espacio de reunión y diálogo que convoca a representantes de museos, gestores culturales y profesionales del sector de los 46 municipios del estado, con el propósito de compartir experiencias, reflexionar sobre los retos actuales y visibilizar la diversidad del patrimonio cultural guanajuatense. Este encuentro impulsa la colaboración intermunicipal y el trabajo en red como ejes para fortalecer el papel social, educativo y cultural de los museos.</v>
      </c>
      <c r="O9" s="30" t="str">
        <f ca="1">IFERROR(__xludf.DUMMYFUNCTION("""COMPUTED_VALUE"""),"Única")</f>
        <v>Única</v>
      </c>
      <c r="P9" s="33">
        <f ca="1">IFERROR(__xludf.DUMMYFUNCTION("""COMPUTED_VALUE"""),46169)</f>
        <v>46169</v>
      </c>
      <c r="Q9" s="64">
        <f ca="1">IFERROR(__xludf.DUMMYFUNCTION("""COMPUTED_VALUE"""),46169)</f>
        <v>46169</v>
      </c>
      <c r="R9" s="30">
        <f ca="1">IFERROR(__xludf.DUMMYFUNCTION("""COMPUTED_VALUE"""),1)</f>
        <v>1</v>
      </c>
      <c r="S9" s="30" t="str">
        <f ca="1">IFERROR(__xludf.DUMMYFUNCTION("""COMPUTED_VALUE"""),"Cultura comunitaria")</f>
        <v>Cultura comunitaria</v>
      </c>
      <c r="T9" s="30" t="str">
        <f ca="1">IFERROR(__xludf.DUMMYFUNCTION("""COMPUTED_VALUE"""),"Gestión cultural")</f>
        <v>Gestión cultural</v>
      </c>
      <c r="U9" s="30" t="str">
        <f ca="1">IFERROR(__xludf.DUMMYFUNCTION("""COMPUTED_VALUE"""),"Encuentro cultural")</f>
        <v>Encuentro cultural</v>
      </c>
      <c r="V9" s="30" t="str">
        <f ca="1">IFERROR(__xludf.DUMMYFUNCTION("""COMPUTED_VALUE"""),"Evaluación")</f>
        <v>Evaluación</v>
      </c>
      <c r="W9" s="30" t="str">
        <f ca="1">IFERROR(__xludf.DUMMYFUNCTION("""COMPUTED_VALUE"""),"Presencial")</f>
        <v>Presencial</v>
      </c>
      <c r="X9" s="30" t="str">
        <f ca="1">IFERROR(__xludf.DUMMYFUNCTION("""COMPUTED_VALUE"""),"Espacio Privado")</f>
        <v>Espacio Privado</v>
      </c>
      <c r="Y9" s="30"/>
      <c r="Z9" s="30" t="str">
        <f ca="1">IFERROR(__xludf.DUMMYFUNCTION("""COMPUTED_VALUE"""),"Hotel Hotsson")</f>
        <v>Hotel Hotsson</v>
      </c>
      <c r="AA9" s="30"/>
      <c r="AB9" s="30" t="b">
        <f ca="1">IFERROR(__xludf.DUMMYFUNCTION("""COMPUTED_VALUE"""),FALSE)</f>
        <v>0</v>
      </c>
      <c r="AC9" s="30"/>
      <c r="AD9" s="30" t="b">
        <f ca="1">IFERROR(__xludf.DUMMYFUNCTION("""COMPUTED_VALUE"""),TRUE)</f>
        <v>1</v>
      </c>
      <c r="AE9" s="30">
        <f ca="1">IFERROR(__xludf.DUMMYFUNCTION("""COMPUTED_VALUE"""),1)</f>
        <v>1</v>
      </c>
      <c r="AF9" s="30" t="b">
        <f ca="1">IFERROR(__xludf.DUMMYFUNCTION("""COMPUTED_VALUE"""),FALSE)</f>
        <v>0</v>
      </c>
      <c r="AG9" s="30"/>
      <c r="AH9" s="30" t="str">
        <f ca="1">IFERROR(__xludf.DUMMYFUNCTION("""COMPUTED_VALUE"""),"Sin costo")</f>
        <v>Sin costo</v>
      </c>
      <c r="AI9" s="30"/>
      <c r="AJ9" s="30"/>
      <c r="AK9" s="30"/>
      <c r="AL9" s="30" t="str">
        <f ca="1">IFERROR(__xludf.DUMMYFUNCTION("""COMPUTED_VALUE"""),"ccardonav@guanajuato.gob.mx")</f>
        <v>ccardonav@guanajuato.gob.mx</v>
      </c>
      <c r="AM9"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9" s="30" t="str">
        <f ca="1">IFERROR(__xludf.DUMMYFUNCTION("""COMPUTED_VALUE"""),"2 Igualdad")</f>
        <v>2 Igualdad</v>
      </c>
      <c r="AO9" s="30" t="str">
        <f ca="1">IFERROR(__xludf.DUMMYFUNCTION("""COMPUTED_VALUE"""),"2.4 Reducir brechas de desigualdad")</f>
        <v>2.4 Reducir brechas de desigualdad</v>
      </c>
      <c r="AP9" s="30" t="str">
        <f ca="1">IFERROR(__xludf.DUMMYFUNCTION("""COMPUTED_VALUE"""),"2.4.3 Descentralización de la oferta cultural")</f>
        <v>2.4.3 Descentralización de la oferta cultural</v>
      </c>
      <c r="AQ9" s="30" t="str">
        <f ca="1">IFERROR(__xludf.DUMMYFUNCTION("""COMPUTED_VALUE"""),"2.4.3.3 Incidir en el involucramiento de las personas con el ecosistema cultural")</f>
        <v>2.4.3.3 Incidir en el involucramiento de las personas con el ecosistema cultural</v>
      </c>
      <c r="AR9" s="30" t="str">
        <f ca="1">IFERROR(__xludf.DUMMYFUNCTION("""COMPUTED_VALUE"""),"Cooperación")</f>
        <v>Cooperación</v>
      </c>
      <c r="AS9" s="30"/>
      <c r="AT9" s="30" t="str">
        <f ca="1">IFERROR(__xludf.DUMMYFUNCTION("""COMPUTED_VALUE"""),"Fortalecimiento de la participación ciudadana y la mediación cultural")</f>
        <v>Fortalecimiento de la participación ciudadana y la mediación cultural</v>
      </c>
      <c r="AU9" s="30" t="str">
        <f ca="1">IFERROR(__xludf.DUMMYFUNCTION("""COMPUTED_VALUE"""),"Fortalecimiento del diálogo, la mediación y las capacidades de las redes comunitarias.")</f>
        <v>Fortalecimiento del diálogo, la mediación y las capacidades de las redes comunitarias.</v>
      </c>
      <c r="AV9" s="30" t="str">
        <f ca="1">IFERROR(__xludf.DUMMYFUNCTION("""COMPUTED_VALUE"""),"Fortalecer las capacidades de autoridades locales y estatales")</f>
        <v>Fortalecer las capacidades de autoridades locales y estatales</v>
      </c>
      <c r="AW9" s="30" t="str">
        <f ca="1">IFERROR(__xludf.DUMMYFUNCTION("""COMPUTED_VALUE"""),"Incrementar en 25% la oferta cultural realizada en los municipios.")</f>
        <v>Incrementar en 25% la oferta cultural realizada en los municipios.</v>
      </c>
      <c r="AX9" s="30" t="str">
        <f ca="1">IFERROR(__xludf.DUMMYFUNCTION("""COMPUTED_VALUE"""),"Asesoría especializada")</f>
        <v>Asesoría especializada</v>
      </c>
      <c r="AY9" s="30" t="str">
        <f ca="1">IFERROR(__xludf.DUMMYFUNCTION("""COMPUTED_VALUE"""),"Formación")</f>
        <v>Formación</v>
      </c>
      <c r="AZ9" s="30" t="str">
        <f ca="1">IFERROR(__xludf.DUMMYFUNCTION("""COMPUTED_VALUE"""),"Formación")</f>
        <v>Formación</v>
      </c>
      <c r="BA9" s="30"/>
      <c r="BB9" s="30"/>
      <c r="BC9" s="30">
        <f ca="1">IFERROR(__xludf.DUMMYFUNCTION("""COMPUTED_VALUE"""),0)</f>
        <v>0</v>
      </c>
      <c r="BD9" s="30"/>
      <c r="BE9" s="30"/>
      <c r="BF9" s="30" t="b">
        <f ca="1">IFERROR(__xludf.DUMMYFUNCTION("""COMPUTED_VALUE"""),TRUE)</f>
        <v>1</v>
      </c>
      <c r="BG9" s="30" t="str">
        <f ca="1">IFERROR(__xludf.DUMMYFUNCTION("""COMPUTED_VALUE"""),"Asesoría")</f>
        <v>Asesoría</v>
      </c>
      <c r="BH9" s="30"/>
      <c r="BI9" s="30"/>
      <c r="BJ9" s="30"/>
      <c r="BK9" s="30"/>
      <c r="BL9" s="30" t="str">
        <f ca="1">IFERROR(__xludf.DUMMYFUNCTION("""COMPUTED_VALUE"""),"Contrato de Prestación de Servicios")</f>
        <v>Contrato de Prestación de Servicios</v>
      </c>
      <c r="BM9" s="30" t="str">
        <f ca="1">IFERROR(__xludf.DUMMYFUNCTION("""COMPUTED_VALUE"""),"Sí")</f>
        <v>Sí</v>
      </c>
      <c r="BN9" s="30" t="str">
        <f ca="1">IFERROR(__xludf.DUMMYFUNCTION("""COMPUTED_VALUE"""),"Acompañamiento Técnico")</f>
        <v>Acompañamiento Técnico</v>
      </c>
      <c r="BO9" s="30" t="str">
        <f ca="1">IFERROR(__xludf.DUMMYFUNCTION("""COMPUTED_VALUE"""),"bfb569f3")</f>
        <v>bfb569f3</v>
      </c>
      <c r="BP9" s="29" t="str">
        <f ca="1">IFERROR(__xludf.DUMMYFUNCTION("""COMPUTED_VALUE"""),"Silao de la Victoria")</f>
        <v>Silao de la Victoria</v>
      </c>
      <c r="BQ9" s="30" t="str">
        <f ca="1">IFERROR(__xludf.DUMMYFUNCTION("""COMPUTED_VALUE"""),"Urbano")</f>
        <v>Urbano</v>
      </c>
      <c r="BR9" s="30">
        <f ca="1">IFERROR(__xludf.DUMMYFUNCTION("""COMPUTED_VALUE"""),215)</f>
        <v>215</v>
      </c>
      <c r="BS9" s="30" t="str">
        <f ca="1">IFERROR(__xludf.DUMMYFUNCTION("""COMPUTED_VALUE"""),"Silao")</f>
        <v>Silao</v>
      </c>
      <c r="BT9" s="30"/>
      <c r="BU9" s="30" t="str">
        <f ca="1">IFERROR(__xludf.DUMMYFUNCTION("""COMPUTED_VALUE"""),"Si")</f>
        <v>Si</v>
      </c>
      <c r="BV9" s="30" t="str">
        <f ca="1">IFERROR(__xludf.DUMMYFUNCTION("""COMPUTED_VALUE"""),"Si")</f>
        <v>Si</v>
      </c>
      <c r="BW9" s="30">
        <f ca="1">IFERROR(__xludf.DUMMYFUNCTION("""COMPUTED_VALUE"""),101)</f>
        <v>101</v>
      </c>
      <c r="BX9" s="30">
        <f ca="1">IFERROR(__xludf.DUMMYFUNCTION("""COMPUTED_VALUE"""),101)</f>
        <v>101</v>
      </c>
      <c r="BY9" s="30">
        <f ca="1">IFERROR(__xludf.DUMMYFUNCTION("""COMPUTED_VALUE"""),0)</f>
        <v>0</v>
      </c>
      <c r="BZ9" s="30" t="str">
        <f ca="1">IFERROR(__xludf.DUMMYFUNCTION("""COMPUTED_VALUE"""),"Silao")</f>
        <v>Silao</v>
      </c>
      <c r="CA9" s="30" t="str">
        <f ca="1">IFERROR(__xludf.DUMMYFUNCTION("""COMPUTED_VALUE"""),"No")</f>
        <v>No</v>
      </c>
      <c r="CB9" s="30" t="str">
        <f ca="1">IFERROR(__xludf.DUMMYFUNCTION("""COMPUTED_VALUE"""),"No")</f>
        <v>No</v>
      </c>
      <c r="CC9" s="30" t="str">
        <f ca="1">IFERROR(__xludf.DUMMYFUNCTION("""COMPUTED_VALUE"""),"2f6ab82e")</f>
        <v>2f6ab82e</v>
      </c>
      <c r="CD9" s="29" t="str">
        <f ca="1">IFERROR(__xludf.DUMMYFUNCTION("""COMPUTED_VALUE"""),"Adultos (30 a 59 años)")</f>
        <v>Adultos (30 a 59 años)</v>
      </c>
      <c r="CE9" s="30" t="str">
        <f ca="1">IFERROR(__xludf.DUMMYFUNCTION("""COMPUTED_VALUE"""),"Dato global")</f>
        <v>Dato global</v>
      </c>
      <c r="CF9" s="30" t="str">
        <f ca="1">IFERROR(__xludf.DUMMYFUNCTION("""COMPUTED_VALUE"""),"Ninguno (Población General)")</f>
        <v>Ninguno (Población General)</v>
      </c>
      <c r="CG9" s="30">
        <f ca="1">IFERROR(__xludf.DUMMYFUNCTION("""COMPUTED_VALUE"""),101)</f>
        <v>101</v>
      </c>
      <c r="CI9" s="30" t="str">
        <f ca="1">IFERROR(__xludf.DUMMYFUNCTION("""COMPUTED_VALUE"""),"1282ef34")</f>
        <v>1282ef34</v>
      </c>
      <c r="CJ9" s="29" t="str">
        <f ca="1">IFERROR(__xludf.DUMMYFUNCTION("""COMPUTED_VALUE"""),"Regitro_Evidencia_Files_/1282ef34.Archivo_Evidencia.171304.pdf")</f>
        <v>Regitro_Evidencia_Files_/1282ef34.Archivo_Evidencia.171304.pdf</v>
      </c>
      <c r="CK9" s="30" t="str">
        <f ca="1">IFERROR(__xludf.DUMMYFUNCTION("""COMPUTED_VALUE"""),"PDF")</f>
        <v>PDF</v>
      </c>
      <c r="CL9" s="30"/>
      <c r="CM9" s="30" t="str">
        <f ca="1">IFERROR(__xludf.DUMMYFUNCTION("""COMPUTED_VALUE"""),"Silao de la Victoria")</f>
        <v>Silao de la Victoria</v>
      </c>
      <c r="CN9" s="32" t="e">
        <f ca="1"/>
        <v>#NAME?</v>
      </c>
      <c r="CO9" s="32" t="e">
        <f ca="1"/>
        <v>#NAME?</v>
      </c>
      <c r="CP9" s="32" t="e">
        <f ca="1"/>
        <v>#NAME?</v>
      </c>
      <c r="CQ9" s="30" t="e">
        <f ca="1"/>
        <v>#NAME?</v>
      </c>
      <c r="CR9" s="30" t="e">
        <f ca="1"/>
        <v>#NAME?</v>
      </c>
      <c r="CS9" s="30" t="str">
        <f ca="1">IFERROR(__xludf.DUMMYFUNCTION("""COMPUTED_VALUE"""),"Ninguno (Población General)")</f>
        <v>Ninguno (Población General)</v>
      </c>
      <c r="CU9" s="32"/>
      <c r="CV9" s="32"/>
      <c r="CW9" s="32"/>
    </row>
    <row r="10" spans="1:101" ht="15.75" customHeight="1">
      <c r="A10" s="29" t="str">
        <f ca="1">IFERROR(__xludf.DUMMYFUNCTION("""COMPUTED_VALUE"""),"ACT00039")</f>
        <v>ACT00039</v>
      </c>
      <c r="B10" s="30" t="str">
        <f ca="1">IFERROR(__xludf.DUMMYFUNCTION("""COMPUTED_VALUE"""),"SC-260611-111846")</f>
        <v>SC-260611-111846</v>
      </c>
      <c r="C10" s="62">
        <f ca="1">IFERROR(__xludf.DUMMYFUNCTION("""COMPUTED_VALUE"""),46184.4713657407)</f>
        <v>46184.471365740697</v>
      </c>
      <c r="D10" s="30">
        <f ca="1">IFERROR(__xludf.DUMMYFUNCTION("""COMPUTED_VALUE"""),92)</f>
        <v>92</v>
      </c>
      <c r="E10" s="30" t="str">
        <f ca="1">IFERROR(__xludf.DUMMYFUNCTION("""COMPUTED_VALUE"""),"PB3572")</f>
        <v>PB3572</v>
      </c>
      <c r="F1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 s="30" t="str">
        <f ca="1">IFERROR(__xludf.DUMMYFUNCTION("""COMPUTED_VALUE"""),"SUBSECRETARÍA DE DESARROLLO Y PROMOCIÓN ARTÍSTICA Y CULTURAL")</f>
        <v>SUBSECRETARÍA DE DESARROLLO Y PROMOCIÓN ARTÍSTICA Y CULTURAL</v>
      </c>
      <c r="I10" s="63" t="str">
        <f ca="1">IFERROR(__xludf.DUMMYFUNCTION("""COMPUTED_VALUE"""),"DIRECCIÓN GENERAL DE MUSEOS, ARTES VISUALES Y EXPOSICIONES")</f>
        <v>DIRECCIÓN GENERAL DE MUSEOS, ARTES VISUALES Y EXPOSICIONES</v>
      </c>
      <c r="J10" s="30" t="str">
        <f ca="1">IFERROR(__xludf.DUMMYFUNCTION("""COMPUTED_VALUE"""),"Número de Actividades realizadas")</f>
        <v>Número de Actividades realizadas</v>
      </c>
      <c r="K10" s="30">
        <f ca="1">IFERROR(__xludf.DUMMYFUNCTION("""COMPUTED_VALUE"""),800)</f>
        <v>800</v>
      </c>
      <c r="L10" s="30" t="str">
        <f ca="1">IFERROR(__xludf.DUMMYFUNCTION("""COMPUTED_VALUE"""),"Cultural")</f>
        <v>Cultural</v>
      </c>
      <c r="M10" s="30" t="str">
        <f ca="1">IFERROR(__xludf.DUMMYFUNCTION("""COMPUTED_VALUE"""),"1EEM ""Vámonos conociendo""")</f>
        <v>1EEM "Vámonos conociendo"</v>
      </c>
      <c r="N10" s="30" t="str">
        <f ca="1">IFERROR(__xludf.DUMMYFUNCTION("""COMPUTED_VALUE"""),"Sesión de taller a cargo del Laboratorio Creativo Luciérnaga")</f>
        <v>Sesión de taller a cargo del Laboratorio Creativo Luciérnaga</v>
      </c>
      <c r="O10" s="30" t="str">
        <f ca="1">IFERROR(__xludf.DUMMYFUNCTION("""COMPUTED_VALUE"""),"Única")</f>
        <v>Única</v>
      </c>
      <c r="P10" s="33">
        <f ca="1">IFERROR(__xludf.DUMMYFUNCTION("""COMPUTED_VALUE"""),46169)</f>
        <v>46169</v>
      </c>
      <c r="Q10" s="64">
        <f ca="1">IFERROR(__xludf.DUMMYFUNCTION("""COMPUTED_VALUE"""),46169)</f>
        <v>46169</v>
      </c>
      <c r="R10" s="30">
        <f ca="1">IFERROR(__xludf.DUMMYFUNCTION("""COMPUTED_VALUE"""),1)</f>
        <v>1</v>
      </c>
      <c r="S10" s="30" t="str">
        <f ca="1">IFERROR(__xludf.DUMMYFUNCTION("""COMPUTED_VALUE"""),"Cultura comunitaria")</f>
        <v>Cultura comunitaria</v>
      </c>
      <c r="T10" s="30" t="str">
        <f ca="1">IFERROR(__xludf.DUMMYFUNCTION("""COMPUTED_VALUE"""),"Mediación cultural")</f>
        <v>Mediación cultural</v>
      </c>
      <c r="U10" s="30" t="str">
        <f ca="1">IFERROR(__xludf.DUMMYFUNCTION("""COMPUTED_VALUE"""),"Taller")</f>
        <v>Taller</v>
      </c>
      <c r="V10" s="30" t="str">
        <f ca="1">IFERROR(__xludf.DUMMYFUNCTION("""COMPUTED_VALUE"""),"Evaluación")</f>
        <v>Evaluación</v>
      </c>
      <c r="W10" s="30" t="str">
        <f ca="1">IFERROR(__xludf.DUMMYFUNCTION("""COMPUTED_VALUE"""),"Presencial")</f>
        <v>Presencial</v>
      </c>
      <c r="X10" s="30" t="str">
        <f ca="1">IFERROR(__xludf.DUMMYFUNCTION("""COMPUTED_VALUE"""),"Espacio Privado")</f>
        <v>Espacio Privado</v>
      </c>
      <c r="Y10" s="30"/>
      <c r="Z10" s="30" t="str">
        <f ca="1">IFERROR(__xludf.DUMMYFUNCTION("""COMPUTED_VALUE"""),"Hotel Hotsson")</f>
        <v>Hotel Hotsson</v>
      </c>
      <c r="AA10" s="30"/>
      <c r="AB10" s="30" t="b">
        <f ca="1">IFERROR(__xludf.DUMMYFUNCTION("""COMPUTED_VALUE"""),FALSE)</f>
        <v>0</v>
      </c>
      <c r="AC10" s="30"/>
      <c r="AD10" s="30" t="b">
        <f ca="1">IFERROR(__xludf.DUMMYFUNCTION("""COMPUTED_VALUE"""),TRUE)</f>
        <v>1</v>
      </c>
      <c r="AE10" s="30">
        <f ca="1">IFERROR(__xludf.DUMMYFUNCTION("""COMPUTED_VALUE"""),1)</f>
        <v>1</v>
      </c>
      <c r="AF10" s="30" t="b">
        <f ca="1">IFERROR(__xludf.DUMMYFUNCTION("""COMPUTED_VALUE"""),FALSE)</f>
        <v>0</v>
      </c>
      <c r="AG10" s="30"/>
      <c r="AH10" s="30" t="str">
        <f ca="1">IFERROR(__xludf.DUMMYFUNCTION("""COMPUTED_VALUE"""),"Sin costo")</f>
        <v>Sin costo</v>
      </c>
      <c r="AI10" s="30"/>
      <c r="AJ10" s="30"/>
      <c r="AK10" s="30"/>
      <c r="AL10" s="30" t="str">
        <f ca="1">IFERROR(__xludf.DUMMYFUNCTION("""COMPUTED_VALUE"""),"ccardonav@guanajuato.gob.mx")</f>
        <v>ccardonav@guanajuato.gob.mx</v>
      </c>
      <c r="AM10"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0" s="30" t="str">
        <f ca="1">IFERROR(__xludf.DUMMYFUNCTION("""COMPUTED_VALUE"""),"2 Igualdad")</f>
        <v>2 Igualdad</v>
      </c>
      <c r="AO10" s="30" t="str">
        <f ca="1">IFERROR(__xludf.DUMMYFUNCTION("""COMPUTED_VALUE"""),"2.4 Reducir brechas de desigualdad")</f>
        <v>2.4 Reducir brechas de desigualdad</v>
      </c>
      <c r="AP10" s="30" t="str">
        <f ca="1">IFERROR(__xludf.DUMMYFUNCTION("""COMPUTED_VALUE"""),"2.4.3 Descentralización de la oferta cultural")</f>
        <v>2.4.3 Descentralización de la oferta cultural</v>
      </c>
      <c r="AQ10" s="30" t="str">
        <f ca="1">IFERROR(__xludf.DUMMYFUNCTION("""COMPUTED_VALUE"""),"2.4.3.3 Incidir en el involucramiento de las personas con el ecosistema cultural")</f>
        <v>2.4.3.3 Incidir en el involucramiento de las personas con el ecosistema cultural</v>
      </c>
      <c r="AR10" s="30" t="str">
        <f ca="1">IFERROR(__xludf.DUMMYFUNCTION("""COMPUTED_VALUE"""),"Cooperación")</f>
        <v>Cooperación</v>
      </c>
      <c r="AS10" s="30"/>
      <c r="AT10" s="30" t="str">
        <f ca="1">IFERROR(__xludf.DUMMYFUNCTION("""COMPUTED_VALUE"""),"Fortalecimiento de la participación ciudadana y la mediación cultural")</f>
        <v>Fortalecimiento de la participación ciudadana y la mediación cultural</v>
      </c>
      <c r="AU10" s="30" t="str">
        <f ca="1">IFERROR(__xludf.DUMMYFUNCTION("""COMPUTED_VALUE"""),"Fortalecimiento del diálogo, la mediación y las capacidades de las redes comunitarias.")</f>
        <v>Fortalecimiento del diálogo, la mediación y las capacidades de las redes comunitarias.</v>
      </c>
      <c r="AV10" s="30" t="str">
        <f ca="1">IFERROR(__xludf.DUMMYFUNCTION("""COMPUTED_VALUE"""),"Fortalecer las capacidades de autoridades locales y estatales")</f>
        <v>Fortalecer las capacidades de autoridades locales y estatales</v>
      </c>
      <c r="AW10" s="30" t="str">
        <f ca="1">IFERROR(__xludf.DUMMYFUNCTION("""COMPUTED_VALUE"""),"Incrementar en 25% la oferta cultural realizada en los municipios.")</f>
        <v>Incrementar en 25% la oferta cultural realizada en los municipios.</v>
      </c>
      <c r="AX10" s="30" t="str">
        <f ca="1">IFERROR(__xludf.DUMMYFUNCTION("""COMPUTED_VALUE"""),"Taller")</f>
        <v>Taller</v>
      </c>
      <c r="AY10" s="30" t="str">
        <f ca="1">IFERROR(__xludf.DUMMYFUNCTION("""COMPUTED_VALUE"""),"Mediación")</f>
        <v>Mediación</v>
      </c>
      <c r="AZ10" s="30"/>
      <c r="BA10" s="30"/>
      <c r="BB10" s="30"/>
      <c r="BC10" s="30">
        <f ca="1">IFERROR(__xludf.DUMMYFUNCTION("""COMPUTED_VALUE"""),0)</f>
        <v>0</v>
      </c>
      <c r="BD10" s="30"/>
      <c r="BE10" s="30"/>
      <c r="BF10" s="30" t="b">
        <f ca="1">IFERROR(__xludf.DUMMYFUNCTION("""COMPUTED_VALUE"""),TRUE)</f>
        <v>1</v>
      </c>
      <c r="BG10" s="30" t="str">
        <f ca="1">IFERROR(__xludf.DUMMYFUNCTION("""COMPUTED_VALUE"""),"Asesoría")</f>
        <v>Asesoría</v>
      </c>
      <c r="BH10" s="30"/>
      <c r="BI10" s="30"/>
      <c r="BJ10" s="30"/>
      <c r="BK10" s="30"/>
      <c r="BL10" s="30" t="str">
        <f ca="1">IFERROR(__xludf.DUMMYFUNCTION("""COMPUTED_VALUE"""),"Contrato de Prestación de Servicios")</f>
        <v>Contrato de Prestación de Servicios</v>
      </c>
      <c r="BM10" s="30" t="str">
        <f ca="1">IFERROR(__xludf.DUMMYFUNCTION("""COMPUTED_VALUE"""),"Sí")</f>
        <v>Sí</v>
      </c>
      <c r="BN10" s="30" t="str">
        <f ca="1">IFERROR(__xludf.DUMMYFUNCTION("""COMPUTED_VALUE"""),"Acompañamiento Técnico")</f>
        <v>Acompañamiento Técnico</v>
      </c>
      <c r="BO10" s="30" t="str">
        <f ca="1">IFERROR(__xludf.DUMMYFUNCTION("""COMPUTED_VALUE"""),"0229b757")</f>
        <v>0229b757</v>
      </c>
      <c r="BP10" s="29" t="str">
        <f ca="1">IFERROR(__xludf.DUMMYFUNCTION("""COMPUTED_VALUE"""),"Silao de la Victoria")</f>
        <v>Silao de la Victoria</v>
      </c>
      <c r="BQ10" s="30" t="str">
        <f ca="1">IFERROR(__xludf.DUMMYFUNCTION("""COMPUTED_VALUE"""),"Urbano")</f>
        <v>Urbano</v>
      </c>
      <c r="BR10" s="30">
        <f ca="1">IFERROR(__xludf.DUMMYFUNCTION("""COMPUTED_VALUE"""),215)</f>
        <v>215</v>
      </c>
      <c r="BS10" s="30" t="str">
        <f ca="1">IFERROR(__xludf.DUMMYFUNCTION("""COMPUTED_VALUE"""),"Silao")</f>
        <v>Silao</v>
      </c>
      <c r="BT10" s="30"/>
      <c r="BU10" s="30" t="str">
        <f ca="1">IFERROR(__xludf.DUMMYFUNCTION("""COMPUTED_VALUE"""),"Si")</f>
        <v>Si</v>
      </c>
      <c r="BV10" s="30" t="str">
        <f ca="1">IFERROR(__xludf.DUMMYFUNCTION("""COMPUTED_VALUE"""),"Si")</f>
        <v>Si</v>
      </c>
      <c r="BW10" s="30">
        <f ca="1">IFERROR(__xludf.DUMMYFUNCTION("""COMPUTED_VALUE"""),101)</f>
        <v>101</v>
      </c>
      <c r="BX10" s="30">
        <f ca="1">IFERROR(__xludf.DUMMYFUNCTION("""COMPUTED_VALUE"""),101)</f>
        <v>101</v>
      </c>
      <c r="BY10" s="30">
        <f ca="1">IFERROR(__xludf.DUMMYFUNCTION("""COMPUTED_VALUE"""),0)</f>
        <v>0</v>
      </c>
      <c r="BZ10" s="30" t="str">
        <f ca="1">IFERROR(__xludf.DUMMYFUNCTION("""COMPUTED_VALUE"""),"Silao")</f>
        <v>Silao</v>
      </c>
      <c r="CA10" s="30" t="str">
        <f ca="1">IFERROR(__xludf.DUMMYFUNCTION("""COMPUTED_VALUE"""),"No")</f>
        <v>No</v>
      </c>
      <c r="CB10" s="30" t="str">
        <f ca="1">IFERROR(__xludf.DUMMYFUNCTION("""COMPUTED_VALUE"""),"No")</f>
        <v>No</v>
      </c>
      <c r="CC10" s="30" t="str">
        <f ca="1">IFERROR(__xludf.DUMMYFUNCTION("""COMPUTED_VALUE"""),"769ff7cf")</f>
        <v>769ff7cf</v>
      </c>
      <c r="CD10" s="29" t="str">
        <f ca="1">IFERROR(__xludf.DUMMYFUNCTION("""COMPUTED_VALUE"""),"Adultos (30 a 59 años)")</f>
        <v>Adultos (30 a 59 años)</v>
      </c>
      <c r="CE10" s="30" t="str">
        <f ca="1">IFERROR(__xludf.DUMMYFUNCTION("""COMPUTED_VALUE"""),"Dato global")</f>
        <v>Dato global</v>
      </c>
      <c r="CF10" s="30" t="str">
        <f ca="1">IFERROR(__xludf.DUMMYFUNCTION("""COMPUTED_VALUE"""),"Ninguno (Población General)")</f>
        <v>Ninguno (Población General)</v>
      </c>
      <c r="CG10" s="30">
        <f ca="1">IFERROR(__xludf.DUMMYFUNCTION("""COMPUTED_VALUE"""),101)</f>
        <v>101</v>
      </c>
      <c r="CI10" s="30" t="str">
        <f ca="1">IFERROR(__xludf.DUMMYFUNCTION("""COMPUTED_VALUE"""),"58741218")</f>
        <v>58741218</v>
      </c>
      <c r="CJ10" s="29" t="str">
        <f ca="1">IFERROR(__xludf.DUMMYFUNCTION("""COMPUTED_VALUE"""),"Regitro_Evidencia_Files_/58741218.Archivo_Evidencia.180020.pdf")</f>
        <v>Regitro_Evidencia_Files_/58741218.Archivo_Evidencia.180020.pdf</v>
      </c>
      <c r="CK10" s="30" t="str">
        <f ca="1">IFERROR(__xludf.DUMMYFUNCTION("""COMPUTED_VALUE"""),"PDF")</f>
        <v>PDF</v>
      </c>
      <c r="CL10" s="30"/>
      <c r="CM10" s="30" t="str">
        <f ca="1">IFERROR(__xludf.DUMMYFUNCTION("""COMPUTED_VALUE"""),"Silao de la Victoria")</f>
        <v>Silao de la Victoria</v>
      </c>
      <c r="CN10" s="32" t="e">
        <f ca="1"/>
        <v>#NAME?</v>
      </c>
      <c r="CO10" s="32" t="e">
        <f ca="1"/>
        <v>#NAME?</v>
      </c>
      <c r="CP10" s="32" t="e">
        <f ca="1"/>
        <v>#NAME?</v>
      </c>
      <c r="CQ10" s="30" t="e">
        <f ca="1"/>
        <v>#NAME?</v>
      </c>
      <c r="CR10" s="30" t="e">
        <f ca="1"/>
        <v>#NAME?</v>
      </c>
      <c r="CS10" s="30" t="str">
        <f ca="1">IFERROR(__xludf.DUMMYFUNCTION("""COMPUTED_VALUE"""),"Ninguno (Población General)")</f>
        <v>Ninguno (Población General)</v>
      </c>
      <c r="CU10" s="32"/>
      <c r="CV10" s="32"/>
      <c r="CW10" s="32"/>
    </row>
    <row r="11" spans="1:101" ht="15.75" customHeight="1">
      <c r="A11" s="29" t="str">
        <f ca="1">IFERROR(__xludf.DUMMYFUNCTION("""COMPUTED_VALUE"""),"ACT00040")</f>
        <v>ACT00040</v>
      </c>
      <c r="B11" s="30" t="str">
        <f ca="1">IFERROR(__xludf.DUMMYFUNCTION("""COMPUTED_VALUE"""),"SC-260611-140443")</f>
        <v>SC-260611-140443</v>
      </c>
      <c r="C11" s="62">
        <f ca="1">IFERROR(__xludf.DUMMYFUNCTION("""COMPUTED_VALUE"""),46184.5866087962)</f>
        <v>46184.586608796199</v>
      </c>
      <c r="D11" s="30">
        <f ca="1">IFERROR(__xludf.DUMMYFUNCTION("""COMPUTED_VALUE"""),92)</f>
        <v>92</v>
      </c>
      <c r="E11" s="30" t="str">
        <f ca="1">IFERROR(__xludf.DUMMYFUNCTION("""COMPUTED_VALUE"""),"PB3572")</f>
        <v>PB3572</v>
      </c>
      <c r="F1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 s="30" t="str">
        <f ca="1">IFERROR(__xludf.DUMMYFUNCTION("""COMPUTED_VALUE"""),"SUBSECRETARÍA DE DESARROLLO Y PROMOCIÓN ARTÍSTICA Y CULTURAL")</f>
        <v>SUBSECRETARÍA DE DESARROLLO Y PROMOCIÓN ARTÍSTICA Y CULTURAL</v>
      </c>
      <c r="I11" s="63" t="str">
        <f ca="1">IFERROR(__xludf.DUMMYFUNCTION("""COMPUTED_VALUE"""),"DIRECCIÓN GENERAL DE MUSEOS, ARTES VISUALES Y EXPOSICIONES")</f>
        <v>DIRECCIÓN GENERAL DE MUSEOS, ARTES VISUALES Y EXPOSICIONES</v>
      </c>
      <c r="J11" s="30" t="str">
        <f ca="1">IFERROR(__xludf.DUMMYFUNCTION("""COMPUTED_VALUE"""),"Número de Actividades realizadas")</f>
        <v>Número de Actividades realizadas</v>
      </c>
      <c r="K11" s="30">
        <f ca="1">IFERROR(__xludf.DUMMYFUNCTION("""COMPUTED_VALUE"""),800)</f>
        <v>800</v>
      </c>
      <c r="L11" s="30" t="str">
        <f ca="1">IFERROR(__xludf.DUMMYFUNCTION("""COMPUTED_VALUE"""),"Cultural")</f>
        <v>Cultural</v>
      </c>
      <c r="M11" s="30" t="str">
        <f ca="1">IFERROR(__xludf.DUMMYFUNCTION("""COMPUTED_VALUE"""),"1 EEM ""Conferencia comunidades y museos""")</f>
        <v>1 EEM "Conferencia comunidades y museos"</v>
      </c>
      <c r="N11" s="30" t="str">
        <f ca="1">IFERROR(__xludf.DUMMYFUNCTION("""COMPUTED_VALUE"""),"En conversación Álvaro Octavio Lara Huerta, Subsecretario deDesarrollo y Promoción Artística y Cultural de Guanajuato")</f>
        <v>En conversación Álvaro Octavio Lara Huerta, Subsecretario deDesarrollo y Promoción Artística y Cultural de Guanajuato</v>
      </c>
      <c r="O11" s="30" t="str">
        <f ca="1">IFERROR(__xludf.DUMMYFUNCTION("""COMPUTED_VALUE"""),"Única")</f>
        <v>Única</v>
      </c>
      <c r="P11" s="33">
        <f ca="1">IFERROR(__xludf.DUMMYFUNCTION("""COMPUTED_VALUE"""),46170)</f>
        <v>46170</v>
      </c>
      <c r="Q11" s="64">
        <f ca="1">IFERROR(__xludf.DUMMYFUNCTION("""COMPUTED_VALUE"""),46170)</f>
        <v>46170</v>
      </c>
      <c r="R11" s="30">
        <f ca="1">IFERROR(__xludf.DUMMYFUNCTION("""COMPUTED_VALUE"""),1)</f>
        <v>1</v>
      </c>
      <c r="S11" s="30" t="str">
        <f ca="1">IFERROR(__xludf.DUMMYFUNCTION("""COMPUTED_VALUE"""),"Cultura comunitaria")</f>
        <v>Cultura comunitaria</v>
      </c>
      <c r="T11" s="30" t="str">
        <f ca="1">IFERROR(__xludf.DUMMYFUNCTION("""COMPUTED_VALUE"""),"Gestión cultural")</f>
        <v>Gestión cultural</v>
      </c>
      <c r="U11" s="30" t="str">
        <f ca="1">IFERROR(__xludf.DUMMYFUNCTION("""COMPUTED_VALUE"""),"Conferencia")</f>
        <v>Conferencia</v>
      </c>
      <c r="V11" s="30" t="str">
        <f ca="1">IFERROR(__xludf.DUMMYFUNCTION("""COMPUTED_VALUE"""),"Ninguna")</f>
        <v>Ninguna</v>
      </c>
      <c r="W11" s="30" t="str">
        <f ca="1">IFERROR(__xludf.DUMMYFUNCTION("""COMPUTED_VALUE"""),"Presencial")</f>
        <v>Presencial</v>
      </c>
      <c r="X11" s="30" t="str">
        <f ca="1">IFERROR(__xludf.DUMMYFUNCTION("""COMPUTED_VALUE"""),"Espacio Privado")</f>
        <v>Espacio Privado</v>
      </c>
      <c r="Y11" s="30"/>
      <c r="Z11" s="30" t="str">
        <f ca="1">IFERROR(__xludf.DUMMYFUNCTION("""COMPUTED_VALUE"""),"Hotel Hotsson")</f>
        <v>Hotel Hotsson</v>
      </c>
      <c r="AA11" s="30"/>
      <c r="AB11" s="30" t="b">
        <f ca="1">IFERROR(__xludf.DUMMYFUNCTION("""COMPUTED_VALUE"""),FALSE)</f>
        <v>0</v>
      </c>
      <c r="AC11" s="30"/>
      <c r="AD11" s="30" t="b">
        <f ca="1">IFERROR(__xludf.DUMMYFUNCTION("""COMPUTED_VALUE"""),TRUE)</f>
        <v>1</v>
      </c>
      <c r="AE11" s="30">
        <f ca="1">IFERROR(__xludf.DUMMYFUNCTION("""COMPUTED_VALUE"""),1)</f>
        <v>1</v>
      </c>
      <c r="AF11" s="30" t="b">
        <f ca="1">IFERROR(__xludf.DUMMYFUNCTION("""COMPUTED_VALUE"""),FALSE)</f>
        <v>0</v>
      </c>
      <c r="AG11" s="30"/>
      <c r="AH11" s="30" t="str">
        <f ca="1">IFERROR(__xludf.DUMMYFUNCTION("""COMPUTED_VALUE"""),"Sin costo")</f>
        <v>Sin costo</v>
      </c>
      <c r="AI11" s="30"/>
      <c r="AJ11" s="30"/>
      <c r="AK11" s="30"/>
      <c r="AL11" s="30" t="str">
        <f ca="1">IFERROR(__xludf.DUMMYFUNCTION("""COMPUTED_VALUE"""),"ccardonav@guanajuato.gob.mx")</f>
        <v>ccardonav@guanajuato.gob.mx</v>
      </c>
      <c r="AM11"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1" s="30" t="str">
        <f ca="1">IFERROR(__xludf.DUMMYFUNCTION("""COMPUTED_VALUE"""),"2 Igualdad")</f>
        <v>2 Igualdad</v>
      </c>
      <c r="AO11" s="30" t="str">
        <f ca="1">IFERROR(__xludf.DUMMYFUNCTION("""COMPUTED_VALUE"""),"2.4 Reducir brechas de desigualdad")</f>
        <v>2.4 Reducir brechas de desigualdad</v>
      </c>
      <c r="AP11" s="30" t="str">
        <f ca="1">IFERROR(__xludf.DUMMYFUNCTION("""COMPUTED_VALUE"""),"2.4.3 Descentralización de la oferta cultural")</f>
        <v>2.4.3 Descentralización de la oferta cultural</v>
      </c>
      <c r="AQ11" s="30" t="str">
        <f ca="1">IFERROR(__xludf.DUMMYFUNCTION("""COMPUTED_VALUE"""),"2.4.3.3 Incidir en el involucramiento de las personas con el ecosistema cultural")</f>
        <v>2.4.3.3 Incidir en el involucramiento de las personas con el ecosistema cultural</v>
      </c>
      <c r="AR11" s="30" t="str">
        <f ca="1">IFERROR(__xludf.DUMMYFUNCTION("""COMPUTED_VALUE"""),"Cooperación")</f>
        <v>Cooperación</v>
      </c>
      <c r="AS11" s="30"/>
      <c r="AT11" s="30" t="str">
        <f ca="1">IFERROR(__xludf.DUMMYFUNCTION("""COMPUTED_VALUE"""),"Fortalecimiento de la participación ciudadana y la mediación cultural")</f>
        <v>Fortalecimiento de la participación ciudadana y la mediación cultural</v>
      </c>
      <c r="AU11" s="30" t="str">
        <f ca="1">IFERROR(__xludf.DUMMYFUNCTION("""COMPUTED_VALUE"""),"Fortalecimiento del diálogo, la mediación y las capacidades de las redes comunitarias.")</f>
        <v>Fortalecimiento del diálogo, la mediación y las capacidades de las redes comunitarias.</v>
      </c>
      <c r="AV11" s="30" t="str">
        <f ca="1">IFERROR(__xludf.DUMMYFUNCTION("""COMPUTED_VALUE"""),"Fortalecer las capacidades de autoridades locales y estatales")</f>
        <v>Fortalecer las capacidades de autoridades locales y estatales</v>
      </c>
      <c r="AW11" s="30" t="str">
        <f ca="1">IFERROR(__xludf.DUMMYFUNCTION("""COMPUTED_VALUE"""),"Incrementar en 25% la oferta cultural realizada en los municipios.")</f>
        <v>Incrementar en 25% la oferta cultural realizada en los municipios.</v>
      </c>
      <c r="AX11" s="30" t="str">
        <f ca="1">IFERROR(__xludf.DUMMYFUNCTION("""COMPUTED_VALUE"""),"Asesoría especializada")</f>
        <v>Asesoría especializada</v>
      </c>
      <c r="AY11" s="30" t="str">
        <f ca="1">IFERROR(__xludf.DUMMYFUNCTION("""COMPUTED_VALUE"""),"Formación")</f>
        <v>Formación</v>
      </c>
      <c r="AZ11" s="30"/>
      <c r="BA11" s="30"/>
      <c r="BB11" s="30"/>
      <c r="BC11" s="30">
        <f ca="1">IFERROR(__xludf.DUMMYFUNCTION("""COMPUTED_VALUE"""),0)</f>
        <v>0</v>
      </c>
      <c r="BD11" s="30"/>
      <c r="BE11" s="30"/>
      <c r="BF11" s="30" t="b">
        <f ca="1">IFERROR(__xludf.DUMMYFUNCTION("""COMPUTED_VALUE"""),TRUE)</f>
        <v>1</v>
      </c>
      <c r="BG11" s="30" t="str">
        <f ca="1">IFERROR(__xludf.DUMMYFUNCTION("""COMPUTED_VALUE"""),"Asesoría")</f>
        <v>Asesoría</v>
      </c>
      <c r="BH11" s="30"/>
      <c r="BI11" s="30"/>
      <c r="BJ11" s="30"/>
      <c r="BK11" s="30"/>
      <c r="BL11" s="30" t="str">
        <f ca="1">IFERROR(__xludf.DUMMYFUNCTION("""COMPUTED_VALUE"""),"Contrato de Prestacion de Servicios")</f>
        <v>Contrato de Prestacion de Servicios</v>
      </c>
      <c r="BM11" s="30" t="str">
        <f ca="1">IFERROR(__xludf.DUMMYFUNCTION("""COMPUTED_VALUE"""),"Sí")</f>
        <v>Sí</v>
      </c>
      <c r="BN11" s="30" t="str">
        <f ca="1">IFERROR(__xludf.DUMMYFUNCTION("""COMPUTED_VALUE"""),"Acompañamiento Técnico")</f>
        <v>Acompañamiento Técnico</v>
      </c>
      <c r="BO11" s="30" t="str">
        <f ca="1">IFERROR(__xludf.DUMMYFUNCTION("""COMPUTED_VALUE"""),"230eb128")</f>
        <v>230eb128</v>
      </c>
      <c r="BP11" s="29" t="str">
        <f ca="1">IFERROR(__xludf.DUMMYFUNCTION("""COMPUTED_VALUE"""),"Silao de la Victoria")</f>
        <v>Silao de la Victoria</v>
      </c>
      <c r="BQ11" s="30" t="str">
        <f ca="1">IFERROR(__xludf.DUMMYFUNCTION("""COMPUTED_VALUE"""),"Urbano")</f>
        <v>Urbano</v>
      </c>
      <c r="BR11" s="30">
        <f ca="1">IFERROR(__xludf.DUMMYFUNCTION("""COMPUTED_VALUE"""),215)</f>
        <v>215</v>
      </c>
      <c r="BS11" s="30" t="str">
        <f ca="1">IFERROR(__xludf.DUMMYFUNCTION("""COMPUTED_VALUE"""),"Silao")</f>
        <v>Silao</v>
      </c>
      <c r="BT11" s="30"/>
      <c r="BU11" s="30" t="str">
        <f ca="1">IFERROR(__xludf.DUMMYFUNCTION("""COMPUTED_VALUE"""),"Si")</f>
        <v>Si</v>
      </c>
      <c r="BV11" s="30" t="str">
        <f ca="1">IFERROR(__xludf.DUMMYFUNCTION("""COMPUTED_VALUE"""),"Si")</f>
        <v>Si</v>
      </c>
      <c r="BW11" s="30">
        <f ca="1">IFERROR(__xludf.DUMMYFUNCTION("""COMPUTED_VALUE"""),101)</f>
        <v>101</v>
      </c>
      <c r="BX11" s="30"/>
      <c r="BY11" s="30">
        <f ca="1">IFERROR(__xludf.DUMMYFUNCTION("""COMPUTED_VALUE"""),101)</f>
        <v>101</v>
      </c>
      <c r="BZ11" s="30" t="str">
        <f ca="1">IFERROR(__xludf.DUMMYFUNCTION("""COMPUTED_VALUE"""),"Silao")</f>
        <v>Silao</v>
      </c>
      <c r="CA11" s="30" t="str">
        <f ca="1">IFERROR(__xludf.DUMMYFUNCTION("""COMPUTED_VALUE"""),"No")</f>
        <v>No</v>
      </c>
      <c r="CB11" s="30" t="str">
        <f ca="1">IFERROR(__xludf.DUMMYFUNCTION("""COMPUTED_VALUE"""),"No")</f>
        <v>No</v>
      </c>
      <c r="CC11" s="30" t="str">
        <f ca="1">IFERROR(__xludf.DUMMYFUNCTION("""COMPUTED_VALUE"""),"c2ee559e")</f>
        <v>c2ee559e</v>
      </c>
      <c r="CD11" s="29" t="str">
        <f ca="1">IFERROR(__xludf.DUMMYFUNCTION("""COMPUTED_VALUE"""),"Adultos (30 a 59 años)")</f>
        <v>Adultos (30 a 59 años)</v>
      </c>
      <c r="CE11" s="30" t="str">
        <f ca="1">IFERROR(__xludf.DUMMYFUNCTION("""COMPUTED_VALUE"""),"Dato global")</f>
        <v>Dato global</v>
      </c>
      <c r="CF11" s="30" t="str">
        <f ca="1">IFERROR(__xludf.DUMMYFUNCTION("""COMPUTED_VALUE"""),"Ninguno (Población General)")</f>
        <v>Ninguno (Población General)</v>
      </c>
      <c r="CG11" s="30">
        <f ca="1">IFERROR(__xludf.DUMMYFUNCTION("""COMPUTED_VALUE"""),101)</f>
        <v>101</v>
      </c>
      <c r="CI11" s="30" t="str">
        <f ca="1">IFERROR(__xludf.DUMMYFUNCTION("""COMPUTED_VALUE"""),"6099ac88")</f>
        <v>6099ac88</v>
      </c>
      <c r="CJ11" s="29" t="str">
        <f ca="1">IFERROR(__xludf.DUMMYFUNCTION("""COMPUTED_VALUE"""),"Regitro_Evidencia_Files_/6099ac88.Archivo_Evidencia.202624. Miriam Villaseñor Comunidades y Museos.pdf")</f>
        <v>Regitro_Evidencia_Files_/6099ac88.Archivo_Evidencia.202624. Miriam Villaseñor Comunidades y Museos.pdf</v>
      </c>
      <c r="CK11" s="30" t="str">
        <f ca="1">IFERROR(__xludf.DUMMYFUNCTION("""COMPUTED_VALUE"""),"PDF")</f>
        <v>PDF</v>
      </c>
      <c r="CL11" s="30"/>
      <c r="CM11" s="30" t="str">
        <f ca="1">IFERROR(__xludf.DUMMYFUNCTION("""COMPUTED_VALUE"""),"Silao de la Victoria")</f>
        <v>Silao de la Victoria</v>
      </c>
      <c r="CN11" s="32" t="e">
        <f ca="1"/>
        <v>#NAME?</v>
      </c>
      <c r="CO11" s="32" t="e">
        <f ca="1"/>
        <v>#NAME?</v>
      </c>
      <c r="CP11" s="32" t="e">
        <f ca="1"/>
        <v>#NAME?</v>
      </c>
      <c r="CQ11" s="30" t="e">
        <f ca="1"/>
        <v>#NAME?</v>
      </c>
      <c r="CR11" s="30" t="e">
        <f ca="1"/>
        <v>#NAME?</v>
      </c>
      <c r="CS11" s="30" t="str">
        <f ca="1">IFERROR(__xludf.DUMMYFUNCTION("""COMPUTED_VALUE"""),"Ninguno (Población General)")</f>
        <v>Ninguno (Población General)</v>
      </c>
      <c r="CU11" s="32"/>
      <c r="CV11" s="32"/>
      <c r="CW11" s="32"/>
    </row>
    <row r="12" spans="1:101" ht="15.75" customHeight="1">
      <c r="A12" s="29" t="str">
        <f ca="1">IFERROR(__xludf.DUMMYFUNCTION("""COMPUTED_VALUE"""),"ACT00041")</f>
        <v>ACT00041</v>
      </c>
      <c r="B12" s="30" t="str">
        <f ca="1">IFERROR(__xludf.DUMMYFUNCTION("""COMPUTED_VALUE"""),"SC-260611-143318")</f>
        <v>SC-260611-143318</v>
      </c>
      <c r="C12" s="62">
        <f ca="1">IFERROR(__xludf.DUMMYFUNCTION("""COMPUTED_VALUE"""),46184.6064583333)</f>
        <v>46184.606458333299</v>
      </c>
      <c r="D12" s="30">
        <f ca="1">IFERROR(__xludf.DUMMYFUNCTION("""COMPUTED_VALUE"""),92)</f>
        <v>92</v>
      </c>
      <c r="E12" s="30" t="str">
        <f ca="1">IFERROR(__xludf.DUMMYFUNCTION("""COMPUTED_VALUE"""),"PB3572")</f>
        <v>PB3572</v>
      </c>
      <c r="F1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 s="30" t="str">
        <f ca="1">IFERROR(__xludf.DUMMYFUNCTION("""COMPUTED_VALUE"""),"SUBSECRETARÍA DE DESARROLLO Y PROMOCIÓN ARTÍSTICA Y CULTURAL")</f>
        <v>SUBSECRETARÍA DE DESARROLLO Y PROMOCIÓN ARTÍSTICA Y CULTURAL</v>
      </c>
      <c r="I12" s="63" t="str">
        <f ca="1">IFERROR(__xludf.DUMMYFUNCTION("""COMPUTED_VALUE"""),"DIRECCIÓN GENERAL DE MUSEOS, ARTES VISUALES Y EXPOSICIONES")</f>
        <v>DIRECCIÓN GENERAL DE MUSEOS, ARTES VISUALES Y EXPOSICIONES</v>
      </c>
      <c r="J12" s="30" t="str">
        <f ca="1">IFERROR(__xludf.DUMMYFUNCTION("""COMPUTED_VALUE"""),"Número de Actividades realizadas")</f>
        <v>Número de Actividades realizadas</v>
      </c>
      <c r="K12" s="30">
        <f ca="1">IFERROR(__xludf.DUMMYFUNCTION("""COMPUTED_VALUE"""),800)</f>
        <v>800</v>
      </c>
      <c r="L12" s="30" t="str">
        <f ca="1">IFERROR(__xludf.DUMMYFUNCTION("""COMPUTED_VALUE"""),"Cultural")</f>
        <v>Cultural</v>
      </c>
      <c r="M12" s="30" t="str">
        <f ca="1">IFERROR(__xludf.DUMMYFUNCTION("""COMPUTED_VALUE"""),"1 EEM ""Conociendo los museos de Guanajuato. Sesion de PechaKucha""")</f>
        <v>1 EEM "Conociendo los museos de Guanajuato. Sesion de PechaKucha"</v>
      </c>
      <c r="N12" s="30" t="str">
        <f ca="1">IFERROR(__xludf.DUMMYFUNCTION("""COMPUTED_VALUE"""),"Presentación de los museos con la dinámica PechaKucha.")</f>
        <v>Presentación de los museos con la dinámica PechaKucha.</v>
      </c>
      <c r="O12" s="30" t="str">
        <f ca="1">IFERROR(__xludf.DUMMYFUNCTION("""COMPUTED_VALUE"""),"Única")</f>
        <v>Única</v>
      </c>
      <c r="P12" s="33">
        <f ca="1">IFERROR(__xludf.DUMMYFUNCTION("""COMPUTED_VALUE"""),46170)</f>
        <v>46170</v>
      </c>
      <c r="Q12" s="64">
        <f ca="1">IFERROR(__xludf.DUMMYFUNCTION("""COMPUTED_VALUE"""),46170)</f>
        <v>46170</v>
      </c>
      <c r="R12" s="30">
        <f ca="1">IFERROR(__xludf.DUMMYFUNCTION("""COMPUTED_VALUE"""),1)</f>
        <v>1</v>
      </c>
      <c r="S12" s="30" t="str">
        <f ca="1">IFERROR(__xludf.DUMMYFUNCTION("""COMPUTED_VALUE"""),"Cultura comunitaria")</f>
        <v>Cultura comunitaria</v>
      </c>
      <c r="T12" s="30" t="str">
        <f ca="1">IFERROR(__xludf.DUMMYFUNCTION("""COMPUTED_VALUE"""),"Gestión cultural")</f>
        <v>Gestión cultural</v>
      </c>
      <c r="U12" s="30" t="str">
        <f ca="1">IFERROR(__xludf.DUMMYFUNCTION("""COMPUTED_VALUE"""),"Vinculación")</f>
        <v>Vinculación</v>
      </c>
      <c r="V12" s="30" t="str">
        <f ca="1">IFERROR(__xludf.DUMMYFUNCTION("""COMPUTED_VALUE"""),"Ninguna")</f>
        <v>Ninguna</v>
      </c>
      <c r="W12" s="30" t="str">
        <f ca="1">IFERROR(__xludf.DUMMYFUNCTION("""COMPUTED_VALUE"""),"Presencial")</f>
        <v>Presencial</v>
      </c>
      <c r="X12" s="30" t="str">
        <f ca="1">IFERROR(__xludf.DUMMYFUNCTION("""COMPUTED_VALUE"""),"Espacio Privado")</f>
        <v>Espacio Privado</v>
      </c>
      <c r="Y12" s="30"/>
      <c r="Z12" s="30" t="str">
        <f ca="1">IFERROR(__xludf.DUMMYFUNCTION("""COMPUTED_VALUE"""),"Hotel Hotsson")</f>
        <v>Hotel Hotsson</v>
      </c>
      <c r="AA12" s="30"/>
      <c r="AB12" s="30" t="b">
        <f ca="1">IFERROR(__xludf.DUMMYFUNCTION("""COMPUTED_VALUE"""),FALSE)</f>
        <v>0</v>
      </c>
      <c r="AC12" s="30"/>
      <c r="AD12" s="30" t="b">
        <f ca="1">IFERROR(__xludf.DUMMYFUNCTION("""COMPUTED_VALUE"""),FALSE)</f>
        <v>0</v>
      </c>
      <c r="AE12" s="30"/>
      <c r="AF12" s="30" t="b">
        <f ca="1">IFERROR(__xludf.DUMMYFUNCTION("""COMPUTED_VALUE"""),FALSE)</f>
        <v>0</v>
      </c>
      <c r="AG12" s="30"/>
      <c r="AH12" s="30" t="str">
        <f ca="1">IFERROR(__xludf.DUMMYFUNCTION("""COMPUTED_VALUE"""),"Sin costo")</f>
        <v>Sin costo</v>
      </c>
      <c r="AI12" s="30"/>
      <c r="AJ12" s="30"/>
      <c r="AK12" s="30"/>
      <c r="AL12" s="30" t="str">
        <f ca="1">IFERROR(__xludf.DUMMYFUNCTION("""COMPUTED_VALUE"""),"ccardonav@guanajuato.gob.mx")</f>
        <v>ccardonav@guanajuato.gob.mx</v>
      </c>
      <c r="AM12"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2" s="30" t="str">
        <f ca="1">IFERROR(__xludf.DUMMYFUNCTION("""COMPUTED_VALUE"""),"2 Igualdad")</f>
        <v>2 Igualdad</v>
      </c>
      <c r="AO12" s="30" t="str">
        <f ca="1">IFERROR(__xludf.DUMMYFUNCTION("""COMPUTED_VALUE"""),"2.4 Reducir brechas de desigualdad")</f>
        <v>2.4 Reducir brechas de desigualdad</v>
      </c>
      <c r="AP12" s="30" t="str">
        <f ca="1">IFERROR(__xludf.DUMMYFUNCTION("""COMPUTED_VALUE"""),"2.4.3 Descentralización de la oferta cultural")</f>
        <v>2.4.3 Descentralización de la oferta cultural</v>
      </c>
      <c r="AQ12" s="30" t="str">
        <f ca="1">IFERROR(__xludf.DUMMYFUNCTION("""COMPUTED_VALUE"""),"2.4.3.3 Incidir en el involucramiento de las personas con el ecosistema cultural")</f>
        <v>2.4.3.3 Incidir en el involucramiento de las personas con el ecosistema cultural</v>
      </c>
      <c r="AR12" s="30" t="str">
        <f ca="1">IFERROR(__xludf.DUMMYFUNCTION("""COMPUTED_VALUE"""),"Inclusión")</f>
        <v>Inclusión</v>
      </c>
      <c r="AS12" s="30"/>
      <c r="AT12" s="30" t="str">
        <f ca="1">IFERROR(__xludf.DUMMYFUNCTION("""COMPUTED_VALUE"""),"Fortalecimiento de la participación ciudadana y la mediación cultural")</f>
        <v>Fortalecimiento de la participación ciudadana y la mediación cultural</v>
      </c>
      <c r="AU12" s="30" t="str">
        <f ca="1">IFERROR(__xludf.DUMMYFUNCTION("""COMPUTED_VALUE"""),"Fortalecimiento del diálogo, la mediación y las capacidades de las redes comunitarias.")</f>
        <v>Fortalecimiento del diálogo, la mediación y las capacidades de las redes comunitarias.</v>
      </c>
      <c r="AV12" s="30" t="str">
        <f ca="1">IFERROR(__xludf.DUMMYFUNCTION("""COMPUTED_VALUE"""),"Fortalecer las capacidades de autoridades locales y estatales")</f>
        <v>Fortalecer las capacidades de autoridades locales y estatales</v>
      </c>
      <c r="AW12" s="30" t="str">
        <f ca="1">IFERROR(__xludf.DUMMYFUNCTION("""COMPUTED_VALUE"""),"Incrementar en 25% la oferta cultural realizada en los municipios.")</f>
        <v>Incrementar en 25% la oferta cultural realizada en los municipios.</v>
      </c>
      <c r="AX12" s="30" t="str">
        <f ca="1">IFERROR(__xludf.DUMMYFUNCTION("""COMPUTED_VALUE"""),"Encuentro cultural")</f>
        <v>Encuentro cultural</v>
      </c>
      <c r="AY12" s="30" t="str">
        <f ca="1">IFERROR(__xludf.DUMMYFUNCTION("""COMPUTED_VALUE"""),"Circulación / Exhibición")</f>
        <v>Circulación / Exhibición</v>
      </c>
      <c r="AZ12" s="30"/>
      <c r="BA12" s="30"/>
      <c r="BB12" s="30"/>
      <c r="BC12" s="30">
        <f ca="1">IFERROR(__xludf.DUMMYFUNCTION("""COMPUTED_VALUE"""),0)</f>
        <v>0</v>
      </c>
      <c r="BD12" s="30"/>
      <c r="BE12" s="30"/>
      <c r="BF12" s="30" t="b">
        <f ca="1">IFERROR(__xludf.DUMMYFUNCTION("""COMPUTED_VALUE"""),TRUE)</f>
        <v>1</v>
      </c>
      <c r="BG12" s="30" t="str">
        <f ca="1">IFERROR(__xludf.DUMMYFUNCTION("""COMPUTED_VALUE"""),"Asesoría")</f>
        <v>Asesoría</v>
      </c>
      <c r="BH12" s="30"/>
      <c r="BI12" s="30"/>
      <c r="BJ12" s="30"/>
      <c r="BK12" s="30"/>
      <c r="BL12" s="30"/>
      <c r="BM12" s="30" t="str">
        <f ca="1">IFERROR(__xludf.DUMMYFUNCTION("""COMPUTED_VALUE"""),"No")</f>
        <v>No</v>
      </c>
      <c r="BN12" s="30" t="str">
        <f ca="1">IFERROR(__xludf.DUMMYFUNCTION("""COMPUTED_VALUE"""),"Acompañamiento Técnico")</f>
        <v>Acompañamiento Técnico</v>
      </c>
      <c r="BO12" s="30" t="str">
        <f ca="1">IFERROR(__xludf.DUMMYFUNCTION("""COMPUTED_VALUE"""),"1aadd56c")</f>
        <v>1aadd56c</v>
      </c>
      <c r="BP12" s="29" t="str">
        <f ca="1">IFERROR(__xludf.DUMMYFUNCTION("""COMPUTED_VALUE"""),"Silao de la Victoria")</f>
        <v>Silao de la Victoria</v>
      </c>
      <c r="BQ12" s="30" t="str">
        <f ca="1">IFERROR(__xludf.DUMMYFUNCTION("""COMPUTED_VALUE"""),"Urbano")</f>
        <v>Urbano</v>
      </c>
      <c r="BR12" s="30">
        <f ca="1">IFERROR(__xludf.DUMMYFUNCTION("""COMPUTED_VALUE"""),215)</f>
        <v>215</v>
      </c>
      <c r="BS12" s="30" t="str">
        <f ca="1">IFERROR(__xludf.DUMMYFUNCTION("""COMPUTED_VALUE"""),"Silao")</f>
        <v>Silao</v>
      </c>
      <c r="BT12" s="30"/>
      <c r="BU12" s="30" t="str">
        <f ca="1">IFERROR(__xludf.DUMMYFUNCTION("""COMPUTED_VALUE"""),"Si")</f>
        <v>Si</v>
      </c>
      <c r="BV12" s="30" t="str">
        <f ca="1">IFERROR(__xludf.DUMMYFUNCTION("""COMPUTED_VALUE"""),"Si")</f>
        <v>Si</v>
      </c>
      <c r="BW12" s="30">
        <f ca="1">IFERROR(__xludf.DUMMYFUNCTION("""COMPUTED_VALUE"""),101)</f>
        <v>101</v>
      </c>
      <c r="BX12" s="30">
        <f ca="1">IFERROR(__xludf.DUMMYFUNCTION("""COMPUTED_VALUE"""),101)</f>
        <v>101</v>
      </c>
      <c r="BY12" s="30">
        <f ca="1">IFERROR(__xludf.DUMMYFUNCTION("""COMPUTED_VALUE"""),0)</f>
        <v>0</v>
      </c>
      <c r="BZ12" s="30" t="str">
        <f ca="1">IFERROR(__xludf.DUMMYFUNCTION("""COMPUTED_VALUE"""),"Silao")</f>
        <v>Silao</v>
      </c>
      <c r="CA12" s="30" t="str">
        <f ca="1">IFERROR(__xludf.DUMMYFUNCTION("""COMPUTED_VALUE"""),"No")</f>
        <v>No</v>
      </c>
      <c r="CB12" s="30" t="str">
        <f ca="1">IFERROR(__xludf.DUMMYFUNCTION("""COMPUTED_VALUE"""),"No")</f>
        <v>No</v>
      </c>
      <c r="CC12" s="30" t="str">
        <f ca="1">IFERROR(__xludf.DUMMYFUNCTION("""COMPUTED_VALUE"""),"a16577fe")</f>
        <v>a16577fe</v>
      </c>
      <c r="CD12" s="29" t="str">
        <f ca="1">IFERROR(__xludf.DUMMYFUNCTION("""COMPUTED_VALUE"""),"Adultos (30 a 59 años)")</f>
        <v>Adultos (30 a 59 años)</v>
      </c>
      <c r="CE12" s="30" t="str">
        <f ca="1">IFERROR(__xludf.DUMMYFUNCTION("""COMPUTED_VALUE"""),"Dato global")</f>
        <v>Dato global</v>
      </c>
      <c r="CF12" s="30" t="str">
        <f ca="1">IFERROR(__xludf.DUMMYFUNCTION("""COMPUTED_VALUE"""),"Ninguno (Población General)")</f>
        <v>Ninguno (Población General)</v>
      </c>
      <c r="CG12" s="30">
        <f ca="1">IFERROR(__xludf.DUMMYFUNCTION("""COMPUTED_VALUE"""),101)</f>
        <v>101</v>
      </c>
      <c r="CI12" s="30" t="str">
        <f ca="1">IFERROR(__xludf.DUMMYFUNCTION("""COMPUTED_VALUE"""),"3f019299")</f>
        <v>3f019299</v>
      </c>
      <c r="CJ12" s="29" t="str">
        <f ca="1">IFERROR(__xludf.DUMMYFUNCTION("""COMPUTED_VALUE"""),"Regitro_Evidencia_Files_/3f019299.Archivo_Evidencia.213906.39.pdf")</f>
        <v>Regitro_Evidencia_Files_/3f019299.Archivo_Evidencia.213906.39.pdf</v>
      </c>
      <c r="CK12" s="30" t="str">
        <f ca="1">IFERROR(__xludf.DUMMYFUNCTION("""COMPUTED_VALUE"""),"PDF")</f>
        <v>PDF</v>
      </c>
      <c r="CL12" s="30"/>
      <c r="CM12" s="30" t="str">
        <f ca="1">IFERROR(__xludf.DUMMYFUNCTION("""COMPUTED_VALUE"""),"Silao de la Victoria")</f>
        <v>Silao de la Victoria</v>
      </c>
      <c r="CN12" s="32" t="e">
        <f ca="1"/>
        <v>#NAME?</v>
      </c>
      <c r="CO12" s="32" t="e">
        <f ca="1"/>
        <v>#NAME?</v>
      </c>
      <c r="CP12" s="32" t="e">
        <f ca="1"/>
        <v>#NAME?</v>
      </c>
      <c r="CQ12" s="30" t="e">
        <f ca="1"/>
        <v>#NAME?</v>
      </c>
      <c r="CR12" s="30" t="e">
        <f ca="1"/>
        <v>#NAME?</v>
      </c>
      <c r="CS12" s="30" t="str">
        <f ca="1">IFERROR(__xludf.DUMMYFUNCTION("""COMPUTED_VALUE"""),"Ninguno (Población General)")</f>
        <v>Ninguno (Población General)</v>
      </c>
      <c r="CU12" s="32"/>
      <c r="CV12" s="32"/>
      <c r="CW12" s="32"/>
    </row>
    <row r="13" spans="1:101" ht="15.75" customHeight="1">
      <c r="A13" s="29" t="str">
        <f ca="1">IFERROR(__xludf.DUMMYFUNCTION("""COMPUTED_VALUE"""),"ACT00042")</f>
        <v>ACT00042</v>
      </c>
      <c r="B13" s="30" t="str">
        <f ca="1">IFERROR(__xludf.DUMMYFUNCTION("""COMPUTED_VALUE"""),"SC-260611-154851")</f>
        <v>SC-260611-154851</v>
      </c>
      <c r="C13" s="62">
        <f ca="1">IFERROR(__xludf.DUMMYFUNCTION("""COMPUTED_VALUE"""),46184.6589236111)</f>
        <v>46184.658923611103</v>
      </c>
      <c r="D13" s="30">
        <f ca="1">IFERROR(__xludf.DUMMYFUNCTION("""COMPUTED_VALUE"""),92)</f>
        <v>92</v>
      </c>
      <c r="E13" s="30" t="str">
        <f ca="1">IFERROR(__xludf.DUMMYFUNCTION("""COMPUTED_VALUE"""),"PB3572")</f>
        <v>PB3572</v>
      </c>
      <c r="F1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3" s="30" t="str">
        <f ca="1">IFERROR(__xludf.DUMMYFUNCTION("""COMPUTED_VALUE"""),"SUBSECRETARÍA DE DESARROLLO Y PROMOCIÓN ARTÍSTICA Y CULTURAL")</f>
        <v>SUBSECRETARÍA DE DESARROLLO Y PROMOCIÓN ARTÍSTICA Y CULTURAL</v>
      </c>
      <c r="I13" s="63" t="str">
        <f ca="1">IFERROR(__xludf.DUMMYFUNCTION("""COMPUTED_VALUE"""),"DIRECCIÓN GENERAL DE MUSEOS, ARTES VISUALES Y EXPOSICIONES")</f>
        <v>DIRECCIÓN GENERAL DE MUSEOS, ARTES VISUALES Y EXPOSICIONES</v>
      </c>
      <c r="J13" s="30" t="str">
        <f ca="1">IFERROR(__xludf.DUMMYFUNCTION("""COMPUTED_VALUE"""),"Número de Actividades realizadas")</f>
        <v>Número de Actividades realizadas</v>
      </c>
      <c r="K13" s="30">
        <f ca="1">IFERROR(__xludf.DUMMYFUNCTION("""COMPUTED_VALUE"""),800)</f>
        <v>800</v>
      </c>
      <c r="L13" s="30" t="str">
        <f ca="1">IFERROR(__xludf.DUMMYFUNCTION("""COMPUTED_VALUE"""),"Cultural")</f>
        <v>Cultural</v>
      </c>
      <c r="M13" s="30" t="str">
        <f ca="1">IFERROR(__xludf.DUMMYFUNCTION("""COMPUTED_VALUE"""),"1 EEM "" Conferencia el diseño de exhibiciones""")</f>
        <v>1 EEM " Conferencia el diseño de exhibiciones"</v>
      </c>
      <c r="N13" s="30" t="str">
        <f ca="1">IFERROR(__xludf.DUMMYFUNCTION("""COMPUTED_VALUE"""),"La conferencia se centró en la importancia de mirar a los públicos. Imparte Gabriel Horner en conversación con Óscar Ascencio.")</f>
        <v>La conferencia se centró en la importancia de mirar a los públicos. Imparte Gabriel Horner en conversación con Óscar Ascencio.</v>
      </c>
      <c r="O13" s="30" t="str">
        <f ca="1">IFERROR(__xludf.DUMMYFUNCTION("""COMPUTED_VALUE"""),"Única")</f>
        <v>Única</v>
      </c>
      <c r="P13" s="33">
        <f ca="1">IFERROR(__xludf.DUMMYFUNCTION("""COMPUTED_VALUE"""),46170)</f>
        <v>46170</v>
      </c>
      <c r="Q13" s="64">
        <f ca="1">IFERROR(__xludf.DUMMYFUNCTION("""COMPUTED_VALUE"""),46170)</f>
        <v>46170</v>
      </c>
      <c r="R13" s="30">
        <f ca="1">IFERROR(__xludf.DUMMYFUNCTION("""COMPUTED_VALUE"""),1)</f>
        <v>1</v>
      </c>
      <c r="S13" s="30" t="str">
        <f ca="1">IFERROR(__xludf.DUMMYFUNCTION("""COMPUTED_VALUE"""),"Cultura comunitaria")</f>
        <v>Cultura comunitaria</v>
      </c>
      <c r="T13" s="30" t="str">
        <f ca="1">IFERROR(__xludf.DUMMYFUNCTION("""COMPUTED_VALUE"""),"Gestión cultural")</f>
        <v>Gestión cultural</v>
      </c>
      <c r="U13" s="30" t="str">
        <f ca="1">IFERROR(__xludf.DUMMYFUNCTION("""COMPUTED_VALUE"""),"Conferencia")</f>
        <v>Conferencia</v>
      </c>
      <c r="V13" s="30" t="str">
        <f ca="1">IFERROR(__xludf.DUMMYFUNCTION("""COMPUTED_VALUE"""),"Ninguna")</f>
        <v>Ninguna</v>
      </c>
      <c r="W13" s="30" t="str">
        <f ca="1">IFERROR(__xludf.DUMMYFUNCTION("""COMPUTED_VALUE"""),"Presencial")</f>
        <v>Presencial</v>
      </c>
      <c r="X13" s="30" t="str">
        <f ca="1">IFERROR(__xludf.DUMMYFUNCTION("""COMPUTED_VALUE"""),"Espacio Privado")</f>
        <v>Espacio Privado</v>
      </c>
      <c r="Y13" s="30"/>
      <c r="Z13" s="30" t="str">
        <f ca="1">IFERROR(__xludf.DUMMYFUNCTION("""COMPUTED_VALUE"""),"Hotel Hotsson")</f>
        <v>Hotel Hotsson</v>
      </c>
      <c r="AA13" s="30"/>
      <c r="AB13" s="30" t="b">
        <f ca="1">IFERROR(__xludf.DUMMYFUNCTION("""COMPUTED_VALUE"""),FALSE)</f>
        <v>0</v>
      </c>
      <c r="AC13" s="30"/>
      <c r="AD13" s="30" t="b">
        <f ca="1">IFERROR(__xludf.DUMMYFUNCTION("""COMPUTED_VALUE"""),TRUE)</f>
        <v>1</v>
      </c>
      <c r="AE13" s="30">
        <f ca="1">IFERROR(__xludf.DUMMYFUNCTION("""COMPUTED_VALUE"""),1)</f>
        <v>1</v>
      </c>
      <c r="AF13" s="30" t="b">
        <f ca="1">IFERROR(__xludf.DUMMYFUNCTION("""COMPUTED_VALUE"""),FALSE)</f>
        <v>0</v>
      </c>
      <c r="AG13" s="30"/>
      <c r="AH13" s="30" t="str">
        <f ca="1">IFERROR(__xludf.DUMMYFUNCTION("""COMPUTED_VALUE"""),"Sin costo")</f>
        <v>Sin costo</v>
      </c>
      <c r="AI13" s="30"/>
      <c r="AJ13" s="30"/>
      <c r="AK13" s="30"/>
      <c r="AL13" s="30" t="str">
        <f ca="1">IFERROR(__xludf.DUMMYFUNCTION("""COMPUTED_VALUE"""),"ccardonav@guanajuato.gob.mx")</f>
        <v>ccardonav@guanajuato.gob.mx</v>
      </c>
      <c r="AM13"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3" s="30" t="str">
        <f ca="1">IFERROR(__xludf.DUMMYFUNCTION("""COMPUTED_VALUE"""),"2 Igualdad")</f>
        <v>2 Igualdad</v>
      </c>
      <c r="AO13" s="30" t="str">
        <f ca="1">IFERROR(__xludf.DUMMYFUNCTION("""COMPUTED_VALUE"""),"2.4 Reducir brechas de desigualdad")</f>
        <v>2.4 Reducir brechas de desigualdad</v>
      </c>
      <c r="AP13" s="30" t="str">
        <f ca="1">IFERROR(__xludf.DUMMYFUNCTION("""COMPUTED_VALUE"""),"2.4.3 Descentralización de la oferta cultural")</f>
        <v>2.4.3 Descentralización de la oferta cultural</v>
      </c>
      <c r="AQ13" s="30" t="str">
        <f ca="1">IFERROR(__xludf.DUMMYFUNCTION("""COMPUTED_VALUE"""),"2.4.3.3 Incidir en el involucramiento de las personas con el ecosistema cultural")</f>
        <v>2.4.3.3 Incidir en el involucramiento de las personas con el ecosistema cultural</v>
      </c>
      <c r="AR13" s="30" t="str">
        <f ca="1">IFERROR(__xludf.DUMMYFUNCTION("""COMPUTED_VALUE"""),"Cooperación")</f>
        <v>Cooperación</v>
      </c>
      <c r="AS13" s="30"/>
      <c r="AT13" s="30" t="str">
        <f ca="1">IFERROR(__xludf.DUMMYFUNCTION("""COMPUTED_VALUE"""),"Fortalecimiento de la participación ciudadana y la mediación cultural")</f>
        <v>Fortalecimiento de la participación ciudadana y la mediación cultural</v>
      </c>
      <c r="AU13" s="30" t="str">
        <f ca="1">IFERROR(__xludf.DUMMYFUNCTION("""COMPUTED_VALUE"""),"Fortalecimiento del diálogo, la mediación y las capacidades de las redes comunitarias.")</f>
        <v>Fortalecimiento del diálogo, la mediación y las capacidades de las redes comunitarias.</v>
      </c>
      <c r="AV13" s="30" t="str">
        <f ca="1">IFERROR(__xludf.DUMMYFUNCTION("""COMPUTED_VALUE"""),"Fortalecer las capacidades de autoridades locales y estatales")</f>
        <v>Fortalecer las capacidades de autoridades locales y estatales</v>
      </c>
      <c r="AW13" s="30" t="str">
        <f ca="1">IFERROR(__xludf.DUMMYFUNCTION("""COMPUTED_VALUE"""),"Incrementar en 25% la oferta cultural realizada en los municipios.")</f>
        <v>Incrementar en 25% la oferta cultural realizada en los municipios.</v>
      </c>
      <c r="AX13" s="30" t="str">
        <f ca="1">IFERROR(__xludf.DUMMYFUNCTION("""COMPUTED_VALUE"""),"Asesoría especializada")</f>
        <v>Asesoría especializada</v>
      </c>
      <c r="AY13" s="30" t="str">
        <f ca="1">IFERROR(__xludf.DUMMYFUNCTION("""COMPUTED_VALUE"""),"Mediación")</f>
        <v>Mediación</v>
      </c>
      <c r="AZ13" s="30"/>
      <c r="BA13" s="30"/>
      <c r="BB13" s="30"/>
      <c r="BC13" s="30">
        <f ca="1">IFERROR(__xludf.DUMMYFUNCTION("""COMPUTED_VALUE"""),0)</f>
        <v>0</v>
      </c>
      <c r="BD13" s="30"/>
      <c r="BE13" s="30"/>
      <c r="BF13" s="30" t="b">
        <f ca="1">IFERROR(__xludf.DUMMYFUNCTION("""COMPUTED_VALUE"""),TRUE)</f>
        <v>1</v>
      </c>
      <c r="BG13" s="30" t="str">
        <f ca="1">IFERROR(__xludf.DUMMYFUNCTION("""COMPUTED_VALUE"""),"Asesoría")</f>
        <v>Asesoría</v>
      </c>
      <c r="BH13" s="30"/>
      <c r="BI13" s="30"/>
      <c r="BJ13" s="30"/>
      <c r="BK13" s="30"/>
      <c r="BL13" s="30" t="str">
        <f ca="1">IFERROR(__xludf.DUMMYFUNCTION("""COMPUTED_VALUE"""),"Contrato de Prestacion de Servicios")</f>
        <v>Contrato de Prestacion de Servicios</v>
      </c>
      <c r="BM13" s="30" t="str">
        <f ca="1">IFERROR(__xludf.DUMMYFUNCTION("""COMPUTED_VALUE"""),"Sí")</f>
        <v>Sí</v>
      </c>
      <c r="BN13" s="30"/>
      <c r="BO13" s="30" t="str">
        <f ca="1">IFERROR(__xludf.DUMMYFUNCTION("""COMPUTED_VALUE"""),"5d4f3ca5")</f>
        <v>5d4f3ca5</v>
      </c>
      <c r="BP13" s="29" t="str">
        <f ca="1">IFERROR(__xludf.DUMMYFUNCTION("""COMPUTED_VALUE"""),"Silao de la Victoria")</f>
        <v>Silao de la Victoria</v>
      </c>
      <c r="BQ13" s="30" t="str">
        <f ca="1">IFERROR(__xludf.DUMMYFUNCTION("""COMPUTED_VALUE"""),"Urbano")</f>
        <v>Urbano</v>
      </c>
      <c r="BR13" s="30">
        <f ca="1">IFERROR(__xludf.DUMMYFUNCTION("""COMPUTED_VALUE"""),215)</f>
        <v>215</v>
      </c>
      <c r="BS13" s="30" t="str">
        <f ca="1">IFERROR(__xludf.DUMMYFUNCTION("""COMPUTED_VALUE"""),"Silao")</f>
        <v>Silao</v>
      </c>
      <c r="BT13" s="30"/>
      <c r="BU13" s="30" t="str">
        <f ca="1">IFERROR(__xludf.DUMMYFUNCTION("""COMPUTED_VALUE"""),"Si")</f>
        <v>Si</v>
      </c>
      <c r="BV13" s="30" t="str">
        <f ca="1">IFERROR(__xludf.DUMMYFUNCTION("""COMPUTED_VALUE"""),"Si")</f>
        <v>Si</v>
      </c>
      <c r="BW13" s="30">
        <f ca="1">IFERROR(__xludf.DUMMYFUNCTION("""COMPUTED_VALUE"""),101)</f>
        <v>101</v>
      </c>
      <c r="BX13" s="30"/>
      <c r="BY13" s="30">
        <f ca="1">IFERROR(__xludf.DUMMYFUNCTION("""COMPUTED_VALUE"""),101)</f>
        <v>101</v>
      </c>
      <c r="BZ13" s="30" t="str">
        <f ca="1">IFERROR(__xludf.DUMMYFUNCTION("""COMPUTED_VALUE"""),"Silao")</f>
        <v>Silao</v>
      </c>
      <c r="CA13" s="30" t="str">
        <f ca="1">IFERROR(__xludf.DUMMYFUNCTION("""COMPUTED_VALUE"""),"No")</f>
        <v>No</v>
      </c>
      <c r="CB13" s="30" t="str">
        <f ca="1">IFERROR(__xludf.DUMMYFUNCTION("""COMPUTED_VALUE"""),"No")</f>
        <v>No</v>
      </c>
      <c r="CC13" s="30" t="str">
        <f ca="1">IFERROR(__xludf.DUMMYFUNCTION("""COMPUTED_VALUE"""),"9db5ef59")</f>
        <v>9db5ef59</v>
      </c>
      <c r="CD13" s="29" t="str">
        <f ca="1">IFERROR(__xludf.DUMMYFUNCTION("""COMPUTED_VALUE"""),"Adultos (30 a 59 años)")</f>
        <v>Adultos (30 a 59 años)</v>
      </c>
      <c r="CE13" s="30" t="str">
        <f ca="1">IFERROR(__xludf.DUMMYFUNCTION("""COMPUTED_VALUE"""),"Dato global")</f>
        <v>Dato global</v>
      </c>
      <c r="CF13" s="30" t="str">
        <f ca="1">IFERROR(__xludf.DUMMYFUNCTION("""COMPUTED_VALUE"""),"Ninguno (Población General)")</f>
        <v>Ninguno (Población General)</v>
      </c>
      <c r="CG13" s="30">
        <f ca="1">IFERROR(__xludf.DUMMYFUNCTION("""COMPUTED_VALUE"""),101)</f>
        <v>101</v>
      </c>
      <c r="CI13" s="30" t="str">
        <f ca="1">IFERROR(__xludf.DUMMYFUNCTION("""COMPUTED_VALUE"""),"b863b6ef")</f>
        <v>b863b6ef</v>
      </c>
      <c r="CJ13" s="29" t="str">
        <f ca="1">IFERROR(__xludf.DUMMYFUNCTION("""COMPUTED_VALUE"""),"Regitro_Evidencia_Files_/b863b6ef.Archivo_Evidencia.221723.pdf")</f>
        <v>Regitro_Evidencia_Files_/b863b6ef.Archivo_Evidencia.221723.pdf</v>
      </c>
      <c r="CK13" s="30" t="str">
        <f ca="1">IFERROR(__xludf.DUMMYFUNCTION("""COMPUTED_VALUE"""),"PDF")</f>
        <v>PDF</v>
      </c>
      <c r="CL13" s="30"/>
      <c r="CM13" s="30" t="str">
        <f ca="1">IFERROR(__xludf.DUMMYFUNCTION("""COMPUTED_VALUE"""),"León")</f>
        <v>León</v>
      </c>
      <c r="CN13" s="32" t="e">
        <f ca="1"/>
        <v>#NAME?</v>
      </c>
      <c r="CO13" s="32" t="e">
        <f ca="1"/>
        <v>#NAME?</v>
      </c>
      <c r="CP13" s="32" t="e">
        <f ca="1"/>
        <v>#NAME?</v>
      </c>
      <c r="CQ13" s="30" t="e">
        <f ca="1"/>
        <v>#NAME?</v>
      </c>
      <c r="CR13" s="30" t="e">
        <f ca="1"/>
        <v>#NAME?</v>
      </c>
      <c r="CS13" s="30" t="str">
        <f ca="1">IFERROR(__xludf.DUMMYFUNCTION("""COMPUTED_VALUE"""),"Ninguno (Población General)")</f>
        <v>Ninguno (Población General)</v>
      </c>
      <c r="CU13" s="32"/>
      <c r="CV13" s="32"/>
      <c r="CW13" s="32"/>
    </row>
    <row r="14" spans="1:101" ht="15.75" customHeight="1">
      <c r="A14" s="29" t="str">
        <f ca="1">IFERROR(__xludf.DUMMYFUNCTION("""COMPUTED_VALUE"""),"ACT00043")</f>
        <v>ACT00043</v>
      </c>
      <c r="B14" s="30" t="str">
        <f ca="1">IFERROR(__xludf.DUMMYFUNCTION("""COMPUTED_VALUE"""),"SC-260612-103524")</f>
        <v>SC-260612-103524</v>
      </c>
      <c r="C14" s="62">
        <f ca="1">IFERROR(__xludf.DUMMYFUNCTION("""COMPUTED_VALUE"""),46185.44125)</f>
        <v>46185.441250000003</v>
      </c>
      <c r="D14" s="30">
        <f ca="1">IFERROR(__xludf.DUMMYFUNCTION("""COMPUTED_VALUE"""),92)</f>
        <v>92</v>
      </c>
      <c r="E14" s="30" t="str">
        <f ca="1">IFERROR(__xludf.DUMMYFUNCTION("""COMPUTED_VALUE"""),"PB3572")</f>
        <v>PB3572</v>
      </c>
      <c r="F1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4" s="30" t="str">
        <f ca="1">IFERROR(__xludf.DUMMYFUNCTION("""COMPUTED_VALUE"""),"SUBSECRETARÍA DE DESARROLLO Y PROMOCIÓN ARTÍSTICA Y CULTURAL")</f>
        <v>SUBSECRETARÍA DE DESARROLLO Y PROMOCIÓN ARTÍSTICA Y CULTURAL</v>
      </c>
      <c r="I14" s="34" t="str">
        <f ca="1">IFERROR(__xludf.DUMMYFUNCTION("""COMPUTED_VALUE"""),"DIRECCIÓN GENERAL DE MUSEOS, ARTES VISUALES Y EXPOSICIONES")</f>
        <v>DIRECCIÓN GENERAL DE MUSEOS, ARTES VISUALES Y EXPOSICIONES</v>
      </c>
      <c r="J14" s="30" t="str">
        <f ca="1">IFERROR(__xludf.DUMMYFUNCTION("""COMPUTED_VALUE"""),"Número de Actividades realizadas")</f>
        <v>Número de Actividades realizadas</v>
      </c>
      <c r="K14" s="30">
        <f ca="1">IFERROR(__xludf.DUMMYFUNCTION("""COMPUTED_VALUE"""),800)</f>
        <v>800</v>
      </c>
      <c r="L14" s="30" t="str">
        <f ca="1">IFERROR(__xludf.DUMMYFUNCTION("""COMPUTED_VALUE"""),"Cultural")</f>
        <v>Cultural</v>
      </c>
      <c r="M14" s="30" t="str">
        <f ca="1">IFERROR(__xludf.DUMMYFUNCTION("""COMPUTED_VALUE"""),"1 EEM "" ¿Qué somos Y qué tenemos en común?")</f>
        <v>1 EEM " ¿Qué somos Y qué tenemos en común?</v>
      </c>
      <c r="N14" s="30" t="str">
        <f ca="1">IFERROR(__xludf.DUMMYFUNCTION("""COMPUTED_VALUE"""),"Sesión de taller a cargo del Laboratorio Creativo Luciérnaga")</f>
        <v>Sesión de taller a cargo del Laboratorio Creativo Luciérnaga</v>
      </c>
      <c r="O14" s="30" t="str">
        <f ca="1">IFERROR(__xludf.DUMMYFUNCTION("""COMPUTED_VALUE"""),"Única")</f>
        <v>Única</v>
      </c>
      <c r="P14" s="33">
        <f ca="1">IFERROR(__xludf.DUMMYFUNCTION("""COMPUTED_VALUE"""),46170)</f>
        <v>46170</v>
      </c>
      <c r="Q14" s="64">
        <f ca="1">IFERROR(__xludf.DUMMYFUNCTION("""COMPUTED_VALUE"""),46170)</f>
        <v>46170</v>
      </c>
      <c r="R14" s="30">
        <f ca="1">IFERROR(__xludf.DUMMYFUNCTION("""COMPUTED_VALUE"""),1)</f>
        <v>1</v>
      </c>
      <c r="S14" s="30" t="str">
        <f ca="1">IFERROR(__xludf.DUMMYFUNCTION("""COMPUTED_VALUE"""),"Cultura comunitaria")</f>
        <v>Cultura comunitaria</v>
      </c>
      <c r="T14" s="30" t="str">
        <f ca="1">IFERROR(__xludf.DUMMYFUNCTION("""COMPUTED_VALUE"""),"Mediación cultural")</f>
        <v>Mediación cultural</v>
      </c>
      <c r="U14" s="30" t="str">
        <f ca="1">IFERROR(__xludf.DUMMYFUNCTION("""COMPUTED_VALUE"""),"Taller")</f>
        <v>Taller</v>
      </c>
      <c r="V14" s="30" t="str">
        <f ca="1">IFERROR(__xludf.DUMMYFUNCTION("""COMPUTED_VALUE"""),"Evaluación")</f>
        <v>Evaluación</v>
      </c>
      <c r="W14" s="30" t="str">
        <f ca="1">IFERROR(__xludf.DUMMYFUNCTION("""COMPUTED_VALUE"""),"Presencial")</f>
        <v>Presencial</v>
      </c>
      <c r="X14" s="30" t="str">
        <f ca="1">IFERROR(__xludf.DUMMYFUNCTION("""COMPUTED_VALUE"""),"Espacio Privado")</f>
        <v>Espacio Privado</v>
      </c>
      <c r="Y14" s="30"/>
      <c r="Z14" s="30" t="str">
        <f ca="1">IFERROR(__xludf.DUMMYFUNCTION("""COMPUTED_VALUE"""),"Hotel Hotsson")</f>
        <v>Hotel Hotsson</v>
      </c>
      <c r="AA14" s="30"/>
      <c r="AB14" s="30" t="b">
        <f ca="1">IFERROR(__xludf.DUMMYFUNCTION("""COMPUTED_VALUE"""),FALSE)</f>
        <v>0</v>
      </c>
      <c r="AC14" s="30"/>
      <c r="AD14" s="30" t="b">
        <f ca="1">IFERROR(__xludf.DUMMYFUNCTION("""COMPUTED_VALUE"""),TRUE)</f>
        <v>1</v>
      </c>
      <c r="AE14" s="30">
        <f ca="1">IFERROR(__xludf.DUMMYFUNCTION("""COMPUTED_VALUE"""),1)</f>
        <v>1</v>
      </c>
      <c r="AF14" s="30" t="b">
        <f ca="1">IFERROR(__xludf.DUMMYFUNCTION("""COMPUTED_VALUE"""),FALSE)</f>
        <v>0</v>
      </c>
      <c r="AG14" s="30"/>
      <c r="AH14" s="30" t="str">
        <f ca="1">IFERROR(__xludf.DUMMYFUNCTION("""COMPUTED_VALUE"""),"Sin costo")</f>
        <v>Sin costo</v>
      </c>
      <c r="AI14" s="30"/>
      <c r="AJ14" s="30"/>
      <c r="AK14" s="30"/>
      <c r="AL14" s="30" t="str">
        <f ca="1">IFERROR(__xludf.DUMMYFUNCTION("""COMPUTED_VALUE"""),"ccardonav@guanajuato.gob.mx")</f>
        <v>ccardonav@guanajuato.gob.mx</v>
      </c>
      <c r="AM14"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4" s="30" t="str">
        <f ca="1">IFERROR(__xludf.DUMMYFUNCTION("""COMPUTED_VALUE"""),"2 Igualdad")</f>
        <v>2 Igualdad</v>
      </c>
      <c r="AO14" s="30" t="str">
        <f ca="1">IFERROR(__xludf.DUMMYFUNCTION("""COMPUTED_VALUE"""),"2.4 Reducir brechas de desigualdad")</f>
        <v>2.4 Reducir brechas de desigualdad</v>
      </c>
      <c r="AP14" s="30" t="str">
        <f ca="1">IFERROR(__xludf.DUMMYFUNCTION("""COMPUTED_VALUE"""),"2.4.3 Descentralización de la oferta cultural")</f>
        <v>2.4.3 Descentralización de la oferta cultural</v>
      </c>
      <c r="AQ14" s="30" t="str">
        <f ca="1">IFERROR(__xludf.DUMMYFUNCTION("""COMPUTED_VALUE"""),"2.4.3.3 Incidir en el involucramiento de las personas con el ecosistema cultural")</f>
        <v>2.4.3.3 Incidir en el involucramiento de las personas con el ecosistema cultural</v>
      </c>
      <c r="AR14" s="30" t="str">
        <f ca="1">IFERROR(__xludf.DUMMYFUNCTION("""COMPUTED_VALUE"""),"Cooperación")</f>
        <v>Cooperación</v>
      </c>
      <c r="AS14" s="30"/>
      <c r="AT14" s="30" t="str">
        <f ca="1">IFERROR(__xludf.DUMMYFUNCTION("""COMPUTED_VALUE"""),"Fortalecimiento de la participación ciudadana y la mediación cultural")</f>
        <v>Fortalecimiento de la participación ciudadana y la mediación cultural</v>
      </c>
      <c r="AU14" s="30" t="str">
        <f ca="1">IFERROR(__xludf.DUMMYFUNCTION("""COMPUTED_VALUE"""),"Fortalecimiento del diálogo, la mediación y las capacidades de las redes comunitarias.")</f>
        <v>Fortalecimiento del diálogo, la mediación y las capacidades de las redes comunitarias.</v>
      </c>
      <c r="AV14" s="30" t="str">
        <f ca="1">IFERROR(__xludf.DUMMYFUNCTION("""COMPUTED_VALUE"""),"Fortalecer las capacidades de autoridades locales y estatales")</f>
        <v>Fortalecer las capacidades de autoridades locales y estatales</v>
      </c>
      <c r="AW14" s="30" t="str">
        <f ca="1">IFERROR(__xludf.DUMMYFUNCTION("""COMPUTED_VALUE"""),"Incrementar en 25% la oferta cultural realizada en los municipios.")</f>
        <v>Incrementar en 25% la oferta cultural realizada en los municipios.</v>
      </c>
      <c r="AX14" s="30" t="str">
        <f ca="1">IFERROR(__xludf.DUMMYFUNCTION("""COMPUTED_VALUE"""),"Taller")</f>
        <v>Taller</v>
      </c>
      <c r="AY14" s="30" t="str">
        <f ca="1">IFERROR(__xludf.DUMMYFUNCTION("""COMPUTED_VALUE"""),"Mediación")</f>
        <v>Mediación</v>
      </c>
      <c r="AZ14" s="30"/>
      <c r="BA14" s="30"/>
      <c r="BB14" s="30"/>
      <c r="BC14" s="30">
        <f ca="1">IFERROR(__xludf.DUMMYFUNCTION("""COMPUTED_VALUE"""),0)</f>
        <v>0</v>
      </c>
      <c r="BD14" s="30"/>
      <c r="BE14" s="30"/>
      <c r="BF14" s="30" t="b">
        <f ca="1">IFERROR(__xludf.DUMMYFUNCTION("""COMPUTED_VALUE"""),TRUE)</f>
        <v>1</v>
      </c>
      <c r="BG14" s="30" t="str">
        <f ca="1">IFERROR(__xludf.DUMMYFUNCTION("""COMPUTED_VALUE"""),"Asesoría")</f>
        <v>Asesoría</v>
      </c>
      <c r="BH14" s="30">
        <f ca="1">IFERROR(__xludf.DUMMYFUNCTION("""COMPUTED_VALUE"""),23200)</f>
        <v>23200</v>
      </c>
      <c r="BI14" s="30"/>
      <c r="BJ14" s="30"/>
      <c r="BK14" s="30"/>
      <c r="BL14" s="30" t="str">
        <f ca="1">IFERROR(__xludf.DUMMYFUNCTION("""COMPUTED_VALUE"""),"Contrato de Prestación de Servicios")</f>
        <v>Contrato de Prestación de Servicios</v>
      </c>
      <c r="BM14" s="30" t="str">
        <f ca="1">IFERROR(__xludf.DUMMYFUNCTION("""COMPUTED_VALUE"""),"Sí")</f>
        <v>Sí</v>
      </c>
      <c r="BN14" s="30" t="str">
        <f ca="1">IFERROR(__xludf.DUMMYFUNCTION("""COMPUTED_VALUE"""),"Acompañamiento Técnico")</f>
        <v>Acompañamiento Técnico</v>
      </c>
      <c r="BO14" s="30" t="str">
        <f ca="1">IFERROR(__xludf.DUMMYFUNCTION("""COMPUTED_VALUE"""),"73fac33e")</f>
        <v>73fac33e</v>
      </c>
      <c r="BP14" s="29" t="str">
        <f ca="1">IFERROR(__xludf.DUMMYFUNCTION("""COMPUTED_VALUE"""),"Silao de la Victoria")</f>
        <v>Silao de la Victoria</v>
      </c>
      <c r="BQ14" s="30" t="str">
        <f ca="1">IFERROR(__xludf.DUMMYFUNCTION("""COMPUTED_VALUE"""),"Urbano")</f>
        <v>Urbano</v>
      </c>
      <c r="BR14" s="30">
        <f ca="1">IFERROR(__xludf.DUMMYFUNCTION("""COMPUTED_VALUE"""),215)</f>
        <v>215</v>
      </c>
      <c r="BS14" s="30" t="str">
        <f ca="1">IFERROR(__xludf.DUMMYFUNCTION("""COMPUTED_VALUE"""),"Silao")</f>
        <v>Silao</v>
      </c>
      <c r="BT14" s="30"/>
      <c r="BU14" s="30" t="str">
        <f ca="1">IFERROR(__xludf.DUMMYFUNCTION("""COMPUTED_VALUE"""),"Si")</f>
        <v>Si</v>
      </c>
      <c r="BV14" s="30" t="str">
        <f ca="1">IFERROR(__xludf.DUMMYFUNCTION("""COMPUTED_VALUE"""),"Si")</f>
        <v>Si</v>
      </c>
      <c r="BW14" s="30">
        <f ca="1">IFERROR(__xludf.DUMMYFUNCTION("""COMPUTED_VALUE"""),101)</f>
        <v>101</v>
      </c>
      <c r="BX14" s="30"/>
      <c r="BY14" s="30">
        <f ca="1">IFERROR(__xludf.DUMMYFUNCTION("""COMPUTED_VALUE"""),101)</f>
        <v>101</v>
      </c>
      <c r="BZ14" s="30" t="str">
        <f ca="1">IFERROR(__xludf.DUMMYFUNCTION("""COMPUTED_VALUE"""),"Silao")</f>
        <v>Silao</v>
      </c>
      <c r="CA14" s="30" t="str">
        <f ca="1">IFERROR(__xludf.DUMMYFUNCTION("""COMPUTED_VALUE"""),"No")</f>
        <v>No</v>
      </c>
      <c r="CB14" s="30" t="str">
        <f ca="1">IFERROR(__xludf.DUMMYFUNCTION("""COMPUTED_VALUE"""),"No")</f>
        <v>No</v>
      </c>
      <c r="CC14" s="30" t="str">
        <f ca="1">IFERROR(__xludf.DUMMYFUNCTION("""COMPUTED_VALUE"""),"3cec0f76")</f>
        <v>3cec0f76</v>
      </c>
      <c r="CD14" s="29" t="str">
        <f ca="1">IFERROR(__xludf.DUMMYFUNCTION("""COMPUTED_VALUE"""),"Adultos (30 a 59 años)")</f>
        <v>Adultos (30 a 59 años)</v>
      </c>
      <c r="CE14" s="30" t="str">
        <f ca="1">IFERROR(__xludf.DUMMYFUNCTION("""COMPUTED_VALUE"""),"Dato global")</f>
        <v>Dato global</v>
      </c>
      <c r="CF14" s="30" t="str">
        <f ca="1">IFERROR(__xludf.DUMMYFUNCTION("""COMPUTED_VALUE"""),"Ninguno (Población General)")</f>
        <v>Ninguno (Población General)</v>
      </c>
      <c r="CG14" s="30">
        <f ca="1">IFERROR(__xludf.DUMMYFUNCTION("""COMPUTED_VALUE"""),101)</f>
        <v>101</v>
      </c>
      <c r="CI14" s="30" t="str">
        <f ca="1">IFERROR(__xludf.DUMMYFUNCTION("""COMPUTED_VALUE"""),"3a8dcd25")</f>
        <v>3a8dcd25</v>
      </c>
      <c r="CJ14" s="29" t="str">
        <f ca="1">IFERROR(__xludf.DUMMYFUNCTION("""COMPUTED_VALUE"""),"Regitro_Evidencia_Files_/3a8dcd25.Archivo_Evidencia.164622.pdf")</f>
        <v>Regitro_Evidencia_Files_/3a8dcd25.Archivo_Evidencia.164622.pdf</v>
      </c>
      <c r="CK14" s="30" t="str">
        <f ca="1">IFERROR(__xludf.DUMMYFUNCTION("""COMPUTED_VALUE"""),"PDF")</f>
        <v>PDF</v>
      </c>
      <c r="CL14" s="30"/>
      <c r="CM14" s="30" t="str">
        <f ca="1">IFERROR(__xludf.DUMMYFUNCTION("""COMPUTED_VALUE"""),"León")</f>
        <v>León</v>
      </c>
      <c r="CN14" s="32" t="e">
        <f ca="1"/>
        <v>#NAME?</v>
      </c>
      <c r="CO14" s="32" t="e">
        <f ca="1"/>
        <v>#NAME?</v>
      </c>
      <c r="CP14" s="32" t="e">
        <f ca="1"/>
        <v>#NAME?</v>
      </c>
      <c r="CQ14" s="30" t="e">
        <f ca="1"/>
        <v>#NAME?</v>
      </c>
      <c r="CR14" s="30" t="e">
        <f ca="1"/>
        <v>#NAME?</v>
      </c>
      <c r="CS14" s="30" t="str">
        <f ca="1">IFERROR(__xludf.DUMMYFUNCTION("""COMPUTED_VALUE"""),"Ninguno (Población General)")</f>
        <v>Ninguno (Población General)</v>
      </c>
      <c r="CU14" s="32"/>
      <c r="CV14" s="32"/>
      <c r="CW14" s="32"/>
    </row>
    <row r="15" spans="1:101" ht="15.75" customHeight="1">
      <c r="A15" s="29" t="str">
        <f ca="1">IFERROR(__xludf.DUMMYFUNCTION("""COMPUTED_VALUE"""),"ACT00044")</f>
        <v>ACT00044</v>
      </c>
      <c r="B15" s="30" t="str">
        <f ca="1">IFERROR(__xludf.DUMMYFUNCTION("""COMPUTED_VALUE"""),"SC-260612-110853")</f>
        <v>SC-260612-110853</v>
      </c>
      <c r="C15" s="62">
        <f ca="1">IFERROR(__xludf.DUMMYFUNCTION("""COMPUTED_VALUE"""),46185.4645023148)</f>
        <v>46185.464502314797</v>
      </c>
      <c r="D15" s="30">
        <f ca="1">IFERROR(__xludf.DUMMYFUNCTION("""COMPUTED_VALUE"""),92)</f>
        <v>92</v>
      </c>
      <c r="E15" s="30" t="str">
        <f ca="1">IFERROR(__xludf.DUMMYFUNCTION("""COMPUTED_VALUE"""),"PB3572")</f>
        <v>PB3572</v>
      </c>
      <c r="F1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 s="30" t="str">
        <f ca="1">IFERROR(__xludf.DUMMYFUNCTION("""COMPUTED_VALUE"""),"SUBSECRETARÍA DE DESARROLLO Y PROMOCIÓN ARTÍSTICA Y CULTURAL")</f>
        <v>SUBSECRETARÍA DE DESARROLLO Y PROMOCIÓN ARTÍSTICA Y CULTURAL</v>
      </c>
      <c r="I15" s="34" t="str">
        <f ca="1">IFERROR(__xludf.DUMMYFUNCTION("""COMPUTED_VALUE"""),"DIRECCIÓN GENERAL DE MUSEOS, ARTES VISUALES Y EXPOSICIONES")</f>
        <v>DIRECCIÓN GENERAL DE MUSEOS, ARTES VISUALES Y EXPOSICIONES</v>
      </c>
      <c r="J15" s="30" t="str">
        <f ca="1">IFERROR(__xludf.DUMMYFUNCTION("""COMPUTED_VALUE"""),"Número de Actividades realizadas")</f>
        <v>Número de Actividades realizadas</v>
      </c>
      <c r="K15" s="30">
        <f ca="1">IFERROR(__xludf.DUMMYFUNCTION("""COMPUTED_VALUE"""),800)</f>
        <v>800</v>
      </c>
      <c r="L15" s="30" t="str">
        <f ca="1">IFERROR(__xludf.DUMMYFUNCTION("""COMPUTED_VALUE"""),"Cultural")</f>
        <v>Cultural</v>
      </c>
      <c r="M15" s="30" t="str">
        <f ca="1">IFERROR(__xludf.DUMMYFUNCTION("""COMPUTED_VALUE"""),"1 EEM "" Conferencia Las redes sociales, un campo abierto a la comunicación e los emprendimientos culturales""")</f>
        <v>1 EEM " Conferencia Las redes sociales, un campo abierto a la comunicación e los emprendimientos culturales"</v>
      </c>
      <c r="N15" s="30" t="str">
        <f ca="1">IFERROR(__xludf.DUMMYFUNCTION("""COMPUTED_VALUE"""),"La conferencia la impartió Melania Chavarría.")</f>
        <v>La conferencia la impartió Melania Chavarría.</v>
      </c>
      <c r="O15" s="30" t="str">
        <f ca="1">IFERROR(__xludf.DUMMYFUNCTION("""COMPUTED_VALUE"""),"Única")</f>
        <v>Única</v>
      </c>
      <c r="P15" s="33">
        <f ca="1">IFERROR(__xludf.DUMMYFUNCTION("""COMPUTED_VALUE"""),46171)</f>
        <v>46171</v>
      </c>
      <c r="Q15" s="64">
        <f ca="1">IFERROR(__xludf.DUMMYFUNCTION("""COMPUTED_VALUE"""),46171)</f>
        <v>46171</v>
      </c>
      <c r="R15" s="30">
        <f ca="1">IFERROR(__xludf.DUMMYFUNCTION("""COMPUTED_VALUE"""),1)</f>
        <v>1</v>
      </c>
      <c r="S15" s="30" t="str">
        <f ca="1">IFERROR(__xludf.DUMMYFUNCTION("""COMPUTED_VALUE"""),"Cultura comunitaria")</f>
        <v>Cultura comunitaria</v>
      </c>
      <c r="T15" s="30" t="str">
        <f ca="1">IFERROR(__xludf.DUMMYFUNCTION("""COMPUTED_VALUE"""),"Gestión cultural")</f>
        <v>Gestión cultural</v>
      </c>
      <c r="U15" s="30" t="str">
        <f ca="1">IFERROR(__xludf.DUMMYFUNCTION("""COMPUTED_VALUE"""),"Conferencia")</f>
        <v>Conferencia</v>
      </c>
      <c r="V15" s="30" t="str">
        <f ca="1">IFERROR(__xludf.DUMMYFUNCTION("""COMPUTED_VALUE"""),"Ninguna")</f>
        <v>Ninguna</v>
      </c>
      <c r="W15" s="30" t="str">
        <f ca="1">IFERROR(__xludf.DUMMYFUNCTION("""COMPUTED_VALUE"""),"Presencial")</f>
        <v>Presencial</v>
      </c>
      <c r="X15" s="30" t="str">
        <f ca="1">IFERROR(__xludf.DUMMYFUNCTION("""COMPUTED_VALUE"""),"Espacio Privado")</f>
        <v>Espacio Privado</v>
      </c>
      <c r="Y15" s="30"/>
      <c r="Z15" s="30" t="str">
        <f ca="1">IFERROR(__xludf.DUMMYFUNCTION("""COMPUTED_VALUE"""),"Hotel Hotsson")</f>
        <v>Hotel Hotsson</v>
      </c>
      <c r="AA15" s="30"/>
      <c r="AB15" s="30" t="b">
        <f ca="1">IFERROR(__xludf.DUMMYFUNCTION("""COMPUTED_VALUE"""),FALSE)</f>
        <v>0</v>
      </c>
      <c r="AC15" s="30"/>
      <c r="AD15" s="30" t="b">
        <f ca="1">IFERROR(__xludf.DUMMYFUNCTION("""COMPUTED_VALUE"""),FALSE)</f>
        <v>0</v>
      </c>
      <c r="AE15" s="30"/>
      <c r="AF15" s="30" t="b">
        <f ca="1">IFERROR(__xludf.DUMMYFUNCTION("""COMPUTED_VALUE"""),FALSE)</f>
        <v>0</v>
      </c>
      <c r="AG15" s="30"/>
      <c r="AH15" s="30" t="str">
        <f ca="1">IFERROR(__xludf.DUMMYFUNCTION("""COMPUTED_VALUE"""),"Sin costo")</f>
        <v>Sin costo</v>
      </c>
      <c r="AI15" s="30"/>
      <c r="AJ15" s="30"/>
      <c r="AK15" s="30"/>
      <c r="AL15" s="30" t="str">
        <f ca="1">IFERROR(__xludf.DUMMYFUNCTION("""COMPUTED_VALUE"""),"ccardonav@guanajuato.gob.mx")</f>
        <v>ccardonav@guanajuato.gob.mx</v>
      </c>
      <c r="AM15"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5" s="30" t="str">
        <f ca="1">IFERROR(__xludf.DUMMYFUNCTION("""COMPUTED_VALUE"""),"2 Igualdad")</f>
        <v>2 Igualdad</v>
      </c>
      <c r="AO15" s="30" t="str">
        <f ca="1">IFERROR(__xludf.DUMMYFUNCTION("""COMPUTED_VALUE"""),"2.4 Reducir brechas de desigualdad")</f>
        <v>2.4 Reducir brechas de desigualdad</v>
      </c>
      <c r="AP15" s="30" t="str">
        <f ca="1">IFERROR(__xludf.DUMMYFUNCTION("""COMPUTED_VALUE"""),"2.4.3 Descentralización de la oferta cultural")</f>
        <v>2.4.3 Descentralización de la oferta cultural</v>
      </c>
      <c r="AQ15" s="30" t="str">
        <f ca="1">IFERROR(__xludf.DUMMYFUNCTION("""COMPUTED_VALUE"""),"2.4.3.3 Incidir en el involucramiento de las personas con el ecosistema cultural")</f>
        <v>2.4.3.3 Incidir en el involucramiento de las personas con el ecosistema cultural</v>
      </c>
      <c r="AR15" s="30" t="str">
        <f ca="1">IFERROR(__xludf.DUMMYFUNCTION("""COMPUTED_VALUE"""),"Cooperación")</f>
        <v>Cooperación</v>
      </c>
      <c r="AS15" s="30"/>
      <c r="AT15" s="30" t="str">
        <f ca="1">IFERROR(__xludf.DUMMYFUNCTION("""COMPUTED_VALUE"""),"Fortalecimiento de la participación ciudadana y la mediación cultural")</f>
        <v>Fortalecimiento de la participación ciudadana y la mediación cultural</v>
      </c>
      <c r="AU15" s="30" t="str">
        <f ca="1">IFERROR(__xludf.DUMMYFUNCTION("""COMPUTED_VALUE"""),"Fortalecimiento del diálogo, la mediación y las capacidades de las redes comunitarias.")</f>
        <v>Fortalecimiento del diálogo, la mediación y las capacidades de las redes comunitarias.</v>
      </c>
      <c r="AV15" s="30" t="str">
        <f ca="1">IFERROR(__xludf.DUMMYFUNCTION("""COMPUTED_VALUE"""),"Fortalecer las capacidades de autoridades locales y estatales")</f>
        <v>Fortalecer las capacidades de autoridades locales y estatales</v>
      </c>
      <c r="AW15" s="30" t="str">
        <f ca="1">IFERROR(__xludf.DUMMYFUNCTION("""COMPUTED_VALUE"""),"Incrementar en 25% la oferta cultural realizada en los municipios.")</f>
        <v>Incrementar en 25% la oferta cultural realizada en los municipios.</v>
      </c>
      <c r="AX15" s="30" t="str">
        <f ca="1">IFERROR(__xludf.DUMMYFUNCTION("""COMPUTED_VALUE"""),"Asesoría especializada")</f>
        <v>Asesoría especializada</v>
      </c>
      <c r="AY15" s="30" t="str">
        <f ca="1">IFERROR(__xludf.DUMMYFUNCTION("""COMPUTED_VALUE"""),"Formación")</f>
        <v>Formación</v>
      </c>
      <c r="AZ15" s="30" t="str">
        <f ca="1">IFERROR(__xludf.DUMMYFUNCTION("""COMPUTED_VALUE"""),"Formación")</f>
        <v>Formación</v>
      </c>
      <c r="BA15" s="30"/>
      <c r="BB15" s="30"/>
      <c r="BC15" s="30">
        <f ca="1">IFERROR(__xludf.DUMMYFUNCTION("""COMPUTED_VALUE"""),0)</f>
        <v>0</v>
      </c>
      <c r="BD15" s="30"/>
      <c r="BE15" s="30"/>
      <c r="BF15" s="30" t="b">
        <f ca="1">IFERROR(__xludf.DUMMYFUNCTION("""COMPUTED_VALUE"""),TRUE)</f>
        <v>1</v>
      </c>
      <c r="BG15" s="30" t="str">
        <f ca="1">IFERROR(__xludf.DUMMYFUNCTION("""COMPUTED_VALUE"""),"Asesoría")</f>
        <v>Asesoría</v>
      </c>
      <c r="BH15" s="30"/>
      <c r="BI15" s="30"/>
      <c r="BJ15" s="30"/>
      <c r="BK15" s="30"/>
      <c r="BL15" s="30"/>
      <c r="BM15" s="30" t="str">
        <f ca="1">IFERROR(__xludf.DUMMYFUNCTION("""COMPUTED_VALUE"""),"No")</f>
        <v>No</v>
      </c>
      <c r="BN15" s="30"/>
      <c r="BO15" s="30" t="str">
        <f ca="1">IFERROR(__xludf.DUMMYFUNCTION("""COMPUTED_VALUE"""),"36df9867")</f>
        <v>36df9867</v>
      </c>
      <c r="BP15" s="29" t="str">
        <f ca="1">IFERROR(__xludf.DUMMYFUNCTION("""COMPUTED_VALUE"""),"Silao de la Victoria")</f>
        <v>Silao de la Victoria</v>
      </c>
      <c r="BQ15" s="30" t="str">
        <f ca="1">IFERROR(__xludf.DUMMYFUNCTION("""COMPUTED_VALUE"""),"Urbano")</f>
        <v>Urbano</v>
      </c>
      <c r="BR15" s="30">
        <f ca="1">IFERROR(__xludf.DUMMYFUNCTION("""COMPUTED_VALUE"""),215)</f>
        <v>215</v>
      </c>
      <c r="BS15" s="30" t="str">
        <f ca="1">IFERROR(__xludf.DUMMYFUNCTION("""COMPUTED_VALUE"""),"Silao")</f>
        <v>Silao</v>
      </c>
      <c r="BT15" s="30"/>
      <c r="BU15" s="30" t="str">
        <f ca="1">IFERROR(__xludf.DUMMYFUNCTION("""COMPUTED_VALUE"""),"Si")</f>
        <v>Si</v>
      </c>
      <c r="BV15" s="30" t="str">
        <f ca="1">IFERROR(__xludf.DUMMYFUNCTION("""COMPUTED_VALUE"""),"Si")</f>
        <v>Si</v>
      </c>
      <c r="BW15" s="30">
        <f ca="1">IFERROR(__xludf.DUMMYFUNCTION("""COMPUTED_VALUE"""),101)</f>
        <v>101</v>
      </c>
      <c r="BX15" s="30"/>
      <c r="BY15" s="30">
        <f ca="1">IFERROR(__xludf.DUMMYFUNCTION("""COMPUTED_VALUE"""),101)</f>
        <v>101</v>
      </c>
      <c r="BZ15" s="30" t="str">
        <f ca="1">IFERROR(__xludf.DUMMYFUNCTION("""COMPUTED_VALUE"""),"Silao")</f>
        <v>Silao</v>
      </c>
      <c r="CA15" s="30" t="str">
        <f ca="1">IFERROR(__xludf.DUMMYFUNCTION("""COMPUTED_VALUE"""),"No")</f>
        <v>No</v>
      </c>
      <c r="CB15" s="30" t="str">
        <f ca="1">IFERROR(__xludf.DUMMYFUNCTION("""COMPUTED_VALUE"""),"No")</f>
        <v>No</v>
      </c>
      <c r="CC15" s="30" t="str">
        <f ca="1">IFERROR(__xludf.DUMMYFUNCTION("""COMPUTED_VALUE"""),"ea4a8d2d")</f>
        <v>ea4a8d2d</v>
      </c>
      <c r="CD15" s="29" t="str">
        <f ca="1">IFERROR(__xludf.DUMMYFUNCTION("""COMPUTED_VALUE"""),"Adultos (30 a 59 años)")</f>
        <v>Adultos (30 a 59 años)</v>
      </c>
      <c r="CE15" s="30" t="str">
        <f ca="1">IFERROR(__xludf.DUMMYFUNCTION("""COMPUTED_VALUE"""),"Dato global")</f>
        <v>Dato global</v>
      </c>
      <c r="CF15" s="30" t="str">
        <f ca="1">IFERROR(__xludf.DUMMYFUNCTION("""COMPUTED_VALUE"""),"Ninguno (Población General)")</f>
        <v>Ninguno (Población General)</v>
      </c>
      <c r="CG15" s="30">
        <f ca="1">IFERROR(__xludf.DUMMYFUNCTION("""COMPUTED_VALUE"""),101)</f>
        <v>101</v>
      </c>
      <c r="CI15" s="30" t="str">
        <f ca="1">IFERROR(__xludf.DUMMYFUNCTION("""COMPUTED_VALUE"""),"75262287")</f>
        <v>75262287</v>
      </c>
      <c r="CJ15" s="29" t="str">
        <f ca="1">IFERROR(__xludf.DUMMYFUNCTION("""COMPUTED_VALUE"""),"Regitro_Evidencia_Files_/75262287.Archivo_Evidencia.172835.pdf")</f>
        <v>Regitro_Evidencia_Files_/75262287.Archivo_Evidencia.172835.pdf</v>
      </c>
      <c r="CK15" s="30" t="str">
        <f ca="1">IFERROR(__xludf.DUMMYFUNCTION("""COMPUTED_VALUE"""),"PDF")</f>
        <v>PDF</v>
      </c>
      <c r="CL15" s="30"/>
      <c r="CM15" s="30" t="str">
        <f ca="1">IFERROR(__xludf.DUMMYFUNCTION("""COMPUTED_VALUE"""),"León")</f>
        <v>León</v>
      </c>
      <c r="CN15" s="32" t="e">
        <f ca="1"/>
        <v>#NAME?</v>
      </c>
      <c r="CO15" s="32" t="e">
        <f ca="1"/>
        <v>#NAME?</v>
      </c>
      <c r="CP15" s="32" t="e">
        <f ca="1"/>
        <v>#NAME?</v>
      </c>
      <c r="CQ15" s="30" t="e">
        <f ca="1"/>
        <v>#NAME?</v>
      </c>
      <c r="CR15" s="30" t="e">
        <f ca="1"/>
        <v>#NAME?</v>
      </c>
      <c r="CS15" s="30" t="str">
        <f ca="1">IFERROR(__xludf.DUMMYFUNCTION("""COMPUTED_VALUE"""),"Ninguno (Población General)")</f>
        <v>Ninguno (Población General)</v>
      </c>
      <c r="CU15" s="32"/>
      <c r="CV15" s="32"/>
      <c r="CW15" s="32"/>
    </row>
    <row r="16" spans="1:101" ht="15.75" customHeight="1">
      <c r="A16" s="29" t="str">
        <f ca="1">IFERROR(__xludf.DUMMYFUNCTION("""COMPUTED_VALUE"""),"ACT00045")</f>
        <v>ACT00045</v>
      </c>
      <c r="B16" s="30" t="str">
        <f ca="1">IFERROR(__xludf.DUMMYFUNCTION("""COMPUTED_VALUE"""),"SC-260612-113026")</f>
        <v>SC-260612-113026</v>
      </c>
      <c r="C16" s="62">
        <f ca="1">IFERROR(__xludf.DUMMYFUNCTION("""COMPUTED_VALUE"""),46185.4794675925)</f>
        <v>46185.4794675925</v>
      </c>
      <c r="D16" s="30">
        <f ca="1">IFERROR(__xludf.DUMMYFUNCTION("""COMPUTED_VALUE"""),92)</f>
        <v>92</v>
      </c>
      <c r="E16" s="30" t="str">
        <f ca="1">IFERROR(__xludf.DUMMYFUNCTION("""COMPUTED_VALUE"""),"PB3572")</f>
        <v>PB3572</v>
      </c>
      <c r="F1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 s="30" t="str">
        <f ca="1">IFERROR(__xludf.DUMMYFUNCTION("""COMPUTED_VALUE"""),"SUBSECRETARÍA DE DESARROLLO Y PROMOCIÓN ARTÍSTICA Y CULTURAL")</f>
        <v>SUBSECRETARÍA DE DESARROLLO Y PROMOCIÓN ARTÍSTICA Y CULTURAL</v>
      </c>
      <c r="I16" s="34" t="str">
        <f ca="1">IFERROR(__xludf.DUMMYFUNCTION("""COMPUTED_VALUE"""),"DIRECCIÓN GENERAL DE MUSEOS, ARTES VISUALES Y EXPOSICIONES")</f>
        <v>DIRECCIÓN GENERAL DE MUSEOS, ARTES VISUALES Y EXPOSICIONES</v>
      </c>
      <c r="J16" s="30" t="str">
        <f ca="1">IFERROR(__xludf.DUMMYFUNCTION("""COMPUTED_VALUE"""),"Número de Actividades realizadas")</f>
        <v>Número de Actividades realizadas</v>
      </c>
      <c r="K16" s="30">
        <f ca="1">IFERROR(__xludf.DUMMYFUNCTION("""COMPUTED_VALUE"""),800)</f>
        <v>800</v>
      </c>
      <c r="L16" s="30" t="str">
        <f ca="1">IFERROR(__xludf.DUMMYFUNCTION("""COMPUTED_VALUE"""),"Cultural")</f>
        <v>Cultural</v>
      </c>
      <c r="M16" s="30" t="str">
        <f ca="1">IFERROR(__xludf.DUMMYFUNCTION("""COMPUTED_VALUE"""),"1 EEM "" Conversatorio los retos de la comunicación y la mediación de los museos""")</f>
        <v>1 EEM " Conversatorio los retos de la comunicación y la mediación de los museos"</v>
      </c>
      <c r="N16" s="30" t="str">
        <f ca="1">IFERROR(__xludf.DUMMYFUNCTION("""COMPUTED_VALUE"""),"Participan Brenda Galvan, Museo de las identidades leonesas/ICL, Rafael Soldara, Museo de Celaya de Historia Regional, Míriam de los Ángeles")</f>
        <v>Participan Brenda Galvan, Museo de las identidades leonesas/ICL, Rafael Soldara, Museo de Celaya de Historia Regional, Míriam de los Ángeles</v>
      </c>
      <c r="O16" s="30" t="str">
        <f ca="1">IFERROR(__xludf.DUMMYFUNCTION("""COMPUTED_VALUE"""),"Única")</f>
        <v>Única</v>
      </c>
      <c r="P16" s="33">
        <f ca="1">IFERROR(__xludf.DUMMYFUNCTION("""COMPUTED_VALUE"""),46171)</f>
        <v>46171</v>
      </c>
      <c r="Q16" s="64">
        <f ca="1">IFERROR(__xludf.DUMMYFUNCTION("""COMPUTED_VALUE"""),46171)</f>
        <v>46171</v>
      </c>
      <c r="R16" s="30">
        <f ca="1">IFERROR(__xludf.DUMMYFUNCTION("""COMPUTED_VALUE"""),1)</f>
        <v>1</v>
      </c>
      <c r="S16" s="30" t="str">
        <f ca="1">IFERROR(__xludf.DUMMYFUNCTION("""COMPUTED_VALUE"""),"Cultura comunitaria")</f>
        <v>Cultura comunitaria</v>
      </c>
      <c r="T16" s="30" t="str">
        <f ca="1">IFERROR(__xludf.DUMMYFUNCTION("""COMPUTED_VALUE"""),"Mediación cultural")</f>
        <v>Mediación cultural</v>
      </c>
      <c r="U16" s="30" t="str">
        <f ca="1">IFERROR(__xludf.DUMMYFUNCTION("""COMPUTED_VALUE"""),"Conversatorio")</f>
        <v>Conversatorio</v>
      </c>
      <c r="V16" s="30" t="str">
        <f ca="1">IFERROR(__xludf.DUMMYFUNCTION("""COMPUTED_VALUE"""),"Ninguna")</f>
        <v>Ninguna</v>
      </c>
      <c r="W16" s="30" t="str">
        <f ca="1">IFERROR(__xludf.DUMMYFUNCTION("""COMPUTED_VALUE"""),"Presencial")</f>
        <v>Presencial</v>
      </c>
      <c r="X16" s="30" t="str">
        <f ca="1">IFERROR(__xludf.DUMMYFUNCTION("""COMPUTED_VALUE"""),"Espacio Privado")</f>
        <v>Espacio Privado</v>
      </c>
      <c r="Y16" s="30"/>
      <c r="Z16" s="30" t="str">
        <f ca="1">IFERROR(__xludf.DUMMYFUNCTION("""COMPUTED_VALUE"""),"Hotel Hotsson")</f>
        <v>Hotel Hotsson</v>
      </c>
      <c r="AA16" s="30"/>
      <c r="AB16" s="30" t="b">
        <f ca="1">IFERROR(__xludf.DUMMYFUNCTION("""COMPUTED_VALUE"""),FALSE)</f>
        <v>0</v>
      </c>
      <c r="AC16" s="30"/>
      <c r="AD16" s="30" t="b">
        <f ca="1">IFERROR(__xludf.DUMMYFUNCTION("""COMPUTED_VALUE"""),FALSE)</f>
        <v>0</v>
      </c>
      <c r="AE16" s="30"/>
      <c r="AF16" s="30" t="b">
        <f ca="1">IFERROR(__xludf.DUMMYFUNCTION("""COMPUTED_VALUE"""),FALSE)</f>
        <v>0</v>
      </c>
      <c r="AG16" s="30"/>
      <c r="AH16" s="30" t="str">
        <f ca="1">IFERROR(__xludf.DUMMYFUNCTION("""COMPUTED_VALUE"""),"Sin costo")</f>
        <v>Sin costo</v>
      </c>
      <c r="AI16" s="30"/>
      <c r="AJ16" s="30"/>
      <c r="AK16" s="30"/>
      <c r="AL16" s="30" t="str">
        <f ca="1">IFERROR(__xludf.DUMMYFUNCTION("""COMPUTED_VALUE"""),"ccardonav@guanajuato.gob.mx")</f>
        <v>ccardonav@guanajuato.gob.mx</v>
      </c>
      <c r="AM16"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6" s="30" t="str">
        <f ca="1">IFERROR(__xludf.DUMMYFUNCTION("""COMPUTED_VALUE"""),"2 Igualdad")</f>
        <v>2 Igualdad</v>
      </c>
      <c r="AO16" s="30" t="str">
        <f ca="1">IFERROR(__xludf.DUMMYFUNCTION("""COMPUTED_VALUE"""),"2.4 Reducir brechas de desigualdad")</f>
        <v>2.4 Reducir brechas de desigualdad</v>
      </c>
      <c r="AP16" s="30" t="str">
        <f ca="1">IFERROR(__xludf.DUMMYFUNCTION("""COMPUTED_VALUE"""),"2.4.3 Descentralización de la oferta cultural")</f>
        <v>2.4.3 Descentralización de la oferta cultural</v>
      </c>
      <c r="AQ16" s="30" t="str">
        <f ca="1">IFERROR(__xludf.DUMMYFUNCTION("""COMPUTED_VALUE"""),"2.4.3.3 Incidir en el involucramiento de las personas con el ecosistema cultural")</f>
        <v>2.4.3.3 Incidir en el involucramiento de las personas con el ecosistema cultural</v>
      </c>
      <c r="AR16" s="30" t="str">
        <f ca="1">IFERROR(__xludf.DUMMYFUNCTION("""COMPUTED_VALUE"""),"Inclusión")</f>
        <v>Inclusión</v>
      </c>
      <c r="AS16" s="30" t="str">
        <f ca="1">IFERROR(__xludf.DUMMYFUNCTION("""COMPUTED_VALUE"""),"Ninguno (Población General)")</f>
        <v>Ninguno (Población General)</v>
      </c>
      <c r="AT16" s="30" t="str">
        <f ca="1">IFERROR(__xludf.DUMMYFUNCTION("""COMPUTED_VALUE"""),"Fortalecimiento de la participación ciudadana y la mediación cultural")</f>
        <v>Fortalecimiento de la participación ciudadana y la mediación cultural</v>
      </c>
      <c r="AU16" s="30" t="str">
        <f ca="1">IFERROR(__xludf.DUMMYFUNCTION("""COMPUTED_VALUE"""),"Fortalecimiento del diálogo, la mediación y las capacidades de las redes comunitarias.")</f>
        <v>Fortalecimiento del diálogo, la mediación y las capacidades de las redes comunitarias.</v>
      </c>
      <c r="AV16" s="30" t="str">
        <f ca="1">IFERROR(__xludf.DUMMYFUNCTION("""COMPUTED_VALUE"""),"Fortalecer las capacidades de autoridades locales y estatales")</f>
        <v>Fortalecer las capacidades de autoridades locales y estatales</v>
      </c>
      <c r="AW16" s="30" t="str">
        <f ca="1">IFERROR(__xludf.DUMMYFUNCTION("""COMPUTED_VALUE"""),"Incrementar en 25% la oferta cultural realizada en los municipios.")</f>
        <v>Incrementar en 25% la oferta cultural realizada en los municipios.</v>
      </c>
      <c r="AX16" s="30" t="str">
        <f ca="1">IFERROR(__xludf.DUMMYFUNCTION("""COMPUTED_VALUE"""),"Asesoría especializada")</f>
        <v>Asesoría especializada</v>
      </c>
      <c r="AY16" s="30" t="str">
        <f ca="1">IFERROR(__xludf.DUMMYFUNCTION("""COMPUTED_VALUE"""),"Mediación")</f>
        <v>Mediación</v>
      </c>
      <c r="AZ16" s="30"/>
      <c r="BA16" s="30"/>
      <c r="BB16" s="30"/>
      <c r="BC16" s="30">
        <f ca="1">IFERROR(__xludf.DUMMYFUNCTION("""COMPUTED_VALUE"""),5)</f>
        <v>5</v>
      </c>
      <c r="BD16" s="30" t="str">
        <f ca="1">IFERROR(__xludf.DUMMYFUNCTION("""COMPUTED_VALUE"""),"Nuevo")</f>
        <v>Nuevo</v>
      </c>
      <c r="BE16" s="30"/>
      <c r="BF16" s="30" t="b">
        <f ca="1">IFERROR(__xludf.DUMMYFUNCTION("""COMPUTED_VALUE"""),TRUE)</f>
        <v>1</v>
      </c>
      <c r="BG16" s="30" t="str">
        <f ca="1">IFERROR(__xludf.DUMMYFUNCTION("""COMPUTED_VALUE"""),"Asesoría")</f>
        <v>Asesoría</v>
      </c>
      <c r="BH16" s="30"/>
      <c r="BI16" s="30"/>
      <c r="BJ16" s="30"/>
      <c r="BK16" s="30"/>
      <c r="BL16" s="30"/>
      <c r="BM16" s="30" t="str">
        <f ca="1">IFERROR(__xludf.DUMMYFUNCTION("""COMPUTED_VALUE"""),"No")</f>
        <v>No</v>
      </c>
      <c r="BN16" s="30"/>
      <c r="BO16" s="30" t="str">
        <f ca="1">IFERROR(__xludf.DUMMYFUNCTION("""COMPUTED_VALUE"""),"d41e5cba")</f>
        <v>d41e5cba</v>
      </c>
      <c r="BP16" s="29" t="str">
        <f ca="1">IFERROR(__xludf.DUMMYFUNCTION("""COMPUTED_VALUE"""),"Silao de la Victoria")</f>
        <v>Silao de la Victoria</v>
      </c>
      <c r="BQ16" s="30" t="str">
        <f ca="1">IFERROR(__xludf.DUMMYFUNCTION("""COMPUTED_VALUE"""),"Urbano")</f>
        <v>Urbano</v>
      </c>
      <c r="BR16" s="30">
        <f ca="1">IFERROR(__xludf.DUMMYFUNCTION("""COMPUTED_VALUE"""),215)</f>
        <v>215</v>
      </c>
      <c r="BS16" s="30" t="str">
        <f ca="1">IFERROR(__xludf.DUMMYFUNCTION("""COMPUTED_VALUE"""),"Silao")</f>
        <v>Silao</v>
      </c>
      <c r="BT16" s="30"/>
      <c r="BU16" s="30" t="str">
        <f ca="1">IFERROR(__xludf.DUMMYFUNCTION("""COMPUTED_VALUE"""),"Si")</f>
        <v>Si</v>
      </c>
      <c r="BV16" s="30" t="str">
        <f ca="1">IFERROR(__xludf.DUMMYFUNCTION("""COMPUTED_VALUE"""),"Si")</f>
        <v>Si</v>
      </c>
      <c r="BW16" s="30">
        <f ca="1">IFERROR(__xludf.DUMMYFUNCTION("""COMPUTED_VALUE"""),101)</f>
        <v>101</v>
      </c>
      <c r="BX16" s="30"/>
      <c r="BY16" s="30">
        <f ca="1">IFERROR(__xludf.DUMMYFUNCTION("""COMPUTED_VALUE"""),101)</f>
        <v>101</v>
      </c>
      <c r="BZ16" s="30" t="str">
        <f ca="1">IFERROR(__xludf.DUMMYFUNCTION("""COMPUTED_VALUE"""),"Silao")</f>
        <v>Silao</v>
      </c>
      <c r="CA16" s="30" t="str">
        <f ca="1">IFERROR(__xludf.DUMMYFUNCTION("""COMPUTED_VALUE"""),"No")</f>
        <v>No</v>
      </c>
      <c r="CB16" s="30" t="str">
        <f ca="1">IFERROR(__xludf.DUMMYFUNCTION("""COMPUTED_VALUE"""),"No")</f>
        <v>No</v>
      </c>
      <c r="CC16" s="30" t="str">
        <f ca="1">IFERROR(__xludf.DUMMYFUNCTION("""COMPUTED_VALUE"""),"056a26b1")</f>
        <v>056a26b1</v>
      </c>
      <c r="CD16" s="29" t="str">
        <f ca="1">IFERROR(__xludf.DUMMYFUNCTION("""COMPUTED_VALUE"""),"Adultos (30 a 59 años)")</f>
        <v>Adultos (30 a 59 años)</v>
      </c>
      <c r="CE16" s="30" t="str">
        <f ca="1">IFERROR(__xludf.DUMMYFUNCTION("""COMPUTED_VALUE"""),"Dato global")</f>
        <v>Dato global</v>
      </c>
      <c r="CF16" s="30" t="str">
        <f ca="1">IFERROR(__xludf.DUMMYFUNCTION("""COMPUTED_VALUE"""),"Ninguno (Población General)")</f>
        <v>Ninguno (Población General)</v>
      </c>
      <c r="CG16" s="30">
        <f ca="1">IFERROR(__xludf.DUMMYFUNCTION("""COMPUTED_VALUE"""),101)</f>
        <v>101</v>
      </c>
      <c r="CI16" s="30" t="str">
        <f ca="1">IFERROR(__xludf.DUMMYFUNCTION("""COMPUTED_VALUE"""),"db3bb4cf")</f>
        <v>db3bb4cf</v>
      </c>
      <c r="CJ16" s="29" t="str">
        <f ca="1">IFERROR(__xludf.DUMMYFUNCTION("""COMPUTED_VALUE"""),"Regitro_Evidencia_Files_/db3bb4cf.Archivo_Evidencia.173830.pdf")</f>
        <v>Regitro_Evidencia_Files_/db3bb4cf.Archivo_Evidencia.173830.pdf</v>
      </c>
      <c r="CK16" s="30" t="str">
        <f ca="1">IFERROR(__xludf.DUMMYFUNCTION("""COMPUTED_VALUE"""),"PDF")</f>
        <v>PDF</v>
      </c>
      <c r="CL16" s="30"/>
      <c r="CM16" s="30" t="str">
        <f ca="1">IFERROR(__xludf.DUMMYFUNCTION("""COMPUTED_VALUE"""),"León")</f>
        <v>León</v>
      </c>
      <c r="CN16" s="32" t="e">
        <f ca="1"/>
        <v>#NAME?</v>
      </c>
      <c r="CO16" s="32" t="e">
        <f ca="1"/>
        <v>#NAME?</v>
      </c>
      <c r="CP16" s="32" t="e">
        <f ca="1"/>
        <v>#NAME?</v>
      </c>
      <c r="CQ16" s="30" t="e">
        <f ca="1"/>
        <v>#NAME?</v>
      </c>
      <c r="CR16" s="30" t="e">
        <f ca="1"/>
        <v>#NAME?</v>
      </c>
      <c r="CS16" s="30" t="str">
        <f ca="1">IFERROR(__xludf.DUMMYFUNCTION("""COMPUTED_VALUE"""),"NNA (Niñas, Niños y Adolescentes)")</f>
        <v>NNA (Niñas, Niños y Adolescentes)</v>
      </c>
      <c r="CU16" s="32"/>
      <c r="CV16" s="32"/>
      <c r="CW16" s="32"/>
    </row>
    <row r="17" spans="1:101" ht="15.75" customHeight="1">
      <c r="A17" s="29" t="str">
        <f ca="1">IFERROR(__xludf.DUMMYFUNCTION("""COMPUTED_VALUE"""),"ACT00046")</f>
        <v>ACT00046</v>
      </c>
      <c r="B17" s="30" t="str">
        <f ca="1">IFERROR(__xludf.DUMMYFUNCTION("""COMPUTED_VALUE"""),"SC-260612-122622")</f>
        <v>SC-260612-122622</v>
      </c>
      <c r="C17" s="62">
        <f ca="1">IFERROR(__xludf.DUMMYFUNCTION("""COMPUTED_VALUE"""),46185.5183101851)</f>
        <v>46185.5183101851</v>
      </c>
      <c r="D17" s="30">
        <f ca="1">IFERROR(__xludf.DUMMYFUNCTION("""COMPUTED_VALUE"""),92)</f>
        <v>92</v>
      </c>
      <c r="E17" s="30" t="str">
        <f ca="1">IFERROR(__xludf.DUMMYFUNCTION("""COMPUTED_VALUE"""),"PB3572")</f>
        <v>PB3572</v>
      </c>
      <c r="F1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7" s="30" t="str">
        <f ca="1">IFERROR(__xludf.DUMMYFUNCTION("""COMPUTED_VALUE"""),"SUBSECRETARÍA DE DESARROLLO Y PROMOCIÓN ARTÍSTICA Y CULTURAL")</f>
        <v>SUBSECRETARÍA DE DESARROLLO Y PROMOCIÓN ARTÍSTICA Y CULTURAL</v>
      </c>
      <c r="I17" s="34" t="str">
        <f ca="1">IFERROR(__xludf.DUMMYFUNCTION("""COMPUTED_VALUE"""),"DIRECCIÓN GENERAL DE MUSEOS, ARTES VISUALES Y EXPOSICIONES")</f>
        <v>DIRECCIÓN GENERAL DE MUSEOS, ARTES VISUALES Y EXPOSICIONES</v>
      </c>
      <c r="J17" s="30" t="str">
        <f ca="1">IFERROR(__xludf.DUMMYFUNCTION("""COMPUTED_VALUE"""),"Número de Actividades realizadas")</f>
        <v>Número de Actividades realizadas</v>
      </c>
      <c r="K17" s="30">
        <f ca="1">IFERROR(__xludf.DUMMYFUNCTION("""COMPUTED_VALUE"""),800)</f>
        <v>800</v>
      </c>
      <c r="L17" s="30" t="str">
        <f ca="1">IFERROR(__xludf.DUMMYFUNCTION("""COMPUTED_VALUE"""),"Cultural")</f>
        <v>Cultural</v>
      </c>
      <c r="M17" s="30" t="str">
        <f ca="1">IFERROR(__xludf.DUMMYFUNCTION("""COMPUTED_VALUE"""),"1 EEM ""Conferencia reflexiones sobre la educación en museos""")</f>
        <v>1 EEM "Conferencia reflexiones sobre la educación en museos"</v>
      </c>
      <c r="N17" s="30" t="str">
        <f ca="1">IFERROR(__xludf.DUMMYFUNCTION("""COMPUTED_VALUE"""),"Conferencia Impartida por la Mtr. Ariadna Vargas Trejo")</f>
        <v>Conferencia Impartida por la Mtr. Ariadna Vargas Trejo</v>
      </c>
      <c r="O17" s="30" t="str">
        <f ca="1">IFERROR(__xludf.DUMMYFUNCTION("""COMPUTED_VALUE"""),"Única")</f>
        <v>Única</v>
      </c>
      <c r="P17" s="33">
        <f ca="1">IFERROR(__xludf.DUMMYFUNCTION("""COMPUTED_VALUE"""),46171)</f>
        <v>46171</v>
      </c>
      <c r="Q17" s="64">
        <f ca="1">IFERROR(__xludf.DUMMYFUNCTION("""COMPUTED_VALUE"""),46171)</f>
        <v>46171</v>
      </c>
      <c r="R17" s="30">
        <f ca="1">IFERROR(__xludf.DUMMYFUNCTION("""COMPUTED_VALUE"""),1)</f>
        <v>1</v>
      </c>
      <c r="S17" s="30" t="str">
        <f ca="1">IFERROR(__xludf.DUMMYFUNCTION("""COMPUTED_VALUE"""),"Cultura comunitaria")</f>
        <v>Cultura comunitaria</v>
      </c>
      <c r="T17" s="30" t="str">
        <f ca="1">IFERROR(__xludf.DUMMYFUNCTION("""COMPUTED_VALUE"""),"Gestión cultural")</f>
        <v>Gestión cultural</v>
      </c>
      <c r="U17" s="30" t="str">
        <f ca="1">IFERROR(__xludf.DUMMYFUNCTION("""COMPUTED_VALUE"""),"Conferencia")</f>
        <v>Conferencia</v>
      </c>
      <c r="V17" s="30" t="str">
        <f ca="1">IFERROR(__xludf.DUMMYFUNCTION("""COMPUTED_VALUE"""),"Ninguna")</f>
        <v>Ninguna</v>
      </c>
      <c r="W17" s="30" t="str">
        <f ca="1">IFERROR(__xludf.DUMMYFUNCTION("""COMPUTED_VALUE"""),"Presencial")</f>
        <v>Presencial</v>
      </c>
      <c r="X17" s="30" t="str">
        <f ca="1">IFERROR(__xludf.DUMMYFUNCTION("""COMPUTED_VALUE"""),"Espacio Privado")</f>
        <v>Espacio Privado</v>
      </c>
      <c r="Y17" s="30"/>
      <c r="Z17" s="30" t="str">
        <f ca="1">IFERROR(__xludf.DUMMYFUNCTION("""COMPUTED_VALUE"""),"Hotel Hotsson")</f>
        <v>Hotel Hotsson</v>
      </c>
      <c r="AA17" s="30"/>
      <c r="AB17" s="30" t="b">
        <f ca="1">IFERROR(__xludf.DUMMYFUNCTION("""COMPUTED_VALUE"""),FALSE)</f>
        <v>0</v>
      </c>
      <c r="AC17" s="30"/>
      <c r="AD17" s="30" t="b">
        <f ca="1">IFERROR(__xludf.DUMMYFUNCTION("""COMPUTED_VALUE"""),TRUE)</f>
        <v>1</v>
      </c>
      <c r="AE17" s="30">
        <f ca="1">IFERROR(__xludf.DUMMYFUNCTION("""COMPUTED_VALUE"""),1)</f>
        <v>1</v>
      </c>
      <c r="AF17" s="30" t="b">
        <f ca="1">IFERROR(__xludf.DUMMYFUNCTION("""COMPUTED_VALUE"""),FALSE)</f>
        <v>0</v>
      </c>
      <c r="AG17" s="30"/>
      <c r="AH17" s="30" t="str">
        <f ca="1">IFERROR(__xludf.DUMMYFUNCTION("""COMPUTED_VALUE"""),"Sin costo")</f>
        <v>Sin costo</v>
      </c>
      <c r="AI17" s="30"/>
      <c r="AJ17" s="30"/>
      <c r="AK17" s="30"/>
      <c r="AL17" s="30" t="str">
        <f ca="1">IFERROR(__xludf.DUMMYFUNCTION("""COMPUTED_VALUE"""),"ccardonav@guanajuato.gob.mx")</f>
        <v>ccardonav@guanajuato.gob.mx</v>
      </c>
      <c r="AM17"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7" s="30" t="str">
        <f ca="1">IFERROR(__xludf.DUMMYFUNCTION("""COMPUTED_VALUE"""),"2 Igualdad")</f>
        <v>2 Igualdad</v>
      </c>
      <c r="AO17" s="30" t="str">
        <f ca="1">IFERROR(__xludf.DUMMYFUNCTION("""COMPUTED_VALUE"""),"2.4 Reducir brechas de desigualdad")</f>
        <v>2.4 Reducir brechas de desigualdad</v>
      </c>
      <c r="AP17" s="30" t="str">
        <f ca="1">IFERROR(__xludf.DUMMYFUNCTION("""COMPUTED_VALUE"""),"2.4.3 Descentralización de la oferta cultural")</f>
        <v>2.4.3 Descentralización de la oferta cultural</v>
      </c>
      <c r="AQ17" s="30" t="str">
        <f ca="1">IFERROR(__xludf.DUMMYFUNCTION("""COMPUTED_VALUE"""),"2.4.3.3 Incidir en el involucramiento de las personas con el ecosistema cultural")</f>
        <v>2.4.3.3 Incidir en el involucramiento de las personas con el ecosistema cultural</v>
      </c>
      <c r="AR17" s="30" t="str">
        <f ca="1">IFERROR(__xludf.DUMMYFUNCTION("""COMPUTED_VALUE"""),"Cooperación")</f>
        <v>Cooperación</v>
      </c>
      <c r="AS17" s="30"/>
      <c r="AT17" s="30" t="str">
        <f ca="1">IFERROR(__xludf.DUMMYFUNCTION("""COMPUTED_VALUE"""),"Fortalecimiento de la participación ciudadana y la mediación cultural")</f>
        <v>Fortalecimiento de la participación ciudadana y la mediación cultural</v>
      </c>
      <c r="AU17" s="30" t="str">
        <f ca="1">IFERROR(__xludf.DUMMYFUNCTION("""COMPUTED_VALUE"""),"Fortalecimiento del diálogo, la mediación y las capacidades de las redes comunitarias.")</f>
        <v>Fortalecimiento del diálogo, la mediación y las capacidades de las redes comunitarias.</v>
      </c>
      <c r="AV17" s="30" t="str">
        <f ca="1">IFERROR(__xludf.DUMMYFUNCTION("""COMPUTED_VALUE"""),"Fortalecer las capacidades de autoridades locales y estatales")</f>
        <v>Fortalecer las capacidades de autoridades locales y estatales</v>
      </c>
      <c r="AW17" s="30" t="str">
        <f ca="1">IFERROR(__xludf.DUMMYFUNCTION("""COMPUTED_VALUE"""),"Incrementar en 25% la oferta cultural realizada en los municipios.")</f>
        <v>Incrementar en 25% la oferta cultural realizada en los municipios.</v>
      </c>
      <c r="AX17" s="30" t="str">
        <f ca="1">IFERROR(__xludf.DUMMYFUNCTION("""COMPUTED_VALUE"""),"Asesoría especializada")</f>
        <v>Asesoría especializada</v>
      </c>
      <c r="AY17" s="30" t="str">
        <f ca="1">IFERROR(__xludf.DUMMYFUNCTION("""COMPUTED_VALUE"""),"Formación")</f>
        <v>Formación</v>
      </c>
      <c r="AZ17" s="30" t="str">
        <f ca="1">IFERROR(__xludf.DUMMYFUNCTION("""COMPUTED_VALUE"""),"Formación")</f>
        <v>Formación</v>
      </c>
      <c r="BA17" s="30"/>
      <c r="BB17" s="30"/>
      <c r="BC17" s="30">
        <f ca="1">IFERROR(__xludf.DUMMYFUNCTION("""COMPUTED_VALUE"""),0)</f>
        <v>0</v>
      </c>
      <c r="BD17" s="30"/>
      <c r="BE17" s="30"/>
      <c r="BF17" s="30" t="b">
        <f ca="1">IFERROR(__xludf.DUMMYFUNCTION("""COMPUTED_VALUE"""),TRUE)</f>
        <v>1</v>
      </c>
      <c r="BG17" s="30" t="str">
        <f ca="1">IFERROR(__xludf.DUMMYFUNCTION("""COMPUTED_VALUE"""),"Asesoría")</f>
        <v>Asesoría</v>
      </c>
      <c r="BH17" s="30">
        <f ca="1">IFERROR(__xludf.DUMMYFUNCTION("""COMPUTED_VALUE"""),7656.25)</f>
        <v>7656.25</v>
      </c>
      <c r="BI17" s="30"/>
      <c r="BJ17" s="30"/>
      <c r="BK17" s="30"/>
      <c r="BL17" s="30" t="str">
        <f ca="1">IFERROR(__xludf.DUMMYFUNCTION("""COMPUTED_VALUE"""),"Contrato de Prestacion de Servicios")</f>
        <v>Contrato de Prestacion de Servicios</v>
      </c>
      <c r="BM17" s="30" t="str">
        <f ca="1">IFERROR(__xludf.DUMMYFUNCTION("""COMPUTED_VALUE"""),"Sí")</f>
        <v>Sí</v>
      </c>
      <c r="BN17" s="30" t="str">
        <f ca="1">IFERROR(__xludf.DUMMYFUNCTION("""COMPUTED_VALUE"""),"Acompañamiento Técnico")</f>
        <v>Acompañamiento Técnico</v>
      </c>
      <c r="BO17" s="30" t="str">
        <f ca="1">IFERROR(__xludf.DUMMYFUNCTION("""COMPUTED_VALUE"""),"615b692e")</f>
        <v>615b692e</v>
      </c>
      <c r="BP17" s="29" t="str">
        <f ca="1">IFERROR(__xludf.DUMMYFUNCTION("""COMPUTED_VALUE"""),"Silao de la Victoria")</f>
        <v>Silao de la Victoria</v>
      </c>
      <c r="BQ17" s="30" t="str">
        <f ca="1">IFERROR(__xludf.DUMMYFUNCTION("""COMPUTED_VALUE"""),"Urbano")</f>
        <v>Urbano</v>
      </c>
      <c r="BR17" s="30">
        <f ca="1">IFERROR(__xludf.DUMMYFUNCTION("""COMPUTED_VALUE"""),215)</f>
        <v>215</v>
      </c>
      <c r="BS17" s="30" t="str">
        <f ca="1">IFERROR(__xludf.DUMMYFUNCTION("""COMPUTED_VALUE"""),"Silao")</f>
        <v>Silao</v>
      </c>
      <c r="BT17" s="30"/>
      <c r="BU17" s="30" t="str">
        <f ca="1">IFERROR(__xludf.DUMMYFUNCTION("""COMPUTED_VALUE"""),"Si")</f>
        <v>Si</v>
      </c>
      <c r="BV17" s="30" t="str">
        <f ca="1">IFERROR(__xludf.DUMMYFUNCTION("""COMPUTED_VALUE"""),"Si")</f>
        <v>Si</v>
      </c>
      <c r="BW17" s="30">
        <f ca="1">IFERROR(__xludf.DUMMYFUNCTION("""COMPUTED_VALUE"""),101)</f>
        <v>101</v>
      </c>
      <c r="BX17" s="30"/>
      <c r="BY17" s="30">
        <f ca="1">IFERROR(__xludf.DUMMYFUNCTION("""COMPUTED_VALUE"""),101)</f>
        <v>101</v>
      </c>
      <c r="BZ17" s="30" t="str">
        <f ca="1">IFERROR(__xludf.DUMMYFUNCTION("""COMPUTED_VALUE"""),"Silao")</f>
        <v>Silao</v>
      </c>
      <c r="CA17" s="30" t="str">
        <f ca="1">IFERROR(__xludf.DUMMYFUNCTION("""COMPUTED_VALUE"""),"No")</f>
        <v>No</v>
      </c>
      <c r="CB17" s="30" t="str">
        <f ca="1">IFERROR(__xludf.DUMMYFUNCTION("""COMPUTED_VALUE"""),"No")</f>
        <v>No</v>
      </c>
      <c r="CC17" s="30" t="str">
        <f ca="1">IFERROR(__xludf.DUMMYFUNCTION("""COMPUTED_VALUE"""),"98dc8b4a")</f>
        <v>98dc8b4a</v>
      </c>
      <c r="CD17" s="29" t="str">
        <f ca="1">IFERROR(__xludf.DUMMYFUNCTION("""COMPUTED_VALUE"""),"Adultos (30 a 59 años)")</f>
        <v>Adultos (30 a 59 años)</v>
      </c>
      <c r="CE17" s="30" t="str">
        <f ca="1">IFERROR(__xludf.DUMMYFUNCTION("""COMPUTED_VALUE"""),"Dato global")</f>
        <v>Dato global</v>
      </c>
      <c r="CF17" s="30" t="str">
        <f ca="1">IFERROR(__xludf.DUMMYFUNCTION("""COMPUTED_VALUE"""),"Ninguno (Población General)")</f>
        <v>Ninguno (Población General)</v>
      </c>
      <c r="CG17" s="30">
        <f ca="1">IFERROR(__xludf.DUMMYFUNCTION("""COMPUTED_VALUE"""),101)</f>
        <v>101</v>
      </c>
      <c r="CI17" s="30" t="str">
        <f ca="1">IFERROR(__xludf.DUMMYFUNCTION("""COMPUTED_VALUE"""),"969fbaee")</f>
        <v>969fbaee</v>
      </c>
      <c r="CJ17" s="29" t="str">
        <f ca="1">IFERROR(__xludf.DUMMYFUNCTION("""COMPUTED_VALUE"""),"Regitro_Evidencia_Files_/969fbaee.Archivo_Evidencia.184323. .pdf")</f>
        <v>Regitro_Evidencia_Files_/969fbaee.Archivo_Evidencia.184323. .pdf</v>
      </c>
      <c r="CK17" s="30" t="str">
        <f ca="1">IFERROR(__xludf.DUMMYFUNCTION("""COMPUTED_VALUE"""),"PDF")</f>
        <v>PDF</v>
      </c>
      <c r="CL17" s="30"/>
      <c r="CM17" s="30" t="str">
        <f ca="1">IFERROR(__xludf.DUMMYFUNCTION("""COMPUTED_VALUE"""),"León")</f>
        <v>León</v>
      </c>
      <c r="CN17" s="32" t="e">
        <f ca="1"/>
        <v>#NAME?</v>
      </c>
      <c r="CO17" s="32" t="e">
        <f ca="1"/>
        <v>#NAME?</v>
      </c>
      <c r="CP17" s="32" t="e">
        <f ca="1"/>
        <v>#NAME?</v>
      </c>
      <c r="CQ17" s="30" t="e">
        <f ca="1"/>
        <v>#NAME?</v>
      </c>
      <c r="CR17" s="30" t="e">
        <f ca="1"/>
        <v>#NAME?</v>
      </c>
      <c r="CS17" s="30" t="str">
        <f ca="1">IFERROR(__xludf.DUMMYFUNCTION("""COMPUTED_VALUE"""),"NNA (Niñas, Niños y Adolescentes)")</f>
        <v>NNA (Niñas, Niños y Adolescentes)</v>
      </c>
      <c r="CU17" s="32"/>
      <c r="CV17" s="32"/>
      <c r="CW17" s="32"/>
    </row>
    <row r="18" spans="1:101" ht="15.75" customHeight="1">
      <c r="A18" s="29" t="str">
        <f ca="1">IFERROR(__xludf.DUMMYFUNCTION("""COMPUTED_VALUE"""),"ACT00017")</f>
        <v>ACT00017</v>
      </c>
      <c r="B18" s="30" t="str">
        <f ca="1">IFERROR(__xludf.DUMMYFUNCTION("""COMPUTED_VALUE"""),"SC-260615-100445")</f>
        <v>SC-260615-100445</v>
      </c>
      <c r="C18" s="62">
        <f ca="1">IFERROR(__xludf.DUMMYFUNCTION("""COMPUTED_VALUE"""),46188.4199652777)</f>
        <v>46188.419965277702</v>
      </c>
      <c r="D18" s="30">
        <f ca="1">IFERROR(__xludf.DUMMYFUNCTION("""COMPUTED_VALUE"""),92)</f>
        <v>92</v>
      </c>
      <c r="E18" s="30" t="str">
        <f ca="1">IFERROR(__xludf.DUMMYFUNCTION("""COMPUTED_VALUE"""),"PB3572")</f>
        <v>PB3572</v>
      </c>
      <c r="F1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8" s="30" t="str">
        <f ca="1">IFERROR(__xludf.DUMMYFUNCTION("""COMPUTED_VALUE"""),"SUBSECRETARÍA DE DESARROLLO Y PROMOCIÓN ARTÍSTICA Y CULTURAL")</f>
        <v>SUBSECRETARÍA DE DESARROLLO Y PROMOCIÓN ARTÍSTICA Y CULTURAL</v>
      </c>
      <c r="I18" s="34" t="str">
        <f ca="1">IFERROR(__xludf.DUMMYFUNCTION("""COMPUTED_VALUE"""),"DIRECCIÓN GENERAL DE MUSEOS, ARTES VISUALES Y EXPOSICIONES")</f>
        <v>DIRECCIÓN GENERAL DE MUSEOS, ARTES VISUALES Y EXPOSICIONES</v>
      </c>
      <c r="J18" s="30" t="str">
        <f ca="1">IFERROR(__xludf.DUMMYFUNCTION("""COMPUTED_VALUE"""),"Número de Actividades realizadas")</f>
        <v>Número de Actividades realizadas</v>
      </c>
      <c r="K18" s="30">
        <f ca="1">IFERROR(__xludf.DUMMYFUNCTION("""COMPUTED_VALUE"""),800)</f>
        <v>800</v>
      </c>
      <c r="L18" s="30" t="str">
        <f ca="1">IFERROR(__xludf.DUMMYFUNCTION("""COMPUTED_VALUE"""),"Cultural")</f>
        <v>Cultural</v>
      </c>
      <c r="M18" s="30" t="str">
        <f ca="1">IFERROR(__xludf.DUMMYFUNCTION("""COMPUTED_VALUE"""),"""Museos para la niñez: Torneo de Rubik """)</f>
        <v>"Museos para la niñez: Torneo de Rubik "</v>
      </c>
      <c r="N18" s="30" t="str">
        <f ca="1">IFERROR(__xludf.DUMMYFUNCTION("""COMPUTED_VALUE"""),"La Asociación Mundial del Cubo (WCA) te invita a participar o presenciar el Torneo de Rubik. Una competencia en la que chicos y grandes pueden demostrar sus habilidades con este popular juego que ha dado la vuelta por todo el mundo.")</f>
        <v>La Asociación Mundial del Cubo (WCA) te invita a participar o presenciar el Torneo de Rubik. Una competencia en la que chicos y grandes pueden demostrar sus habilidades con este popular juego que ha dado la vuelta por todo el mundo.</v>
      </c>
      <c r="O18" s="30" t="str">
        <f ca="1">IFERROR(__xludf.DUMMYFUNCTION("""COMPUTED_VALUE"""),"Única")</f>
        <v>Única</v>
      </c>
      <c r="P18" s="33">
        <f ca="1">IFERROR(__xludf.DUMMYFUNCTION("""COMPUTED_VALUE"""),46124)</f>
        <v>46124</v>
      </c>
      <c r="Q18" s="64">
        <f ca="1">IFERROR(__xludf.DUMMYFUNCTION("""COMPUTED_VALUE"""),46124)</f>
        <v>46124</v>
      </c>
      <c r="R18" s="30">
        <f ca="1">IFERROR(__xludf.DUMMYFUNCTION("""COMPUTED_VALUE"""),1)</f>
        <v>1</v>
      </c>
      <c r="S18" s="30" t="str">
        <f ca="1">IFERROR(__xludf.DUMMYFUNCTION("""COMPUTED_VALUE"""),"Multidisciplinario")</f>
        <v>Multidisciplinario</v>
      </c>
      <c r="T18" s="30" t="str">
        <f ca="1">IFERROR(__xludf.DUMMYFUNCTION("""COMPUTED_VALUE"""),"Interdisciplinario")</f>
        <v>Interdisciplinario</v>
      </c>
      <c r="U18" s="30" t="str">
        <f ca="1">IFERROR(__xludf.DUMMYFUNCTION("""COMPUTED_VALUE"""),"Activación cultural comunitaria")</f>
        <v>Activación cultural comunitaria</v>
      </c>
      <c r="V18" s="30" t="str">
        <f ca="1">IFERROR(__xludf.DUMMYFUNCTION("""COMPUTED_VALUE"""),"Ninguna")</f>
        <v>Ninguna</v>
      </c>
      <c r="W18" s="30" t="str">
        <f ca="1">IFERROR(__xludf.DUMMYFUNCTION("""COMPUTED_VALUE"""),"Presencial")</f>
        <v>Presencial</v>
      </c>
      <c r="X18" s="30" t="str">
        <f ca="1">IFERROR(__xludf.DUMMYFUNCTION("""COMPUTED_VALUE"""),"Espacio a Cargo de la Secretaría")</f>
        <v>Espacio a Cargo de la Secretaría</v>
      </c>
      <c r="Y18" s="30" t="str">
        <f ca="1">IFERROR(__xludf.DUMMYFUNCTION("""COMPUTED_VALUE"""),"8")</f>
        <v>8</v>
      </c>
      <c r="Z18" s="30"/>
      <c r="AA18" s="30"/>
      <c r="AB18" s="30" t="b">
        <f ca="1">IFERROR(__xludf.DUMMYFUNCTION("""COMPUTED_VALUE"""),FALSE)</f>
        <v>0</v>
      </c>
      <c r="AC18" s="30"/>
      <c r="AD18" s="30" t="b">
        <f ca="1">IFERROR(__xludf.DUMMYFUNCTION("""COMPUTED_VALUE"""),FALSE)</f>
        <v>0</v>
      </c>
      <c r="AE18" s="30"/>
      <c r="AF18" s="30" t="b">
        <f ca="1">IFERROR(__xludf.DUMMYFUNCTION("""COMPUTED_VALUE"""),FALSE)</f>
        <v>0</v>
      </c>
      <c r="AG18" s="30"/>
      <c r="AH18" s="30" t="str">
        <f ca="1">IFERROR(__xludf.DUMMYFUNCTION("""COMPUTED_VALUE"""),"Sin costo")</f>
        <v>Sin costo</v>
      </c>
      <c r="AI18" s="30"/>
      <c r="AJ18" s="30"/>
      <c r="AK18" s="30"/>
      <c r="AL18" s="30" t="str">
        <f ca="1">IFERROR(__xludf.DUMMYFUNCTION("""COMPUTED_VALUE"""),"ccardonav@guanajuato.gob.mx")</f>
        <v>ccardonav@guanajuato.gob.mx</v>
      </c>
      <c r="AM18"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18" s="30" t="str">
        <f ca="1">IFERROR(__xludf.DUMMYFUNCTION("""COMPUTED_VALUE"""),"1 Tranquilidad")</f>
        <v>1 Tranquilidad</v>
      </c>
      <c r="AO18" s="30" t="str">
        <f ca="1">IFERROR(__xludf.DUMMYFUNCTION("""COMPUTED_VALUE"""),"1.2 Fortalecer prevención del delito")</f>
        <v>1.2 Fortalecer prevención del delito</v>
      </c>
      <c r="AP18" s="30" t="str">
        <f ca="1">IFERROR(__xludf.DUMMYFUNCTION("""COMPUTED_VALUE"""),"1.2.2 Fortalecimiento del tejido social")</f>
        <v>1.2.2 Fortalecimiento del tejido social</v>
      </c>
      <c r="AQ18" s="30" t="str">
        <f ca="1">IFERROR(__xludf.DUMMYFUNCTION("""COMPUTED_VALUE"""),"1.2.3.4 Promover una cultura de paz desde las expresiones artísticas y culturales")</f>
        <v>1.2.3.4 Promover una cultura de paz desde las expresiones artísticas y culturales</v>
      </c>
      <c r="AR18" s="30" t="str">
        <f ca="1">IFERROR(__xludf.DUMMYFUNCTION("""COMPUTED_VALUE"""),"Cooperación")</f>
        <v>Cooperación</v>
      </c>
      <c r="AS18" s="30"/>
      <c r="AT18" s="30" t="str">
        <f ca="1">IFERROR(__xludf.DUMMYFUNCTION("""COMPUTED_VALUE"""),"Protección y dinamización del patrimonio, la memoria y los espacios culturales")</f>
        <v>Protección y dinamización del patrimonio, la memoria y los espacios culturales</v>
      </c>
      <c r="AU18"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8" s="30" t="str">
        <f ca="1">IFERROR(__xludf.DUMMYFUNCTION("""COMPUTED_VALUE"""),"Promover mecanismos de gobernanza para el aprovechamiento de espacios patrimoniales del estado de Guanajuato (ferias, festivales, encuentros comunitarios, etc.).")</f>
        <v>Promover mecanismos de gobernanza para el aprovechamiento de espacios patrimoniales del estado de Guanajuato (ferias, festivales, encuentros comunitarios, etc.).</v>
      </c>
      <c r="AW18"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8" s="30" t="str">
        <f ca="1">IFERROR(__xludf.DUMMYFUNCTION("""COMPUTED_VALUE"""),"Programación cultural en espacio público")</f>
        <v>Programación cultural en espacio público</v>
      </c>
      <c r="AY18" s="30" t="str">
        <f ca="1">IFERROR(__xludf.DUMMYFUNCTION("""COMPUTED_VALUE"""),"Formación")</f>
        <v>Formación</v>
      </c>
      <c r="AZ18" s="30"/>
      <c r="BA18" s="30"/>
      <c r="BB18" s="30"/>
      <c r="BC18" s="30">
        <f ca="1">IFERROR(__xludf.DUMMYFUNCTION("""COMPUTED_VALUE"""),0)</f>
        <v>0</v>
      </c>
      <c r="BD18" s="30"/>
      <c r="BE18" s="30"/>
      <c r="BF18" s="30" t="b">
        <f ca="1">IFERROR(__xludf.DUMMYFUNCTION("""COMPUTED_VALUE"""),FALSE)</f>
        <v>0</v>
      </c>
      <c r="BG18" s="30"/>
      <c r="BH18" s="30"/>
      <c r="BI18" s="30"/>
      <c r="BJ18" s="30"/>
      <c r="BK18" s="30"/>
      <c r="BL18" s="30" t="str">
        <f ca="1">IFERROR(__xludf.DUMMYFUNCTION("""COMPUTED_VALUE"""),"N/A")</f>
        <v>N/A</v>
      </c>
      <c r="BM18" s="30" t="str">
        <f ca="1">IFERROR(__xludf.DUMMYFUNCTION("""COMPUTED_VALUE"""),"Sí")</f>
        <v>Sí</v>
      </c>
      <c r="BN18" s="30"/>
      <c r="BO18" s="30" t="str">
        <f ca="1">IFERROR(__xludf.DUMMYFUNCTION("""COMPUTED_VALUE"""),"8fadd5d8")</f>
        <v>8fadd5d8</v>
      </c>
      <c r="BP18" s="29" t="str">
        <f ca="1">IFERROR(__xludf.DUMMYFUNCTION("""COMPUTED_VALUE"""),"León")</f>
        <v>León</v>
      </c>
      <c r="BQ18" s="30" t="str">
        <f ca="1">IFERROR(__xludf.DUMMYFUNCTION("""COMPUTED_VALUE"""),"Urbano")</f>
        <v>Urbano</v>
      </c>
      <c r="BR18" s="30"/>
      <c r="BS18" s="30"/>
      <c r="BT18" s="30"/>
      <c r="BU18" s="30" t="str">
        <f ca="1">IFERROR(__xludf.DUMMYFUNCTION("""COMPUTED_VALUE"""),"No")</f>
        <v>No</v>
      </c>
      <c r="BV18" s="30" t="str">
        <f ca="1">IFERROR(__xludf.DUMMYFUNCTION("""COMPUTED_VALUE"""),"No")</f>
        <v>No</v>
      </c>
      <c r="BW18" s="30">
        <f ca="1">IFERROR(__xludf.DUMMYFUNCTION("""COMPUTED_VALUE"""),62)</f>
        <v>62</v>
      </c>
      <c r="BX18" s="30">
        <f ca="1">IFERROR(__xludf.DUMMYFUNCTION("""COMPUTED_VALUE"""),20)</f>
        <v>20</v>
      </c>
      <c r="BY18" s="30">
        <f ca="1">IFERROR(__xludf.DUMMYFUNCTION("""COMPUTED_VALUE"""),42)</f>
        <v>42</v>
      </c>
      <c r="BZ18" s="30"/>
      <c r="CA18" s="30" t="str">
        <f ca="1">IFERROR(__xludf.DUMMYFUNCTION("""COMPUTED_VALUE"""),"No")</f>
        <v>No</v>
      </c>
      <c r="CB18" s="30" t="str">
        <f ca="1">IFERROR(__xludf.DUMMYFUNCTION("""COMPUTED_VALUE"""),"No")</f>
        <v>No</v>
      </c>
      <c r="CC18" s="30" t="str">
        <f ca="1">IFERROR(__xludf.DUMMYFUNCTION("""COMPUTED_VALUE"""),"acafb44f")</f>
        <v>acafb44f</v>
      </c>
      <c r="CD18" s="29" t="str">
        <f ca="1">IFERROR(__xludf.DUMMYFUNCTION("""COMPUTED_VALUE"""),"Adolescentes (13 a 17 años)")</f>
        <v>Adolescentes (13 a 17 años)</v>
      </c>
      <c r="CE18" s="30" t="str">
        <f ca="1">IFERROR(__xludf.DUMMYFUNCTION("""COMPUTED_VALUE"""),"Dato global")</f>
        <v>Dato global</v>
      </c>
      <c r="CF18" s="30" t="str">
        <f ca="1">IFERROR(__xludf.DUMMYFUNCTION("""COMPUTED_VALUE"""),"Ninguno (Población General)")</f>
        <v>Ninguno (Población General)</v>
      </c>
      <c r="CG18" s="30">
        <f ca="1">IFERROR(__xludf.DUMMYFUNCTION("""COMPUTED_VALUE"""),62)</f>
        <v>62</v>
      </c>
      <c r="CI18" s="30" t="str">
        <f ca="1">IFERROR(__xludf.DUMMYFUNCTION("""COMPUTED_VALUE"""),"ee2cc6f4")</f>
        <v>ee2cc6f4</v>
      </c>
      <c r="CJ18" s="29" t="str">
        <f ca="1">IFERROR(__xludf.DUMMYFUNCTION("""COMPUTED_VALUE"""),"Regitro_Evidencia_Images/ee2cc6f4.Archivo_Evidencia.163024.jpg")</f>
        <v>Regitro_Evidencia_Images/ee2cc6f4.Archivo_Evidencia.163024.jpg</v>
      </c>
      <c r="CK18" s="30" t="str">
        <f ca="1">IFERROR(__xludf.DUMMYFUNCTION("""COMPUTED_VALUE"""),"Foto")</f>
        <v>Foto</v>
      </c>
      <c r="CL18" s="30"/>
      <c r="CM18" s="30" t="str">
        <f ca="1">IFERROR(__xludf.DUMMYFUNCTION("""COMPUTED_VALUE"""),"")</f>
        <v/>
      </c>
      <c r="CN18" s="32" t="e">
        <f ca="1"/>
        <v>#NAME?</v>
      </c>
      <c r="CO18" s="32" t="e">
        <f ca="1"/>
        <v>#NAME?</v>
      </c>
      <c r="CP18" s="32" t="e">
        <f ca="1"/>
        <v>#NAME?</v>
      </c>
      <c r="CQ18" s="30" t="e">
        <f ca="1"/>
        <v>#NAME?</v>
      </c>
      <c r="CR18" s="30" t="e">
        <f ca="1"/>
        <v>#NAME?</v>
      </c>
      <c r="CS18" s="30" t="str">
        <f ca="1">IFERROR(__xludf.DUMMYFUNCTION("""COMPUTED_VALUE"""),"Población General")</f>
        <v>Población General</v>
      </c>
      <c r="CU18" s="32"/>
      <c r="CV18" s="32"/>
      <c r="CW18" s="32"/>
    </row>
    <row r="19" spans="1:101" ht="15.75" customHeight="1">
      <c r="A19" s="29" t="str">
        <f ca="1">IFERROR(__xludf.DUMMYFUNCTION("""COMPUTED_VALUE"""),"ACT00018")</f>
        <v>ACT00018</v>
      </c>
      <c r="B19" s="30" t="str">
        <f ca="1">IFERROR(__xludf.DUMMYFUNCTION("""COMPUTED_VALUE"""),"SC-260615-103418")</f>
        <v>SC-260615-103418</v>
      </c>
      <c r="C19" s="62">
        <f ca="1">IFERROR(__xludf.DUMMYFUNCTION("""COMPUTED_VALUE"""),46188.4404861111)</f>
        <v>46188.440486111103</v>
      </c>
      <c r="D19" s="30">
        <f ca="1">IFERROR(__xludf.DUMMYFUNCTION("""COMPUTED_VALUE"""),92)</f>
        <v>92</v>
      </c>
      <c r="E19" s="30" t="str">
        <f ca="1">IFERROR(__xludf.DUMMYFUNCTION("""COMPUTED_VALUE"""),"PB3572")</f>
        <v>PB3572</v>
      </c>
      <c r="F1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 s="30" t="str">
        <f ca="1">IFERROR(__xludf.DUMMYFUNCTION("""COMPUTED_VALUE"""),"SUBSECRETARÍA DE DESARROLLO Y PROMOCIÓN ARTÍSTICA Y CULTURAL")</f>
        <v>SUBSECRETARÍA DE DESARROLLO Y PROMOCIÓN ARTÍSTICA Y CULTURAL</v>
      </c>
      <c r="I19" s="34" t="str">
        <f ca="1">IFERROR(__xludf.DUMMYFUNCTION("""COMPUTED_VALUE"""),"DIRECCIÓN GENERAL DE MUSEOS, ARTES VISUALES Y EXPOSICIONES")</f>
        <v>DIRECCIÓN GENERAL DE MUSEOS, ARTES VISUALES Y EXPOSICIONES</v>
      </c>
      <c r="J19" s="30" t="str">
        <f ca="1">IFERROR(__xludf.DUMMYFUNCTION("""COMPUTED_VALUE"""),"Número de Actividades realizadas")</f>
        <v>Número de Actividades realizadas</v>
      </c>
      <c r="K19" s="30">
        <f ca="1">IFERROR(__xludf.DUMMYFUNCTION("""COMPUTED_VALUE"""),800)</f>
        <v>800</v>
      </c>
      <c r="L19" s="30" t="str">
        <f ca="1">IFERROR(__xludf.DUMMYFUNCTION("""COMPUTED_VALUE"""),"Artística")</f>
        <v>Artística</v>
      </c>
      <c r="M19" s="30" t="str">
        <f ca="1">IFERROR(__xludf.DUMMYFUNCTION("""COMPUTED_VALUE"""),"Museos para la niñez: Proyectos Kamalio y Orquesta Ensamble Da Capo")</f>
        <v>Museos para la niñez: Proyectos Kamalio y Orquesta Ensamble Da Capo</v>
      </c>
      <c r="N19" s="30" t="str">
        <f ca="1">IFERROR(__xludf.DUMMYFUNCTION("""COMPUTED_VALUE"""),"Orquesta Ensamble Da Capo está compuesta por alumnos de clases de música Amadeus Mozart, a cargo del maestro Eduardo Véjar. Con instrumentos de cuerda y percusión, son una orquesta que promueve la formación artística a través de la música en infancias y j"&amp;"uventudes.")</f>
        <v>Orquesta Ensamble Da Capo está compuesta por alumnos de clases de música Amadeus Mozart, a cargo del maestro Eduardo Véjar. Con instrumentos de cuerda y percusión, son una orquesta que promueve la formación artística a través de la música en infancias y juventudes.</v>
      </c>
      <c r="O19" s="30" t="str">
        <f ca="1">IFERROR(__xludf.DUMMYFUNCTION("""COMPUTED_VALUE"""),"Única")</f>
        <v>Única</v>
      </c>
      <c r="P19" s="33">
        <f ca="1">IFERROR(__xludf.DUMMYFUNCTION("""COMPUTED_VALUE"""),46130)</f>
        <v>46130</v>
      </c>
      <c r="Q19" s="64">
        <f ca="1">IFERROR(__xludf.DUMMYFUNCTION("""COMPUTED_VALUE"""),46130)</f>
        <v>46130</v>
      </c>
      <c r="R19" s="30">
        <f ca="1">IFERROR(__xludf.DUMMYFUNCTION("""COMPUTED_VALUE"""),1)</f>
        <v>1</v>
      </c>
      <c r="S19" s="30" t="str">
        <f ca="1">IFERROR(__xludf.DUMMYFUNCTION("""COMPUTED_VALUE"""),"Música")</f>
        <v>Música</v>
      </c>
      <c r="T19" s="30" t="str">
        <f ca="1">IFERROR(__xludf.DUMMYFUNCTION("""COMPUTED_VALUE"""),"Música tradicional")</f>
        <v>Música tradicional</v>
      </c>
      <c r="U19" s="30" t="str">
        <f ca="1">IFERROR(__xludf.DUMMYFUNCTION("""COMPUTED_VALUE"""),"Muestra artística")</f>
        <v>Muestra artística</v>
      </c>
      <c r="V19" s="30" t="str">
        <f ca="1">IFERROR(__xludf.DUMMYFUNCTION("""COMPUTED_VALUE"""),"Ninguna")</f>
        <v>Ninguna</v>
      </c>
      <c r="W19" s="30" t="str">
        <f ca="1">IFERROR(__xludf.DUMMYFUNCTION("""COMPUTED_VALUE"""),"Presencial")</f>
        <v>Presencial</v>
      </c>
      <c r="X19" s="30" t="str">
        <f ca="1">IFERROR(__xludf.DUMMYFUNCTION("""COMPUTED_VALUE"""),"Espacio a Cargo de la Secretaría")</f>
        <v>Espacio a Cargo de la Secretaría</v>
      </c>
      <c r="Y19" s="30" t="str">
        <f ca="1">IFERROR(__xludf.DUMMYFUNCTION("""COMPUTED_VALUE"""),"8")</f>
        <v>8</v>
      </c>
      <c r="Z19" s="30"/>
      <c r="AA19" s="30"/>
      <c r="AB19" s="30" t="b">
        <f ca="1">IFERROR(__xludf.DUMMYFUNCTION("""COMPUTED_VALUE"""),FALSE)</f>
        <v>0</v>
      </c>
      <c r="AC19" s="30"/>
      <c r="AD19" s="30" t="b">
        <f ca="1">IFERROR(__xludf.DUMMYFUNCTION("""COMPUTED_VALUE"""),FALSE)</f>
        <v>0</v>
      </c>
      <c r="AE19" s="30"/>
      <c r="AF19" s="30" t="b">
        <f ca="1">IFERROR(__xludf.DUMMYFUNCTION("""COMPUTED_VALUE"""),FALSE)</f>
        <v>0</v>
      </c>
      <c r="AG19" s="30"/>
      <c r="AH19" s="30" t="str">
        <f ca="1">IFERROR(__xludf.DUMMYFUNCTION("""COMPUTED_VALUE"""),"Sin costo")</f>
        <v>Sin costo</v>
      </c>
      <c r="AI19" s="30"/>
      <c r="AJ19" s="30"/>
      <c r="AK19" s="30"/>
      <c r="AL19" s="30" t="str">
        <f ca="1">IFERROR(__xludf.DUMMYFUNCTION("""COMPUTED_VALUE"""),"ccardonav@guanajuato.gob.mx")</f>
        <v>ccardonav@guanajuato.gob.mx</v>
      </c>
      <c r="AM19"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19" s="30" t="str">
        <f ca="1">IFERROR(__xludf.DUMMYFUNCTION("""COMPUTED_VALUE"""),"1 Tranquilidad")</f>
        <v>1 Tranquilidad</v>
      </c>
      <c r="AO19" s="30" t="str">
        <f ca="1">IFERROR(__xludf.DUMMYFUNCTION("""COMPUTED_VALUE"""),"1.2 Fortalecer prevención del delito")</f>
        <v>1.2 Fortalecer prevención del delito</v>
      </c>
      <c r="AP19" s="30" t="str">
        <f ca="1">IFERROR(__xludf.DUMMYFUNCTION("""COMPUTED_VALUE"""),"1.2.2 Fortalecimiento del tejido social")</f>
        <v>1.2.2 Fortalecimiento del tejido social</v>
      </c>
      <c r="AQ19" s="30" t="str">
        <f ca="1">IFERROR(__xludf.DUMMYFUNCTION("""COMPUTED_VALUE"""),"1.2.3.4 Promover una cultura de paz desde las expresiones artísticas y culturales")</f>
        <v>1.2.3.4 Promover una cultura de paz desde las expresiones artísticas y culturales</v>
      </c>
      <c r="AR19" s="30" t="str">
        <f ca="1">IFERROR(__xludf.DUMMYFUNCTION("""COMPUTED_VALUE"""),"Cooperación")</f>
        <v>Cooperación</v>
      </c>
      <c r="AS19" s="30"/>
      <c r="AT19" s="30" t="str">
        <f ca="1">IFERROR(__xludf.DUMMYFUNCTION("""COMPUTED_VALUE"""),"Fomento a la creación y circulación cultural.")</f>
        <v>Fomento a la creación y circulación cultural.</v>
      </c>
      <c r="AU19" s="30" t="str">
        <f ca="1">IFERROR(__xludf.DUMMYFUNCTION("""COMPUTED_VALUE"""),"Impulso a redes colaborativas y plataformas de visibilidad")</f>
        <v>Impulso a redes colaborativas y plataformas de visibilidad</v>
      </c>
      <c r="AV19" s="30" t="str">
        <f ca="1">IFERROR(__xludf.DUMMYFUNCTION("""COMPUTED_VALUE"""),"Celebrar esquemas de colaboración para facilitar la presencia de artistas locales en ferias, festivales y redes culturales nacionales e internacionales.")</f>
        <v>Celebrar esquemas de colaboración para facilitar la presencia de artistas locales en ferias, festivales y redes culturales nacionales e internacionales.</v>
      </c>
      <c r="AW19" s="30" t="str">
        <f ca="1">IFERROR(__xludf.DUMMYFUNCTION("""COMPUTED_VALUE"""),"Lograr un incremento anual del 10% en la circulación de obras fuera del territorio estatal.")</f>
        <v>Lograr un incremento anual del 10% en la circulación de obras fuera del territorio estatal.</v>
      </c>
      <c r="AX19" s="30" t="str">
        <f ca="1">IFERROR(__xludf.DUMMYFUNCTION("""COMPUTED_VALUE"""),"Presentación artística")</f>
        <v>Presentación artística</v>
      </c>
      <c r="AY19" s="30" t="str">
        <f ca="1">IFERROR(__xludf.DUMMYFUNCTION("""COMPUTED_VALUE"""),"Formación")</f>
        <v>Formación</v>
      </c>
      <c r="AZ19" s="30"/>
      <c r="BA19" s="30"/>
      <c r="BB19" s="30"/>
      <c r="BC19" s="30">
        <f ca="1">IFERROR(__xludf.DUMMYFUNCTION("""COMPUTED_VALUE"""),0)</f>
        <v>0</v>
      </c>
      <c r="BD19" s="30"/>
      <c r="BE19" s="30"/>
      <c r="BF19" s="30" t="b">
        <f ca="1">IFERROR(__xludf.DUMMYFUNCTION("""COMPUTED_VALUE"""),FALSE)</f>
        <v>0</v>
      </c>
      <c r="BG19" s="30"/>
      <c r="BH19" s="30"/>
      <c r="BI19" s="30"/>
      <c r="BJ19" s="30"/>
      <c r="BK19" s="30"/>
      <c r="BL19" s="30" t="str">
        <f ca="1">IFERROR(__xludf.DUMMYFUNCTION("""COMPUTED_VALUE"""),"N/A")</f>
        <v>N/A</v>
      </c>
      <c r="BM19" s="30" t="str">
        <f ca="1">IFERROR(__xludf.DUMMYFUNCTION("""COMPUTED_VALUE"""),"Sí")</f>
        <v>Sí</v>
      </c>
      <c r="BN19" s="30"/>
      <c r="BO19" s="30" t="str">
        <f ca="1">IFERROR(__xludf.DUMMYFUNCTION("""COMPUTED_VALUE"""),"6a4f19f2")</f>
        <v>6a4f19f2</v>
      </c>
      <c r="BP19" s="29" t="str">
        <f ca="1">IFERROR(__xludf.DUMMYFUNCTION("""COMPUTED_VALUE"""),"León")</f>
        <v>León</v>
      </c>
      <c r="BQ19" s="30" t="str">
        <f ca="1">IFERROR(__xludf.DUMMYFUNCTION("""COMPUTED_VALUE"""),"Urbano")</f>
        <v>Urbano</v>
      </c>
      <c r="BR19" s="30"/>
      <c r="BS19" s="30"/>
      <c r="BT19" s="30" t="str">
        <f ca="1">IFERROR(__xludf.DUMMYFUNCTION("""COMPUTED_VALUE"""),"La Martinica")</f>
        <v>La Martinica</v>
      </c>
      <c r="BU19" s="30" t="str">
        <f ca="1">IFERROR(__xludf.DUMMYFUNCTION("""COMPUTED_VALUE"""),"No")</f>
        <v>No</v>
      </c>
      <c r="BV19" s="30" t="str">
        <f ca="1">IFERROR(__xludf.DUMMYFUNCTION("""COMPUTED_VALUE"""),"No")</f>
        <v>No</v>
      </c>
      <c r="BW19" s="30">
        <f ca="1">IFERROR(__xludf.DUMMYFUNCTION("""COMPUTED_VALUE"""),146)</f>
        <v>146</v>
      </c>
      <c r="BX19" s="30">
        <f ca="1">IFERROR(__xludf.DUMMYFUNCTION("""COMPUTED_VALUE"""),17)</f>
        <v>17</v>
      </c>
      <c r="BY19" s="30">
        <f ca="1">IFERROR(__xludf.DUMMYFUNCTION("""COMPUTED_VALUE"""),129)</f>
        <v>129</v>
      </c>
      <c r="BZ19" s="30" t="str">
        <f ca="1">IFERROR(__xludf.DUMMYFUNCTION("""COMPUTED_VALUE"""),"La Martinica")</f>
        <v>La Martinica</v>
      </c>
      <c r="CA19" s="30" t="str">
        <f ca="1">IFERROR(__xludf.DUMMYFUNCTION("""COMPUTED_VALUE"""),"No")</f>
        <v>No</v>
      </c>
      <c r="CB19" s="30" t="str">
        <f ca="1">IFERROR(__xludf.DUMMYFUNCTION("""COMPUTED_VALUE"""),"No")</f>
        <v>No</v>
      </c>
      <c r="CC19" s="30" t="str">
        <f ca="1">IFERROR(__xludf.DUMMYFUNCTION("""COMPUTED_VALUE"""),"32bcf775")</f>
        <v>32bcf775</v>
      </c>
      <c r="CD19" s="29" t="str">
        <f ca="1">IFERROR(__xludf.DUMMYFUNCTION("""COMPUTED_VALUE"""),"Jóvenes (18 a 29 años)")</f>
        <v>Jóvenes (18 a 29 años)</v>
      </c>
      <c r="CE19" s="30" t="str">
        <f ca="1">IFERROR(__xludf.DUMMYFUNCTION("""COMPUTED_VALUE"""),"Dato global")</f>
        <v>Dato global</v>
      </c>
      <c r="CF19" s="30" t="str">
        <f ca="1">IFERROR(__xludf.DUMMYFUNCTION("""COMPUTED_VALUE"""),"Ninguno (Población General)")</f>
        <v>Ninguno (Población General)</v>
      </c>
      <c r="CG19" s="30">
        <f ca="1">IFERROR(__xludf.DUMMYFUNCTION("""COMPUTED_VALUE"""),146)</f>
        <v>146</v>
      </c>
      <c r="CI19" s="30" t="str">
        <f ca="1">IFERROR(__xludf.DUMMYFUNCTION("""COMPUTED_VALUE"""),"1adad151")</f>
        <v>1adad151</v>
      </c>
      <c r="CJ19" s="29" t="str">
        <f ca="1">IFERROR(__xludf.DUMMYFUNCTION("""COMPUTED_VALUE"""),"Regitro_Evidencia_Images/1adad151.Archivo_Evidencia.164008.jpg")</f>
        <v>Regitro_Evidencia_Images/1adad151.Archivo_Evidencia.164008.jpg</v>
      </c>
      <c r="CK19" s="30" t="str">
        <f ca="1">IFERROR(__xludf.DUMMYFUNCTION("""COMPUTED_VALUE"""),"Foto")</f>
        <v>Foto</v>
      </c>
      <c r="CL19" s="30"/>
      <c r="CM19" s="30" t="str">
        <f ca="1">IFERROR(__xludf.DUMMYFUNCTION("""COMPUTED_VALUE"""),"León")</f>
        <v>León</v>
      </c>
      <c r="CN19" s="32" t="e">
        <f ca="1"/>
        <v>#NAME?</v>
      </c>
      <c r="CO19" s="32" t="e">
        <f ca="1"/>
        <v>#NAME?</v>
      </c>
      <c r="CP19" s="32" t="e">
        <f ca="1"/>
        <v>#NAME?</v>
      </c>
      <c r="CQ19" s="30" t="e">
        <f ca="1"/>
        <v>#NAME?</v>
      </c>
      <c r="CR19" s="30" t="e">
        <f ca="1"/>
        <v>#NAME?</v>
      </c>
      <c r="CS19" s="30" t="str">
        <f ca="1">IFERROR(__xludf.DUMMYFUNCTION("""COMPUTED_VALUE"""),"Jóvenes en riesgo, Jóvenes en riesgo, Mujeres en situación de vulnerabilidad, Mujeres en situación de vulnerabilidad")</f>
        <v>Jóvenes en riesgo, Jóvenes en riesgo, Mujeres en situación de vulnerabilidad, Mujeres en situación de vulnerabilidad</v>
      </c>
      <c r="CU19" s="32"/>
      <c r="CV19" s="32"/>
      <c r="CW19" s="32"/>
    </row>
    <row r="20" spans="1:101" ht="15.5">
      <c r="A20" s="29" t="str">
        <f ca="1">IFERROR(__xludf.DUMMYFUNCTION("""COMPUTED_VALUE"""),"ACT00019")</f>
        <v>ACT00019</v>
      </c>
      <c r="B20" s="30" t="str">
        <f ca="1">IFERROR(__xludf.DUMMYFUNCTION("""COMPUTED_VALUE"""),"SC-260615-104331")</f>
        <v>SC-260615-104331</v>
      </c>
      <c r="C20" s="62">
        <f ca="1">IFERROR(__xludf.DUMMYFUNCTION("""COMPUTED_VALUE"""),46188.446886574)</f>
        <v>46188.446886573998</v>
      </c>
      <c r="D20" s="30">
        <f ca="1">IFERROR(__xludf.DUMMYFUNCTION("""COMPUTED_VALUE"""),92)</f>
        <v>92</v>
      </c>
      <c r="E20" s="30" t="str">
        <f ca="1">IFERROR(__xludf.DUMMYFUNCTION("""COMPUTED_VALUE"""),"PB3572")</f>
        <v>PB3572</v>
      </c>
      <c r="F2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 s="30" t="str">
        <f ca="1">IFERROR(__xludf.DUMMYFUNCTION("""COMPUTED_VALUE"""),"SUBSECRETARÍA DE DESARROLLO Y PROMOCIÓN ARTÍSTICA Y CULTURAL")</f>
        <v>SUBSECRETARÍA DE DESARROLLO Y PROMOCIÓN ARTÍSTICA Y CULTURAL</v>
      </c>
      <c r="I20" s="34" t="str">
        <f ca="1">IFERROR(__xludf.DUMMYFUNCTION("""COMPUTED_VALUE"""),"DIRECCIÓN GENERAL DE MUSEOS, ARTES VISUALES Y EXPOSICIONES")</f>
        <v>DIRECCIÓN GENERAL DE MUSEOS, ARTES VISUALES Y EXPOSICIONES</v>
      </c>
      <c r="J20" s="30" t="str">
        <f ca="1">IFERROR(__xludf.DUMMYFUNCTION("""COMPUTED_VALUE"""),"Número de Actividades realizadas")</f>
        <v>Número de Actividades realizadas</v>
      </c>
      <c r="K20" s="30">
        <f ca="1">IFERROR(__xludf.DUMMYFUNCTION("""COMPUTED_VALUE"""),800)</f>
        <v>800</v>
      </c>
      <c r="L20" s="30" t="str">
        <f ca="1">IFERROR(__xludf.DUMMYFUNCTION("""COMPUTED_VALUE"""),"Cultural")</f>
        <v>Cultural</v>
      </c>
      <c r="M20" s="30" t="str">
        <f ca="1">IFERROR(__xludf.DUMMYFUNCTION("""COMPUTED_VALUE"""),"Museos para la niñez: Magic Mind para la niñez. Meditación")</f>
        <v>Museos para la niñez: Magic Mind para la niñez. Meditación</v>
      </c>
      <c r="N20" s="30" t="str">
        <f ca="1">IFERROR(__xludf.DUMMYFUNCTION("""COMPUTED_VALUE"""),"Meditación, yoga y aromaterapia en Terraza del Jardín de las esculturas. Imparte: Ana Gabriela Barajas Hernández de Magic Mind.")</f>
        <v>Meditación, yoga y aromaterapia en Terraza del Jardín de las esculturas. Imparte: Ana Gabriela Barajas Hernández de Magic Mind.</v>
      </c>
      <c r="O20" s="30" t="str">
        <f ca="1">IFERROR(__xludf.DUMMYFUNCTION("""COMPUTED_VALUE"""),"Única")</f>
        <v>Única</v>
      </c>
      <c r="P20" s="33">
        <f ca="1">IFERROR(__xludf.DUMMYFUNCTION("""COMPUTED_VALUE"""),46131)</f>
        <v>46131</v>
      </c>
      <c r="Q20" s="64">
        <f ca="1">IFERROR(__xludf.DUMMYFUNCTION("""COMPUTED_VALUE"""),46131)</f>
        <v>46131</v>
      </c>
      <c r="R20" s="30">
        <f ca="1">IFERROR(__xludf.DUMMYFUNCTION("""COMPUTED_VALUE"""),1)</f>
        <v>1</v>
      </c>
      <c r="S20" s="30" t="str">
        <f ca="1">IFERROR(__xludf.DUMMYFUNCTION("""COMPUTED_VALUE"""),"Multidisciplinario")</f>
        <v>Multidisciplinario</v>
      </c>
      <c r="T20" s="30" t="str">
        <f ca="1">IFERROR(__xludf.DUMMYFUNCTION("""COMPUTED_VALUE"""),"Interdisciplinario")</f>
        <v>Interdisciplinario</v>
      </c>
      <c r="U20" s="30" t="str">
        <f ca="1">IFERROR(__xludf.DUMMYFUNCTION("""COMPUTED_VALUE"""),"Taller")</f>
        <v>Taller</v>
      </c>
      <c r="V20" s="30" t="str">
        <f ca="1">IFERROR(__xludf.DUMMYFUNCTION("""COMPUTED_VALUE"""),"Ninguna")</f>
        <v>Ninguna</v>
      </c>
      <c r="W20" s="30" t="str">
        <f ca="1">IFERROR(__xludf.DUMMYFUNCTION("""COMPUTED_VALUE"""),"Presencial")</f>
        <v>Presencial</v>
      </c>
      <c r="X20" s="30" t="str">
        <f ca="1">IFERROR(__xludf.DUMMYFUNCTION("""COMPUTED_VALUE"""),"Espacio a Cargo de la Secretaría")</f>
        <v>Espacio a Cargo de la Secretaría</v>
      </c>
      <c r="Y20" s="30" t="str">
        <f ca="1">IFERROR(__xludf.DUMMYFUNCTION("""COMPUTED_VALUE"""),"8")</f>
        <v>8</v>
      </c>
      <c r="Z20" s="30"/>
      <c r="AA20" s="30"/>
      <c r="AB20" s="30" t="b">
        <f ca="1">IFERROR(__xludf.DUMMYFUNCTION("""COMPUTED_VALUE"""),FALSE)</f>
        <v>0</v>
      </c>
      <c r="AC20" s="30"/>
      <c r="AD20" s="30" t="b">
        <f ca="1">IFERROR(__xludf.DUMMYFUNCTION("""COMPUTED_VALUE"""),FALSE)</f>
        <v>0</v>
      </c>
      <c r="AE20" s="30"/>
      <c r="AF20" s="30" t="b">
        <f ca="1">IFERROR(__xludf.DUMMYFUNCTION("""COMPUTED_VALUE"""),FALSE)</f>
        <v>0</v>
      </c>
      <c r="AG20" s="30"/>
      <c r="AH20" s="30" t="str">
        <f ca="1">IFERROR(__xludf.DUMMYFUNCTION("""COMPUTED_VALUE"""),"Sin costo")</f>
        <v>Sin costo</v>
      </c>
      <c r="AI20" s="30"/>
      <c r="AJ20" s="30"/>
      <c r="AK20" s="30"/>
      <c r="AL20" s="30" t="str">
        <f ca="1">IFERROR(__xludf.DUMMYFUNCTION("""COMPUTED_VALUE"""),"ccardonav@guanajuato.gob.mx")</f>
        <v>ccardonav@guanajuato.gob.mx</v>
      </c>
      <c r="AM20"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20" s="30" t="str">
        <f ca="1">IFERROR(__xludf.DUMMYFUNCTION("""COMPUTED_VALUE"""),"1 Tranquilidad")</f>
        <v>1 Tranquilidad</v>
      </c>
      <c r="AO20" s="30" t="str">
        <f ca="1">IFERROR(__xludf.DUMMYFUNCTION("""COMPUTED_VALUE"""),"1.2 Fortalecer prevención del delito")</f>
        <v>1.2 Fortalecer prevención del delito</v>
      </c>
      <c r="AP20" s="30" t="str">
        <f ca="1">IFERROR(__xludf.DUMMYFUNCTION("""COMPUTED_VALUE"""),"1.2.2 Fortalecimiento del tejido social")</f>
        <v>1.2.2 Fortalecimiento del tejido social</v>
      </c>
      <c r="AQ20" s="30" t="str">
        <f ca="1">IFERROR(__xludf.DUMMYFUNCTION("""COMPUTED_VALUE"""),"1.2.3.4 Promover una cultura de paz desde las expresiones artísticas y culturales")</f>
        <v>1.2.3.4 Promover una cultura de paz desde las expresiones artísticas y culturales</v>
      </c>
      <c r="AR20" s="30" t="str">
        <f ca="1">IFERROR(__xludf.DUMMYFUNCTION("""COMPUTED_VALUE"""),"Cooperación")</f>
        <v>Cooperación</v>
      </c>
      <c r="AS20" s="30"/>
      <c r="AT20" s="30" t="str">
        <f ca="1">IFERROR(__xludf.DUMMYFUNCTION("""COMPUTED_VALUE"""),"Sostenibilidad del trabajo cultural y la economía creativa.")</f>
        <v>Sostenibilidad del trabajo cultural y la economía creativa.</v>
      </c>
      <c r="AU20"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20" s="30" t="str">
        <f ca="1">IFERROR(__xludf.DUMMYFUNCTION("""COMPUTED_VALUE"""),"Diseñar programas de formación y gestión cultural de base comunitaria.")</f>
        <v>Diseñar programas de formación y gestión cultural de base comunitaria.</v>
      </c>
      <c r="AW20"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20" s="30" t="str">
        <f ca="1">IFERROR(__xludf.DUMMYFUNCTION("""COMPUTED_VALUE"""),"Taller")</f>
        <v>Taller</v>
      </c>
      <c r="AY20" s="30" t="str">
        <f ca="1">IFERROR(__xludf.DUMMYFUNCTION("""COMPUTED_VALUE"""),"Formación")</f>
        <v>Formación</v>
      </c>
      <c r="AZ20" s="30"/>
      <c r="BA20" s="30"/>
      <c r="BB20" s="30"/>
      <c r="BC20" s="30">
        <f ca="1">IFERROR(__xludf.DUMMYFUNCTION("""COMPUTED_VALUE"""),0)</f>
        <v>0</v>
      </c>
      <c r="BD20" s="30"/>
      <c r="BE20" s="30"/>
      <c r="BF20" s="30" t="b">
        <f ca="1">IFERROR(__xludf.DUMMYFUNCTION("""COMPUTED_VALUE"""),FALSE)</f>
        <v>0</v>
      </c>
      <c r="BG20" s="30"/>
      <c r="BH20" s="30"/>
      <c r="BI20" s="30"/>
      <c r="BJ20" s="30"/>
      <c r="BK20" s="30"/>
      <c r="BL20" s="30" t="str">
        <f ca="1">IFERROR(__xludf.DUMMYFUNCTION("""COMPUTED_VALUE"""),"N/A")</f>
        <v>N/A</v>
      </c>
      <c r="BM20" s="30" t="str">
        <f ca="1">IFERROR(__xludf.DUMMYFUNCTION("""COMPUTED_VALUE"""),"Sí")</f>
        <v>Sí</v>
      </c>
      <c r="BN20" s="30"/>
      <c r="BO20" s="30" t="str">
        <f ca="1">IFERROR(__xludf.DUMMYFUNCTION("""COMPUTED_VALUE"""),"ff181aeb")</f>
        <v>ff181aeb</v>
      </c>
      <c r="BP20" s="29" t="str">
        <f ca="1">IFERROR(__xludf.DUMMYFUNCTION("""COMPUTED_VALUE"""),"León")</f>
        <v>León</v>
      </c>
      <c r="BQ20" s="30" t="str">
        <f ca="1">IFERROR(__xludf.DUMMYFUNCTION("""COMPUTED_VALUE"""),"Urbano")</f>
        <v>Urbano</v>
      </c>
      <c r="BR20" s="30"/>
      <c r="BS20" s="30"/>
      <c r="BT20" s="30" t="str">
        <f ca="1">IFERROR(__xludf.DUMMYFUNCTION("""COMPUTED_VALUE"""),"La Martinica")</f>
        <v>La Martinica</v>
      </c>
      <c r="BU20" s="30" t="str">
        <f ca="1">IFERROR(__xludf.DUMMYFUNCTION("""COMPUTED_VALUE"""),"No")</f>
        <v>No</v>
      </c>
      <c r="BV20" s="30" t="str">
        <f ca="1">IFERROR(__xludf.DUMMYFUNCTION("""COMPUTED_VALUE"""),"No")</f>
        <v>No</v>
      </c>
      <c r="BW20" s="30">
        <f ca="1">IFERROR(__xludf.DUMMYFUNCTION("""COMPUTED_VALUE"""),26)</f>
        <v>26</v>
      </c>
      <c r="BX20" s="30">
        <f ca="1">IFERROR(__xludf.DUMMYFUNCTION("""COMPUTED_VALUE"""),26)</f>
        <v>26</v>
      </c>
      <c r="BY20" s="30">
        <f ca="1">IFERROR(__xludf.DUMMYFUNCTION("""COMPUTED_VALUE"""),0)</f>
        <v>0</v>
      </c>
      <c r="BZ20" s="30" t="str">
        <f ca="1">IFERROR(__xludf.DUMMYFUNCTION("""COMPUTED_VALUE"""),"La Martinica")</f>
        <v>La Martinica</v>
      </c>
      <c r="CA20" s="30" t="str">
        <f ca="1">IFERROR(__xludf.DUMMYFUNCTION("""COMPUTED_VALUE"""),"No")</f>
        <v>No</v>
      </c>
      <c r="CB20" s="30" t="str">
        <f ca="1">IFERROR(__xludf.DUMMYFUNCTION("""COMPUTED_VALUE"""),"No")</f>
        <v>No</v>
      </c>
      <c r="CC20" s="30" t="str">
        <f ca="1">IFERROR(__xludf.DUMMYFUNCTION("""COMPUTED_VALUE"""),"c3ce3cdb")</f>
        <v>c3ce3cdb</v>
      </c>
      <c r="CD20" s="29" t="str">
        <f ca="1">IFERROR(__xludf.DUMMYFUNCTION("""COMPUTED_VALUE"""),"Adultos (30 a 59 años)")</f>
        <v>Adultos (30 a 59 años)</v>
      </c>
      <c r="CE20" s="30" t="str">
        <f ca="1">IFERROR(__xludf.DUMMYFUNCTION("""COMPUTED_VALUE"""),"Dato global")</f>
        <v>Dato global</v>
      </c>
      <c r="CF20" s="30" t="str">
        <f ca="1">IFERROR(__xludf.DUMMYFUNCTION("""COMPUTED_VALUE"""),"Ninguno (Población General)")</f>
        <v>Ninguno (Población General)</v>
      </c>
      <c r="CG20" s="30">
        <f ca="1">IFERROR(__xludf.DUMMYFUNCTION("""COMPUTED_VALUE"""),26)</f>
        <v>26</v>
      </c>
      <c r="CI20" s="30" t="str">
        <f ca="1">IFERROR(__xludf.DUMMYFUNCTION("""COMPUTED_VALUE"""),"b378d74c")</f>
        <v>b378d74c</v>
      </c>
      <c r="CJ20" s="29" t="str">
        <f ca="1">IFERROR(__xludf.DUMMYFUNCTION("""COMPUTED_VALUE"""),"Regitro_Evidencia_Images/b378d74c.Archivo_Evidencia.172311.jpg")</f>
        <v>Regitro_Evidencia_Images/b378d74c.Archivo_Evidencia.172311.jpg</v>
      </c>
      <c r="CK20" s="30" t="str">
        <f ca="1">IFERROR(__xludf.DUMMYFUNCTION("""COMPUTED_VALUE"""),"Foto")</f>
        <v>Foto</v>
      </c>
      <c r="CL20" s="30"/>
      <c r="CM20" s="30" t="str">
        <f ca="1">IFERROR(__xludf.DUMMYFUNCTION("""COMPUTED_VALUE"""),"León")</f>
        <v>León</v>
      </c>
      <c r="CN20" s="32" t="e">
        <f ca="1"/>
        <v>#NAME?</v>
      </c>
      <c r="CO20" s="32" t="e">
        <f ca="1"/>
        <v>#NAME?</v>
      </c>
      <c r="CP20" s="32" t="e">
        <f ca="1"/>
        <v>#NAME?</v>
      </c>
      <c r="CQ20" s="30" t="e">
        <f ca="1"/>
        <v>#NAME?</v>
      </c>
      <c r="CR20" s="30" t="e">
        <f ca="1"/>
        <v>#NAME?</v>
      </c>
      <c r="CS20" s="30" t="str">
        <f ca="1">IFERROR(__xludf.DUMMYFUNCTION("""COMPUTED_VALUE"""),"Mujeres en situación de vulnerabilidad")</f>
        <v>Mujeres en situación de vulnerabilidad</v>
      </c>
      <c r="CU20" s="32"/>
      <c r="CV20" s="32"/>
      <c r="CW20" s="32"/>
    </row>
    <row r="21" spans="1:101" ht="15.5">
      <c r="A21" s="29" t="str">
        <f ca="1">IFERROR(__xludf.DUMMYFUNCTION("""COMPUTED_VALUE"""),"ACT00020")</f>
        <v>ACT00020</v>
      </c>
      <c r="B21" s="30" t="str">
        <f ca="1">IFERROR(__xludf.DUMMYFUNCTION("""COMPUTED_VALUE"""),"SC-260615-112323")</f>
        <v>SC-260615-112323</v>
      </c>
      <c r="C21" s="62">
        <f ca="1">IFERROR(__xludf.DUMMYFUNCTION("""COMPUTED_VALUE"""),46188.4745717592)</f>
        <v>46188.474571759201</v>
      </c>
      <c r="D21" s="30">
        <f ca="1">IFERROR(__xludf.DUMMYFUNCTION("""COMPUTED_VALUE"""),92)</f>
        <v>92</v>
      </c>
      <c r="E21" s="30" t="str">
        <f ca="1">IFERROR(__xludf.DUMMYFUNCTION("""COMPUTED_VALUE"""),"PB3572")</f>
        <v>PB3572</v>
      </c>
      <c r="F2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 s="30" t="str">
        <f ca="1">IFERROR(__xludf.DUMMYFUNCTION("""COMPUTED_VALUE"""),"SUBSECRETARÍA DE DESARROLLO Y PROMOCIÓN ARTÍSTICA Y CULTURAL")</f>
        <v>SUBSECRETARÍA DE DESARROLLO Y PROMOCIÓN ARTÍSTICA Y CULTURAL</v>
      </c>
      <c r="I21" s="34" t="str">
        <f ca="1">IFERROR(__xludf.DUMMYFUNCTION("""COMPUTED_VALUE"""),"DIRECCIÓN GENERAL DE MUSEOS, ARTES VISUALES Y EXPOSICIONES")</f>
        <v>DIRECCIÓN GENERAL DE MUSEOS, ARTES VISUALES Y EXPOSICIONES</v>
      </c>
      <c r="J21" s="30" t="str">
        <f ca="1">IFERROR(__xludf.DUMMYFUNCTION("""COMPUTED_VALUE"""),"Número de Actividades realizadas")</f>
        <v>Número de Actividades realizadas</v>
      </c>
      <c r="K21" s="30">
        <f ca="1">IFERROR(__xludf.DUMMYFUNCTION("""COMPUTED_VALUE"""),800)</f>
        <v>800</v>
      </c>
      <c r="L21" s="30" t="str">
        <f ca="1">IFERROR(__xludf.DUMMYFUNCTION("""COMPUTED_VALUE"""),"Cultural")</f>
        <v>Cultural</v>
      </c>
      <c r="M21" s="30" t="str">
        <f ca="1">IFERROR(__xludf.DUMMYFUNCTION("""COMPUTED_VALUE"""),"Museos para la niñez: Cómo visitar un museo para niños")</f>
        <v>Museos para la niñez: Cómo visitar un museo para niños</v>
      </c>
      <c r="N21" s="30" t="str">
        <f ca="1">IFERROR(__xludf.DUMMYFUNCTION("""COMPUTED_VALUE"""),"La Plataforma de Arte emergente del Bajío LANZA te invita a participar en este divertido taller en el que podrás aprender cómo conocer y disfrutar de los museos.")</f>
        <v>La Plataforma de Arte emergente del Bajío LANZA te invita a participar en este divertido taller en el que podrás aprender cómo conocer y disfrutar de los museos.</v>
      </c>
      <c r="O21" s="30" t="str">
        <f ca="1">IFERROR(__xludf.DUMMYFUNCTION("""COMPUTED_VALUE"""),"Única")</f>
        <v>Única</v>
      </c>
      <c r="P21" s="33">
        <f ca="1">IFERROR(__xludf.DUMMYFUNCTION("""COMPUTED_VALUE"""),46131)</f>
        <v>46131</v>
      </c>
      <c r="Q21" s="64">
        <f ca="1">IFERROR(__xludf.DUMMYFUNCTION("""COMPUTED_VALUE"""),46131)</f>
        <v>46131</v>
      </c>
      <c r="R21" s="30">
        <f ca="1">IFERROR(__xludf.DUMMYFUNCTION("""COMPUTED_VALUE"""),1)</f>
        <v>1</v>
      </c>
      <c r="S21" s="30" t="str">
        <f ca="1">IFERROR(__xludf.DUMMYFUNCTION("""COMPUTED_VALUE"""),"Cultura comunitaria")</f>
        <v>Cultura comunitaria</v>
      </c>
      <c r="T21" s="30" t="str">
        <f ca="1">IFERROR(__xludf.DUMMYFUNCTION("""COMPUTED_VALUE"""),"Mediación cultural")</f>
        <v>Mediación cultural</v>
      </c>
      <c r="U21" s="30" t="str">
        <f ca="1">IFERROR(__xludf.DUMMYFUNCTION("""COMPUTED_VALUE"""),"Taller")</f>
        <v>Taller</v>
      </c>
      <c r="V21" s="30" t="str">
        <f ca="1">IFERROR(__xludf.DUMMYFUNCTION("""COMPUTED_VALUE"""),"Ninguna")</f>
        <v>Ninguna</v>
      </c>
      <c r="W21" s="30" t="str">
        <f ca="1">IFERROR(__xludf.DUMMYFUNCTION("""COMPUTED_VALUE"""),"Presencial")</f>
        <v>Presencial</v>
      </c>
      <c r="X21" s="30" t="str">
        <f ca="1">IFERROR(__xludf.DUMMYFUNCTION("""COMPUTED_VALUE"""),"Espacio a Cargo de la Secretaría")</f>
        <v>Espacio a Cargo de la Secretaría</v>
      </c>
      <c r="Y21" s="30" t="str">
        <f ca="1">IFERROR(__xludf.DUMMYFUNCTION("""COMPUTED_VALUE"""),"8")</f>
        <v>8</v>
      </c>
      <c r="Z21" s="30"/>
      <c r="AA21" s="30"/>
      <c r="AB21" s="30" t="b">
        <f ca="1">IFERROR(__xludf.DUMMYFUNCTION("""COMPUTED_VALUE"""),FALSE)</f>
        <v>0</v>
      </c>
      <c r="AC21" s="30"/>
      <c r="AD21" s="30" t="b">
        <f ca="1">IFERROR(__xludf.DUMMYFUNCTION("""COMPUTED_VALUE"""),FALSE)</f>
        <v>0</v>
      </c>
      <c r="AE21" s="30"/>
      <c r="AF21" s="30" t="b">
        <f ca="1">IFERROR(__xludf.DUMMYFUNCTION("""COMPUTED_VALUE"""),FALSE)</f>
        <v>0</v>
      </c>
      <c r="AG21" s="30"/>
      <c r="AH21" s="30" t="str">
        <f ca="1">IFERROR(__xludf.DUMMYFUNCTION("""COMPUTED_VALUE"""),"Sin costo")</f>
        <v>Sin costo</v>
      </c>
      <c r="AI21" s="30"/>
      <c r="AJ21" s="30"/>
      <c r="AK21" s="30"/>
      <c r="AL21" s="30" t="str">
        <f ca="1">IFERROR(__xludf.DUMMYFUNCTION("""COMPUTED_VALUE"""),"ccardonav@guanajuato.gob.mx")</f>
        <v>ccardonav@guanajuato.gob.mx</v>
      </c>
      <c r="AM21"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21" s="30" t="str">
        <f ca="1">IFERROR(__xludf.DUMMYFUNCTION("""COMPUTED_VALUE"""),"2 Igualdad")</f>
        <v>2 Igualdad</v>
      </c>
      <c r="AO21" s="30" t="str">
        <f ca="1">IFERROR(__xludf.DUMMYFUNCTION("""COMPUTED_VALUE"""),"2.4 Reducir brechas de desigualdad")</f>
        <v>2.4 Reducir brechas de desigualdad</v>
      </c>
      <c r="AP21" s="30" t="str">
        <f ca="1">IFERROR(__xludf.DUMMYFUNCTION("""COMPUTED_VALUE"""),"2.4.3 Descentralización de la oferta cultural")</f>
        <v>2.4.3 Descentralización de la oferta cultural</v>
      </c>
      <c r="AQ21" s="30" t="str">
        <f ca="1">IFERROR(__xludf.DUMMYFUNCTION("""COMPUTED_VALUE"""),"2.4.3.1 Impulsar el desarrollo artístico y cultural entre infancias y juventudes")</f>
        <v>2.4.3.1 Impulsar el desarrollo artístico y cultural entre infancias y juventudes</v>
      </c>
      <c r="AR21" s="30" t="str">
        <f ca="1">IFERROR(__xludf.DUMMYFUNCTION("""COMPUTED_VALUE"""),"Cooperación")</f>
        <v>Cooperación</v>
      </c>
      <c r="AS21" s="30"/>
      <c r="AT21" s="30" t="str">
        <f ca="1">IFERROR(__xludf.DUMMYFUNCTION("""COMPUTED_VALUE"""),"Fortalecimiento de la participación ciudadana y la mediación cultural")</f>
        <v>Fortalecimiento de la participación ciudadana y la mediación cultural</v>
      </c>
      <c r="AU21" s="30" t="str">
        <f ca="1">IFERROR(__xludf.DUMMYFUNCTION("""COMPUTED_VALUE"""),"Fortalecimiento del diálogo, la mediación y las capacidades de las redes comunitarias.")</f>
        <v>Fortalecimiento del diálogo, la mediación y las capacidades de las redes comunitarias.</v>
      </c>
      <c r="AV21" s="30" t="str">
        <f ca="1">IFERROR(__xludf.DUMMYFUNCTION("""COMPUTED_VALUE"""),"Diseñar e impartir talleres de formación en derechos culturales")</f>
        <v>Diseñar e impartir talleres de formación en derechos culturales</v>
      </c>
      <c r="AW21" s="30" t="str">
        <f ca="1">IFERROR(__xludf.DUMMYFUNCTION("""COMPUTED_VALUE"""),"Incrementar en 25% la oferta cultural realizada en los municipios.")</f>
        <v>Incrementar en 25% la oferta cultural realizada en los municipios.</v>
      </c>
      <c r="AX21" s="30" t="str">
        <f ca="1">IFERROR(__xludf.DUMMYFUNCTION("""COMPUTED_VALUE"""),"Taller")</f>
        <v>Taller</v>
      </c>
      <c r="AY21" s="30" t="str">
        <f ca="1">IFERROR(__xludf.DUMMYFUNCTION("""COMPUTED_VALUE"""),"Formación")</f>
        <v>Formación</v>
      </c>
      <c r="AZ21" s="30"/>
      <c r="BA21" s="30"/>
      <c r="BB21" s="30"/>
      <c r="BC21" s="30">
        <f ca="1">IFERROR(__xludf.DUMMYFUNCTION("""COMPUTED_VALUE"""),0)</f>
        <v>0</v>
      </c>
      <c r="BD21" s="30"/>
      <c r="BE21" s="30"/>
      <c r="BF21" s="30" t="b">
        <f ca="1">IFERROR(__xludf.DUMMYFUNCTION("""COMPUTED_VALUE"""),FALSE)</f>
        <v>0</v>
      </c>
      <c r="BG21" s="30"/>
      <c r="BH21" s="30"/>
      <c r="BI21" s="30"/>
      <c r="BJ21" s="30"/>
      <c r="BK21" s="30"/>
      <c r="BL21" s="30" t="str">
        <f ca="1">IFERROR(__xludf.DUMMYFUNCTION("""COMPUTED_VALUE"""),"N/A")</f>
        <v>N/A</v>
      </c>
      <c r="BM21" s="30" t="str">
        <f ca="1">IFERROR(__xludf.DUMMYFUNCTION("""COMPUTED_VALUE"""),"Sí")</f>
        <v>Sí</v>
      </c>
      <c r="BN21" s="30"/>
      <c r="BO21" s="30" t="str">
        <f ca="1">IFERROR(__xludf.DUMMYFUNCTION("""COMPUTED_VALUE"""),"ae5f76ef")</f>
        <v>ae5f76ef</v>
      </c>
      <c r="BP21" s="29" t="str">
        <f ca="1">IFERROR(__xludf.DUMMYFUNCTION("""COMPUTED_VALUE"""),"León")</f>
        <v>León</v>
      </c>
      <c r="BQ21" s="30" t="str">
        <f ca="1">IFERROR(__xludf.DUMMYFUNCTION("""COMPUTED_VALUE"""),"Urbano")</f>
        <v>Urbano</v>
      </c>
      <c r="BR21" s="30"/>
      <c r="BS21" s="30"/>
      <c r="BT21" s="30" t="str">
        <f ca="1">IFERROR(__xludf.DUMMYFUNCTION("""COMPUTED_VALUE"""),"La Martinica")</f>
        <v>La Martinica</v>
      </c>
      <c r="BU21" s="30" t="str">
        <f ca="1">IFERROR(__xludf.DUMMYFUNCTION("""COMPUTED_VALUE"""),"No")</f>
        <v>No</v>
      </c>
      <c r="BV21" s="30" t="str">
        <f ca="1">IFERROR(__xludf.DUMMYFUNCTION("""COMPUTED_VALUE"""),"No")</f>
        <v>No</v>
      </c>
      <c r="BW21" s="30">
        <f ca="1">IFERROR(__xludf.DUMMYFUNCTION("""COMPUTED_VALUE"""),16)</f>
        <v>16</v>
      </c>
      <c r="BX21" s="30">
        <f ca="1">IFERROR(__xludf.DUMMYFUNCTION("""COMPUTED_VALUE"""),16)</f>
        <v>16</v>
      </c>
      <c r="BY21" s="30">
        <f ca="1">IFERROR(__xludf.DUMMYFUNCTION("""COMPUTED_VALUE"""),0)</f>
        <v>0</v>
      </c>
      <c r="BZ21" s="30" t="str">
        <f ca="1">IFERROR(__xludf.DUMMYFUNCTION("""COMPUTED_VALUE"""),"La Martinica")</f>
        <v>La Martinica</v>
      </c>
      <c r="CA21" s="30" t="str">
        <f ca="1">IFERROR(__xludf.DUMMYFUNCTION("""COMPUTED_VALUE"""),"No")</f>
        <v>No</v>
      </c>
      <c r="CB21" s="30" t="str">
        <f ca="1">IFERROR(__xludf.DUMMYFUNCTION("""COMPUTED_VALUE"""),"No")</f>
        <v>No</v>
      </c>
      <c r="CC21" s="30" t="str">
        <f ca="1">IFERROR(__xludf.DUMMYFUNCTION("""COMPUTED_VALUE"""),"e75f7305")</f>
        <v>e75f7305</v>
      </c>
      <c r="CD21" s="29" t="str">
        <f ca="1">IFERROR(__xludf.DUMMYFUNCTION("""COMPUTED_VALUE"""),"Adolescentes (13 a 17 años)")</f>
        <v>Adolescentes (13 a 17 años)</v>
      </c>
      <c r="CE21" s="30" t="str">
        <f ca="1">IFERROR(__xludf.DUMMYFUNCTION("""COMPUTED_VALUE"""),"Dato global")</f>
        <v>Dato global</v>
      </c>
      <c r="CF21" s="30" t="str">
        <f ca="1">IFERROR(__xludf.DUMMYFUNCTION("""COMPUTED_VALUE"""),"NNA (Niñas, Niños y Adolescentes)")</f>
        <v>NNA (Niñas, Niños y Adolescentes)</v>
      </c>
      <c r="CG21" s="30">
        <f ca="1">IFERROR(__xludf.DUMMYFUNCTION("""COMPUTED_VALUE"""),16)</f>
        <v>16</v>
      </c>
      <c r="CI21" s="30" t="str">
        <f ca="1">IFERROR(__xludf.DUMMYFUNCTION("""COMPUTED_VALUE"""),"3c496b89")</f>
        <v>3c496b89</v>
      </c>
      <c r="CJ21" s="29" t="str">
        <f ca="1">IFERROR(__xludf.DUMMYFUNCTION("""COMPUTED_VALUE"""),"Regitro_Evidencia_Images/3c496b89.Archivo_Evidencia.173122.jpg")</f>
        <v>Regitro_Evidencia_Images/3c496b89.Archivo_Evidencia.173122.jpg</v>
      </c>
      <c r="CK21" s="30" t="str">
        <f ca="1">IFERROR(__xludf.DUMMYFUNCTION("""COMPUTED_VALUE"""),"Foto")</f>
        <v>Foto</v>
      </c>
      <c r="CL21" s="30"/>
      <c r="CM21" s="30" t="str">
        <f ca="1">IFERROR(__xludf.DUMMYFUNCTION("""COMPUTED_VALUE"""),"León")</f>
        <v>León</v>
      </c>
      <c r="CN21" s="32" t="e">
        <f ca="1"/>
        <v>#NAME?</v>
      </c>
      <c r="CO21" s="32" t="e">
        <f ca="1"/>
        <v>#NAME?</v>
      </c>
      <c r="CP21" s="32" t="e">
        <f ca="1"/>
        <v>#NAME?</v>
      </c>
      <c r="CQ21" s="30" t="e">
        <f ca="1"/>
        <v>#NAME?</v>
      </c>
      <c r="CR21" s="30" t="e">
        <f ca="1"/>
        <v>#NAME?</v>
      </c>
      <c r="CS21" s="30" t="str">
        <f ca="1">IFERROR(__xludf.DUMMYFUNCTION("""COMPUTED_VALUE"""),"Ninguno (Población General)")</f>
        <v>Ninguno (Población General)</v>
      </c>
      <c r="CU21" s="32"/>
      <c r="CV21" s="32"/>
      <c r="CW21" s="32"/>
    </row>
    <row r="22" spans="1:101" ht="15.5">
      <c r="A22" s="29" t="str">
        <f ca="1">IFERROR(__xludf.DUMMYFUNCTION("""COMPUTED_VALUE"""),"ACT00021")</f>
        <v>ACT00021</v>
      </c>
      <c r="B22" s="30" t="str">
        <f ca="1">IFERROR(__xludf.DUMMYFUNCTION("""COMPUTED_VALUE"""),"SC-260615-113141")</f>
        <v>SC-260615-113141</v>
      </c>
      <c r="C22" s="62">
        <f ca="1">IFERROR(__xludf.DUMMYFUNCTION("""COMPUTED_VALUE"""),46188.4803356481)</f>
        <v>46188.480335648099</v>
      </c>
      <c r="D22" s="30">
        <f ca="1">IFERROR(__xludf.DUMMYFUNCTION("""COMPUTED_VALUE"""),92)</f>
        <v>92</v>
      </c>
      <c r="E22" s="30" t="str">
        <f ca="1">IFERROR(__xludf.DUMMYFUNCTION("""COMPUTED_VALUE"""),"PB3572")</f>
        <v>PB3572</v>
      </c>
      <c r="F2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 s="30" t="str">
        <f ca="1">IFERROR(__xludf.DUMMYFUNCTION("""COMPUTED_VALUE"""),"SUBSECRETARÍA DE DESARROLLO Y PROMOCIÓN ARTÍSTICA Y CULTURAL")</f>
        <v>SUBSECRETARÍA DE DESARROLLO Y PROMOCIÓN ARTÍSTICA Y CULTURAL</v>
      </c>
      <c r="I22" s="34" t="str">
        <f ca="1">IFERROR(__xludf.DUMMYFUNCTION("""COMPUTED_VALUE"""),"DIRECCIÓN GENERAL DE MUSEOS, ARTES VISUALES Y EXPOSICIONES")</f>
        <v>DIRECCIÓN GENERAL DE MUSEOS, ARTES VISUALES Y EXPOSICIONES</v>
      </c>
      <c r="J22" s="30" t="str">
        <f ca="1">IFERROR(__xludf.DUMMYFUNCTION("""COMPUTED_VALUE"""),"Número de Actividades realizadas")</f>
        <v>Número de Actividades realizadas</v>
      </c>
      <c r="K22" s="30">
        <f ca="1">IFERROR(__xludf.DUMMYFUNCTION("""COMPUTED_VALUE"""),800)</f>
        <v>800</v>
      </c>
      <c r="L22" s="30" t="str">
        <f ca="1">IFERROR(__xludf.DUMMYFUNCTION("""COMPUTED_VALUE"""),"Artística")</f>
        <v>Artística</v>
      </c>
      <c r="M22" s="30" t="str">
        <f ca="1">IFERROR(__xludf.DUMMYFUNCTION("""COMPUTED_VALUE"""),"Museos para la niñez: Ensamble Sinfónico Oviedo")</f>
        <v>Museos para la niñez: Ensamble Sinfónico Oviedo</v>
      </c>
      <c r="N22" s="30" t="str">
        <f ca="1">IFERROR(__xludf.DUMMYFUNCTION("""COMPUTED_VALUE"""),"Déjate sorprender por las maravillosas piezas musicales que las niñas, niños y adolescentes del Instituto Oviedo nos traerán en este mes de las infancias. Acompáñanos en este recital integrado de pequeñas piezas camerísticas y concertantes de los períodos"&amp;" Barroco, Clásico y Romántico; yendo desde Vivaldi y Corelli hasta Busoni.")</f>
        <v>Déjate sorprender por las maravillosas piezas musicales que las niñas, niños y adolescentes del Instituto Oviedo nos traerán en este mes de las infancias. Acompáñanos en este recital integrado de pequeñas piezas camerísticas y concertantes de los períodos Barroco, Clásico y Romántico; yendo desde Vivaldi y Corelli hasta Busoni.</v>
      </c>
      <c r="O22" s="30" t="str">
        <f ca="1">IFERROR(__xludf.DUMMYFUNCTION("""COMPUTED_VALUE"""),"Única")</f>
        <v>Única</v>
      </c>
      <c r="P22" s="33">
        <f ca="1">IFERROR(__xludf.DUMMYFUNCTION("""COMPUTED_VALUE"""),46188)</f>
        <v>46188</v>
      </c>
      <c r="Q22" s="64">
        <f ca="1">IFERROR(__xludf.DUMMYFUNCTION("""COMPUTED_VALUE"""),46188)</f>
        <v>46188</v>
      </c>
      <c r="R22" s="30">
        <f ca="1">IFERROR(__xludf.DUMMYFUNCTION("""COMPUTED_VALUE"""),1)</f>
        <v>1</v>
      </c>
      <c r="S22" s="30" t="str">
        <f ca="1">IFERROR(__xludf.DUMMYFUNCTION("""COMPUTED_VALUE"""),"Música")</f>
        <v>Música</v>
      </c>
      <c r="T22" s="30" t="str">
        <f ca="1">IFERROR(__xludf.DUMMYFUNCTION("""COMPUTED_VALUE"""),"Orquestas")</f>
        <v>Orquestas</v>
      </c>
      <c r="U22" s="30" t="str">
        <f ca="1">IFERROR(__xludf.DUMMYFUNCTION("""COMPUTED_VALUE"""),"Muestra artística")</f>
        <v>Muestra artística</v>
      </c>
      <c r="V22" s="30" t="str">
        <f ca="1">IFERROR(__xludf.DUMMYFUNCTION("""COMPUTED_VALUE"""),"Ninguna")</f>
        <v>Ninguna</v>
      </c>
      <c r="W22" s="30" t="str">
        <f ca="1">IFERROR(__xludf.DUMMYFUNCTION("""COMPUTED_VALUE"""),"Presencial")</f>
        <v>Presencial</v>
      </c>
      <c r="X22" s="30" t="str">
        <f ca="1">IFERROR(__xludf.DUMMYFUNCTION("""COMPUTED_VALUE"""),"Espacio a Cargo de la Secretaría")</f>
        <v>Espacio a Cargo de la Secretaría</v>
      </c>
      <c r="Y22" s="30" t="str">
        <f ca="1">IFERROR(__xludf.DUMMYFUNCTION("""COMPUTED_VALUE"""),"8")</f>
        <v>8</v>
      </c>
      <c r="Z22" s="30"/>
      <c r="AA22" s="30"/>
      <c r="AB22" s="30" t="b">
        <f ca="1">IFERROR(__xludf.DUMMYFUNCTION("""COMPUTED_VALUE"""),FALSE)</f>
        <v>0</v>
      </c>
      <c r="AC22" s="30"/>
      <c r="AD22" s="30" t="b">
        <f ca="1">IFERROR(__xludf.DUMMYFUNCTION("""COMPUTED_VALUE"""),FALSE)</f>
        <v>0</v>
      </c>
      <c r="AE22" s="30"/>
      <c r="AF22" s="30" t="b">
        <f ca="1">IFERROR(__xludf.DUMMYFUNCTION("""COMPUTED_VALUE"""),FALSE)</f>
        <v>0</v>
      </c>
      <c r="AG22" s="30"/>
      <c r="AH22" s="30" t="str">
        <f ca="1">IFERROR(__xludf.DUMMYFUNCTION("""COMPUTED_VALUE"""),"Sin costo")</f>
        <v>Sin costo</v>
      </c>
      <c r="AI22" s="30"/>
      <c r="AJ22" s="30"/>
      <c r="AK22" s="30"/>
      <c r="AL22" s="30" t="str">
        <f ca="1">IFERROR(__xludf.DUMMYFUNCTION("""COMPUTED_VALUE"""),"ccardonav@guanajuato.gob.mx")</f>
        <v>ccardonav@guanajuato.gob.mx</v>
      </c>
      <c r="AM22"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22" s="30" t="str">
        <f ca="1">IFERROR(__xludf.DUMMYFUNCTION("""COMPUTED_VALUE"""),"1 Tranquilidad")</f>
        <v>1 Tranquilidad</v>
      </c>
      <c r="AO22" s="30" t="str">
        <f ca="1">IFERROR(__xludf.DUMMYFUNCTION("""COMPUTED_VALUE"""),"1.2 Fortalecer prevención del delito")</f>
        <v>1.2 Fortalecer prevención del delito</v>
      </c>
      <c r="AP22" s="30" t="str">
        <f ca="1">IFERROR(__xludf.DUMMYFUNCTION("""COMPUTED_VALUE"""),"1.2.2 Fortalecimiento del tejido social")</f>
        <v>1.2.2 Fortalecimiento del tejido social</v>
      </c>
      <c r="AQ22" s="30" t="str">
        <f ca="1">IFERROR(__xludf.DUMMYFUNCTION("""COMPUTED_VALUE"""),"1.2.3.4 Promover una cultura de paz desde las expresiones artísticas y culturales")</f>
        <v>1.2.3.4 Promover una cultura de paz desde las expresiones artísticas y culturales</v>
      </c>
      <c r="AR22" s="30" t="str">
        <f ca="1">IFERROR(__xludf.DUMMYFUNCTION("""COMPUTED_VALUE"""),"Cooperación")</f>
        <v>Cooperación</v>
      </c>
      <c r="AS22" s="30"/>
      <c r="AT22" s="30" t="str">
        <f ca="1">IFERROR(__xludf.DUMMYFUNCTION("""COMPUTED_VALUE"""),"Fortalecimiento de la participación ciudadana y la mediación cultural")</f>
        <v>Fortalecimiento de la participación ciudadana y la mediación cultural</v>
      </c>
      <c r="AU22" s="30" t="str">
        <f ca="1">IFERROR(__xludf.DUMMYFUNCTION("""COMPUTED_VALUE"""),"Fortalecimiento del diálogo, la mediación y las capacidades de las redes comunitarias.")</f>
        <v>Fortalecimiento del diálogo, la mediación y las capacidades de las redes comunitarias.</v>
      </c>
      <c r="AV22" s="30" t="str">
        <f ca="1">IFERROR(__xludf.DUMMYFUNCTION("""COMPUTED_VALUE"""),"Diseñar e impartir talleres de formación en derechos culturales")</f>
        <v>Diseñar e impartir talleres de formación en derechos culturales</v>
      </c>
      <c r="AW22" s="30" t="str">
        <f ca="1">IFERROR(__xludf.DUMMYFUNCTION("""COMPUTED_VALUE"""),"Incrementar en 25% la oferta cultural realizada en los municipios.")</f>
        <v>Incrementar en 25% la oferta cultural realizada en los municipios.</v>
      </c>
      <c r="AX22" s="30" t="str">
        <f ca="1">IFERROR(__xludf.DUMMYFUNCTION("""COMPUTED_VALUE"""),"Presentación artística")</f>
        <v>Presentación artística</v>
      </c>
      <c r="AY22" s="30" t="str">
        <f ca="1">IFERROR(__xludf.DUMMYFUNCTION("""COMPUTED_VALUE"""),"Formación")</f>
        <v>Formación</v>
      </c>
      <c r="AZ22" s="30"/>
      <c r="BA22" s="30"/>
      <c r="BB22" s="30"/>
      <c r="BC22" s="30">
        <f ca="1">IFERROR(__xludf.DUMMYFUNCTION("""COMPUTED_VALUE"""),0)</f>
        <v>0</v>
      </c>
      <c r="BD22" s="30"/>
      <c r="BE22" s="30"/>
      <c r="BF22" s="30" t="b">
        <f ca="1">IFERROR(__xludf.DUMMYFUNCTION("""COMPUTED_VALUE"""),FALSE)</f>
        <v>0</v>
      </c>
      <c r="BG22" s="30"/>
      <c r="BH22" s="30"/>
      <c r="BI22" s="30"/>
      <c r="BJ22" s="30"/>
      <c r="BK22" s="30"/>
      <c r="BL22" s="30" t="str">
        <f ca="1">IFERROR(__xludf.DUMMYFUNCTION("""COMPUTED_VALUE"""),"N/A")</f>
        <v>N/A</v>
      </c>
      <c r="BM22" s="30" t="str">
        <f ca="1">IFERROR(__xludf.DUMMYFUNCTION("""COMPUTED_VALUE"""),"Sí")</f>
        <v>Sí</v>
      </c>
      <c r="BN22" s="30"/>
      <c r="BO22" s="30" t="str">
        <f ca="1">IFERROR(__xludf.DUMMYFUNCTION("""COMPUTED_VALUE"""),"7e8b2e19")</f>
        <v>7e8b2e19</v>
      </c>
      <c r="BP22" s="29" t="str">
        <f ca="1">IFERROR(__xludf.DUMMYFUNCTION("""COMPUTED_VALUE"""),"León")</f>
        <v>León</v>
      </c>
      <c r="BQ22" s="30" t="str">
        <f ca="1">IFERROR(__xludf.DUMMYFUNCTION("""COMPUTED_VALUE"""),"Urbano")</f>
        <v>Urbano</v>
      </c>
      <c r="BR22" s="30"/>
      <c r="BS22" s="30"/>
      <c r="BT22" s="30" t="str">
        <f ca="1">IFERROR(__xludf.DUMMYFUNCTION("""COMPUTED_VALUE"""),"La Martinica")</f>
        <v>La Martinica</v>
      </c>
      <c r="BU22" s="30" t="str">
        <f ca="1">IFERROR(__xludf.DUMMYFUNCTION("""COMPUTED_VALUE"""),"No")</f>
        <v>No</v>
      </c>
      <c r="BV22" s="30" t="str">
        <f ca="1">IFERROR(__xludf.DUMMYFUNCTION("""COMPUTED_VALUE"""),"No")</f>
        <v>No</v>
      </c>
      <c r="BW22" s="30">
        <f ca="1">IFERROR(__xludf.DUMMYFUNCTION("""COMPUTED_VALUE"""),146)</f>
        <v>146</v>
      </c>
      <c r="BX22" s="30">
        <f ca="1">IFERROR(__xludf.DUMMYFUNCTION("""COMPUTED_VALUE"""),17)</f>
        <v>17</v>
      </c>
      <c r="BY22" s="30">
        <f ca="1">IFERROR(__xludf.DUMMYFUNCTION("""COMPUTED_VALUE"""),129)</f>
        <v>129</v>
      </c>
      <c r="BZ22" s="30" t="str">
        <f ca="1">IFERROR(__xludf.DUMMYFUNCTION("""COMPUTED_VALUE"""),"La Martinica")</f>
        <v>La Martinica</v>
      </c>
      <c r="CA22" s="30" t="str">
        <f ca="1">IFERROR(__xludf.DUMMYFUNCTION("""COMPUTED_VALUE"""),"No")</f>
        <v>No</v>
      </c>
      <c r="CB22" s="30" t="str">
        <f ca="1">IFERROR(__xludf.DUMMYFUNCTION("""COMPUTED_VALUE"""),"No")</f>
        <v>No</v>
      </c>
      <c r="CC22" s="30" t="str">
        <f ca="1">IFERROR(__xludf.DUMMYFUNCTION("""COMPUTED_VALUE"""),"7fc4f019")</f>
        <v>7fc4f019</v>
      </c>
      <c r="CD22" s="29" t="str">
        <f ca="1">IFERROR(__xludf.DUMMYFUNCTION("""COMPUTED_VALUE"""),"Adolescentes (13 a 17 años)")</f>
        <v>Adolescentes (13 a 17 años)</v>
      </c>
      <c r="CE22" s="30" t="str">
        <f ca="1">IFERROR(__xludf.DUMMYFUNCTION("""COMPUTED_VALUE"""),"Dato global")</f>
        <v>Dato global</v>
      </c>
      <c r="CF22" s="30" t="str">
        <f ca="1">IFERROR(__xludf.DUMMYFUNCTION("""COMPUTED_VALUE"""),"NNA (Niñas, Niños y Adolescentes)")</f>
        <v>NNA (Niñas, Niños y Adolescentes)</v>
      </c>
      <c r="CG22" s="30">
        <f ca="1">IFERROR(__xludf.DUMMYFUNCTION("""COMPUTED_VALUE"""),146)</f>
        <v>146</v>
      </c>
      <c r="CI22" s="30" t="str">
        <f ca="1">IFERROR(__xludf.DUMMYFUNCTION("""COMPUTED_VALUE"""),"bff75732")</f>
        <v>bff75732</v>
      </c>
      <c r="CJ22" s="29" t="str">
        <f ca="1">IFERROR(__xludf.DUMMYFUNCTION("""COMPUTED_VALUE"""),"Regitro_Evidencia_Images/bff75732.Archivo_Evidencia.174209.jpg")</f>
        <v>Regitro_Evidencia_Images/bff75732.Archivo_Evidencia.174209.jpg</v>
      </c>
      <c r="CK22" s="30" t="str">
        <f ca="1">IFERROR(__xludf.DUMMYFUNCTION("""COMPUTED_VALUE"""),"Foto")</f>
        <v>Foto</v>
      </c>
      <c r="CL22" s="30"/>
      <c r="CM22" s="30" t="str">
        <f ca="1">IFERROR(__xludf.DUMMYFUNCTION("""COMPUTED_VALUE"""),"León")</f>
        <v>León</v>
      </c>
      <c r="CN22" s="32" t="e">
        <f ca="1"/>
        <v>#NAME?</v>
      </c>
      <c r="CO22" s="32" t="e">
        <f ca="1"/>
        <v>#NAME?</v>
      </c>
      <c r="CP22" s="32" t="e">
        <f ca="1"/>
        <v>#NAME?</v>
      </c>
      <c r="CQ22" s="30" t="e">
        <f ca="1"/>
        <v>#NAME?</v>
      </c>
      <c r="CR22" s="30" t="e">
        <f ca="1"/>
        <v>#NAME?</v>
      </c>
      <c r="CS22" s="30" t="str">
        <f ca="1">IFERROR(__xludf.DUMMYFUNCTION("""COMPUTED_VALUE"""),"Ninguno (Población General)")</f>
        <v>Ninguno (Población General)</v>
      </c>
      <c r="CU22" s="32"/>
      <c r="CV22" s="32"/>
      <c r="CW22" s="32"/>
    </row>
    <row r="23" spans="1:101" ht="15.5">
      <c r="A23" s="29" t="str">
        <f ca="1">IFERROR(__xludf.DUMMYFUNCTION("""COMPUTED_VALUE"""),"ACT00022")</f>
        <v>ACT00022</v>
      </c>
      <c r="B23" s="30" t="str">
        <f ca="1">IFERROR(__xludf.DUMMYFUNCTION("""COMPUTED_VALUE"""),"SC-260615-114225")</f>
        <v>SC-260615-114225</v>
      </c>
      <c r="C23" s="62">
        <f ca="1">IFERROR(__xludf.DUMMYFUNCTION("""COMPUTED_VALUE"""),46188.4877893518)</f>
        <v>46188.487789351799</v>
      </c>
      <c r="D23" s="30">
        <f ca="1">IFERROR(__xludf.DUMMYFUNCTION("""COMPUTED_VALUE"""),92)</f>
        <v>92</v>
      </c>
      <c r="E23" s="30" t="str">
        <f ca="1">IFERROR(__xludf.DUMMYFUNCTION("""COMPUTED_VALUE"""),"PB3572")</f>
        <v>PB3572</v>
      </c>
      <c r="F2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 s="30" t="str">
        <f ca="1">IFERROR(__xludf.DUMMYFUNCTION("""COMPUTED_VALUE"""),"SUBSECRETARÍA DE DESARROLLO Y PROMOCIÓN ARTÍSTICA Y CULTURAL")</f>
        <v>SUBSECRETARÍA DE DESARROLLO Y PROMOCIÓN ARTÍSTICA Y CULTURAL</v>
      </c>
      <c r="I23" s="34" t="str">
        <f ca="1">IFERROR(__xludf.DUMMYFUNCTION("""COMPUTED_VALUE"""),"DIRECCIÓN GENERAL DE MUSEOS, ARTES VISUALES Y EXPOSICIONES")</f>
        <v>DIRECCIÓN GENERAL DE MUSEOS, ARTES VISUALES Y EXPOSICIONES</v>
      </c>
      <c r="J23" s="30" t="str">
        <f ca="1">IFERROR(__xludf.DUMMYFUNCTION("""COMPUTED_VALUE"""),"Número de Actividades realizadas")</f>
        <v>Número de Actividades realizadas</v>
      </c>
      <c r="K23" s="30">
        <f ca="1">IFERROR(__xludf.DUMMYFUNCTION("""COMPUTED_VALUE"""),800)</f>
        <v>800</v>
      </c>
      <c r="L23" s="30" t="str">
        <f ca="1">IFERROR(__xludf.DUMMYFUNCTION("""COMPUTED_VALUE"""),"Cultural")</f>
        <v>Cultural</v>
      </c>
      <c r="M23" s="30" t="str">
        <f ca="1">IFERROR(__xludf.DUMMYFUNCTION("""COMPUTED_VALUE"""),"Musos para la niñez: Misión Olimpo y un poco de IA")</f>
        <v>Musos para la niñez: Misión Olimpo y un poco de IA</v>
      </c>
      <c r="N23" s="30" t="str">
        <f ca="1">IFERROR(__xludf.DUMMYFUNCTION("""COMPUTED_VALUE"""),"ICONMUNITY invita a participar a las niñas a que exploten su creatividad al máximo utilizando la IA para entrenar un modelo basado en imágenes y videos de la instalación ubicada en el museo.")</f>
        <v>ICONMUNITY invita a participar a las niñas a que exploten su creatividad al máximo utilizando la IA para entrenar un modelo basado en imágenes y videos de la instalación ubicada en el museo.</v>
      </c>
      <c r="O23" s="30" t="str">
        <f ca="1">IFERROR(__xludf.DUMMYFUNCTION("""COMPUTED_VALUE"""),"Única")</f>
        <v>Única</v>
      </c>
      <c r="P23" s="33">
        <f ca="1">IFERROR(__xludf.DUMMYFUNCTION("""COMPUTED_VALUE"""),46137)</f>
        <v>46137</v>
      </c>
      <c r="Q23" s="64">
        <f ca="1">IFERROR(__xludf.DUMMYFUNCTION("""COMPUTED_VALUE"""),46137)</f>
        <v>46137</v>
      </c>
      <c r="R23" s="30">
        <f ca="1">IFERROR(__xludf.DUMMYFUNCTION("""COMPUTED_VALUE"""),1)</f>
        <v>1</v>
      </c>
      <c r="S23" s="30" t="str">
        <f ca="1">IFERROR(__xludf.DUMMYFUNCTION("""COMPUTED_VALUE"""),"Artes visuales")</f>
        <v>Artes visuales</v>
      </c>
      <c r="T23" s="30" t="str">
        <f ca="1">IFERROR(__xludf.DUMMYFUNCTION("""COMPUTED_VALUE"""),"Arte digital")</f>
        <v>Arte digital</v>
      </c>
      <c r="U23" s="30" t="str">
        <f ca="1">IFERROR(__xludf.DUMMYFUNCTION("""COMPUTED_VALUE"""),"Taller")</f>
        <v>Taller</v>
      </c>
      <c r="V23" s="30" t="str">
        <f ca="1">IFERROR(__xludf.DUMMYFUNCTION("""COMPUTED_VALUE"""),"Ninguna")</f>
        <v>Ninguna</v>
      </c>
      <c r="W23" s="30" t="str">
        <f ca="1">IFERROR(__xludf.DUMMYFUNCTION("""COMPUTED_VALUE"""),"Presencial")</f>
        <v>Presencial</v>
      </c>
      <c r="X23" s="30" t="str">
        <f ca="1">IFERROR(__xludf.DUMMYFUNCTION("""COMPUTED_VALUE"""),"Espacio a Cargo de la Secretaría")</f>
        <v>Espacio a Cargo de la Secretaría</v>
      </c>
      <c r="Y23" s="30" t="str">
        <f ca="1">IFERROR(__xludf.DUMMYFUNCTION("""COMPUTED_VALUE"""),"8")</f>
        <v>8</v>
      </c>
      <c r="Z23" s="30"/>
      <c r="AA23" s="30"/>
      <c r="AB23" s="30" t="b">
        <f ca="1">IFERROR(__xludf.DUMMYFUNCTION("""COMPUTED_VALUE"""),FALSE)</f>
        <v>0</v>
      </c>
      <c r="AC23" s="30"/>
      <c r="AD23" s="30" t="b">
        <f ca="1">IFERROR(__xludf.DUMMYFUNCTION("""COMPUTED_VALUE"""),FALSE)</f>
        <v>0</v>
      </c>
      <c r="AE23" s="30"/>
      <c r="AF23" s="30" t="b">
        <f ca="1">IFERROR(__xludf.DUMMYFUNCTION("""COMPUTED_VALUE"""),FALSE)</f>
        <v>0</v>
      </c>
      <c r="AG23" s="30"/>
      <c r="AH23" s="30" t="str">
        <f ca="1">IFERROR(__xludf.DUMMYFUNCTION("""COMPUTED_VALUE"""),"Sin costo")</f>
        <v>Sin costo</v>
      </c>
      <c r="AI23" s="30"/>
      <c r="AJ23" s="30"/>
      <c r="AK23" s="30"/>
      <c r="AL23" s="30" t="str">
        <f ca="1">IFERROR(__xludf.DUMMYFUNCTION("""COMPUTED_VALUE"""),"ccardonav@guanajuato.gob.mx")</f>
        <v>ccardonav@guanajuato.gob.mx</v>
      </c>
      <c r="AM23"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23" s="30" t="str">
        <f ca="1">IFERROR(__xludf.DUMMYFUNCTION("""COMPUTED_VALUE"""),"2 Igualdad")</f>
        <v>2 Igualdad</v>
      </c>
      <c r="AO23" s="30" t="str">
        <f ca="1">IFERROR(__xludf.DUMMYFUNCTION("""COMPUTED_VALUE"""),"2.4 Reducir brechas de desigualdad")</f>
        <v>2.4 Reducir brechas de desigualdad</v>
      </c>
      <c r="AP23" s="30" t="str">
        <f ca="1">IFERROR(__xludf.DUMMYFUNCTION("""COMPUTED_VALUE"""),"2.4.3 Descentralización de la oferta cultural")</f>
        <v>2.4.3 Descentralización de la oferta cultural</v>
      </c>
      <c r="AQ23" s="30" t="str">
        <f ca="1">IFERROR(__xludf.DUMMYFUNCTION("""COMPUTED_VALUE"""),"2.4.3.1 Impulsar el desarrollo artístico y cultural entre infancias y juventudes")</f>
        <v>2.4.3.1 Impulsar el desarrollo artístico y cultural entre infancias y juventudes</v>
      </c>
      <c r="AR23" s="30" t="str">
        <f ca="1">IFERROR(__xludf.DUMMYFUNCTION("""COMPUTED_VALUE"""),"Cooperación")</f>
        <v>Cooperación</v>
      </c>
      <c r="AS23" s="30"/>
      <c r="AT23" s="30" t="str">
        <f ca="1">IFERROR(__xludf.DUMMYFUNCTION("""COMPUTED_VALUE"""),"Fortalecimiento de la participación ciudadana y la mediación cultural")</f>
        <v>Fortalecimiento de la participación ciudadana y la mediación cultural</v>
      </c>
      <c r="AU23" s="30" t="str">
        <f ca="1">IFERROR(__xludf.DUMMYFUNCTION("""COMPUTED_VALUE"""),"Fortalecimiento del diálogo, la mediación y las capacidades de las redes comunitarias.")</f>
        <v>Fortalecimiento del diálogo, la mediación y las capacidades de las redes comunitarias.</v>
      </c>
      <c r="AV23" s="30" t="str">
        <f ca="1">IFERROR(__xludf.DUMMYFUNCTION("""COMPUTED_VALUE"""),"Diseñar e impartir talleres de formación en derechos culturales")</f>
        <v>Diseñar e impartir talleres de formación en derechos culturales</v>
      </c>
      <c r="AW23" s="30" t="str">
        <f ca="1">IFERROR(__xludf.DUMMYFUNCTION("""COMPUTED_VALUE"""),"Incrementar en 25% la oferta cultural realizada en los municipios.")</f>
        <v>Incrementar en 25% la oferta cultural realizada en los municipios.</v>
      </c>
      <c r="AX23" s="30" t="str">
        <f ca="1">IFERROR(__xludf.DUMMYFUNCTION("""COMPUTED_VALUE"""),"Taller")</f>
        <v>Taller</v>
      </c>
      <c r="AY23" s="30" t="str">
        <f ca="1">IFERROR(__xludf.DUMMYFUNCTION("""COMPUTED_VALUE"""),"Formación")</f>
        <v>Formación</v>
      </c>
      <c r="AZ23" s="30"/>
      <c r="BA23" s="30"/>
      <c r="BB23" s="30"/>
      <c r="BC23" s="30">
        <f ca="1">IFERROR(__xludf.DUMMYFUNCTION("""COMPUTED_VALUE"""),0)</f>
        <v>0</v>
      </c>
      <c r="BD23" s="30"/>
      <c r="BE23" s="30"/>
      <c r="BF23" s="30" t="b">
        <f ca="1">IFERROR(__xludf.DUMMYFUNCTION("""COMPUTED_VALUE"""),FALSE)</f>
        <v>0</v>
      </c>
      <c r="BG23" s="30"/>
      <c r="BH23" s="30"/>
      <c r="BI23" s="30"/>
      <c r="BJ23" s="30"/>
      <c r="BK23" s="30"/>
      <c r="BL23" s="30" t="str">
        <f ca="1">IFERROR(__xludf.DUMMYFUNCTION("""COMPUTED_VALUE"""),"N/A")</f>
        <v>N/A</v>
      </c>
      <c r="BM23" s="30" t="str">
        <f ca="1">IFERROR(__xludf.DUMMYFUNCTION("""COMPUTED_VALUE"""),"Sí")</f>
        <v>Sí</v>
      </c>
      <c r="BN23" s="30"/>
      <c r="BO23" s="30" t="str">
        <f ca="1">IFERROR(__xludf.DUMMYFUNCTION("""COMPUTED_VALUE"""),"3b2905c8")</f>
        <v>3b2905c8</v>
      </c>
      <c r="BP23" s="29" t="str">
        <f ca="1">IFERROR(__xludf.DUMMYFUNCTION("""COMPUTED_VALUE"""),"León")</f>
        <v>León</v>
      </c>
      <c r="BQ23" s="30" t="str">
        <f ca="1">IFERROR(__xludf.DUMMYFUNCTION("""COMPUTED_VALUE"""),"Urbano")</f>
        <v>Urbano</v>
      </c>
      <c r="BR23" s="30"/>
      <c r="BS23" s="30"/>
      <c r="BT23" s="30" t="str">
        <f ca="1">IFERROR(__xludf.DUMMYFUNCTION("""COMPUTED_VALUE"""),"La Martinica")</f>
        <v>La Martinica</v>
      </c>
      <c r="BU23" s="30" t="str">
        <f ca="1">IFERROR(__xludf.DUMMYFUNCTION("""COMPUTED_VALUE"""),"No")</f>
        <v>No</v>
      </c>
      <c r="BV23" s="30" t="str">
        <f ca="1">IFERROR(__xludf.DUMMYFUNCTION("""COMPUTED_VALUE"""),"No")</f>
        <v>No</v>
      </c>
      <c r="BW23" s="30">
        <f ca="1">IFERROR(__xludf.DUMMYFUNCTION("""COMPUTED_VALUE"""),352)</f>
        <v>352</v>
      </c>
      <c r="BX23" s="30"/>
      <c r="BY23" s="30">
        <f ca="1">IFERROR(__xludf.DUMMYFUNCTION("""COMPUTED_VALUE"""),352)</f>
        <v>352</v>
      </c>
      <c r="BZ23" s="30" t="str">
        <f ca="1">IFERROR(__xludf.DUMMYFUNCTION("""COMPUTED_VALUE"""),"La Martinica")</f>
        <v>La Martinica</v>
      </c>
      <c r="CA23" s="30" t="str">
        <f ca="1">IFERROR(__xludf.DUMMYFUNCTION("""COMPUTED_VALUE"""),"No")</f>
        <v>No</v>
      </c>
      <c r="CB23" s="30" t="str">
        <f ca="1">IFERROR(__xludf.DUMMYFUNCTION("""COMPUTED_VALUE"""),"No")</f>
        <v>No</v>
      </c>
      <c r="CC23" s="30" t="str">
        <f ca="1">IFERROR(__xludf.DUMMYFUNCTION("""COMPUTED_VALUE"""),"7d474b11")</f>
        <v>7d474b11</v>
      </c>
      <c r="CD23" s="29" t="str">
        <f ca="1">IFERROR(__xludf.DUMMYFUNCTION("""COMPUTED_VALUE"""),"Niñas y Niños (6 a 12 años)")</f>
        <v>Niñas y Niños (6 a 12 años)</v>
      </c>
      <c r="CE23" s="30" t="str">
        <f ca="1">IFERROR(__xludf.DUMMYFUNCTION("""COMPUTED_VALUE"""),"Dato global")</f>
        <v>Dato global</v>
      </c>
      <c r="CF23" s="30" t="str">
        <f ca="1">IFERROR(__xludf.DUMMYFUNCTION("""COMPUTED_VALUE"""),"Jóvenes en riesgo")</f>
        <v>Jóvenes en riesgo</v>
      </c>
      <c r="CG23" s="30">
        <f ca="1">IFERROR(__xludf.DUMMYFUNCTION("""COMPUTED_VALUE"""),52)</f>
        <v>52</v>
      </c>
      <c r="CI23" s="30" t="str">
        <f ca="1">IFERROR(__xludf.DUMMYFUNCTION("""COMPUTED_VALUE"""),"74643fe4")</f>
        <v>74643fe4</v>
      </c>
      <c r="CJ23" s="29" t="str">
        <f ca="1">IFERROR(__xludf.DUMMYFUNCTION("""COMPUTED_VALUE"""),"Regitro_Evidencia_Images/74643fe4.Archivo_Evidencia.175007.jpg")</f>
        <v>Regitro_Evidencia_Images/74643fe4.Archivo_Evidencia.175007.jpg</v>
      </c>
      <c r="CK23" s="30" t="str">
        <f ca="1">IFERROR(__xludf.DUMMYFUNCTION("""COMPUTED_VALUE"""),"Foto")</f>
        <v>Foto</v>
      </c>
      <c r="CL23" s="30"/>
      <c r="CM23" s="30" t="str">
        <f ca="1">IFERROR(__xludf.DUMMYFUNCTION("""COMPUTED_VALUE"""),"León")</f>
        <v>León</v>
      </c>
      <c r="CN23" s="32" t="e">
        <f ca="1"/>
        <v>#NAME?</v>
      </c>
      <c r="CO23" s="32" t="e">
        <f ca="1"/>
        <v>#NAME?</v>
      </c>
      <c r="CP23" s="32" t="e">
        <f ca="1"/>
        <v>#NAME?</v>
      </c>
      <c r="CQ23" s="30" t="e">
        <f ca="1"/>
        <v>#NAME?</v>
      </c>
      <c r="CR23" s="30" t="e">
        <f ca="1"/>
        <v>#NAME?</v>
      </c>
      <c r="CS23" s="30" t="str">
        <f ca="1">IFERROR(__xludf.DUMMYFUNCTION("""COMPUTED_VALUE"""),"Ninguno (Población General)")</f>
        <v>Ninguno (Población General)</v>
      </c>
      <c r="CU23" s="32"/>
      <c r="CV23" s="32"/>
      <c r="CW23" s="32"/>
    </row>
    <row r="24" spans="1:101" ht="15.5">
      <c r="A24" s="29" t="str">
        <f ca="1">IFERROR(__xludf.DUMMYFUNCTION("""COMPUTED_VALUE"""),"ACT00023")</f>
        <v>ACT00023</v>
      </c>
      <c r="B24" s="30" t="str">
        <f ca="1">IFERROR(__xludf.DUMMYFUNCTION("""COMPUTED_VALUE"""),"SC-260615-115027")</f>
        <v>SC-260615-115027</v>
      </c>
      <c r="C24" s="62">
        <f ca="1">IFERROR(__xludf.DUMMYFUNCTION("""COMPUTED_VALUE"""),46188.4933680555)</f>
        <v>46188.493368055497</v>
      </c>
      <c r="D24" s="30">
        <f ca="1">IFERROR(__xludf.DUMMYFUNCTION("""COMPUTED_VALUE"""),92)</f>
        <v>92</v>
      </c>
      <c r="E24" s="30" t="str">
        <f ca="1">IFERROR(__xludf.DUMMYFUNCTION("""COMPUTED_VALUE"""),"PB3572")</f>
        <v>PB3572</v>
      </c>
      <c r="F2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 s="30" t="str">
        <f ca="1">IFERROR(__xludf.DUMMYFUNCTION("""COMPUTED_VALUE"""),"SUBSECRETARÍA DE DESARROLLO Y PROMOCIÓN ARTÍSTICA Y CULTURAL")</f>
        <v>SUBSECRETARÍA DE DESARROLLO Y PROMOCIÓN ARTÍSTICA Y CULTURAL</v>
      </c>
      <c r="I24" s="34" t="str">
        <f ca="1">IFERROR(__xludf.DUMMYFUNCTION("""COMPUTED_VALUE"""),"DIRECCIÓN GENERAL DE MUSEOS, ARTES VISUALES Y EXPOSICIONES")</f>
        <v>DIRECCIÓN GENERAL DE MUSEOS, ARTES VISUALES Y EXPOSICIONES</v>
      </c>
      <c r="J24" s="30" t="str">
        <f ca="1">IFERROR(__xludf.DUMMYFUNCTION("""COMPUTED_VALUE"""),"Número de Actividades realizadas")</f>
        <v>Número de Actividades realizadas</v>
      </c>
      <c r="K24" s="30">
        <f ca="1">IFERROR(__xludf.DUMMYFUNCTION("""COMPUTED_VALUE"""),800)</f>
        <v>800</v>
      </c>
      <c r="L24" s="30" t="str">
        <f ca="1">IFERROR(__xludf.DUMMYFUNCTION("""COMPUTED_VALUE"""),"Artística")</f>
        <v>Artística</v>
      </c>
      <c r="M24" s="30" t="str">
        <f ca="1">IFERROR(__xludf.DUMMYFUNCTION("""COMPUTED_VALUE"""),"Encuentro de Danza Guanajuato")</f>
        <v>Encuentro de Danza Guanajuato</v>
      </c>
      <c r="N24" s="30" t="str">
        <f ca="1">IFERROR(__xludf.DUMMYFUNCTION("""COMPUTED_VALUE"""),"En el marco del Dïa de la Danza habitemos los espacios del museo desde los diferentes estilos de danza y encontramos las posibilidades de expresión a través del cuerpo con la participación de  15 academias y colectivos guanajuatenses.  En colaboración con"&amp;" Vaivén. Cuerpos en Escena.")</f>
        <v>En el marco del Dïa de la Danza habitemos los espacios del museo desde los diferentes estilos de danza y encontramos las posibilidades de expresión a través del cuerpo con la participación de  15 academias y colectivos guanajuatenses.  En colaboración con Vaivén. Cuerpos en Escena.</v>
      </c>
      <c r="O24" s="30" t="str">
        <f ca="1">IFERROR(__xludf.DUMMYFUNCTION("""COMPUTED_VALUE"""),"Única")</f>
        <v>Única</v>
      </c>
      <c r="P24" s="33">
        <f ca="1">IFERROR(__xludf.DUMMYFUNCTION("""COMPUTED_VALUE"""),46138)</f>
        <v>46138</v>
      </c>
      <c r="Q24" s="64">
        <f ca="1">IFERROR(__xludf.DUMMYFUNCTION("""COMPUTED_VALUE"""),46138)</f>
        <v>46138</v>
      </c>
      <c r="R24" s="30">
        <f ca="1">IFERROR(__xludf.DUMMYFUNCTION("""COMPUTED_VALUE"""),1)</f>
        <v>1</v>
      </c>
      <c r="S24" s="30" t="str">
        <f ca="1">IFERROR(__xludf.DUMMYFUNCTION("""COMPUTED_VALUE"""),"Artes escénicas")</f>
        <v>Artes escénicas</v>
      </c>
      <c r="T24" s="30" t="str">
        <f ca="1">IFERROR(__xludf.DUMMYFUNCTION("""COMPUTED_VALUE"""),"Danza contemporánea")</f>
        <v>Danza contemporánea</v>
      </c>
      <c r="U24" s="30" t="str">
        <f ca="1">IFERROR(__xludf.DUMMYFUNCTION("""COMPUTED_VALUE"""),"Presentación artística")</f>
        <v>Presentación artística</v>
      </c>
      <c r="V24" s="30" t="str">
        <f ca="1">IFERROR(__xludf.DUMMYFUNCTION("""COMPUTED_VALUE"""),"Ninguna")</f>
        <v>Ninguna</v>
      </c>
      <c r="W24" s="30" t="str">
        <f ca="1">IFERROR(__xludf.DUMMYFUNCTION("""COMPUTED_VALUE"""),"Presencial")</f>
        <v>Presencial</v>
      </c>
      <c r="X24" s="30" t="str">
        <f ca="1">IFERROR(__xludf.DUMMYFUNCTION("""COMPUTED_VALUE"""),"Espacio a Cargo de la Secretaría")</f>
        <v>Espacio a Cargo de la Secretaría</v>
      </c>
      <c r="Y24" s="30" t="str">
        <f ca="1">IFERROR(__xludf.DUMMYFUNCTION("""COMPUTED_VALUE"""),"8")</f>
        <v>8</v>
      </c>
      <c r="Z24" s="30"/>
      <c r="AA24" s="30"/>
      <c r="AB24" s="30" t="b">
        <f ca="1">IFERROR(__xludf.DUMMYFUNCTION("""COMPUTED_VALUE"""),FALSE)</f>
        <v>0</v>
      </c>
      <c r="AC24" s="30"/>
      <c r="AD24" s="30" t="b">
        <f ca="1">IFERROR(__xludf.DUMMYFUNCTION("""COMPUTED_VALUE"""),FALSE)</f>
        <v>0</v>
      </c>
      <c r="AE24" s="30"/>
      <c r="AF24" s="30" t="b">
        <f ca="1">IFERROR(__xludf.DUMMYFUNCTION("""COMPUTED_VALUE"""),FALSE)</f>
        <v>0</v>
      </c>
      <c r="AG24" s="30"/>
      <c r="AH24" s="30" t="str">
        <f ca="1">IFERROR(__xludf.DUMMYFUNCTION("""COMPUTED_VALUE"""),"Sin costo")</f>
        <v>Sin costo</v>
      </c>
      <c r="AI24" s="30"/>
      <c r="AJ24" s="30"/>
      <c r="AK24" s="30"/>
      <c r="AL24" s="30" t="str">
        <f ca="1">IFERROR(__xludf.DUMMYFUNCTION("""COMPUTED_VALUE"""),"ccardonav@guanajuato.gob.mx")</f>
        <v>ccardonav@guanajuato.gob.mx</v>
      </c>
      <c r="AM24" s="30" t="str">
        <f ca="1">IFERROR(__xludf.DUMMYFUNCTION("""COMPUTED_VALUE"""),"Leer para crecer.")</f>
        <v>Leer para crecer.</v>
      </c>
      <c r="AN24" s="30" t="str">
        <f ca="1">IFERROR(__xludf.DUMMYFUNCTION("""COMPUTED_VALUE"""),"2 Igualdad")</f>
        <v>2 Igualdad</v>
      </c>
      <c r="AO24" s="30" t="str">
        <f ca="1">IFERROR(__xludf.DUMMYFUNCTION("""COMPUTED_VALUE"""),"2.4 Reducir brechas de desigualdad")</f>
        <v>2.4 Reducir brechas de desigualdad</v>
      </c>
      <c r="AP24" s="30" t="str">
        <f ca="1">IFERROR(__xludf.DUMMYFUNCTION("""COMPUTED_VALUE"""),"2.4.3 Descentralización de la oferta cultural")</f>
        <v>2.4.3 Descentralización de la oferta cultural</v>
      </c>
      <c r="AQ24" s="30" t="str">
        <f ca="1">IFERROR(__xludf.DUMMYFUNCTION("""COMPUTED_VALUE"""),"2.4.3.1 Impulsar el desarrollo artístico y cultural entre infancias y juventudes")</f>
        <v>2.4.3.1 Impulsar el desarrollo artístico y cultural entre infancias y juventudes</v>
      </c>
      <c r="AR24" s="30" t="str">
        <f ca="1">IFERROR(__xludf.DUMMYFUNCTION("""COMPUTED_VALUE"""),"Cooperación")</f>
        <v>Cooperación</v>
      </c>
      <c r="AS24" s="30"/>
      <c r="AT24" s="30" t="str">
        <f ca="1">IFERROR(__xludf.DUMMYFUNCTION("""COMPUTED_VALUE"""),"Fomento a la creación y circulación cultural.")</f>
        <v>Fomento a la creación y circulación cultural.</v>
      </c>
      <c r="AU24" s="30" t="str">
        <f ca="1">IFERROR(__xludf.DUMMYFUNCTION("""COMPUTED_VALUE"""),"Incentivar la creación y producción artística y cultural de agentes locales.")</f>
        <v>Incentivar la creación y producción artística y cultural de agentes locales.</v>
      </c>
      <c r="AV24" s="30" t="str">
        <f ca="1">IFERROR(__xludf.DUMMYFUNCTION("""COMPUTED_VALUE"""),"Diseñar e implementar un sistema de reconocimiento público a las comunidades culturales.")</f>
        <v>Diseñar e implementar un sistema de reconocimiento público a las comunidades culturales.</v>
      </c>
      <c r="AW24" s="30" t="str">
        <f ca="1">IFERROR(__xludf.DUMMYFUNCTION("""COMPUTED_VALUE"""),"Incrementar nuevas producciones, obras y proyectos culturales en un 15% anual.")</f>
        <v>Incrementar nuevas producciones, obras y proyectos culturales en un 15% anual.</v>
      </c>
      <c r="AX24" s="30" t="str">
        <f ca="1">IFERROR(__xludf.DUMMYFUNCTION("""COMPUTED_VALUE"""),"Taller")</f>
        <v>Taller</v>
      </c>
      <c r="AY24" s="30" t="str">
        <f ca="1">IFERROR(__xludf.DUMMYFUNCTION("""COMPUTED_VALUE"""),"Formación")</f>
        <v>Formación</v>
      </c>
      <c r="AZ24" s="30"/>
      <c r="BA24" s="30"/>
      <c r="BB24" s="30"/>
      <c r="BC24" s="30">
        <f ca="1">IFERROR(__xludf.DUMMYFUNCTION("""COMPUTED_VALUE"""),0)</f>
        <v>0</v>
      </c>
      <c r="BD24" s="30"/>
      <c r="BE24" s="30"/>
      <c r="BF24" s="30" t="b">
        <f ca="1">IFERROR(__xludf.DUMMYFUNCTION("""COMPUTED_VALUE"""),FALSE)</f>
        <v>0</v>
      </c>
      <c r="BG24" s="30"/>
      <c r="BH24" s="30"/>
      <c r="BI24" s="30"/>
      <c r="BJ24" s="30"/>
      <c r="BK24" s="30"/>
      <c r="BL24" s="30" t="str">
        <f ca="1">IFERROR(__xludf.DUMMYFUNCTION("""COMPUTED_VALUE"""),"N/A")</f>
        <v>N/A</v>
      </c>
      <c r="BM24" s="30" t="str">
        <f ca="1">IFERROR(__xludf.DUMMYFUNCTION("""COMPUTED_VALUE"""),"Sí")</f>
        <v>Sí</v>
      </c>
      <c r="BN24" s="30"/>
      <c r="BO24" s="30" t="str">
        <f ca="1">IFERROR(__xludf.DUMMYFUNCTION("""COMPUTED_VALUE"""),"f64e11ca")</f>
        <v>f64e11ca</v>
      </c>
      <c r="BP24" s="29" t="str">
        <f ca="1">IFERROR(__xludf.DUMMYFUNCTION("""COMPUTED_VALUE"""),"León")</f>
        <v>León</v>
      </c>
      <c r="BQ24" s="30" t="str">
        <f ca="1">IFERROR(__xludf.DUMMYFUNCTION("""COMPUTED_VALUE"""),"Urbano")</f>
        <v>Urbano</v>
      </c>
      <c r="BR24" s="30"/>
      <c r="BS24" s="30"/>
      <c r="BT24" s="30" t="str">
        <f ca="1">IFERROR(__xludf.DUMMYFUNCTION("""COMPUTED_VALUE"""),"La Martinica")</f>
        <v>La Martinica</v>
      </c>
      <c r="BU24" s="30" t="str">
        <f ca="1">IFERROR(__xludf.DUMMYFUNCTION("""COMPUTED_VALUE"""),"No")</f>
        <v>No</v>
      </c>
      <c r="BV24" s="30" t="str">
        <f ca="1">IFERROR(__xludf.DUMMYFUNCTION("""COMPUTED_VALUE"""),"No")</f>
        <v>No</v>
      </c>
      <c r="BW24" s="30">
        <f ca="1">IFERROR(__xludf.DUMMYFUNCTION("""COMPUTED_VALUE"""),214)</f>
        <v>214</v>
      </c>
      <c r="BX24" s="30"/>
      <c r="BY24" s="30">
        <f ca="1">IFERROR(__xludf.DUMMYFUNCTION("""COMPUTED_VALUE"""),214)</f>
        <v>214</v>
      </c>
      <c r="BZ24" s="30" t="str">
        <f ca="1">IFERROR(__xludf.DUMMYFUNCTION("""COMPUTED_VALUE"""),"La Martinica")</f>
        <v>La Martinica</v>
      </c>
      <c r="CA24" s="30" t="str">
        <f ca="1">IFERROR(__xludf.DUMMYFUNCTION("""COMPUTED_VALUE"""),"No")</f>
        <v>No</v>
      </c>
      <c r="CB24" s="30" t="str">
        <f ca="1">IFERROR(__xludf.DUMMYFUNCTION("""COMPUTED_VALUE"""),"No")</f>
        <v>No</v>
      </c>
      <c r="CC24" s="30" t="str">
        <f ca="1">IFERROR(__xludf.DUMMYFUNCTION("""COMPUTED_VALUE"""),"d450a597")</f>
        <v>d450a597</v>
      </c>
      <c r="CD24" s="29" t="str">
        <f ca="1">IFERROR(__xludf.DUMMYFUNCTION("""COMPUTED_VALUE"""),"Adolescentes (13 a 17 años)")</f>
        <v>Adolescentes (13 a 17 años)</v>
      </c>
      <c r="CE24" s="30" t="str">
        <f ca="1">IFERROR(__xludf.DUMMYFUNCTION("""COMPUTED_VALUE"""),"Dato global")</f>
        <v>Dato global</v>
      </c>
      <c r="CF24" s="30" t="str">
        <f ca="1">IFERROR(__xludf.DUMMYFUNCTION("""COMPUTED_VALUE"""),"Jóvenes en riesgo")</f>
        <v>Jóvenes en riesgo</v>
      </c>
      <c r="CG24" s="30">
        <f ca="1">IFERROR(__xludf.DUMMYFUNCTION("""COMPUTED_VALUE"""),100)</f>
        <v>100</v>
      </c>
      <c r="CI24" s="30" t="str">
        <f ca="1">IFERROR(__xludf.DUMMYFUNCTION("""COMPUTED_VALUE"""),"de44cb22")</f>
        <v>de44cb22</v>
      </c>
      <c r="CJ24" s="29" t="str">
        <f ca="1">IFERROR(__xludf.DUMMYFUNCTION("""COMPUTED_VALUE"""),"Regitro_Evidencia_Images/de44cb22.Archivo_Evidencia.180506.jpg")</f>
        <v>Regitro_Evidencia_Images/de44cb22.Archivo_Evidencia.180506.jpg</v>
      </c>
      <c r="CK24" s="30" t="str">
        <f ca="1">IFERROR(__xludf.DUMMYFUNCTION("""COMPUTED_VALUE"""),"Foto")</f>
        <v>Foto</v>
      </c>
      <c r="CL24" s="30"/>
      <c r="CM24" s="30" t="str">
        <f ca="1">IFERROR(__xludf.DUMMYFUNCTION("""COMPUTED_VALUE"""),"León")</f>
        <v>León</v>
      </c>
      <c r="CN24" s="32" t="e">
        <f ca="1"/>
        <v>#NAME?</v>
      </c>
      <c r="CO24" s="32" t="e">
        <f ca="1"/>
        <v>#NAME?</v>
      </c>
      <c r="CP24" s="32" t="e">
        <f ca="1"/>
        <v>#NAME?</v>
      </c>
      <c r="CQ24" s="30" t="e">
        <f ca="1"/>
        <v>#NAME?</v>
      </c>
      <c r="CR24" s="30" t="e">
        <f ca="1"/>
        <v>#NAME?</v>
      </c>
      <c r="CS24" s="30" t="str">
        <f ca="1">IFERROR(__xludf.DUMMYFUNCTION("""COMPUTED_VALUE"""),"Ninguno (Población General)")</f>
        <v>Ninguno (Población General)</v>
      </c>
      <c r="CU24" s="32"/>
      <c r="CV24" s="32"/>
      <c r="CW24" s="32"/>
    </row>
    <row r="25" spans="1:101" ht="15.5">
      <c r="A25" s="29" t="str">
        <f ca="1">IFERROR(__xludf.DUMMYFUNCTION("""COMPUTED_VALUE"""),"ACT00024")</f>
        <v>ACT00024</v>
      </c>
      <c r="B25" s="30" t="str">
        <f ca="1">IFERROR(__xludf.DUMMYFUNCTION("""COMPUTED_VALUE"""),"SC-260615-120517")</f>
        <v>SC-260615-120517</v>
      </c>
      <c r="C25" s="62">
        <f ca="1">IFERROR(__xludf.DUMMYFUNCTION("""COMPUTED_VALUE"""),46188.5036689814)</f>
        <v>46188.503668981401</v>
      </c>
      <c r="D25" s="30">
        <f ca="1">IFERROR(__xludf.DUMMYFUNCTION("""COMPUTED_VALUE"""),92)</f>
        <v>92</v>
      </c>
      <c r="E25" s="30" t="str">
        <f ca="1">IFERROR(__xludf.DUMMYFUNCTION("""COMPUTED_VALUE"""),"PB3572")</f>
        <v>PB3572</v>
      </c>
      <c r="F2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 s="30" t="str">
        <f ca="1">IFERROR(__xludf.DUMMYFUNCTION("""COMPUTED_VALUE"""),"SUBSECRETARÍA DE DESARROLLO Y PROMOCIÓN ARTÍSTICA Y CULTURAL")</f>
        <v>SUBSECRETARÍA DE DESARROLLO Y PROMOCIÓN ARTÍSTICA Y CULTURAL</v>
      </c>
      <c r="I25" s="34" t="str">
        <f ca="1">IFERROR(__xludf.DUMMYFUNCTION("""COMPUTED_VALUE"""),"DIRECCIÓN GENERAL DE MUSEOS, ARTES VISUALES Y EXPOSICIONES")</f>
        <v>DIRECCIÓN GENERAL DE MUSEOS, ARTES VISUALES Y EXPOSICIONES</v>
      </c>
      <c r="J25" s="30" t="str">
        <f ca="1">IFERROR(__xludf.DUMMYFUNCTION("""COMPUTED_VALUE"""),"Número de Actividades realizadas")</f>
        <v>Número de Actividades realizadas</v>
      </c>
      <c r="K25" s="30">
        <f ca="1">IFERROR(__xludf.DUMMYFUNCTION("""COMPUTED_VALUE"""),800)</f>
        <v>800</v>
      </c>
      <c r="L25" s="30" t="str">
        <f ca="1">IFERROR(__xludf.DUMMYFUNCTION("""COMPUTED_VALUE"""),"Artística")</f>
        <v>Artística</v>
      </c>
      <c r="M25" s="30" t="str">
        <f ca="1">IFERROR(__xludf.DUMMYFUNCTION("""COMPUTED_VALUE"""),"Museos para la niñez: ""Donde nacen los sueños"" Ballet infantil")</f>
        <v>Museos para la niñez: "Donde nacen los sueños" Ballet infantil</v>
      </c>
      <c r="N25" s="30" t="str">
        <f ca="1">IFERROR(__xludf.DUMMYFUNCTION("""COMPUTED_VALUE"""),"Disfruta del poder del ballet infantil como un lenguaje universal que acompaña el desarrollo, fortalece la disciplina y celebra la imaginación. Presenta: Rallye Studio Dirección: Ana Guillermina Oropeza y Mariah José Paloma Hurtado Martínez.")</f>
        <v>Disfruta del poder del ballet infantil como un lenguaje universal que acompaña el desarrollo, fortalece la disciplina y celebra la imaginación. Presenta: Rallye Studio Dirección: Ana Guillermina Oropeza y Mariah José Paloma Hurtado Martínez.</v>
      </c>
      <c r="O25" s="30" t="str">
        <f ca="1">IFERROR(__xludf.DUMMYFUNCTION("""COMPUTED_VALUE"""),"Única")</f>
        <v>Única</v>
      </c>
      <c r="P25" s="33">
        <f ca="1">IFERROR(__xludf.DUMMYFUNCTION("""COMPUTED_VALUE"""),46138)</f>
        <v>46138</v>
      </c>
      <c r="Q25" s="64">
        <f ca="1">IFERROR(__xludf.DUMMYFUNCTION("""COMPUTED_VALUE"""),46138)</f>
        <v>46138</v>
      </c>
      <c r="R25" s="30">
        <f ca="1">IFERROR(__xludf.DUMMYFUNCTION("""COMPUTED_VALUE"""),1)</f>
        <v>1</v>
      </c>
      <c r="S25" s="30" t="str">
        <f ca="1">IFERROR(__xludf.DUMMYFUNCTION("""COMPUTED_VALUE"""),"Artes escénicas")</f>
        <v>Artes escénicas</v>
      </c>
      <c r="T25" s="30" t="str">
        <f ca="1">IFERROR(__xludf.DUMMYFUNCTION("""COMPUTED_VALUE"""),"Danza tradicional")</f>
        <v>Danza tradicional</v>
      </c>
      <c r="U25" s="30" t="str">
        <f ca="1">IFERROR(__xludf.DUMMYFUNCTION("""COMPUTED_VALUE"""),"Presentación artística")</f>
        <v>Presentación artística</v>
      </c>
      <c r="V25" s="30" t="str">
        <f ca="1">IFERROR(__xludf.DUMMYFUNCTION("""COMPUTED_VALUE"""),"Ninguna")</f>
        <v>Ninguna</v>
      </c>
      <c r="W25" s="30" t="str">
        <f ca="1">IFERROR(__xludf.DUMMYFUNCTION("""COMPUTED_VALUE"""),"Presencial")</f>
        <v>Presencial</v>
      </c>
      <c r="X25" s="30" t="str">
        <f ca="1">IFERROR(__xludf.DUMMYFUNCTION("""COMPUTED_VALUE"""),"Espacio a Cargo de la Secretaría")</f>
        <v>Espacio a Cargo de la Secretaría</v>
      </c>
      <c r="Y25" s="30" t="str">
        <f ca="1">IFERROR(__xludf.DUMMYFUNCTION("""COMPUTED_VALUE"""),"8")</f>
        <v>8</v>
      </c>
      <c r="Z25" s="30"/>
      <c r="AA25" s="30"/>
      <c r="AB25" s="30" t="b">
        <f ca="1">IFERROR(__xludf.DUMMYFUNCTION("""COMPUTED_VALUE"""),FALSE)</f>
        <v>0</v>
      </c>
      <c r="AC25" s="30"/>
      <c r="AD25" s="30" t="b">
        <f ca="1">IFERROR(__xludf.DUMMYFUNCTION("""COMPUTED_VALUE"""),FALSE)</f>
        <v>0</v>
      </c>
      <c r="AE25" s="30"/>
      <c r="AF25" s="30" t="b">
        <f ca="1">IFERROR(__xludf.DUMMYFUNCTION("""COMPUTED_VALUE"""),FALSE)</f>
        <v>0</v>
      </c>
      <c r="AG25" s="30"/>
      <c r="AH25" s="30" t="str">
        <f ca="1">IFERROR(__xludf.DUMMYFUNCTION("""COMPUTED_VALUE"""),"Sin costo")</f>
        <v>Sin costo</v>
      </c>
      <c r="AI25" s="30"/>
      <c r="AJ25" s="30"/>
      <c r="AK25" s="30"/>
      <c r="AL25" s="30" t="str">
        <f ca="1">IFERROR(__xludf.DUMMYFUNCTION("""COMPUTED_VALUE"""),"ccardonav@guanajuato.gob.mx")</f>
        <v>ccardonav@guanajuato.gob.mx</v>
      </c>
      <c r="AM25"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25" s="30" t="str">
        <f ca="1">IFERROR(__xludf.DUMMYFUNCTION("""COMPUTED_VALUE"""),"2 Igualdad")</f>
        <v>2 Igualdad</v>
      </c>
      <c r="AO25" s="30" t="str">
        <f ca="1">IFERROR(__xludf.DUMMYFUNCTION("""COMPUTED_VALUE"""),"2.4 Reducir brechas de desigualdad")</f>
        <v>2.4 Reducir brechas de desigualdad</v>
      </c>
      <c r="AP25" s="30" t="str">
        <f ca="1">IFERROR(__xludf.DUMMYFUNCTION("""COMPUTED_VALUE"""),"2.4.3 Descentralización de la oferta cultural")</f>
        <v>2.4.3 Descentralización de la oferta cultural</v>
      </c>
      <c r="AQ25" s="30" t="str">
        <f ca="1">IFERROR(__xludf.DUMMYFUNCTION("""COMPUTED_VALUE"""),"2.4.3.1 Impulsar el desarrollo artístico y cultural entre infancias y juventudes")</f>
        <v>2.4.3.1 Impulsar el desarrollo artístico y cultural entre infancias y juventudes</v>
      </c>
      <c r="AR25" s="30" t="str">
        <f ca="1">IFERROR(__xludf.DUMMYFUNCTION("""COMPUTED_VALUE"""),"Cooperación")</f>
        <v>Cooperación</v>
      </c>
      <c r="AS25" s="30"/>
      <c r="AT25" s="30" t="str">
        <f ca="1">IFERROR(__xludf.DUMMYFUNCTION("""COMPUTED_VALUE"""),"Fomento a la creación y circulación cultural.")</f>
        <v>Fomento a la creación y circulación cultural.</v>
      </c>
      <c r="AU25" s="30" t="str">
        <f ca="1">IFERROR(__xludf.DUMMYFUNCTION("""COMPUTED_VALUE"""),"Incentivar la creación y producción artística y cultural de agentes locales.")</f>
        <v>Incentivar la creación y producción artística y cultural de agentes locales.</v>
      </c>
      <c r="AV25" s="30" t="str">
        <f ca="1">IFERROR(__xludf.DUMMYFUNCTION("""COMPUTED_VALUE"""),"Diseñar e implementar un sistema de reconocimiento público a las comunidades culturales.")</f>
        <v>Diseñar e implementar un sistema de reconocimiento público a las comunidades culturales.</v>
      </c>
      <c r="AW25" s="30" t="str">
        <f ca="1">IFERROR(__xludf.DUMMYFUNCTION("""COMPUTED_VALUE"""),"Incrementar nuevas producciones, obras y proyectos culturales en un 15% anual.")</f>
        <v>Incrementar nuevas producciones, obras y proyectos culturales en un 15% anual.</v>
      </c>
      <c r="AX25" s="30" t="str">
        <f ca="1">IFERROR(__xludf.DUMMYFUNCTION("""COMPUTED_VALUE"""),"Presentación artística")</f>
        <v>Presentación artística</v>
      </c>
      <c r="AY25" s="30" t="str">
        <f ca="1">IFERROR(__xludf.DUMMYFUNCTION("""COMPUTED_VALUE"""),"Formación")</f>
        <v>Formación</v>
      </c>
      <c r="AZ25" s="30"/>
      <c r="BA25" s="30"/>
      <c r="BB25" s="30"/>
      <c r="BC25" s="30">
        <f ca="1">IFERROR(__xludf.DUMMYFUNCTION("""COMPUTED_VALUE"""),0)</f>
        <v>0</v>
      </c>
      <c r="BD25" s="30"/>
      <c r="BE25" s="30"/>
      <c r="BF25" s="30" t="b">
        <f ca="1">IFERROR(__xludf.DUMMYFUNCTION("""COMPUTED_VALUE"""),FALSE)</f>
        <v>0</v>
      </c>
      <c r="BG25" s="30"/>
      <c r="BH25" s="30"/>
      <c r="BI25" s="30"/>
      <c r="BJ25" s="30"/>
      <c r="BK25" s="30"/>
      <c r="BL25" s="30" t="str">
        <f ca="1">IFERROR(__xludf.DUMMYFUNCTION("""COMPUTED_VALUE"""),"N/A")</f>
        <v>N/A</v>
      </c>
      <c r="BM25" s="30" t="str">
        <f ca="1">IFERROR(__xludf.DUMMYFUNCTION("""COMPUTED_VALUE"""),"Sí")</f>
        <v>Sí</v>
      </c>
      <c r="BN25" s="30"/>
      <c r="BO25" s="30" t="str">
        <f ca="1">IFERROR(__xludf.DUMMYFUNCTION("""COMPUTED_VALUE"""),"28aa1a2e")</f>
        <v>28aa1a2e</v>
      </c>
      <c r="BP25" s="29" t="str">
        <f ca="1">IFERROR(__xludf.DUMMYFUNCTION("""COMPUTED_VALUE"""),"León")</f>
        <v>León</v>
      </c>
      <c r="BQ25" s="30" t="str">
        <f ca="1">IFERROR(__xludf.DUMMYFUNCTION("""COMPUTED_VALUE"""),"Urbano")</f>
        <v>Urbano</v>
      </c>
      <c r="BR25" s="30"/>
      <c r="BS25" s="30"/>
      <c r="BT25" s="30" t="str">
        <f ca="1">IFERROR(__xludf.DUMMYFUNCTION("""COMPUTED_VALUE"""),"La Martinica")</f>
        <v>La Martinica</v>
      </c>
      <c r="BU25" s="30" t="str">
        <f ca="1">IFERROR(__xludf.DUMMYFUNCTION("""COMPUTED_VALUE"""),"No")</f>
        <v>No</v>
      </c>
      <c r="BV25" s="30" t="str">
        <f ca="1">IFERROR(__xludf.DUMMYFUNCTION("""COMPUTED_VALUE"""),"No")</f>
        <v>No</v>
      </c>
      <c r="BW25" s="30">
        <f ca="1">IFERROR(__xludf.DUMMYFUNCTION("""COMPUTED_VALUE"""),30)</f>
        <v>30</v>
      </c>
      <c r="BX25" s="30">
        <f ca="1">IFERROR(__xludf.DUMMYFUNCTION("""COMPUTED_VALUE"""),1)</f>
        <v>1</v>
      </c>
      <c r="BY25" s="30">
        <f ca="1">IFERROR(__xludf.DUMMYFUNCTION("""COMPUTED_VALUE"""),29)</f>
        <v>29</v>
      </c>
      <c r="BZ25" s="30" t="str">
        <f ca="1">IFERROR(__xludf.DUMMYFUNCTION("""COMPUTED_VALUE"""),"La Martinica")</f>
        <v>La Martinica</v>
      </c>
      <c r="CA25" s="30" t="str">
        <f ca="1">IFERROR(__xludf.DUMMYFUNCTION("""COMPUTED_VALUE"""),"No")</f>
        <v>No</v>
      </c>
      <c r="CB25" s="30" t="str">
        <f ca="1">IFERROR(__xludf.DUMMYFUNCTION("""COMPUTED_VALUE"""),"No")</f>
        <v>No</v>
      </c>
      <c r="CC25" s="30" t="str">
        <f ca="1">IFERROR(__xludf.DUMMYFUNCTION("""COMPUTED_VALUE"""),"f62ff286")</f>
        <v>f62ff286</v>
      </c>
      <c r="CD25" s="29" t="str">
        <f ca="1">IFERROR(__xludf.DUMMYFUNCTION("""COMPUTED_VALUE"""),"Adultos (30 a 59 años)")</f>
        <v>Adultos (30 a 59 años)</v>
      </c>
      <c r="CE25" s="30" t="str">
        <f ca="1">IFERROR(__xludf.DUMMYFUNCTION("""COMPUTED_VALUE"""),"Dato global")</f>
        <v>Dato global</v>
      </c>
      <c r="CF25" s="30" t="str">
        <f ca="1">IFERROR(__xludf.DUMMYFUNCTION("""COMPUTED_VALUE"""),"Mujeres en situación de vulnerabilidad")</f>
        <v>Mujeres en situación de vulnerabilidad</v>
      </c>
      <c r="CG25" s="30">
        <f ca="1">IFERROR(__xludf.DUMMYFUNCTION("""COMPUTED_VALUE"""),100)</f>
        <v>100</v>
      </c>
      <c r="CI25" s="30" t="str">
        <f ca="1">IFERROR(__xludf.DUMMYFUNCTION("""COMPUTED_VALUE"""),"e3b4a44f")</f>
        <v>e3b4a44f</v>
      </c>
      <c r="CJ25" s="29" t="str">
        <f ca="1">IFERROR(__xludf.DUMMYFUNCTION("""COMPUTED_VALUE"""),"Regitro_Evidencia_Images/e3b4a44f.Archivo_Evidencia.182530.jpg")</f>
        <v>Regitro_Evidencia_Images/e3b4a44f.Archivo_Evidencia.182530.jpg</v>
      </c>
      <c r="CK25" s="30" t="str">
        <f ca="1">IFERROR(__xludf.DUMMYFUNCTION("""COMPUTED_VALUE"""),"Foto")</f>
        <v>Foto</v>
      </c>
      <c r="CL25" s="30"/>
      <c r="CM25" s="30" t="str">
        <f ca="1">IFERROR(__xludf.DUMMYFUNCTION("""COMPUTED_VALUE"""),"León")</f>
        <v>León</v>
      </c>
      <c r="CN25" s="32" t="e">
        <f ca="1"/>
        <v>#NAME?</v>
      </c>
      <c r="CO25" s="32" t="e">
        <f ca="1"/>
        <v>#NAME?</v>
      </c>
      <c r="CP25" s="32" t="e">
        <f ca="1"/>
        <v>#NAME?</v>
      </c>
      <c r="CQ25" s="30" t="e">
        <f ca="1"/>
        <v>#NAME?</v>
      </c>
      <c r="CR25" s="30" t="e">
        <f ca="1"/>
        <v>#NAME?</v>
      </c>
      <c r="CS25" s="30" t="str">
        <f ca="1">IFERROR(__xludf.DUMMYFUNCTION("""COMPUTED_VALUE"""),"Ninguno (Población General)")</f>
        <v>Ninguno (Población General)</v>
      </c>
      <c r="CU25" s="32"/>
      <c r="CV25" s="32"/>
      <c r="CW25" s="32"/>
    </row>
    <row r="26" spans="1:101" ht="15.5">
      <c r="A26" s="29" t="str">
        <f ca="1">IFERROR(__xludf.DUMMYFUNCTION("""COMPUTED_VALUE"""),"ACT00025")</f>
        <v>ACT00025</v>
      </c>
      <c r="B26" s="30" t="str">
        <f ca="1">IFERROR(__xludf.DUMMYFUNCTION("""COMPUTED_VALUE"""),"SC-260615-122541")</f>
        <v>SC-260615-122541</v>
      </c>
      <c r="C26" s="62">
        <f ca="1">IFERROR(__xludf.DUMMYFUNCTION("""COMPUTED_VALUE"""),46188.5178356481)</f>
        <v>46188.517835648097</v>
      </c>
      <c r="D26" s="30">
        <f ca="1">IFERROR(__xludf.DUMMYFUNCTION("""COMPUTED_VALUE"""),92)</f>
        <v>92</v>
      </c>
      <c r="E26" s="30" t="str">
        <f ca="1">IFERROR(__xludf.DUMMYFUNCTION("""COMPUTED_VALUE"""),"PB3572")</f>
        <v>PB3572</v>
      </c>
      <c r="F2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 s="30" t="str">
        <f ca="1">IFERROR(__xludf.DUMMYFUNCTION("""COMPUTED_VALUE"""),"SUBSECRETARÍA DE DESARROLLO Y PROMOCIÓN ARTÍSTICA Y CULTURAL")</f>
        <v>SUBSECRETARÍA DE DESARROLLO Y PROMOCIÓN ARTÍSTICA Y CULTURAL</v>
      </c>
      <c r="I26" s="34" t="str">
        <f ca="1">IFERROR(__xludf.DUMMYFUNCTION("""COMPUTED_VALUE"""),"DIRECCIÓN GENERAL DE MUSEOS, ARTES VISUALES Y EXPOSICIONES")</f>
        <v>DIRECCIÓN GENERAL DE MUSEOS, ARTES VISUALES Y EXPOSICIONES</v>
      </c>
      <c r="J26" s="30" t="str">
        <f ca="1">IFERROR(__xludf.DUMMYFUNCTION("""COMPUTED_VALUE"""),"Número de Actividades realizadas")</f>
        <v>Número de Actividades realizadas</v>
      </c>
      <c r="K26" s="30">
        <f ca="1">IFERROR(__xludf.DUMMYFUNCTION("""COMPUTED_VALUE"""),800)</f>
        <v>800</v>
      </c>
      <c r="L26" s="30" t="str">
        <f ca="1">IFERROR(__xludf.DUMMYFUNCTION("""COMPUTED_VALUE"""),"Cultural")</f>
        <v>Cultural</v>
      </c>
      <c r="M26" s="30" t="str">
        <f ca="1">IFERROR(__xludf.DUMMYFUNCTION("""COMPUTED_VALUE"""),"Palabras Umbral, Palabrasfilo. Hilandera: Flor Bosco.")</f>
        <v>Palabras Umbral, Palabrasfilo. Hilandera: Flor Bosco.</v>
      </c>
      <c r="N26" s="30" t="str">
        <f ca="1">IFERROR(__xludf.DUMMYFUNCTION("""COMPUTED_VALUE"""),"Un tejido verbal hecho con fibras extraídas de diversos poetas. Hilandera: Flor Bosco.")</f>
        <v>Un tejido verbal hecho con fibras extraídas de diversos poetas. Hilandera: Flor Bosco.</v>
      </c>
      <c r="O26" s="30" t="str">
        <f ca="1">IFERROR(__xludf.DUMMYFUNCTION("""COMPUTED_VALUE"""),"Única")</f>
        <v>Única</v>
      </c>
      <c r="P26" s="33">
        <f ca="1">IFERROR(__xludf.DUMMYFUNCTION("""COMPUTED_VALUE"""),46150)</f>
        <v>46150</v>
      </c>
      <c r="Q26" s="64">
        <f ca="1">IFERROR(__xludf.DUMMYFUNCTION("""COMPUTED_VALUE"""),46150)</f>
        <v>46150</v>
      </c>
      <c r="R26" s="30">
        <f ca="1">IFERROR(__xludf.DUMMYFUNCTION("""COMPUTED_VALUE"""),1)</f>
        <v>1</v>
      </c>
      <c r="S26" s="30" t="str">
        <f ca="1">IFERROR(__xludf.DUMMYFUNCTION("""COMPUTED_VALUE"""),"Literatura")</f>
        <v>Literatura</v>
      </c>
      <c r="T26" s="30" t="str">
        <f ca="1">IFERROR(__xludf.DUMMYFUNCTION("""COMPUTED_VALUE"""),"Fomento a la lectura")</f>
        <v>Fomento a la lectura</v>
      </c>
      <c r="U26" s="30" t="str">
        <f ca="1">IFERROR(__xludf.DUMMYFUNCTION("""COMPUTED_VALUE"""),"Muestra artística")</f>
        <v>Muestra artística</v>
      </c>
      <c r="V26" s="30" t="str">
        <f ca="1">IFERROR(__xludf.DUMMYFUNCTION("""COMPUTED_VALUE"""),"Ninguna")</f>
        <v>Ninguna</v>
      </c>
      <c r="W26" s="30" t="str">
        <f ca="1">IFERROR(__xludf.DUMMYFUNCTION("""COMPUTED_VALUE"""),"Presencial")</f>
        <v>Presencial</v>
      </c>
      <c r="X26" s="30" t="str">
        <f ca="1">IFERROR(__xludf.DUMMYFUNCTION("""COMPUTED_VALUE"""),"Espacio a Cargo de la Secretaría")</f>
        <v>Espacio a Cargo de la Secretaría</v>
      </c>
      <c r="Y26" s="30" t="str">
        <f ca="1">IFERROR(__xludf.DUMMYFUNCTION("""COMPUTED_VALUE"""),"8")</f>
        <v>8</v>
      </c>
      <c r="Z26" s="30"/>
      <c r="AA26" s="30"/>
      <c r="AB26" s="30" t="b">
        <f ca="1">IFERROR(__xludf.DUMMYFUNCTION("""COMPUTED_VALUE"""),FALSE)</f>
        <v>0</v>
      </c>
      <c r="AC26" s="30"/>
      <c r="AD26" s="30" t="b">
        <f ca="1">IFERROR(__xludf.DUMMYFUNCTION("""COMPUTED_VALUE"""),FALSE)</f>
        <v>0</v>
      </c>
      <c r="AE26" s="30"/>
      <c r="AF26" s="30" t="b">
        <f ca="1">IFERROR(__xludf.DUMMYFUNCTION("""COMPUTED_VALUE"""),FALSE)</f>
        <v>0</v>
      </c>
      <c r="AG26" s="30"/>
      <c r="AH26" s="30" t="str">
        <f ca="1">IFERROR(__xludf.DUMMYFUNCTION("""COMPUTED_VALUE"""),"Sin costo")</f>
        <v>Sin costo</v>
      </c>
      <c r="AI26" s="30"/>
      <c r="AJ26" s="30"/>
      <c r="AK26" s="30"/>
      <c r="AL26" s="30" t="str">
        <f ca="1">IFERROR(__xludf.DUMMYFUNCTION("""COMPUTED_VALUE"""),"ccardonav@guanajuato.gob.mx")</f>
        <v>ccardonav@guanajuato.gob.mx</v>
      </c>
      <c r="AM26" s="30" t="str">
        <f ca="1">IFERROR(__xludf.DUMMYFUNCTION("""COMPUTED_VALUE"""),"Leer para crecer.")</f>
        <v>Leer para crecer.</v>
      </c>
      <c r="AN26" s="30" t="str">
        <f ca="1">IFERROR(__xludf.DUMMYFUNCTION("""COMPUTED_VALUE"""),"4 Vocación")</f>
        <v>4 Vocación</v>
      </c>
      <c r="AO26" s="30" t="str">
        <f ca="1">IFERROR(__xludf.DUMMYFUNCTION("""COMPUTED_VALUE"""),"4.4 Reforzar competencias lectoras y lógico matemáticas")</f>
        <v>4.4 Reforzar competencias lectoras y lógico matemáticas</v>
      </c>
      <c r="AP26" s="30" t="str">
        <f ca="1">IFERROR(__xludf.DUMMYFUNCTION("""COMPUTED_VALUE"""),"4.4.2 Competencias lectoras")</f>
        <v>4.4.2 Competencias lectoras</v>
      </c>
      <c r="AQ26" s="30" t="str">
        <f ca="1">IFERROR(__xludf.DUMMYFUNCTION("""COMPUTED_VALUE"""),"4.4.2 Fomentar el hábito lector")</f>
        <v>4.4.2 Fomentar el hábito lector</v>
      </c>
      <c r="AR26" s="30" t="str">
        <f ca="1">IFERROR(__xludf.DUMMYFUNCTION("""COMPUTED_VALUE"""),"Cooperación")</f>
        <v>Cooperación</v>
      </c>
      <c r="AS26" s="30"/>
      <c r="AT26" s="30" t="str">
        <f ca="1">IFERROR(__xludf.DUMMYFUNCTION("""COMPUTED_VALUE"""),"Fomento a la creación y circulación cultural.")</f>
        <v>Fomento a la creación y circulación cultural.</v>
      </c>
      <c r="AU26" s="30" t="str">
        <f ca="1">IFERROR(__xludf.DUMMYFUNCTION("""COMPUTED_VALUE"""),"Incentivar la creación y producción artística y cultural de agentes locales.")</f>
        <v>Incentivar la creación y producción artística y cultural de agentes locales.</v>
      </c>
      <c r="AV26" s="30" t="str">
        <f ca="1">IFERROR(__xludf.DUMMYFUNCTION("""COMPUTED_VALUE"""),"Diseñar e implementar un sistema de reconocimiento público a las comunidades culturales.")</f>
        <v>Diseñar e implementar un sistema de reconocimiento público a las comunidades culturales.</v>
      </c>
      <c r="AW26" s="30" t="str">
        <f ca="1">IFERROR(__xludf.DUMMYFUNCTION("""COMPUTED_VALUE"""),"Incrementar nuevas producciones, obras y proyectos culturales en un 15% anual.")</f>
        <v>Incrementar nuevas producciones, obras y proyectos culturales en un 15% anual.</v>
      </c>
      <c r="AX26" s="30" t="str">
        <f ca="1">IFERROR(__xludf.DUMMYFUNCTION("""COMPUTED_VALUE"""),"Presentación artística")</f>
        <v>Presentación artística</v>
      </c>
      <c r="AY26" s="30" t="str">
        <f ca="1">IFERROR(__xludf.DUMMYFUNCTION("""COMPUTED_VALUE"""),"Formación")</f>
        <v>Formación</v>
      </c>
      <c r="AZ26" s="30"/>
      <c r="BA26" s="30"/>
      <c r="BB26" s="30"/>
      <c r="BC26" s="30">
        <f ca="1">IFERROR(__xludf.DUMMYFUNCTION("""COMPUTED_VALUE"""),0)</f>
        <v>0</v>
      </c>
      <c r="BD26" s="30"/>
      <c r="BE26" s="30"/>
      <c r="BF26" s="30" t="b">
        <f ca="1">IFERROR(__xludf.DUMMYFUNCTION("""COMPUTED_VALUE"""),FALSE)</f>
        <v>0</v>
      </c>
      <c r="BG26" s="30"/>
      <c r="BH26" s="30"/>
      <c r="BI26" s="30"/>
      <c r="BJ26" s="30"/>
      <c r="BK26" s="30"/>
      <c r="BL26" s="30" t="str">
        <f ca="1">IFERROR(__xludf.DUMMYFUNCTION("""COMPUTED_VALUE"""),"N/A")</f>
        <v>N/A</v>
      </c>
      <c r="BM26" s="30" t="str">
        <f ca="1">IFERROR(__xludf.DUMMYFUNCTION("""COMPUTED_VALUE"""),"Sí")</f>
        <v>Sí</v>
      </c>
      <c r="BN26" s="30"/>
      <c r="BO26" s="30" t="str">
        <f ca="1">IFERROR(__xludf.DUMMYFUNCTION("""COMPUTED_VALUE"""),"94c7aafa")</f>
        <v>94c7aafa</v>
      </c>
      <c r="BP26" s="29" t="str">
        <f ca="1">IFERROR(__xludf.DUMMYFUNCTION("""COMPUTED_VALUE"""),"León")</f>
        <v>León</v>
      </c>
      <c r="BQ26" s="30" t="str">
        <f ca="1">IFERROR(__xludf.DUMMYFUNCTION("""COMPUTED_VALUE"""),"Urbano")</f>
        <v>Urbano</v>
      </c>
      <c r="BR26" s="30"/>
      <c r="BS26" s="30"/>
      <c r="BT26" s="30" t="str">
        <f ca="1">IFERROR(__xludf.DUMMYFUNCTION("""COMPUTED_VALUE"""),"La Martinica")</f>
        <v>La Martinica</v>
      </c>
      <c r="BU26" s="30" t="str">
        <f ca="1">IFERROR(__xludf.DUMMYFUNCTION("""COMPUTED_VALUE"""),"No")</f>
        <v>No</v>
      </c>
      <c r="BV26" s="30" t="str">
        <f ca="1">IFERROR(__xludf.DUMMYFUNCTION("""COMPUTED_VALUE"""),"No")</f>
        <v>No</v>
      </c>
      <c r="BW26" s="30">
        <f ca="1">IFERROR(__xludf.DUMMYFUNCTION("""COMPUTED_VALUE"""),7)</f>
        <v>7</v>
      </c>
      <c r="BX26" s="30">
        <f ca="1">IFERROR(__xludf.DUMMYFUNCTION("""COMPUTED_VALUE"""),7)</f>
        <v>7</v>
      </c>
      <c r="BY26" s="30">
        <f ca="1">IFERROR(__xludf.DUMMYFUNCTION("""COMPUTED_VALUE"""),0)</f>
        <v>0</v>
      </c>
      <c r="BZ26" s="30" t="str">
        <f ca="1">IFERROR(__xludf.DUMMYFUNCTION("""COMPUTED_VALUE"""),"La Martinica")</f>
        <v>La Martinica</v>
      </c>
      <c r="CA26" s="30" t="str">
        <f ca="1">IFERROR(__xludf.DUMMYFUNCTION("""COMPUTED_VALUE"""),"No")</f>
        <v>No</v>
      </c>
      <c r="CB26" s="30" t="str">
        <f ca="1">IFERROR(__xludf.DUMMYFUNCTION("""COMPUTED_VALUE"""),"No")</f>
        <v>No</v>
      </c>
      <c r="CC26" s="30" t="str">
        <f ca="1">IFERROR(__xludf.DUMMYFUNCTION("""COMPUTED_VALUE"""),"4578abcd")</f>
        <v>4578abcd</v>
      </c>
      <c r="CD26" s="29" t="str">
        <f ca="1">IFERROR(__xludf.DUMMYFUNCTION("""COMPUTED_VALUE"""),"Adultos Mayores (60 años o más)")</f>
        <v>Adultos Mayores (60 años o más)</v>
      </c>
      <c r="CE26" s="30" t="str">
        <f ca="1">IFERROR(__xludf.DUMMYFUNCTION("""COMPUTED_VALUE"""),"Dato global")</f>
        <v>Dato global</v>
      </c>
      <c r="CF26" s="30" t="str">
        <f ca="1">IFERROR(__xludf.DUMMYFUNCTION("""COMPUTED_VALUE"""),"Mujeres en situación de vulnerabilidad")</f>
        <v>Mujeres en situación de vulnerabilidad</v>
      </c>
      <c r="CG26" s="30">
        <f ca="1">IFERROR(__xludf.DUMMYFUNCTION("""COMPUTED_VALUE"""),100)</f>
        <v>100</v>
      </c>
      <c r="CI26" s="30" t="str">
        <f ca="1">IFERROR(__xludf.DUMMYFUNCTION("""COMPUTED_VALUE"""),"1a31d351")</f>
        <v>1a31d351</v>
      </c>
      <c r="CJ26" s="29" t="str">
        <f ca="1">IFERROR(__xludf.DUMMYFUNCTION("""COMPUTED_VALUE"""),"Regitro_Evidencia_Images/1a31d351.Archivo_Evidencia.185540.jpg")</f>
        <v>Regitro_Evidencia_Images/1a31d351.Archivo_Evidencia.185540.jpg</v>
      </c>
      <c r="CK26" s="30" t="str">
        <f ca="1">IFERROR(__xludf.DUMMYFUNCTION("""COMPUTED_VALUE"""),"Foto")</f>
        <v>Foto</v>
      </c>
      <c r="CL26" s="30"/>
      <c r="CM26" s="30" t="str">
        <f ca="1">IFERROR(__xludf.DUMMYFUNCTION("""COMPUTED_VALUE"""),"León")</f>
        <v>León</v>
      </c>
      <c r="CN26" s="32" t="e">
        <f ca="1"/>
        <v>#NAME?</v>
      </c>
      <c r="CO26" s="32" t="e">
        <f ca="1"/>
        <v>#NAME?</v>
      </c>
      <c r="CP26" s="32" t="e">
        <f ca="1"/>
        <v>#NAME?</v>
      </c>
      <c r="CQ26" s="30" t="e">
        <f ca="1"/>
        <v>#NAME?</v>
      </c>
      <c r="CR26" s="30" t="e">
        <f ca="1"/>
        <v>#NAME?</v>
      </c>
      <c r="CS26" s="30" t="str">
        <f ca="1">IFERROR(__xludf.DUMMYFUNCTION("""COMPUTED_VALUE"""),"Ninguno (Población General)")</f>
        <v>Ninguno (Población General)</v>
      </c>
      <c r="CU26" s="32"/>
      <c r="CV26" s="32"/>
      <c r="CW26" s="32"/>
    </row>
    <row r="27" spans="1:101" ht="15.5">
      <c r="A27" s="29" t="str">
        <f ca="1">IFERROR(__xludf.DUMMYFUNCTION("""COMPUTED_VALUE"""),"ACT00026")</f>
        <v>ACT00026</v>
      </c>
      <c r="B27" s="30" t="str">
        <f ca="1">IFERROR(__xludf.DUMMYFUNCTION("""COMPUTED_VALUE"""),"SC-260615-125555")</f>
        <v>SC-260615-125555</v>
      </c>
      <c r="C27" s="62">
        <f ca="1">IFERROR(__xludf.DUMMYFUNCTION("""COMPUTED_VALUE"""),46188.5388310185)</f>
        <v>46188.538831018501</v>
      </c>
      <c r="D27" s="30">
        <f ca="1">IFERROR(__xludf.DUMMYFUNCTION("""COMPUTED_VALUE"""),92)</f>
        <v>92</v>
      </c>
      <c r="E27" s="30" t="str">
        <f ca="1">IFERROR(__xludf.DUMMYFUNCTION("""COMPUTED_VALUE"""),"PB3572")</f>
        <v>PB3572</v>
      </c>
      <c r="F2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7" s="30" t="str">
        <f ca="1">IFERROR(__xludf.DUMMYFUNCTION("""COMPUTED_VALUE"""),"SUBSECRETARÍA DE DESARROLLO Y PROMOCIÓN ARTÍSTICA Y CULTURAL")</f>
        <v>SUBSECRETARÍA DE DESARROLLO Y PROMOCIÓN ARTÍSTICA Y CULTURAL</v>
      </c>
      <c r="I27" s="34" t="str">
        <f ca="1">IFERROR(__xludf.DUMMYFUNCTION("""COMPUTED_VALUE"""),"DIRECCIÓN GENERAL DE MUSEOS, ARTES VISUALES Y EXPOSICIONES")</f>
        <v>DIRECCIÓN GENERAL DE MUSEOS, ARTES VISUALES Y EXPOSICIONES</v>
      </c>
      <c r="J27" s="30" t="str">
        <f ca="1">IFERROR(__xludf.DUMMYFUNCTION("""COMPUTED_VALUE"""),"Número de Actividades realizadas")</f>
        <v>Número de Actividades realizadas</v>
      </c>
      <c r="K27" s="30">
        <f ca="1">IFERROR(__xludf.DUMMYFUNCTION("""COMPUTED_VALUE"""),800)</f>
        <v>800</v>
      </c>
      <c r="L27" s="30" t="str">
        <f ca="1">IFERROR(__xludf.DUMMYFUNCTION("""COMPUTED_VALUE"""),"Cultural")</f>
        <v>Cultural</v>
      </c>
      <c r="M27" s="30" t="str">
        <f ca="1">IFERROR(__xludf.DUMMYFUNCTION("""COMPUTED_VALUE"""),"Entre medios y a través de. Diálogos con Miguel Mesa.""Habitar ése bosque. Camila Apaez y Miguel Mesa""")</f>
        <v>Entre medios y a través de. Diálogos con Miguel Mesa."Habitar ése bosque. Camila Apaez y Miguel Mesa"</v>
      </c>
      <c r="N27" s="30" t="str">
        <f ca="1">IFERROR(__xludf.DUMMYFUNCTION("""COMPUTED_VALUE"""),"De forma teórica y práctica se dialogarán posibilidades para la gestación y desarrollo de proyectos artísticos, considerando los cruces entre medios, ideas, tecnología y disciplinas; tomando en cuenta la importancia de las decisiones estéticas, técnicas y"&amp;" políticas. El punto de partida será la exposición “Habitar ese bosque” que se encuentra expuesta en la sala CoLab del Museo de Arte e Historia de Guanajuato.")</f>
        <v>De forma teórica y práctica se dialogarán posibilidades para la gestación y desarrollo de proyectos artísticos, considerando los cruces entre medios, ideas, tecnología y disciplinas; tomando en cuenta la importancia de las decisiones estéticas, técnicas y políticas. El punto de partida será la exposición “Habitar ese bosque” que se encuentra expuesta en la sala CoLab del Museo de Arte e Historia de Guanajuato.</v>
      </c>
      <c r="O27" s="30" t="str">
        <f ca="1">IFERROR(__xludf.DUMMYFUNCTION("""COMPUTED_VALUE"""),"Única")</f>
        <v>Única</v>
      </c>
      <c r="P27" s="33">
        <f ca="1">IFERROR(__xludf.DUMMYFUNCTION("""COMPUTED_VALUE"""),46157)</f>
        <v>46157</v>
      </c>
      <c r="Q27" s="64">
        <f ca="1">IFERROR(__xludf.DUMMYFUNCTION("""COMPUTED_VALUE"""),46157)</f>
        <v>46157</v>
      </c>
      <c r="R27" s="30">
        <f ca="1">IFERROR(__xludf.DUMMYFUNCTION("""COMPUTED_VALUE"""),1)</f>
        <v>1</v>
      </c>
      <c r="S27" s="30" t="str">
        <f ca="1">IFERROR(__xludf.DUMMYFUNCTION("""COMPUTED_VALUE"""),"Artes visuales")</f>
        <v>Artes visuales</v>
      </c>
      <c r="T27" s="30" t="str">
        <f ca="1">IFERROR(__xludf.DUMMYFUNCTION("""COMPUTED_VALUE"""),"Escultura")</f>
        <v>Escultura</v>
      </c>
      <c r="U27" s="30" t="str">
        <f ca="1">IFERROR(__xludf.DUMMYFUNCTION("""COMPUTED_VALUE"""),"Taller")</f>
        <v>Taller</v>
      </c>
      <c r="V27" s="30" t="str">
        <f ca="1">IFERROR(__xludf.DUMMYFUNCTION("""COMPUTED_VALUE"""),"Ninguna")</f>
        <v>Ninguna</v>
      </c>
      <c r="W27" s="30" t="str">
        <f ca="1">IFERROR(__xludf.DUMMYFUNCTION("""COMPUTED_VALUE"""),"Presencial")</f>
        <v>Presencial</v>
      </c>
      <c r="X27" s="30" t="str">
        <f ca="1">IFERROR(__xludf.DUMMYFUNCTION("""COMPUTED_VALUE"""),"Espacio a Cargo de la Secretaría")</f>
        <v>Espacio a Cargo de la Secretaría</v>
      </c>
      <c r="Y27" s="30" t="str">
        <f ca="1">IFERROR(__xludf.DUMMYFUNCTION("""COMPUTED_VALUE"""),"8")</f>
        <v>8</v>
      </c>
      <c r="Z27" s="30"/>
      <c r="AA27" s="30"/>
      <c r="AB27" s="30" t="b">
        <f ca="1">IFERROR(__xludf.DUMMYFUNCTION("""COMPUTED_VALUE"""),FALSE)</f>
        <v>0</v>
      </c>
      <c r="AC27" s="30"/>
      <c r="AD27" s="30" t="b">
        <f ca="1">IFERROR(__xludf.DUMMYFUNCTION("""COMPUTED_VALUE"""),FALSE)</f>
        <v>0</v>
      </c>
      <c r="AE27" s="30"/>
      <c r="AF27" s="30" t="b">
        <f ca="1">IFERROR(__xludf.DUMMYFUNCTION("""COMPUTED_VALUE"""),FALSE)</f>
        <v>0</v>
      </c>
      <c r="AG27" s="30"/>
      <c r="AH27" s="30" t="str">
        <f ca="1">IFERROR(__xludf.DUMMYFUNCTION("""COMPUTED_VALUE"""),"Sin costo")</f>
        <v>Sin costo</v>
      </c>
      <c r="AI27" s="30"/>
      <c r="AJ27" s="30"/>
      <c r="AK27" s="30"/>
      <c r="AL27" s="30" t="str">
        <f ca="1">IFERROR(__xludf.DUMMYFUNCTION("""COMPUTED_VALUE"""),"ccardonav@guanajuato.gob.mx")</f>
        <v>ccardonav@guanajuato.gob.mx</v>
      </c>
      <c r="AM27"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27" s="30" t="str">
        <f ca="1">IFERROR(__xludf.DUMMYFUNCTION("""COMPUTED_VALUE"""),"1 Tranquilidad")</f>
        <v>1 Tranquilidad</v>
      </c>
      <c r="AO27" s="30" t="str">
        <f ca="1">IFERROR(__xludf.DUMMYFUNCTION("""COMPUTED_VALUE"""),"1.2 Fortalecer prevención del delito")</f>
        <v>1.2 Fortalecer prevención del delito</v>
      </c>
      <c r="AP27" s="30" t="str">
        <f ca="1">IFERROR(__xludf.DUMMYFUNCTION("""COMPUTED_VALUE"""),"1.2.2 Fortalecimiento del tejido social")</f>
        <v>1.2.2 Fortalecimiento del tejido social</v>
      </c>
      <c r="AQ27" s="30" t="str">
        <f ca="1">IFERROR(__xludf.DUMMYFUNCTION("""COMPUTED_VALUE"""),"1.2.3.4 Promover una cultura de paz desde las expresiones artísticas y culturales")</f>
        <v>1.2.3.4 Promover una cultura de paz desde las expresiones artísticas y culturales</v>
      </c>
      <c r="AR27" s="30" t="str">
        <f ca="1">IFERROR(__xludf.DUMMYFUNCTION("""COMPUTED_VALUE"""),"Cooperación")</f>
        <v>Cooperación</v>
      </c>
      <c r="AS27" s="30"/>
      <c r="AT27" s="30" t="str">
        <f ca="1">IFERROR(__xludf.DUMMYFUNCTION("""COMPUTED_VALUE"""),"Impulso a la educación artística y a la profesionalización del sector cultural")</f>
        <v>Impulso a la educación artística y a la profesionalización del sector cultural</v>
      </c>
      <c r="AU27" s="30" t="str">
        <f ca="1">IFERROR(__xludf.DUMMYFUNCTION("""COMPUTED_VALUE"""),"Impulso a programas de formación y profesionalización para agentes culturales.")</f>
        <v>Impulso a programas de formación y profesionalización para agentes culturales.</v>
      </c>
      <c r="AV27" s="30" t="str">
        <f ca="1">IFERROR(__xludf.DUMMYFUNCTION("""COMPUTED_VALUE"""),"Diseñar programas de formación y profesionalización modulares y flexibles.")</f>
        <v>Diseñar programas de formación y profesionalización modulares y flexibles.</v>
      </c>
      <c r="AW27" s="30" t="str">
        <f ca="1">IFERROR(__xludf.DUMMYFUNCTION("""COMPUTED_VALUE"""),"Incrementar un 30% la oferta de formación y profesionalización para agentes culturales.")</f>
        <v>Incrementar un 30% la oferta de formación y profesionalización para agentes culturales.</v>
      </c>
      <c r="AX27" s="30" t="str">
        <f ca="1">IFERROR(__xludf.DUMMYFUNCTION("""COMPUTED_VALUE"""),"Taller")</f>
        <v>Taller</v>
      </c>
      <c r="AY27" s="30" t="str">
        <f ca="1">IFERROR(__xludf.DUMMYFUNCTION("""COMPUTED_VALUE"""),"Creación")</f>
        <v>Creación</v>
      </c>
      <c r="AZ27" s="30"/>
      <c r="BA27" s="30"/>
      <c r="BB27" s="30"/>
      <c r="BC27" s="30">
        <f ca="1">IFERROR(__xludf.DUMMYFUNCTION("""COMPUTED_VALUE"""),0)</f>
        <v>0</v>
      </c>
      <c r="BD27" s="30"/>
      <c r="BE27" s="30"/>
      <c r="BF27" s="30" t="b">
        <f ca="1">IFERROR(__xludf.DUMMYFUNCTION("""COMPUTED_VALUE"""),FALSE)</f>
        <v>0</v>
      </c>
      <c r="BG27" s="30"/>
      <c r="BH27" s="30"/>
      <c r="BI27" s="30"/>
      <c r="BJ27" s="30"/>
      <c r="BK27" s="30"/>
      <c r="BL27" s="30" t="str">
        <f ca="1">IFERROR(__xludf.DUMMYFUNCTION("""COMPUTED_VALUE"""),"N/A")</f>
        <v>N/A</v>
      </c>
      <c r="BM27" s="30" t="str">
        <f ca="1">IFERROR(__xludf.DUMMYFUNCTION("""COMPUTED_VALUE"""),"Sí")</f>
        <v>Sí</v>
      </c>
      <c r="BN27" s="30"/>
      <c r="BO27" s="30" t="str">
        <f ca="1">IFERROR(__xludf.DUMMYFUNCTION("""COMPUTED_VALUE"""),"8e7764b4")</f>
        <v>8e7764b4</v>
      </c>
      <c r="BP27" s="29" t="str">
        <f ca="1">IFERROR(__xludf.DUMMYFUNCTION("""COMPUTED_VALUE"""),"León")</f>
        <v>León</v>
      </c>
      <c r="BQ27" s="30" t="str">
        <f ca="1">IFERROR(__xludf.DUMMYFUNCTION("""COMPUTED_VALUE"""),"Urbano")</f>
        <v>Urbano</v>
      </c>
      <c r="BR27" s="30"/>
      <c r="BS27" s="30"/>
      <c r="BT27" s="30" t="str">
        <f ca="1">IFERROR(__xludf.DUMMYFUNCTION("""COMPUTED_VALUE"""),"La Martinica")</f>
        <v>La Martinica</v>
      </c>
      <c r="BU27" s="30" t="str">
        <f ca="1">IFERROR(__xludf.DUMMYFUNCTION("""COMPUTED_VALUE"""),"No")</f>
        <v>No</v>
      </c>
      <c r="BV27" s="30" t="str">
        <f ca="1">IFERROR(__xludf.DUMMYFUNCTION("""COMPUTED_VALUE"""),"No")</f>
        <v>No</v>
      </c>
      <c r="BW27" s="30">
        <f ca="1">IFERROR(__xludf.DUMMYFUNCTION("""COMPUTED_VALUE"""),119)</f>
        <v>119</v>
      </c>
      <c r="BX27" s="30"/>
      <c r="BY27" s="30">
        <f ca="1">IFERROR(__xludf.DUMMYFUNCTION("""COMPUTED_VALUE"""),119)</f>
        <v>119</v>
      </c>
      <c r="BZ27" s="30" t="str">
        <f ca="1">IFERROR(__xludf.DUMMYFUNCTION("""COMPUTED_VALUE"""),"La Martinica")</f>
        <v>La Martinica</v>
      </c>
      <c r="CA27" s="30" t="str">
        <f ca="1">IFERROR(__xludf.DUMMYFUNCTION("""COMPUTED_VALUE"""),"No")</f>
        <v>No</v>
      </c>
      <c r="CB27" s="30" t="str">
        <f ca="1">IFERROR(__xludf.DUMMYFUNCTION("""COMPUTED_VALUE"""),"No")</f>
        <v>No</v>
      </c>
      <c r="CC27" s="30" t="str">
        <f ca="1">IFERROR(__xludf.DUMMYFUNCTION("""COMPUTED_VALUE"""),"7e4ae317")</f>
        <v>7e4ae317</v>
      </c>
      <c r="CD27" s="29" t="str">
        <f ca="1">IFERROR(__xludf.DUMMYFUNCTION("""COMPUTED_VALUE"""),"Adolescentes (13 a 17 años)")</f>
        <v>Adolescentes (13 a 17 años)</v>
      </c>
      <c r="CE27" s="30" t="str">
        <f ca="1">IFERROR(__xludf.DUMMYFUNCTION("""COMPUTED_VALUE"""),"Mujer")</f>
        <v>Mujer</v>
      </c>
      <c r="CF27" s="30" t="str">
        <f ca="1">IFERROR(__xludf.DUMMYFUNCTION("""COMPUTED_VALUE"""),"Mujeres en situación de vulnerabilidad")</f>
        <v>Mujeres en situación de vulnerabilidad</v>
      </c>
      <c r="CG27" s="30">
        <f ca="1">IFERROR(__xludf.DUMMYFUNCTION("""COMPUTED_VALUE"""),214)</f>
        <v>214</v>
      </c>
      <c r="CI27" s="30" t="str">
        <f ca="1">IFERROR(__xludf.DUMMYFUNCTION("""COMPUTED_VALUE"""),"9eef9f25")</f>
        <v>9eef9f25</v>
      </c>
      <c r="CJ27" s="29" t="str">
        <f ca="1">IFERROR(__xludf.DUMMYFUNCTION("""COMPUTED_VALUE"""),"Regitro_Evidencia_Images/9eef9f25.Archivo_Evidencia.190308.png")</f>
        <v>Regitro_Evidencia_Images/9eef9f25.Archivo_Evidencia.190308.png</v>
      </c>
      <c r="CK27" s="30" t="str">
        <f ca="1">IFERROR(__xludf.DUMMYFUNCTION("""COMPUTED_VALUE"""),"Foto")</f>
        <v>Foto</v>
      </c>
      <c r="CL27" s="30"/>
      <c r="CM27" s="30" t="str">
        <f ca="1">IFERROR(__xludf.DUMMYFUNCTION("""COMPUTED_VALUE"""),"")</f>
        <v/>
      </c>
      <c r="CN27" s="32" t="e">
        <f ca="1"/>
        <v>#NAME?</v>
      </c>
      <c r="CO27" s="32" t="e">
        <f ca="1"/>
        <v>#NAME?</v>
      </c>
      <c r="CP27" s="32" t="e">
        <f ca="1"/>
        <v>#NAME?</v>
      </c>
      <c r="CQ27" s="30" t="e">
        <f ca="1"/>
        <v>#NAME?</v>
      </c>
      <c r="CR27" s="30" t="e">
        <f ca="1"/>
        <v>#NAME?</v>
      </c>
      <c r="CS27" s="30" t="str">
        <f ca="1">IFERROR(__xludf.DUMMYFUNCTION("""COMPUTED_VALUE"""),"Ninguno (Población General)")</f>
        <v>Ninguno (Población General)</v>
      </c>
      <c r="CU27" s="32"/>
      <c r="CV27" s="32"/>
      <c r="CW27" s="32"/>
    </row>
    <row r="28" spans="1:101" ht="15.5">
      <c r="A28" s="29" t="str">
        <f ca="1">IFERROR(__xludf.DUMMYFUNCTION("""COMPUTED_VALUE"""),"ACT00027")</f>
        <v>ACT00027</v>
      </c>
      <c r="B28" s="30" t="str">
        <f ca="1">IFERROR(__xludf.DUMMYFUNCTION("""COMPUTED_VALUE"""),"SC-260615-142412")</f>
        <v>SC-260615-142412</v>
      </c>
      <c r="C28" s="62">
        <f ca="1">IFERROR(__xludf.DUMMYFUNCTION("""COMPUTED_VALUE"""),46188.6001388888)</f>
        <v>46188.600138888803</v>
      </c>
      <c r="D28" s="30">
        <f ca="1">IFERROR(__xludf.DUMMYFUNCTION("""COMPUTED_VALUE"""),92)</f>
        <v>92</v>
      </c>
      <c r="E28" s="30" t="str">
        <f ca="1">IFERROR(__xludf.DUMMYFUNCTION("""COMPUTED_VALUE"""),"PB3572")</f>
        <v>PB3572</v>
      </c>
      <c r="F2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 s="30" t="str">
        <f ca="1">IFERROR(__xludf.DUMMYFUNCTION("""COMPUTED_VALUE"""),"SUBSECRETARÍA DE DESARROLLO Y PROMOCIÓN ARTÍSTICA Y CULTURAL")</f>
        <v>SUBSECRETARÍA DE DESARROLLO Y PROMOCIÓN ARTÍSTICA Y CULTURAL</v>
      </c>
      <c r="I28" s="34" t="str">
        <f ca="1">IFERROR(__xludf.DUMMYFUNCTION("""COMPUTED_VALUE"""),"DIRECCIÓN GENERAL DE MUSEOS, ARTES VISUALES Y EXPOSICIONES")</f>
        <v>DIRECCIÓN GENERAL DE MUSEOS, ARTES VISUALES Y EXPOSICIONES</v>
      </c>
      <c r="J28" s="30" t="str">
        <f ca="1">IFERROR(__xludf.DUMMYFUNCTION("""COMPUTED_VALUE"""),"Número de Actividades realizadas")</f>
        <v>Número de Actividades realizadas</v>
      </c>
      <c r="K28" s="30">
        <f ca="1">IFERROR(__xludf.DUMMYFUNCTION("""COMPUTED_VALUE"""),800)</f>
        <v>800</v>
      </c>
      <c r="L28" s="30" t="str">
        <f ca="1">IFERROR(__xludf.DUMMYFUNCTION("""COMPUTED_VALUE"""),"Artística")</f>
        <v>Artística</v>
      </c>
      <c r="M28" s="30" t="str">
        <f ca="1">IFERROR(__xludf.DUMMYFUNCTION("""COMPUTED_VALUE"""),"Museo en Escena. Encuentro Arte Guanajuato")</f>
        <v>Museo en Escena. Encuentro Arte Guanajuato</v>
      </c>
      <c r="N28" s="30" t="str">
        <f ca="1">IFERROR(__xludf.DUMMYFUNCTION("""COMPUTED_VALUE"""),"Presentación de performance de danza y música (saxofón) en diferentes espacios del museo como parte del programa del Dia Internacional de los Museos.")</f>
        <v>Presentación de performance de danza y música (saxofón) en diferentes espacios del museo como parte del programa del Dia Internacional de los Museos.</v>
      </c>
      <c r="O28" s="30" t="str">
        <f ca="1">IFERROR(__xludf.DUMMYFUNCTION("""COMPUTED_VALUE"""),"Única")</f>
        <v>Única</v>
      </c>
      <c r="P28" s="33">
        <f ca="1">IFERROR(__xludf.DUMMYFUNCTION("""COMPUTED_VALUE"""),46159)</f>
        <v>46159</v>
      </c>
      <c r="Q28" s="64">
        <f ca="1">IFERROR(__xludf.DUMMYFUNCTION("""COMPUTED_VALUE"""),46159)</f>
        <v>46159</v>
      </c>
      <c r="R28" s="30">
        <f ca="1">IFERROR(__xludf.DUMMYFUNCTION("""COMPUTED_VALUE"""),1)</f>
        <v>1</v>
      </c>
      <c r="S28" s="30" t="str">
        <f ca="1">IFERROR(__xludf.DUMMYFUNCTION("""COMPUTED_VALUE"""),"Artes escénicas")</f>
        <v>Artes escénicas</v>
      </c>
      <c r="T28" s="30" t="str">
        <f ca="1">IFERROR(__xludf.DUMMYFUNCTION("""COMPUTED_VALUE"""),"Danza tradicional")</f>
        <v>Danza tradicional</v>
      </c>
      <c r="U28" s="30" t="str">
        <f ca="1">IFERROR(__xludf.DUMMYFUNCTION("""COMPUTED_VALUE"""),"Muestra artística")</f>
        <v>Muestra artística</v>
      </c>
      <c r="V28" s="30" t="str">
        <f ca="1">IFERROR(__xludf.DUMMYFUNCTION("""COMPUTED_VALUE"""),"Ninguna")</f>
        <v>Ninguna</v>
      </c>
      <c r="W28" s="30" t="str">
        <f ca="1">IFERROR(__xludf.DUMMYFUNCTION("""COMPUTED_VALUE"""),"Presencial")</f>
        <v>Presencial</v>
      </c>
      <c r="X28" s="30" t="str">
        <f ca="1">IFERROR(__xludf.DUMMYFUNCTION("""COMPUTED_VALUE"""),"Espacio a Cargo de la Secretaría")</f>
        <v>Espacio a Cargo de la Secretaría</v>
      </c>
      <c r="Y28" s="30" t="str">
        <f ca="1">IFERROR(__xludf.DUMMYFUNCTION("""COMPUTED_VALUE"""),"8")</f>
        <v>8</v>
      </c>
      <c r="Z28" s="30"/>
      <c r="AA28" s="30"/>
      <c r="AB28" s="30" t="b">
        <f ca="1">IFERROR(__xludf.DUMMYFUNCTION("""COMPUTED_VALUE"""),FALSE)</f>
        <v>0</v>
      </c>
      <c r="AC28" s="30"/>
      <c r="AD28" s="30" t="b">
        <f ca="1">IFERROR(__xludf.DUMMYFUNCTION("""COMPUTED_VALUE"""),FALSE)</f>
        <v>0</v>
      </c>
      <c r="AE28" s="30"/>
      <c r="AF28" s="30" t="b">
        <f ca="1">IFERROR(__xludf.DUMMYFUNCTION("""COMPUTED_VALUE"""),FALSE)</f>
        <v>0</v>
      </c>
      <c r="AG28" s="30"/>
      <c r="AH28" s="30" t="str">
        <f ca="1">IFERROR(__xludf.DUMMYFUNCTION("""COMPUTED_VALUE"""),"Sin costo")</f>
        <v>Sin costo</v>
      </c>
      <c r="AI28" s="30"/>
      <c r="AJ28" s="30"/>
      <c r="AK28" s="30"/>
      <c r="AL28" s="30" t="str">
        <f ca="1">IFERROR(__xludf.DUMMYFUNCTION("""COMPUTED_VALUE"""),"ccardonav@guanajuato.gob.mx")</f>
        <v>ccardonav@guanajuato.gob.mx</v>
      </c>
      <c r="AM28"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28" s="30" t="str">
        <f ca="1">IFERROR(__xludf.DUMMYFUNCTION("""COMPUTED_VALUE"""),"1 Tranquilidad")</f>
        <v>1 Tranquilidad</v>
      </c>
      <c r="AO28" s="30" t="str">
        <f ca="1">IFERROR(__xludf.DUMMYFUNCTION("""COMPUTED_VALUE"""),"1.2 Fortalecer prevención del delito")</f>
        <v>1.2 Fortalecer prevención del delito</v>
      </c>
      <c r="AP28" s="30" t="str">
        <f ca="1">IFERROR(__xludf.DUMMYFUNCTION("""COMPUTED_VALUE"""),"1.2.2 Fortalecimiento del tejido social")</f>
        <v>1.2.2 Fortalecimiento del tejido social</v>
      </c>
      <c r="AQ28" s="30" t="str">
        <f ca="1">IFERROR(__xludf.DUMMYFUNCTION("""COMPUTED_VALUE"""),"1.2.3.4 Promover una cultura de paz desde las expresiones artísticas y culturales")</f>
        <v>1.2.3.4 Promover una cultura de paz desde las expresiones artísticas y culturales</v>
      </c>
      <c r="AR28" s="30" t="str">
        <f ca="1">IFERROR(__xludf.DUMMYFUNCTION("""COMPUTED_VALUE"""),"Cooperación")</f>
        <v>Cooperación</v>
      </c>
      <c r="AS28" s="30"/>
      <c r="AT28" s="30" t="str">
        <f ca="1">IFERROR(__xludf.DUMMYFUNCTION("""COMPUTED_VALUE"""),"Impulso a la educación artística y a la profesionalización del sector cultural")</f>
        <v>Impulso a la educación artística y a la profesionalización del sector cultural</v>
      </c>
      <c r="AU28" s="30" t="str">
        <f ca="1">IFERROR(__xludf.DUMMYFUNCTION("""COMPUTED_VALUE"""),"Impulso a programas de formación y profesionalización para agentes culturales.")</f>
        <v>Impulso a programas de formación y profesionalización para agentes culturales.</v>
      </c>
      <c r="AV28" s="30" t="str">
        <f ca="1">IFERROR(__xludf.DUMMYFUNCTION("""COMPUTED_VALUE"""),"Diseñar programas de formación y profesionalización modulares y flexibles.")</f>
        <v>Diseñar programas de formación y profesionalización modulares y flexibles.</v>
      </c>
      <c r="AW28" s="30" t="str">
        <f ca="1">IFERROR(__xludf.DUMMYFUNCTION("""COMPUTED_VALUE"""),"Incrementar un 30% la oferta de formación y profesionalización para agentes culturales.")</f>
        <v>Incrementar un 30% la oferta de formación y profesionalización para agentes culturales.</v>
      </c>
      <c r="AX28" s="30" t="str">
        <f ca="1">IFERROR(__xludf.DUMMYFUNCTION("""COMPUTED_VALUE"""),"Presentación artística")</f>
        <v>Presentación artística</v>
      </c>
      <c r="AY28" s="30" t="str">
        <f ca="1">IFERROR(__xludf.DUMMYFUNCTION("""COMPUTED_VALUE"""),"Formación")</f>
        <v>Formación</v>
      </c>
      <c r="AZ28" s="30"/>
      <c r="BA28" s="30"/>
      <c r="BB28" s="30"/>
      <c r="BC28" s="30">
        <f ca="1">IFERROR(__xludf.DUMMYFUNCTION("""COMPUTED_VALUE"""),0)</f>
        <v>0</v>
      </c>
      <c r="BD28" s="30"/>
      <c r="BE28" s="30"/>
      <c r="BF28" s="30" t="b">
        <f ca="1">IFERROR(__xludf.DUMMYFUNCTION("""COMPUTED_VALUE"""),FALSE)</f>
        <v>0</v>
      </c>
      <c r="BG28" s="30"/>
      <c r="BH28" s="30"/>
      <c r="BI28" s="30"/>
      <c r="BJ28" s="30"/>
      <c r="BK28" s="30"/>
      <c r="BL28" s="30" t="str">
        <f ca="1">IFERROR(__xludf.DUMMYFUNCTION("""COMPUTED_VALUE"""),"N/A")</f>
        <v>N/A</v>
      </c>
      <c r="BM28" s="30" t="str">
        <f ca="1">IFERROR(__xludf.DUMMYFUNCTION("""COMPUTED_VALUE"""),"Sí")</f>
        <v>Sí</v>
      </c>
      <c r="BN28" s="30"/>
      <c r="BO28" s="30" t="str">
        <f ca="1">IFERROR(__xludf.DUMMYFUNCTION("""COMPUTED_VALUE"""),"53fe3fb0")</f>
        <v>53fe3fb0</v>
      </c>
      <c r="BP28" s="29" t="str">
        <f ca="1">IFERROR(__xludf.DUMMYFUNCTION("""COMPUTED_VALUE"""),"León")</f>
        <v>León</v>
      </c>
      <c r="BQ28" s="30" t="str">
        <f ca="1">IFERROR(__xludf.DUMMYFUNCTION("""COMPUTED_VALUE"""),"Urbano")</f>
        <v>Urbano</v>
      </c>
      <c r="BR28" s="30"/>
      <c r="BS28" s="30"/>
      <c r="BT28" s="30" t="str">
        <f ca="1">IFERROR(__xludf.DUMMYFUNCTION("""COMPUTED_VALUE"""),"La Martinica")</f>
        <v>La Martinica</v>
      </c>
      <c r="BU28" s="30" t="str">
        <f ca="1">IFERROR(__xludf.DUMMYFUNCTION("""COMPUTED_VALUE"""),"No")</f>
        <v>No</v>
      </c>
      <c r="BV28" s="30" t="str">
        <f ca="1">IFERROR(__xludf.DUMMYFUNCTION("""COMPUTED_VALUE"""),"No")</f>
        <v>No</v>
      </c>
      <c r="BW28" s="30">
        <f ca="1">IFERROR(__xludf.DUMMYFUNCTION("""COMPUTED_VALUE"""),67)</f>
        <v>67</v>
      </c>
      <c r="BX28" s="30">
        <f ca="1">IFERROR(__xludf.DUMMYFUNCTION("""COMPUTED_VALUE"""),8)</f>
        <v>8</v>
      </c>
      <c r="BY28" s="30">
        <f ca="1">IFERROR(__xludf.DUMMYFUNCTION("""COMPUTED_VALUE"""),59)</f>
        <v>59</v>
      </c>
      <c r="BZ28" s="30" t="str">
        <f ca="1">IFERROR(__xludf.DUMMYFUNCTION("""COMPUTED_VALUE"""),"La Martinica")</f>
        <v>La Martinica</v>
      </c>
      <c r="CA28" s="30" t="str">
        <f ca="1">IFERROR(__xludf.DUMMYFUNCTION("""COMPUTED_VALUE"""),"No")</f>
        <v>No</v>
      </c>
      <c r="CB28" s="30" t="str">
        <f ca="1">IFERROR(__xludf.DUMMYFUNCTION("""COMPUTED_VALUE"""),"No")</f>
        <v>No</v>
      </c>
      <c r="CC28" s="30" t="str">
        <f ca="1">IFERROR(__xludf.DUMMYFUNCTION("""COMPUTED_VALUE"""),"335493ff")</f>
        <v>335493ff</v>
      </c>
      <c r="CD28" s="29" t="str">
        <f ca="1">IFERROR(__xludf.DUMMYFUNCTION("""COMPUTED_VALUE"""),"Adultos (30 a 59 años)")</f>
        <v>Adultos (30 a 59 años)</v>
      </c>
      <c r="CE28" s="30" t="str">
        <f ca="1">IFERROR(__xludf.DUMMYFUNCTION("""COMPUTED_VALUE"""),"Dato global")</f>
        <v>Dato global</v>
      </c>
      <c r="CF28" s="30" t="str">
        <f ca="1">IFERROR(__xludf.DUMMYFUNCTION("""COMPUTED_VALUE"""),"Ninguno (Población General)")</f>
        <v>Ninguno (Población General)</v>
      </c>
      <c r="CG28" s="30">
        <f ca="1">IFERROR(__xludf.DUMMYFUNCTION("""COMPUTED_VALUE"""),30)</f>
        <v>30</v>
      </c>
      <c r="CI28" s="30" t="str">
        <f ca="1">IFERROR(__xludf.DUMMYFUNCTION("""COMPUTED_VALUE"""),"b34b001f")</f>
        <v>b34b001f</v>
      </c>
      <c r="CJ28" s="29" t="str">
        <f ca="1">IFERROR(__xludf.DUMMYFUNCTION("""COMPUTED_VALUE"""),"Regitro_Evidencia_Images/b34b001f.Archivo_Evidencia.203102.jpg")</f>
        <v>Regitro_Evidencia_Images/b34b001f.Archivo_Evidencia.203102.jpg</v>
      </c>
      <c r="CK28" s="30" t="str">
        <f ca="1">IFERROR(__xludf.DUMMYFUNCTION("""COMPUTED_VALUE"""),"Foto")</f>
        <v>Foto</v>
      </c>
      <c r="CL28" s="30"/>
      <c r="CM28" s="30" t="str">
        <f ca="1">IFERROR(__xludf.DUMMYFUNCTION("""COMPUTED_VALUE"""),"Guanajuato")</f>
        <v>Guanajuato</v>
      </c>
      <c r="CN28" s="32" t="e">
        <f ca="1"/>
        <v>#NAME?</v>
      </c>
      <c r="CO28" s="32" t="e">
        <f ca="1"/>
        <v>#NAME?</v>
      </c>
      <c r="CP28" s="32" t="e">
        <f ca="1"/>
        <v>#NAME?</v>
      </c>
      <c r="CQ28" s="30" t="e">
        <f ca="1"/>
        <v>#NAME?</v>
      </c>
      <c r="CR28" s="30" t="e">
        <f ca="1"/>
        <v>#NAME?</v>
      </c>
      <c r="CS28" s="30" t="str">
        <f ca="1">IFERROR(__xludf.DUMMYFUNCTION("""COMPUTED_VALUE"""),"Ninguno (Población General)")</f>
        <v>Ninguno (Población General)</v>
      </c>
      <c r="CU28" s="32"/>
      <c r="CV28" s="32"/>
      <c r="CW28" s="32"/>
    </row>
    <row r="29" spans="1:101" ht="15.5">
      <c r="A29" s="29" t="str">
        <f ca="1">IFERROR(__xludf.DUMMYFUNCTION("""COMPUTED_VALUE"""),"ACT00028")</f>
        <v>ACT00028</v>
      </c>
      <c r="B29" s="30" t="str">
        <f ca="1">IFERROR(__xludf.DUMMYFUNCTION("""COMPUTED_VALUE"""),"SC-260615-143235")</f>
        <v>SC-260615-143235</v>
      </c>
      <c r="C29" s="62">
        <f ca="1">IFERROR(__xludf.DUMMYFUNCTION("""COMPUTED_VALUE"""),46188.6059606481)</f>
        <v>46188.605960648099</v>
      </c>
      <c r="D29" s="30">
        <f ca="1">IFERROR(__xludf.DUMMYFUNCTION("""COMPUTED_VALUE"""),92)</f>
        <v>92</v>
      </c>
      <c r="E29" s="30" t="str">
        <f ca="1">IFERROR(__xludf.DUMMYFUNCTION("""COMPUTED_VALUE"""),"PB3572")</f>
        <v>PB3572</v>
      </c>
      <c r="F2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 s="30" t="str">
        <f ca="1">IFERROR(__xludf.DUMMYFUNCTION("""COMPUTED_VALUE"""),"SUBSECRETARÍA DE DESARROLLO Y PROMOCIÓN ARTÍSTICA Y CULTURAL")</f>
        <v>SUBSECRETARÍA DE DESARROLLO Y PROMOCIÓN ARTÍSTICA Y CULTURAL</v>
      </c>
      <c r="I29" s="34" t="str">
        <f ca="1">IFERROR(__xludf.DUMMYFUNCTION("""COMPUTED_VALUE"""),"DIRECCIÓN GENERAL DE MUSEOS, ARTES VISUALES Y EXPOSICIONES")</f>
        <v>DIRECCIÓN GENERAL DE MUSEOS, ARTES VISUALES Y EXPOSICIONES</v>
      </c>
      <c r="J29" s="30" t="str">
        <f ca="1">IFERROR(__xludf.DUMMYFUNCTION("""COMPUTED_VALUE"""),"Número de Actividades realizadas")</f>
        <v>Número de Actividades realizadas</v>
      </c>
      <c r="K29" s="30">
        <f ca="1">IFERROR(__xludf.DUMMYFUNCTION("""COMPUTED_VALUE"""),800)</f>
        <v>800</v>
      </c>
      <c r="L29" s="30" t="str">
        <f ca="1">IFERROR(__xludf.DUMMYFUNCTION("""COMPUTED_VALUE"""),"Cultural")</f>
        <v>Cultural</v>
      </c>
      <c r="M29" s="30" t="str">
        <f ca="1">IFERROR(__xludf.DUMMYFUNCTION("""COMPUTED_VALUE"""),"Libro de Zona 102. Festival FELIZ.  Región III, sector 03 y Zona 102.")</f>
        <v>Libro de Zona 102. Festival FELIZ.  Región III, sector 03 y Zona 102.</v>
      </c>
      <c r="N29" s="30" t="str">
        <f ca="1">IFERROR(__xludf.DUMMYFUNCTION("""COMPUTED_VALUE"""),"Cultivemos un mundo mejor a partir del arte y la literatura, abramos juntos las puertas del arte y la imaginación de las infancias. Descubre el poder de un libro. Abre una puerta al aprendizaje y la imaginación para tus hijos. ¡Ven a  FELIZ y cultivemos j"&amp;"untos el amor a la lectura")</f>
        <v>Cultivemos un mundo mejor a partir del arte y la literatura, abramos juntos las puertas del arte y la imaginación de las infancias. Descubre el poder de un libro. Abre una puerta al aprendizaje y la imaginación para tus hijos. ¡Ven a  FELIZ y cultivemos juntos el amor a la lectura</v>
      </c>
      <c r="O29" s="30" t="str">
        <f ca="1">IFERROR(__xludf.DUMMYFUNCTION("""COMPUTED_VALUE"""),"Única")</f>
        <v>Única</v>
      </c>
      <c r="P29" s="33">
        <f ca="1">IFERROR(__xludf.DUMMYFUNCTION("""COMPUTED_VALUE"""),46163)</f>
        <v>46163</v>
      </c>
      <c r="Q29" s="64">
        <f ca="1">IFERROR(__xludf.DUMMYFUNCTION("""COMPUTED_VALUE"""),46163)</f>
        <v>46163</v>
      </c>
      <c r="R29" s="30">
        <f ca="1">IFERROR(__xludf.DUMMYFUNCTION("""COMPUTED_VALUE"""),1)</f>
        <v>1</v>
      </c>
      <c r="S29" s="30" t="str">
        <f ca="1">IFERROR(__xludf.DUMMYFUNCTION("""COMPUTED_VALUE"""),"Literatura")</f>
        <v>Literatura</v>
      </c>
      <c r="T29" s="30" t="str">
        <f ca="1">IFERROR(__xludf.DUMMYFUNCTION("""COMPUTED_VALUE"""),"Fomento a la lectura")</f>
        <v>Fomento a la lectura</v>
      </c>
      <c r="U29" s="30" t="str">
        <f ca="1">IFERROR(__xludf.DUMMYFUNCTION("""COMPUTED_VALUE"""),"Feria del libro")</f>
        <v>Feria del libro</v>
      </c>
      <c r="V29" s="30" t="str">
        <f ca="1">IFERROR(__xludf.DUMMYFUNCTION("""COMPUTED_VALUE"""),"Ninguna")</f>
        <v>Ninguna</v>
      </c>
      <c r="W29" s="30" t="str">
        <f ca="1">IFERROR(__xludf.DUMMYFUNCTION("""COMPUTED_VALUE"""),"Presencial")</f>
        <v>Presencial</v>
      </c>
      <c r="X29" s="30" t="str">
        <f ca="1">IFERROR(__xludf.DUMMYFUNCTION("""COMPUTED_VALUE"""),"Espacio a Cargo de la Secretaría")</f>
        <v>Espacio a Cargo de la Secretaría</v>
      </c>
      <c r="Y29" s="30" t="str">
        <f ca="1">IFERROR(__xludf.DUMMYFUNCTION("""COMPUTED_VALUE"""),"8")</f>
        <v>8</v>
      </c>
      <c r="Z29" s="30"/>
      <c r="AA29" s="30"/>
      <c r="AB29" s="30" t="b">
        <f ca="1">IFERROR(__xludf.DUMMYFUNCTION("""COMPUTED_VALUE"""),FALSE)</f>
        <v>0</v>
      </c>
      <c r="AC29" s="30"/>
      <c r="AD29" s="30" t="b">
        <f ca="1">IFERROR(__xludf.DUMMYFUNCTION("""COMPUTED_VALUE"""),FALSE)</f>
        <v>0</v>
      </c>
      <c r="AE29" s="30"/>
      <c r="AF29" s="30" t="b">
        <f ca="1">IFERROR(__xludf.DUMMYFUNCTION("""COMPUTED_VALUE"""),FALSE)</f>
        <v>0</v>
      </c>
      <c r="AG29" s="30"/>
      <c r="AH29" s="30" t="str">
        <f ca="1">IFERROR(__xludf.DUMMYFUNCTION("""COMPUTED_VALUE"""),"Sin costo")</f>
        <v>Sin costo</v>
      </c>
      <c r="AI29" s="30"/>
      <c r="AJ29" s="30"/>
      <c r="AK29" s="30"/>
      <c r="AL29" s="30" t="str">
        <f ca="1">IFERROR(__xludf.DUMMYFUNCTION("""COMPUTED_VALUE"""),"ccardonav@guanajuato.gob.mx")</f>
        <v>ccardonav@guanajuato.gob.mx</v>
      </c>
      <c r="AM29" s="30" t="str">
        <f ca="1">IFERROR(__xludf.DUMMYFUNCTION("""COMPUTED_VALUE"""),"Leer para crecer.")</f>
        <v>Leer para crecer.</v>
      </c>
      <c r="AN29" s="30" t="str">
        <f ca="1">IFERROR(__xludf.DUMMYFUNCTION("""COMPUTED_VALUE"""),"4 Vocación")</f>
        <v>4 Vocación</v>
      </c>
      <c r="AO29" s="30" t="str">
        <f ca="1">IFERROR(__xludf.DUMMYFUNCTION("""COMPUTED_VALUE"""),"4.4 Reforzar competencias lectoras y lógico matemáticas")</f>
        <v>4.4 Reforzar competencias lectoras y lógico matemáticas</v>
      </c>
      <c r="AP29" s="30" t="str">
        <f ca="1">IFERROR(__xludf.DUMMYFUNCTION("""COMPUTED_VALUE"""),"4.4.2 Competencias lectoras")</f>
        <v>4.4.2 Competencias lectoras</v>
      </c>
      <c r="AQ29" s="30" t="str">
        <f ca="1">IFERROR(__xludf.DUMMYFUNCTION("""COMPUTED_VALUE"""),"4.4.2 Fomentar el hábito lector")</f>
        <v>4.4.2 Fomentar el hábito lector</v>
      </c>
      <c r="AR29" s="30" t="str">
        <f ca="1">IFERROR(__xludf.DUMMYFUNCTION("""COMPUTED_VALUE"""),"Cooperación")</f>
        <v>Cooperación</v>
      </c>
      <c r="AS29" s="30"/>
      <c r="AT29" s="30" t="str">
        <f ca="1">IFERROR(__xludf.DUMMYFUNCTION("""COMPUTED_VALUE"""),"Fortalecimiento de la participación ciudadana y la mediación cultural")</f>
        <v>Fortalecimiento de la participación ciudadana y la mediación cultural</v>
      </c>
      <c r="AU29" s="30" t="str">
        <f ca="1">IFERROR(__xludf.DUMMYFUNCTION("""COMPUTED_VALUE"""),"Fortalecimiento del diálogo, la mediación y las capacidades de las redes comunitarias.")</f>
        <v>Fortalecimiento del diálogo, la mediación y las capacidades de las redes comunitarias.</v>
      </c>
      <c r="AV29" s="30" t="str">
        <f ca="1">IFERROR(__xludf.DUMMYFUNCTION("""COMPUTED_VALUE"""),"Diseñar e impartir talleres de formación en derechos culturales")</f>
        <v>Diseñar e impartir talleres de formación en derechos culturales</v>
      </c>
      <c r="AW29" s="30" t="str">
        <f ca="1">IFERROR(__xludf.DUMMYFUNCTION("""COMPUTED_VALUE"""),"Incrementar en 25% la oferta cultural realizada en los municipios.")</f>
        <v>Incrementar en 25% la oferta cultural realizada en los municipios.</v>
      </c>
      <c r="AX29" s="30" t="str">
        <f ca="1">IFERROR(__xludf.DUMMYFUNCTION("""COMPUTED_VALUE"""),"Feria del libro")</f>
        <v>Feria del libro</v>
      </c>
      <c r="AY29" s="30" t="str">
        <f ca="1">IFERROR(__xludf.DUMMYFUNCTION("""COMPUTED_VALUE"""),"Formación")</f>
        <v>Formación</v>
      </c>
      <c r="AZ29" s="30"/>
      <c r="BA29" s="30"/>
      <c r="BB29" s="30"/>
      <c r="BC29" s="30">
        <f ca="1">IFERROR(__xludf.DUMMYFUNCTION("""COMPUTED_VALUE"""),0)</f>
        <v>0</v>
      </c>
      <c r="BD29" s="30"/>
      <c r="BE29" s="30"/>
      <c r="BF29" s="30" t="b">
        <f ca="1">IFERROR(__xludf.DUMMYFUNCTION("""COMPUTED_VALUE"""),FALSE)</f>
        <v>0</v>
      </c>
      <c r="BG29" s="30"/>
      <c r="BH29" s="30"/>
      <c r="BI29" s="30"/>
      <c r="BJ29" s="30"/>
      <c r="BK29" s="30"/>
      <c r="BL29" s="30" t="str">
        <f ca="1">IFERROR(__xludf.DUMMYFUNCTION("""COMPUTED_VALUE"""),"N/A")</f>
        <v>N/A</v>
      </c>
      <c r="BM29" s="30" t="str">
        <f ca="1">IFERROR(__xludf.DUMMYFUNCTION("""COMPUTED_VALUE"""),"Sí")</f>
        <v>Sí</v>
      </c>
      <c r="BN29" s="30"/>
      <c r="BO29" s="30" t="str">
        <f ca="1">IFERROR(__xludf.DUMMYFUNCTION("""COMPUTED_VALUE"""),"9d52d8b6")</f>
        <v>9d52d8b6</v>
      </c>
      <c r="BP29" s="29" t="str">
        <f ca="1">IFERROR(__xludf.DUMMYFUNCTION("""COMPUTED_VALUE"""),"León")</f>
        <v>León</v>
      </c>
      <c r="BQ29" s="30" t="str">
        <f ca="1">IFERROR(__xludf.DUMMYFUNCTION("""COMPUTED_VALUE"""),"Urbano")</f>
        <v>Urbano</v>
      </c>
      <c r="BR29" s="30"/>
      <c r="BS29" s="30"/>
      <c r="BT29" s="30" t="str">
        <f ca="1">IFERROR(__xludf.DUMMYFUNCTION("""COMPUTED_VALUE"""),"La Martinica")</f>
        <v>La Martinica</v>
      </c>
      <c r="BU29" s="30" t="str">
        <f ca="1">IFERROR(__xludf.DUMMYFUNCTION("""COMPUTED_VALUE"""),"No")</f>
        <v>No</v>
      </c>
      <c r="BV29" s="30" t="str">
        <f ca="1">IFERROR(__xludf.DUMMYFUNCTION("""COMPUTED_VALUE"""),"No")</f>
        <v>No</v>
      </c>
      <c r="BW29" s="30">
        <f ca="1">IFERROR(__xludf.DUMMYFUNCTION("""COMPUTED_VALUE"""),44)</f>
        <v>44</v>
      </c>
      <c r="BX29" s="30">
        <f ca="1">IFERROR(__xludf.DUMMYFUNCTION("""COMPUTED_VALUE"""),1)</f>
        <v>1</v>
      </c>
      <c r="BY29" s="30">
        <f ca="1">IFERROR(__xludf.DUMMYFUNCTION("""COMPUTED_VALUE"""),43)</f>
        <v>43</v>
      </c>
      <c r="BZ29" s="30" t="str">
        <f ca="1">IFERROR(__xludf.DUMMYFUNCTION("""COMPUTED_VALUE"""),"La Martinica")</f>
        <v>La Martinica</v>
      </c>
      <c r="CA29" s="30" t="str">
        <f ca="1">IFERROR(__xludf.DUMMYFUNCTION("""COMPUTED_VALUE"""),"No")</f>
        <v>No</v>
      </c>
      <c r="CB29" s="30" t="str">
        <f ca="1">IFERROR(__xludf.DUMMYFUNCTION("""COMPUTED_VALUE"""),"No")</f>
        <v>No</v>
      </c>
      <c r="CC29" s="30" t="str">
        <f ca="1">IFERROR(__xludf.DUMMYFUNCTION("""COMPUTED_VALUE"""),"fa776899")</f>
        <v>fa776899</v>
      </c>
      <c r="CD29" s="29" t="str">
        <f ca="1">IFERROR(__xludf.DUMMYFUNCTION("""COMPUTED_VALUE"""),"Adultos (30 a 59 años)")</f>
        <v>Adultos (30 a 59 años)</v>
      </c>
      <c r="CE29" s="30" t="str">
        <f ca="1">IFERROR(__xludf.DUMMYFUNCTION("""COMPUTED_VALUE"""),"Dato global")</f>
        <v>Dato global</v>
      </c>
      <c r="CF29" s="30" t="str">
        <f ca="1">IFERROR(__xludf.DUMMYFUNCTION("""COMPUTED_VALUE"""),"Ninguno (Población General)")</f>
        <v>Ninguno (Población General)</v>
      </c>
      <c r="CG29" s="30">
        <f ca="1">IFERROR(__xludf.DUMMYFUNCTION("""COMPUTED_VALUE"""),7)</f>
        <v>7</v>
      </c>
      <c r="CI29" s="30" t="str">
        <f ca="1">IFERROR(__xludf.DUMMYFUNCTION("""COMPUTED_VALUE"""),"3b232338")</f>
        <v>3b232338</v>
      </c>
      <c r="CJ29" s="29" t="str">
        <f ca="1">IFERROR(__xludf.DUMMYFUNCTION("""COMPUTED_VALUE"""),"Regitro_Evidencia_Images/3b232338.Archivo_Evidencia.203856.jpg")</f>
        <v>Regitro_Evidencia_Images/3b232338.Archivo_Evidencia.203856.jpg</v>
      </c>
      <c r="CK29" s="30" t="str">
        <f ca="1">IFERROR(__xludf.DUMMYFUNCTION("""COMPUTED_VALUE"""),"Foto")</f>
        <v>Foto</v>
      </c>
      <c r="CL29" s="30"/>
      <c r="CM29" s="30" t="str">
        <f ca="1">IFERROR(__xludf.DUMMYFUNCTION("""COMPUTED_VALUE"""),"Guanajuato")</f>
        <v>Guanajuato</v>
      </c>
      <c r="CN29" s="32" t="e">
        <f ca="1"/>
        <v>#NAME?</v>
      </c>
      <c r="CO29" s="32" t="e">
        <f ca="1"/>
        <v>#NAME?</v>
      </c>
      <c r="CP29" s="32" t="e">
        <f ca="1"/>
        <v>#NAME?</v>
      </c>
      <c r="CQ29" s="30" t="e">
        <f ca="1"/>
        <v>#NAME?</v>
      </c>
      <c r="CR29" s="30" t="e">
        <f ca="1"/>
        <v>#NAME?</v>
      </c>
      <c r="CS29" s="30" t="str">
        <f ca="1">IFERROR(__xludf.DUMMYFUNCTION("""COMPUTED_VALUE"""),"Ninguno (Población General)")</f>
        <v>Ninguno (Población General)</v>
      </c>
      <c r="CU29" s="32"/>
      <c r="CV29" s="32"/>
      <c r="CW29" s="32"/>
    </row>
    <row r="30" spans="1:101" ht="15.5">
      <c r="A30" s="29" t="str">
        <f ca="1">IFERROR(__xludf.DUMMYFUNCTION("""COMPUTED_VALUE"""),"ACT00029")</f>
        <v>ACT00029</v>
      </c>
      <c r="B30" s="30" t="str">
        <f ca="1">IFERROR(__xludf.DUMMYFUNCTION("""COMPUTED_VALUE"""),"SC-260615-143913")</f>
        <v>SC-260615-143913</v>
      </c>
      <c r="C30" s="62">
        <f ca="1">IFERROR(__xludf.DUMMYFUNCTION("""COMPUTED_VALUE"""),46188.6105671296)</f>
        <v>46188.610567129603</v>
      </c>
      <c r="D30" s="30">
        <f ca="1">IFERROR(__xludf.DUMMYFUNCTION("""COMPUTED_VALUE"""),92)</f>
        <v>92</v>
      </c>
      <c r="E30" s="30" t="str">
        <f ca="1">IFERROR(__xludf.DUMMYFUNCTION("""COMPUTED_VALUE"""),"PB3572")</f>
        <v>PB3572</v>
      </c>
      <c r="F3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 s="30" t="str">
        <f ca="1">IFERROR(__xludf.DUMMYFUNCTION("""COMPUTED_VALUE"""),"SUBSECRETARÍA DE DESARROLLO Y PROMOCIÓN ARTÍSTICA Y CULTURAL")</f>
        <v>SUBSECRETARÍA DE DESARROLLO Y PROMOCIÓN ARTÍSTICA Y CULTURAL</v>
      </c>
      <c r="I30" s="34" t="str">
        <f ca="1">IFERROR(__xludf.DUMMYFUNCTION("""COMPUTED_VALUE"""),"DIRECCIÓN GENERAL DE MUSEOS, ARTES VISUALES Y EXPOSICIONES")</f>
        <v>DIRECCIÓN GENERAL DE MUSEOS, ARTES VISUALES Y EXPOSICIONES</v>
      </c>
      <c r="J30" s="30" t="str">
        <f ca="1">IFERROR(__xludf.DUMMYFUNCTION("""COMPUTED_VALUE"""),"Número de Actividades realizadas")</f>
        <v>Número de Actividades realizadas</v>
      </c>
      <c r="K30" s="30">
        <f ca="1">IFERROR(__xludf.DUMMYFUNCTION("""COMPUTED_VALUE"""),800)</f>
        <v>800</v>
      </c>
      <c r="L30" s="30" t="str">
        <f ca="1">IFERROR(__xludf.DUMMYFUNCTION("""COMPUTED_VALUE"""),"Cultural")</f>
        <v>Cultural</v>
      </c>
      <c r="M30" s="30" t="str">
        <f ca="1">IFERROR(__xludf.DUMMYFUNCTION("""COMPUTED_VALUE"""),"Conferencia: Hipnosis y Estados Alterados de Consciencia. Presenta: Ramón Iturbide.""Bajo el signo de Saturno. Adivinación en el arte""")</f>
        <v>Conferencia: Hipnosis y Estados Alterados de Consciencia. Presenta: Ramón Iturbide."Bajo el signo de Saturno. Adivinación en el arte"</v>
      </c>
      <c r="N30" s="30" t="str">
        <f ca="1">IFERROR(__xludf.DUMMYFUNCTION("""COMPUTED_VALUE"""),"Descubre qué es la hipnosis y su relación con la conciencia a partir de su análisis desde la psicología.")</f>
        <v>Descubre qué es la hipnosis y su relación con la conciencia a partir de su análisis desde la psicología.</v>
      </c>
      <c r="O30" s="30" t="str">
        <f ca="1">IFERROR(__xludf.DUMMYFUNCTION("""COMPUTED_VALUE"""),"Única")</f>
        <v>Única</v>
      </c>
      <c r="P30" s="33">
        <f ca="1">IFERROR(__xludf.DUMMYFUNCTION("""COMPUTED_VALUE"""),46164)</f>
        <v>46164</v>
      </c>
      <c r="Q30" s="64">
        <f ca="1">IFERROR(__xludf.DUMMYFUNCTION("""COMPUTED_VALUE"""),46164)</f>
        <v>46164</v>
      </c>
      <c r="R30" s="30">
        <f ca="1">IFERROR(__xludf.DUMMYFUNCTION("""COMPUTED_VALUE"""),1)</f>
        <v>1</v>
      </c>
      <c r="S30" s="30" t="str">
        <f ca="1">IFERROR(__xludf.DUMMYFUNCTION("""COMPUTED_VALUE"""),"Artes visuales")</f>
        <v>Artes visuales</v>
      </c>
      <c r="T30" s="30" t="str">
        <f ca="1">IFERROR(__xludf.DUMMYFUNCTION("""COMPUTED_VALUE"""),"Performance visual")</f>
        <v>Performance visual</v>
      </c>
      <c r="U30" s="30" t="str">
        <f ca="1">IFERROR(__xludf.DUMMYFUNCTION("""COMPUTED_VALUE"""),"Conferencia")</f>
        <v>Conferencia</v>
      </c>
      <c r="V30" s="30" t="str">
        <f ca="1">IFERROR(__xludf.DUMMYFUNCTION("""COMPUTED_VALUE"""),"Ninguna")</f>
        <v>Ninguna</v>
      </c>
      <c r="W30" s="30" t="str">
        <f ca="1">IFERROR(__xludf.DUMMYFUNCTION("""COMPUTED_VALUE"""),"Presencial")</f>
        <v>Presencial</v>
      </c>
      <c r="X30" s="30" t="str">
        <f ca="1">IFERROR(__xludf.DUMMYFUNCTION("""COMPUTED_VALUE"""),"Espacio a Cargo de la Secretaría")</f>
        <v>Espacio a Cargo de la Secretaría</v>
      </c>
      <c r="Y30" s="30" t="str">
        <f ca="1">IFERROR(__xludf.DUMMYFUNCTION("""COMPUTED_VALUE"""),"8")</f>
        <v>8</v>
      </c>
      <c r="Z30" s="30"/>
      <c r="AA30" s="30"/>
      <c r="AB30" s="30" t="b">
        <f ca="1">IFERROR(__xludf.DUMMYFUNCTION("""COMPUTED_VALUE"""),FALSE)</f>
        <v>0</v>
      </c>
      <c r="AC30" s="30"/>
      <c r="AD30" s="30" t="b">
        <f ca="1">IFERROR(__xludf.DUMMYFUNCTION("""COMPUTED_VALUE"""),FALSE)</f>
        <v>0</v>
      </c>
      <c r="AE30" s="30"/>
      <c r="AF30" s="30" t="b">
        <f ca="1">IFERROR(__xludf.DUMMYFUNCTION("""COMPUTED_VALUE"""),FALSE)</f>
        <v>0</v>
      </c>
      <c r="AG30" s="30"/>
      <c r="AH30" s="30" t="str">
        <f ca="1">IFERROR(__xludf.DUMMYFUNCTION("""COMPUTED_VALUE"""),"Sin costo")</f>
        <v>Sin costo</v>
      </c>
      <c r="AI30" s="30"/>
      <c r="AJ30" s="30"/>
      <c r="AK30" s="30"/>
      <c r="AL30" s="30" t="str">
        <f ca="1">IFERROR(__xludf.DUMMYFUNCTION("""COMPUTED_VALUE"""),"ccardonav@guanajuato.gob.mx")</f>
        <v>ccardonav@guanajuato.gob.mx</v>
      </c>
      <c r="AM30" s="30" t="str">
        <f ca="1">IFERROR(__xludf.DUMMYFUNCTION("""COMPUTED_VALUE"""),"Creación de la Secretaría de Cultura, con una visión social de la política cultural.")</f>
        <v>Creación de la Secretaría de Cultura, con una visión social de la política cultural.</v>
      </c>
      <c r="AN30" s="30" t="str">
        <f ca="1">IFERROR(__xludf.DUMMYFUNCTION("""COMPUTED_VALUE"""),"4 Vocación")</f>
        <v>4 Vocación</v>
      </c>
      <c r="AO30" s="30" t="str">
        <f ca="1">IFERROR(__xludf.DUMMYFUNCTION("""COMPUTED_VALUE"""),"4.4 Reforzar competencias lectoras y lógico matemáticas")</f>
        <v>4.4 Reforzar competencias lectoras y lógico matemáticas</v>
      </c>
      <c r="AP30" s="30" t="str">
        <f ca="1">IFERROR(__xludf.DUMMYFUNCTION("""COMPUTED_VALUE"""),"4.4.1 Competencias y habilidades")</f>
        <v>4.4.1 Competencias y habilidades</v>
      </c>
      <c r="AQ30" s="30" t="str">
        <f ca="1">IFERROR(__xludf.DUMMYFUNCTION("""COMPUTED_VALUE"""),"4.4.1 Competencias y habilidades")</f>
        <v>4.4.1 Competencias y habilidades</v>
      </c>
      <c r="AR30" s="30" t="str">
        <f ca="1">IFERROR(__xludf.DUMMYFUNCTION("""COMPUTED_VALUE"""),"Cooperación")</f>
        <v>Cooperación</v>
      </c>
      <c r="AS30" s="30"/>
      <c r="AT30" s="30" t="str">
        <f ca="1">IFERROR(__xludf.DUMMYFUNCTION("""COMPUTED_VALUE"""),"Fomento a la creación y circulación cultural.")</f>
        <v>Fomento a la creación y circulación cultural.</v>
      </c>
      <c r="AU30" s="30" t="str">
        <f ca="1">IFERROR(__xludf.DUMMYFUNCTION("""COMPUTED_VALUE"""),"Incentivar la creación y producción artística y cultural de agentes locales.")</f>
        <v>Incentivar la creación y producción artística y cultural de agentes locales.</v>
      </c>
      <c r="AV30" s="30" t="str">
        <f ca="1">IFERROR(__xludf.DUMMYFUNCTION("""COMPUTED_VALUE"""),"Diseñar e implementar un sistema de reconocimiento público a las comunidades culturales.")</f>
        <v>Diseñar e implementar un sistema de reconocimiento público a las comunidades culturales.</v>
      </c>
      <c r="AW30" s="30" t="str">
        <f ca="1">IFERROR(__xludf.DUMMYFUNCTION("""COMPUTED_VALUE"""),"Incrementar nuevas producciones, obras y proyectos culturales en un 15% anual.")</f>
        <v>Incrementar nuevas producciones, obras y proyectos culturales en un 15% anual.</v>
      </c>
      <c r="AX30" s="30" t="str">
        <f ca="1">IFERROR(__xludf.DUMMYFUNCTION("""COMPUTED_VALUE"""),"Conferencia")</f>
        <v>Conferencia</v>
      </c>
      <c r="AY30" s="30" t="str">
        <f ca="1">IFERROR(__xludf.DUMMYFUNCTION("""COMPUTED_VALUE"""),"Formación")</f>
        <v>Formación</v>
      </c>
      <c r="AZ30" s="30"/>
      <c r="BA30" s="30"/>
      <c r="BB30" s="30"/>
      <c r="BC30" s="30">
        <f ca="1">IFERROR(__xludf.DUMMYFUNCTION("""COMPUTED_VALUE"""),0)</f>
        <v>0</v>
      </c>
      <c r="BD30" s="30"/>
      <c r="BE30" s="30"/>
      <c r="BF30" s="30" t="b">
        <f ca="1">IFERROR(__xludf.DUMMYFUNCTION("""COMPUTED_VALUE"""),FALSE)</f>
        <v>0</v>
      </c>
      <c r="BG30" s="30"/>
      <c r="BH30" s="30"/>
      <c r="BI30" s="30"/>
      <c r="BJ30" s="30"/>
      <c r="BK30" s="30"/>
      <c r="BL30" s="30" t="str">
        <f ca="1">IFERROR(__xludf.DUMMYFUNCTION("""COMPUTED_VALUE"""),"N/A")</f>
        <v>N/A</v>
      </c>
      <c r="BM30" s="30" t="str">
        <f ca="1">IFERROR(__xludf.DUMMYFUNCTION("""COMPUTED_VALUE"""),"Sí")</f>
        <v>Sí</v>
      </c>
      <c r="BN30" s="30"/>
      <c r="BO30" s="30" t="str">
        <f ca="1">IFERROR(__xludf.DUMMYFUNCTION("""COMPUTED_VALUE"""),"45d69317")</f>
        <v>45d69317</v>
      </c>
      <c r="BP30" s="29" t="str">
        <f ca="1">IFERROR(__xludf.DUMMYFUNCTION("""COMPUTED_VALUE"""),"León")</f>
        <v>León</v>
      </c>
      <c r="BQ30" s="30" t="str">
        <f ca="1">IFERROR(__xludf.DUMMYFUNCTION("""COMPUTED_VALUE"""),"Urbano")</f>
        <v>Urbano</v>
      </c>
      <c r="BR30" s="30"/>
      <c r="BS30" s="30"/>
      <c r="BT30" s="30" t="str">
        <f ca="1">IFERROR(__xludf.DUMMYFUNCTION("""COMPUTED_VALUE"""),"La Martinica")</f>
        <v>La Martinica</v>
      </c>
      <c r="BU30" s="30" t="str">
        <f ca="1">IFERROR(__xludf.DUMMYFUNCTION("""COMPUTED_VALUE"""),"No")</f>
        <v>No</v>
      </c>
      <c r="BV30" s="30" t="str">
        <f ca="1">IFERROR(__xludf.DUMMYFUNCTION("""COMPUTED_VALUE"""),"No")</f>
        <v>No</v>
      </c>
      <c r="BW30" s="30">
        <f ca="1">IFERROR(__xludf.DUMMYFUNCTION("""COMPUTED_VALUE"""),82)</f>
        <v>82</v>
      </c>
      <c r="BX30" s="30">
        <f ca="1">IFERROR(__xludf.DUMMYFUNCTION("""COMPUTED_VALUE"""),1)</f>
        <v>1</v>
      </c>
      <c r="BY30" s="30">
        <f ca="1">IFERROR(__xludf.DUMMYFUNCTION("""COMPUTED_VALUE"""),81)</f>
        <v>81</v>
      </c>
      <c r="BZ30" s="30" t="str">
        <f ca="1">IFERROR(__xludf.DUMMYFUNCTION("""COMPUTED_VALUE"""),"La Martinica")</f>
        <v>La Martinica</v>
      </c>
      <c r="CA30" s="30" t="str">
        <f ca="1">IFERROR(__xludf.DUMMYFUNCTION("""COMPUTED_VALUE"""),"No")</f>
        <v>No</v>
      </c>
      <c r="CB30" s="30" t="str">
        <f ca="1">IFERROR(__xludf.DUMMYFUNCTION("""COMPUTED_VALUE"""),"No")</f>
        <v>No</v>
      </c>
      <c r="CC30" s="30" t="str">
        <f ca="1">IFERROR(__xludf.DUMMYFUNCTION("""COMPUTED_VALUE"""),"8022319b")</f>
        <v>8022319b</v>
      </c>
      <c r="CD30" s="29" t="str">
        <f ca="1">IFERROR(__xludf.DUMMYFUNCTION("""COMPUTED_VALUE"""),"Adolescentes (13 a 17 años)")</f>
        <v>Adolescentes (13 a 17 años)</v>
      </c>
      <c r="CE30" s="30" t="str">
        <f ca="1">IFERROR(__xludf.DUMMYFUNCTION("""COMPUTED_VALUE"""),"Dato global")</f>
        <v>Dato global</v>
      </c>
      <c r="CF30" s="30" t="str">
        <f ca="1">IFERROR(__xludf.DUMMYFUNCTION("""COMPUTED_VALUE"""),"Ninguno (Población General)")</f>
        <v>Ninguno (Población General)</v>
      </c>
      <c r="CG30" s="30">
        <f ca="1">IFERROR(__xludf.DUMMYFUNCTION("""COMPUTED_VALUE"""),119)</f>
        <v>119</v>
      </c>
      <c r="CI30" s="30" t="str">
        <f ca="1">IFERROR(__xludf.DUMMYFUNCTION("""COMPUTED_VALUE"""),"d00823e1")</f>
        <v>d00823e1</v>
      </c>
      <c r="CJ30" s="29" t="str">
        <f ca="1">IFERROR(__xludf.DUMMYFUNCTION("""COMPUTED_VALUE"""),"Regitro_Evidencia_Images/d00823e1.Archivo_Evidencia.204415.jpg")</f>
        <v>Regitro_Evidencia_Images/d00823e1.Archivo_Evidencia.204415.jpg</v>
      </c>
      <c r="CK30" s="30" t="str">
        <f ca="1">IFERROR(__xludf.DUMMYFUNCTION("""COMPUTED_VALUE"""),"Foto")</f>
        <v>Foto</v>
      </c>
      <c r="CL30" s="30"/>
      <c r="CM30" s="30" t="str">
        <f ca="1">IFERROR(__xludf.DUMMYFUNCTION("""COMPUTED_VALUE"""),"Guanajuato")</f>
        <v>Guanajuato</v>
      </c>
      <c r="CN30" s="32" t="e">
        <f ca="1"/>
        <v>#NAME?</v>
      </c>
      <c r="CO30" s="32" t="e">
        <f ca="1"/>
        <v>#NAME?</v>
      </c>
      <c r="CP30" s="32" t="e">
        <f ca="1"/>
        <v>#NAME?</v>
      </c>
      <c r="CQ30" s="30" t="e">
        <f ca="1"/>
        <v>#NAME?</v>
      </c>
      <c r="CR30" s="30" t="e">
        <f ca="1"/>
        <v>#NAME?</v>
      </c>
      <c r="CS30" s="30" t="str">
        <f ca="1">IFERROR(__xludf.DUMMYFUNCTION("""COMPUTED_VALUE"""),"Ninguno (Población General)")</f>
        <v>Ninguno (Población General)</v>
      </c>
      <c r="CU30" s="32"/>
      <c r="CV30" s="32"/>
      <c r="CW30" s="32"/>
    </row>
    <row r="31" spans="1:101" ht="15.5">
      <c r="A31" s="29" t="str">
        <f ca="1">IFERROR(__xludf.DUMMYFUNCTION("""COMPUTED_VALUE"""),"ACT00030")</f>
        <v>ACT00030</v>
      </c>
      <c r="B31" s="30" t="str">
        <f ca="1">IFERROR(__xludf.DUMMYFUNCTION("""COMPUTED_VALUE"""),"SC-260615-144427")</f>
        <v>SC-260615-144427</v>
      </c>
      <c r="C31" s="62">
        <f ca="1">IFERROR(__xludf.DUMMYFUNCTION("""COMPUTED_VALUE"""),46188.6142013888)</f>
        <v>46188.614201388802</v>
      </c>
      <c r="D31" s="30">
        <f ca="1">IFERROR(__xludf.DUMMYFUNCTION("""COMPUTED_VALUE"""),92)</f>
        <v>92</v>
      </c>
      <c r="E31" s="30" t="str">
        <f ca="1">IFERROR(__xludf.DUMMYFUNCTION("""COMPUTED_VALUE"""),"PB3572")</f>
        <v>PB3572</v>
      </c>
      <c r="F3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 s="30" t="str">
        <f ca="1">IFERROR(__xludf.DUMMYFUNCTION("""COMPUTED_VALUE"""),"SUBSECRETARÍA DE DESARROLLO Y PROMOCIÓN ARTÍSTICA Y CULTURAL")</f>
        <v>SUBSECRETARÍA DE DESARROLLO Y PROMOCIÓN ARTÍSTICA Y CULTURAL</v>
      </c>
      <c r="I31" s="34" t="str">
        <f ca="1">IFERROR(__xludf.DUMMYFUNCTION("""COMPUTED_VALUE"""),"DIRECCIÓN GENERAL DE MUSEOS, ARTES VISUALES Y EXPOSICIONES")</f>
        <v>DIRECCIÓN GENERAL DE MUSEOS, ARTES VISUALES Y EXPOSICIONES</v>
      </c>
      <c r="J31" s="30" t="str">
        <f ca="1">IFERROR(__xludf.DUMMYFUNCTION("""COMPUTED_VALUE"""),"Número de Actividades realizadas")</f>
        <v>Número de Actividades realizadas</v>
      </c>
      <c r="K31" s="30">
        <f ca="1">IFERROR(__xludf.DUMMYFUNCTION("""COMPUTED_VALUE"""),800)</f>
        <v>800</v>
      </c>
      <c r="L31" s="30" t="str">
        <f ca="1">IFERROR(__xludf.DUMMYFUNCTION("""COMPUTED_VALUE"""),"Cultural")</f>
        <v>Cultural</v>
      </c>
      <c r="M31" s="30" t="str">
        <f ca="1">IFERROR(__xludf.DUMMYFUNCTION("""COMPUTED_VALUE"""),"Conferencia: Tarot como camino del autoconocimiento. Presenta: Alejandra del Castillo Negrete. ""Bajo el signo de Saturno. Adivinación en el arte""")</f>
        <v>Conferencia: Tarot como camino del autoconocimiento. Presenta: Alejandra del Castillo Negrete. "Bajo el signo de Saturno. Adivinación en el arte"</v>
      </c>
      <c r="N31" s="30" t="str">
        <f ca="1">IFERROR(__xludf.DUMMYFUNCTION("""COMPUTED_VALUE"""),"Charla en la que nos introduciremos en el mundo del tarot como una posible herramienta del análisis del comportamiento humano.")</f>
        <v>Charla en la que nos introduciremos en el mundo del tarot como una posible herramienta del análisis del comportamiento humano.</v>
      </c>
      <c r="O31" s="30" t="str">
        <f ca="1">IFERROR(__xludf.DUMMYFUNCTION("""COMPUTED_VALUE"""),"Única")</f>
        <v>Única</v>
      </c>
      <c r="P31" s="33">
        <f ca="1">IFERROR(__xludf.DUMMYFUNCTION("""COMPUTED_VALUE"""),46165)</f>
        <v>46165</v>
      </c>
      <c r="Q31" s="64">
        <f ca="1">IFERROR(__xludf.DUMMYFUNCTION("""COMPUTED_VALUE"""),46165)</f>
        <v>46165</v>
      </c>
      <c r="R31" s="30">
        <f ca="1">IFERROR(__xludf.DUMMYFUNCTION("""COMPUTED_VALUE"""),1)</f>
        <v>1</v>
      </c>
      <c r="S31" s="30" t="str">
        <f ca="1">IFERROR(__xludf.DUMMYFUNCTION("""COMPUTED_VALUE"""),"Literatura")</f>
        <v>Literatura</v>
      </c>
      <c r="T31" s="30" t="str">
        <f ca="1">IFERROR(__xludf.DUMMYFUNCTION("""COMPUTED_VALUE"""),"Narrativa")</f>
        <v>Narrativa</v>
      </c>
      <c r="U31" s="30" t="str">
        <f ca="1">IFERROR(__xludf.DUMMYFUNCTION("""COMPUTED_VALUE"""),"Conferencia")</f>
        <v>Conferencia</v>
      </c>
      <c r="V31" s="30" t="str">
        <f ca="1">IFERROR(__xludf.DUMMYFUNCTION("""COMPUTED_VALUE"""),"Ninguna")</f>
        <v>Ninguna</v>
      </c>
      <c r="W31" s="30" t="str">
        <f ca="1">IFERROR(__xludf.DUMMYFUNCTION("""COMPUTED_VALUE"""),"Presencial")</f>
        <v>Presencial</v>
      </c>
      <c r="X31" s="30" t="str">
        <f ca="1">IFERROR(__xludf.DUMMYFUNCTION("""COMPUTED_VALUE"""),"Espacio a Cargo de la Secretaría")</f>
        <v>Espacio a Cargo de la Secretaría</v>
      </c>
      <c r="Y31" s="30" t="str">
        <f ca="1">IFERROR(__xludf.DUMMYFUNCTION("""COMPUTED_VALUE"""),"8")</f>
        <v>8</v>
      </c>
      <c r="Z31" s="30"/>
      <c r="AA31" s="30"/>
      <c r="AB31" s="30" t="b">
        <f ca="1">IFERROR(__xludf.DUMMYFUNCTION("""COMPUTED_VALUE"""),FALSE)</f>
        <v>0</v>
      </c>
      <c r="AC31" s="30"/>
      <c r="AD31" s="30" t="b">
        <f ca="1">IFERROR(__xludf.DUMMYFUNCTION("""COMPUTED_VALUE"""),FALSE)</f>
        <v>0</v>
      </c>
      <c r="AE31" s="30"/>
      <c r="AF31" s="30" t="b">
        <f ca="1">IFERROR(__xludf.DUMMYFUNCTION("""COMPUTED_VALUE"""),FALSE)</f>
        <v>0</v>
      </c>
      <c r="AG31" s="30"/>
      <c r="AH31" s="30" t="str">
        <f ca="1">IFERROR(__xludf.DUMMYFUNCTION("""COMPUTED_VALUE"""),"Sin costo")</f>
        <v>Sin costo</v>
      </c>
      <c r="AI31" s="30"/>
      <c r="AJ31" s="30"/>
      <c r="AK31" s="30"/>
      <c r="AL31" s="30" t="str">
        <f ca="1">IFERROR(__xludf.DUMMYFUNCTION("""COMPUTED_VALUE"""),"ccardonav@guanajuato.gob.mx")</f>
        <v>ccardonav@guanajuato.gob.mx</v>
      </c>
      <c r="AM31"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31" s="30" t="str">
        <f ca="1">IFERROR(__xludf.DUMMYFUNCTION("""COMPUTED_VALUE"""),"5 Prosperidad")</f>
        <v>5 Prosperidad</v>
      </c>
      <c r="AO31" s="30" t="str">
        <f ca="1">IFERROR(__xludf.DUMMYFUNCTION("""COMPUTED_VALUE"""),"5.4 Fortalecer presencia turística")</f>
        <v>5.4 Fortalecer presencia turística</v>
      </c>
      <c r="AP31" s="30" t="str">
        <f ca="1">IFERROR(__xludf.DUMMYFUNCTION("""COMPUTED_VALUE"""),"5.4 Fortalecer presencia turística")</f>
        <v>5.4 Fortalecer presencia turística</v>
      </c>
      <c r="AQ31" s="30" t="str">
        <f ca="1">IFERROR(__xludf.DUMMYFUNCTION("""COMPUTED_VALUE"""),"5.4 Fortalecer presencia turística")</f>
        <v>5.4 Fortalecer presencia turística</v>
      </c>
      <c r="AR31" s="30" t="str">
        <f ca="1">IFERROR(__xludf.DUMMYFUNCTION("""COMPUTED_VALUE"""),"Cooperación")</f>
        <v>Cooperación</v>
      </c>
      <c r="AS31" s="30"/>
      <c r="AT31" s="30" t="str">
        <f ca="1">IFERROR(__xludf.DUMMYFUNCTION("""COMPUTED_VALUE"""),"Sostenibilidad del trabajo cultural y la economía creativa.")</f>
        <v>Sostenibilidad del trabajo cultural y la economía creativa.</v>
      </c>
      <c r="AU31"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31" s="30" t="str">
        <f ca="1">IFERROR(__xludf.DUMMYFUNCTION("""COMPUTED_VALUE"""),"Diseñar programas de formación y gestión cultural de base comunitaria.")</f>
        <v>Diseñar programas de formación y gestión cultural de base comunitaria.</v>
      </c>
      <c r="AW31"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31" s="30" t="str">
        <f ca="1">IFERROR(__xludf.DUMMYFUNCTION("""COMPUTED_VALUE"""),"Conferencia")</f>
        <v>Conferencia</v>
      </c>
      <c r="AY31" s="30" t="str">
        <f ca="1">IFERROR(__xludf.DUMMYFUNCTION("""COMPUTED_VALUE"""),"Formación")</f>
        <v>Formación</v>
      </c>
      <c r="AZ31" s="30" t="str">
        <f ca="1">IFERROR(__xludf.DUMMYFUNCTION("""COMPUTED_VALUE"""),"Formación")</f>
        <v>Formación</v>
      </c>
      <c r="BA31" s="30"/>
      <c r="BB31" s="30"/>
      <c r="BC31" s="30">
        <f ca="1">IFERROR(__xludf.DUMMYFUNCTION("""COMPUTED_VALUE"""),0)</f>
        <v>0</v>
      </c>
      <c r="BD31" s="30"/>
      <c r="BE31" s="30"/>
      <c r="BF31" s="30" t="b">
        <f ca="1">IFERROR(__xludf.DUMMYFUNCTION("""COMPUTED_VALUE"""),FALSE)</f>
        <v>0</v>
      </c>
      <c r="BG31" s="30"/>
      <c r="BH31" s="30"/>
      <c r="BI31" s="30"/>
      <c r="BJ31" s="30"/>
      <c r="BK31" s="30"/>
      <c r="BL31" s="30" t="str">
        <f ca="1">IFERROR(__xludf.DUMMYFUNCTION("""COMPUTED_VALUE"""),"N/A")</f>
        <v>N/A</v>
      </c>
      <c r="BM31" s="30" t="str">
        <f ca="1">IFERROR(__xludf.DUMMYFUNCTION("""COMPUTED_VALUE"""),"Sí")</f>
        <v>Sí</v>
      </c>
      <c r="BN31" s="30"/>
      <c r="BO31" s="30" t="str">
        <f ca="1">IFERROR(__xludf.DUMMYFUNCTION("""COMPUTED_VALUE"""),"4c11174b")</f>
        <v>4c11174b</v>
      </c>
      <c r="BP31" s="29" t="str">
        <f ca="1">IFERROR(__xludf.DUMMYFUNCTION("""COMPUTED_VALUE"""),"Guanajuato")</f>
        <v>Guanajuato</v>
      </c>
      <c r="BQ31" s="30" t="str">
        <f ca="1">IFERROR(__xludf.DUMMYFUNCTION("""COMPUTED_VALUE"""),"Urbano")</f>
        <v>Urbano</v>
      </c>
      <c r="BR31" s="30">
        <f ca="1">IFERROR(__xludf.DUMMYFUNCTION("""COMPUTED_VALUE"""),49)</f>
        <v>49</v>
      </c>
      <c r="BS31" s="30" t="str">
        <f ca="1">IFERROR(__xludf.DUMMYFUNCTION("""COMPUTED_VALUE"""),"Guanajuato")</f>
        <v>Guanajuato</v>
      </c>
      <c r="BT31" s="30"/>
      <c r="BU31" s="30" t="str">
        <f ca="1">IFERROR(__xludf.DUMMYFUNCTION("""COMPUTED_VALUE"""),"Si")</f>
        <v>Si</v>
      </c>
      <c r="BV31" s="30" t="str">
        <f ca="1">IFERROR(__xludf.DUMMYFUNCTION("""COMPUTED_VALUE"""),"Si")</f>
        <v>Si</v>
      </c>
      <c r="BW31" s="30">
        <f ca="1">IFERROR(__xludf.DUMMYFUNCTION("""COMPUTED_VALUE"""),33)</f>
        <v>33</v>
      </c>
      <c r="BX31" s="30"/>
      <c r="BY31" s="30">
        <f ca="1">IFERROR(__xludf.DUMMYFUNCTION("""COMPUTED_VALUE"""),33)</f>
        <v>33</v>
      </c>
      <c r="BZ31" s="30" t="str">
        <f ca="1">IFERROR(__xludf.DUMMYFUNCTION("""COMPUTED_VALUE"""),"Guanajuato")</f>
        <v>Guanajuato</v>
      </c>
      <c r="CA31" s="30" t="str">
        <f ca="1">IFERROR(__xludf.DUMMYFUNCTION("""COMPUTED_VALUE"""),"No")</f>
        <v>No</v>
      </c>
      <c r="CB31" s="30" t="str">
        <f ca="1">IFERROR(__xludf.DUMMYFUNCTION("""COMPUTED_VALUE"""),"No")</f>
        <v>No</v>
      </c>
      <c r="CC31" s="30" t="str">
        <f ca="1">IFERROR(__xludf.DUMMYFUNCTION("""COMPUTED_VALUE"""),"f757ce63")</f>
        <v>f757ce63</v>
      </c>
      <c r="CD31" s="29" t="str">
        <f ca="1">IFERROR(__xludf.DUMMYFUNCTION("""COMPUTED_VALUE"""),"Adultos (30 a 59 años)")</f>
        <v>Adultos (30 a 59 años)</v>
      </c>
      <c r="CE31" s="30" t="str">
        <f ca="1">IFERROR(__xludf.DUMMYFUNCTION("""COMPUTED_VALUE"""),"Dato global")</f>
        <v>Dato global</v>
      </c>
      <c r="CF31" s="30" t="str">
        <f ca="1">IFERROR(__xludf.DUMMYFUNCTION("""COMPUTED_VALUE"""),"Ninguno (Población General)")</f>
        <v>Ninguno (Población General)</v>
      </c>
      <c r="CG31" s="30">
        <f ca="1">IFERROR(__xludf.DUMMYFUNCTION("""COMPUTED_VALUE"""),67)</f>
        <v>67</v>
      </c>
      <c r="CI31" s="30" t="str">
        <f ca="1">IFERROR(__xludf.DUMMYFUNCTION("""COMPUTED_VALUE"""),"5d682aa9")</f>
        <v>5d682aa9</v>
      </c>
      <c r="CJ31" s="29" t="str">
        <f ca="1">IFERROR(__xludf.DUMMYFUNCTION("""COMPUTED_VALUE"""),"Regitro_Evidencia_Images/5d682aa9.Archivo_Evidencia.204927.jpg")</f>
        <v>Regitro_Evidencia_Images/5d682aa9.Archivo_Evidencia.204927.jpg</v>
      </c>
      <c r="CK31" s="30" t="str">
        <f ca="1">IFERROR(__xludf.DUMMYFUNCTION("""COMPUTED_VALUE"""),"Foto")</f>
        <v>Foto</v>
      </c>
      <c r="CL31" s="30"/>
      <c r="CM31" s="30" t="str">
        <f ca="1">IFERROR(__xludf.DUMMYFUNCTION("""COMPUTED_VALUE"""),"Guanajuato")</f>
        <v>Guanajuato</v>
      </c>
      <c r="CN31" s="32" t="e">
        <f ca="1"/>
        <v>#NAME?</v>
      </c>
      <c r="CO31" s="32" t="e">
        <f ca="1"/>
        <v>#NAME?</v>
      </c>
      <c r="CP31" s="32" t="e">
        <f ca="1"/>
        <v>#NAME?</v>
      </c>
      <c r="CQ31" s="30" t="e">
        <f ca="1"/>
        <v>#NAME?</v>
      </c>
      <c r="CR31" s="30" t="e">
        <f ca="1"/>
        <v>#NAME?</v>
      </c>
      <c r="CS31" s="30" t="str">
        <f ca="1">IFERROR(__xludf.DUMMYFUNCTION("""COMPUTED_VALUE"""),"NNA (Niñas, Niños y Adolescentes)")</f>
        <v>NNA (Niñas, Niños y Adolescentes)</v>
      </c>
      <c r="CU31" s="32"/>
      <c r="CV31" s="32"/>
      <c r="CW31" s="32"/>
    </row>
    <row r="32" spans="1:101" ht="15.5">
      <c r="A32" s="29" t="str">
        <f ca="1">IFERROR(__xludf.DUMMYFUNCTION("""COMPUTED_VALUE"""),"ACT-SCYJ01916")</f>
        <v>ACT-SCYJ01916</v>
      </c>
      <c r="B32" s="30" t="str">
        <f ca="1">IFERROR(__xludf.DUMMYFUNCTION("""COMPUTED_VALUE"""),"SC-260617-135837")</f>
        <v>SC-260617-135837</v>
      </c>
      <c r="C32" s="62">
        <f ca="1">IFERROR(__xludf.DUMMYFUNCTION("""COMPUTED_VALUE"""),46190.5823726851)</f>
        <v>46190.582372685101</v>
      </c>
      <c r="D32" s="30">
        <f ca="1">IFERROR(__xludf.DUMMYFUNCTION("""COMPUTED_VALUE"""),92)</f>
        <v>92</v>
      </c>
      <c r="E32" s="30" t="str">
        <f ca="1">IFERROR(__xludf.DUMMYFUNCTION("""COMPUTED_VALUE"""),"PB3572")</f>
        <v>PB3572</v>
      </c>
      <c r="F3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 s="30" t="str">
        <f ca="1">IFERROR(__xludf.DUMMYFUNCTION("""COMPUTED_VALUE"""),"SUBSECRETARÍA DE DESARROLLO Y PROMOCIÓN ARTÍSTICA Y CULTURAL")</f>
        <v>SUBSECRETARÍA DE DESARROLLO Y PROMOCIÓN ARTÍSTICA Y CULTURAL</v>
      </c>
      <c r="I32" s="34" t="str">
        <f ca="1">IFERROR(__xludf.DUMMYFUNCTION("""COMPUTED_VALUE"""),"DIRECCIÓN GENERAL DE MUSEOS, ARTES VISUALES Y EXPOSICIONES")</f>
        <v>DIRECCIÓN GENERAL DE MUSEOS, ARTES VISUALES Y EXPOSICIONES</v>
      </c>
      <c r="J32" s="30" t="str">
        <f ca="1">IFERROR(__xludf.DUMMYFUNCTION("""COMPUTED_VALUE"""),"Número de Actividades realizadas")</f>
        <v>Número de Actividades realizadas</v>
      </c>
      <c r="K32" s="30">
        <f ca="1">IFERROR(__xludf.DUMMYFUNCTION("""COMPUTED_VALUE"""),800)</f>
        <v>800</v>
      </c>
      <c r="L32" s="30" t="str">
        <f ca="1">IFERROR(__xludf.DUMMYFUNCTION("""COMPUTED_VALUE"""),"Cultural")</f>
        <v>Cultural</v>
      </c>
      <c r="M32" s="30" t="str">
        <f ca="1">IFERROR(__xludf.DUMMYFUNCTION("""COMPUTED_VALUE"""),"Compilación Viernes de Dolores en Guanajuato")</f>
        <v>Compilación Viernes de Dolores en Guanajuato</v>
      </c>
      <c r="N32" s="30" t="str">
        <f ca="1">IFERROR(__xludf.DUMMYFUNCTION("""COMPUTED_VALUE"""),"Presentación editorial a cargo del autor sobre la tradición del Viernes de Dolores en la ciudad de Guanajuato.")</f>
        <v>Presentación editorial a cargo del autor sobre la tradición del Viernes de Dolores en la ciudad de Guanajuato.</v>
      </c>
      <c r="O32" s="30" t="str">
        <f ca="1">IFERROR(__xludf.DUMMYFUNCTION("""COMPUTED_VALUE"""),"Única")</f>
        <v>Única</v>
      </c>
      <c r="P32" s="33">
        <f ca="1">IFERROR(__xludf.DUMMYFUNCTION("""COMPUTED_VALUE"""),46120)</f>
        <v>46120</v>
      </c>
      <c r="Q32" s="64">
        <f ca="1">IFERROR(__xludf.DUMMYFUNCTION("""COMPUTED_VALUE"""),46120)</f>
        <v>46120</v>
      </c>
      <c r="R32" s="30">
        <f ca="1">IFERROR(__xludf.DUMMYFUNCTION("""COMPUTED_VALUE"""),1)</f>
        <v>1</v>
      </c>
      <c r="S32" s="30" t="str">
        <f ca="1">IFERROR(__xludf.DUMMYFUNCTION("""COMPUTED_VALUE"""),"Multidisciplinario")</f>
        <v>Multidisciplinario</v>
      </c>
      <c r="T32" s="30" t="str">
        <f ca="1">IFERROR(__xludf.DUMMYFUNCTION("""COMPUTED_VALUE"""),"Investigación cultural")</f>
        <v>Investigación cultural</v>
      </c>
      <c r="U32" s="30" t="str">
        <f ca="1">IFERROR(__xludf.DUMMYFUNCTION("""COMPUTED_VALUE"""),"Conferencia")</f>
        <v>Conferencia</v>
      </c>
      <c r="V32" s="30" t="str">
        <f ca="1">IFERROR(__xludf.DUMMYFUNCTION("""COMPUTED_VALUE"""),"Ninguna")</f>
        <v>Ninguna</v>
      </c>
      <c r="W32" s="30" t="str">
        <f ca="1">IFERROR(__xludf.DUMMYFUNCTION("""COMPUTED_VALUE"""),"Presencial")</f>
        <v>Presencial</v>
      </c>
      <c r="X32" s="30" t="str">
        <f ca="1">IFERROR(__xludf.DUMMYFUNCTION("""COMPUTED_VALUE"""),"Espacio a Cargo de la Secretaría")</f>
        <v>Espacio a Cargo de la Secretaría</v>
      </c>
      <c r="Y32" s="30" t="str">
        <f ca="1">IFERROR(__xludf.DUMMYFUNCTION("""COMPUTED_VALUE"""),"3")</f>
        <v>3</v>
      </c>
      <c r="Z32" s="30"/>
      <c r="AA32" s="30"/>
      <c r="AB32" s="30" t="b">
        <f ca="1">IFERROR(__xludf.DUMMYFUNCTION("""COMPUTED_VALUE"""),FALSE)</f>
        <v>0</v>
      </c>
      <c r="AC32" s="30"/>
      <c r="AD32" s="30" t="b">
        <f ca="1">IFERROR(__xludf.DUMMYFUNCTION("""COMPUTED_VALUE"""),FALSE)</f>
        <v>0</v>
      </c>
      <c r="AE32" s="30"/>
      <c r="AF32" s="30" t="b">
        <f ca="1">IFERROR(__xludf.DUMMYFUNCTION("""COMPUTED_VALUE"""),FALSE)</f>
        <v>0</v>
      </c>
      <c r="AG32" s="30"/>
      <c r="AH32" s="30" t="str">
        <f ca="1">IFERROR(__xludf.DUMMYFUNCTION("""COMPUTED_VALUE"""),"Sin costo")</f>
        <v>Sin costo</v>
      </c>
      <c r="AI32" s="30"/>
      <c r="AJ32" s="30"/>
      <c r="AK32" s="30"/>
      <c r="AL32" s="30" t="str">
        <f ca="1">IFERROR(__xludf.DUMMYFUNCTION("""COMPUTED_VALUE"""),"ccardonav@guanajuato.gob.mx")</f>
        <v>ccardonav@guanajuato.gob.mx</v>
      </c>
      <c r="AM32" s="30" t="str">
        <f ca="1">IFERROR(__xludf.DUMMYFUNCTION("""COMPUTED_VALUE"""),"Arraigo y empoderamiento cultural de comunidades.")</f>
        <v>Arraigo y empoderamiento cultural de comunidades.</v>
      </c>
      <c r="AN32" s="30" t="str">
        <f ca="1">IFERROR(__xludf.DUMMYFUNCTION("""COMPUTED_VALUE"""),"1 Tranquilidad")</f>
        <v>1 Tranquilidad</v>
      </c>
      <c r="AO32" s="30" t="str">
        <f ca="1">IFERROR(__xludf.DUMMYFUNCTION("""COMPUTED_VALUE"""),"1.2 Fortalecer prevención del delito")</f>
        <v>1.2 Fortalecer prevención del delito</v>
      </c>
      <c r="AP32" s="30" t="str">
        <f ca="1">IFERROR(__xludf.DUMMYFUNCTION("""COMPUTED_VALUE"""),"1.2.2 Fortalecimiento del tejido social")</f>
        <v>1.2.2 Fortalecimiento del tejido social</v>
      </c>
      <c r="AQ32" s="30" t="str">
        <f ca="1">IFERROR(__xludf.DUMMYFUNCTION("""COMPUTED_VALUE"""),"1.2.3.4 Promover una cultura de paz desde las expresiones artísticas y culturales")</f>
        <v>1.2.3.4 Promover una cultura de paz desde las expresiones artísticas y culturales</v>
      </c>
      <c r="AR32" s="30" t="str">
        <f ca="1">IFERROR(__xludf.DUMMYFUNCTION("""COMPUTED_VALUE"""),"Cooperación")</f>
        <v>Cooperación</v>
      </c>
      <c r="AS32" s="30"/>
      <c r="AT32" s="30" t="str">
        <f ca="1">IFERROR(__xludf.DUMMYFUNCTION("""COMPUTED_VALUE"""),"Fortalecimiento de la participación ciudadana y la mediación cultural")</f>
        <v>Fortalecimiento de la participación ciudadana y la mediación cultural</v>
      </c>
      <c r="AU32" s="30" t="str">
        <f ca="1">IFERROR(__xludf.DUMMYFUNCTION("""COMPUTED_VALUE"""),"Impulso a la ampliación de la oferta cultural en los territorios.")</f>
        <v>Impulso a la ampliación de la oferta cultural en los territorios.</v>
      </c>
      <c r="AV3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 s="30" t="str">
        <f ca="1">IFERROR(__xludf.DUMMYFUNCTION("""COMPUTED_VALUE"""),"Incrementar en 25% la oferta cultural realizada en los municipios.")</f>
        <v>Incrementar en 25% la oferta cultural realizada en los municipios.</v>
      </c>
      <c r="AX32" s="30" t="str">
        <f ca="1">IFERROR(__xludf.DUMMYFUNCTION("""COMPUTED_VALUE"""),"Presentación editorial")</f>
        <v>Presentación editorial</v>
      </c>
      <c r="AY32" s="30" t="str">
        <f ca="1">IFERROR(__xludf.DUMMYFUNCTION("""COMPUTED_VALUE"""),"Formación")</f>
        <v>Formación</v>
      </c>
      <c r="AZ32" s="30" t="str">
        <f ca="1">IFERROR(__xludf.DUMMYFUNCTION("""COMPUTED_VALUE"""),"Formación")</f>
        <v>Formación</v>
      </c>
      <c r="BA32" s="30"/>
      <c r="BB32" s="30"/>
      <c r="BC32" s="30">
        <f ca="1">IFERROR(__xludf.DUMMYFUNCTION("""COMPUTED_VALUE"""),0)</f>
        <v>0</v>
      </c>
      <c r="BD32" s="30"/>
      <c r="BE32" s="30"/>
      <c r="BF32" s="30" t="b">
        <f ca="1">IFERROR(__xludf.DUMMYFUNCTION("""COMPUTED_VALUE"""),FALSE)</f>
        <v>0</v>
      </c>
      <c r="BG32" s="30"/>
      <c r="BH32" s="30"/>
      <c r="BI32" s="30"/>
      <c r="BJ32" s="30"/>
      <c r="BK32" s="30"/>
      <c r="BL32" s="30"/>
      <c r="BM32" s="30" t="str">
        <f ca="1">IFERROR(__xludf.DUMMYFUNCTION("""COMPUTED_VALUE"""),"No")</f>
        <v>No</v>
      </c>
      <c r="BN32" s="30"/>
      <c r="BO32" s="30" t="str">
        <f ca="1">IFERROR(__xludf.DUMMYFUNCTION("""COMPUTED_VALUE"""),"9d2da3d8")</f>
        <v>9d2da3d8</v>
      </c>
      <c r="BP32" s="29" t="str">
        <f ca="1">IFERROR(__xludf.DUMMYFUNCTION("""COMPUTED_VALUE"""),"Guanajuato")</f>
        <v>Guanajuato</v>
      </c>
      <c r="BQ32" s="30" t="str">
        <f ca="1">IFERROR(__xludf.DUMMYFUNCTION("""COMPUTED_VALUE"""),"Urbano")</f>
        <v>Urbano</v>
      </c>
      <c r="BR32" s="30">
        <f ca="1">IFERROR(__xludf.DUMMYFUNCTION("""COMPUTED_VALUE"""),49)</f>
        <v>49</v>
      </c>
      <c r="BS32" s="30" t="str">
        <f ca="1">IFERROR(__xludf.DUMMYFUNCTION("""COMPUTED_VALUE"""),"Guanajuato")</f>
        <v>Guanajuato</v>
      </c>
      <c r="BT32" s="30"/>
      <c r="BU32" s="30" t="str">
        <f ca="1">IFERROR(__xludf.DUMMYFUNCTION("""COMPUTED_VALUE"""),"Si")</f>
        <v>Si</v>
      </c>
      <c r="BV32" s="30" t="str">
        <f ca="1">IFERROR(__xludf.DUMMYFUNCTION("""COMPUTED_VALUE"""),"Si")</f>
        <v>Si</v>
      </c>
      <c r="BW32" s="30">
        <f ca="1">IFERROR(__xludf.DUMMYFUNCTION("""COMPUTED_VALUE"""),11)</f>
        <v>11</v>
      </c>
      <c r="BX32" s="30">
        <f ca="1">IFERROR(__xludf.DUMMYFUNCTION("""COMPUTED_VALUE"""),11)</f>
        <v>11</v>
      </c>
      <c r="BY32" s="30">
        <f ca="1">IFERROR(__xludf.DUMMYFUNCTION("""COMPUTED_VALUE"""),0)</f>
        <v>0</v>
      </c>
      <c r="BZ32" s="30" t="str">
        <f ca="1">IFERROR(__xludf.DUMMYFUNCTION("""COMPUTED_VALUE"""),"Guanajuato")</f>
        <v>Guanajuato</v>
      </c>
      <c r="CA32" s="30" t="str">
        <f ca="1">IFERROR(__xludf.DUMMYFUNCTION("""COMPUTED_VALUE"""),"No")</f>
        <v>No</v>
      </c>
      <c r="CB32" s="30" t="str">
        <f ca="1">IFERROR(__xludf.DUMMYFUNCTION("""COMPUTED_VALUE"""),"No")</f>
        <v>No</v>
      </c>
      <c r="CC32" s="30" t="str">
        <f ca="1">IFERROR(__xludf.DUMMYFUNCTION("""COMPUTED_VALUE"""),"dc0044ee")</f>
        <v>dc0044ee</v>
      </c>
      <c r="CD32" s="29" t="str">
        <f ca="1">IFERROR(__xludf.DUMMYFUNCTION("""COMPUTED_VALUE"""),"Jóvenes (18 a 29 años)")</f>
        <v>Jóvenes (18 a 29 años)</v>
      </c>
      <c r="CE32" s="30" t="str">
        <f ca="1">IFERROR(__xludf.DUMMYFUNCTION("""COMPUTED_VALUE"""),"Dato global")</f>
        <v>Dato global</v>
      </c>
      <c r="CF32" s="30" t="str">
        <f ca="1">IFERROR(__xludf.DUMMYFUNCTION("""COMPUTED_VALUE"""),"Ninguno (Población General)")</f>
        <v>Ninguno (Población General)</v>
      </c>
      <c r="CG32" s="30">
        <f ca="1">IFERROR(__xludf.DUMMYFUNCTION("""COMPUTED_VALUE"""),44)</f>
        <v>44</v>
      </c>
      <c r="CI32" s="30" t="str">
        <f ca="1">IFERROR(__xludf.DUMMYFUNCTION("""COMPUTED_VALUE"""),"c142ee65")</f>
        <v>c142ee65</v>
      </c>
      <c r="CJ32" s="29" t="str">
        <f ca="1">IFERROR(__xludf.DUMMYFUNCTION("""COMPUTED_VALUE"""),"Regitro_Evidencia_Images/c142ee65.Archivo_Evidencia.200535.jpg")</f>
        <v>Regitro_Evidencia_Images/c142ee65.Archivo_Evidencia.200535.jpg</v>
      </c>
      <c r="CK32" s="30" t="str">
        <f ca="1">IFERROR(__xludf.DUMMYFUNCTION("""COMPUTED_VALUE"""),"Foto")</f>
        <v>Foto</v>
      </c>
      <c r="CL32" s="30"/>
      <c r="CM32" s="30" t="str">
        <f ca="1">IFERROR(__xludf.DUMMYFUNCTION("""COMPUTED_VALUE"""),"Guanajuato")</f>
        <v>Guanajuato</v>
      </c>
      <c r="CN32" s="32" t="e">
        <f ca="1"/>
        <v>#NAME?</v>
      </c>
      <c r="CO32" s="32" t="e">
        <f ca="1"/>
        <v>#NAME?</v>
      </c>
      <c r="CP32" s="32" t="e">
        <f ca="1"/>
        <v>#NAME?</v>
      </c>
      <c r="CQ32" s="32" t="e">
        <f ca="1"/>
        <v>#NAME?</v>
      </c>
      <c r="CR32" s="30" t="e">
        <f ca="1"/>
        <v>#NAME?</v>
      </c>
      <c r="CS32" s="30" t="str">
        <f ca="1">IFERROR(__xludf.DUMMYFUNCTION("""COMPUTED_VALUE"""),"Ninguno (Población General)")</f>
        <v>Ninguno (Población General)</v>
      </c>
    </row>
    <row r="33" spans="1:97" ht="15.5">
      <c r="A33" s="29" t="str">
        <f ca="1">IFERROR(__xludf.DUMMYFUNCTION("""COMPUTED_VALUE"""),"ACT-SCHP41657")</f>
        <v>ACT-SCHP41657</v>
      </c>
      <c r="B33" s="30" t="str">
        <f ca="1">IFERROR(__xludf.DUMMYFUNCTION("""COMPUTED_VALUE"""),"SC-260617-140546")</f>
        <v>SC-260617-140546</v>
      </c>
      <c r="C33" s="62">
        <f ca="1">IFERROR(__xludf.DUMMYFUNCTION("""COMPUTED_VALUE"""),46190.5873379629)</f>
        <v>46190.587337962897</v>
      </c>
      <c r="D33" s="30">
        <f ca="1">IFERROR(__xludf.DUMMYFUNCTION("""COMPUTED_VALUE"""),92)</f>
        <v>92</v>
      </c>
      <c r="E33" s="30" t="str">
        <f ca="1">IFERROR(__xludf.DUMMYFUNCTION("""COMPUTED_VALUE"""),"PB3572")</f>
        <v>PB3572</v>
      </c>
      <c r="F3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3" s="30" t="str">
        <f ca="1">IFERROR(__xludf.DUMMYFUNCTION("""COMPUTED_VALUE"""),"SUBSECRETARÍA DE DESARROLLO Y PROMOCIÓN ARTÍSTICA Y CULTURAL")</f>
        <v>SUBSECRETARÍA DE DESARROLLO Y PROMOCIÓN ARTÍSTICA Y CULTURAL</v>
      </c>
      <c r="I33" s="34" t="str">
        <f ca="1">IFERROR(__xludf.DUMMYFUNCTION("""COMPUTED_VALUE"""),"DIRECCIÓN GENERAL DE MUSEOS, ARTES VISUALES Y EXPOSICIONES")</f>
        <v>DIRECCIÓN GENERAL DE MUSEOS, ARTES VISUALES Y EXPOSICIONES</v>
      </c>
      <c r="J33" s="30" t="str">
        <f ca="1">IFERROR(__xludf.DUMMYFUNCTION("""COMPUTED_VALUE"""),"Número de Actividades realizadas")</f>
        <v>Número de Actividades realizadas</v>
      </c>
      <c r="K33" s="30">
        <f ca="1">IFERROR(__xludf.DUMMYFUNCTION("""COMPUTED_VALUE"""),800)</f>
        <v>800</v>
      </c>
      <c r="L33" s="30" t="str">
        <f ca="1">IFERROR(__xludf.DUMMYFUNCTION("""COMPUTED_VALUE"""),"Artística")</f>
        <v>Artística</v>
      </c>
      <c r="M33" s="30" t="str">
        <f ca="1">IFERROR(__xludf.DUMMYFUNCTION("""COMPUTED_VALUE"""),"Cuentacuentos: Luis Long, el arquitecto del tiempo")</f>
        <v>Cuentacuentos: Luis Long, el arquitecto del tiempo</v>
      </c>
      <c r="N33" s="30" t="str">
        <f ca="1">IFERROR(__xludf.DUMMYFUNCTION("""COMPUTED_VALUE"""),"Luis Long el relojero, viajero, constructor de palacios, arquitecto londinense y leones nos cuenta su historia iMil aventuras vivirán y muchos títeres verán!, actividad en torno al 99° Aniversario luctuoso de Louis Long.")</f>
        <v>Luis Long el relojero, viajero, constructor de palacios, arquitecto londinense y leones nos cuenta su historia iMil aventuras vivirán y muchos títeres verán!, actividad en torno al 99° Aniversario luctuoso de Louis Long.</v>
      </c>
      <c r="O33" s="30" t="str">
        <f ca="1">IFERROR(__xludf.DUMMYFUNCTION("""COMPUTED_VALUE"""),"Única")</f>
        <v>Única</v>
      </c>
      <c r="P33" s="33">
        <f ca="1">IFERROR(__xludf.DUMMYFUNCTION("""COMPUTED_VALUE"""),46123)</f>
        <v>46123</v>
      </c>
      <c r="Q33" s="64">
        <f ca="1">IFERROR(__xludf.DUMMYFUNCTION("""COMPUTED_VALUE"""),46123)</f>
        <v>46123</v>
      </c>
      <c r="R33" s="30">
        <f ca="1">IFERROR(__xludf.DUMMYFUNCTION("""COMPUTED_VALUE"""),1)</f>
        <v>1</v>
      </c>
      <c r="S33" s="30" t="str">
        <f ca="1">IFERROR(__xludf.DUMMYFUNCTION("""COMPUTED_VALUE"""),"Artes escénicas")</f>
        <v>Artes escénicas</v>
      </c>
      <c r="T33" s="30" t="str">
        <f ca="1">IFERROR(__xludf.DUMMYFUNCTION("""COMPUTED_VALUE"""),"Teatro")</f>
        <v>Teatro</v>
      </c>
      <c r="U33" s="30" t="str">
        <f ca="1">IFERROR(__xludf.DUMMYFUNCTION("""COMPUTED_VALUE"""),"Muestra artística")</f>
        <v>Muestra artística</v>
      </c>
      <c r="V33" s="30" t="str">
        <f ca="1">IFERROR(__xludf.DUMMYFUNCTION("""COMPUTED_VALUE"""),"Ninguna")</f>
        <v>Ninguna</v>
      </c>
      <c r="W33" s="30" t="str">
        <f ca="1">IFERROR(__xludf.DUMMYFUNCTION("""COMPUTED_VALUE"""),"Presencial")</f>
        <v>Presencial</v>
      </c>
      <c r="X33" s="30" t="str">
        <f ca="1">IFERROR(__xludf.DUMMYFUNCTION("""COMPUTED_VALUE"""),"Espacio a Cargo de la Secretaría")</f>
        <v>Espacio a Cargo de la Secretaría</v>
      </c>
      <c r="Y33" s="30" t="str">
        <f ca="1">IFERROR(__xludf.DUMMYFUNCTION("""COMPUTED_VALUE"""),"5")</f>
        <v>5</v>
      </c>
      <c r="Z33" s="30"/>
      <c r="AA33" s="30"/>
      <c r="AB33" s="30" t="b">
        <f ca="1">IFERROR(__xludf.DUMMYFUNCTION("""COMPUTED_VALUE"""),FALSE)</f>
        <v>0</v>
      </c>
      <c r="AC33" s="30"/>
      <c r="AD33" s="30" t="b">
        <f ca="1">IFERROR(__xludf.DUMMYFUNCTION("""COMPUTED_VALUE"""),TRUE)</f>
        <v>1</v>
      </c>
      <c r="AE33" s="30">
        <f ca="1">IFERROR(__xludf.DUMMYFUNCTION("""COMPUTED_VALUE"""),1)</f>
        <v>1</v>
      </c>
      <c r="AF33" s="30" t="b">
        <f ca="1">IFERROR(__xludf.DUMMYFUNCTION("""COMPUTED_VALUE"""),FALSE)</f>
        <v>0</v>
      </c>
      <c r="AG33" s="30"/>
      <c r="AH33" s="30" t="str">
        <f ca="1">IFERROR(__xludf.DUMMYFUNCTION("""COMPUTED_VALUE"""),"Sin costo")</f>
        <v>Sin costo</v>
      </c>
      <c r="AI33" s="30"/>
      <c r="AJ33" s="30"/>
      <c r="AK33" s="30"/>
      <c r="AL33" s="30" t="str">
        <f ca="1">IFERROR(__xludf.DUMMYFUNCTION("""COMPUTED_VALUE"""),"ccardonav@guanajuato.gob.mx")</f>
        <v>ccardonav@guanajuato.gob.mx</v>
      </c>
      <c r="AM33" s="30" t="str">
        <f ca="1">IFERROR(__xludf.DUMMYFUNCTION("""COMPUTED_VALUE"""),"Arraigo y empoderamiento cultural de comunidades.")</f>
        <v>Arraigo y empoderamiento cultural de comunidades.</v>
      </c>
      <c r="AN33" s="30" t="str">
        <f ca="1">IFERROR(__xludf.DUMMYFUNCTION("""COMPUTED_VALUE"""),"1 Tranquilidad")</f>
        <v>1 Tranquilidad</v>
      </c>
      <c r="AO33" s="30" t="str">
        <f ca="1">IFERROR(__xludf.DUMMYFUNCTION("""COMPUTED_VALUE"""),"1.2 Fortalecer prevención del delito")</f>
        <v>1.2 Fortalecer prevención del delito</v>
      </c>
      <c r="AP33" s="30" t="str">
        <f ca="1">IFERROR(__xludf.DUMMYFUNCTION("""COMPUTED_VALUE"""),"1.2.2 Fortalecimiento del tejido social")</f>
        <v>1.2.2 Fortalecimiento del tejido social</v>
      </c>
      <c r="AQ33" s="30" t="str">
        <f ca="1">IFERROR(__xludf.DUMMYFUNCTION("""COMPUTED_VALUE"""),"1.2.3.4 Promover una cultura de paz desde las expresiones artísticas y culturales")</f>
        <v>1.2.3.4 Promover una cultura de paz desde las expresiones artísticas y culturales</v>
      </c>
      <c r="AR33" s="30" t="str">
        <f ca="1">IFERROR(__xludf.DUMMYFUNCTION("""COMPUTED_VALUE"""),"Cooperación")</f>
        <v>Cooperación</v>
      </c>
      <c r="AS33" s="30"/>
      <c r="AT33" s="30" t="str">
        <f ca="1">IFERROR(__xludf.DUMMYFUNCTION("""COMPUTED_VALUE"""),"Fortalecimiento de la participación ciudadana y la mediación cultural")</f>
        <v>Fortalecimiento de la participación ciudadana y la mediación cultural</v>
      </c>
      <c r="AU33" s="30" t="str">
        <f ca="1">IFERROR(__xludf.DUMMYFUNCTION("""COMPUTED_VALUE"""),"Impulso a la ampliación de la oferta cultural en los territorios.")</f>
        <v>Impulso a la ampliación de la oferta cultural en los territorios.</v>
      </c>
      <c r="AV3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3" s="30" t="str">
        <f ca="1">IFERROR(__xludf.DUMMYFUNCTION("""COMPUTED_VALUE"""),"Incrementar en 25% la oferta cultural realizada en los municipios.")</f>
        <v>Incrementar en 25% la oferta cultural realizada en los municipios.</v>
      </c>
      <c r="AX33" s="30" t="str">
        <f ca="1">IFERROR(__xludf.DUMMYFUNCTION("""COMPUTED_VALUE"""),"Presentación artística")</f>
        <v>Presentación artística</v>
      </c>
      <c r="AY33" s="30" t="str">
        <f ca="1">IFERROR(__xludf.DUMMYFUNCTION("""COMPUTED_VALUE"""),"Formación")</f>
        <v>Formación</v>
      </c>
      <c r="AZ33" s="30" t="str">
        <f ca="1">IFERROR(__xludf.DUMMYFUNCTION("""COMPUTED_VALUE"""),"Formación")</f>
        <v>Formación</v>
      </c>
      <c r="BA33" s="30"/>
      <c r="BB33" s="30"/>
      <c r="BC33" s="30">
        <f ca="1">IFERROR(__xludf.DUMMYFUNCTION("""COMPUTED_VALUE"""),0)</f>
        <v>0</v>
      </c>
      <c r="BD33" s="30"/>
      <c r="BE33" s="30"/>
      <c r="BF33" s="30" t="b">
        <f ca="1">IFERROR(__xludf.DUMMYFUNCTION("""COMPUTED_VALUE"""),FALSE)</f>
        <v>0</v>
      </c>
      <c r="BG33" s="30"/>
      <c r="BH33" s="30"/>
      <c r="BI33" s="30"/>
      <c r="BJ33" s="30"/>
      <c r="BK33" s="30"/>
      <c r="BL33" s="30"/>
      <c r="BM33" s="30" t="str">
        <f ca="1">IFERROR(__xludf.DUMMYFUNCTION("""COMPUTED_VALUE"""),"No")</f>
        <v>No</v>
      </c>
      <c r="BN33" s="30"/>
      <c r="BO33" s="30" t="str">
        <f ca="1">IFERROR(__xludf.DUMMYFUNCTION("""COMPUTED_VALUE"""),"565f3868")</f>
        <v>565f3868</v>
      </c>
      <c r="BP33" s="29" t="str">
        <f ca="1">IFERROR(__xludf.DUMMYFUNCTION("""COMPUTED_VALUE"""),"Guanajuato")</f>
        <v>Guanajuato</v>
      </c>
      <c r="BQ33" s="30" t="str">
        <f ca="1">IFERROR(__xludf.DUMMYFUNCTION("""COMPUTED_VALUE"""),"Urbano")</f>
        <v>Urbano</v>
      </c>
      <c r="BR33" s="30">
        <f ca="1">IFERROR(__xludf.DUMMYFUNCTION("""COMPUTED_VALUE"""),49)</f>
        <v>49</v>
      </c>
      <c r="BS33" s="30" t="str">
        <f ca="1">IFERROR(__xludf.DUMMYFUNCTION("""COMPUTED_VALUE"""),"Guanajuato")</f>
        <v>Guanajuato</v>
      </c>
      <c r="BT33" s="30"/>
      <c r="BU33" s="30" t="str">
        <f ca="1">IFERROR(__xludf.DUMMYFUNCTION("""COMPUTED_VALUE"""),"Si")</f>
        <v>Si</v>
      </c>
      <c r="BV33" s="30" t="str">
        <f ca="1">IFERROR(__xludf.DUMMYFUNCTION("""COMPUTED_VALUE"""),"Si")</f>
        <v>Si</v>
      </c>
      <c r="BW33" s="30">
        <f ca="1">IFERROR(__xludf.DUMMYFUNCTION("""COMPUTED_VALUE"""),20)</f>
        <v>20</v>
      </c>
      <c r="BX33" s="30"/>
      <c r="BY33" s="30">
        <f ca="1">IFERROR(__xludf.DUMMYFUNCTION("""COMPUTED_VALUE"""),20)</f>
        <v>20</v>
      </c>
      <c r="BZ33" s="30" t="str">
        <f ca="1">IFERROR(__xludf.DUMMYFUNCTION("""COMPUTED_VALUE"""),"Guanajuato")</f>
        <v>Guanajuato</v>
      </c>
      <c r="CA33" s="30" t="str">
        <f ca="1">IFERROR(__xludf.DUMMYFUNCTION("""COMPUTED_VALUE"""),"No")</f>
        <v>No</v>
      </c>
      <c r="CB33" s="30" t="str">
        <f ca="1">IFERROR(__xludf.DUMMYFUNCTION("""COMPUTED_VALUE"""),"No")</f>
        <v>No</v>
      </c>
      <c r="CC33" s="30" t="str">
        <f ca="1">IFERROR(__xludf.DUMMYFUNCTION("""COMPUTED_VALUE"""),"2a22d089")</f>
        <v>2a22d089</v>
      </c>
      <c r="CD33" s="29" t="str">
        <f ca="1">IFERROR(__xludf.DUMMYFUNCTION("""COMPUTED_VALUE"""),"Jóvenes (18 a 29 años)")</f>
        <v>Jóvenes (18 a 29 años)</v>
      </c>
      <c r="CE33" s="30" t="str">
        <f ca="1">IFERROR(__xludf.DUMMYFUNCTION("""COMPUTED_VALUE"""),"Dato global")</f>
        <v>Dato global</v>
      </c>
      <c r="CF33" s="30" t="str">
        <f ca="1">IFERROR(__xludf.DUMMYFUNCTION("""COMPUTED_VALUE"""),"Ninguno (Población General)")</f>
        <v>Ninguno (Población General)</v>
      </c>
      <c r="CG33" s="30">
        <f ca="1">IFERROR(__xludf.DUMMYFUNCTION("""COMPUTED_VALUE"""),82)</f>
        <v>82</v>
      </c>
      <c r="CI33" s="30" t="str">
        <f ca="1">IFERROR(__xludf.DUMMYFUNCTION("""COMPUTED_VALUE"""),"523e13b6")</f>
        <v>523e13b6</v>
      </c>
      <c r="CJ33" s="29" t="str">
        <f ca="1">IFERROR(__xludf.DUMMYFUNCTION("""COMPUTED_VALUE"""),"Regitro_Evidencia_Images/523e13b6.Archivo_Evidencia.201154.jpg")</f>
        <v>Regitro_Evidencia_Images/523e13b6.Archivo_Evidencia.201154.jpg</v>
      </c>
      <c r="CK33" s="30" t="str">
        <f ca="1">IFERROR(__xludf.DUMMYFUNCTION("""COMPUTED_VALUE"""),"Foto")</f>
        <v>Foto</v>
      </c>
      <c r="CL33" s="30"/>
      <c r="CM33" s="30" t="str">
        <f ca="1">IFERROR(__xludf.DUMMYFUNCTION("""COMPUTED_VALUE"""),"Guanajuato")</f>
        <v>Guanajuato</v>
      </c>
      <c r="CN33" s="32" t="e">
        <f ca="1"/>
        <v>#NAME?</v>
      </c>
      <c r="CO33" s="32" t="e">
        <f ca="1"/>
        <v>#NAME?</v>
      </c>
      <c r="CP33" s="32" t="e">
        <f ca="1"/>
        <v>#NAME?</v>
      </c>
      <c r="CQ33" s="32" t="e">
        <f ca="1"/>
        <v>#NAME?</v>
      </c>
      <c r="CR33" s="30" t="e">
        <f ca="1"/>
        <v>#NAME?</v>
      </c>
      <c r="CS33" s="30" t="str">
        <f ca="1">IFERROR(__xludf.DUMMYFUNCTION("""COMPUTED_VALUE"""),"NNA (Niñas, Niños y Adolescentes)")</f>
        <v>NNA (Niñas, Niños y Adolescentes)</v>
      </c>
    </row>
    <row r="34" spans="1:97" ht="15.5">
      <c r="A34" s="29" t="str">
        <f ca="1">IFERROR(__xludf.DUMMYFUNCTION("""COMPUTED_VALUE"""),"ACT-SCXD05649")</f>
        <v>ACT-SCXD05649</v>
      </c>
      <c r="B34" s="30" t="str">
        <f ca="1">IFERROR(__xludf.DUMMYFUNCTION("""COMPUTED_VALUE"""),"SC-260617-141205")</f>
        <v>SC-260617-141205</v>
      </c>
      <c r="C34" s="62">
        <f ca="1">IFERROR(__xludf.DUMMYFUNCTION("""COMPUTED_VALUE"""),46190.591724537)</f>
        <v>46190.591724537</v>
      </c>
      <c r="D34" s="30">
        <f ca="1">IFERROR(__xludf.DUMMYFUNCTION("""COMPUTED_VALUE"""),92)</f>
        <v>92</v>
      </c>
      <c r="E34" s="30" t="str">
        <f ca="1">IFERROR(__xludf.DUMMYFUNCTION("""COMPUTED_VALUE"""),"PB3572")</f>
        <v>PB3572</v>
      </c>
      <c r="F3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 s="30" t="str">
        <f ca="1">IFERROR(__xludf.DUMMYFUNCTION("""COMPUTED_VALUE"""),"SUBSECRETARÍA DE DESARROLLO Y PROMOCIÓN ARTÍSTICA Y CULTURAL")</f>
        <v>SUBSECRETARÍA DE DESARROLLO Y PROMOCIÓN ARTÍSTICA Y CULTURAL</v>
      </c>
      <c r="I34" s="34" t="str">
        <f ca="1">IFERROR(__xludf.DUMMYFUNCTION("""COMPUTED_VALUE"""),"DIRECCIÓN GENERAL DE MUSEOS, ARTES VISUALES Y EXPOSICIONES")</f>
        <v>DIRECCIÓN GENERAL DE MUSEOS, ARTES VISUALES Y EXPOSICIONES</v>
      </c>
      <c r="J34" s="30" t="str">
        <f ca="1">IFERROR(__xludf.DUMMYFUNCTION("""COMPUTED_VALUE"""),"Número de Actividades realizadas")</f>
        <v>Número de Actividades realizadas</v>
      </c>
      <c r="K34" s="30">
        <f ca="1">IFERROR(__xludf.DUMMYFUNCTION("""COMPUTED_VALUE"""),800)</f>
        <v>800</v>
      </c>
      <c r="L34" s="30" t="str">
        <f ca="1">IFERROR(__xludf.DUMMYFUNCTION("""COMPUTED_VALUE"""),"Artística")</f>
        <v>Artística</v>
      </c>
      <c r="M34" s="30" t="str">
        <f ca="1">IFERROR(__xludf.DUMMYFUNCTION("""COMPUTED_VALUE"""),"Taller familiar de barro")</f>
        <v>Taller familiar de barro</v>
      </c>
      <c r="N34" s="30" t="str">
        <f ca="1">IFERROR(__xludf.DUMMYFUNCTION("""COMPUTED_VALUE"""),"Un espacio de encuentro y difusión en torno al cierre de las exposiciones La mayólica de Gorky González. Una tradición que vive, Dolores Porras. Taller de Cerámica y Diálogo entre los Grandes Maestros del Arte Popular de Guanajuato y Veracruz.")</f>
        <v>Un espacio de encuentro y difusión en torno al cierre de las exposiciones La mayólica de Gorky González. Una tradición que vive, Dolores Porras. Taller de Cerámica y Diálogo entre los Grandes Maestros del Arte Popular de Guanajuato y Veracruz.</v>
      </c>
      <c r="O34" s="30" t="str">
        <f ca="1">IFERROR(__xludf.DUMMYFUNCTION("""COMPUTED_VALUE"""),"Única")</f>
        <v>Única</v>
      </c>
      <c r="P34" s="33">
        <f ca="1">IFERROR(__xludf.DUMMYFUNCTION("""COMPUTED_VALUE"""),46124)</f>
        <v>46124</v>
      </c>
      <c r="Q34" s="64">
        <f ca="1">IFERROR(__xludf.DUMMYFUNCTION("""COMPUTED_VALUE"""),46124)</f>
        <v>46124</v>
      </c>
      <c r="R34" s="30">
        <f ca="1">IFERROR(__xludf.DUMMYFUNCTION("""COMPUTED_VALUE"""),1)</f>
        <v>1</v>
      </c>
      <c r="S34" s="30" t="str">
        <f ca="1">IFERROR(__xludf.DUMMYFUNCTION("""COMPUTED_VALUE"""),"Artes visuales")</f>
        <v>Artes visuales</v>
      </c>
      <c r="T34" s="30" t="str">
        <f ca="1">IFERROR(__xludf.DUMMYFUNCTION("""COMPUTED_VALUE"""),"Escultura")</f>
        <v>Escultura</v>
      </c>
      <c r="U34" s="30" t="str">
        <f ca="1">IFERROR(__xludf.DUMMYFUNCTION("""COMPUTED_VALUE"""),"Taller")</f>
        <v>Taller</v>
      </c>
      <c r="V34" s="30" t="str">
        <f ca="1">IFERROR(__xludf.DUMMYFUNCTION("""COMPUTED_VALUE"""),"Ninguna")</f>
        <v>Ninguna</v>
      </c>
      <c r="W34" s="30" t="str">
        <f ca="1">IFERROR(__xludf.DUMMYFUNCTION("""COMPUTED_VALUE"""),"Presencial")</f>
        <v>Presencial</v>
      </c>
      <c r="X34" s="30" t="str">
        <f ca="1">IFERROR(__xludf.DUMMYFUNCTION("""COMPUTED_VALUE"""),"Espacio a Cargo de la Secretaría")</f>
        <v>Espacio a Cargo de la Secretaría</v>
      </c>
      <c r="Y34" s="30" t="str">
        <f ca="1">IFERROR(__xludf.DUMMYFUNCTION("""COMPUTED_VALUE"""),"2")</f>
        <v>2</v>
      </c>
      <c r="Z34" s="30"/>
      <c r="AA34" s="30"/>
      <c r="AB34" s="30" t="b">
        <f ca="1">IFERROR(__xludf.DUMMYFUNCTION("""COMPUTED_VALUE"""),FALSE)</f>
        <v>0</v>
      </c>
      <c r="AC34" s="30"/>
      <c r="AD34" s="30" t="b">
        <f ca="1">IFERROR(__xludf.DUMMYFUNCTION("""COMPUTED_VALUE"""),FALSE)</f>
        <v>0</v>
      </c>
      <c r="AE34" s="30"/>
      <c r="AF34" s="30" t="b">
        <f ca="1">IFERROR(__xludf.DUMMYFUNCTION("""COMPUTED_VALUE"""),FALSE)</f>
        <v>0</v>
      </c>
      <c r="AG34" s="30"/>
      <c r="AH34" s="30" t="str">
        <f ca="1">IFERROR(__xludf.DUMMYFUNCTION("""COMPUTED_VALUE"""),"Sin costo")</f>
        <v>Sin costo</v>
      </c>
      <c r="AI34" s="30"/>
      <c r="AJ34" s="30"/>
      <c r="AK34" s="30"/>
      <c r="AL34" s="30" t="str">
        <f ca="1">IFERROR(__xludf.DUMMYFUNCTION("""COMPUTED_VALUE"""),"ccardonav@guanajuato.gob.mx")</f>
        <v>ccardonav@guanajuato.gob.mx</v>
      </c>
      <c r="AM34" s="30" t="str">
        <f ca="1">IFERROR(__xludf.DUMMYFUNCTION("""COMPUTED_VALUE"""),"Arraigo y empoderamiento cultural de comunidades.")</f>
        <v>Arraigo y empoderamiento cultural de comunidades.</v>
      </c>
      <c r="AN34" s="30" t="str">
        <f ca="1">IFERROR(__xludf.DUMMYFUNCTION("""COMPUTED_VALUE"""),"1 Tranquilidad")</f>
        <v>1 Tranquilidad</v>
      </c>
      <c r="AO34" s="30" t="str">
        <f ca="1">IFERROR(__xludf.DUMMYFUNCTION("""COMPUTED_VALUE"""),"1.2 Fortalecer prevención del delito")</f>
        <v>1.2 Fortalecer prevención del delito</v>
      </c>
      <c r="AP34" s="30" t="str">
        <f ca="1">IFERROR(__xludf.DUMMYFUNCTION("""COMPUTED_VALUE"""),"1.2.2 Fortalecimiento del tejido social")</f>
        <v>1.2.2 Fortalecimiento del tejido social</v>
      </c>
      <c r="AQ34" s="30" t="str">
        <f ca="1">IFERROR(__xludf.DUMMYFUNCTION("""COMPUTED_VALUE"""),"1.2.3.4 Promover una cultura de paz desde las expresiones artísticas y culturales")</f>
        <v>1.2.3.4 Promover una cultura de paz desde las expresiones artísticas y culturales</v>
      </c>
      <c r="AR34" s="30" t="str">
        <f ca="1">IFERROR(__xludf.DUMMYFUNCTION("""COMPUTED_VALUE"""),"Cooperación")</f>
        <v>Cooperación</v>
      </c>
      <c r="AS34" s="30"/>
      <c r="AT34" s="30" t="str">
        <f ca="1">IFERROR(__xludf.DUMMYFUNCTION("""COMPUTED_VALUE"""),"Fortalecimiento de la participación ciudadana y la mediación cultural")</f>
        <v>Fortalecimiento de la participación ciudadana y la mediación cultural</v>
      </c>
      <c r="AU34" s="30" t="str">
        <f ca="1">IFERROR(__xludf.DUMMYFUNCTION("""COMPUTED_VALUE"""),"Impulso a la ampliación de la oferta cultural en los territorios.")</f>
        <v>Impulso a la ampliación de la oferta cultural en los territorios.</v>
      </c>
      <c r="AV3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4" s="30" t="str">
        <f ca="1">IFERROR(__xludf.DUMMYFUNCTION("""COMPUTED_VALUE"""),"Incrementar en 25% la oferta cultural realizada en los municipios.")</f>
        <v>Incrementar en 25% la oferta cultural realizada en los municipios.</v>
      </c>
      <c r="AX34" s="30" t="str">
        <f ca="1">IFERROR(__xludf.DUMMYFUNCTION("""COMPUTED_VALUE"""),"Taller")</f>
        <v>Taller</v>
      </c>
      <c r="AY34" s="30" t="str">
        <f ca="1">IFERROR(__xludf.DUMMYFUNCTION("""COMPUTED_VALUE"""),"Formación")</f>
        <v>Formación</v>
      </c>
      <c r="AZ34" s="30" t="str">
        <f ca="1">IFERROR(__xludf.DUMMYFUNCTION("""COMPUTED_VALUE"""),"Formación")</f>
        <v>Formación</v>
      </c>
      <c r="BA34" s="30"/>
      <c r="BB34" s="30"/>
      <c r="BC34" s="30">
        <f ca="1">IFERROR(__xludf.DUMMYFUNCTION("""COMPUTED_VALUE"""),0)</f>
        <v>0</v>
      </c>
      <c r="BD34" s="30"/>
      <c r="BE34" s="30"/>
      <c r="BF34" s="30" t="b">
        <f ca="1">IFERROR(__xludf.DUMMYFUNCTION("""COMPUTED_VALUE"""),FALSE)</f>
        <v>0</v>
      </c>
      <c r="BG34" s="30"/>
      <c r="BH34" s="30"/>
      <c r="BI34" s="30"/>
      <c r="BJ34" s="30"/>
      <c r="BK34" s="30"/>
      <c r="BL34" s="30"/>
      <c r="BM34" s="30" t="str">
        <f ca="1">IFERROR(__xludf.DUMMYFUNCTION("""COMPUTED_VALUE"""),"No")</f>
        <v>No</v>
      </c>
      <c r="BN34" s="30"/>
      <c r="BO34" s="30" t="str">
        <f ca="1">IFERROR(__xludf.DUMMYFUNCTION("""COMPUTED_VALUE"""),"a2236ecd")</f>
        <v>a2236ecd</v>
      </c>
      <c r="BP34" s="29" t="str">
        <f ca="1">IFERROR(__xludf.DUMMYFUNCTION("""COMPUTED_VALUE"""),"Guanajuato")</f>
        <v>Guanajuato</v>
      </c>
      <c r="BQ34" s="30" t="str">
        <f ca="1">IFERROR(__xludf.DUMMYFUNCTION("""COMPUTED_VALUE"""),"Urbano")</f>
        <v>Urbano</v>
      </c>
      <c r="BR34" s="30">
        <f ca="1">IFERROR(__xludf.DUMMYFUNCTION("""COMPUTED_VALUE"""),49)</f>
        <v>49</v>
      </c>
      <c r="BS34" s="30" t="str">
        <f ca="1">IFERROR(__xludf.DUMMYFUNCTION("""COMPUTED_VALUE"""),"Guanajuato")</f>
        <v>Guanajuato</v>
      </c>
      <c r="BT34" s="30"/>
      <c r="BU34" s="30" t="str">
        <f ca="1">IFERROR(__xludf.DUMMYFUNCTION("""COMPUTED_VALUE"""),"Si")</f>
        <v>Si</v>
      </c>
      <c r="BV34" s="30" t="str">
        <f ca="1">IFERROR(__xludf.DUMMYFUNCTION("""COMPUTED_VALUE"""),"Si")</f>
        <v>Si</v>
      </c>
      <c r="BW34" s="30">
        <f ca="1">IFERROR(__xludf.DUMMYFUNCTION("""COMPUTED_VALUE"""),53)</f>
        <v>53</v>
      </c>
      <c r="BX34" s="30">
        <f ca="1">IFERROR(__xludf.DUMMYFUNCTION("""COMPUTED_VALUE"""),53)</f>
        <v>53</v>
      </c>
      <c r="BY34" s="30">
        <f ca="1">IFERROR(__xludf.DUMMYFUNCTION("""COMPUTED_VALUE"""),0)</f>
        <v>0</v>
      </c>
      <c r="BZ34" s="30" t="str">
        <f ca="1">IFERROR(__xludf.DUMMYFUNCTION("""COMPUTED_VALUE"""),"Guanajuato")</f>
        <v>Guanajuato</v>
      </c>
      <c r="CA34" s="30" t="str">
        <f ca="1">IFERROR(__xludf.DUMMYFUNCTION("""COMPUTED_VALUE"""),"No")</f>
        <v>No</v>
      </c>
      <c r="CB34" s="30" t="str">
        <f ca="1">IFERROR(__xludf.DUMMYFUNCTION("""COMPUTED_VALUE"""),"No")</f>
        <v>No</v>
      </c>
      <c r="CC34" s="30" t="str">
        <f ca="1">IFERROR(__xludf.DUMMYFUNCTION("""COMPUTED_VALUE"""),"72582f5c")</f>
        <v>72582f5c</v>
      </c>
      <c r="CD34" s="29" t="str">
        <f ca="1">IFERROR(__xludf.DUMMYFUNCTION("""COMPUTED_VALUE"""),"Adultos (30 a 59 años)")</f>
        <v>Adultos (30 a 59 años)</v>
      </c>
      <c r="CE34" s="30" t="str">
        <f ca="1">IFERROR(__xludf.DUMMYFUNCTION("""COMPUTED_VALUE"""),"Dato global")</f>
        <v>Dato global</v>
      </c>
      <c r="CF34" s="30" t="str">
        <f ca="1">IFERROR(__xludf.DUMMYFUNCTION("""COMPUTED_VALUE"""),"Ninguno (Población General)")</f>
        <v>Ninguno (Población General)</v>
      </c>
      <c r="CG34" s="30">
        <f ca="1">IFERROR(__xludf.DUMMYFUNCTION("""COMPUTED_VALUE"""),18)</f>
        <v>18</v>
      </c>
      <c r="CI34" s="30" t="str">
        <f ca="1">IFERROR(__xludf.DUMMYFUNCTION("""COMPUTED_VALUE"""),"a992416e")</f>
        <v>a992416e</v>
      </c>
      <c r="CJ34" s="29" t="str">
        <f ca="1">IFERROR(__xludf.DUMMYFUNCTION("""COMPUTED_VALUE"""),"Regitro_Evidencia_Files_/a992416e.Archivo_Evidencia.202020.zip")</f>
        <v>Regitro_Evidencia_Files_/a992416e.Archivo_Evidencia.202020.zip</v>
      </c>
      <c r="CK34" s="30" t="str">
        <f ca="1">IFERROR(__xludf.DUMMYFUNCTION("""COMPUTED_VALUE"""),"Carpeta")</f>
        <v>Carpeta</v>
      </c>
      <c r="CL34" s="30"/>
      <c r="CM34" s="30" t="str">
        <f ca="1">IFERROR(__xludf.DUMMYFUNCTION("""COMPUTED_VALUE"""),"Guanajuato")</f>
        <v>Guanajuato</v>
      </c>
      <c r="CN34" s="32" t="e">
        <f ca="1"/>
        <v>#NAME?</v>
      </c>
      <c r="CO34" s="32" t="e">
        <f ca="1"/>
        <v>#NAME?</v>
      </c>
      <c r="CP34" s="32" t="e">
        <f ca="1"/>
        <v>#NAME?</v>
      </c>
      <c r="CQ34" s="32" t="e">
        <f ca="1"/>
        <v>#NAME?</v>
      </c>
      <c r="CR34" s="30" t="e">
        <f ca="1"/>
        <v>#NAME?</v>
      </c>
      <c r="CS34" s="30" t="str">
        <f ca="1">IFERROR(__xludf.DUMMYFUNCTION("""COMPUTED_VALUE"""),"NNA (Niñas, Niños y Adolescentes)")</f>
        <v>NNA (Niñas, Niños y Adolescentes)</v>
      </c>
    </row>
    <row r="35" spans="1:97" ht="15.5">
      <c r="A35" s="29" t="str">
        <f ca="1">IFERROR(__xludf.DUMMYFUNCTION("""COMPUTED_VALUE"""),"ACT-SCQF07472")</f>
        <v>ACT-SCQF07472</v>
      </c>
      <c r="B35" s="30" t="str">
        <f ca="1">IFERROR(__xludf.DUMMYFUNCTION("""COMPUTED_VALUE"""),"SC-260617-142030")</f>
        <v>SC-260617-142030</v>
      </c>
      <c r="C35" s="62">
        <f ca="1">IFERROR(__xludf.DUMMYFUNCTION("""COMPUTED_VALUE"""),46190.5975694444)</f>
        <v>46190.597569444399</v>
      </c>
      <c r="D35" s="30">
        <f ca="1">IFERROR(__xludf.DUMMYFUNCTION("""COMPUTED_VALUE"""),92)</f>
        <v>92</v>
      </c>
      <c r="E35" s="30" t="str">
        <f ca="1">IFERROR(__xludf.DUMMYFUNCTION("""COMPUTED_VALUE"""),"PB3572")</f>
        <v>PB3572</v>
      </c>
      <c r="F3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 s="30" t="str">
        <f ca="1">IFERROR(__xludf.DUMMYFUNCTION("""COMPUTED_VALUE"""),"SUBSECRETARÍA DE DESARROLLO Y PROMOCIÓN ARTÍSTICA Y CULTURAL")</f>
        <v>SUBSECRETARÍA DE DESARROLLO Y PROMOCIÓN ARTÍSTICA Y CULTURAL</v>
      </c>
      <c r="I35" s="34" t="str">
        <f ca="1">IFERROR(__xludf.DUMMYFUNCTION("""COMPUTED_VALUE"""),"DIRECCIÓN GENERAL DE MUSEOS, ARTES VISUALES Y EXPOSICIONES")</f>
        <v>DIRECCIÓN GENERAL DE MUSEOS, ARTES VISUALES Y EXPOSICIONES</v>
      </c>
      <c r="J35" s="30" t="str">
        <f ca="1">IFERROR(__xludf.DUMMYFUNCTION("""COMPUTED_VALUE"""),"Número de Actividades realizadas")</f>
        <v>Número de Actividades realizadas</v>
      </c>
      <c r="K35" s="30">
        <f ca="1">IFERROR(__xludf.DUMMYFUNCTION("""COMPUTED_VALUE"""),800)</f>
        <v>800</v>
      </c>
      <c r="L35" s="30" t="str">
        <f ca="1">IFERROR(__xludf.DUMMYFUNCTION("""COMPUTED_VALUE"""),"Artística")</f>
        <v>Artística</v>
      </c>
      <c r="M35" s="30" t="str">
        <f ca="1">IFERROR(__xludf.DUMMYFUNCTION("""COMPUTED_VALUE"""),"Tradición cerámica en Guanajuato")</f>
        <v>Tradición cerámica en Guanajuato</v>
      </c>
      <c r="N35" s="30" t="str">
        <f ca="1">IFERROR(__xludf.DUMMYFUNCTION("""COMPUTED_VALUE"""),"conferencia a cargo de Paulina Delgado en torno a esta importante tradición")</f>
        <v>conferencia a cargo de Paulina Delgado en torno a esta importante tradición</v>
      </c>
      <c r="O35" s="30" t="str">
        <f ca="1">IFERROR(__xludf.DUMMYFUNCTION("""COMPUTED_VALUE"""),"Única")</f>
        <v>Única</v>
      </c>
      <c r="P35" s="33">
        <f ca="1">IFERROR(__xludf.DUMMYFUNCTION("""COMPUTED_VALUE"""),46124)</f>
        <v>46124</v>
      </c>
      <c r="Q35" s="64">
        <f ca="1">IFERROR(__xludf.DUMMYFUNCTION("""COMPUTED_VALUE"""),46124)</f>
        <v>46124</v>
      </c>
      <c r="R35" s="30">
        <f ca="1">IFERROR(__xludf.DUMMYFUNCTION("""COMPUTED_VALUE"""),1)</f>
        <v>1</v>
      </c>
      <c r="S35" s="30" t="str">
        <f ca="1">IFERROR(__xludf.DUMMYFUNCTION("""COMPUTED_VALUE"""),"Artesanías y arte popular")</f>
        <v>Artesanías y arte popular</v>
      </c>
      <c r="T35" s="30" t="str">
        <f ca="1">IFERROR(__xludf.DUMMYFUNCTION("""COMPUTED_VALUE"""),"Cerámica")</f>
        <v>Cerámica</v>
      </c>
      <c r="U35" s="30" t="str">
        <f ca="1">IFERROR(__xludf.DUMMYFUNCTION("""COMPUTED_VALUE"""),"Conferencia")</f>
        <v>Conferencia</v>
      </c>
      <c r="V35" s="30" t="str">
        <f ca="1">IFERROR(__xludf.DUMMYFUNCTION("""COMPUTED_VALUE"""),"Ninguna")</f>
        <v>Ninguna</v>
      </c>
      <c r="W35" s="30" t="str">
        <f ca="1">IFERROR(__xludf.DUMMYFUNCTION("""COMPUTED_VALUE"""),"Presencial")</f>
        <v>Presencial</v>
      </c>
      <c r="X35" s="30" t="str">
        <f ca="1">IFERROR(__xludf.DUMMYFUNCTION("""COMPUTED_VALUE"""),"Espacio a Cargo de la Secretaría")</f>
        <v>Espacio a Cargo de la Secretaría</v>
      </c>
      <c r="Y35" s="30" t="str">
        <f ca="1">IFERROR(__xludf.DUMMYFUNCTION("""COMPUTED_VALUE"""),"2")</f>
        <v>2</v>
      </c>
      <c r="Z35" s="30"/>
      <c r="AA35" s="30"/>
      <c r="AB35" s="30" t="b">
        <f ca="1">IFERROR(__xludf.DUMMYFUNCTION("""COMPUTED_VALUE"""),FALSE)</f>
        <v>0</v>
      </c>
      <c r="AC35" s="30"/>
      <c r="AD35" s="30" t="b">
        <f ca="1">IFERROR(__xludf.DUMMYFUNCTION("""COMPUTED_VALUE"""),FALSE)</f>
        <v>0</v>
      </c>
      <c r="AE35" s="30"/>
      <c r="AF35" s="30" t="b">
        <f ca="1">IFERROR(__xludf.DUMMYFUNCTION("""COMPUTED_VALUE"""),FALSE)</f>
        <v>0</v>
      </c>
      <c r="AG35" s="30"/>
      <c r="AH35" s="30" t="str">
        <f ca="1">IFERROR(__xludf.DUMMYFUNCTION("""COMPUTED_VALUE"""),"Sin costo")</f>
        <v>Sin costo</v>
      </c>
      <c r="AI35" s="30"/>
      <c r="AJ35" s="30"/>
      <c r="AK35" s="30"/>
      <c r="AL35" s="30" t="str">
        <f ca="1">IFERROR(__xludf.DUMMYFUNCTION("""COMPUTED_VALUE"""),"ccardonav@guanajuato.gob.mx")</f>
        <v>ccardonav@guanajuato.gob.mx</v>
      </c>
      <c r="AM35" s="30" t="str">
        <f ca="1">IFERROR(__xludf.DUMMYFUNCTION("""COMPUTED_VALUE"""),"Arraigo y empoderamiento cultural de comunidades.")</f>
        <v>Arraigo y empoderamiento cultural de comunidades.</v>
      </c>
      <c r="AN35" s="30" t="str">
        <f ca="1">IFERROR(__xludf.DUMMYFUNCTION("""COMPUTED_VALUE"""),"1 Tranquilidad")</f>
        <v>1 Tranquilidad</v>
      </c>
      <c r="AO35" s="30" t="str">
        <f ca="1">IFERROR(__xludf.DUMMYFUNCTION("""COMPUTED_VALUE"""),"1.2 Fortalecer prevención del delito")</f>
        <v>1.2 Fortalecer prevención del delito</v>
      </c>
      <c r="AP35" s="30" t="str">
        <f ca="1">IFERROR(__xludf.DUMMYFUNCTION("""COMPUTED_VALUE"""),"1.2.2 Fortalecimiento del tejido social")</f>
        <v>1.2.2 Fortalecimiento del tejido social</v>
      </c>
      <c r="AQ35" s="30" t="str">
        <f ca="1">IFERROR(__xludf.DUMMYFUNCTION("""COMPUTED_VALUE"""),"1.2.3.4 Promover una cultura de paz desde las expresiones artísticas y culturales")</f>
        <v>1.2.3.4 Promover una cultura de paz desde las expresiones artísticas y culturales</v>
      </c>
      <c r="AR35" s="30" t="str">
        <f ca="1">IFERROR(__xludf.DUMMYFUNCTION("""COMPUTED_VALUE"""),"Cooperación")</f>
        <v>Cooperación</v>
      </c>
      <c r="AS35" s="30"/>
      <c r="AT35" s="30" t="str">
        <f ca="1">IFERROR(__xludf.DUMMYFUNCTION("""COMPUTED_VALUE"""),"Fortalecimiento de la participación ciudadana y la mediación cultural")</f>
        <v>Fortalecimiento de la participación ciudadana y la mediación cultural</v>
      </c>
      <c r="AU35" s="30" t="str">
        <f ca="1">IFERROR(__xludf.DUMMYFUNCTION("""COMPUTED_VALUE"""),"Impulso a la ampliación de la oferta cultural en los territorios.")</f>
        <v>Impulso a la ampliación de la oferta cultural en los territorios.</v>
      </c>
      <c r="AV3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 s="30" t="str">
        <f ca="1">IFERROR(__xludf.DUMMYFUNCTION("""COMPUTED_VALUE"""),"Incrementar en 25% la oferta cultural realizada en los municipios.")</f>
        <v>Incrementar en 25% la oferta cultural realizada en los municipios.</v>
      </c>
      <c r="AX35" s="30" t="str">
        <f ca="1">IFERROR(__xludf.DUMMYFUNCTION("""COMPUTED_VALUE"""),"Taller")</f>
        <v>Taller</v>
      </c>
      <c r="AY35" s="30" t="str">
        <f ca="1">IFERROR(__xludf.DUMMYFUNCTION("""COMPUTED_VALUE"""),"Formación")</f>
        <v>Formación</v>
      </c>
      <c r="AZ35" s="30" t="str">
        <f ca="1">IFERROR(__xludf.DUMMYFUNCTION("""COMPUTED_VALUE"""),"Formación")</f>
        <v>Formación</v>
      </c>
      <c r="BA35" s="30"/>
      <c r="BB35" s="30"/>
      <c r="BC35" s="30">
        <f ca="1">IFERROR(__xludf.DUMMYFUNCTION("""COMPUTED_VALUE"""),0)</f>
        <v>0</v>
      </c>
      <c r="BD35" s="30"/>
      <c r="BE35" s="30"/>
      <c r="BF35" s="30" t="b">
        <f ca="1">IFERROR(__xludf.DUMMYFUNCTION("""COMPUTED_VALUE"""),FALSE)</f>
        <v>0</v>
      </c>
      <c r="BG35" s="30"/>
      <c r="BH35" s="30"/>
      <c r="BI35" s="30"/>
      <c r="BJ35" s="30"/>
      <c r="BK35" s="30"/>
      <c r="BL35" s="30"/>
      <c r="BM35" s="30" t="str">
        <f ca="1">IFERROR(__xludf.DUMMYFUNCTION("""COMPUTED_VALUE"""),"No")</f>
        <v>No</v>
      </c>
      <c r="BN35" s="30"/>
      <c r="BO35" s="30" t="str">
        <f ca="1">IFERROR(__xludf.DUMMYFUNCTION("""COMPUTED_VALUE"""),"80ad4989")</f>
        <v>80ad4989</v>
      </c>
      <c r="BP35" s="29" t="str">
        <f ca="1">IFERROR(__xludf.DUMMYFUNCTION("""COMPUTED_VALUE"""),"Guanajuato")</f>
        <v>Guanajuato</v>
      </c>
      <c r="BQ35" s="30" t="str">
        <f ca="1">IFERROR(__xludf.DUMMYFUNCTION("""COMPUTED_VALUE"""),"Urbano")</f>
        <v>Urbano</v>
      </c>
      <c r="BR35" s="30"/>
      <c r="BS35" s="30"/>
      <c r="BT35" s="30" t="str">
        <f ca="1">IFERROR(__xludf.DUMMYFUNCTION("""COMPUTED_VALUE"""),"GUANAJUATO CENTRO")</f>
        <v>GUANAJUATO CENTRO</v>
      </c>
      <c r="BU35" s="30" t="str">
        <f ca="1">IFERROR(__xludf.DUMMYFUNCTION("""COMPUTED_VALUE"""),"No")</f>
        <v>No</v>
      </c>
      <c r="BV35" s="30" t="str">
        <f ca="1">IFERROR(__xludf.DUMMYFUNCTION("""COMPUTED_VALUE"""),"No")</f>
        <v>No</v>
      </c>
      <c r="BW35" s="30">
        <f ca="1">IFERROR(__xludf.DUMMYFUNCTION("""COMPUTED_VALUE"""),49)</f>
        <v>49</v>
      </c>
      <c r="BX35" s="30"/>
      <c r="BY35" s="30">
        <f ca="1">IFERROR(__xludf.DUMMYFUNCTION("""COMPUTED_VALUE"""),49)</f>
        <v>49</v>
      </c>
      <c r="BZ35" s="30" t="str">
        <f ca="1">IFERROR(__xludf.DUMMYFUNCTION("""COMPUTED_VALUE"""),"GUANAJUATO CENTRO")</f>
        <v>GUANAJUATO CENTRO</v>
      </c>
      <c r="CA35" s="30" t="str">
        <f ca="1">IFERROR(__xludf.DUMMYFUNCTION("""COMPUTED_VALUE"""),"No")</f>
        <v>No</v>
      </c>
      <c r="CB35" s="30" t="str">
        <f ca="1">IFERROR(__xludf.DUMMYFUNCTION("""COMPUTED_VALUE"""),"No")</f>
        <v>No</v>
      </c>
      <c r="CC35" s="30" t="str">
        <f ca="1">IFERROR(__xludf.DUMMYFUNCTION("""COMPUTED_VALUE"""),"9152cc8e")</f>
        <v>9152cc8e</v>
      </c>
      <c r="CD35" s="29" t="str">
        <f ca="1">IFERROR(__xludf.DUMMYFUNCTION("""COMPUTED_VALUE"""),"Adolescentes (13 a 17 años)")</f>
        <v>Adolescentes (13 a 17 años)</v>
      </c>
      <c r="CE35" s="30" t="str">
        <f ca="1">IFERROR(__xludf.DUMMYFUNCTION("""COMPUTED_VALUE"""),"Dato global")</f>
        <v>Dato global</v>
      </c>
      <c r="CF35" s="30" t="str">
        <f ca="1">IFERROR(__xludf.DUMMYFUNCTION("""COMPUTED_VALUE"""),"Ninguno (Población General)")</f>
        <v>Ninguno (Población General)</v>
      </c>
      <c r="CG35" s="30">
        <f ca="1">IFERROR(__xludf.DUMMYFUNCTION("""COMPUTED_VALUE"""),33)</f>
        <v>33</v>
      </c>
      <c r="CI35" s="30" t="str">
        <f ca="1">IFERROR(__xludf.DUMMYFUNCTION("""COMPUTED_VALUE"""),"7b103841")</f>
        <v>7b103841</v>
      </c>
      <c r="CJ35" s="29" t="str">
        <f ca="1">IFERROR(__xludf.DUMMYFUNCTION("""COMPUTED_VALUE"""),"Regitro_Evidencia_Files_/7b103841.Archivo_Evidencia.203315.zip")</f>
        <v>Regitro_Evidencia_Files_/7b103841.Archivo_Evidencia.203315.zip</v>
      </c>
      <c r="CK35" s="30" t="str">
        <f ca="1">IFERROR(__xludf.DUMMYFUNCTION("""COMPUTED_VALUE"""),"Carpeta")</f>
        <v>Carpeta</v>
      </c>
      <c r="CL35" s="30"/>
      <c r="CM35" s="30" t="str">
        <f ca="1">IFERROR(__xludf.DUMMYFUNCTION("""COMPUTED_VALUE"""),"Guanajuato")</f>
        <v>Guanajuato</v>
      </c>
      <c r="CN35" s="32" t="e">
        <f ca="1"/>
        <v>#NAME?</v>
      </c>
      <c r="CO35" s="32" t="e">
        <f ca="1"/>
        <v>#NAME?</v>
      </c>
      <c r="CP35" s="32" t="e">
        <f ca="1"/>
        <v>#NAME?</v>
      </c>
      <c r="CQ35" s="32" t="e">
        <f ca="1"/>
        <v>#NAME?</v>
      </c>
      <c r="CR35" s="30" t="e">
        <f ca="1"/>
        <v>#NAME?</v>
      </c>
      <c r="CS35" s="30" t="str">
        <f ca="1">IFERROR(__xludf.DUMMYFUNCTION("""COMPUTED_VALUE"""),"NNA (Niñas, Niños y Adolescentes)")</f>
        <v>NNA (Niñas, Niños y Adolescentes)</v>
      </c>
    </row>
    <row r="36" spans="1:97" ht="15.5">
      <c r="A36" s="29" t="str">
        <f ca="1">IFERROR(__xludf.DUMMYFUNCTION("""COMPUTED_VALUE"""),"ACT-SCNJ91361")</f>
        <v>ACT-SCNJ91361</v>
      </c>
      <c r="B36" s="30" t="str">
        <f ca="1">IFERROR(__xludf.DUMMYFUNCTION("""COMPUTED_VALUE"""),"SC-260617-143326")</f>
        <v>SC-260617-143326</v>
      </c>
      <c r="C36" s="62">
        <f ca="1">IFERROR(__xludf.DUMMYFUNCTION("""COMPUTED_VALUE"""),46190.6065509259)</f>
        <v>46190.606550925899</v>
      </c>
      <c r="D36" s="30">
        <f ca="1">IFERROR(__xludf.DUMMYFUNCTION("""COMPUTED_VALUE"""),92)</f>
        <v>92</v>
      </c>
      <c r="E36" s="30" t="str">
        <f ca="1">IFERROR(__xludf.DUMMYFUNCTION("""COMPUTED_VALUE"""),"PB3572")</f>
        <v>PB3572</v>
      </c>
      <c r="F3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 s="30" t="str">
        <f ca="1">IFERROR(__xludf.DUMMYFUNCTION("""COMPUTED_VALUE"""),"SUBSECRETARÍA DE DESARROLLO Y PROMOCIÓN ARTÍSTICA Y CULTURAL")</f>
        <v>SUBSECRETARÍA DE DESARROLLO Y PROMOCIÓN ARTÍSTICA Y CULTURAL</v>
      </c>
      <c r="I36" s="34" t="str">
        <f ca="1">IFERROR(__xludf.DUMMYFUNCTION("""COMPUTED_VALUE"""),"DIRECCIÓN GENERAL DE MUSEOS, ARTES VISUALES Y EXPOSICIONES")</f>
        <v>DIRECCIÓN GENERAL DE MUSEOS, ARTES VISUALES Y EXPOSICIONES</v>
      </c>
      <c r="J36" s="30" t="str">
        <f ca="1">IFERROR(__xludf.DUMMYFUNCTION("""COMPUTED_VALUE"""),"Número de Actividades realizadas")</f>
        <v>Número de Actividades realizadas</v>
      </c>
      <c r="K36" s="30">
        <f ca="1">IFERROR(__xludf.DUMMYFUNCTION("""COMPUTED_VALUE"""),800)</f>
        <v>800</v>
      </c>
      <c r="L36" s="30" t="str">
        <f ca="1">IFERROR(__xludf.DUMMYFUNCTION("""COMPUTED_VALUE"""),"Artística")</f>
        <v>Artística</v>
      </c>
      <c r="M36" s="30" t="str">
        <f ca="1">IFERROR(__xludf.DUMMYFUNCTION("""COMPUTED_VALUE"""),"Talleres en el Día Mundial del Arte")</f>
        <v>Talleres en el Día Mundial del Arte</v>
      </c>
      <c r="N36" s="30" t="str">
        <f ca="1">IFERROR(__xludf.DUMMYFUNCTION("""COMPUTED_VALUE"""),"Invitamos a las niñas, niños y sus familias, a celebrar el Día Mundial del Arte con un recorrido lúdico por el Museo Conde Rul y a participar en nuestras mesas de arte: grabado, pintura y barro. Con participación musical  Sakura, tema y variaciones, por G"&amp;"ustavo Botello Áviles.")</f>
        <v>Invitamos a las niñas, niños y sus familias, a celebrar el Día Mundial del Arte con un recorrido lúdico por el Museo Conde Rul y a participar en nuestras mesas de arte: grabado, pintura y barro. Con participación musical  Sakura, tema y variaciones, por Gustavo Botello Áviles.</v>
      </c>
      <c r="O36" s="30" t="str">
        <f ca="1">IFERROR(__xludf.DUMMYFUNCTION("""COMPUTED_VALUE"""),"Única")</f>
        <v>Única</v>
      </c>
      <c r="P36" s="33">
        <f ca="1">IFERROR(__xludf.DUMMYFUNCTION("""COMPUTED_VALUE"""),46127)</f>
        <v>46127</v>
      </c>
      <c r="Q36" s="64">
        <f ca="1">IFERROR(__xludf.DUMMYFUNCTION("""COMPUTED_VALUE"""),46127)</f>
        <v>46127</v>
      </c>
      <c r="R36" s="30">
        <f ca="1">IFERROR(__xludf.DUMMYFUNCTION("""COMPUTED_VALUE"""),1)</f>
        <v>1</v>
      </c>
      <c r="S36" s="30" t="str">
        <f ca="1">IFERROR(__xludf.DUMMYFUNCTION("""COMPUTED_VALUE"""),"Artes visuales")</f>
        <v>Artes visuales</v>
      </c>
      <c r="T36" s="30" t="str">
        <f ca="1">IFERROR(__xludf.DUMMYFUNCTION("""COMPUTED_VALUE"""),"Pintura")</f>
        <v>Pintura</v>
      </c>
      <c r="U36" s="30" t="str">
        <f ca="1">IFERROR(__xludf.DUMMYFUNCTION("""COMPUTED_VALUE"""),"Taller")</f>
        <v>Taller</v>
      </c>
      <c r="V36" s="30" t="str">
        <f ca="1">IFERROR(__xludf.DUMMYFUNCTION("""COMPUTED_VALUE"""),"Ninguna")</f>
        <v>Ninguna</v>
      </c>
      <c r="W36" s="30" t="str">
        <f ca="1">IFERROR(__xludf.DUMMYFUNCTION("""COMPUTED_VALUE"""),"Presencial")</f>
        <v>Presencial</v>
      </c>
      <c r="X36" s="30" t="str">
        <f ca="1">IFERROR(__xludf.DUMMYFUNCTION("""COMPUTED_VALUE"""),"Espacio a Cargo de la Secretaría")</f>
        <v>Espacio a Cargo de la Secretaría</v>
      </c>
      <c r="Y36" s="30" t="str">
        <f ca="1">IFERROR(__xludf.DUMMYFUNCTION("""COMPUTED_VALUE"""),"4")</f>
        <v>4</v>
      </c>
      <c r="Z36" s="30"/>
      <c r="AA36" s="30"/>
      <c r="AB36" s="30" t="b">
        <f ca="1">IFERROR(__xludf.DUMMYFUNCTION("""COMPUTED_VALUE"""),FALSE)</f>
        <v>0</v>
      </c>
      <c r="AC36" s="30"/>
      <c r="AD36" s="30" t="b">
        <f ca="1">IFERROR(__xludf.DUMMYFUNCTION("""COMPUTED_VALUE"""),FALSE)</f>
        <v>0</v>
      </c>
      <c r="AE36" s="30"/>
      <c r="AF36" s="30" t="b">
        <f ca="1">IFERROR(__xludf.DUMMYFUNCTION("""COMPUTED_VALUE"""),FALSE)</f>
        <v>0</v>
      </c>
      <c r="AG36" s="30"/>
      <c r="AH36" s="30" t="str">
        <f ca="1">IFERROR(__xludf.DUMMYFUNCTION("""COMPUTED_VALUE"""),"Sin costo")</f>
        <v>Sin costo</v>
      </c>
      <c r="AI36" s="30"/>
      <c r="AJ36" s="30"/>
      <c r="AK36" s="30"/>
      <c r="AL36" s="30" t="str">
        <f ca="1">IFERROR(__xludf.DUMMYFUNCTION("""COMPUTED_VALUE"""),"ccardonav@guanajuato.gob.mx")</f>
        <v>ccardonav@guanajuato.gob.mx</v>
      </c>
      <c r="AM36" s="30" t="str">
        <f ca="1">IFERROR(__xludf.DUMMYFUNCTION("""COMPUTED_VALUE"""),"Arraigo y empoderamiento cultural de comunidades.")</f>
        <v>Arraigo y empoderamiento cultural de comunidades.</v>
      </c>
      <c r="AN36" s="30" t="str">
        <f ca="1">IFERROR(__xludf.DUMMYFUNCTION("""COMPUTED_VALUE"""),"2 Igualdad")</f>
        <v>2 Igualdad</v>
      </c>
      <c r="AO36" s="30" t="str">
        <f ca="1">IFERROR(__xludf.DUMMYFUNCTION("""COMPUTED_VALUE"""),"2.4 Reducir brechas de desigualdad")</f>
        <v>2.4 Reducir brechas de desigualdad</v>
      </c>
      <c r="AP36" s="30" t="str">
        <f ca="1">IFERROR(__xludf.DUMMYFUNCTION("""COMPUTED_VALUE"""),"2.4.3 Descentralización de la oferta cultural")</f>
        <v>2.4.3 Descentralización de la oferta cultural</v>
      </c>
      <c r="AQ36" s="30" t="str">
        <f ca="1">IFERROR(__xludf.DUMMYFUNCTION("""COMPUTED_VALUE"""),"2.4.3.1 Impulsar el desarrollo artístico y cultural entre infancias y juventudes")</f>
        <v>2.4.3.1 Impulsar el desarrollo artístico y cultural entre infancias y juventudes</v>
      </c>
      <c r="AR36" s="30" t="str">
        <f ca="1">IFERROR(__xludf.DUMMYFUNCTION("""COMPUTED_VALUE"""),"Cooperación")</f>
        <v>Cooperación</v>
      </c>
      <c r="AS36" s="30"/>
      <c r="AT36" s="30" t="str">
        <f ca="1">IFERROR(__xludf.DUMMYFUNCTION("""COMPUTED_VALUE"""),"Fortalecimiento de la participación ciudadana y la mediación cultural")</f>
        <v>Fortalecimiento de la participación ciudadana y la mediación cultural</v>
      </c>
      <c r="AU36" s="30" t="str">
        <f ca="1">IFERROR(__xludf.DUMMYFUNCTION("""COMPUTED_VALUE"""),"Impulso a la ampliación de la oferta cultural en los territorios.")</f>
        <v>Impulso a la ampliación de la oferta cultural en los territorios.</v>
      </c>
      <c r="AV3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 s="30" t="str">
        <f ca="1">IFERROR(__xludf.DUMMYFUNCTION("""COMPUTED_VALUE"""),"Incrementar en 25% la oferta cultural realizada en los municipios.")</f>
        <v>Incrementar en 25% la oferta cultural realizada en los municipios.</v>
      </c>
      <c r="AX36" s="30" t="str">
        <f ca="1">IFERROR(__xludf.DUMMYFUNCTION("""COMPUTED_VALUE"""),"Taller")</f>
        <v>Taller</v>
      </c>
      <c r="AY36" s="30" t="str">
        <f ca="1">IFERROR(__xludf.DUMMYFUNCTION("""COMPUTED_VALUE"""),"Formación")</f>
        <v>Formación</v>
      </c>
      <c r="AZ36" s="30" t="str">
        <f ca="1">IFERROR(__xludf.DUMMYFUNCTION("""COMPUTED_VALUE"""),"Formación")</f>
        <v>Formación</v>
      </c>
      <c r="BA36" s="30"/>
      <c r="BB36" s="30"/>
      <c r="BC36" s="30">
        <f ca="1">IFERROR(__xludf.DUMMYFUNCTION("""COMPUTED_VALUE"""),0)</f>
        <v>0</v>
      </c>
      <c r="BD36" s="30"/>
      <c r="BE36" s="30"/>
      <c r="BF36" s="30" t="b">
        <f ca="1">IFERROR(__xludf.DUMMYFUNCTION("""COMPUTED_VALUE"""),FALSE)</f>
        <v>0</v>
      </c>
      <c r="BG36" s="30"/>
      <c r="BH36" s="30"/>
      <c r="BI36" s="30"/>
      <c r="BJ36" s="30"/>
      <c r="BK36" s="30"/>
      <c r="BL36" s="30"/>
      <c r="BM36" s="30" t="str">
        <f ca="1">IFERROR(__xludf.DUMMYFUNCTION("""COMPUTED_VALUE"""),"No")</f>
        <v>No</v>
      </c>
      <c r="BN36" s="30"/>
      <c r="BO36" s="30" t="str">
        <f ca="1">IFERROR(__xludf.DUMMYFUNCTION("""COMPUTED_VALUE"""),"0c520435")</f>
        <v>0c520435</v>
      </c>
      <c r="BP36" s="29" t="str">
        <f ca="1">IFERROR(__xludf.DUMMYFUNCTION("""COMPUTED_VALUE"""),"Guanajuato")</f>
        <v>Guanajuato</v>
      </c>
      <c r="BQ36" s="30" t="str">
        <f ca="1">IFERROR(__xludf.DUMMYFUNCTION("""COMPUTED_VALUE"""),"Urbano")</f>
        <v>Urbano</v>
      </c>
      <c r="BR36" s="30">
        <f ca="1">IFERROR(__xludf.DUMMYFUNCTION("""COMPUTED_VALUE"""),49)</f>
        <v>49</v>
      </c>
      <c r="BS36" s="30" t="str">
        <f ca="1">IFERROR(__xludf.DUMMYFUNCTION("""COMPUTED_VALUE"""),"Guanajuato")</f>
        <v>Guanajuato</v>
      </c>
      <c r="BT36" s="30"/>
      <c r="BU36" s="30" t="str">
        <f ca="1">IFERROR(__xludf.DUMMYFUNCTION("""COMPUTED_VALUE"""),"Si")</f>
        <v>Si</v>
      </c>
      <c r="BV36" s="30" t="str">
        <f ca="1">IFERROR(__xludf.DUMMYFUNCTION("""COMPUTED_VALUE"""),"Si")</f>
        <v>Si</v>
      </c>
      <c r="BW36" s="30">
        <f ca="1">IFERROR(__xludf.DUMMYFUNCTION("""COMPUTED_VALUE"""),44)</f>
        <v>44</v>
      </c>
      <c r="BX36" s="30">
        <f ca="1">IFERROR(__xludf.DUMMYFUNCTION("""COMPUTED_VALUE"""),44)</f>
        <v>44</v>
      </c>
      <c r="BY36" s="30">
        <f ca="1">IFERROR(__xludf.DUMMYFUNCTION("""COMPUTED_VALUE"""),0)</f>
        <v>0</v>
      </c>
      <c r="BZ36" s="30" t="str">
        <f ca="1">IFERROR(__xludf.DUMMYFUNCTION("""COMPUTED_VALUE"""),"Guanajuato")</f>
        <v>Guanajuato</v>
      </c>
      <c r="CA36" s="30" t="str">
        <f ca="1">IFERROR(__xludf.DUMMYFUNCTION("""COMPUTED_VALUE"""),"No")</f>
        <v>No</v>
      </c>
      <c r="CB36" s="30" t="str">
        <f ca="1">IFERROR(__xludf.DUMMYFUNCTION("""COMPUTED_VALUE"""),"No")</f>
        <v>No</v>
      </c>
      <c r="CC36" s="30" t="str">
        <f ca="1">IFERROR(__xludf.DUMMYFUNCTION("""COMPUTED_VALUE"""),"3bacb7b4")</f>
        <v>3bacb7b4</v>
      </c>
      <c r="CD36" s="29" t="str">
        <f ca="1">IFERROR(__xludf.DUMMYFUNCTION("""COMPUTED_VALUE"""),"Jóvenes (18 a 29 años)")</f>
        <v>Jóvenes (18 a 29 años)</v>
      </c>
      <c r="CE36" s="30" t="str">
        <f ca="1">IFERROR(__xludf.DUMMYFUNCTION("""COMPUTED_VALUE"""),"Dato global")</f>
        <v>Dato global</v>
      </c>
      <c r="CF36" s="30" t="str">
        <f ca="1">IFERROR(__xludf.DUMMYFUNCTION("""COMPUTED_VALUE"""),"Ninguno (Población General)")</f>
        <v>Ninguno (Población General)</v>
      </c>
      <c r="CG36" s="30">
        <f ca="1">IFERROR(__xludf.DUMMYFUNCTION("""COMPUTED_VALUE"""),11)</f>
        <v>11</v>
      </c>
      <c r="CI36" s="30" t="str">
        <f ca="1">IFERROR(__xludf.DUMMYFUNCTION("""COMPUTED_VALUE"""),"51bd23dd")</f>
        <v>51bd23dd</v>
      </c>
      <c r="CJ36" s="29" t="str">
        <f ca="1">IFERROR(__xludf.DUMMYFUNCTION("""COMPUTED_VALUE"""),"Regitro_Evidencia_Files_/51bd23dd.Archivo_Evidencia.203850.zip")</f>
        <v>Regitro_Evidencia_Files_/51bd23dd.Archivo_Evidencia.203850.zip</v>
      </c>
      <c r="CK36" s="30" t="str">
        <f ca="1">IFERROR(__xludf.DUMMYFUNCTION("""COMPUTED_VALUE"""),"Carpeta")</f>
        <v>Carpeta</v>
      </c>
      <c r="CL36" s="30"/>
      <c r="CM36" s="30" t="str">
        <f ca="1">IFERROR(__xludf.DUMMYFUNCTION("""COMPUTED_VALUE"""),"Guanajuato")</f>
        <v>Guanajuato</v>
      </c>
      <c r="CN36" s="32" t="e">
        <f ca="1"/>
        <v>#NAME?</v>
      </c>
      <c r="CO36" s="32" t="e">
        <f ca="1"/>
        <v>#NAME?</v>
      </c>
      <c r="CP36" s="32" t="e">
        <f ca="1"/>
        <v>#NAME?</v>
      </c>
      <c r="CQ36" s="32" t="e">
        <f ca="1"/>
        <v>#NAME?</v>
      </c>
      <c r="CR36" s="30" t="e">
        <f ca="1"/>
        <v>#NAME?</v>
      </c>
      <c r="CS36" s="30" t="str">
        <f ca="1">IFERROR(__xludf.DUMMYFUNCTION("""COMPUTED_VALUE"""),"Ninguno (Población General)")</f>
        <v>Ninguno (Población General)</v>
      </c>
    </row>
    <row r="37" spans="1:97" ht="15.5">
      <c r="A37" s="29" t="str">
        <f ca="1">IFERROR(__xludf.DUMMYFUNCTION("""COMPUTED_VALUE"""),"ACT-SCNO77641")</f>
        <v>ACT-SCNO77641</v>
      </c>
      <c r="B37" s="30" t="str">
        <f ca="1">IFERROR(__xludf.DUMMYFUNCTION("""COMPUTED_VALUE"""),"SC-260617-143908")</f>
        <v>SC-260617-143908</v>
      </c>
      <c r="C37" s="62">
        <f ca="1">IFERROR(__xludf.DUMMYFUNCTION("""COMPUTED_VALUE"""),46190.6105092592)</f>
        <v>46190.610509259197</v>
      </c>
      <c r="D37" s="30">
        <f ca="1">IFERROR(__xludf.DUMMYFUNCTION("""COMPUTED_VALUE"""),92)</f>
        <v>92</v>
      </c>
      <c r="E37" s="30" t="str">
        <f ca="1">IFERROR(__xludf.DUMMYFUNCTION("""COMPUTED_VALUE"""),"PB3572")</f>
        <v>PB3572</v>
      </c>
      <c r="F3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 s="30" t="str">
        <f ca="1">IFERROR(__xludf.DUMMYFUNCTION("""COMPUTED_VALUE"""),"SUBSECRETARÍA DE DESARROLLO Y PROMOCIÓN ARTÍSTICA Y CULTURAL")</f>
        <v>SUBSECRETARÍA DE DESARROLLO Y PROMOCIÓN ARTÍSTICA Y CULTURAL</v>
      </c>
      <c r="I37" s="34" t="str">
        <f ca="1">IFERROR(__xludf.DUMMYFUNCTION("""COMPUTED_VALUE"""),"DIRECCIÓN GENERAL DE MUSEOS, ARTES VISUALES Y EXPOSICIONES")</f>
        <v>DIRECCIÓN GENERAL DE MUSEOS, ARTES VISUALES Y EXPOSICIONES</v>
      </c>
      <c r="J37" s="30" t="str">
        <f ca="1">IFERROR(__xludf.DUMMYFUNCTION("""COMPUTED_VALUE"""),"Número de Actividades realizadas")</f>
        <v>Número de Actividades realizadas</v>
      </c>
      <c r="K37" s="30">
        <f ca="1">IFERROR(__xludf.DUMMYFUNCTION("""COMPUTED_VALUE"""),800)</f>
        <v>800</v>
      </c>
      <c r="L37" s="30" t="str">
        <f ca="1">IFERROR(__xludf.DUMMYFUNCTION("""COMPUTED_VALUE"""),"Artística")</f>
        <v>Artística</v>
      </c>
      <c r="M37" s="30" t="str">
        <f ca="1">IFERROR(__xludf.DUMMYFUNCTION("""COMPUTED_VALUE"""),"Recital de guitarra en el Día Mundial del arte")</f>
        <v>Recital de guitarra en el Día Mundial del arte</v>
      </c>
      <c r="N37" s="30" t="str">
        <f ca="1">IFERROR(__xludf.DUMMYFUNCTION("""COMPUTED_VALUE"""),"Con participación musical Sakura, tema y variaciones, por Gustavo Botello Áviles.")</f>
        <v>Con participación musical Sakura, tema y variaciones, por Gustavo Botello Áviles.</v>
      </c>
      <c r="O37" s="30" t="str">
        <f ca="1">IFERROR(__xludf.DUMMYFUNCTION("""COMPUTED_VALUE"""),"Única")</f>
        <v>Única</v>
      </c>
      <c r="P37" s="33">
        <f ca="1">IFERROR(__xludf.DUMMYFUNCTION("""COMPUTED_VALUE"""),46127)</f>
        <v>46127</v>
      </c>
      <c r="Q37" s="64">
        <f ca="1">IFERROR(__xludf.DUMMYFUNCTION("""COMPUTED_VALUE"""),46127)</f>
        <v>46127</v>
      </c>
      <c r="R37" s="30">
        <f ca="1">IFERROR(__xludf.DUMMYFUNCTION("""COMPUTED_VALUE"""),1)</f>
        <v>1</v>
      </c>
      <c r="S37" s="30" t="str">
        <f ca="1">IFERROR(__xludf.DUMMYFUNCTION("""COMPUTED_VALUE"""),"Música")</f>
        <v>Música</v>
      </c>
      <c r="T37" s="30" t="str">
        <f ca="1">IFERROR(__xludf.DUMMYFUNCTION("""COMPUTED_VALUE"""),"Música académica")</f>
        <v>Música académica</v>
      </c>
      <c r="U37" s="30" t="str">
        <f ca="1">IFERROR(__xludf.DUMMYFUNCTION("""COMPUTED_VALUE"""),"Presentación artística")</f>
        <v>Presentación artística</v>
      </c>
      <c r="V37" s="30" t="str">
        <f ca="1">IFERROR(__xludf.DUMMYFUNCTION("""COMPUTED_VALUE"""),"Ninguna")</f>
        <v>Ninguna</v>
      </c>
      <c r="W37" s="30" t="str">
        <f ca="1">IFERROR(__xludf.DUMMYFUNCTION("""COMPUTED_VALUE"""),"Presencial")</f>
        <v>Presencial</v>
      </c>
      <c r="X37" s="30" t="str">
        <f ca="1">IFERROR(__xludf.DUMMYFUNCTION("""COMPUTED_VALUE"""),"Espacio a Cargo de la Secretaría")</f>
        <v>Espacio a Cargo de la Secretaría</v>
      </c>
      <c r="Y37" s="30" t="str">
        <f ca="1">IFERROR(__xludf.DUMMYFUNCTION("""COMPUTED_VALUE"""),"4")</f>
        <v>4</v>
      </c>
      <c r="Z37" s="30"/>
      <c r="AA37" s="30"/>
      <c r="AB37" s="30" t="b">
        <f ca="1">IFERROR(__xludf.DUMMYFUNCTION("""COMPUTED_VALUE"""),FALSE)</f>
        <v>0</v>
      </c>
      <c r="AC37" s="30"/>
      <c r="AD37" s="30" t="b">
        <f ca="1">IFERROR(__xludf.DUMMYFUNCTION("""COMPUTED_VALUE"""),FALSE)</f>
        <v>0</v>
      </c>
      <c r="AE37" s="30"/>
      <c r="AF37" s="30" t="b">
        <f ca="1">IFERROR(__xludf.DUMMYFUNCTION("""COMPUTED_VALUE"""),FALSE)</f>
        <v>0</v>
      </c>
      <c r="AG37" s="30"/>
      <c r="AH37" s="30" t="str">
        <f ca="1">IFERROR(__xludf.DUMMYFUNCTION("""COMPUTED_VALUE"""),"Sin costo")</f>
        <v>Sin costo</v>
      </c>
      <c r="AI37" s="30"/>
      <c r="AJ37" s="30"/>
      <c r="AK37" s="30"/>
      <c r="AL37" s="30" t="str">
        <f ca="1">IFERROR(__xludf.DUMMYFUNCTION("""COMPUTED_VALUE"""),"ccardonav@guanajuato.gob.mx")</f>
        <v>ccardonav@guanajuato.gob.mx</v>
      </c>
      <c r="AM37" s="30" t="str">
        <f ca="1">IFERROR(__xludf.DUMMYFUNCTION("""COMPUTED_VALUE"""),"Arraigo y empoderamiento cultural de comunidades.")</f>
        <v>Arraigo y empoderamiento cultural de comunidades.</v>
      </c>
      <c r="AN37" s="30" t="str">
        <f ca="1">IFERROR(__xludf.DUMMYFUNCTION("""COMPUTED_VALUE"""),"1 Tranquilidad")</f>
        <v>1 Tranquilidad</v>
      </c>
      <c r="AO37" s="30" t="str">
        <f ca="1">IFERROR(__xludf.DUMMYFUNCTION("""COMPUTED_VALUE"""),"1.2 Fortalecer prevención del delito")</f>
        <v>1.2 Fortalecer prevención del delito</v>
      </c>
      <c r="AP37" s="30" t="str">
        <f ca="1">IFERROR(__xludf.DUMMYFUNCTION("""COMPUTED_VALUE"""),"1.2.2 Fortalecimiento del tejido social")</f>
        <v>1.2.2 Fortalecimiento del tejido social</v>
      </c>
      <c r="AQ37" s="30" t="str">
        <f ca="1">IFERROR(__xludf.DUMMYFUNCTION("""COMPUTED_VALUE"""),"1.2.3.4 Promover una cultura de paz desde las expresiones artísticas y culturales")</f>
        <v>1.2.3.4 Promover una cultura de paz desde las expresiones artísticas y culturales</v>
      </c>
      <c r="AR37" s="30" t="str">
        <f ca="1">IFERROR(__xludf.DUMMYFUNCTION("""COMPUTED_VALUE"""),"Cooperación")</f>
        <v>Cooperación</v>
      </c>
      <c r="AS37" s="30"/>
      <c r="AT37" s="30" t="str">
        <f ca="1">IFERROR(__xludf.DUMMYFUNCTION("""COMPUTED_VALUE"""),"Fortalecimiento de la participación ciudadana y la mediación cultural")</f>
        <v>Fortalecimiento de la participación ciudadana y la mediación cultural</v>
      </c>
      <c r="AU37" s="30" t="str">
        <f ca="1">IFERROR(__xludf.DUMMYFUNCTION("""COMPUTED_VALUE"""),"Impulso a la ampliación de la oferta cultural en los territorios.")</f>
        <v>Impulso a la ampliación de la oferta cultural en los territorios.</v>
      </c>
      <c r="AV3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 s="30" t="str">
        <f ca="1">IFERROR(__xludf.DUMMYFUNCTION("""COMPUTED_VALUE"""),"Incrementar en 25% la oferta cultural realizada en los municipios.")</f>
        <v>Incrementar en 25% la oferta cultural realizada en los municipios.</v>
      </c>
      <c r="AX37" s="30" t="str">
        <f ca="1">IFERROR(__xludf.DUMMYFUNCTION("""COMPUTED_VALUE"""),"Taller")</f>
        <v>Taller</v>
      </c>
      <c r="AY37" s="30" t="str">
        <f ca="1">IFERROR(__xludf.DUMMYFUNCTION("""COMPUTED_VALUE"""),"Formación")</f>
        <v>Formación</v>
      </c>
      <c r="AZ37" s="30" t="str">
        <f ca="1">IFERROR(__xludf.DUMMYFUNCTION("""COMPUTED_VALUE"""),"Formación")</f>
        <v>Formación</v>
      </c>
      <c r="BA37" s="30"/>
      <c r="BB37" s="30"/>
      <c r="BC37" s="30">
        <f ca="1">IFERROR(__xludf.DUMMYFUNCTION("""COMPUTED_VALUE"""),0)</f>
        <v>0</v>
      </c>
      <c r="BD37" s="30"/>
      <c r="BE37" s="30"/>
      <c r="BF37" s="30" t="b">
        <f ca="1">IFERROR(__xludf.DUMMYFUNCTION("""COMPUTED_VALUE"""),FALSE)</f>
        <v>0</v>
      </c>
      <c r="BG37" s="30"/>
      <c r="BH37" s="30"/>
      <c r="BI37" s="30"/>
      <c r="BJ37" s="30"/>
      <c r="BK37" s="30"/>
      <c r="BL37" s="30" t="str">
        <f ca="1">IFERROR(__xludf.DUMMYFUNCTION("""COMPUTED_VALUE"""),"Vinculación")</f>
        <v>Vinculación</v>
      </c>
      <c r="BM37" s="30" t="str">
        <f ca="1">IFERROR(__xludf.DUMMYFUNCTION("""COMPUTED_VALUE"""),"Sí")</f>
        <v>Sí</v>
      </c>
      <c r="BN37" s="30"/>
      <c r="BO37" s="30" t="str">
        <f ca="1">IFERROR(__xludf.DUMMYFUNCTION("""COMPUTED_VALUE"""),"fd8fa7a8")</f>
        <v>fd8fa7a8</v>
      </c>
      <c r="BP37" s="29" t="str">
        <f ca="1">IFERROR(__xludf.DUMMYFUNCTION("""COMPUTED_VALUE"""),"Guanajuato")</f>
        <v>Guanajuato</v>
      </c>
      <c r="BQ37" s="30" t="str">
        <f ca="1">IFERROR(__xludf.DUMMYFUNCTION("""COMPUTED_VALUE"""),"Urbano")</f>
        <v>Urbano</v>
      </c>
      <c r="BR37" s="30">
        <f ca="1">IFERROR(__xludf.DUMMYFUNCTION("""COMPUTED_VALUE"""),49)</f>
        <v>49</v>
      </c>
      <c r="BS37" s="30" t="str">
        <f ca="1">IFERROR(__xludf.DUMMYFUNCTION("""COMPUTED_VALUE"""),"Guanajuato")</f>
        <v>Guanajuato</v>
      </c>
      <c r="BT37" s="30"/>
      <c r="BU37" s="30" t="str">
        <f ca="1">IFERROR(__xludf.DUMMYFUNCTION("""COMPUTED_VALUE"""),"Si")</f>
        <v>Si</v>
      </c>
      <c r="BV37" s="30" t="str">
        <f ca="1">IFERROR(__xludf.DUMMYFUNCTION("""COMPUTED_VALUE"""),"Si")</f>
        <v>Si</v>
      </c>
      <c r="BW37" s="30">
        <f ca="1">IFERROR(__xludf.DUMMYFUNCTION("""COMPUTED_VALUE"""),3)</f>
        <v>3</v>
      </c>
      <c r="BX37" s="30"/>
      <c r="BY37" s="30">
        <f ca="1">IFERROR(__xludf.DUMMYFUNCTION("""COMPUTED_VALUE"""),3)</f>
        <v>3</v>
      </c>
      <c r="BZ37" s="30" t="str">
        <f ca="1">IFERROR(__xludf.DUMMYFUNCTION("""COMPUTED_VALUE"""),"Guanajuato")</f>
        <v>Guanajuato</v>
      </c>
      <c r="CA37" s="30" t="str">
        <f ca="1">IFERROR(__xludf.DUMMYFUNCTION("""COMPUTED_VALUE"""),"No")</f>
        <v>No</v>
      </c>
      <c r="CB37" s="30" t="str">
        <f ca="1">IFERROR(__xludf.DUMMYFUNCTION("""COMPUTED_VALUE"""),"No")</f>
        <v>No</v>
      </c>
      <c r="CC37" s="30" t="str">
        <f ca="1">IFERROR(__xludf.DUMMYFUNCTION("""COMPUTED_VALUE"""),"f27556c5")</f>
        <v>f27556c5</v>
      </c>
      <c r="CD37" s="29" t="str">
        <f ca="1">IFERROR(__xludf.DUMMYFUNCTION("""COMPUTED_VALUE"""),"Jóvenes (18 a 29 años)")</f>
        <v>Jóvenes (18 a 29 años)</v>
      </c>
      <c r="CE37" s="30" t="str">
        <f ca="1">IFERROR(__xludf.DUMMYFUNCTION("""COMPUTED_VALUE"""),"Dato global")</f>
        <v>Dato global</v>
      </c>
      <c r="CF37" s="30" t="str">
        <f ca="1">IFERROR(__xludf.DUMMYFUNCTION("""COMPUTED_VALUE"""),"Ninguno (Población General)")</f>
        <v>Ninguno (Población General)</v>
      </c>
      <c r="CG37" s="30">
        <f ca="1">IFERROR(__xludf.DUMMYFUNCTION("""COMPUTED_VALUE"""),20)</f>
        <v>20</v>
      </c>
      <c r="CI37" s="30" t="str">
        <f ca="1">IFERROR(__xludf.DUMMYFUNCTION("""COMPUTED_VALUE"""),"39bd4c19")</f>
        <v>39bd4c19</v>
      </c>
      <c r="CJ37" s="29" t="str">
        <f ca="1">IFERROR(__xludf.DUMMYFUNCTION("""COMPUTED_VALUE"""),"Regitro_Evidencia_Images/39bd4c19.Archivo_Evidencia.204845.jpg")</f>
        <v>Regitro_Evidencia_Images/39bd4c19.Archivo_Evidencia.204845.jpg</v>
      </c>
      <c r="CK37" s="30" t="str">
        <f ca="1">IFERROR(__xludf.DUMMYFUNCTION("""COMPUTED_VALUE"""),"Foto")</f>
        <v>Foto</v>
      </c>
      <c r="CL37" s="30"/>
      <c r="CM37" s="30" t="str">
        <f ca="1">IFERROR(__xludf.DUMMYFUNCTION("""COMPUTED_VALUE"""),"Guanajuato")</f>
        <v>Guanajuato</v>
      </c>
      <c r="CN37" s="32" t="e">
        <f ca="1"/>
        <v>#NAME?</v>
      </c>
      <c r="CO37" s="32" t="e">
        <f ca="1"/>
        <v>#NAME?</v>
      </c>
      <c r="CP37" s="32" t="e">
        <f ca="1"/>
        <v>#NAME?</v>
      </c>
      <c r="CQ37" s="32" t="e">
        <f ca="1"/>
        <v>#NAME?</v>
      </c>
      <c r="CR37" s="30" t="e">
        <f ca="1"/>
        <v>#NAME?</v>
      </c>
      <c r="CS37" s="30" t="str">
        <f ca="1">IFERROR(__xludf.DUMMYFUNCTION("""COMPUTED_VALUE"""),"Ninguno (Población General)")</f>
        <v>Ninguno (Población General)</v>
      </c>
    </row>
    <row r="38" spans="1:97" ht="15.5">
      <c r="A38" s="29" t="str">
        <f ca="1">IFERROR(__xludf.DUMMYFUNCTION("""COMPUTED_VALUE"""),"ACT-SCEB55079")</f>
        <v>ACT-SCEB55079</v>
      </c>
      <c r="B38" s="30" t="str">
        <f ca="1">IFERROR(__xludf.DUMMYFUNCTION("""COMPUTED_VALUE"""),"SC-260617-144916")</f>
        <v>SC-260617-144916</v>
      </c>
      <c r="C38" s="62">
        <f ca="1">IFERROR(__xludf.DUMMYFUNCTION("""COMPUTED_VALUE"""),46190.6175462963)</f>
        <v>46190.6175462963</v>
      </c>
      <c r="D38" s="30">
        <f ca="1">IFERROR(__xludf.DUMMYFUNCTION("""COMPUTED_VALUE"""),92)</f>
        <v>92</v>
      </c>
      <c r="E38" s="30" t="str">
        <f ca="1">IFERROR(__xludf.DUMMYFUNCTION("""COMPUTED_VALUE"""),"PB3572")</f>
        <v>PB3572</v>
      </c>
      <c r="F3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 s="30" t="str">
        <f ca="1">IFERROR(__xludf.DUMMYFUNCTION("""COMPUTED_VALUE"""),"SUBSECRETARÍA DE DESARROLLO Y PROMOCIÓN ARTÍSTICA Y CULTURAL")</f>
        <v>SUBSECRETARÍA DE DESARROLLO Y PROMOCIÓN ARTÍSTICA Y CULTURAL</v>
      </c>
      <c r="I38" s="34" t="str">
        <f ca="1">IFERROR(__xludf.DUMMYFUNCTION("""COMPUTED_VALUE"""),"DIRECCIÓN GENERAL DE MUSEOS, ARTES VISUALES Y EXPOSICIONES")</f>
        <v>DIRECCIÓN GENERAL DE MUSEOS, ARTES VISUALES Y EXPOSICIONES</v>
      </c>
      <c r="J38" s="30" t="str">
        <f ca="1">IFERROR(__xludf.DUMMYFUNCTION("""COMPUTED_VALUE"""),"Número de Actividades realizadas")</f>
        <v>Número de Actividades realizadas</v>
      </c>
      <c r="K38" s="30">
        <f ca="1">IFERROR(__xludf.DUMMYFUNCTION("""COMPUTED_VALUE"""),800)</f>
        <v>800</v>
      </c>
      <c r="L38" s="30" t="str">
        <f ca="1">IFERROR(__xludf.DUMMYFUNCTION("""COMPUTED_VALUE"""),"Artística")</f>
        <v>Artística</v>
      </c>
      <c r="M38" s="30" t="str">
        <f ca="1">IFERROR(__xludf.DUMMYFUNCTION("""COMPUTED_VALUE"""),"Recorrido guiado en Día Mundial del arte")</f>
        <v>Recorrido guiado en Día Mundial del arte</v>
      </c>
      <c r="N38" s="30" t="str">
        <f ca="1">IFERROR(__xludf.DUMMYFUNCTION("""COMPUTED_VALUE"""),"Invitamos a las niñas, niños y sus familias, a celebrar el Día Mundial del Arte con un recorrido lúdico por el Museo Conde Rul y a participar en nuestras mesas de arte: grabado, pintura y barro. Con participación musical  Sakura, tema y variaciones, por G"&amp;"ustavo Botello Áviles.")</f>
        <v>Invitamos a las niñas, niños y sus familias, a celebrar el Día Mundial del Arte con un recorrido lúdico por el Museo Conde Rul y a participar en nuestras mesas de arte: grabado, pintura y barro. Con participación musical  Sakura, tema y variaciones, por Gustavo Botello Áviles.</v>
      </c>
      <c r="O38" s="30" t="str">
        <f ca="1">IFERROR(__xludf.DUMMYFUNCTION("""COMPUTED_VALUE"""),"Única")</f>
        <v>Única</v>
      </c>
      <c r="P38" s="33">
        <f ca="1">IFERROR(__xludf.DUMMYFUNCTION("""COMPUTED_VALUE"""),46127)</f>
        <v>46127</v>
      </c>
      <c r="Q38" s="64">
        <f ca="1">IFERROR(__xludf.DUMMYFUNCTION("""COMPUTED_VALUE"""),46127)</f>
        <v>46127</v>
      </c>
      <c r="R38" s="30">
        <f ca="1">IFERROR(__xludf.DUMMYFUNCTION("""COMPUTED_VALUE"""),1)</f>
        <v>1</v>
      </c>
      <c r="S38" s="30" t="str">
        <f ca="1">IFERROR(__xludf.DUMMYFUNCTION("""COMPUTED_VALUE"""),"Cultura comunitaria")</f>
        <v>Cultura comunitaria</v>
      </c>
      <c r="T38" s="30" t="str">
        <f ca="1">IFERROR(__xludf.DUMMYFUNCTION("""COMPUTED_VALUE"""),"Formación comunitaria")</f>
        <v>Formación comunitaria</v>
      </c>
      <c r="U38" s="30" t="str">
        <f ca="1">IFERROR(__xludf.DUMMYFUNCTION("""COMPUTED_VALUE"""),"Visitas guiadas")</f>
        <v>Visitas guiadas</v>
      </c>
      <c r="V38" s="30" t="str">
        <f ca="1">IFERROR(__xludf.DUMMYFUNCTION("""COMPUTED_VALUE"""),"Ninguna")</f>
        <v>Ninguna</v>
      </c>
      <c r="W38" s="30" t="str">
        <f ca="1">IFERROR(__xludf.DUMMYFUNCTION("""COMPUTED_VALUE"""),"Presencial")</f>
        <v>Presencial</v>
      </c>
      <c r="X38" s="30" t="str">
        <f ca="1">IFERROR(__xludf.DUMMYFUNCTION("""COMPUTED_VALUE"""),"Espacio a Cargo de la Secretaría")</f>
        <v>Espacio a Cargo de la Secretaría</v>
      </c>
      <c r="Y38" s="30" t="str">
        <f ca="1">IFERROR(__xludf.DUMMYFUNCTION("""COMPUTED_VALUE"""),"4")</f>
        <v>4</v>
      </c>
      <c r="Z38" s="30"/>
      <c r="AA38" s="30"/>
      <c r="AB38" s="30" t="b">
        <f ca="1">IFERROR(__xludf.DUMMYFUNCTION("""COMPUTED_VALUE"""),FALSE)</f>
        <v>0</v>
      </c>
      <c r="AC38" s="30"/>
      <c r="AD38" s="30" t="b">
        <f ca="1">IFERROR(__xludf.DUMMYFUNCTION("""COMPUTED_VALUE"""),FALSE)</f>
        <v>0</v>
      </c>
      <c r="AE38" s="30"/>
      <c r="AF38" s="30" t="b">
        <f ca="1">IFERROR(__xludf.DUMMYFUNCTION("""COMPUTED_VALUE"""),FALSE)</f>
        <v>0</v>
      </c>
      <c r="AG38" s="30"/>
      <c r="AH38" s="30" t="str">
        <f ca="1">IFERROR(__xludf.DUMMYFUNCTION("""COMPUTED_VALUE"""),"Sin costo")</f>
        <v>Sin costo</v>
      </c>
      <c r="AI38" s="30"/>
      <c r="AJ38" s="30"/>
      <c r="AK38" s="30"/>
      <c r="AL38" s="30" t="str">
        <f ca="1">IFERROR(__xludf.DUMMYFUNCTION("""COMPUTED_VALUE"""),"ccardonav@guanajuato.gob.mx")</f>
        <v>ccardonav@guanajuato.gob.mx</v>
      </c>
      <c r="AM38" s="30" t="str">
        <f ca="1">IFERROR(__xludf.DUMMYFUNCTION("""COMPUTED_VALUE"""),"Arraigo y empoderamiento cultural de comunidades.")</f>
        <v>Arraigo y empoderamiento cultural de comunidades.</v>
      </c>
      <c r="AN38" s="30" t="str">
        <f ca="1">IFERROR(__xludf.DUMMYFUNCTION("""COMPUTED_VALUE"""),"2 Igualdad")</f>
        <v>2 Igualdad</v>
      </c>
      <c r="AO38" s="30" t="str">
        <f ca="1">IFERROR(__xludf.DUMMYFUNCTION("""COMPUTED_VALUE"""),"2.4 Reducir brechas de desigualdad")</f>
        <v>2.4 Reducir brechas de desigualdad</v>
      </c>
      <c r="AP38" s="30" t="str">
        <f ca="1">IFERROR(__xludf.DUMMYFUNCTION("""COMPUTED_VALUE"""),"2.4.3 Descentralización de la oferta cultural")</f>
        <v>2.4.3 Descentralización de la oferta cultural</v>
      </c>
      <c r="AQ38" s="30" t="str">
        <f ca="1">IFERROR(__xludf.DUMMYFUNCTION("""COMPUTED_VALUE"""),"2.4.3.1 Impulsar el desarrollo artístico y cultural entre infancias y juventudes")</f>
        <v>2.4.3.1 Impulsar el desarrollo artístico y cultural entre infancias y juventudes</v>
      </c>
      <c r="AR38" s="30" t="str">
        <f ca="1">IFERROR(__xludf.DUMMYFUNCTION("""COMPUTED_VALUE"""),"Cooperación")</f>
        <v>Cooperación</v>
      </c>
      <c r="AS38" s="30"/>
      <c r="AT38" s="30" t="str">
        <f ca="1">IFERROR(__xludf.DUMMYFUNCTION("""COMPUTED_VALUE"""),"Fortalecimiento de la participación ciudadana y la mediación cultural")</f>
        <v>Fortalecimiento de la participación ciudadana y la mediación cultural</v>
      </c>
      <c r="AU38" s="30" t="str">
        <f ca="1">IFERROR(__xludf.DUMMYFUNCTION("""COMPUTED_VALUE"""),"Impulso a la ampliación de la oferta cultural en los territorios.")</f>
        <v>Impulso a la ampliación de la oferta cultural en los territorios.</v>
      </c>
      <c r="AV3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 s="30" t="str">
        <f ca="1">IFERROR(__xludf.DUMMYFUNCTION("""COMPUTED_VALUE"""),"Incrementar en 25% la oferta cultural realizada en los municipios.")</f>
        <v>Incrementar en 25% la oferta cultural realizada en los municipios.</v>
      </c>
      <c r="AX38" s="30" t="str">
        <f ca="1">IFERROR(__xludf.DUMMYFUNCTION("""COMPUTED_VALUE"""),"Visitas institucionales")</f>
        <v>Visitas institucionales</v>
      </c>
      <c r="AY38" s="30" t="str">
        <f ca="1">IFERROR(__xludf.DUMMYFUNCTION("""COMPUTED_VALUE"""),"Formación")</f>
        <v>Formación</v>
      </c>
      <c r="AZ38" s="30" t="str">
        <f ca="1">IFERROR(__xludf.DUMMYFUNCTION("""COMPUTED_VALUE"""),"Formación")</f>
        <v>Formación</v>
      </c>
      <c r="BA38" s="30"/>
      <c r="BB38" s="30"/>
      <c r="BC38" s="30">
        <f ca="1">IFERROR(__xludf.DUMMYFUNCTION("""COMPUTED_VALUE"""),0)</f>
        <v>0</v>
      </c>
      <c r="BD38" s="30"/>
      <c r="BE38" s="30"/>
      <c r="BF38" s="30" t="b">
        <f ca="1">IFERROR(__xludf.DUMMYFUNCTION("""COMPUTED_VALUE"""),FALSE)</f>
        <v>0</v>
      </c>
      <c r="BG38" s="30"/>
      <c r="BH38" s="30"/>
      <c r="BI38" s="30"/>
      <c r="BJ38" s="30"/>
      <c r="BK38" s="30"/>
      <c r="BL38" s="30"/>
      <c r="BM38" s="30" t="str">
        <f ca="1">IFERROR(__xludf.DUMMYFUNCTION("""COMPUTED_VALUE"""),"No")</f>
        <v>No</v>
      </c>
      <c r="BN38" s="30"/>
      <c r="BO38" s="30" t="str">
        <f ca="1">IFERROR(__xludf.DUMMYFUNCTION("""COMPUTED_VALUE"""),"7ab0d684")</f>
        <v>7ab0d684</v>
      </c>
      <c r="BP38" s="29" t="str">
        <f ca="1">IFERROR(__xludf.DUMMYFUNCTION("""COMPUTED_VALUE"""),"Guanajuato")</f>
        <v>Guanajuato</v>
      </c>
      <c r="BQ38" s="30" t="str">
        <f ca="1">IFERROR(__xludf.DUMMYFUNCTION("""COMPUTED_VALUE"""),"Urbano")</f>
        <v>Urbano</v>
      </c>
      <c r="BR38" s="30">
        <f ca="1">IFERROR(__xludf.DUMMYFUNCTION("""COMPUTED_VALUE"""),49)</f>
        <v>49</v>
      </c>
      <c r="BS38" s="30" t="str">
        <f ca="1">IFERROR(__xludf.DUMMYFUNCTION("""COMPUTED_VALUE"""),"Guanajuato")</f>
        <v>Guanajuato</v>
      </c>
      <c r="BT38" s="30"/>
      <c r="BU38" s="30" t="str">
        <f ca="1">IFERROR(__xludf.DUMMYFUNCTION("""COMPUTED_VALUE"""),"Si")</f>
        <v>Si</v>
      </c>
      <c r="BV38" s="30" t="str">
        <f ca="1">IFERROR(__xludf.DUMMYFUNCTION("""COMPUTED_VALUE"""),"Si")</f>
        <v>Si</v>
      </c>
      <c r="BW38" s="30">
        <f ca="1">IFERROR(__xludf.DUMMYFUNCTION("""COMPUTED_VALUE"""),15)</f>
        <v>15</v>
      </c>
      <c r="BX38" s="30"/>
      <c r="BY38" s="30">
        <f ca="1">IFERROR(__xludf.DUMMYFUNCTION("""COMPUTED_VALUE"""),15)</f>
        <v>15</v>
      </c>
      <c r="BZ38" s="30" t="str">
        <f ca="1">IFERROR(__xludf.DUMMYFUNCTION("""COMPUTED_VALUE"""),"Guanajuato")</f>
        <v>Guanajuato</v>
      </c>
      <c r="CA38" s="30" t="str">
        <f ca="1">IFERROR(__xludf.DUMMYFUNCTION("""COMPUTED_VALUE"""),"No")</f>
        <v>No</v>
      </c>
      <c r="CB38" s="30" t="str">
        <f ca="1">IFERROR(__xludf.DUMMYFUNCTION("""COMPUTED_VALUE"""),"No")</f>
        <v>No</v>
      </c>
      <c r="CC38" s="30" t="str">
        <f ca="1">IFERROR(__xludf.DUMMYFUNCTION("""COMPUTED_VALUE"""),"dbf3fb55")</f>
        <v>dbf3fb55</v>
      </c>
      <c r="CD38" s="29" t="str">
        <f ca="1">IFERROR(__xludf.DUMMYFUNCTION("""COMPUTED_VALUE"""),"Niñas y Niños (6 a 12 años)")</f>
        <v>Niñas y Niños (6 a 12 años)</v>
      </c>
      <c r="CE38" s="30" t="str">
        <f ca="1">IFERROR(__xludf.DUMMYFUNCTION("""COMPUTED_VALUE"""),"Dato global")</f>
        <v>Dato global</v>
      </c>
      <c r="CF38" s="30" t="str">
        <f ca="1">IFERROR(__xludf.DUMMYFUNCTION("""COMPUTED_VALUE"""),"NNA (Niñas, Niños y Adolescentes)")</f>
        <v>NNA (Niñas, Niños y Adolescentes)</v>
      </c>
      <c r="CG38" s="30">
        <f ca="1">IFERROR(__xludf.DUMMYFUNCTION("""COMPUTED_VALUE"""),53)</f>
        <v>53</v>
      </c>
      <c r="CI38" s="30" t="str">
        <f ca="1">IFERROR(__xludf.DUMMYFUNCTION("""COMPUTED_VALUE"""),"d077447e")</f>
        <v>d077447e</v>
      </c>
      <c r="CJ38" s="29" t="str">
        <f ca="1">IFERROR(__xludf.DUMMYFUNCTION("""COMPUTED_VALUE"""),"Regitro_Evidencia_Images/d077447e.Archivo_Evidencia.205520.jpg")</f>
        <v>Regitro_Evidencia_Images/d077447e.Archivo_Evidencia.205520.jpg</v>
      </c>
      <c r="CK38" s="30" t="str">
        <f ca="1">IFERROR(__xludf.DUMMYFUNCTION("""COMPUTED_VALUE"""),"Foto")</f>
        <v>Foto</v>
      </c>
      <c r="CL38" s="30"/>
      <c r="CM38" s="30" t="str">
        <f ca="1">IFERROR(__xludf.DUMMYFUNCTION("""COMPUTED_VALUE"""),"Guanajuato")</f>
        <v>Guanajuato</v>
      </c>
      <c r="CN38" s="32" t="e">
        <f ca="1"/>
        <v>#NAME?</v>
      </c>
      <c r="CO38" s="32" t="e">
        <f ca="1"/>
        <v>#NAME?</v>
      </c>
      <c r="CP38" s="32" t="e">
        <f ca="1"/>
        <v>#NAME?</v>
      </c>
      <c r="CQ38" s="32" t="e">
        <f ca="1"/>
        <v>#NAME?</v>
      </c>
      <c r="CR38" s="30" t="e">
        <f ca="1"/>
        <v>#NAME?</v>
      </c>
      <c r="CS38" s="30" t="str">
        <f ca="1">IFERROR(__xludf.DUMMYFUNCTION("""COMPUTED_VALUE"""),"NNA (Niñas, Niños y Adolescentes)")</f>
        <v>NNA (Niñas, Niños y Adolescentes)</v>
      </c>
    </row>
    <row r="39" spans="1:97" ht="15.5">
      <c r="A39" s="29" t="str">
        <f ca="1">IFERROR(__xludf.DUMMYFUNCTION("""COMPUTED_VALUE"""),"ACT-SCAN56678")</f>
        <v>ACT-SCAN56678</v>
      </c>
      <c r="B39" s="30" t="str">
        <f ca="1">IFERROR(__xludf.DUMMYFUNCTION("""COMPUTED_VALUE"""),"SC-260618-113309")</f>
        <v>SC-260618-113309</v>
      </c>
      <c r="C39" s="62">
        <f ca="1">IFERROR(__xludf.DUMMYFUNCTION("""COMPUTED_VALUE"""),46191.4813541666)</f>
        <v>46191.481354166601</v>
      </c>
      <c r="D39" s="30">
        <f ca="1">IFERROR(__xludf.DUMMYFUNCTION("""COMPUTED_VALUE"""),92)</f>
        <v>92</v>
      </c>
      <c r="E39" s="30" t="str">
        <f ca="1">IFERROR(__xludf.DUMMYFUNCTION("""COMPUTED_VALUE"""),"PB3572")</f>
        <v>PB3572</v>
      </c>
      <c r="F3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 s="30" t="str">
        <f ca="1">IFERROR(__xludf.DUMMYFUNCTION("""COMPUTED_VALUE"""),"SUBSECRETARÍA DE DESARROLLO Y PROMOCIÓN ARTÍSTICA Y CULTURAL")</f>
        <v>SUBSECRETARÍA DE DESARROLLO Y PROMOCIÓN ARTÍSTICA Y CULTURAL</v>
      </c>
      <c r="I39" s="34" t="str">
        <f ca="1">IFERROR(__xludf.DUMMYFUNCTION("""COMPUTED_VALUE"""),"DIRECCIÓN GENERAL DE MUSEOS, ARTES VISUALES Y EXPOSICIONES")</f>
        <v>DIRECCIÓN GENERAL DE MUSEOS, ARTES VISUALES Y EXPOSICIONES</v>
      </c>
      <c r="J39" s="30" t="str">
        <f ca="1">IFERROR(__xludf.DUMMYFUNCTION("""COMPUTED_VALUE"""),"Número de Actividades realizadas")</f>
        <v>Número de Actividades realizadas</v>
      </c>
      <c r="K39" s="30">
        <f ca="1">IFERROR(__xludf.DUMMYFUNCTION("""COMPUTED_VALUE"""),800)</f>
        <v>800</v>
      </c>
      <c r="L39" s="30" t="str">
        <f ca="1">IFERROR(__xludf.DUMMYFUNCTION("""COMPUTED_VALUE"""),"Artística")</f>
        <v>Artística</v>
      </c>
      <c r="M39" s="30" t="str">
        <f ca="1">IFERROR(__xludf.DUMMYFUNCTION("""COMPUTED_VALUE"""),"Me conozco y me quiero")</f>
        <v>Me conozco y me quiero</v>
      </c>
      <c r="N39" s="30" t="str">
        <f ca="1">IFERROR(__xludf.DUMMYFUNCTION("""COMPUTED_VALUE"""),"Taller que tiene como objetivo fomentar el autoconocimiento, el autoestima y el amor propio en la niñez a través de una actividad artística, en donde las niñas y niños realizarán un autorretrato con diversos materiales, reflexionarán sobre sus cualidades,"&amp;" su valor y la importancia de su autocuidado propio y personal.")</f>
        <v>Taller que tiene como objetivo fomentar el autoconocimiento, el autoestima y el amor propio en la niñez a través de una actividad artística, en donde las niñas y niños realizarán un autorretrato con diversos materiales, reflexionarán sobre sus cualidades, su valor y la importancia de su autocuidado propio y personal.</v>
      </c>
      <c r="O39" s="30" t="str">
        <f ca="1">IFERROR(__xludf.DUMMYFUNCTION("""COMPUTED_VALUE"""),"Única")</f>
        <v>Única</v>
      </c>
      <c r="P39" s="33">
        <f ca="1">IFERROR(__xludf.DUMMYFUNCTION("""COMPUTED_VALUE"""),46130)</f>
        <v>46130</v>
      </c>
      <c r="Q39" s="64">
        <f ca="1">IFERROR(__xludf.DUMMYFUNCTION("""COMPUTED_VALUE"""),46130)</f>
        <v>46130</v>
      </c>
      <c r="R39" s="30">
        <f ca="1">IFERROR(__xludf.DUMMYFUNCTION("""COMPUTED_VALUE"""),1)</f>
        <v>1</v>
      </c>
      <c r="S39" s="30" t="str">
        <f ca="1">IFERROR(__xludf.DUMMYFUNCTION("""COMPUTED_VALUE"""),"Artes visuales")</f>
        <v>Artes visuales</v>
      </c>
      <c r="T39" s="30" t="str">
        <f ca="1">IFERROR(__xludf.DUMMYFUNCTION("""COMPUTED_VALUE"""),"Dibujo")</f>
        <v>Dibujo</v>
      </c>
      <c r="U39" s="30" t="str">
        <f ca="1">IFERROR(__xludf.DUMMYFUNCTION("""COMPUTED_VALUE"""),"Taller")</f>
        <v>Taller</v>
      </c>
      <c r="V39" s="30" t="str">
        <f ca="1">IFERROR(__xludf.DUMMYFUNCTION("""COMPUTED_VALUE"""),"Ninguna")</f>
        <v>Ninguna</v>
      </c>
      <c r="W39" s="30" t="str">
        <f ca="1">IFERROR(__xludf.DUMMYFUNCTION("""COMPUTED_VALUE"""),"Presencial")</f>
        <v>Presencial</v>
      </c>
      <c r="X39" s="30" t="str">
        <f ca="1">IFERROR(__xludf.DUMMYFUNCTION("""COMPUTED_VALUE"""),"Espacio a Cargo de la Secretaría")</f>
        <v>Espacio a Cargo de la Secretaría</v>
      </c>
      <c r="Y39" s="30" t="str">
        <f ca="1">IFERROR(__xludf.DUMMYFUNCTION("""COMPUTED_VALUE"""),"2")</f>
        <v>2</v>
      </c>
      <c r="Z39" s="30"/>
      <c r="AA39" s="30"/>
      <c r="AB39" s="30" t="b">
        <f ca="1">IFERROR(__xludf.DUMMYFUNCTION("""COMPUTED_VALUE"""),FALSE)</f>
        <v>0</v>
      </c>
      <c r="AC39" s="30"/>
      <c r="AD39" s="30" t="b">
        <f ca="1">IFERROR(__xludf.DUMMYFUNCTION("""COMPUTED_VALUE"""),FALSE)</f>
        <v>0</v>
      </c>
      <c r="AE39" s="30"/>
      <c r="AF39" s="30" t="b">
        <f ca="1">IFERROR(__xludf.DUMMYFUNCTION("""COMPUTED_VALUE"""),FALSE)</f>
        <v>0</v>
      </c>
      <c r="AG39" s="30"/>
      <c r="AH39" s="30" t="str">
        <f ca="1">IFERROR(__xludf.DUMMYFUNCTION("""COMPUTED_VALUE"""),"Sin costo")</f>
        <v>Sin costo</v>
      </c>
      <c r="AI39" s="30"/>
      <c r="AJ39" s="30"/>
      <c r="AK39" s="30"/>
      <c r="AL39" s="30" t="str">
        <f ca="1">IFERROR(__xludf.DUMMYFUNCTION("""COMPUTED_VALUE"""),"ccardonav@guanajuato.gob.mx")</f>
        <v>ccardonav@guanajuato.gob.mx</v>
      </c>
      <c r="AM39" s="30" t="str">
        <f ca="1">IFERROR(__xludf.DUMMYFUNCTION("""COMPUTED_VALUE"""),"Arraigo y empoderamiento cultural de comunidades.")</f>
        <v>Arraigo y empoderamiento cultural de comunidades.</v>
      </c>
      <c r="AN39" s="30" t="str">
        <f ca="1">IFERROR(__xludf.DUMMYFUNCTION("""COMPUTED_VALUE"""),"2 Igualdad")</f>
        <v>2 Igualdad</v>
      </c>
      <c r="AO39" s="30" t="str">
        <f ca="1">IFERROR(__xludf.DUMMYFUNCTION("""COMPUTED_VALUE"""),"2.4 Reducir brechas de desigualdad")</f>
        <v>2.4 Reducir brechas de desigualdad</v>
      </c>
      <c r="AP39" s="30" t="str">
        <f ca="1">IFERROR(__xludf.DUMMYFUNCTION("""COMPUTED_VALUE"""),"2.4.3 Descentralización de la oferta cultural")</f>
        <v>2.4.3 Descentralización de la oferta cultural</v>
      </c>
      <c r="AQ39" s="30" t="str">
        <f ca="1">IFERROR(__xludf.DUMMYFUNCTION("""COMPUTED_VALUE"""),"2.4.3.1 Impulsar el desarrollo artístico y cultural entre infancias y juventudes")</f>
        <v>2.4.3.1 Impulsar el desarrollo artístico y cultural entre infancias y juventudes</v>
      </c>
      <c r="AR39" s="30" t="str">
        <f ca="1">IFERROR(__xludf.DUMMYFUNCTION("""COMPUTED_VALUE"""),"Cooperación")</f>
        <v>Cooperación</v>
      </c>
      <c r="AS39" s="30"/>
      <c r="AT39" s="30" t="str">
        <f ca="1">IFERROR(__xludf.DUMMYFUNCTION("""COMPUTED_VALUE"""),"Fortalecimiento de la participación ciudadana y la mediación cultural")</f>
        <v>Fortalecimiento de la participación ciudadana y la mediación cultural</v>
      </c>
      <c r="AU39" s="30" t="str">
        <f ca="1">IFERROR(__xludf.DUMMYFUNCTION("""COMPUTED_VALUE"""),"Impulso a la ampliación de la oferta cultural en los territorios.")</f>
        <v>Impulso a la ampliación de la oferta cultural en los territorios.</v>
      </c>
      <c r="AV3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 s="30" t="str">
        <f ca="1">IFERROR(__xludf.DUMMYFUNCTION("""COMPUTED_VALUE"""),"Incrementar en 25% la oferta cultural realizada en los municipios.")</f>
        <v>Incrementar en 25% la oferta cultural realizada en los municipios.</v>
      </c>
      <c r="AX39" s="30" t="str">
        <f ca="1">IFERROR(__xludf.DUMMYFUNCTION("""COMPUTED_VALUE"""),"Taller")</f>
        <v>Taller</v>
      </c>
      <c r="AY39" s="30" t="str">
        <f ca="1">IFERROR(__xludf.DUMMYFUNCTION("""COMPUTED_VALUE"""),"Formación")</f>
        <v>Formación</v>
      </c>
      <c r="AZ39" s="30" t="str">
        <f ca="1">IFERROR(__xludf.DUMMYFUNCTION("""COMPUTED_VALUE"""),"Formación")</f>
        <v>Formación</v>
      </c>
      <c r="BA39" s="30"/>
      <c r="BB39" s="30"/>
      <c r="BC39" s="30">
        <f ca="1">IFERROR(__xludf.DUMMYFUNCTION("""COMPUTED_VALUE"""),0)</f>
        <v>0</v>
      </c>
      <c r="BD39" s="30"/>
      <c r="BE39" s="30"/>
      <c r="BF39" s="30" t="b">
        <f ca="1">IFERROR(__xludf.DUMMYFUNCTION("""COMPUTED_VALUE"""),FALSE)</f>
        <v>0</v>
      </c>
      <c r="BG39" s="30"/>
      <c r="BH39" s="30"/>
      <c r="BI39" s="30"/>
      <c r="BJ39" s="30"/>
      <c r="BK39" s="30"/>
      <c r="BL39" s="30"/>
      <c r="BM39" s="30" t="str">
        <f ca="1">IFERROR(__xludf.DUMMYFUNCTION("""COMPUTED_VALUE"""),"No")</f>
        <v>No</v>
      </c>
      <c r="BN39" s="30"/>
      <c r="BO39" s="30" t="str">
        <f ca="1">IFERROR(__xludf.DUMMYFUNCTION("""COMPUTED_VALUE"""),"1301aa39")</f>
        <v>1301aa39</v>
      </c>
      <c r="BP39" s="29" t="str">
        <f ca="1">IFERROR(__xludf.DUMMYFUNCTION("""COMPUTED_VALUE"""),"Guanajuato")</f>
        <v>Guanajuato</v>
      </c>
      <c r="BQ39" s="30" t="str">
        <f ca="1">IFERROR(__xludf.DUMMYFUNCTION("""COMPUTED_VALUE"""),"Urbano")</f>
        <v>Urbano</v>
      </c>
      <c r="BR39" s="30">
        <f ca="1">IFERROR(__xludf.DUMMYFUNCTION("""COMPUTED_VALUE"""),49)</f>
        <v>49</v>
      </c>
      <c r="BS39" s="30" t="str">
        <f ca="1">IFERROR(__xludf.DUMMYFUNCTION("""COMPUTED_VALUE"""),"Guanajuato")</f>
        <v>Guanajuato</v>
      </c>
      <c r="BT39" s="30"/>
      <c r="BU39" s="30" t="str">
        <f ca="1">IFERROR(__xludf.DUMMYFUNCTION("""COMPUTED_VALUE"""),"Si")</f>
        <v>Si</v>
      </c>
      <c r="BV39" s="30" t="str">
        <f ca="1">IFERROR(__xludf.DUMMYFUNCTION("""COMPUTED_VALUE"""),"Si")</f>
        <v>Si</v>
      </c>
      <c r="BW39" s="30">
        <f ca="1">IFERROR(__xludf.DUMMYFUNCTION("""COMPUTED_VALUE"""),16)</f>
        <v>16</v>
      </c>
      <c r="BX39" s="30"/>
      <c r="BY39" s="30">
        <f ca="1">IFERROR(__xludf.DUMMYFUNCTION("""COMPUTED_VALUE"""),16)</f>
        <v>16</v>
      </c>
      <c r="BZ39" s="30" t="str">
        <f ca="1">IFERROR(__xludf.DUMMYFUNCTION("""COMPUTED_VALUE"""),"Guanajuato")</f>
        <v>Guanajuato</v>
      </c>
      <c r="CA39" s="30" t="str">
        <f ca="1">IFERROR(__xludf.DUMMYFUNCTION("""COMPUTED_VALUE"""),"No")</f>
        <v>No</v>
      </c>
      <c r="CB39" s="30" t="str">
        <f ca="1">IFERROR(__xludf.DUMMYFUNCTION("""COMPUTED_VALUE"""),"No")</f>
        <v>No</v>
      </c>
      <c r="CC39" s="30" t="str">
        <f ca="1">IFERROR(__xludf.DUMMYFUNCTION("""COMPUTED_VALUE"""),"372e9b8e")</f>
        <v>372e9b8e</v>
      </c>
      <c r="CD39" s="29" t="str">
        <f ca="1">IFERROR(__xludf.DUMMYFUNCTION("""COMPUTED_VALUE"""),"Adolescentes (13 a 17 años)")</f>
        <v>Adolescentes (13 a 17 años)</v>
      </c>
      <c r="CE39" s="30" t="str">
        <f ca="1">IFERROR(__xludf.DUMMYFUNCTION("""COMPUTED_VALUE"""),"Dato global")</f>
        <v>Dato global</v>
      </c>
      <c r="CF39" s="30" t="str">
        <f ca="1">IFERROR(__xludf.DUMMYFUNCTION("""COMPUTED_VALUE"""),"Ninguno (Población General)")</f>
        <v>Ninguno (Población General)</v>
      </c>
      <c r="CG39" s="30">
        <f ca="1">IFERROR(__xludf.DUMMYFUNCTION("""COMPUTED_VALUE"""),49)</f>
        <v>49</v>
      </c>
      <c r="CI39" s="30" t="str">
        <f ca="1">IFERROR(__xludf.DUMMYFUNCTION("""COMPUTED_VALUE"""),"c8eca0b9")</f>
        <v>c8eca0b9</v>
      </c>
      <c r="CJ39" s="29" t="str">
        <f ca="1">IFERROR(__xludf.DUMMYFUNCTION("""COMPUTED_VALUE"""),"Regitro_Evidencia_Files_/c8eca0b9.Archivo_Evidencia.174359.zip")</f>
        <v>Regitro_Evidencia_Files_/c8eca0b9.Archivo_Evidencia.174359.zip</v>
      </c>
      <c r="CK39" s="30" t="str">
        <f ca="1">IFERROR(__xludf.DUMMYFUNCTION("""COMPUTED_VALUE"""),"Carpeta")</f>
        <v>Carpeta</v>
      </c>
      <c r="CL39" s="30"/>
      <c r="CM39" s="30" t="str">
        <f ca="1">IFERROR(__xludf.DUMMYFUNCTION("""COMPUTED_VALUE"""),"Guanajuato")</f>
        <v>Guanajuato</v>
      </c>
      <c r="CN39" s="32" t="e">
        <f ca="1"/>
        <v>#NAME?</v>
      </c>
      <c r="CO39" s="32" t="e">
        <f ca="1"/>
        <v>#NAME?</v>
      </c>
      <c r="CP39" s="32" t="e">
        <f ca="1"/>
        <v>#NAME?</v>
      </c>
      <c r="CQ39" s="32" t="e">
        <f ca="1"/>
        <v>#NAME?</v>
      </c>
      <c r="CR39" s="30" t="e">
        <f ca="1"/>
        <v>#NAME?</v>
      </c>
      <c r="CS39" s="30" t="str">
        <f ca="1">IFERROR(__xludf.DUMMYFUNCTION("""COMPUTED_VALUE"""),"Ninguno (Población General)")</f>
        <v>Ninguno (Población General)</v>
      </c>
    </row>
    <row r="40" spans="1:97" ht="15.5">
      <c r="A40" s="29" t="str">
        <f ca="1">IFERROR(__xludf.DUMMYFUNCTION("""COMPUTED_VALUE"""),"ACT-SCFI49355")</f>
        <v>ACT-SCFI49355</v>
      </c>
      <c r="B40" s="30" t="str">
        <f ca="1">IFERROR(__xludf.DUMMYFUNCTION("""COMPUTED_VALUE"""),"SC-260618-115051")</f>
        <v>SC-260618-115051</v>
      </c>
      <c r="C40" s="62">
        <f ca="1">IFERROR(__xludf.DUMMYFUNCTION("""COMPUTED_VALUE"""),46191.4936458333)</f>
        <v>46191.493645833303</v>
      </c>
      <c r="D40" s="30">
        <f ca="1">IFERROR(__xludf.DUMMYFUNCTION("""COMPUTED_VALUE"""),92)</f>
        <v>92</v>
      </c>
      <c r="E40" s="30" t="str">
        <f ca="1">IFERROR(__xludf.DUMMYFUNCTION("""COMPUTED_VALUE"""),"PB3572")</f>
        <v>PB3572</v>
      </c>
      <c r="F4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 s="30" t="str">
        <f ca="1">IFERROR(__xludf.DUMMYFUNCTION("""COMPUTED_VALUE"""),"SUBSECRETARÍA DE DESARROLLO Y PROMOCIÓN ARTÍSTICA Y CULTURAL")</f>
        <v>SUBSECRETARÍA DE DESARROLLO Y PROMOCIÓN ARTÍSTICA Y CULTURAL</v>
      </c>
      <c r="I40" s="34" t="str">
        <f ca="1">IFERROR(__xludf.DUMMYFUNCTION("""COMPUTED_VALUE"""),"DIRECCIÓN GENERAL DE MUSEOS, ARTES VISUALES Y EXPOSICIONES")</f>
        <v>DIRECCIÓN GENERAL DE MUSEOS, ARTES VISUALES Y EXPOSICIONES</v>
      </c>
      <c r="J40" s="30" t="str">
        <f ca="1">IFERROR(__xludf.DUMMYFUNCTION("""COMPUTED_VALUE"""),"Número de Actividades realizadas")</f>
        <v>Número de Actividades realizadas</v>
      </c>
      <c r="K40" s="30">
        <f ca="1">IFERROR(__xludf.DUMMYFUNCTION("""COMPUTED_VALUE"""),800)</f>
        <v>800</v>
      </c>
      <c r="L40" s="30" t="str">
        <f ca="1">IFERROR(__xludf.DUMMYFUNCTION("""COMPUTED_VALUE"""),"Artística")</f>
        <v>Artística</v>
      </c>
      <c r="M40" s="30" t="str">
        <f ca="1">IFERROR(__xludf.DUMMYFUNCTION("""COMPUTED_VALUE"""),"La escuela al Museo")</f>
        <v>La escuela al Museo</v>
      </c>
      <c r="N40" s="30" t="str">
        <f ca="1">IFERROR(__xludf.DUMMYFUNCTION("""COMPUTED_VALUE"""),"Estudiantes de la Licenciatura en Artes Visuales de la Universidad de Guanajuato acudirán a las distintas sedes de los Museos de la Secretaría de Cultura a participar en talleres artísticos, con la finalidad de que conozcan las valiosas colecciones de los"&amp;" museos y un primer acercamiento a las técnicas con las que fueron elaboradas algunas las obras.")</f>
        <v>Estudiantes de la Licenciatura en Artes Visuales de la Universidad de Guanajuato acudirán a las distintas sedes de los Museos de la Secretaría de Cultura a participar en talleres artísticos, con la finalidad de que conozcan las valiosas colecciones de los museos y un primer acercamiento a las técnicas con las que fueron elaboradas algunas las obras.</v>
      </c>
      <c r="O40" s="30" t="str">
        <f ca="1">IFERROR(__xludf.DUMMYFUNCTION("""COMPUTED_VALUE"""),"Única")</f>
        <v>Única</v>
      </c>
      <c r="P40" s="33">
        <f ca="1">IFERROR(__xludf.DUMMYFUNCTION("""COMPUTED_VALUE"""),46133)</f>
        <v>46133</v>
      </c>
      <c r="Q40" s="64">
        <f ca="1">IFERROR(__xludf.DUMMYFUNCTION("""COMPUTED_VALUE"""),46133)</f>
        <v>46133</v>
      </c>
      <c r="R40" s="30">
        <f ca="1">IFERROR(__xludf.DUMMYFUNCTION("""COMPUTED_VALUE"""),1)</f>
        <v>1</v>
      </c>
      <c r="S40" s="30" t="str">
        <f ca="1">IFERROR(__xludf.DUMMYFUNCTION("""COMPUTED_VALUE"""),"Cultura comunitaria")</f>
        <v>Cultura comunitaria</v>
      </c>
      <c r="T40" s="30" t="str">
        <f ca="1">IFERROR(__xludf.DUMMYFUNCTION("""COMPUTED_VALUE"""),"Formación comunitaria")</f>
        <v>Formación comunitaria</v>
      </c>
      <c r="U40" s="30" t="str">
        <f ca="1">IFERROR(__xludf.DUMMYFUNCTION("""COMPUTED_VALUE"""),"Taller")</f>
        <v>Taller</v>
      </c>
      <c r="V40" s="30" t="str">
        <f ca="1">IFERROR(__xludf.DUMMYFUNCTION("""COMPUTED_VALUE"""),"Ninguna")</f>
        <v>Ninguna</v>
      </c>
      <c r="W40" s="30" t="str">
        <f ca="1">IFERROR(__xludf.DUMMYFUNCTION("""COMPUTED_VALUE"""),"Presencial")</f>
        <v>Presencial</v>
      </c>
      <c r="X40" s="30" t="str">
        <f ca="1">IFERROR(__xludf.DUMMYFUNCTION("""COMPUTED_VALUE"""),"Espacio a Cargo de la Secretaría")</f>
        <v>Espacio a Cargo de la Secretaría</v>
      </c>
      <c r="Y40" s="30" t="str">
        <f ca="1">IFERROR(__xludf.DUMMYFUNCTION("""COMPUTED_VALUE"""),"9")</f>
        <v>9</v>
      </c>
      <c r="Z40" s="30"/>
      <c r="AA40" s="30"/>
      <c r="AB40" s="30" t="b">
        <f ca="1">IFERROR(__xludf.DUMMYFUNCTION("""COMPUTED_VALUE"""),FALSE)</f>
        <v>0</v>
      </c>
      <c r="AC40" s="30"/>
      <c r="AD40" s="30" t="b">
        <f ca="1">IFERROR(__xludf.DUMMYFUNCTION("""COMPUTED_VALUE"""),FALSE)</f>
        <v>0</v>
      </c>
      <c r="AE40" s="30"/>
      <c r="AF40" s="30" t="b">
        <f ca="1">IFERROR(__xludf.DUMMYFUNCTION("""COMPUTED_VALUE"""),FALSE)</f>
        <v>0</v>
      </c>
      <c r="AG40" s="30"/>
      <c r="AH40" s="30" t="str">
        <f ca="1">IFERROR(__xludf.DUMMYFUNCTION("""COMPUTED_VALUE"""),"Sin costo")</f>
        <v>Sin costo</v>
      </c>
      <c r="AI40" s="30"/>
      <c r="AJ40" s="30"/>
      <c r="AK40" s="30"/>
      <c r="AL40" s="30" t="str">
        <f ca="1">IFERROR(__xludf.DUMMYFUNCTION("""COMPUTED_VALUE"""),"ccardonav@guanajuato.gob.mx")</f>
        <v>ccardonav@guanajuato.gob.mx</v>
      </c>
      <c r="AM40" s="30" t="str">
        <f ca="1">IFERROR(__xludf.DUMMYFUNCTION("""COMPUTED_VALUE"""),"Arraigo y empoderamiento cultural de comunidades.")</f>
        <v>Arraigo y empoderamiento cultural de comunidades.</v>
      </c>
      <c r="AN40" s="30" t="str">
        <f ca="1">IFERROR(__xludf.DUMMYFUNCTION("""COMPUTED_VALUE"""),"2 Igualdad")</f>
        <v>2 Igualdad</v>
      </c>
      <c r="AO40" s="30" t="str">
        <f ca="1">IFERROR(__xludf.DUMMYFUNCTION("""COMPUTED_VALUE"""),"2.4 Reducir brechas de desigualdad")</f>
        <v>2.4 Reducir brechas de desigualdad</v>
      </c>
      <c r="AP40" s="30" t="str">
        <f ca="1">IFERROR(__xludf.DUMMYFUNCTION("""COMPUTED_VALUE"""),"2.4.3 Descentralización de la oferta cultural")</f>
        <v>2.4.3 Descentralización de la oferta cultural</v>
      </c>
      <c r="AQ40" s="30" t="str">
        <f ca="1">IFERROR(__xludf.DUMMYFUNCTION("""COMPUTED_VALUE"""),"2.4.3.1 Impulsar el desarrollo artístico y cultural entre infancias y juventudes")</f>
        <v>2.4.3.1 Impulsar el desarrollo artístico y cultural entre infancias y juventudes</v>
      </c>
      <c r="AR40" s="30" t="str">
        <f ca="1">IFERROR(__xludf.DUMMYFUNCTION("""COMPUTED_VALUE"""),"Cooperación")</f>
        <v>Cooperación</v>
      </c>
      <c r="AS40" s="30"/>
      <c r="AT40" s="30" t="str">
        <f ca="1">IFERROR(__xludf.DUMMYFUNCTION("""COMPUTED_VALUE"""),"Fortalecimiento de la participación ciudadana y la mediación cultural")</f>
        <v>Fortalecimiento de la participación ciudadana y la mediación cultural</v>
      </c>
      <c r="AU40" s="30" t="str">
        <f ca="1">IFERROR(__xludf.DUMMYFUNCTION("""COMPUTED_VALUE"""),"Impulso a la ampliación de la oferta cultural en los territorios.")</f>
        <v>Impulso a la ampliación de la oferta cultural en los territorios.</v>
      </c>
      <c r="AV4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 s="30" t="str">
        <f ca="1">IFERROR(__xludf.DUMMYFUNCTION("""COMPUTED_VALUE"""),"Incrementar en 25% la oferta cultural realizada en los municipios.")</f>
        <v>Incrementar en 25% la oferta cultural realizada en los municipios.</v>
      </c>
      <c r="AX40" s="30" t="str">
        <f ca="1">IFERROR(__xludf.DUMMYFUNCTION("""COMPUTED_VALUE"""),"Visitas escolares")</f>
        <v>Visitas escolares</v>
      </c>
      <c r="AY40" s="30" t="str">
        <f ca="1">IFERROR(__xludf.DUMMYFUNCTION("""COMPUTED_VALUE"""),"Formación")</f>
        <v>Formación</v>
      </c>
      <c r="AZ40" s="30" t="str">
        <f ca="1">IFERROR(__xludf.DUMMYFUNCTION("""COMPUTED_VALUE"""),"Formación")</f>
        <v>Formación</v>
      </c>
      <c r="BA40" s="30"/>
      <c r="BB40" s="30"/>
      <c r="BC40" s="30">
        <f ca="1">IFERROR(__xludf.DUMMYFUNCTION("""COMPUTED_VALUE"""),0)</f>
        <v>0</v>
      </c>
      <c r="BD40" s="30"/>
      <c r="BE40" s="30"/>
      <c r="BF40" s="30" t="b">
        <f ca="1">IFERROR(__xludf.DUMMYFUNCTION("""COMPUTED_VALUE"""),FALSE)</f>
        <v>0</v>
      </c>
      <c r="BG40" s="30"/>
      <c r="BH40" s="30"/>
      <c r="BI40" s="30"/>
      <c r="BJ40" s="30"/>
      <c r="BK40" s="30"/>
      <c r="BL40" s="30"/>
      <c r="BM40" s="30" t="str">
        <f ca="1">IFERROR(__xludf.DUMMYFUNCTION("""COMPUTED_VALUE"""),"No")</f>
        <v>No</v>
      </c>
      <c r="BN40" s="30"/>
      <c r="BO40" s="30" t="str">
        <f ca="1">IFERROR(__xludf.DUMMYFUNCTION("""COMPUTED_VALUE"""),"e7564688")</f>
        <v>e7564688</v>
      </c>
      <c r="BP40" s="29" t="str">
        <f ca="1">IFERROR(__xludf.DUMMYFUNCTION("""COMPUTED_VALUE"""),"Guanajuato")</f>
        <v>Guanajuato</v>
      </c>
      <c r="BQ40" s="30" t="str">
        <f ca="1">IFERROR(__xludf.DUMMYFUNCTION("""COMPUTED_VALUE"""),"Urbano")</f>
        <v>Urbano</v>
      </c>
      <c r="BR40" s="30">
        <f ca="1">IFERROR(__xludf.DUMMYFUNCTION("""COMPUTED_VALUE"""),49)</f>
        <v>49</v>
      </c>
      <c r="BS40" s="30" t="str">
        <f ca="1">IFERROR(__xludf.DUMMYFUNCTION("""COMPUTED_VALUE"""),"Guanajuato")</f>
        <v>Guanajuato</v>
      </c>
      <c r="BT40" s="30"/>
      <c r="BU40" s="30" t="str">
        <f ca="1">IFERROR(__xludf.DUMMYFUNCTION("""COMPUTED_VALUE"""),"Si")</f>
        <v>Si</v>
      </c>
      <c r="BV40" s="30" t="str">
        <f ca="1">IFERROR(__xludf.DUMMYFUNCTION("""COMPUTED_VALUE"""),"Si")</f>
        <v>Si</v>
      </c>
      <c r="BW40" s="30">
        <f ca="1">IFERROR(__xludf.DUMMYFUNCTION("""COMPUTED_VALUE"""),42)</f>
        <v>42</v>
      </c>
      <c r="BX40" s="30"/>
      <c r="BY40" s="30">
        <f ca="1">IFERROR(__xludf.DUMMYFUNCTION("""COMPUTED_VALUE"""),42)</f>
        <v>42</v>
      </c>
      <c r="BZ40" s="30" t="str">
        <f ca="1">IFERROR(__xludf.DUMMYFUNCTION("""COMPUTED_VALUE"""),"Guanajuato")</f>
        <v>Guanajuato</v>
      </c>
      <c r="CA40" s="30" t="str">
        <f ca="1">IFERROR(__xludf.DUMMYFUNCTION("""COMPUTED_VALUE"""),"No")</f>
        <v>No</v>
      </c>
      <c r="CB40" s="30" t="str">
        <f ca="1">IFERROR(__xludf.DUMMYFUNCTION("""COMPUTED_VALUE"""),"No")</f>
        <v>No</v>
      </c>
      <c r="CC40" s="30" t="str">
        <f ca="1">IFERROR(__xludf.DUMMYFUNCTION("""COMPUTED_VALUE"""),"4e69a4b7")</f>
        <v>4e69a4b7</v>
      </c>
      <c r="CD40" s="29" t="str">
        <f ca="1">IFERROR(__xludf.DUMMYFUNCTION("""COMPUTED_VALUE"""),"Niñas y Niños (6 a 12 años)")</f>
        <v>Niñas y Niños (6 a 12 años)</v>
      </c>
      <c r="CE40" s="30" t="str">
        <f ca="1">IFERROR(__xludf.DUMMYFUNCTION("""COMPUTED_VALUE"""),"Dato global")</f>
        <v>Dato global</v>
      </c>
      <c r="CF40" s="30" t="str">
        <f ca="1">IFERROR(__xludf.DUMMYFUNCTION("""COMPUTED_VALUE"""),"NNA (Niñas, Niños y Adolescentes)")</f>
        <v>NNA (Niñas, Niños y Adolescentes)</v>
      </c>
      <c r="CG40" s="30">
        <f ca="1">IFERROR(__xludf.DUMMYFUNCTION("""COMPUTED_VALUE"""),44)</f>
        <v>44</v>
      </c>
      <c r="CI40" s="30" t="str">
        <f ca="1">IFERROR(__xludf.DUMMYFUNCTION("""COMPUTED_VALUE"""),"255c0730")</f>
        <v>255c0730</v>
      </c>
      <c r="CJ40" s="29" t="str">
        <f ca="1">IFERROR(__xludf.DUMMYFUNCTION("""COMPUTED_VALUE"""),"Regitro_Evidencia_Files_/255c0730.Archivo_Evidencia.175541.zip")</f>
        <v>Regitro_Evidencia_Files_/255c0730.Archivo_Evidencia.175541.zip</v>
      </c>
      <c r="CK40" s="30" t="str">
        <f ca="1">IFERROR(__xludf.DUMMYFUNCTION("""COMPUTED_VALUE"""),"Carpeta")</f>
        <v>Carpeta</v>
      </c>
      <c r="CL40" s="30"/>
      <c r="CM40" s="30" t="str">
        <f ca="1">IFERROR(__xludf.DUMMYFUNCTION("""COMPUTED_VALUE"""),"Guanajuato")</f>
        <v>Guanajuato</v>
      </c>
      <c r="CN40" s="32" t="e">
        <f ca="1"/>
        <v>#NAME?</v>
      </c>
      <c r="CO40" s="32" t="e">
        <f ca="1"/>
        <v>#NAME?</v>
      </c>
      <c r="CP40" s="32" t="e">
        <f ca="1"/>
        <v>#NAME?</v>
      </c>
      <c r="CQ40" s="32" t="e">
        <f ca="1"/>
        <v>#NAME?</v>
      </c>
      <c r="CR40" s="30" t="e">
        <f ca="1"/>
        <v>#NAME?</v>
      </c>
      <c r="CS40" s="30" t="str">
        <f ca="1">IFERROR(__xludf.DUMMYFUNCTION("""COMPUTED_VALUE"""),"NNA (Niñas, Niños y Adolescentes)")</f>
        <v>NNA (Niñas, Niños y Adolescentes)</v>
      </c>
    </row>
    <row r="41" spans="1:97" ht="15.5">
      <c r="A41" s="29" t="str">
        <f ca="1">IFERROR(__xludf.DUMMYFUNCTION("""COMPUTED_VALUE"""),"ACT-SCJD19095")</f>
        <v>ACT-SCJD19095</v>
      </c>
      <c r="B41" s="30" t="str">
        <f ca="1">IFERROR(__xludf.DUMMYFUNCTION("""COMPUTED_VALUE"""),"SC-260618-115556")</f>
        <v>SC-260618-115556</v>
      </c>
      <c r="C41" s="62">
        <f ca="1">IFERROR(__xludf.DUMMYFUNCTION("""COMPUTED_VALUE"""),46191.4971759259)</f>
        <v>46191.497175925899</v>
      </c>
      <c r="D41" s="30">
        <f ca="1">IFERROR(__xludf.DUMMYFUNCTION("""COMPUTED_VALUE"""),92)</f>
        <v>92</v>
      </c>
      <c r="E41" s="30" t="str">
        <f ca="1">IFERROR(__xludf.DUMMYFUNCTION("""COMPUTED_VALUE"""),"PB3572")</f>
        <v>PB3572</v>
      </c>
      <c r="F4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 s="30" t="str">
        <f ca="1">IFERROR(__xludf.DUMMYFUNCTION("""COMPUTED_VALUE"""),"SUBSECRETARÍA DE DESARROLLO Y PROMOCIÓN ARTÍSTICA Y CULTURAL")</f>
        <v>SUBSECRETARÍA DE DESARROLLO Y PROMOCIÓN ARTÍSTICA Y CULTURAL</v>
      </c>
      <c r="I41" s="34" t="str">
        <f ca="1">IFERROR(__xludf.DUMMYFUNCTION("""COMPUTED_VALUE"""),"DIRECCIÓN GENERAL DE MUSEOS, ARTES VISUALES Y EXPOSICIONES")</f>
        <v>DIRECCIÓN GENERAL DE MUSEOS, ARTES VISUALES Y EXPOSICIONES</v>
      </c>
      <c r="J41" s="30" t="str">
        <f ca="1">IFERROR(__xludf.DUMMYFUNCTION("""COMPUTED_VALUE"""),"Número de Actividades realizadas")</f>
        <v>Número de Actividades realizadas</v>
      </c>
      <c r="K41" s="30">
        <f ca="1">IFERROR(__xludf.DUMMYFUNCTION("""COMPUTED_VALUE"""),800)</f>
        <v>800</v>
      </c>
      <c r="L41" s="30" t="str">
        <f ca="1">IFERROR(__xludf.DUMMYFUNCTION("""COMPUTED_VALUE"""),"Artística")</f>
        <v>Artística</v>
      </c>
      <c r="M41" s="30" t="str">
        <f ca="1">IFERROR(__xludf.DUMMYFUNCTION("""COMPUTED_VALUE"""),"Cuentos al piano")</f>
        <v>Cuentos al piano</v>
      </c>
      <c r="N41" s="30" t="str">
        <f ca="1">IFERROR(__xludf.DUMMYFUNCTION("""COMPUTED_VALUE"""),"Concierto dirigido a niñas y niños a cargo de estudiantes de música de la Universidad")</f>
        <v>Concierto dirigido a niñas y niños a cargo de estudiantes de música de la Universidad</v>
      </c>
      <c r="O41" s="30" t="str">
        <f ca="1">IFERROR(__xludf.DUMMYFUNCTION("""COMPUTED_VALUE"""),"Única")</f>
        <v>Única</v>
      </c>
      <c r="P41" s="33">
        <f ca="1">IFERROR(__xludf.DUMMYFUNCTION("""COMPUTED_VALUE"""),46133)</f>
        <v>46133</v>
      </c>
      <c r="Q41" s="64">
        <f ca="1">IFERROR(__xludf.DUMMYFUNCTION("""COMPUTED_VALUE"""),46133)</f>
        <v>46133</v>
      </c>
      <c r="R41" s="30">
        <f ca="1">IFERROR(__xludf.DUMMYFUNCTION("""COMPUTED_VALUE"""),1)</f>
        <v>1</v>
      </c>
      <c r="S41" s="30" t="str">
        <f ca="1">IFERROR(__xludf.DUMMYFUNCTION("""COMPUTED_VALUE"""),"Música")</f>
        <v>Música</v>
      </c>
      <c r="T41" s="30" t="str">
        <f ca="1">IFERROR(__xludf.DUMMYFUNCTION("""COMPUTED_VALUE"""),"Música académica")</f>
        <v>Música académica</v>
      </c>
      <c r="U41" s="30" t="str">
        <f ca="1">IFERROR(__xludf.DUMMYFUNCTION("""COMPUTED_VALUE"""),"Presentación artística")</f>
        <v>Presentación artística</v>
      </c>
      <c r="V41" s="30" t="str">
        <f ca="1">IFERROR(__xludf.DUMMYFUNCTION("""COMPUTED_VALUE"""),"Ninguna")</f>
        <v>Ninguna</v>
      </c>
      <c r="W41" s="30" t="str">
        <f ca="1">IFERROR(__xludf.DUMMYFUNCTION("""COMPUTED_VALUE"""),"Presencial")</f>
        <v>Presencial</v>
      </c>
      <c r="X41" s="30" t="str">
        <f ca="1">IFERROR(__xludf.DUMMYFUNCTION("""COMPUTED_VALUE"""),"Espacio a Cargo de la Secretaría")</f>
        <v>Espacio a Cargo de la Secretaría</v>
      </c>
      <c r="Y41" s="30" t="str">
        <f ca="1">IFERROR(__xludf.DUMMYFUNCTION("""COMPUTED_VALUE"""),"5")</f>
        <v>5</v>
      </c>
      <c r="Z41" s="30"/>
      <c r="AA41" s="30"/>
      <c r="AB41" s="30" t="b">
        <f ca="1">IFERROR(__xludf.DUMMYFUNCTION("""COMPUTED_VALUE"""),FALSE)</f>
        <v>0</v>
      </c>
      <c r="AC41" s="30"/>
      <c r="AD41" s="30" t="b">
        <f ca="1">IFERROR(__xludf.DUMMYFUNCTION("""COMPUTED_VALUE"""),FALSE)</f>
        <v>0</v>
      </c>
      <c r="AE41" s="30"/>
      <c r="AF41" s="30" t="b">
        <f ca="1">IFERROR(__xludf.DUMMYFUNCTION("""COMPUTED_VALUE"""),FALSE)</f>
        <v>0</v>
      </c>
      <c r="AG41" s="30"/>
      <c r="AH41" s="30" t="str">
        <f ca="1">IFERROR(__xludf.DUMMYFUNCTION("""COMPUTED_VALUE"""),"Sin costo")</f>
        <v>Sin costo</v>
      </c>
      <c r="AI41" s="30"/>
      <c r="AJ41" s="30"/>
      <c r="AK41" s="30"/>
      <c r="AL41" s="30" t="str">
        <f ca="1">IFERROR(__xludf.DUMMYFUNCTION("""COMPUTED_VALUE"""),"ccardonav@guanajuato.gob.mx")</f>
        <v>ccardonav@guanajuato.gob.mx</v>
      </c>
      <c r="AM41" s="30" t="str">
        <f ca="1">IFERROR(__xludf.DUMMYFUNCTION("""COMPUTED_VALUE"""),"Arraigo y empoderamiento cultural de comunidades.")</f>
        <v>Arraigo y empoderamiento cultural de comunidades.</v>
      </c>
      <c r="AN41" s="30" t="str">
        <f ca="1">IFERROR(__xludf.DUMMYFUNCTION("""COMPUTED_VALUE"""),"1 Tranquilidad")</f>
        <v>1 Tranquilidad</v>
      </c>
      <c r="AO41" s="30" t="str">
        <f ca="1">IFERROR(__xludf.DUMMYFUNCTION("""COMPUTED_VALUE"""),"1.2 Fortalecer prevención del delito")</f>
        <v>1.2 Fortalecer prevención del delito</v>
      </c>
      <c r="AP41" s="30" t="str">
        <f ca="1">IFERROR(__xludf.DUMMYFUNCTION("""COMPUTED_VALUE"""),"1.2.2 Fortalecimiento del tejido social")</f>
        <v>1.2.2 Fortalecimiento del tejido social</v>
      </c>
      <c r="AQ41" s="30" t="str">
        <f ca="1">IFERROR(__xludf.DUMMYFUNCTION("""COMPUTED_VALUE"""),"1.2.3.4 Promover una cultura de paz desde las expresiones artísticas y culturales")</f>
        <v>1.2.3.4 Promover una cultura de paz desde las expresiones artísticas y culturales</v>
      </c>
      <c r="AR41" s="30" t="str">
        <f ca="1">IFERROR(__xludf.DUMMYFUNCTION("""COMPUTED_VALUE"""),"Cooperación")</f>
        <v>Cooperación</v>
      </c>
      <c r="AS41" s="30"/>
      <c r="AT41" s="30" t="str">
        <f ca="1">IFERROR(__xludf.DUMMYFUNCTION("""COMPUTED_VALUE"""),"Fortalecimiento de la participación ciudadana y la mediación cultural")</f>
        <v>Fortalecimiento de la participación ciudadana y la mediación cultural</v>
      </c>
      <c r="AU41" s="30" t="str">
        <f ca="1">IFERROR(__xludf.DUMMYFUNCTION("""COMPUTED_VALUE"""),"Impulso a la ampliación de la oferta cultural en los territorios.")</f>
        <v>Impulso a la ampliación de la oferta cultural en los territorios.</v>
      </c>
      <c r="AV4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1" s="30" t="str">
        <f ca="1">IFERROR(__xludf.DUMMYFUNCTION("""COMPUTED_VALUE"""),"Incrementar en 25% la oferta cultural realizada en los municipios.")</f>
        <v>Incrementar en 25% la oferta cultural realizada en los municipios.</v>
      </c>
      <c r="AX41" s="30" t="str">
        <f ca="1">IFERROR(__xludf.DUMMYFUNCTION("""COMPUTED_VALUE"""),"Presentación editorial")</f>
        <v>Presentación editorial</v>
      </c>
      <c r="AY41" s="30" t="str">
        <f ca="1">IFERROR(__xludf.DUMMYFUNCTION("""COMPUTED_VALUE"""),"Formación")</f>
        <v>Formación</v>
      </c>
      <c r="AZ41" s="30" t="str">
        <f ca="1">IFERROR(__xludf.DUMMYFUNCTION("""COMPUTED_VALUE"""),"Formación")</f>
        <v>Formación</v>
      </c>
      <c r="BA41" s="30"/>
      <c r="BB41" s="30"/>
      <c r="BC41" s="30">
        <f ca="1">IFERROR(__xludf.DUMMYFUNCTION("""COMPUTED_VALUE"""),0)</f>
        <v>0</v>
      </c>
      <c r="BD41" s="30"/>
      <c r="BE41" s="30"/>
      <c r="BF41" s="30" t="b">
        <f ca="1">IFERROR(__xludf.DUMMYFUNCTION("""COMPUTED_VALUE"""),FALSE)</f>
        <v>0</v>
      </c>
      <c r="BG41" s="30"/>
      <c r="BH41" s="30"/>
      <c r="BI41" s="30"/>
      <c r="BJ41" s="30"/>
      <c r="BK41" s="30"/>
      <c r="BL41" s="30" t="str">
        <f ca="1">IFERROR(__xludf.DUMMYFUNCTION("""COMPUTED_VALUE"""),"Vinculacion")</f>
        <v>Vinculacion</v>
      </c>
      <c r="BM41" s="30" t="str">
        <f ca="1">IFERROR(__xludf.DUMMYFUNCTION("""COMPUTED_VALUE"""),"Sí")</f>
        <v>Sí</v>
      </c>
      <c r="BN41" s="30"/>
      <c r="BO41" s="30" t="str">
        <f ca="1">IFERROR(__xludf.DUMMYFUNCTION("""COMPUTED_VALUE"""),"5dbe9294")</f>
        <v>5dbe9294</v>
      </c>
      <c r="BP41" s="29" t="str">
        <f ca="1">IFERROR(__xludf.DUMMYFUNCTION("""COMPUTED_VALUE"""),"Guanajuato")</f>
        <v>Guanajuato</v>
      </c>
      <c r="BQ41" s="30" t="str">
        <f ca="1">IFERROR(__xludf.DUMMYFUNCTION("""COMPUTED_VALUE"""),"Urbano")</f>
        <v>Urbano</v>
      </c>
      <c r="BR41" s="30">
        <f ca="1">IFERROR(__xludf.DUMMYFUNCTION("""COMPUTED_VALUE"""),49)</f>
        <v>49</v>
      </c>
      <c r="BS41" s="30" t="str">
        <f ca="1">IFERROR(__xludf.DUMMYFUNCTION("""COMPUTED_VALUE"""),"Guanajuato")</f>
        <v>Guanajuato</v>
      </c>
      <c r="BT41" s="30"/>
      <c r="BU41" s="30" t="str">
        <f ca="1">IFERROR(__xludf.DUMMYFUNCTION("""COMPUTED_VALUE"""),"Si")</f>
        <v>Si</v>
      </c>
      <c r="BV41" s="30" t="str">
        <f ca="1">IFERROR(__xludf.DUMMYFUNCTION("""COMPUTED_VALUE"""),"Si")</f>
        <v>Si</v>
      </c>
      <c r="BW41" s="30">
        <f ca="1">IFERROR(__xludf.DUMMYFUNCTION("""COMPUTED_VALUE"""),13)</f>
        <v>13</v>
      </c>
      <c r="BX41" s="30">
        <f ca="1">IFERROR(__xludf.DUMMYFUNCTION("""COMPUTED_VALUE"""),13)</f>
        <v>13</v>
      </c>
      <c r="BY41" s="30">
        <f ca="1">IFERROR(__xludf.DUMMYFUNCTION("""COMPUTED_VALUE"""),0)</f>
        <v>0</v>
      </c>
      <c r="BZ41" s="30" t="str">
        <f ca="1">IFERROR(__xludf.DUMMYFUNCTION("""COMPUTED_VALUE"""),"Guanajuato")</f>
        <v>Guanajuato</v>
      </c>
      <c r="CA41" s="30" t="str">
        <f ca="1">IFERROR(__xludf.DUMMYFUNCTION("""COMPUTED_VALUE"""),"No")</f>
        <v>No</v>
      </c>
      <c r="CB41" s="30" t="str">
        <f ca="1">IFERROR(__xludf.DUMMYFUNCTION("""COMPUTED_VALUE"""),"No")</f>
        <v>No</v>
      </c>
      <c r="CC41" s="30" t="str">
        <f ca="1">IFERROR(__xludf.DUMMYFUNCTION("""COMPUTED_VALUE"""),"902ed411")</f>
        <v>902ed411</v>
      </c>
      <c r="CD41" s="29" t="str">
        <f ca="1">IFERROR(__xludf.DUMMYFUNCTION("""COMPUTED_VALUE"""),"Niñas y Niños (6 a 12 años)")</f>
        <v>Niñas y Niños (6 a 12 años)</v>
      </c>
      <c r="CE41" s="30" t="str">
        <f ca="1">IFERROR(__xludf.DUMMYFUNCTION("""COMPUTED_VALUE"""),"Dato global")</f>
        <v>Dato global</v>
      </c>
      <c r="CF41" s="30" t="str">
        <f ca="1">IFERROR(__xludf.DUMMYFUNCTION("""COMPUTED_VALUE"""),"NNA (Niñas, Niños y Adolescentes)")</f>
        <v>NNA (Niñas, Niños y Adolescentes)</v>
      </c>
      <c r="CG41" s="30">
        <f ca="1">IFERROR(__xludf.DUMMYFUNCTION("""COMPUTED_VALUE"""),3)</f>
        <v>3</v>
      </c>
      <c r="CI41" s="30" t="str">
        <f ca="1">IFERROR(__xludf.DUMMYFUNCTION("""COMPUTED_VALUE"""),"e1c8126c")</f>
        <v>e1c8126c</v>
      </c>
      <c r="CJ41" s="29" t="str">
        <f ca="1">IFERROR(__xludf.DUMMYFUNCTION("""COMPUTED_VALUE"""),"Regitro_Evidencia_Files_/e1c8126c.Archivo_Evidencia.182101.zip")</f>
        <v>Regitro_Evidencia_Files_/e1c8126c.Archivo_Evidencia.182101.zip</v>
      </c>
      <c r="CK41" s="30" t="str">
        <f ca="1">IFERROR(__xludf.DUMMYFUNCTION("""COMPUTED_VALUE"""),"Carpeta")</f>
        <v>Carpeta</v>
      </c>
      <c r="CL41" s="30"/>
      <c r="CM41" s="30" t="str">
        <f ca="1">IFERROR(__xludf.DUMMYFUNCTION("""COMPUTED_VALUE"""),"Guanajuato")</f>
        <v>Guanajuato</v>
      </c>
      <c r="CN41" s="32" t="e">
        <f ca="1"/>
        <v>#NAME?</v>
      </c>
      <c r="CO41" s="32" t="e">
        <f ca="1"/>
        <v>#NAME?</v>
      </c>
      <c r="CP41" s="32" t="e">
        <f ca="1"/>
        <v>#NAME?</v>
      </c>
      <c r="CQ41" s="32" t="e">
        <f ca="1"/>
        <v>#NAME?</v>
      </c>
      <c r="CR41" s="30" t="e">
        <f ca="1"/>
        <v>#NAME?</v>
      </c>
      <c r="CS41" s="30" t="str">
        <f ca="1">IFERROR(__xludf.DUMMYFUNCTION("""COMPUTED_VALUE"""),"NNA (Niñas, Niños y Adolescentes)")</f>
        <v>NNA (Niñas, Niños y Adolescentes)</v>
      </c>
    </row>
    <row r="42" spans="1:97" ht="15.5">
      <c r="A42" s="29" t="str">
        <f ca="1">IFERROR(__xludf.DUMMYFUNCTION("""COMPUTED_VALUE"""),"ACT-SCZZ10210")</f>
        <v>ACT-SCZZ10210</v>
      </c>
      <c r="B42" s="30" t="str">
        <f ca="1">IFERROR(__xludf.DUMMYFUNCTION("""COMPUTED_VALUE"""),"SC-260618-141113")</f>
        <v>SC-260618-141113</v>
      </c>
      <c r="C42" s="62">
        <f ca="1">IFERROR(__xludf.DUMMYFUNCTION("""COMPUTED_VALUE"""),46191.5911226851)</f>
        <v>46191.591122685102</v>
      </c>
      <c r="D42" s="30">
        <f ca="1">IFERROR(__xludf.DUMMYFUNCTION("""COMPUTED_VALUE"""),92)</f>
        <v>92</v>
      </c>
      <c r="E42" s="30" t="str">
        <f ca="1">IFERROR(__xludf.DUMMYFUNCTION("""COMPUTED_VALUE"""),"PB3572")</f>
        <v>PB3572</v>
      </c>
      <c r="F4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2" s="30" t="str">
        <f ca="1">IFERROR(__xludf.DUMMYFUNCTION("""COMPUTED_VALUE"""),"SUBSECRETARÍA DE DESARROLLO Y PROMOCIÓN ARTÍSTICA Y CULTURAL")</f>
        <v>SUBSECRETARÍA DE DESARROLLO Y PROMOCIÓN ARTÍSTICA Y CULTURAL</v>
      </c>
      <c r="I42" s="34" t="str">
        <f ca="1">IFERROR(__xludf.DUMMYFUNCTION("""COMPUTED_VALUE"""),"DIRECCIÓN GENERAL DE MUSEOS, ARTES VISUALES Y EXPOSICIONES")</f>
        <v>DIRECCIÓN GENERAL DE MUSEOS, ARTES VISUALES Y EXPOSICIONES</v>
      </c>
      <c r="J42" s="30" t="str">
        <f ca="1">IFERROR(__xludf.DUMMYFUNCTION("""COMPUTED_VALUE"""),"Número de Actividades realizadas")</f>
        <v>Número de Actividades realizadas</v>
      </c>
      <c r="K42" s="30">
        <f ca="1">IFERROR(__xludf.DUMMYFUNCTION("""COMPUTED_VALUE"""),800)</f>
        <v>800</v>
      </c>
      <c r="L42" s="30" t="str">
        <f ca="1">IFERROR(__xludf.DUMMYFUNCTION("""COMPUTED_VALUE"""),"Artística")</f>
        <v>Artística</v>
      </c>
      <c r="M42" s="30" t="str">
        <f ca="1">IFERROR(__xludf.DUMMYFUNCTION("""COMPUTED_VALUE"""),"Circulo de lectura escritura para niños, niñas y adolescentes")</f>
        <v>Circulo de lectura escritura para niños, niñas y adolescentes</v>
      </c>
      <c r="N42" s="30" t="str">
        <f ca="1">IFERROR(__xludf.DUMMYFUNCTION("""COMPUTED_VALUE"""),"A partir de la lectura de Cuentos para niños que se atreven a ser diferentes y Cuentos de buenas noches para niñas rebeldes se busca fomentar el respeto y empatía entre niños y niñas con énfasis en la equidad e igualdad.")</f>
        <v>A partir de la lectura de Cuentos para niños que se atreven a ser diferentes y Cuentos de buenas noches para niñas rebeldes se busca fomentar el respeto y empatía entre niños y niñas con énfasis en la equidad e igualdad.</v>
      </c>
      <c r="O42" s="30" t="str">
        <f ca="1">IFERROR(__xludf.DUMMYFUNCTION("""COMPUTED_VALUE"""),"Única")</f>
        <v>Única</v>
      </c>
      <c r="P42" s="33">
        <f ca="1">IFERROR(__xludf.DUMMYFUNCTION("""COMPUTED_VALUE"""),46134)</f>
        <v>46134</v>
      </c>
      <c r="Q42" s="64">
        <f ca="1">IFERROR(__xludf.DUMMYFUNCTION("""COMPUTED_VALUE"""),46134)</f>
        <v>46134</v>
      </c>
      <c r="R42" s="30">
        <f ca="1">IFERROR(__xludf.DUMMYFUNCTION("""COMPUTED_VALUE"""),1)</f>
        <v>1</v>
      </c>
      <c r="S42" s="30" t="str">
        <f ca="1">IFERROR(__xludf.DUMMYFUNCTION("""COMPUTED_VALUE"""),"Literatura")</f>
        <v>Literatura</v>
      </c>
      <c r="T42" s="30" t="str">
        <f ca="1">IFERROR(__xludf.DUMMYFUNCTION("""COMPUTED_VALUE"""),"Fomento a la lectura")</f>
        <v>Fomento a la lectura</v>
      </c>
      <c r="U42" s="30" t="str">
        <f ca="1">IFERROR(__xludf.DUMMYFUNCTION("""COMPUTED_VALUE"""),"Taller")</f>
        <v>Taller</v>
      </c>
      <c r="V42" s="30" t="str">
        <f ca="1">IFERROR(__xludf.DUMMYFUNCTION("""COMPUTED_VALUE"""),"Ninguna")</f>
        <v>Ninguna</v>
      </c>
      <c r="W42" s="30" t="str">
        <f ca="1">IFERROR(__xludf.DUMMYFUNCTION("""COMPUTED_VALUE"""),"Presencial")</f>
        <v>Presencial</v>
      </c>
      <c r="X42" s="30" t="str">
        <f ca="1">IFERROR(__xludf.DUMMYFUNCTION("""COMPUTED_VALUE"""),"Espacio a Cargo de la Secretaría")</f>
        <v>Espacio a Cargo de la Secretaría</v>
      </c>
      <c r="Y42" s="30" t="str">
        <f ca="1">IFERROR(__xludf.DUMMYFUNCTION("""COMPUTED_VALUE"""),"1")</f>
        <v>1</v>
      </c>
      <c r="Z42" s="30"/>
      <c r="AA42" s="30"/>
      <c r="AB42" s="30" t="b">
        <f ca="1">IFERROR(__xludf.DUMMYFUNCTION("""COMPUTED_VALUE"""),FALSE)</f>
        <v>0</v>
      </c>
      <c r="AC42" s="30"/>
      <c r="AD42" s="30" t="b">
        <f ca="1">IFERROR(__xludf.DUMMYFUNCTION("""COMPUTED_VALUE"""),TRUE)</f>
        <v>1</v>
      </c>
      <c r="AE42" s="30">
        <f ca="1">IFERROR(__xludf.DUMMYFUNCTION("""COMPUTED_VALUE"""),1)</f>
        <v>1</v>
      </c>
      <c r="AF42" s="30" t="b">
        <f ca="1">IFERROR(__xludf.DUMMYFUNCTION("""COMPUTED_VALUE"""),FALSE)</f>
        <v>0</v>
      </c>
      <c r="AG42" s="30"/>
      <c r="AH42" s="30" t="str">
        <f ca="1">IFERROR(__xludf.DUMMYFUNCTION("""COMPUTED_VALUE"""),"Sin costo")</f>
        <v>Sin costo</v>
      </c>
      <c r="AI42" s="30"/>
      <c r="AJ42" s="30"/>
      <c r="AK42" s="30"/>
      <c r="AL42" s="30" t="str">
        <f ca="1">IFERROR(__xludf.DUMMYFUNCTION("""COMPUTED_VALUE"""),"ccardonav@guanajuato.gob.mx")</f>
        <v>ccardonav@guanajuato.gob.mx</v>
      </c>
      <c r="AM42" s="30" t="str">
        <f ca="1">IFERROR(__xludf.DUMMYFUNCTION("""COMPUTED_VALUE"""),"Leer para crecer.")</f>
        <v>Leer para crecer.</v>
      </c>
      <c r="AN42" s="30" t="str">
        <f ca="1">IFERROR(__xludf.DUMMYFUNCTION("""COMPUTED_VALUE"""),"1 Tranquilidad")</f>
        <v>1 Tranquilidad</v>
      </c>
      <c r="AO42" s="30" t="str">
        <f ca="1">IFERROR(__xludf.DUMMYFUNCTION("""COMPUTED_VALUE"""),"1.2 Fortalecer prevención del delito")</f>
        <v>1.2 Fortalecer prevención del delito</v>
      </c>
      <c r="AP42" s="30" t="str">
        <f ca="1">IFERROR(__xludf.DUMMYFUNCTION("""COMPUTED_VALUE"""),"1.2.2 Fortalecimiento del tejido social")</f>
        <v>1.2.2 Fortalecimiento del tejido social</v>
      </c>
      <c r="AQ42" s="30" t="str">
        <f ca="1">IFERROR(__xludf.DUMMYFUNCTION("""COMPUTED_VALUE"""),"1.2.3.4 Promover una cultura de paz desde las expresiones artísticas y culturales")</f>
        <v>1.2.3.4 Promover una cultura de paz desde las expresiones artísticas y culturales</v>
      </c>
      <c r="AR42" s="30" t="str">
        <f ca="1">IFERROR(__xludf.DUMMYFUNCTION("""COMPUTED_VALUE"""),"Cooperación")</f>
        <v>Cooperación</v>
      </c>
      <c r="AS42" s="30"/>
      <c r="AT42" s="30" t="str">
        <f ca="1">IFERROR(__xludf.DUMMYFUNCTION("""COMPUTED_VALUE"""),"Fortalecimiento de la participación ciudadana y la mediación cultural")</f>
        <v>Fortalecimiento de la participación ciudadana y la mediación cultural</v>
      </c>
      <c r="AU42" s="30" t="str">
        <f ca="1">IFERROR(__xludf.DUMMYFUNCTION("""COMPUTED_VALUE"""),"Impulso a la ampliación de la oferta cultural en los territorios.")</f>
        <v>Impulso a la ampliación de la oferta cultural en los territorios.</v>
      </c>
      <c r="AV4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2" s="30" t="str">
        <f ca="1">IFERROR(__xludf.DUMMYFUNCTION("""COMPUTED_VALUE"""),"Incrementar en 25% la oferta cultural realizada en los municipios.")</f>
        <v>Incrementar en 25% la oferta cultural realizada en los municipios.</v>
      </c>
      <c r="AX42" s="30" t="str">
        <f ca="1">IFERROR(__xludf.DUMMYFUNCTION("""COMPUTED_VALUE"""),"Taller")</f>
        <v>Taller</v>
      </c>
      <c r="AY42" s="30" t="str">
        <f ca="1">IFERROR(__xludf.DUMMYFUNCTION("""COMPUTED_VALUE"""),"Formación")</f>
        <v>Formación</v>
      </c>
      <c r="AZ42" s="30" t="str">
        <f ca="1">IFERROR(__xludf.DUMMYFUNCTION("""COMPUTED_VALUE"""),"Formación")</f>
        <v>Formación</v>
      </c>
      <c r="BA42" s="30"/>
      <c r="BB42" s="30"/>
      <c r="BC42" s="30">
        <f ca="1">IFERROR(__xludf.DUMMYFUNCTION("""COMPUTED_VALUE"""),0)</f>
        <v>0</v>
      </c>
      <c r="BD42" s="30"/>
      <c r="BE42" s="30"/>
      <c r="BF42" s="30" t="b">
        <f ca="1">IFERROR(__xludf.DUMMYFUNCTION("""COMPUTED_VALUE"""),FALSE)</f>
        <v>0</v>
      </c>
      <c r="BG42" s="30"/>
      <c r="BH42" s="30"/>
      <c r="BI42" s="30"/>
      <c r="BJ42" s="30"/>
      <c r="BK42" s="30"/>
      <c r="BL42" s="30"/>
      <c r="BM42" s="30" t="str">
        <f ca="1">IFERROR(__xludf.DUMMYFUNCTION("""COMPUTED_VALUE"""),"No")</f>
        <v>No</v>
      </c>
      <c r="BN42" s="30"/>
      <c r="BO42" s="30" t="str">
        <f ca="1">IFERROR(__xludf.DUMMYFUNCTION("""COMPUTED_VALUE"""),"0270c462")</f>
        <v>0270c462</v>
      </c>
      <c r="BP42" s="29" t="str">
        <f ca="1">IFERROR(__xludf.DUMMYFUNCTION("""COMPUTED_VALUE"""),"Guanajuato")</f>
        <v>Guanajuato</v>
      </c>
      <c r="BQ42" s="30" t="str">
        <f ca="1">IFERROR(__xludf.DUMMYFUNCTION("""COMPUTED_VALUE"""),"Urbano")</f>
        <v>Urbano</v>
      </c>
      <c r="BR42" s="30">
        <f ca="1">IFERROR(__xludf.DUMMYFUNCTION("""COMPUTED_VALUE"""),49)</f>
        <v>49</v>
      </c>
      <c r="BS42" s="30" t="str">
        <f ca="1">IFERROR(__xludf.DUMMYFUNCTION("""COMPUTED_VALUE"""),"Guanajuato")</f>
        <v>Guanajuato</v>
      </c>
      <c r="BT42" s="30"/>
      <c r="BU42" s="30" t="str">
        <f ca="1">IFERROR(__xludf.DUMMYFUNCTION("""COMPUTED_VALUE"""),"Si")</f>
        <v>Si</v>
      </c>
      <c r="BV42" s="30" t="str">
        <f ca="1">IFERROR(__xludf.DUMMYFUNCTION("""COMPUTED_VALUE"""),"Si")</f>
        <v>Si</v>
      </c>
      <c r="BW42" s="30">
        <f ca="1">IFERROR(__xludf.DUMMYFUNCTION("""COMPUTED_VALUE"""),78)</f>
        <v>78</v>
      </c>
      <c r="BX42" s="30"/>
      <c r="BY42" s="30">
        <f ca="1">IFERROR(__xludf.DUMMYFUNCTION("""COMPUTED_VALUE"""),78)</f>
        <v>78</v>
      </c>
      <c r="BZ42" s="30" t="str">
        <f ca="1">IFERROR(__xludf.DUMMYFUNCTION("""COMPUTED_VALUE"""),"Guanajuato")</f>
        <v>Guanajuato</v>
      </c>
      <c r="CA42" s="30" t="str">
        <f ca="1">IFERROR(__xludf.DUMMYFUNCTION("""COMPUTED_VALUE"""),"No")</f>
        <v>No</v>
      </c>
      <c r="CB42" s="30" t="str">
        <f ca="1">IFERROR(__xludf.DUMMYFUNCTION("""COMPUTED_VALUE"""),"No")</f>
        <v>No</v>
      </c>
      <c r="CC42" s="30" t="str">
        <f ca="1">IFERROR(__xludf.DUMMYFUNCTION("""COMPUTED_VALUE"""),"74071508")</f>
        <v>74071508</v>
      </c>
      <c r="CD42" s="29" t="str">
        <f ca="1">IFERROR(__xludf.DUMMYFUNCTION("""COMPUTED_VALUE"""),"Adolescentes (13 a 17 años)")</f>
        <v>Adolescentes (13 a 17 años)</v>
      </c>
      <c r="CE42" s="30" t="str">
        <f ca="1">IFERROR(__xludf.DUMMYFUNCTION("""COMPUTED_VALUE"""),"Dato global")</f>
        <v>Dato global</v>
      </c>
      <c r="CF42" s="30" t="str">
        <f ca="1">IFERROR(__xludf.DUMMYFUNCTION("""COMPUTED_VALUE"""),"NNA (Niñas, Niños y Adolescentes)")</f>
        <v>NNA (Niñas, Niños y Adolescentes)</v>
      </c>
      <c r="CG42" s="30">
        <f ca="1">IFERROR(__xludf.DUMMYFUNCTION("""COMPUTED_VALUE"""),15)</f>
        <v>15</v>
      </c>
      <c r="CI42" s="30" t="str">
        <f ca="1">IFERROR(__xludf.DUMMYFUNCTION("""COMPUTED_VALUE"""),"770670f3")</f>
        <v>770670f3</v>
      </c>
      <c r="CJ42" s="29" t="str">
        <f ca="1">IFERROR(__xludf.DUMMYFUNCTION("""COMPUTED_VALUE"""),"Regitro_Evidencia_Files_/770670f3.Archivo_Evidencia.202929.zip")</f>
        <v>Regitro_Evidencia_Files_/770670f3.Archivo_Evidencia.202929.zip</v>
      </c>
      <c r="CK42" s="30" t="str">
        <f ca="1">IFERROR(__xludf.DUMMYFUNCTION("""COMPUTED_VALUE"""),"Carpeta")</f>
        <v>Carpeta</v>
      </c>
      <c r="CL42" s="30"/>
      <c r="CM42" s="30" t="str">
        <f ca="1">IFERROR(__xludf.DUMMYFUNCTION("""COMPUTED_VALUE"""),"Guanajuato")</f>
        <v>Guanajuato</v>
      </c>
      <c r="CN42" s="32" t="e">
        <f ca="1"/>
        <v>#NAME?</v>
      </c>
      <c r="CO42" s="32" t="e">
        <f ca="1"/>
        <v>#NAME?</v>
      </c>
      <c r="CP42" s="32" t="e">
        <f ca="1"/>
        <v>#NAME?</v>
      </c>
      <c r="CQ42" s="32" t="e">
        <f ca="1"/>
        <v>#NAME?</v>
      </c>
      <c r="CR42" s="30" t="e">
        <f ca="1"/>
        <v>#NAME?</v>
      </c>
      <c r="CS42" s="30" t="str">
        <f ca="1">IFERROR(__xludf.DUMMYFUNCTION("""COMPUTED_VALUE"""),"NNA (Niñas, Niños y Adolescentes)")</f>
        <v>NNA (Niñas, Niños y Adolescentes)</v>
      </c>
    </row>
    <row r="43" spans="1:97" ht="15.5">
      <c r="A43" s="29" t="str">
        <f ca="1">IFERROR(__xludf.DUMMYFUNCTION("""COMPUTED_VALUE"""),"ACT-SCGV04211")</f>
        <v>ACT-SCGV04211</v>
      </c>
      <c r="B43" s="30" t="str">
        <f ca="1">IFERROR(__xludf.DUMMYFUNCTION("""COMPUTED_VALUE"""),"SC-260618-143128")</f>
        <v>SC-260618-143128</v>
      </c>
      <c r="C43" s="62">
        <f ca="1">IFERROR(__xludf.DUMMYFUNCTION("""COMPUTED_VALUE"""),46191.6051851851)</f>
        <v>46191.605185185101</v>
      </c>
      <c r="D43" s="30">
        <f ca="1">IFERROR(__xludf.DUMMYFUNCTION("""COMPUTED_VALUE"""),92)</f>
        <v>92</v>
      </c>
      <c r="E43" s="30" t="str">
        <f ca="1">IFERROR(__xludf.DUMMYFUNCTION("""COMPUTED_VALUE"""),"PB3572")</f>
        <v>PB3572</v>
      </c>
      <c r="F4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3" s="30" t="str">
        <f ca="1">IFERROR(__xludf.DUMMYFUNCTION("""COMPUTED_VALUE"""),"SUBSECRETARÍA DE DESARROLLO Y PROMOCIÓN ARTÍSTICA Y CULTURAL")</f>
        <v>SUBSECRETARÍA DE DESARROLLO Y PROMOCIÓN ARTÍSTICA Y CULTURAL</v>
      </c>
      <c r="I43" s="34" t="str">
        <f ca="1">IFERROR(__xludf.DUMMYFUNCTION("""COMPUTED_VALUE"""),"DIRECCIÓN GENERAL DE MUSEOS, ARTES VISUALES Y EXPOSICIONES")</f>
        <v>DIRECCIÓN GENERAL DE MUSEOS, ARTES VISUALES Y EXPOSICIONES</v>
      </c>
      <c r="J43" s="30" t="str">
        <f ca="1">IFERROR(__xludf.DUMMYFUNCTION("""COMPUTED_VALUE"""),"Número de Actividades realizadas")</f>
        <v>Número de Actividades realizadas</v>
      </c>
      <c r="K43" s="30">
        <f ca="1">IFERROR(__xludf.DUMMYFUNCTION("""COMPUTED_VALUE"""),800)</f>
        <v>800</v>
      </c>
      <c r="L43" s="30" t="str">
        <f ca="1">IFERROR(__xludf.DUMMYFUNCTION("""COMPUTED_VALUE"""),"Artística")</f>
        <v>Artística</v>
      </c>
      <c r="M43" s="30" t="str">
        <f ca="1">IFERROR(__xludf.DUMMYFUNCTION("""COMPUTED_VALUE"""),"Museos desde la primera infancia")</f>
        <v>Museos desde la primera infancia</v>
      </c>
      <c r="N43" s="30" t="str">
        <f ca="1">IFERROR(__xludf.DUMMYFUNCTION("""COMPUTED_VALUE"""),"Taller de experiencias artísticas que estimulan la necesidad natural de exploración de las niñas y niños de seis meses a cinco años, los participantes de la mano de su mamá, papá o cuidador participarán activamente en el descubrimiento de materiales, olor"&amp;"es, sonidos y otros elementos que estimulen su desarrollo.")</f>
        <v>Taller de experiencias artísticas que estimulan la necesidad natural de exploración de las niñas y niños de seis meses a cinco años, los participantes de la mano de su mamá, papá o cuidador participarán activamente en el descubrimiento de materiales, olores, sonidos y otros elementos que estimulen su desarrollo.</v>
      </c>
      <c r="O43" s="30" t="str">
        <f ca="1">IFERROR(__xludf.DUMMYFUNCTION("""COMPUTED_VALUE"""),"Única")</f>
        <v>Única</v>
      </c>
      <c r="P43" s="33">
        <f ca="1">IFERROR(__xludf.DUMMYFUNCTION("""COMPUTED_VALUE"""),46134)</f>
        <v>46134</v>
      </c>
      <c r="Q43" s="64">
        <f ca="1">IFERROR(__xludf.DUMMYFUNCTION("""COMPUTED_VALUE"""),46134)</f>
        <v>46134</v>
      </c>
      <c r="R43" s="30">
        <f ca="1">IFERROR(__xludf.DUMMYFUNCTION("""COMPUTED_VALUE"""),1)</f>
        <v>1</v>
      </c>
      <c r="S43" s="30" t="str">
        <f ca="1">IFERROR(__xludf.DUMMYFUNCTION("""COMPUTED_VALUE"""),"Cultura comunitaria")</f>
        <v>Cultura comunitaria</v>
      </c>
      <c r="T43" s="30" t="str">
        <f ca="1">IFERROR(__xludf.DUMMYFUNCTION("""COMPUTED_VALUE"""),"Formación comunitaria")</f>
        <v>Formación comunitaria</v>
      </c>
      <c r="U43" s="30" t="str">
        <f ca="1">IFERROR(__xludf.DUMMYFUNCTION("""COMPUTED_VALUE"""),"Taller")</f>
        <v>Taller</v>
      </c>
      <c r="V43" s="30" t="str">
        <f ca="1">IFERROR(__xludf.DUMMYFUNCTION("""COMPUTED_VALUE"""),"Ninguna")</f>
        <v>Ninguna</v>
      </c>
      <c r="W43" s="30" t="str">
        <f ca="1">IFERROR(__xludf.DUMMYFUNCTION("""COMPUTED_VALUE"""),"Presencial")</f>
        <v>Presencial</v>
      </c>
      <c r="X43" s="30" t="str">
        <f ca="1">IFERROR(__xludf.DUMMYFUNCTION("""COMPUTED_VALUE"""),"Espacio a Cargo de la Secretaría")</f>
        <v>Espacio a Cargo de la Secretaría</v>
      </c>
      <c r="Y43" s="30" t="str">
        <f ca="1">IFERROR(__xludf.DUMMYFUNCTION("""COMPUTED_VALUE"""),"1")</f>
        <v>1</v>
      </c>
      <c r="Z43" s="30"/>
      <c r="AA43" s="30"/>
      <c r="AB43" s="30" t="b">
        <f ca="1">IFERROR(__xludf.DUMMYFUNCTION("""COMPUTED_VALUE"""),FALSE)</f>
        <v>0</v>
      </c>
      <c r="AC43" s="30"/>
      <c r="AD43" s="30" t="b">
        <f ca="1">IFERROR(__xludf.DUMMYFUNCTION("""COMPUTED_VALUE"""),FALSE)</f>
        <v>0</v>
      </c>
      <c r="AE43" s="30"/>
      <c r="AF43" s="30" t="b">
        <f ca="1">IFERROR(__xludf.DUMMYFUNCTION("""COMPUTED_VALUE"""),FALSE)</f>
        <v>0</v>
      </c>
      <c r="AG43" s="30"/>
      <c r="AH43" s="30" t="str">
        <f ca="1">IFERROR(__xludf.DUMMYFUNCTION("""COMPUTED_VALUE"""),"Sin costo")</f>
        <v>Sin costo</v>
      </c>
      <c r="AI43" s="30"/>
      <c r="AJ43" s="30"/>
      <c r="AK43" s="30"/>
      <c r="AL43" s="30" t="str">
        <f ca="1">IFERROR(__xludf.DUMMYFUNCTION("""COMPUTED_VALUE"""),"ccardonav@guanajuato.gob.mx")</f>
        <v>ccardonav@guanajuato.gob.mx</v>
      </c>
      <c r="AM43" s="30" t="str">
        <f ca="1">IFERROR(__xludf.DUMMYFUNCTION("""COMPUTED_VALUE"""),"Arraigo y empoderamiento cultural de comunidades.")</f>
        <v>Arraigo y empoderamiento cultural de comunidades.</v>
      </c>
      <c r="AN43" s="30" t="str">
        <f ca="1">IFERROR(__xludf.DUMMYFUNCTION("""COMPUTED_VALUE"""),"2 Igualdad")</f>
        <v>2 Igualdad</v>
      </c>
      <c r="AO43" s="30" t="str">
        <f ca="1">IFERROR(__xludf.DUMMYFUNCTION("""COMPUTED_VALUE"""),"2.4 Reducir brechas de desigualdad")</f>
        <v>2.4 Reducir brechas de desigualdad</v>
      </c>
      <c r="AP43" s="30" t="str">
        <f ca="1">IFERROR(__xludf.DUMMYFUNCTION("""COMPUTED_VALUE"""),"2.4.3 Descentralización de la oferta cultural")</f>
        <v>2.4.3 Descentralización de la oferta cultural</v>
      </c>
      <c r="AQ43" s="30" t="str">
        <f ca="1">IFERROR(__xludf.DUMMYFUNCTION("""COMPUTED_VALUE"""),"2.4.3.1 Impulsar el desarrollo artístico y cultural entre infancias y juventudes")</f>
        <v>2.4.3.1 Impulsar el desarrollo artístico y cultural entre infancias y juventudes</v>
      </c>
      <c r="AR43" s="30" t="str">
        <f ca="1">IFERROR(__xludf.DUMMYFUNCTION("""COMPUTED_VALUE"""),"Cooperación")</f>
        <v>Cooperación</v>
      </c>
      <c r="AS43" s="30"/>
      <c r="AT43" s="30" t="str">
        <f ca="1">IFERROR(__xludf.DUMMYFUNCTION("""COMPUTED_VALUE"""),"Fortalecimiento de la participación ciudadana y la mediación cultural")</f>
        <v>Fortalecimiento de la participación ciudadana y la mediación cultural</v>
      </c>
      <c r="AU43" s="30" t="str">
        <f ca="1">IFERROR(__xludf.DUMMYFUNCTION("""COMPUTED_VALUE"""),"Impulso a la ampliación de la oferta cultural en los territorios.")</f>
        <v>Impulso a la ampliación de la oferta cultural en los territorios.</v>
      </c>
      <c r="AV4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3" s="30" t="str">
        <f ca="1">IFERROR(__xludf.DUMMYFUNCTION("""COMPUTED_VALUE"""),"Incrementar en 25% la oferta cultural realizada en los municipios.")</f>
        <v>Incrementar en 25% la oferta cultural realizada en los municipios.</v>
      </c>
      <c r="AX43" s="30" t="str">
        <f ca="1">IFERROR(__xludf.DUMMYFUNCTION("""COMPUTED_VALUE"""),"Taller")</f>
        <v>Taller</v>
      </c>
      <c r="AY43" s="30" t="str">
        <f ca="1">IFERROR(__xludf.DUMMYFUNCTION("""COMPUTED_VALUE"""),"Formación")</f>
        <v>Formación</v>
      </c>
      <c r="AZ43" s="30" t="str">
        <f ca="1">IFERROR(__xludf.DUMMYFUNCTION("""COMPUTED_VALUE"""),"Formación")</f>
        <v>Formación</v>
      </c>
      <c r="BA43" s="30"/>
      <c r="BB43" s="30"/>
      <c r="BC43" s="30">
        <f ca="1">IFERROR(__xludf.DUMMYFUNCTION("""COMPUTED_VALUE"""),0)</f>
        <v>0</v>
      </c>
      <c r="BD43" s="30"/>
      <c r="BE43" s="30"/>
      <c r="BF43" s="30" t="b">
        <f ca="1">IFERROR(__xludf.DUMMYFUNCTION("""COMPUTED_VALUE"""),FALSE)</f>
        <v>0</v>
      </c>
      <c r="BG43" s="30"/>
      <c r="BH43" s="30"/>
      <c r="BI43" s="30"/>
      <c r="BJ43" s="30"/>
      <c r="BK43" s="30"/>
      <c r="BL43" s="30"/>
      <c r="BM43" s="30" t="str">
        <f ca="1">IFERROR(__xludf.DUMMYFUNCTION("""COMPUTED_VALUE"""),"No")</f>
        <v>No</v>
      </c>
      <c r="BN43" s="30"/>
      <c r="BO43" s="30" t="str">
        <f ca="1">IFERROR(__xludf.DUMMYFUNCTION("""COMPUTED_VALUE"""),"b3e84801")</f>
        <v>b3e84801</v>
      </c>
      <c r="BP43" s="29" t="str">
        <f ca="1">IFERROR(__xludf.DUMMYFUNCTION("""COMPUTED_VALUE"""),"Guanajuato")</f>
        <v>Guanajuato</v>
      </c>
      <c r="BQ43" s="30" t="str">
        <f ca="1">IFERROR(__xludf.DUMMYFUNCTION("""COMPUTED_VALUE"""),"Urbano")</f>
        <v>Urbano</v>
      </c>
      <c r="BR43" s="30">
        <f ca="1">IFERROR(__xludf.DUMMYFUNCTION("""COMPUTED_VALUE"""),49)</f>
        <v>49</v>
      </c>
      <c r="BS43" s="30" t="str">
        <f ca="1">IFERROR(__xludf.DUMMYFUNCTION("""COMPUTED_VALUE"""),"Guanajuato")</f>
        <v>Guanajuato</v>
      </c>
      <c r="BT43" s="30"/>
      <c r="BU43" s="30" t="str">
        <f ca="1">IFERROR(__xludf.DUMMYFUNCTION("""COMPUTED_VALUE"""),"Si")</f>
        <v>Si</v>
      </c>
      <c r="BV43" s="30" t="str">
        <f ca="1">IFERROR(__xludf.DUMMYFUNCTION("""COMPUTED_VALUE"""),"Si")</f>
        <v>Si</v>
      </c>
      <c r="BW43" s="30">
        <f ca="1">IFERROR(__xludf.DUMMYFUNCTION("""COMPUTED_VALUE"""),4)</f>
        <v>4</v>
      </c>
      <c r="BX43" s="30">
        <f ca="1">IFERROR(__xludf.DUMMYFUNCTION("""COMPUTED_VALUE"""),4)</f>
        <v>4</v>
      </c>
      <c r="BY43" s="30">
        <f ca="1">IFERROR(__xludf.DUMMYFUNCTION("""COMPUTED_VALUE"""),0)</f>
        <v>0</v>
      </c>
      <c r="BZ43" s="30" t="str">
        <f ca="1">IFERROR(__xludf.DUMMYFUNCTION("""COMPUTED_VALUE"""),"Guanajuato")</f>
        <v>Guanajuato</v>
      </c>
      <c r="CA43" s="30" t="str">
        <f ca="1">IFERROR(__xludf.DUMMYFUNCTION("""COMPUTED_VALUE"""),"No")</f>
        <v>No</v>
      </c>
      <c r="CB43" s="30" t="str">
        <f ca="1">IFERROR(__xludf.DUMMYFUNCTION("""COMPUTED_VALUE"""),"No")</f>
        <v>No</v>
      </c>
      <c r="CC43" s="30" t="str">
        <f ca="1">IFERROR(__xludf.DUMMYFUNCTION("""COMPUTED_VALUE"""),"2eaa0b67")</f>
        <v>2eaa0b67</v>
      </c>
      <c r="CD43" s="29" t="str">
        <f ca="1">IFERROR(__xludf.DUMMYFUNCTION("""COMPUTED_VALUE"""),"Niñas y Niños (6 a 12 años)")</f>
        <v>Niñas y Niños (6 a 12 años)</v>
      </c>
      <c r="CE43" s="30" t="str">
        <f ca="1">IFERROR(__xludf.DUMMYFUNCTION("""COMPUTED_VALUE"""),"Dato global")</f>
        <v>Dato global</v>
      </c>
      <c r="CF43" s="30" t="str">
        <f ca="1">IFERROR(__xludf.DUMMYFUNCTION("""COMPUTED_VALUE"""),"Ninguno (Población General)")</f>
        <v>Ninguno (Población General)</v>
      </c>
      <c r="CG43" s="30">
        <f ca="1">IFERROR(__xludf.DUMMYFUNCTION("""COMPUTED_VALUE"""),16)</f>
        <v>16</v>
      </c>
      <c r="CI43" s="30" t="str">
        <f ca="1">IFERROR(__xludf.DUMMYFUNCTION("""COMPUTED_VALUE"""),"489ad676")</f>
        <v>489ad676</v>
      </c>
      <c r="CJ43" s="29" t="str">
        <f ca="1">IFERROR(__xludf.DUMMYFUNCTION("""COMPUTED_VALUE"""),"Regitro_Evidencia_Files_/489ad676.Archivo_Evidencia.203603.zip")</f>
        <v>Regitro_Evidencia_Files_/489ad676.Archivo_Evidencia.203603.zip</v>
      </c>
      <c r="CK43" s="30" t="str">
        <f ca="1">IFERROR(__xludf.DUMMYFUNCTION("""COMPUTED_VALUE"""),"Carpeta")</f>
        <v>Carpeta</v>
      </c>
      <c r="CL43" s="30"/>
      <c r="CM43" s="30" t="str">
        <f ca="1">IFERROR(__xludf.DUMMYFUNCTION("""COMPUTED_VALUE"""),"Guanajuato")</f>
        <v>Guanajuato</v>
      </c>
      <c r="CN43" s="32" t="e">
        <f ca="1"/>
        <v>#NAME?</v>
      </c>
      <c r="CO43" s="32" t="e">
        <f ca="1"/>
        <v>#NAME?</v>
      </c>
      <c r="CP43" s="32" t="e">
        <f ca="1"/>
        <v>#NAME?</v>
      </c>
      <c r="CQ43" s="32" t="e">
        <f ca="1"/>
        <v>#NAME?</v>
      </c>
      <c r="CR43" s="30" t="e">
        <f ca="1"/>
        <v>#NAME?</v>
      </c>
      <c r="CS43" s="30" t="str">
        <f ca="1">IFERROR(__xludf.DUMMYFUNCTION("""COMPUTED_VALUE"""),"NNA (Niñas, Niños y Adolescentes)")</f>
        <v>NNA (Niñas, Niños y Adolescentes)</v>
      </c>
    </row>
    <row r="44" spans="1:97" ht="15.5">
      <c r="A44" s="29" t="str">
        <f ca="1">IFERROR(__xludf.DUMMYFUNCTION("""COMPUTED_VALUE"""),"ACT-SCMY03003")</f>
        <v>ACT-SCMY03003</v>
      </c>
      <c r="B44" s="30" t="str">
        <f ca="1">IFERROR(__xludf.DUMMYFUNCTION("""COMPUTED_VALUE"""),"SC-260618-143808")</f>
        <v>SC-260618-143808</v>
      </c>
      <c r="C44" s="62">
        <f ca="1">IFERROR(__xludf.DUMMYFUNCTION("""COMPUTED_VALUE"""),46191.6098148148)</f>
        <v>46191.609814814801</v>
      </c>
      <c r="D44" s="30">
        <f ca="1">IFERROR(__xludf.DUMMYFUNCTION("""COMPUTED_VALUE"""),92)</f>
        <v>92</v>
      </c>
      <c r="E44" s="30" t="str">
        <f ca="1">IFERROR(__xludf.DUMMYFUNCTION("""COMPUTED_VALUE"""),"PB3572")</f>
        <v>PB3572</v>
      </c>
      <c r="F4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4" s="30" t="str">
        <f ca="1">IFERROR(__xludf.DUMMYFUNCTION("""COMPUTED_VALUE"""),"SUBSECRETARÍA DE DESARROLLO Y PROMOCIÓN ARTÍSTICA Y CULTURAL")</f>
        <v>SUBSECRETARÍA DE DESARROLLO Y PROMOCIÓN ARTÍSTICA Y CULTURAL</v>
      </c>
      <c r="I44" s="34" t="str">
        <f ca="1">IFERROR(__xludf.DUMMYFUNCTION("""COMPUTED_VALUE"""),"DIRECCIÓN GENERAL DE MUSEOS, ARTES VISUALES Y EXPOSICIONES")</f>
        <v>DIRECCIÓN GENERAL DE MUSEOS, ARTES VISUALES Y EXPOSICIONES</v>
      </c>
      <c r="J44" s="30" t="str">
        <f ca="1">IFERROR(__xludf.DUMMYFUNCTION("""COMPUTED_VALUE"""),"Número de Actividades realizadas")</f>
        <v>Número de Actividades realizadas</v>
      </c>
      <c r="K44" s="30">
        <f ca="1">IFERROR(__xludf.DUMMYFUNCTION("""COMPUTED_VALUE"""),800)</f>
        <v>800</v>
      </c>
      <c r="L44" s="30" t="str">
        <f ca="1">IFERROR(__xludf.DUMMYFUNCTION("""COMPUTED_VALUE"""),"Artística")</f>
        <v>Artística</v>
      </c>
      <c r="M44" s="30" t="str">
        <f ca="1">IFERROR(__xludf.DUMMYFUNCTION("""COMPUTED_VALUE"""),"Inauguración de la exposición: Poética del paisaje")</f>
        <v>Inauguración de la exposición: Poética del paisaje</v>
      </c>
      <c r="N44" s="30" t="str">
        <f ca="1">IFERROR(__xludf.DUMMYFUNCTION("""COMPUTED_VALUE"""),"Apelando al poema del maestro Carlos Pellicer Cámara, la exposición Poética del Paisaje, vuelve a reunir a los ciudadanos tabasqueños con el acervo que resguarda el Museo Nacional de Arte, perteneciente a la red de museos del Instituto Nacional de Bellas "&amp;"Artes y Literatura.")</f>
        <v>Apelando al poema del maestro Carlos Pellicer Cámara, la exposición Poética del Paisaje, vuelve a reunir a los ciudadanos tabasqueños con el acervo que resguarda el Museo Nacional de Arte, perteneciente a la red de museos del Instituto Nacional de Bellas Artes y Literatura.</v>
      </c>
      <c r="O44" s="30" t="str">
        <f ca="1">IFERROR(__xludf.DUMMYFUNCTION("""COMPUTED_VALUE"""),"Única")</f>
        <v>Única</v>
      </c>
      <c r="P44" s="33">
        <f ca="1">IFERROR(__xludf.DUMMYFUNCTION("""COMPUTED_VALUE"""),46135)</f>
        <v>46135</v>
      </c>
      <c r="Q44" s="64">
        <f ca="1">IFERROR(__xludf.DUMMYFUNCTION("""COMPUTED_VALUE"""),46135)</f>
        <v>46135</v>
      </c>
      <c r="R44" s="30">
        <f ca="1">IFERROR(__xludf.DUMMYFUNCTION("""COMPUTED_VALUE"""),1)</f>
        <v>1</v>
      </c>
      <c r="S44" s="30" t="str">
        <f ca="1">IFERROR(__xludf.DUMMYFUNCTION("""COMPUTED_VALUE"""),"Artes visuales")</f>
        <v>Artes visuales</v>
      </c>
      <c r="T44" s="30" t="str">
        <f ca="1">IFERROR(__xludf.DUMMYFUNCTION("""COMPUTED_VALUE"""),"Pintura")</f>
        <v>Pintura</v>
      </c>
      <c r="U44" s="30" t="str">
        <f ca="1">IFERROR(__xludf.DUMMYFUNCTION("""COMPUTED_VALUE"""),"Exposición")</f>
        <v>Exposición</v>
      </c>
      <c r="V44" s="30" t="str">
        <f ca="1">IFERROR(__xludf.DUMMYFUNCTION("""COMPUTED_VALUE"""),"Ninguna")</f>
        <v>Ninguna</v>
      </c>
      <c r="W44" s="30" t="str">
        <f ca="1">IFERROR(__xludf.DUMMYFUNCTION("""COMPUTED_VALUE"""),"Presencial")</f>
        <v>Presencial</v>
      </c>
      <c r="X44" s="30" t="str">
        <f ca="1">IFERROR(__xludf.DUMMYFUNCTION("""COMPUTED_VALUE"""),"Espacio a Cargo de la Secretaría")</f>
        <v>Espacio a Cargo de la Secretaría</v>
      </c>
      <c r="Y44" s="30" t="str">
        <f ca="1">IFERROR(__xludf.DUMMYFUNCTION("""COMPUTED_VALUE"""),"6")</f>
        <v>6</v>
      </c>
      <c r="Z44" s="30"/>
      <c r="AA44" s="30"/>
      <c r="AB44" s="30" t="b">
        <f ca="1">IFERROR(__xludf.DUMMYFUNCTION("""COMPUTED_VALUE"""),FALSE)</f>
        <v>0</v>
      </c>
      <c r="AC44" s="30"/>
      <c r="AD44" s="30" t="b">
        <f ca="1">IFERROR(__xludf.DUMMYFUNCTION("""COMPUTED_VALUE"""),TRUE)</f>
        <v>1</v>
      </c>
      <c r="AE44" s="30">
        <f ca="1">IFERROR(__xludf.DUMMYFUNCTION("""COMPUTED_VALUE"""),1)</f>
        <v>1</v>
      </c>
      <c r="AF44" s="30" t="b">
        <f ca="1">IFERROR(__xludf.DUMMYFUNCTION("""COMPUTED_VALUE"""),FALSE)</f>
        <v>0</v>
      </c>
      <c r="AG44" s="30"/>
      <c r="AH44" s="30" t="str">
        <f ca="1">IFERROR(__xludf.DUMMYFUNCTION("""COMPUTED_VALUE"""),"Sin costo")</f>
        <v>Sin costo</v>
      </c>
      <c r="AI44" s="30"/>
      <c r="AJ44" s="30"/>
      <c r="AK44" s="30"/>
      <c r="AL44" s="30" t="str">
        <f ca="1">IFERROR(__xludf.DUMMYFUNCTION("""COMPUTED_VALUE"""),"ccardonav@guanajuato.gob.mx")</f>
        <v>ccardonav@guanajuato.gob.mx</v>
      </c>
      <c r="AM44" s="30" t="str">
        <f ca="1">IFERROR(__xludf.DUMMYFUNCTION("""COMPUTED_VALUE"""),"Creación de la Secretaría de Cultura, con una visión social de la política cultural.")</f>
        <v>Creación de la Secretaría de Cultura, con una visión social de la política cultural.</v>
      </c>
      <c r="AN44" s="30" t="str">
        <f ca="1">IFERROR(__xludf.DUMMYFUNCTION("""COMPUTED_VALUE"""),"1 Tranquilidad")</f>
        <v>1 Tranquilidad</v>
      </c>
      <c r="AO44" s="30" t="str">
        <f ca="1">IFERROR(__xludf.DUMMYFUNCTION("""COMPUTED_VALUE"""),"1.2 Fortalecer prevención del delito")</f>
        <v>1.2 Fortalecer prevención del delito</v>
      </c>
      <c r="AP44" s="30" t="str">
        <f ca="1">IFERROR(__xludf.DUMMYFUNCTION("""COMPUTED_VALUE"""),"1.2.2 Fortalecimiento del tejido social")</f>
        <v>1.2.2 Fortalecimiento del tejido social</v>
      </c>
      <c r="AQ44" s="30" t="str">
        <f ca="1">IFERROR(__xludf.DUMMYFUNCTION("""COMPUTED_VALUE"""),"1.2.3.4 Promover una cultura de paz desde las expresiones artísticas y culturales")</f>
        <v>1.2.3.4 Promover una cultura de paz desde las expresiones artísticas y culturales</v>
      </c>
      <c r="AR44" s="30" t="str">
        <f ca="1">IFERROR(__xludf.DUMMYFUNCTION("""COMPUTED_VALUE"""),"Cooperación")</f>
        <v>Cooperación</v>
      </c>
      <c r="AS44" s="30"/>
      <c r="AT44" s="30" t="str">
        <f ca="1">IFERROR(__xludf.DUMMYFUNCTION("""COMPUTED_VALUE"""),"Fortalecimiento de la participación ciudadana y la mediación cultural")</f>
        <v>Fortalecimiento de la participación ciudadana y la mediación cultural</v>
      </c>
      <c r="AU44" s="30" t="str">
        <f ca="1">IFERROR(__xludf.DUMMYFUNCTION("""COMPUTED_VALUE"""),"Impulso a la ampliación de la oferta cultural en los territorios.")</f>
        <v>Impulso a la ampliación de la oferta cultural en los territorios.</v>
      </c>
      <c r="AV4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4" s="30" t="str">
        <f ca="1">IFERROR(__xludf.DUMMYFUNCTION("""COMPUTED_VALUE"""),"Incrementar en 25% la oferta cultural realizada en los municipios.")</f>
        <v>Incrementar en 25% la oferta cultural realizada en los municipios.</v>
      </c>
      <c r="AX44" s="30" t="str">
        <f ca="1">IFERROR(__xludf.DUMMYFUNCTION("""COMPUTED_VALUE"""),"Exposición")</f>
        <v>Exposición</v>
      </c>
      <c r="AY44" s="30" t="str">
        <f ca="1">IFERROR(__xludf.DUMMYFUNCTION("""COMPUTED_VALUE"""),"Formación")</f>
        <v>Formación</v>
      </c>
      <c r="AZ44" s="30"/>
      <c r="BA44" s="30"/>
      <c r="BB44" s="30"/>
      <c r="BC44" s="30">
        <f ca="1">IFERROR(__xludf.DUMMYFUNCTION("""COMPUTED_VALUE"""),0)</f>
        <v>0</v>
      </c>
      <c r="BD44" s="30"/>
      <c r="BE44" s="30"/>
      <c r="BF44" s="30" t="b">
        <f ca="1">IFERROR(__xludf.DUMMYFUNCTION("""COMPUTED_VALUE"""),FALSE)</f>
        <v>0</v>
      </c>
      <c r="BG44" s="30"/>
      <c r="BH44" s="30"/>
      <c r="BI44" s="30"/>
      <c r="BJ44" s="30"/>
      <c r="BK44" s="30"/>
      <c r="BL44" s="30"/>
      <c r="BM44" s="30" t="str">
        <f ca="1">IFERROR(__xludf.DUMMYFUNCTION("""COMPUTED_VALUE"""),"No")</f>
        <v>No</v>
      </c>
      <c r="BN44" s="30"/>
      <c r="BO44" s="30" t="str">
        <f ca="1">IFERROR(__xludf.DUMMYFUNCTION("""COMPUTED_VALUE"""),"10b2ece4")</f>
        <v>10b2ece4</v>
      </c>
      <c r="BP44" s="29" t="str">
        <f ca="1">IFERROR(__xludf.DUMMYFUNCTION("""COMPUTED_VALUE"""),"Guanajuato")</f>
        <v>Guanajuato</v>
      </c>
      <c r="BQ44" s="30" t="str">
        <f ca="1">IFERROR(__xludf.DUMMYFUNCTION("""COMPUTED_VALUE"""),"Urbano")</f>
        <v>Urbano</v>
      </c>
      <c r="BR44" s="30">
        <f ca="1">IFERROR(__xludf.DUMMYFUNCTION("""COMPUTED_VALUE"""),49)</f>
        <v>49</v>
      </c>
      <c r="BS44" s="30" t="str">
        <f ca="1">IFERROR(__xludf.DUMMYFUNCTION("""COMPUTED_VALUE"""),"Guanajuato")</f>
        <v>Guanajuato</v>
      </c>
      <c r="BT44" s="30"/>
      <c r="BU44" s="30" t="str">
        <f ca="1">IFERROR(__xludf.DUMMYFUNCTION("""COMPUTED_VALUE"""),"Si")</f>
        <v>Si</v>
      </c>
      <c r="BV44" s="30" t="str">
        <f ca="1">IFERROR(__xludf.DUMMYFUNCTION("""COMPUTED_VALUE"""),"Si")</f>
        <v>Si</v>
      </c>
      <c r="BW44" s="30">
        <f ca="1">IFERROR(__xludf.DUMMYFUNCTION("""COMPUTED_VALUE"""),3)</f>
        <v>3</v>
      </c>
      <c r="BX44" s="30">
        <f ca="1">IFERROR(__xludf.DUMMYFUNCTION("""COMPUTED_VALUE"""),3)</f>
        <v>3</v>
      </c>
      <c r="BY44" s="30">
        <f ca="1">IFERROR(__xludf.DUMMYFUNCTION("""COMPUTED_VALUE"""),0)</f>
        <v>0</v>
      </c>
      <c r="BZ44" s="30" t="str">
        <f ca="1">IFERROR(__xludf.DUMMYFUNCTION("""COMPUTED_VALUE"""),"Guanajuato")</f>
        <v>Guanajuato</v>
      </c>
      <c r="CA44" s="30" t="str">
        <f ca="1">IFERROR(__xludf.DUMMYFUNCTION("""COMPUTED_VALUE"""),"No")</f>
        <v>No</v>
      </c>
      <c r="CB44" s="30" t="str">
        <f ca="1">IFERROR(__xludf.DUMMYFUNCTION("""COMPUTED_VALUE"""),"No")</f>
        <v>No</v>
      </c>
      <c r="CC44" s="30" t="str">
        <f ca="1">IFERROR(__xludf.DUMMYFUNCTION("""COMPUTED_VALUE"""),"2529b6cf")</f>
        <v>2529b6cf</v>
      </c>
      <c r="CD44" s="29" t="str">
        <f ca="1">IFERROR(__xludf.DUMMYFUNCTION("""COMPUTED_VALUE"""),"Adultos (30 a 59 años)")</f>
        <v>Adultos (30 a 59 años)</v>
      </c>
      <c r="CE44" s="30" t="str">
        <f ca="1">IFERROR(__xludf.DUMMYFUNCTION("""COMPUTED_VALUE"""),"Dato global")</f>
        <v>Dato global</v>
      </c>
      <c r="CF44" s="30" t="str">
        <f ca="1">IFERROR(__xludf.DUMMYFUNCTION("""COMPUTED_VALUE"""),"Ninguno (Población General)")</f>
        <v>Ninguno (Población General)</v>
      </c>
      <c r="CG44" s="30">
        <f ca="1">IFERROR(__xludf.DUMMYFUNCTION("""COMPUTED_VALUE"""),42)</f>
        <v>42</v>
      </c>
      <c r="CI44" s="30" t="str">
        <f ca="1">IFERROR(__xludf.DUMMYFUNCTION("""COMPUTED_VALUE"""),"736d6abb")</f>
        <v>736d6abb</v>
      </c>
      <c r="CJ44" s="29" t="str">
        <f ca="1">IFERROR(__xludf.DUMMYFUNCTION("""COMPUTED_VALUE"""),"Regitro_Evidencia_Files_/736d6abb.Archivo_Evidencia.204435.zip")</f>
        <v>Regitro_Evidencia_Files_/736d6abb.Archivo_Evidencia.204435.zip</v>
      </c>
      <c r="CK44" s="30" t="str">
        <f ca="1">IFERROR(__xludf.DUMMYFUNCTION("""COMPUTED_VALUE"""),"Carpeta")</f>
        <v>Carpeta</v>
      </c>
      <c r="CL44" s="30"/>
      <c r="CM44" s="30" t="str">
        <f ca="1">IFERROR(__xludf.DUMMYFUNCTION("""COMPUTED_VALUE"""),"Guanajuato")</f>
        <v>Guanajuato</v>
      </c>
      <c r="CN44" s="32" t="e">
        <f ca="1"/>
        <v>#NAME?</v>
      </c>
      <c r="CO44" s="32" t="e">
        <f ca="1"/>
        <v>#NAME?</v>
      </c>
      <c r="CP44" s="32" t="e">
        <f ca="1"/>
        <v>#NAME?</v>
      </c>
      <c r="CQ44" s="32" t="e">
        <f ca="1"/>
        <v>#NAME?</v>
      </c>
      <c r="CR44" s="30" t="e">
        <f ca="1"/>
        <v>#NAME?</v>
      </c>
      <c r="CS44" s="30" t="str">
        <f ca="1">IFERROR(__xludf.DUMMYFUNCTION("""COMPUTED_VALUE"""),"Ninguno (Población General)")</f>
        <v>Ninguno (Población General)</v>
      </c>
    </row>
    <row r="45" spans="1:97" ht="15.5">
      <c r="A45" s="29" t="str">
        <f ca="1">IFERROR(__xludf.DUMMYFUNCTION("""COMPUTED_VALUE"""),"ACT-SCKO16141")</f>
        <v>ACT-SCKO16141</v>
      </c>
      <c r="B45" s="30" t="str">
        <f ca="1">IFERROR(__xludf.DUMMYFUNCTION("""COMPUTED_VALUE"""),"SC-260618-145323")</f>
        <v>SC-260618-145323</v>
      </c>
      <c r="C45" s="62">
        <f ca="1">IFERROR(__xludf.DUMMYFUNCTION("""COMPUTED_VALUE"""),46191.6204050925)</f>
        <v>46191.620405092501</v>
      </c>
      <c r="D45" s="30">
        <f ca="1">IFERROR(__xludf.DUMMYFUNCTION("""COMPUTED_VALUE"""),92)</f>
        <v>92</v>
      </c>
      <c r="E45" s="30" t="str">
        <f ca="1">IFERROR(__xludf.DUMMYFUNCTION("""COMPUTED_VALUE"""),"PB3572")</f>
        <v>PB3572</v>
      </c>
      <c r="F4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5" s="30" t="str">
        <f ca="1">IFERROR(__xludf.DUMMYFUNCTION("""COMPUTED_VALUE"""),"SUBSECRETARÍA DE DESARROLLO Y PROMOCIÓN ARTÍSTICA Y CULTURAL")</f>
        <v>SUBSECRETARÍA DE DESARROLLO Y PROMOCIÓN ARTÍSTICA Y CULTURAL</v>
      </c>
      <c r="I45" s="34" t="str">
        <f ca="1">IFERROR(__xludf.DUMMYFUNCTION("""COMPUTED_VALUE"""),"DIRECCIÓN GENERAL DE MUSEOS, ARTES VISUALES Y EXPOSICIONES")</f>
        <v>DIRECCIÓN GENERAL DE MUSEOS, ARTES VISUALES Y EXPOSICIONES</v>
      </c>
      <c r="J45" s="30" t="str">
        <f ca="1">IFERROR(__xludf.DUMMYFUNCTION("""COMPUTED_VALUE"""),"Número de Actividades realizadas")</f>
        <v>Número de Actividades realizadas</v>
      </c>
      <c r="K45" s="30">
        <f ca="1">IFERROR(__xludf.DUMMYFUNCTION("""COMPUTED_VALUE"""),800)</f>
        <v>800</v>
      </c>
      <c r="L45" s="30" t="str">
        <f ca="1">IFERROR(__xludf.DUMMYFUNCTION("""COMPUTED_VALUE"""),"Artística")</f>
        <v>Artística</v>
      </c>
      <c r="M45" s="30" t="str">
        <f ca="1">IFERROR(__xludf.DUMMYFUNCTION("""COMPUTED_VALUE"""),"Noche misteriosa en los museos.")</f>
        <v>Noche misteriosa en los museos.</v>
      </c>
      <c r="N45" s="30" t="str">
        <f ca="1">IFERROR(__xludf.DUMMYFUNCTION("""COMPUTED_VALUE"""),"Las niñas y niños participantes podrán visitar el museo en un horario especial, en donde a través de juego, arte y diversión podrán recorrer los espacios y las obras que atesoran este espacio.")</f>
        <v>Las niñas y niños participantes podrán visitar el museo en un horario especial, en donde a través de juego, arte y diversión podrán recorrer los espacios y las obras que atesoran este espacio.</v>
      </c>
      <c r="O45" s="30" t="str">
        <f ca="1">IFERROR(__xludf.DUMMYFUNCTION("""COMPUTED_VALUE"""),"Única")</f>
        <v>Única</v>
      </c>
      <c r="P45" s="33">
        <f ca="1">IFERROR(__xludf.DUMMYFUNCTION("""COMPUTED_VALUE"""),46136)</f>
        <v>46136</v>
      </c>
      <c r="Q45" s="64">
        <f ca="1">IFERROR(__xludf.DUMMYFUNCTION("""COMPUTED_VALUE"""),46136)</f>
        <v>46136</v>
      </c>
      <c r="R45" s="30">
        <f ca="1">IFERROR(__xludf.DUMMYFUNCTION("""COMPUTED_VALUE"""),1)</f>
        <v>1</v>
      </c>
      <c r="S45" s="30" t="str">
        <f ca="1">IFERROR(__xludf.DUMMYFUNCTION("""COMPUTED_VALUE"""),"Artes visuales")</f>
        <v>Artes visuales</v>
      </c>
      <c r="T45" s="30" t="str">
        <f ca="1">IFERROR(__xludf.DUMMYFUNCTION("""COMPUTED_VALUE"""),"Pintura")</f>
        <v>Pintura</v>
      </c>
      <c r="U45" s="30" t="str">
        <f ca="1">IFERROR(__xludf.DUMMYFUNCTION("""COMPUTED_VALUE"""),"Taller")</f>
        <v>Taller</v>
      </c>
      <c r="V45" s="30" t="str">
        <f ca="1">IFERROR(__xludf.DUMMYFUNCTION("""COMPUTED_VALUE"""),"Ninguna")</f>
        <v>Ninguna</v>
      </c>
      <c r="W45" s="30" t="str">
        <f ca="1">IFERROR(__xludf.DUMMYFUNCTION("""COMPUTED_VALUE"""),"Presencial")</f>
        <v>Presencial</v>
      </c>
      <c r="X45" s="30" t="str">
        <f ca="1">IFERROR(__xludf.DUMMYFUNCTION("""COMPUTED_VALUE"""),"Espacio a Cargo de la Secretaría")</f>
        <v>Espacio a Cargo de la Secretaría</v>
      </c>
      <c r="Y45" s="30" t="str">
        <f ca="1">IFERROR(__xludf.DUMMYFUNCTION("""COMPUTED_VALUE"""),"6")</f>
        <v>6</v>
      </c>
      <c r="Z45" s="30"/>
      <c r="AA45" s="30"/>
      <c r="AB45" s="30" t="b">
        <f ca="1">IFERROR(__xludf.DUMMYFUNCTION("""COMPUTED_VALUE"""),FALSE)</f>
        <v>0</v>
      </c>
      <c r="AC45" s="30"/>
      <c r="AD45" s="30" t="b">
        <f ca="1">IFERROR(__xludf.DUMMYFUNCTION("""COMPUTED_VALUE"""),FALSE)</f>
        <v>0</v>
      </c>
      <c r="AE45" s="30"/>
      <c r="AF45" s="30" t="b">
        <f ca="1">IFERROR(__xludf.DUMMYFUNCTION("""COMPUTED_VALUE"""),FALSE)</f>
        <v>0</v>
      </c>
      <c r="AG45" s="30"/>
      <c r="AH45" s="30" t="str">
        <f ca="1">IFERROR(__xludf.DUMMYFUNCTION("""COMPUTED_VALUE"""),"Sin costo")</f>
        <v>Sin costo</v>
      </c>
      <c r="AI45" s="30"/>
      <c r="AJ45" s="30"/>
      <c r="AK45" s="30"/>
      <c r="AL45" s="30" t="str">
        <f ca="1">IFERROR(__xludf.DUMMYFUNCTION("""COMPUTED_VALUE"""),"ccardonav@guanajuato.gob.mx")</f>
        <v>ccardonav@guanajuato.gob.mx</v>
      </c>
      <c r="AM45" s="30" t="str">
        <f ca="1">IFERROR(__xludf.DUMMYFUNCTION("""COMPUTED_VALUE"""),"Arraigo y empoderamiento cultural de comunidades.")</f>
        <v>Arraigo y empoderamiento cultural de comunidades.</v>
      </c>
      <c r="AN45" s="30" t="str">
        <f ca="1">IFERROR(__xludf.DUMMYFUNCTION("""COMPUTED_VALUE"""),"2 Igualdad")</f>
        <v>2 Igualdad</v>
      </c>
      <c r="AO45" s="30" t="str">
        <f ca="1">IFERROR(__xludf.DUMMYFUNCTION("""COMPUTED_VALUE"""),"2.4 Reducir brechas de desigualdad")</f>
        <v>2.4 Reducir brechas de desigualdad</v>
      </c>
      <c r="AP45" s="30" t="str">
        <f ca="1">IFERROR(__xludf.DUMMYFUNCTION("""COMPUTED_VALUE"""),"2.4.3 Descentralización de la oferta cultural")</f>
        <v>2.4.3 Descentralización de la oferta cultural</v>
      </c>
      <c r="AQ45" s="30" t="str">
        <f ca="1">IFERROR(__xludf.DUMMYFUNCTION("""COMPUTED_VALUE"""),"2.4.3.1 Impulsar el desarrollo artístico y cultural entre infancias y juventudes")</f>
        <v>2.4.3.1 Impulsar el desarrollo artístico y cultural entre infancias y juventudes</v>
      </c>
      <c r="AR45" s="30" t="str">
        <f ca="1">IFERROR(__xludf.DUMMYFUNCTION("""COMPUTED_VALUE"""),"Cooperación")</f>
        <v>Cooperación</v>
      </c>
      <c r="AS45" s="30"/>
      <c r="AT45" s="30" t="str">
        <f ca="1">IFERROR(__xludf.DUMMYFUNCTION("""COMPUTED_VALUE"""),"Fortalecimiento de la participación ciudadana y la mediación cultural")</f>
        <v>Fortalecimiento de la participación ciudadana y la mediación cultural</v>
      </c>
      <c r="AU45" s="30" t="str">
        <f ca="1">IFERROR(__xludf.DUMMYFUNCTION("""COMPUTED_VALUE"""),"Impulso a la ampliación de la oferta cultural en los territorios.")</f>
        <v>Impulso a la ampliación de la oferta cultural en los territorios.</v>
      </c>
      <c r="AV4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5" s="30" t="str">
        <f ca="1">IFERROR(__xludf.DUMMYFUNCTION("""COMPUTED_VALUE"""),"Incrementar en 25% la oferta cultural realizada en los municipios.")</f>
        <v>Incrementar en 25% la oferta cultural realizada en los municipios.</v>
      </c>
      <c r="AX45" s="30" t="str">
        <f ca="1">IFERROR(__xludf.DUMMYFUNCTION("""COMPUTED_VALUE"""),"Taller")</f>
        <v>Taller</v>
      </c>
      <c r="AY45" s="30" t="str">
        <f ca="1">IFERROR(__xludf.DUMMYFUNCTION("""COMPUTED_VALUE"""),"Formación")</f>
        <v>Formación</v>
      </c>
      <c r="AZ45" s="30" t="str">
        <f ca="1">IFERROR(__xludf.DUMMYFUNCTION("""COMPUTED_VALUE"""),"Formación")</f>
        <v>Formación</v>
      </c>
      <c r="BA45" s="30"/>
      <c r="BB45" s="30"/>
      <c r="BC45" s="30">
        <f ca="1">IFERROR(__xludf.DUMMYFUNCTION("""COMPUTED_VALUE"""),0)</f>
        <v>0</v>
      </c>
      <c r="BD45" s="30"/>
      <c r="BE45" s="30"/>
      <c r="BF45" s="30" t="b">
        <f ca="1">IFERROR(__xludf.DUMMYFUNCTION("""COMPUTED_VALUE"""),FALSE)</f>
        <v>0</v>
      </c>
      <c r="BG45" s="30"/>
      <c r="BH45" s="30"/>
      <c r="BI45" s="30"/>
      <c r="BJ45" s="30"/>
      <c r="BK45" s="30"/>
      <c r="BL45" s="30"/>
      <c r="BM45" s="30" t="str">
        <f ca="1">IFERROR(__xludf.DUMMYFUNCTION("""COMPUTED_VALUE"""),"No")</f>
        <v>No</v>
      </c>
      <c r="BN45" s="30"/>
      <c r="BO45" s="30" t="str">
        <f ca="1">IFERROR(__xludf.DUMMYFUNCTION("""COMPUTED_VALUE"""),"c00ccf39")</f>
        <v>c00ccf39</v>
      </c>
      <c r="BP45" s="29" t="str">
        <f ca="1">IFERROR(__xludf.DUMMYFUNCTION("""COMPUTED_VALUE"""),"Guanajuato")</f>
        <v>Guanajuato</v>
      </c>
      <c r="BQ45" s="30" t="str">
        <f ca="1">IFERROR(__xludf.DUMMYFUNCTION("""COMPUTED_VALUE"""),"Urbano")</f>
        <v>Urbano</v>
      </c>
      <c r="BR45" s="30">
        <f ca="1">IFERROR(__xludf.DUMMYFUNCTION("""COMPUTED_VALUE"""),49)</f>
        <v>49</v>
      </c>
      <c r="BS45" s="30" t="str">
        <f ca="1">IFERROR(__xludf.DUMMYFUNCTION("""COMPUTED_VALUE"""),"Guanajuato")</f>
        <v>Guanajuato</v>
      </c>
      <c r="BT45" s="30"/>
      <c r="BU45" s="30" t="str">
        <f ca="1">IFERROR(__xludf.DUMMYFUNCTION("""COMPUTED_VALUE"""),"Si")</f>
        <v>Si</v>
      </c>
      <c r="BV45" s="30" t="str">
        <f ca="1">IFERROR(__xludf.DUMMYFUNCTION("""COMPUTED_VALUE"""),"Si")</f>
        <v>Si</v>
      </c>
      <c r="BW45" s="30">
        <f ca="1">IFERROR(__xludf.DUMMYFUNCTION("""COMPUTED_VALUE"""),22)</f>
        <v>22</v>
      </c>
      <c r="BX45" s="30">
        <f ca="1">IFERROR(__xludf.DUMMYFUNCTION("""COMPUTED_VALUE"""),22)</f>
        <v>22</v>
      </c>
      <c r="BY45" s="30">
        <f ca="1">IFERROR(__xludf.DUMMYFUNCTION("""COMPUTED_VALUE"""),0)</f>
        <v>0</v>
      </c>
      <c r="BZ45" s="30" t="str">
        <f ca="1">IFERROR(__xludf.DUMMYFUNCTION("""COMPUTED_VALUE"""),"Guanajuato")</f>
        <v>Guanajuato</v>
      </c>
      <c r="CA45" s="30" t="str">
        <f ca="1">IFERROR(__xludf.DUMMYFUNCTION("""COMPUTED_VALUE"""),"No")</f>
        <v>No</v>
      </c>
      <c r="CB45" s="30" t="str">
        <f ca="1">IFERROR(__xludf.DUMMYFUNCTION("""COMPUTED_VALUE"""),"No")</f>
        <v>No</v>
      </c>
      <c r="CC45" s="30" t="str">
        <f ca="1">IFERROR(__xludf.DUMMYFUNCTION("""COMPUTED_VALUE"""),"3c9619f7")</f>
        <v>3c9619f7</v>
      </c>
      <c r="CD45" s="29" t="str">
        <f ca="1">IFERROR(__xludf.DUMMYFUNCTION("""COMPUTED_VALUE"""),"Niñas y Niños (6 a 12 años)")</f>
        <v>Niñas y Niños (6 a 12 años)</v>
      </c>
      <c r="CE45" s="30" t="str">
        <f ca="1">IFERROR(__xludf.DUMMYFUNCTION("""COMPUTED_VALUE"""),"Dato global")</f>
        <v>Dato global</v>
      </c>
      <c r="CF45" s="30" t="str">
        <f ca="1">IFERROR(__xludf.DUMMYFUNCTION("""COMPUTED_VALUE"""),"NNA (Niñas, Niños y Adolescentes)")</f>
        <v>NNA (Niñas, Niños y Adolescentes)</v>
      </c>
      <c r="CG45" s="30">
        <f ca="1">IFERROR(__xludf.DUMMYFUNCTION("""COMPUTED_VALUE"""),13)</f>
        <v>13</v>
      </c>
      <c r="CI45" s="30" t="str">
        <f ca="1">IFERROR(__xludf.DUMMYFUNCTION("""COMPUTED_VALUE"""),"2d976386")</f>
        <v>2d976386</v>
      </c>
      <c r="CJ45" s="29" t="str">
        <f ca="1">IFERROR(__xludf.DUMMYFUNCTION("""COMPUTED_VALUE"""),"Regitro_Evidencia_Files_/2d976386.Archivo_Evidencia.211854.zip")</f>
        <v>Regitro_Evidencia_Files_/2d976386.Archivo_Evidencia.211854.zip</v>
      </c>
      <c r="CK45" s="30" t="str">
        <f ca="1">IFERROR(__xludf.DUMMYFUNCTION("""COMPUTED_VALUE"""),"Carpeta")</f>
        <v>Carpeta</v>
      </c>
      <c r="CL45" s="30"/>
      <c r="CM45" s="30" t="str">
        <f ca="1">IFERROR(__xludf.DUMMYFUNCTION("""COMPUTED_VALUE"""),"Guanajuato")</f>
        <v>Guanajuato</v>
      </c>
      <c r="CN45" s="32" t="e">
        <f ca="1"/>
        <v>#NAME?</v>
      </c>
      <c r="CO45" s="32" t="e">
        <f ca="1"/>
        <v>#NAME?</v>
      </c>
      <c r="CP45" s="32" t="e">
        <f ca="1"/>
        <v>#NAME?</v>
      </c>
      <c r="CQ45" s="32" t="e">
        <f ca="1"/>
        <v>#NAME?</v>
      </c>
      <c r="CR45" s="30" t="e">
        <f ca="1"/>
        <v>#NAME?</v>
      </c>
      <c r="CS45" s="30" t="str">
        <f ca="1">IFERROR(__xludf.DUMMYFUNCTION("""COMPUTED_VALUE"""),"NNA (Niñas, Niños y Adolescentes), NNA (Niñas, Niños y Adolescentes), NNA (Niñas, Niños y Adolescentes), Ninguno (Población General), Ninguno (Población General), Ninguno (Población General)")</f>
        <v>NNA (Niñas, Niños y Adolescentes), NNA (Niñas, Niños y Adolescentes), NNA (Niñas, Niños y Adolescentes), Ninguno (Población General), Ninguno (Población General), Ninguno (Población General)</v>
      </c>
    </row>
    <row r="46" spans="1:97" ht="15.5">
      <c r="A46" s="29" t="str">
        <f ca="1">IFERROR(__xludf.DUMMYFUNCTION("""COMPUTED_VALUE"""),"ACT-SCJC28810")</f>
        <v>ACT-SCJC28810</v>
      </c>
      <c r="B46" s="30" t="str">
        <f ca="1">IFERROR(__xludf.DUMMYFUNCTION("""COMPUTED_VALUE"""),"SC-260618-151905")</f>
        <v>SC-260618-151905</v>
      </c>
      <c r="C46" s="62">
        <f ca="1">IFERROR(__xludf.DUMMYFUNCTION("""COMPUTED_VALUE"""),46191.6382523148)</f>
        <v>46191.638252314799</v>
      </c>
      <c r="D46" s="30">
        <f ca="1">IFERROR(__xludf.DUMMYFUNCTION("""COMPUTED_VALUE"""),92)</f>
        <v>92</v>
      </c>
      <c r="E46" s="30" t="str">
        <f ca="1">IFERROR(__xludf.DUMMYFUNCTION("""COMPUTED_VALUE"""),"PB3572")</f>
        <v>PB3572</v>
      </c>
      <c r="F4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6" s="30" t="str">
        <f ca="1">IFERROR(__xludf.DUMMYFUNCTION("""COMPUTED_VALUE"""),"SUBSECRETARÍA DE DESARROLLO Y PROMOCIÓN ARTÍSTICA Y CULTURAL")</f>
        <v>SUBSECRETARÍA DE DESARROLLO Y PROMOCIÓN ARTÍSTICA Y CULTURAL</v>
      </c>
      <c r="I46" s="34" t="str">
        <f ca="1">IFERROR(__xludf.DUMMYFUNCTION("""COMPUTED_VALUE"""),"DIRECCIÓN GENERAL DE MUSEOS, ARTES VISUALES Y EXPOSICIONES")</f>
        <v>DIRECCIÓN GENERAL DE MUSEOS, ARTES VISUALES Y EXPOSICIONES</v>
      </c>
      <c r="J46" s="30" t="str">
        <f ca="1">IFERROR(__xludf.DUMMYFUNCTION("""COMPUTED_VALUE"""),"Número de Actividades realizadas")</f>
        <v>Número de Actividades realizadas</v>
      </c>
      <c r="K46" s="30">
        <f ca="1">IFERROR(__xludf.DUMMYFUNCTION("""COMPUTED_VALUE"""),800)</f>
        <v>800</v>
      </c>
      <c r="L46" s="30" t="str">
        <f ca="1">IFERROR(__xludf.DUMMYFUNCTION("""COMPUTED_VALUE"""),"Artística")</f>
        <v>Artística</v>
      </c>
      <c r="M46" s="30" t="str">
        <f ca="1">IFERROR(__xludf.DUMMYFUNCTION("""COMPUTED_VALUE"""),"Me conozco y me quiero")</f>
        <v>Me conozco y me quiero</v>
      </c>
      <c r="N46" s="30" t="str">
        <f ca="1">IFERROR(__xludf.DUMMYFUNCTION("""COMPUTED_VALUE"""),"Taller que tiene como objetivo fomentar el autoconocimiento, el autoestima y el amor propio en la niñez a través de una actividad artística, en donde las niñas y niños realizarán un autorretrato con diversos materiales, reflexionarán sobre sus cualidades,"&amp;" su valor y la importancia de su autocuidado propio y personal.")</f>
        <v>Taller que tiene como objetivo fomentar el autoconocimiento, el autoestima y el amor propio en la niñez a través de una actividad artística, en donde las niñas y niños realizarán un autorretrato con diversos materiales, reflexionarán sobre sus cualidades, su valor y la importancia de su autocuidado propio y personal.</v>
      </c>
      <c r="O46" s="30" t="str">
        <f ca="1">IFERROR(__xludf.DUMMYFUNCTION("""COMPUTED_VALUE"""),"Única")</f>
        <v>Única</v>
      </c>
      <c r="P46" s="33">
        <f ca="1">IFERROR(__xludf.DUMMYFUNCTION("""COMPUTED_VALUE"""),46137)</f>
        <v>46137</v>
      </c>
      <c r="Q46" s="64">
        <f ca="1">IFERROR(__xludf.DUMMYFUNCTION("""COMPUTED_VALUE"""),46137)</f>
        <v>46137</v>
      </c>
      <c r="R46" s="30">
        <f ca="1">IFERROR(__xludf.DUMMYFUNCTION("""COMPUTED_VALUE"""),1)</f>
        <v>1</v>
      </c>
      <c r="S46" s="30" t="str">
        <f ca="1">IFERROR(__xludf.DUMMYFUNCTION("""COMPUTED_VALUE"""),"Artes visuales")</f>
        <v>Artes visuales</v>
      </c>
      <c r="T46" s="30" t="str">
        <f ca="1">IFERROR(__xludf.DUMMYFUNCTION("""COMPUTED_VALUE"""),"Dibujo")</f>
        <v>Dibujo</v>
      </c>
      <c r="U46" s="30" t="str">
        <f ca="1">IFERROR(__xludf.DUMMYFUNCTION("""COMPUTED_VALUE"""),"Taller")</f>
        <v>Taller</v>
      </c>
      <c r="V46" s="30" t="str">
        <f ca="1">IFERROR(__xludf.DUMMYFUNCTION("""COMPUTED_VALUE"""),"Ninguna")</f>
        <v>Ninguna</v>
      </c>
      <c r="W46" s="30" t="str">
        <f ca="1">IFERROR(__xludf.DUMMYFUNCTION("""COMPUTED_VALUE"""),"Presencial")</f>
        <v>Presencial</v>
      </c>
      <c r="X46" s="30" t="str">
        <f ca="1">IFERROR(__xludf.DUMMYFUNCTION("""COMPUTED_VALUE"""),"Espacio a Cargo de la Secretaría")</f>
        <v>Espacio a Cargo de la Secretaría</v>
      </c>
      <c r="Y46" s="30" t="str">
        <f ca="1">IFERROR(__xludf.DUMMYFUNCTION("""COMPUTED_VALUE"""),"2")</f>
        <v>2</v>
      </c>
      <c r="Z46" s="30"/>
      <c r="AA46" s="30"/>
      <c r="AB46" s="30" t="b">
        <f ca="1">IFERROR(__xludf.DUMMYFUNCTION("""COMPUTED_VALUE"""),FALSE)</f>
        <v>0</v>
      </c>
      <c r="AC46" s="30"/>
      <c r="AD46" s="30" t="b">
        <f ca="1">IFERROR(__xludf.DUMMYFUNCTION("""COMPUTED_VALUE"""),FALSE)</f>
        <v>0</v>
      </c>
      <c r="AE46" s="30"/>
      <c r="AF46" s="30" t="b">
        <f ca="1">IFERROR(__xludf.DUMMYFUNCTION("""COMPUTED_VALUE"""),FALSE)</f>
        <v>0</v>
      </c>
      <c r="AG46" s="30"/>
      <c r="AH46" s="30" t="str">
        <f ca="1">IFERROR(__xludf.DUMMYFUNCTION("""COMPUTED_VALUE"""),"Sin costo")</f>
        <v>Sin costo</v>
      </c>
      <c r="AI46" s="30"/>
      <c r="AJ46" s="30"/>
      <c r="AK46" s="30"/>
      <c r="AL46" s="30" t="str">
        <f ca="1">IFERROR(__xludf.DUMMYFUNCTION("""COMPUTED_VALUE"""),"ccardonav@guanajuato.gob.mx")</f>
        <v>ccardonav@guanajuato.gob.mx</v>
      </c>
      <c r="AM46" s="30" t="str">
        <f ca="1">IFERROR(__xludf.DUMMYFUNCTION("""COMPUTED_VALUE"""),"Arraigo y empoderamiento cultural de comunidades.")</f>
        <v>Arraigo y empoderamiento cultural de comunidades.</v>
      </c>
      <c r="AN46" s="30" t="str">
        <f ca="1">IFERROR(__xludf.DUMMYFUNCTION("""COMPUTED_VALUE"""),"2 Igualdad")</f>
        <v>2 Igualdad</v>
      </c>
      <c r="AO46" s="30" t="str">
        <f ca="1">IFERROR(__xludf.DUMMYFUNCTION("""COMPUTED_VALUE"""),"2.4 Reducir brechas de desigualdad")</f>
        <v>2.4 Reducir brechas de desigualdad</v>
      </c>
      <c r="AP46" s="30" t="str">
        <f ca="1">IFERROR(__xludf.DUMMYFUNCTION("""COMPUTED_VALUE"""),"2.4.3 Descentralización de la oferta cultural")</f>
        <v>2.4.3 Descentralización de la oferta cultural</v>
      </c>
      <c r="AQ46" s="30" t="str">
        <f ca="1">IFERROR(__xludf.DUMMYFUNCTION("""COMPUTED_VALUE"""),"2.4.3.1 Impulsar el desarrollo artístico y cultural entre infancias y juventudes")</f>
        <v>2.4.3.1 Impulsar el desarrollo artístico y cultural entre infancias y juventudes</v>
      </c>
      <c r="AR46" s="30" t="str">
        <f ca="1">IFERROR(__xludf.DUMMYFUNCTION("""COMPUTED_VALUE"""),"Cooperación")</f>
        <v>Cooperación</v>
      </c>
      <c r="AS46" s="30"/>
      <c r="AT46" s="30" t="str">
        <f ca="1">IFERROR(__xludf.DUMMYFUNCTION("""COMPUTED_VALUE"""),"Fortalecimiento de la participación ciudadana y la mediación cultural")</f>
        <v>Fortalecimiento de la participación ciudadana y la mediación cultural</v>
      </c>
      <c r="AU46" s="30" t="str">
        <f ca="1">IFERROR(__xludf.DUMMYFUNCTION("""COMPUTED_VALUE"""),"Impulso a la ampliación de la oferta cultural en los territorios.")</f>
        <v>Impulso a la ampliación de la oferta cultural en los territorios.</v>
      </c>
      <c r="AV4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6" s="30" t="str">
        <f ca="1">IFERROR(__xludf.DUMMYFUNCTION("""COMPUTED_VALUE"""),"Incrementar en 25% la oferta cultural realizada en los municipios.")</f>
        <v>Incrementar en 25% la oferta cultural realizada en los municipios.</v>
      </c>
      <c r="AX46" s="30" t="str">
        <f ca="1">IFERROR(__xludf.DUMMYFUNCTION("""COMPUTED_VALUE"""),"Taller")</f>
        <v>Taller</v>
      </c>
      <c r="AY46" s="30" t="str">
        <f ca="1">IFERROR(__xludf.DUMMYFUNCTION("""COMPUTED_VALUE"""),"Formación")</f>
        <v>Formación</v>
      </c>
      <c r="AZ46" s="30" t="str">
        <f ca="1">IFERROR(__xludf.DUMMYFUNCTION("""COMPUTED_VALUE"""),"Formación")</f>
        <v>Formación</v>
      </c>
      <c r="BA46" s="30"/>
      <c r="BB46" s="30"/>
      <c r="BC46" s="30">
        <f ca="1">IFERROR(__xludf.DUMMYFUNCTION("""COMPUTED_VALUE"""),0)</f>
        <v>0</v>
      </c>
      <c r="BD46" s="30"/>
      <c r="BE46" s="30"/>
      <c r="BF46" s="30" t="b">
        <f ca="1">IFERROR(__xludf.DUMMYFUNCTION("""COMPUTED_VALUE"""),FALSE)</f>
        <v>0</v>
      </c>
      <c r="BG46" s="30"/>
      <c r="BH46" s="30"/>
      <c r="BI46" s="30"/>
      <c r="BJ46" s="30"/>
      <c r="BK46" s="30"/>
      <c r="BL46" s="30"/>
      <c r="BM46" s="30" t="str">
        <f ca="1">IFERROR(__xludf.DUMMYFUNCTION("""COMPUTED_VALUE"""),"No")</f>
        <v>No</v>
      </c>
      <c r="BN46" s="30"/>
      <c r="BO46" s="30" t="str">
        <f ca="1">IFERROR(__xludf.DUMMYFUNCTION("""COMPUTED_VALUE"""),"4a84c156")</f>
        <v>4a84c156</v>
      </c>
      <c r="BP46" s="29" t="str">
        <f ca="1">IFERROR(__xludf.DUMMYFUNCTION("""COMPUTED_VALUE"""),"Guanajuato")</f>
        <v>Guanajuato</v>
      </c>
      <c r="BQ46" s="30" t="str">
        <f ca="1">IFERROR(__xludf.DUMMYFUNCTION("""COMPUTED_VALUE"""),"Urbano")</f>
        <v>Urbano</v>
      </c>
      <c r="BR46" s="30">
        <f ca="1">IFERROR(__xludf.DUMMYFUNCTION("""COMPUTED_VALUE"""),49)</f>
        <v>49</v>
      </c>
      <c r="BS46" s="30" t="str">
        <f ca="1">IFERROR(__xludf.DUMMYFUNCTION("""COMPUTED_VALUE"""),"Guanajuato")</f>
        <v>Guanajuato</v>
      </c>
      <c r="BT46" s="30"/>
      <c r="BU46" s="30" t="str">
        <f ca="1">IFERROR(__xludf.DUMMYFUNCTION("""COMPUTED_VALUE"""),"Si")</f>
        <v>Si</v>
      </c>
      <c r="BV46" s="30" t="str">
        <f ca="1">IFERROR(__xludf.DUMMYFUNCTION("""COMPUTED_VALUE"""),"Si")</f>
        <v>Si</v>
      </c>
      <c r="BW46" s="30">
        <f ca="1">IFERROR(__xludf.DUMMYFUNCTION("""COMPUTED_VALUE"""),79)</f>
        <v>79</v>
      </c>
      <c r="BX46" s="30">
        <f ca="1">IFERROR(__xludf.DUMMYFUNCTION("""COMPUTED_VALUE"""),79)</f>
        <v>79</v>
      </c>
      <c r="BY46" s="30">
        <f ca="1">IFERROR(__xludf.DUMMYFUNCTION("""COMPUTED_VALUE"""),0)</f>
        <v>0</v>
      </c>
      <c r="BZ46" s="30" t="str">
        <f ca="1">IFERROR(__xludf.DUMMYFUNCTION("""COMPUTED_VALUE"""),"Guanajuato")</f>
        <v>Guanajuato</v>
      </c>
      <c r="CA46" s="30" t="str">
        <f ca="1">IFERROR(__xludf.DUMMYFUNCTION("""COMPUTED_VALUE"""),"No")</f>
        <v>No</v>
      </c>
      <c r="CB46" s="30" t="str">
        <f ca="1">IFERROR(__xludf.DUMMYFUNCTION("""COMPUTED_VALUE"""),"No")</f>
        <v>No</v>
      </c>
      <c r="CC46" s="30" t="str">
        <f ca="1">IFERROR(__xludf.DUMMYFUNCTION("""COMPUTED_VALUE"""),"1af39f66")</f>
        <v>1af39f66</v>
      </c>
      <c r="CD46" s="29" t="str">
        <f ca="1">IFERROR(__xludf.DUMMYFUNCTION("""COMPUTED_VALUE"""),"Adultos (30 a 59 años)")</f>
        <v>Adultos (30 a 59 años)</v>
      </c>
      <c r="CE46" s="30" t="str">
        <f ca="1">IFERROR(__xludf.DUMMYFUNCTION("""COMPUTED_VALUE"""),"Dato global")</f>
        <v>Dato global</v>
      </c>
      <c r="CF46" s="30" t="str">
        <f ca="1">IFERROR(__xludf.DUMMYFUNCTION("""COMPUTED_VALUE"""),"Ninguno (Población General)")</f>
        <v>Ninguno (Población General)</v>
      </c>
      <c r="CG46" s="30">
        <f ca="1">IFERROR(__xludf.DUMMYFUNCTION("""COMPUTED_VALUE"""),78)</f>
        <v>78</v>
      </c>
      <c r="CI46" s="30" t="str">
        <f ca="1">IFERROR(__xludf.DUMMYFUNCTION("""COMPUTED_VALUE"""),"1b4bc18e")</f>
        <v>1b4bc18e</v>
      </c>
      <c r="CJ46" s="29" t="str">
        <f ca="1">IFERROR(__xludf.DUMMYFUNCTION("""COMPUTED_VALUE"""),"Regitro_Evidencia_Files_/1b4bc18e.Archivo_Evidencia.214939.zip")</f>
        <v>Regitro_Evidencia_Files_/1b4bc18e.Archivo_Evidencia.214939.zip</v>
      </c>
      <c r="CK46" s="30" t="str">
        <f ca="1">IFERROR(__xludf.DUMMYFUNCTION("""COMPUTED_VALUE"""),"Carpeta")</f>
        <v>Carpeta</v>
      </c>
      <c r="CL46" s="30"/>
      <c r="CM46" s="30" t="str">
        <f ca="1">IFERROR(__xludf.DUMMYFUNCTION("""COMPUTED_VALUE"""),"Guanajuato")</f>
        <v>Guanajuato</v>
      </c>
      <c r="CN46" s="32" t="e">
        <f ca="1"/>
        <v>#NAME?</v>
      </c>
      <c r="CO46" s="32" t="e">
        <f ca="1"/>
        <v>#NAME?</v>
      </c>
      <c r="CP46" s="32" t="e">
        <f ca="1"/>
        <v>#NAME?</v>
      </c>
      <c r="CQ46" s="32" t="e">
        <f ca="1"/>
        <v>#NAME?</v>
      </c>
      <c r="CR46" s="30" t="e">
        <f ca="1"/>
        <v>#NAME?</v>
      </c>
      <c r="CS46" s="30" t="str">
        <f ca="1">IFERROR(__xludf.DUMMYFUNCTION("""COMPUTED_VALUE"""),"Ninguno (Población General)")</f>
        <v>Ninguno (Población General)</v>
      </c>
    </row>
    <row r="47" spans="1:97" ht="15.5">
      <c r="A47" s="29" t="str">
        <f ca="1">IFERROR(__xludf.DUMMYFUNCTION("""COMPUTED_VALUE"""),"ACT-SCWL91147")</f>
        <v>ACT-SCWL91147</v>
      </c>
      <c r="B47" s="30" t="str">
        <f ca="1">IFERROR(__xludf.DUMMYFUNCTION("""COMPUTED_VALUE"""),"SC-260618-153933")</f>
        <v>SC-260618-153933</v>
      </c>
      <c r="C47" s="62">
        <f ca="1">IFERROR(__xludf.DUMMYFUNCTION("""COMPUTED_VALUE"""),46191.6524652777)</f>
        <v>46191.652465277701</v>
      </c>
      <c r="D47" s="30">
        <f ca="1">IFERROR(__xludf.DUMMYFUNCTION("""COMPUTED_VALUE"""),92)</f>
        <v>92</v>
      </c>
      <c r="E47" s="30" t="str">
        <f ca="1">IFERROR(__xludf.DUMMYFUNCTION("""COMPUTED_VALUE"""),"PB3572")</f>
        <v>PB3572</v>
      </c>
      <c r="F4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7" s="30" t="str">
        <f ca="1">IFERROR(__xludf.DUMMYFUNCTION("""COMPUTED_VALUE"""),"SUBSECRETARÍA DE DESARROLLO Y PROMOCIÓN ARTÍSTICA Y CULTURAL")</f>
        <v>SUBSECRETARÍA DE DESARROLLO Y PROMOCIÓN ARTÍSTICA Y CULTURAL</v>
      </c>
      <c r="I47" s="34" t="str">
        <f ca="1">IFERROR(__xludf.DUMMYFUNCTION("""COMPUTED_VALUE"""),"DIRECCIÓN GENERAL DE MUSEOS, ARTES VISUALES Y EXPOSICIONES")</f>
        <v>DIRECCIÓN GENERAL DE MUSEOS, ARTES VISUALES Y EXPOSICIONES</v>
      </c>
      <c r="J47" s="30" t="str">
        <f ca="1">IFERROR(__xludf.DUMMYFUNCTION("""COMPUTED_VALUE"""),"Número de Actividades realizadas")</f>
        <v>Número de Actividades realizadas</v>
      </c>
      <c r="K47" s="30">
        <f ca="1">IFERROR(__xludf.DUMMYFUNCTION("""COMPUTED_VALUE"""),800)</f>
        <v>800</v>
      </c>
      <c r="L47" s="30" t="str">
        <f ca="1">IFERROR(__xludf.DUMMYFUNCTION("""COMPUTED_VALUE"""),"Artística")</f>
        <v>Artística</v>
      </c>
      <c r="M47" s="30" t="str">
        <f ca="1">IFERROR(__xludf.DUMMYFUNCTION("""COMPUTED_VALUE"""),"Cine para niños y niñas")</f>
        <v>Cine para niños y niñas</v>
      </c>
      <c r="N47" s="30" t="str">
        <f ca="1">IFERROR(__xludf.DUMMYFUNCTION("""COMPUTED_VALUE"""),"Presentación de  cortometrajes en torno al Día del niño y la niña")</f>
        <v>Presentación de  cortometrajes en torno al Día del niño y la niña</v>
      </c>
      <c r="O47" s="30" t="str">
        <f ca="1">IFERROR(__xludf.DUMMYFUNCTION("""COMPUTED_VALUE"""),"Única")</f>
        <v>Única</v>
      </c>
      <c r="P47" s="33">
        <f ca="1">IFERROR(__xludf.DUMMYFUNCTION("""COMPUTED_VALUE"""),46138)</f>
        <v>46138</v>
      </c>
      <c r="Q47" s="64">
        <f ca="1">IFERROR(__xludf.DUMMYFUNCTION("""COMPUTED_VALUE"""),46138)</f>
        <v>46138</v>
      </c>
      <c r="R47" s="30">
        <f ca="1">IFERROR(__xludf.DUMMYFUNCTION("""COMPUTED_VALUE"""),1)</f>
        <v>1</v>
      </c>
      <c r="S47" s="30" t="str">
        <f ca="1">IFERROR(__xludf.DUMMYFUNCTION("""COMPUTED_VALUE"""),"Cinematografía y medios audiovisuales")</f>
        <v>Cinematografía y medios audiovisuales</v>
      </c>
      <c r="T47" s="30" t="str">
        <f ca="1">IFERROR(__xludf.DUMMYFUNCTION("""COMPUTED_VALUE"""),"Cine")</f>
        <v>Cine</v>
      </c>
      <c r="U47" s="30" t="str">
        <f ca="1">IFERROR(__xludf.DUMMYFUNCTION("""COMPUTED_VALUE"""),"Muestra artística")</f>
        <v>Muestra artística</v>
      </c>
      <c r="V47" s="30" t="str">
        <f ca="1">IFERROR(__xludf.DUMMYFUNCTION("""COMPUTED_VALUE"""),"Ninguna")</f>
        <v>Ninguna</v>
      </c>
      <c r="W47" s="30" t="str">
        <f ca="1">IFERROR(__xludf.DUMMYFUNCTION("""COMPUTED_VALUE"""),"Presencial")</f>
        <v>Presencial</v>
      </c>
      <c r="X47" s="30" t="str">
        <f ca="1">IFERROR(__xludf.DUMMYFUNCTION("""COMPUTED_VALUE"""),"Espacio a Cargo de la Secretaría")</f>
        <v>Espacio a Cargo de la Secretaría</v>
      </c>
      <c r="Y47" s="30" t="str">
        <f ca="1">IFERROR(__xludf.DUMMYFUNCTION("""COMPUTED_VALUE"""),"6")</f>
        <v>6</v>
      </c>
      <c r="Z47" s="30"/>
      <c r="AA47" s="30"/>
      <c r="AB47" s="30" t="b">
        <f ca="1">IFERROR(__xludf.DUMMYFUNCTION("""COMPUTED_VALUE"""),FALSE)</f>
        <v>0</v>
      </c>
      <c r="AC47" s="30"/>
      <c r="AD47" s="30" t="b">
        <f ca="1">IFERROR(__xludf.DUMMYFUNCTION("""COMPUTED_VALUE"""),FALSE)</f>
        <v>0</v>
      </c>
      <c r="AE47" s="30"/>
      <c r="AF47" s="30" t="b">
        <f ca="1">IFERROR(__xludf.DUMMYFUNCTION("""COMPUTED_VALUE"""),FALSE)</f>
        <v>0</v>
      </c>
      <c r="AG47" s="30"/>
      <c r="AH47" s="30" t="str">
        <f ca="1">IFERROR(__xludf.DUMMYFUNCTION("""COMPUTED_VALUE"""),"Sin costo")</f>
        <v>Sin costo</v>
      </c>
      <c r="AI47" s="30"/>
      <c r="AJ47" s="30"/>
      <c r="AK47" s="30"/>
      <c r="AL47" s="30" t="str">
        <f ca="1">IFERROR(__xludf.DUMMYFUNCTION("""COMPUTED_VALUE"""),"ccardonav@guanajuato.gob.mx")</f>
        <v>ccardonav@guanajuato.gob.mx</v>
      </c>
      <c r="AM47" s="30" t="str">
        <f ca="1">IFERROR(__xludf.DUMMYFUNCTION("""COMPUTED_VALUE"""),"Arraigo y empoderamiento cultural de comunidades.")</f>
        <v>Arraigo y empoderamiento cultural de comunidades.</v>
      </c>
      <c r="AN47" s="30" t="str">
        <f ca="1">IFERROR(__xludf.DUMMYFUNCTION("""COMPUTED_VALUE"""),"2 Igualdad")</f>
        <v>2 Igualdad</v>
      </c>
      <c r="AO47" s="30" t="str">
        <f ca="1">IFERROR(__xludf.DUMMYFUNCTION("""COMPUTED_VALUE"""),"2.4 Reducir brechas de desigualdad")</f>
        <v>2.4 Reducir brechas de desigualdad</v>
      </c>
      <c r="AP47" s="30" t="str">
        <f ca="1">IFERROR(__xludf.DUMMYFUNCTION("""COMPUTED_VALUE"""),"2.4.3 Descentralización de la oferta cultural")</f>
        <v>2.4.3 Descentralización de la oferta cultural</v>
      </c>
      <c r="AQ47" s="30" t="str">
        <f ca="1">IFERROR(__xludf.DUMMYFUNCTION("""COMPUTED_VALUE"""),"2.4.3.1 Impulsar el desarrollo artístico y cultural entre infancias y juventudes")</f>
        <v>2.4.3.1 Impulsar el desarrollo artístico y cultural entre infancias y juventudes</v>
      </c>
      <c r="AR47" s="30" t="str">
        <f ca="1">IFERROR(__xludf.DUMMYFUNCTION("""COMPUTED_VALUE"""),"Cooperación")</f>
        <v>Cooperación</v>
      </c>
      <c r="AS47" s="30"/>
      <c r="AT47" s="30" t="str">
        <f ca="1">IFERROR(__xludf.DUMMYFUNCTION("""COMPUTED_VALUE"""),"Fortalecimiento de la participación ciudadana y la mediación cultural")</f>
        <v>Fortalecimiento de la participación ciudadana y la mediación cultural</v>
      </c>
      <c r="AU47" s="30" t="str">
        <f ca="1">IFERROR(__xludf.DUMMYFUNCTION("""COMPUTED_VALUE"""),"Impulso a la ampliación de la oferta cultural en los territorios.")</f>
        <v>Impulso a la ampliación de la oferta cultural en los territorios.</v>
      </c>
      <c r="AV4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7" s="30" t="str">
        <f ca="1">IFERROR(__xludf.DUMMYFUNCTION("""COMPUTED_VALUE"""),"Incrementar en 25% la oferta cultural realizada en los municipios.")</f>
        <v>Incrementar en 25% la oferta cultural realizada en los municipios.</v>
      </c>
      <c r="AX47" s="30" t="str">
        <f ca="1">IFERROR(__xludf.DUMMYFUNCTION("""COMPUTED_VALUE"""),"Muestra artística")</f>
        <v>Muestra artística</v>
      </c>
      <c r="AY47" s="30" t="str">
        <f ca="1">IFERROR(__xludf.DUMMYFUNCTION("""COMPUTED_VALUE"""),"Formación")</f>
        <v>Formación</v>
      </c>
      <c r="AZ47" s="30" t="str">
        <f ca="1">IFERROR(__xludf.DUMMYFUNCTION("""COMPUTED_VALUE"""),"Formación")</f>
        <v>Formación</v>
      </c>
      <c r="BA47" s="30"/>
      <c r="BB47" s="30"/>
      <c r="BC47" s="30">
        <f ca="1">IFERROR(__xludf.DUMMYFUNCTION("""COMPUTED_VALUE"""),0)</f>
        <v>0</v>
      </c>
      <c r="BD47" s="30"/>
      <c r="BE47" s="30"/>
      <c r="BF47" s="30" t="b">
        <f ca="1">IFERROR(__xludf.DUMMYFUNCTION("""COMPUTED_VALUE"""),FALSE)</f>
        <v>0</v>
      </c>
      <c r="BG47" s="30"/>
      <c r="BH47" s="30"/>
      <c r="BI47" s="30"/>
      <c r="BJ47" s="30"/>
      <c r="BK47" s="30"/>
      <c r="BL47" s="30"/>
      <c r="BM47" s="30" t="str">
        <f ca="1">IFERROR(__xludf.DUMMYFUNCTION("""COMPUTED_VALUE"""),"No")</f>
        <v>No</v>
      </c>
      <c r="BN47" s="30"/>
      <c r="BO47" s="30" t="str">
        <f ca="1">IFERROR(__xludf.DUMMYFUNCTION("""COMPUTED_VALUE"""),"7ec2fd5b")</f>
        <v>7ec2fd5b</v>
      </c>
      <c r="BP47" s="29" t="str">
        <f ca="1">IFERROR(__xludf.DUMMYFUNCTION("""COMPUTED_VALUE"""),"Guanajuato")</f>
        <v>Guanajuato</v>
      </c>
      <c r="BQ47" s="30" t="str">
        <f ca="1">IFERROR(__xludf.DUMMYFUNCTION("""COMPUTED_VALUE"""),"Urbano")</f>
        <v>Urbano</v>
      </c>
      <c r="BR47" s="30">
        <f ca="1">IFERROR(__xludf.DUMMYFUNCTION("""COMPUTED_VALUE"""),49)</f>
        <v>49</v>
      </c>
      <c r="BS47" s="30" t="str">
        <f ca="1">IFERROR(__xludf.DUMMYFUNCTION("""COMPUTED_VALUE"""),"Guanajuato")</f>
        <v>Guanajuato</v>
      </c>
      <c r="BT47" s="30"/>
      <c r="BU47" s="30" t="str">
        <f ca="1">IFERROR(__xludf.DUMMYFUNCTION("""COMPUTED_VALUE"""),"Si")</f>
        <v>Si</v>
      </c>
      <c r="BV47" s="30" t="str">
        <f ca="1">IFERROR(__xludf.DUMMYFUNCTION("""COMPUTED_VALUE"""),"Si")</f>
        <v>Si</v>
      </c>
      <c r="BW47" s="30">
        <f ca="1">IFERROR(__xludf.DUMMYFUNCTION("""COMPUTED_VALUE"""),115)</f>
        <v>115</v>
      </c>
      <c r="BX47" s="30">
        <f ca="1">IFERROR(__xludf.DUMMYFUNCTION("""COMPUTED_VALUE"""),115)</f>
        <v>115</v>
      </c>
      <c r="BY47" s="30">
        <f ca="1">IFERROR(__xludf.DUMMYFUNCTION("""COMPUTED_VALUE"""),0)</f>
        <v>0</v>
      </c>
      <c r="BZ47" s="30" t="str">
        <f ca="1">IFERROR(__xludf.DUMMYFUNCTION("""COMPUTED_VALUE"""),"Guanajuato")</f>
        <v>Guanajuato</v>
      </c>
      <c r="CA47" s="30" t="str">
        <f ca="1">IFERROR(__xludf.DUMMYFUNCTION("""COMPUTED_VALUE"""),"No")</f>
        <v>No</v>
      </c>
      <c r="CB47" s="30" t="str">
        <f ca="1">IFERROR(__xludf.DUMMYFUNCTION("""COMPUTED_VALUE"""),"No")</f>
        <v>No</v>
      </c>
      <c r="CC47" s="30" t="str">
        <f ca="1">IFERROR(__xludf.DUMMYFUNCTION("""COMPUTED_VALUE"""),"91f797f1")</f>
        <v>91f797f1</v>
      </c>
      <c r="CD47" s="29" t="str">
        <f ca="1">IFERROR(__xludf.DUMMYFUNCTION("""COMPUTED_VALUE"""),"Niñas y Niños (6 a 12 años)")</f>
        <v>Niñas y Niños (6 a 12 años)</v>
      </c>
      <c r="CE47" s="30" t="str">
        <f ca="1">IFERROR(__xludf.DUMMYFUNCTION("""COMPUTED_VALUE"""),"Dato global")</f>
        <v>Dato global</v>
      </c>
      <c r="CF47" s="30" t="str">
        <f ca="1">IFERROR(__xludf.DUMMYFUNCTION("""COMPUTED_VALUE"""),"NNA (Niñas, Niños y Adolescentes)")</f>
        <v>NNA (Niñas, Niños y Adolescentes)</v>
      </c>
      <c r="CG47" s="30">
        <f ca="1">IFERROR(__xludf.DUMMYFUNCTION("""COMPUTED_VALUE"""),4)</f>
        <v>4</v>
      </c>
      <c r="CI47" s="30" t="str">
        <f ca="1">IFERROR(__xludf.DUMMYFUNCTION("""COMPUTED_VALUE"""),"42f212c6")</f>
        <v>42f212c6</v>
      </c>
      <c r="CJ47" s="29" t="str">
        <f ca="1">IFERROR(__xludf.DUMMYFUNCTION("""COMPUTED_VALUE"""),"Regitro_Evidencia_Files_/42f212c6.Archivo_Evidencia.221038.zip")</f>
        <v>Regitro_Evidencia_Files_/42f212c6.Archivo_Evidencia.221038.zip</v>
      </c>
      <c r="CK47" s="30" t="str">
        <f ca="1">IFERROR(__xludf.DUMMYFUNCTION("""COMPUTED_VALUE"""),"Carpeta")</f>
        <v>Carpeta</v>
      </c>
      <c r="CL47" s="30"/>
      <c r="CM47" s="30" t="str">
        <f ca="1">IFERROR(__xludf.DUMMYFUNCTION("""COMPUTED_VALUE"""),"Guanajuato")</f>
        <v>Guanajuato</v>
      </c>
      <c r="CN47" s="32" t="e">
        <f ca="1"/>
        <v>#NAME?</v>
      </c>
      <c r="CO47" s="32" t="e">
        <f ca="1"/>
        <v>#NAME?</v>
      </c>
      <c r="CP47" s="32" t="e">
        <f ca="1"/>
        <v>#NAME?</v>
      </c>
      <c r="CQ47" s="32" t="e">
        <f ca="1"/>
        <v>#NAME?</v>
      </c>
      <c r="CR47" s="30" t="e">
        <f ca="1"/>
        <v>#NAME?</v>
      </c>
      <c r="CS47" s="30" t="str">
        <f ca="1">IFERROR(__xludf.DUMMYFUNCTION("""COMPUTED_VALUE"""),"Ninguno (Población General)")</f>
        <v>Ninguno (Población General)</v>
      </c>
    </row>
    <row r="48" spans="1:97" ht="15.5">
      <c r="A48" s="29" t="str">
        <f ca="1">IFERROR(__xludf.DUMMYFUNCTION("""COMPUTED_VALUE"""),"ACT-SCFA11501")</f>
        <v>ACT-SCFA11501</v>
      </c>
      <c r="B48" s="30" t="str">
        <f ca="1">IFERROR(__xludf.DUMMYFUNCTION("""COMPUTED_VALUE"""),"SC-260618-155005")</f>
        <v>SC-260618-155005</v>
      </c>
      <c r="C48" s="62">
        <f ca="1">IFERROR(__xludf.DUMMYFUNCTION("""COMPUTED_VALUE"""),46191.6597800925)</f>
        <v>46191.659780092501</v>
      </c>
      <c r="D48" s="30">
        <f ca="1">IFERROR(__xludf.DUMMYFUNCTION("""COMPUTED_VALUE"""),92)</f>
        <v>92</v>
      </c>
      <c r="E48" s="30" t="str">
        <f ca="1">IFERROR(__xludf.DUMMYFUNCTION("""COMPUTED_VALUE"""),"PB3572")</f>
        <v>PB3572</v>
      </c>
      <c r="F4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8" s="30" t="str">
        <f ca="1">IFERROR(__xludf.DUMMYFUNCTION("""COMPUTED_VALUE"""),"SUBSECRETARÍA DE DESARROLLO Y PROMOCIÓN ARTÍSTICA Y CULTURAL")</f>
        <v>SUBSECRETARÍA DE DESARROLLO Y PROMOCIÓN ARTÍSTICA Y CULTURAL</v>
      </c>
      <c r="I48" s="34" t="str">
        <f ca="1">IFERROR(__xludf.DUMMYFUNCTION("""COMPUTED_VALUE"""),"DIRECCIÓN GENERAL DE MUSEOS, ARTES VISUALES Y EXPOSICIONES")</f>
        <v>DIRECCIÓN GENERAL DE MUSEOS, ARTES VISUALES Y EXPOSICIONES</v>
      </c>
      <c r="J48" s="30" t="str">
        <f ca="1">IFERROR(__xludf.DUMMYFUNCTION("""COMPUTED_VALUE"""),"Número de Actividades realizadas")</f>
        <v>Número de Actividades realizadas</v>
      </c>
      <c r="K48" s="30">
        <f ca="1">IFERROR(__xludf.DUMMYFUNCTION("""COMPUTED_VALUE"""),800)</f>
        <v>800</v>
      </c>
      <c r="L48" s="30" t="str">
        <f ca="1">IFERROR(__xludf.DUMMYFUNCTION("""COMPUTED_VALUE"""),"Artística")</f>
        <v>Artística</v>
      </c>
      <c r="M48" s="30" t="str">
        <f ca="1">IFERROR(__xludf.DUMMYFUNCTION("""COMPUTED_VALUE"""),"Recital infantil")</f>
        <v>Recital infantil</v>
      </c>
      <c r="N48" s="30" t="str">
        <f ca="1">IFERROR(__xludf.DUMMYFUNCTION("""COMPUTED_VALUE"""),"Concierto dirigido a niñas y niños a cargo de alumnos de la Sección infantil y Nivel medio básico del Departamento de Música de la Universidad de Guanajuato.")</f>
        <v>Concierto dirigido a niñas y niños a cargo de alumnos de la Sección infantil y Nivel medio básico del Departamento de Música de la Universidad de Guanajuato.</v>
      </c>
      <c r="O48" s="30" t="str">
        <f ca="1">IFERROR(__xludf.DUMMYFUNCTION("""COMPUTED_VALUE"""),"Única")</f>
        <v>Única</v>
      </c>
      <c r="P48" s="33">
        <f ca="1">IFERROR(__xludf.DUMMYFUNCTION("""COMPUTED_VALUE"""),46140)</f>
        <v>46140</v>
      </c>
      <c r="Q48" s="64">
        <f ca="1">IFERROR(__xludf.DUMMYFUNCTION("""COMPUTED_VALUE"""),46140)</f>
        <v>46140</v>
      </c>
      <c r="R48" s="30">
        <f ca="1">IFERROR(__xludf.DUMMYFUNCTION("""COMPUTED_VALUE"""),1)</f>
        <v>1</v>
      </c>
      <c r="S48" s="30" t="str">
        <f ca="1">IFERROR(__xludf.DUMMYFUNCTION("""COMPUTED_VALUE"""),"Música")</f>
        <v>Música</v>
      </c>
      <c r="T48" s="30" t="str">
        <f ca="1">IFERROR(__xludf.DUMMYFUNCTION("""COMPUTED_VALUE"""),"Música académica")</f>
        <v>Música académica</v>
      </c>
      <c r="U48" s="30" t="str">
        <f ca="1">IFERROR(__xludf.DUMMYFUNCTION("""COMPUTED_VALUE"""),"Presentación artística")</f>
        <v>Presentación artística</v>
      </c>
      <c r="V48" s="30" t="str">
        <f ca="1">IFERROR(__xludf.DUMMYFUNCTION("""COMPUTED_VALUE"""),"Ninguna")</f>
        <v>Ninguna</v>
      </c>
      <c r="W48" s="30" t="str">
        <f ca="1">IFERROR(__xludf.DUMMYFUNCTION("""COMPUTED_VALUE"""),"Presencial")</f>
        <v>Presencial</v>
      </c>
      <c r="X48" s="30" t="str">
        <f ca="1">IFERROR(__xludf.DUMMYFUNCTION("""COMPUTED_VALUE"""),"Espacio a Cargo de la Secretaría")</f>
        <v>Espacio a Cargo de la Secretaría</v>
      </c>
      <c r="Y48" s="30" t="str">
        <f ca="1">IFERROR(__xludf.DUMMYFUNCTION("""COMPUTED_VALUE"""),"5")</f>
        <v>5</v>
      </c>
      <c r="Z48" s="30"/>
      <c r="AA48" s="30"/>
      <c r="AB48" s="30" t="b">
        <f ca="1">IFERROR(__xludf.DUMMYFUNCTION("""COMPUTED_VALUE"""),FALSE)</f>
        <v>0</v>
      </c>
      <c r="AC48" s="30"/>
      <c r="AD48" s="30" t="b">
        <f ca="1">IFERROR(__xludf.DUMMYFUNCTION("""COMPUTED_VALUE"""),FALSE)</f>
        <v>0</v>
      </c>
      <c r="AE48" s="30"/>
      <c r="AF48" s="30" t="b">
        <f ca="1">IFERROR(__xludf.DUMMYFUNCTION("""COMPUTED_VALUE"""),FALSE)</f>
        <v>0</v>
      </c>
      <c r="AG48" s="30"/>
      <c r="AH48" s="30" t="str">
        <f ca="1">IFERROR(__xludf.DUMMYFUNCTION("""COMPUTED_VALUE"""),"Sin costo")</f>
        <v>Sin costo</v>
      </c>
      <c r="AI48" s="30"/>
      <c r="AJ48" s="30"/>
      <c r="AK48" s="30"/>
      <c r="AL48" s="30" t="str">
        <f ca="1">IFERROR(__xludf.DUMMYFUNCTION("""COMPUTED_VALUE"""),"ccardonav@guanajuato.gob.mx")</f>
        <v>ccardonav@guanajuato.gob.mx</v>
      </c>
      <c r="AM48" s="30" t="str">
        <f ca="1">IFERROR(__xludf.DUMMYFUNCTION("""COMPUTED_VALUE"""),"Arraigo y empoderamiento cultural de comunidades.")</f>
        <v>Arraigo y empoderamiento cultural de comunidades.</v>
      </c>
      <c r="AN48" s="30" t="str">
        <f ca="1">IFERROR(__xludf.DUMMYFUNCTION("""COMPUTED_VALUE"""),"2 Igualdad")</f>
        <v>2 Igualdad</v>
      </c>
      <c r="AO48" s="30" t="str">
        <f ca="1">IFERROR(__xludf.DUMMYFUNCTION("""COMPUTED_VALUE"""),"2.4 Reducir brechas de desigualdad")</f>
        <v>2.4 Reducir brechas de desigualdad</v>
      </c>
      <c r="AP48" s="30" t="str">
        <f ca="1">IFERROR(__xludf.DUMMYFUNCTION("""COMPUTED_VALUE"""),"2.4.3 Descentralización de la oferta cultural")</f>
        <v>2.4.3 Descentralización de la oferta cultural</v>
      </c>
      <c r="AQ48" s="30" t="str">
        <f ca="1">IFERROR(__xludf.DUMMYFUNCTION("""COMPUTED_VALUE"""),"2.4.3.1 Impulsar el desarrollo artístico y cultural entre infancias y juventudes")</f>
        <v>2.4.3.1 Impulsar el desarrollo artístico y cultural entre infancias y juventudes</v>
      </c>
      <c r="AR48" s="30" t="str">
        <f ca="1">IFERROR(__xludf.DUMMYFUNCTION("""COMPUTED_VALUE"""),"Cooperación")</f>
        <v>Cooperación</v>
      </c>
      <c r="AS48" s="30"/>
      <c r="AT48" s="30" t="str">
        <f ca="1">IFERROR(__xludf.DUMMYFUNCTION("""COMPUTED_VALUE"""),"Fortalecimiento de la participación ciudadana y la mediación cultural")</f>
        <v>Fortalecimiento de la participación ciudadana y la mediación cultural</v>
      </c>
      <c r="AU48" s="30" t="str">
        <f ca="1">IFERROR(__xludf.DUMMYFUNCTION("""COMPUTED_VALUE"""),"Impulso a la ampliación de la oferta cultural en los territorios.")</f>
        <v>Impulso a la ampliación de la oferta cultural en los territorios.</v>
      </c>
      <c r="AV4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8" s="30" t="str">
        <f ca="1">IFERROR(__xludf.DUMMYFUNCTION("""COMPUTED_VALUE"""),"Incrementar en 25% la oferta cultural realizada en los municipios.")</f>
        <v>Incrementar en 25% la oferta cultural realizada en los municipios.</v>
      </c>
      <c r="AX48" s="30" t="str">
        <f ca="1">IFERROR(__xludf.DUMMYFUNCTION("""COMPUTED_VALUE"""),"Presentación artística")</f>
        <v>Presentación artística</v>
      </c>
      <c r="AY48" s="30" t="str">
        <f ca="1">IFERROR(__xludf.DUMMYFUNCTION("""COMPUTED_VALUE"""),"Formación")</f>
        <v>Formación</v>
      </c>
      <c r="AZ48" s="30" t="str">
        <f ca="1">IFERROR(__xludf.DUMMYFUNCTION("""COMPUTED_VALUE"""),"Formación")</f>
        <v>Formación</v>
      </c>
      <c r="BA48" s="30"/>
      <c r="BB48" s="30"/>
      <c r="BC48" s="30">
        <f ca="1">IFERROR(__xludf.DUMMYFUNCTION("""COMPUTED_VALUE"""),0)</f>
        <v>0</v>
      </c>
      <c r="BD48" s="30"/>
      <c r="BE48" s="30"/>
      <c r="BF48" s="30" t="b">
        <f ca="1">IFERROR(__xludf.DUMMYFUNCTION("""COMPUTED_VALUE"""),FALSE)</f>
        <v>0</v>
      </c>
      <c r="BG48" s="30"/>
      <c r="BH48" s="30"/>
      <c r="BI48" s="30"/>
      <c r="BJ48" s="30"/>
      <c r="BK48" s="30"/>
      <c r="BL48" s="30"/>
      <c r="BM48" s="30" t="str">
        <f ca="1">IFERROR(__xludf.DUMMYFUNCTION("""COMPUTED_VALUE"""),"No")</f>
        <v>No</v>
      </c>
      <c r="BN48" s="30"/>
      <c r="BO48" s="30" t="str">
        <f ca="1">IFERROR(__xludf.DUMMYFUNCTION("""COMPUTED_VALUE"""),"be305719")</f>
        <v>be305719</v>
      </c>
      <c r="BP48" s="29" t="str">
        <f ca="1">IFERROR(__xludf.DUMMYFUNCTION("""COMPUTED_VALUE"""),"Guanajuato")</f>
        <v>Guanajuato</v>
      </c>
      <c r="BQ48" s="30" t="str">
        <f ca="1">IFERROR(__xludf.DUMMYFUNCTION("""COMPUTED_VALUE"""),"Urbano")</f>
        <v>Urbano</v>
      </c>
      <c r="BR48" s="30">
        <f ca="1">IFERROR(__xludf.DUMMYFUNCTION("""COMPUTED_VALUE"""),49)</f>
        <v>49</v>
      </c>
      <c r="BS48" s="30" t="str">
        <f ca="1">IFERROR(__xludf.DUMMYFUNCTION("""COMPUTED_VALUE"""),"Guanajuato")</f>
        <v>Guanajuato</v>
      </c>
      <c r="BT48" s="30"/>
      <c r="BU48" s="30" t="str">
        <f ca="1">IFERROR(__xludf.DUMMYFUNCTION("""COMPUTED_VALUE"""),"Si")</f>
        <v>Si</v>
      </c>
      <c r="BV48" s="30" t="str">
        <f ca="1">IFERROR(__xludf.DUMMYFUNCTION("""COMPUTED_VALUE"""),"Si")</f>
        <v>Si</v>
      </c>
      <c r="BW48" s="30">
        <f ca="1">IFERROR(__xludf.DUMMYFUNCTION("""COMPUTED_VALUE"""),170)</f>
        <v>170</v>
      </c>
      <c r="BX48" s="30">
        <f ca="1">IFERROR(__xludf.DUMMYFUNCTION("""COMPUTED_VALUE"""),170)</f>
        <v>170</v>
      </c>
      <c r="BY48" s="30">
        <f ca="1">IFERROR(__xludf.DUMMYFUNCTION("""COMPUTED_VALUE"""),0)</f>
        <v>0</v>
      </c>
      <c r="BZ48" s="30" t="str">
        <f ca="1">IFERROR(__xludf.DUMMYFUNCTION("""COMPUTED_VALUE"""),"Guanajuato")</f>
        <v>Guanajuato</v>
      </c>
      <c r="CA48" s="30" t="str">
        <f ca="1">IFERROR(__xludf.DUMMYFUNCTION("""COMPUTED_VALUE"""),"No")</f>
        <v>No</v>
      </c>
      <c r="CB48" s="30" t="str">
        <f ca="1">IFERROR(__xludf.DUMMYFUNCTION("""COMPUTED_VALUE"""),"No")</f>
        <v>No</v>
      </c>
      <c r="CC48" s="30" t="str">
        <f ca="1">IFERROR(__xludf.DUMMYFUNCTION("""COMPUTED_VALUE"""),"867386ae")</f>
        <v>867386ae</v>
      </c>
      <c r="CD48" s="29" t="str">
        <f ca="1">IFERROR(__xludf.DUMMYFUNCTION("""COMPUTED_VALUE"""),"Niñas y Niños (6 a 12 años)")</f>
        <v>Niñas y Niños (6 a 12 años)</v>
      </c>
      <c r="CE48" s="30" t="str">
        <f ca="1">IFERROR(__xludf.DUMMYFUNCTION("""COMPUTED_VALUE"""),"Dato global")</f>
        <v>Dato global</v>
      </c>
      <c r="CF48" s="30" t="str">
        <f ca="1">IFERROR(__xludf.DUMMYFUNCTION("""COMPUTED_VALUE"""),"NNA (Niñas, Niños y Adolescentes)")</f>
        <v>NNA (Niñas, Niños y Adolescentes)</v>
      </c>
      <c r="CG48" s="30">
        <f ca="1">IFERROR(__xludf.DUMMYFUNCTION("""COMPUTED_VALUE"""),3)</f>
        <v>3</v>
      </c>
      <c r="CI48" s="30" t="str">
        <f ca="1">IFERROR(__xludf.DUMMYFUNCTION("""COMPUTED_VALUE"""),"261f2175")</f>
        <v>261f2175</v>
      </c>
      <c r="CJ48" s="29" t="str">
        <f ca="1">IFERROR(__xludf.DUMMYFUNCTION("""COMPUTED_VALUE"""),"Regitro_Evidencia_Files_/261f2175.Archivo_Evidencia.163101.zip")</f>
        <v>Regitro_Evidencia_Files_/261f2175.Archivo_Evidencia.163101.zip</v>
      </c>
      <c r="CK48" s="30" t="str">
        <f ca="1">IFERROR(__xludf.DUMMYFUNCTION("""COMPUTED_VALUE"""),"Carpeta")</f>
        <v>Carpeta</v>
      </c>
      <c r="CL48" s="30"/>
      <c r="CM48" s="30" t="str">
        <f ca="1">IFERROR(__xludf.DUMMYFUNCTION("""COMPUTED_VALUE"""),"Guanajuato")</f>
        <v>Guanajuato</v>
      </c>
      <c r="CN48" s="32" t="e">
        <f ca="1"/>
        <v>#NAME?</v>
      </c>
      <c r="CO48" s="32" t="e">
        <f ca="1"/>
        <v>#NAME?</v>
      </c>
      <c r="CP48" s="32" t="e">
        <f ca="1"/>
        <v>#NAME?</v>
      </c>
      <c r="CQ48" s="32" t="e">
        <f ca="1"/>
        <v>#NAME?</v>
      </c>
      <c r="CR48" s="30" t="e">
        <f ca="1"/>
        <v>#NAME?</v>
      </c>
      <c r="CS48" s="30" t="str">
        <f ca="1">IFERROR(__xludf.DUMMYFUNCTION("""COMPUTED_VALUE"""),"Ninguno (Población General)")</f>
        <v>Ninguno (Población General)</v>
      </c>
    </row>
    <row r="49" spans="1:97" ht="15.5">
      <c r="A49" s="29" t="str">
        <f ca="1">IFERROR(__xludf.DUMMYFUNCTION("""COMPUTED_VALUE"""),"ACT-SCSV85618")</f>
        <v>ACT-SCSV85618</v>
      </c>
      <c r="B49" s="30" t="str">
        <f ca="1">IFERROR(__xludf.DUMMYFUNCTION("""COMPUTED_VALUE"""),"SC-260618-161122")</f>
        <v>SC-260618-161122</v>
      </c>
      <c r="C49" s="62">
        <f ca="1">IFERROR(__xludf.DUMMYFUNCTION("""COMPUTED_VALUE"""),46191.6745601851)</f>
        <v>46191.6745601851</v>
      </c>
      <c r="D49" s="30">
        <f ca="1">IFERROR(__xludf.DUMMYFUNCTION("""COMPUTED_VALUE"""),92)</f>
        <v>92</v>
      </c>
      <c r="E49" s="30" t="str">
        <f ca="1">IFERROR(__xludf.DUMMYFUNCTION("""COMPUTED_VALUE"""),"PB3572")</f>
        <v>PB3572</v>
      </c>
      <c r="F4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 s="30" t="str">
        <f ca="1">IFERROR(__xludf.DUMMYFUNCTION("""COMPUTED_VALUE"""),"SUBSECRETARÍA DE DESARROLLO Y PROMOCIÓN ARTÍSTICA Y CULTURAL")</f>
        <v>SUBSECRETARÍA DE DESARROLLO Y PROMOCIÓN ARTÍSTICA Y CULTURAL</v>
      </c>
      <c r="I49" s="34" t="str">
        <f ca="1">IFERROR(__xludf.DUMMYFUNCTION("""COMPUTED_VALUE"""),"DIRECCIÓN GENERAL DE MUSEOS, ARTES VISUALES Y EXPOSICIONES")</f>
        <v>DIRECCIÓN GENERAL DE MUSEOS, ARTES VISUALES Y EXPOSICIONES</v>
      </c>
      <c r="J49" s="30" t="str">
        <f ca="1">IFERROR(__xludf.DUMMYFUNCTION("""COMPUTED_VALUE"""),"Número de Actividades realizadas")</f>
        <v>Número de Actividades realizadas</v>
      </c>
      <c r="K49" s="30">
        <f ca="1">IFERROR(__xludf.DUMMYFUNCTION("""COMPUTED_VALUE"""),800)</f>
        <v>800</v>
      </c>
      <c r="L49" s="30" t="str">
        <f ca="1">IFERROR(__xludf.DUMMYFUNCTION("""COMPUTED_VALUE"""),"Artística")</f>
        <v>Artística</v>
      </c>
      <c r="M49" s="30" t="str">
        <f ca="1">IFERROR(__xludf.DUMMYFUNCTION("""COMPUTED_VALUE"""),"Clap, clap, clap, al compás del Museo. Presentación de Danza")</f>
        <v>Clap, clap, clap, al compás del Museo. Presentación de Danza</v>
      </c>
      <c r="N49" s="30" t="str">
        <f ca="1">IFERROR(__xludf.DUMMYFUNCTION("""COMPUTED_VALUE"""),"Celebración del Día Internacional de la Danza  En colaboración con la Licenciatura en Artes Escénicas de la Universidad de Guanajuato se llevará a cabo un recorrido por los Museos de Guanajuato, con presentaciones de danza a cargo de las y los estudiantes"&amp;", al finalizar se llevará a cabo una conferencia en torno a esta corriente artística.")</f>
        <v>Celebración del Día Internacional de la Danza  En colaboración con la Licenciatura en Artes Escénicas de la Universidad de Guanajuato se llevará a cabo un recorrido por los Museos de Guanajuato, con presentaciones de danza a cargo de las y los estudiantes, al finalizar se llevará a cabo una conferencia en torno a esta corriente artística.</v>
      </c>
      <c r="O49" s="30" t="str">
        <f ca="1">IFERROR(__xludf.DUMMYFUNCTION("""COMPUTED_VALUE"""),"Única")</f>
        <v>Única</v>
      </c>
      <c r="P49" s="33">
        <f ca="1">IFERROR(__xludf.DUMMYFUNCTION("""COMPUTED_VALUE"""),46141)</f>
        <v>46141</v>
      </c>
      <c r="Q49" s="64">
        <f ca="1">IFERROR(__xludf.DUMMYFUNCTION("""COMPUTED_VALUE"""),46141)</f>
        <v>46141</v>
      </c>
      <c r="R49" s="30">
        <f ca="1">IFERROR(__xludf.DUMMYFUNCTION("""COMPUTED_VALUE"""),1)</f>
        <v>1</v>
      </c>
      <c r="S49" s="30" t="str">
        <f ca="1">IFERROR(__xludf.DUMMYFUNCTION("""COMPUTED_VALUE"""),"Artes escénicas")</f>
        <v>Artes escénicas</v>
      </c>
      <c r="T49" s="30" t="str">
        <f ca="1">IFERROR(__xludf.DUMMYFUNCTION("""COMPUTED_VALUE"""),"Danza contemporánea")</f>
        <v>Danza contemporánea</v>
      </c>
      <c r="U49" s="30" t="str">
        <f ca="1">IFERROR(__xludf.DUMMYFUNCTION("""COMPUTED_VALUE"""),"Presentación artística")</f>
        <v>Presentación artística</v>
      </c>
      <c r="V49" s="30" t="str">
        <f ca="1">IFERROR(__xludf.DUMMYFUNCTION("""COMPUTED_VALUE"""),"Ninguna")</f>
        <v>Ninguna</v>
      </c>
      <c r="W49" s="30" t="str">
        <f ca="1">IFERROR(__xludf.DUMMYFUNCTION("""COMPUTED_VALUE"""),"Presencial")</f>
        <v>Presencial</v>
      </c>
      <c r="X49" s="30" t="str">
        <f ca="1">IFERROR(__xludf.DUMMYFUNCTION("""COMPUTED_VALUE"""),"Espacio a Cargo de la Secretaría")</f>
        <v>Espacio a Cargo de la Secretaría</v>
      </c>
      <c r="Y49" s="30" t="str">
        <f ca="1">IFERROR(__xludf.DUMMYFUNCTION("""COMPUTED_VALUE"""),"5")</f>
        <v>5</v>
      </c>
      <c r="Z49" s="30"/>
      <c r="AA49" s="30"/>
      <c r="AB49" s="30" t="b">
        <f ca="1">IFERROR(__xludf.DUMMYFUNCTION("""COMPUTED_VALUE"""),FALSE)</f>
        <v>0</v>
      </c>
      <c r="AC49" s="30"/>
      <c r="AD49" s="30" t="b">
        <f ca="1">IFERROR(__xludf.DUMMYFUNCTION("""COMPUTED_VALUE"""),FALSE)</f>
        <v>0</v>
      </c>
      <c r="AE49" s="30"/>
      <c r="AF49" s="30" t="b">
        <f ca="1">IFERROR(__xludf.DUMMYFUNCTION("""COMPUTED_VALUE"""),FALSE)</f>
        <v>0</v>
      </c>
      <c r="AG49" s="30"/>
      <c r="AH49" s="30" t="str">
        <f ca="1">IFERROR(__xludf.DUMMYFUNCTION("""COMPUTED_VALUE"""),"Sin costo")</f>
        <v>Sin costo</v>
      </c>
      <c r="AI49" s="30"/>
      <c r="AJ49" s="30"/>
      <c r="AK49" s="30"/>
      <c r="AL49" s="30" t="str">
        <f ca="1">IFERROR(__xludf.DUMMYFUNCTION("""COMPUTED_VALUE"""),"ccardonav@guanajuato.gob.mx")</f>
        <v>ccardonav@guanajuato.gob.mx</v>
      </c>
      <c r="AM49" s="30" t="str">
        <f ca="1">IFERROR(__xludf.DUMMYFUNCTION("""COMPUTED_VALUE"""),"Arraigo y empoderamiento cultural de comunidades.")</f>
        <v>Arraigo y empoderamiento cultural de comunidades.</v>
      </c>
      <c r="AN49" s="30" t="str">
        <f ca="1">IFERROR(__xludf.DUMMYFUNCTION("""COMPUTED_VALUE"""),"1 Tranquilidad")</f>
        <v>1 Tranquilidad</v>
      </c>
      <c r="AO49" s="30" t="str">
        <f ca="1">IFERROR(__xludf.DUMMYFUNCTION("""COMPUTED_VALUE"""),"1.2 Fortalecer prevención del delito")</f>
        <v>1.2 Fortalecer prevención del delito</v>
      </c>
      <c r="AP49" s="30" t="str">
        <f ca="1">IFERROR(__xludf.DUMMYFUNCTION("""COMPUTED_VALUE"""),"1.2.2 Fortalecimiento del tejido social")</f>
        <v>1.2.2 Fortalecimiento del tejido social</v>
      </c>
      <c r="AQ49" s="30" t="str">
        <f ca="1">IFERROR(__xludf.DUMMYFUNCTION("""COMPUTED_VALUE"""),"1.2.3.4 Promover una cultura de paz desde las expresiones artísticas y culturales")</f>
        <v>1.2.3.4 Promover una cultura de paz desde las expresiones artísticas y culturales</v>
      </c>
      <c r="AR49" s="30" t="str">
        <f ca="1">IFERROR(__xludf.DUMMYFUNCTION("""COMPUTED_VALUE"""),"Cooperación")</f>
        <v>Cooperación</v>
      </c>
      <c r="AS49" s="30"/>
      <c r="AT49" s="30" t="str">
        <f ca="1">IFERROR(__xludf.DUMMYFUNCTION("""COMPUTED_VALUE"""),"Fortalecimiento de la participación ciudadana y la mediación cultural")</f>
        <v>Fortalecimiento de la participación ciudadana y la mediación cultural</v>
      </c>
      <c r="AU49" s="30" t="str">
        <f ca="1">IFERROR(__xludf.DUMMYFUNCTION("""COMPUTED_VALUE"""),"Impulso a la ampliación de la oferta cultural en los territorios.")</f>
        <v>Impulso a la ampliación de la oferta cultural en los territorios.</v>
      </c>
      <c r="AV4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 s="30" t="str">
        <f ca="1">IFERROR(__xludf.DUMMYFUNCTION("""COMPUTED_VALUE"""),"Incrementar en 25% la oferta cultural realizada en los municipios.")</f>
        <v>Incrementar en 25% la oferta cultural realizada en los municipios.</v>
      </c>
      <c r="AX49" s="30" t="str">
        <f ca="1">IFERROR(__xludf.DUMMYFUNCTION("""COMPUTED_VALUE"""),"Presentación artística")</f>
        <v>Presentación artística</v>
      </c>
      <c r="AY49" s="30" t="str">
        <f ca="1">IFERROR(__xludf.DUMMYFUNCTION("""COMPUTED_VALUE"""),"Formación")</f>
        <v>Formación</v>
      </c>
      <c r="AZ49" s="30" t="str">
        <f ca="1">IFERROR(__xludf.DUMMYFUNCTION("""COMPUTED_VALUE"""),"Formación")</f>
        <v>Formación</v>
      </c>
      <c r="BA49" s="30"/>
      <c r="BB49" s="30"/>
      <c r="BC49" s="30">
        <f ca="1">IFERROR(__xludf.DUMMYFUNCTION("""COMPUTED_VALUE"""),0)</f>
        <v>0</v>
      </c>
      <c r="BD49" s="30"/>
      <c r="BE49" s="30"/>
      <c r="BF49" s="30" t="b">
        <f ca="1">IFERROR(__xludf.DUMMYFUNCTION("""COMPUTED_VALUE"""),FALSE)</f>
        <v>0</v>
      </c>
      <c r="BG49" s="30"/>
      <c r="BH49" s="30"/>
      <c r="BI49" s="30"/>
      <c r="BJ49" s="30"/>
      <c r="BK49" s="30"/>
      <c r="BL49" s="30" t="str">
        <f ca="1">IFERROR(__xludf.DUMMYFUNCTION("""COMPUTED_VALUE"""),"Vinculacion")</f>
        <v>Vinculacion</v>
      </c>
      <c r="BM49" s="30" t="str">
        <f ca="1">IFERROR(__xludf.DUMMYFUNCTION("""COMPUTED_VALUE"""),"Sí")</f>
        <v>Sí</v>
      </c>
      <c r="BN49" s="30"/>
      <c r="BO49" s="30" t="str">
        <f ca="1">IFERROR(__xludf.DUMMYFUNCTION("""COMPUTED_VALUE"""),"9794e7bf")</f>
        <v>9794e7bf</v>
      </c>
      <c r="BP49" s="29" t="str">
        <f ca="1">IFERROR(__xludf.DUMMYFUNCTION("""COMPUTED_VALUE"""),"Guanajuato")</f>
        <v>Guanajuato</v>
      </c>
      <c r="BQ49" s="30" t="str">
        <f ca="1">IFERROR(__xludf.DUMMYFUNCTION("""COMPUTED_VALUE"""),"Urbano")</f>
        <v>Urbano</v>
      </c>
      <c r="BR49" s="30">
        <f ca="1">IFERROR(__xludf.DUMMYFUNCTION("""COMPUTED_VALUE"""),49)</f>
        <v>49</v>
      </c>
      <c r="BS49" s="30" t="str">
        <f ca="1">IFERROR(__xludf.DUMMYFUNCTION("""COMPUTED_VALUE"""),"Guanajuato")</f>
        <v>Guanajuato</v>
      </c>
      <c r="BT49" s="30"/>
      <c r="BU49" s="30" t="str">
        <f ca="1">IFERROR(__xludf.DUMMYFUNCTION("""COMPUTED_VALUE"""),"Si")</f>
        <v>Si</v>
      </c>
      <c r="BV49" s="30" t="str">
        <f ca="1">IFERROR(__xludf.DUMMYFUNCTION("""COMPUTED_VALUE"""),"Si")</f>
        <v>Si</v>
      </c>
      <c r="BW49" s="30">
        <f ca="1">IFERROR(__xludf.DUMMYFUNCTION("""COMPUTED_VALUE"""),4)</f>
        <v>4</v>
      </c>
      <c r="BX49" s="30">
        <f ca="1">IFERROR(__xludf.DUMMYFUNCTION("""COMPUTED_VALUE"""),4)</f>
        <v>4</v>
      </c>
      <c r="BY49" s="30">
        <f ca="1">IFERROR(__xludf.DUMMYFUNCTION("""COMPUTED_VALUE"""),0)</f>
        <v>0</v>
      </c>
      <c r="BZ49" s="30" t="str">
        <f ca="1">IFERROR(__xludf.DUMMYFUNCTION("""COMPUTED_VALUE"""),"Guanajuato")</f>
        <v>Guanajuato</v>
      </c>
      <c r="CA49" s="30" t="str">
        <f ca="1">IFERROR(__xludf.DUMMYFUNCTION("""COMPUTED_VALUE"""),"No")</f>
        <v>No</v>
      </c>
      <c r="CB49" s="30" t="str">
        <f ca="1">IFERROR(__xludf.DUMMYFUNCTION("""COMPUTED_VALUE"""),"No")</f>
        <v>No</v>
      </c>
      <c r="CC49" s="30" t="str">
        <f ca="1">IFERROR(__xludf.DUMMYFUNCTION("""COMPUTED_VALUE"""),"4e3d2863")</f>
        <v>4e3d2863</v>
      </c>
      <c r="CD49" s="29" t="str">
        <f ca="1">IFERROR(__xludf.DUMMYFUNCTION("""COMPUTED_VALUE"""),"Adolescentes (13 a 17 años)")</f>
        <v>Adolescentes (13 a 17 años)</v>
      </c>
      <c r="CE49" s="30" t="str">
        <f ca="1">IFERROR(__xludf.DUMMYFUNCTION("""COMPUTED_VALUE"""),"Dato global")</f>
        <v>Dato global</v>
      </c>
      <c r="CF49" s="30" t="str">
        <f ca="1">IFERROR(__xludf.DUMMYFUNCTION("""COMPUTED_VALUE"""),"NNA (Niñas, Niños y Adolescentes)")</f>
        <v>NNA (Niñas, Niños y Adolescentes)</v>
      </c>
      <c r="CG49" s="30">
        <f ca="1">IFERROR(__xludf.DUMMYFUNCTION("""COMPUTED_VALUE"""),22)</f>
        <v>22</v>
      </c>
      <c r="CI49" s="30" t="str">
        <f ca="1">IFERROR(__xludf.DUMMYFUNCTION("""COMPUTED_VALUE"""),"1d168305")</f>
        <v>1d168305</v>
      </c>
      <c r="CJ49" s="29" t="str">
        <f ca="1">IFERROR(__xludf.DUMMYFUNCTION("""COMPUTED_VALUE"""),"Regitro_Evidencia_Files_/1d168305.Archivo_Evidencia.163722.zip")</f>
        <v>Regitro_Evidencia_Files_/1d168305.Archivo_Evidencia.163722.zip</v>
      </c>
      <c r="CK49" s="30" t="str">
        <f ca="1">IFERROR(__xludf.DUMMYFUNCTION("""COMPUTED_VALUE"""),"Carpeta")</f>
        <v>Carpeta</v>
      </c>
      <c r="CL49" s="30"/>
      <c r="CM49" s="30" t="str">
        <f ca="1">IFERROR(__xludf.DUMMYFUNCTION("""COMPUTED_VALUE"""),"Guanajuato")</f>
        <v>Guanajuato</v>
      </c>
      <c r="CN49" s="32" t="e">
        <f ca="1"/>
        <v>#NAME?</v>
      </c>
      <c r="CO49" s="32" t="e">
        <f ca="1"/>
        <v>#NAME?</v>
      </c>
      <c r="CP49" s="32" t="e">
        <f ca="1"/>
        <v>#NAME?</v>
      </c>
      <c r="CQ49" s="32" t="e">
        <f ca="1"/>
        <v>#NAME?</v>
      </c>
      <c r="CR49" s="30" t="e">
        <f ca="1"/>
        <v>#NAME?</v>
      </c>
      <c r="CS49" s="30" t="str">
        <f ca="1">IFERROR(__xludf.DUMMYFUNCTION("""COMPUTED_VALUE"""),"Ninguno (Población General)")</f>
        <v>Ninguno (Población General)</v>
      </c>
    </row>
    <row r="50" spans="1:97" ht="15.5">
      <c r="A50" s="29" t="str">
        <f ca="1">IFERROR(__xludf.DUMMYFUNCTION("""COMPUTED_VALUE"""),"ACT-SCQV21814")</f>
        <v>ACT-SCQV21814</v>
      </c>
      <c r="B50" s="30" t="str">
        <f ca="1">IFERROR(__xludf.DUMMYFUNCTION("""COMPUTED_VALUE"""),"SC-260619-101209")</f>
        <v>SC-260619-101209</v>
      </c>
      <c r="C50" s="62">
        <f ca="1">IFERROR(__xludf.DUMMYFUNCTION("""COMPUTED_VALUE"""),46192.4251041666)</f>
        <v>46192.425104166599</v>
      </c>
      <c r="D50" s="30">
        <f ca="1">IFERROR(__xludf.DUMMYFUNCTION("""COMPUTED_VALUE"""),92)</f>
        <v>92</v>
      </c>
      <c r="E50" s="30" t="str">
        <f ca="1">IFERROR(__xludf.DUMMYFUNCTION("""COMPUTED_VALUE"""),"PB3572")</f>
        <v>PB3572</v>
      </c>
      <c r="F5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 s="30" t="str">
        <f ca="1">IFERROR(__xludf.DUMMYFUNCTION("""COMPUTED_VALUE"""),"SUBSECRETARÍA DE DESARROLLO Y PROMOCIÓN ARTÍSTICA Y CULTURAL")</f>
        <v>SUBSECRETARÍA DE DESARROLLO Y PROMOCIÓN ARTÍSTICA Y CULTURAL</v>
      </c>
      <c r="I50" s="34" t="str">
        <f ca="1">IFERROR(__xludf.DUMMYFUNCTION("""COMPUTED_VALUE"""),"DIRECCIÓN GENERAL DE MUSEOS, ARTES VISUALES Y EXPOSICIONES")</f>
        <v>DIRECCIÓN GENERAL DE MUSEOS, ARTES VISUALES Y EXPOSICIONES</v>
      </c>
      <c r="J50" s="30" t="str">
        <f ca="1">IFERROR(__xludf.DUMMYFUNCTION("""COMPUTED_VALUE"""),"Número de Actividades realizadas")</f>
        <v>Número de Actividades realizadas</v>
      </c>
      <c r="K50" s="30">
        <f ca="1">IFERROR(__xludf.DUMMYFUNCTION("""COMPUTED_VALUE"""),800)</f>
        <v>800</v>
      </c>
      <c r="L50" s="30" t="str">
        <f ca="1">IFERROR(__xludf.DUMMYFUNCTION("""COMPUTED_VALUE"""),"Artística")</f>
        <v>Artística</v>
      </c>
      <c r="M50" s="30" t="str">
        <f ca="1">IFERROR(__xludf.DUMMYFUNCTION("""COMPUTED_VALUE"""),"Clap, clap, clap, al compás del Museo. Presentación de Danza")</f>
        <v>Clap, clap, clap, al compás del Museo. Presentación de Danza</v>
      </c>
      <c r="N50" s="30" t="str">
        <f ca="1">IFERROR(__xludf.DUMMYFUNCTION("""COMPUTED_VALUE"""),"Celebración del Día Internacional de la Danza")</f>
        <v>Celebración del Día Internacional de la Danza</v>
      </c>
      <c r="O50" s="30" t="str">
        <f ca="1">IFERROR(__xludf.DUMMYFUNCTION("""COMPUTED_VALUE"""),"Única")</f>
        <v>Única</v>
      </c>
      <c r="P50" s="33">
        <f ca="1">IFERROR(__xludf.DUMMYFUNCTION("""COMPUTED_VALUE"""),46141)</f>
        <v>46141</v>
      </c>
      <c r="Q50" s="64">
        <f ca="1">IFERROR(__xludf.DUMMYFUNCTION("""COMPUTED_VALUE"""),46141)</f>
        <v>46141</v>
      </c>
      <c r="R50" s="30">
        <f ca="1">IFERROR(__xludf.DUMMYFUNCTION("""COMPUTED_VALUE"""),1)</f>
        <v>1</v>
      </c>
      <c r="S50" s="30" t="str">
        <f ca="1">IFERROR(__xludf.DUMMYFUNCTION("""COMPUTED_VALUE"""),"Artes escénicas")</f>
        <v>Artes escénicas</v>
      </c>
      <c r="T50" s="30" t="str">
        <f ca="1">IFERROR(__xludf.DUMMYFUNCTION("""COMPUTED_VALUE"""),"Danza contemporánea")</f>
        <v>Danza contemporánea</v>
      </c>
      <c r="U50" s="30" t="str">
        <f ca="1">IFERROR(__xludf.DUMMYFUNCTION("""COMPUTED_VALUE"""),"Presentación artística")</f>
        <v>Presentación artística</v>
      </c>
      <c r="V50" s="30" t="str">
        <f ca="1">IFERROR(__xludf.DUMMYFUNCTION("""COMPUTED_VALUE"""),"Ninguna")</f>
        <v>Ninguna</v>
      </c>
      <c r="W50" s="30" t="str">
        <f ca="1">IFERROR(__xludf.DUMMYFUNCTION("""COMPUTED_VALUE"""),"Presencial")</f>
        <v>Presencial</v>
      </c>
      <c r="X50" s="30" t="str">
        <f ca="1">IFERROR(__xludf.DUMMYFUNCTION("""COMPUTED_VALUE"""),"Espacio a Cargo de la Secretaría")</f>
        <v>Espacio a Cargo de la Secretaría</v>
      </c>
      <c r="Y50" s="30" t="str">
        <f ca="1">IFERROR(__xludf.DUMMYFUNCTION("""COMPUTED_VALUE"""),"4")</f>
        <v>4</v>
      </c>
      <c r="Z50" s="30"/>
      <c r="AA50" s="30"/>
      <c r="AB50" s="30" t="b">
        <f ca="1">IFERROR(__xludf.DUMMYFUNCTION("""COMPUTED_VALUE"""),FALSE)</f>
        <v>0</v>
      </c>
      <c r="AC50" s="30"/>
      <c r="AD50" s="30" t="b">
        <f ca="1">IFERROR(__xludf.DUMMYFUNCTION("""COMPUTED_VALUE"""),FALSE)</f>
        <v>0</v>
      </c>
      <c r="AE50" s="30"/>
      <c r="AF50" s="30" t="b">
        <f ca="1">IFERROR(__xludf.DUMMYFUNCTION("""COMPUTED_VALUE"""),FALSE)</f>
        <v>0</v>
      </c>
      <c r="AG50" s="30"/>
      <c r="AH50" s="30" t="str">
        <f ca="1">IFERROR(__xludf.DUMMYFUNCTION("""COMPUTED_VALUE"""),"Sin costo")</f>
        <v>Sin costo</v>
      </c>
      <c r="AI50" s="30"/>
      <c r="AJ50" s="30"/>
      <c r="AK50" s="30"/>
      <c r="AL50" s="30" t="str">
        <f ca="1">IFERROR(__xludf.DUMMYFUNCTION("""COMPUTED_VALUE"""),"ccardonav@guanajuato.gob.mx")</f>
        <v>ccardonav@guanajuato.gob.mx</v>
      </c>
      <c r="AM50" s="30" t="str">
        <f ca="1">IFERROR(__xludf.DUMMYFUNCTION("""COMPUTED_VALUE"""),"Arraigo y empoderamiento cultural de comunidades.")</f>
        <v>Arraigo y empoderamiento cultural de comunidades.</v>
      </c>
      <c r="AN50" s="30" t="str">
        <f ca="1">IFERROR(__xludf.DUMMYFUNCTION("""COMPUTED_VALUE"""),"1 Tranquilidad")</f>
        <v>1 Tranquilidad</v>
      </c>
      <c r="AO50" s="30" t="str">
        <f ca="1">IFERROR(__xludf.DUMMYFUNCTION("""COMPUTED_VALUE"""),"1.2 Fortalecer prevención del delito")</f>
        <v>1.2 Fortalecer prevención del delito</v>
      </c>
      <c r="AP50" s="30" t="str">
        <f ca="1">IFERROR(__xludf.DUMMYFUNCTION("""COMPUTED_VALUE"""),"1.2.2 Fortalecimiento del tejido social")</f>
        <v>1.2.2 Fortalecimiento del tejido social</v>
      </c>
      <c r="AQ50" s="30" t="str">
        <f ca="1">IFERROR(__xludf.DUMMYFUNCTION("""COMPUTED_VALUE"""),"1.2.3.4 Promover una cultura de paz desde las expresiones artísticas y culturales")</f>
        <v>1.2.3.4 Promover una cultura de paz desde las expresiones artísticas y culturales</v>
      </c>
      <c r="AR50" s="30" t="str">
        <f ca="1">IFERROR(__xludf.DUMMYFUNCTION("""COMPUTED_VALUE"""),"Cooperación")</f>
        <v>Cooperación</v>
      </c>
      <c r="AS50" s="30"/>
      <c r="AT50" s="30" t="str">
        <f ca="1">IFERROR(__xludf.DUMMYFUNCTION("""COMPUTED_VALUE"""),"Fortalecimiento de la participación ciudadana y la mediación cultural")</f>
        <v>Fortalecimiento de la participación ciudadana y la mediación cultural</v>
      </c>
      <c r="AU50" s="30" t="str">
        <f ca="1">IFERROR(__xludf.DUMMYFUNCTION("""COMPUTED_VALUE"""),"Impulso a la ampliación de la oferta cultural en los territorios.")</f>
        <v>Impulso a la ampliación de la oferta cultural en los territorios.</v>
      </c>
      <c r="AV5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 s="30" t="str">
        <f ca="1">IFERROR(__xludf.DUMMYFUNCTION("""COMPUTED_VALUE"""),"Incrementar en 25% la oferta cultural realizada en los municipios.")</f>
        <v>Incrementar en 25% la oferta cultural realizada en los municipios.</v>
      </c>
      <c r="AX50" s="30" t="str">
        <f ca="1">IFERROR(__xludf.DUMMYFUNCTION("""COMPUTED_VALUE"""),"Presentación artística")</f>
        <v>Presentación artística</v>
      </c>
      <c r="AY50" s="30" t="str">
        <f ca="1">IFERROR(__xludf.DUMMYFUNCTION("""COMPUTED_VALUE"""),"Formación")</f>
        <v>Formación</v>
      </c>
      <c r="AZ50" s="30" t="str">
        <f ca="1">IFERROR(__xludf.DUMMYFUNCTION("""COMPUTED_VALUE"""),"Formación")</f>
        <v>Formación</v>
      </c>
      <c r="BA50" s="30"/>
      <c r="BB50" s="30"/>
      <c r="BC50" s="30">
        <f ca="1">IFERROR(__xludf.DUMMYFUNCTION("""COMPUTED_VALUE"""),0)</f>
        <v>0</v>
      </c>
      <c r="BD50" s="30"/>
      <c r="BE50" s="30"/>
      <c r="BF50" s="30" t="b">
        <f ca="1">IFERROR(__xludf.DUMMYFUNCTION("""COMPUTED_VALUE"""),FALSE)</f>
        <v>0</v>
      </c>
      <c r="BG50" s="30"/>
      <c r="BH50" s="30"/>
      <c r="BI50" s="30"/>
      <c r="BJ50" s="30"/>
      <c r="BK50" s="30"/>
      <c r="BL50" s="30"/>
      <c r="BM50" s="30" t="str">
        <f ca="1">IFERROR(__xludf.DUMMYFUNCTION("""COMPUTED_VALUE"""),"No")</f>
        <v>No</v>
      </c>
      <c r="BN50" s="30"/>
      <c r="BO50" s="30" t="str">
        <f ca="1">IFERROR(__xludf.DUMMYFUNCTION("""COMPUTED_VALUE"""),"e6696ec0")</f>
        <v>e6696ec0</v>
      </c>
      <c r="BP50" s="29" t="str">
        <f ca="1">IFERROR(__xludf.DUMMYFUNCTION("""COMPUTED_VALUE"""),"Guanajuato")</f>
        <v>Guanajuato</v>
      </c>
      <c r="BQ50" s="30" t="str">
        <f ca="1">IFERROR(__xludf.DUMMYFUNCTION("""COMPUTED_VALUE"""),"Urbano")</f>
        <v>Urbano</v>
      </c>
      <c r="BR50" s="30">
        <f ca="1">IFERROR(__xludf.DUMMYFUNCTION("""COMPUTED_VALUE"""),49)</f>
        <v>49</v>
      </c>
      <c r="BS50" s="30" t="str">
        <f ca="1">IFERROR(__xludf.DUMMYFUNCTION("""COMPUTED_VALUE"""),"Guanajuato")</f>
        <v>Guanajuato</v>
      </c>
      <c r="BT50" s="30"/>
      <c r="BU50" s="30" t="str">
        <f ca="1">IFERROR(__xludf.DUMMYFUNCTION("""COMPUTED_VALUE"""),"Si")</f>
        <v>Si</v>
      </c>
      <c r="BV50" s="30" t="str">
        <f ca="1">IFERROR(__xludf.DUMMYFUNCTION("""COMPUTED_VALUE"""),"Si")</f>
        <v>Si</v>
      </c>
      <c r="BW50" s="30">
        <f ca="1">IFERROR(__xludf.DUMMYFUNCTION("""COMPUTED_VALUE"""),40)</f>
        <v>40</v>
      </c>
      <c r="BX50" s="30"/>
      <c r="BY50" s="30">
        <f ca="1">IFERROR(__xludf.DUMMYFUNCTION("""COMPUTED_VALUE"""),40)</f>
        <v>40</v>
      </c>
      <c r="BZ50" s="30" t="str">
        <f ca="1">IFERROR(__xludf.DUMMYFUNCTION("""COMPUTED_VALUE"""),"Guanajuato")</f>
        <v>Guanajuato</v>
      </c>
      <c r="CA50" s="30" t="str">
        <f ca="1">IFERROR(__xludf.DUMMYFUNCTION("""COMPUTED_VALUE"""),"No")</f>
        <v>No</v>
      </c>
      <c r="CB50" s="30" t="str">
        <f ca="1">IFERROR(__xludf.DUMMYFUNCTION("""COMPUTED_VALUE"""),"No")</f>
        <v>No</v>
      </c>
      <c r="CC50" s="30" t="str">
        <f ca="1">IFERROR(__xludf.DUMMYFUNCTION("""COMPUTED_VALUE"""),"ef4c500e")</f>
        <v>ef4c500e</v>
      </c>
      <c r="CD50" s="29" t="str">
        <f ca="1">IFERROR(__xludf.DUMMYFUNCTION("""COMPUTED_VALUE"""),"Niñas y Niños (6 a 12 años)")</f>
        <v>Niñas y Niños (6 a 12 años)</v>
      </c>
      <c r="CE50" s="30" t="str">
        <f ca="1">IFERROR(__xludf.DUMMYFUNCTION("""COMPUTED_VALUE"""),"Dato global")</f>
        <v>Dato global</v>
      </c>
      <c r="CF50" s="30" t="str">
        <f ca="1">IFERROR(__xludf.DUMMYFUNCTION("""COMPUTED_VALUE"""),"NNA (Niñas, Niños y Adolescentes)")</f>
        <v>NNA (Niñas, Niños y Adolescentes)</v>
      </c>
      <c r="CG50" s="30">
        <f ca="1">IFERROR(__xludf.DUMMYFUNCTION("""COMPUTED_VALUE"""),79)</f>
        <v>79</v>
      </c>
      <c r="CI50" s="30" t="str">
        <f ca="1">IFERROR(__xludf.DUMMYFUNCTION("""COMPUTED_VALUE"""),"b0d73afd")</f>
        <v>b0d73afd</v>
      </c>
      <c r="CJ50" s="29" t="str">
        <f ca="1">IFERROR(__xludf.DUMMYFUNCTION("""COMPUTED_VALUE"""),"Regitro_Evidencia_Files_/b0d73afd.Archivo_Evidencia.165024. Los años desicivos.zip")</f>
        <v>Regitro_Evidencia_Files_/b0d73afd.Archivo_Evidencia.165024. Los años desicivos.zip</v>
      </c>
      <c r="CK50" s="30" t="str">
        <f ca="1">IFERROR(__xludf.DUMMYFUNCTION("""COMPUTED_VALUE"""),"Carpeta")</f>
        <v>Carpeta</v>
      </c>
      <c r="CL50" s="30"/>
      <c r="CM50" s="30" t="str">
        <f ca="1">IFERROR(__xludf.DUMMYFUNCTION("""COMPUTED_VALUE"""),"Guanajuato")</f>
        <v>Guanajuato</v>
      </c>
      <c r="CN50" s="32" t="e">
        <f ca="1"/>
        <v>#NAME?</v>
      </c>
      <c r="CO50" s="32" t="e">
        <f ca="1"/>
        <v>#NAME?</v>
      </c>
      <c r="CP50" s="32" t="e">
        <f ca="1"/>
        <v>#NAME?</v>
      </c>
      <c r="CQ50" s="32" t="e">
        <f ca="1"/>
        <v>#NAME?</v>
      </c>
      <c r="CR50" s="30" t="e">
        <f ca="1"/>
        <v>#NAME?</v>
      </c>
      <c r="CS50" s="30" t="str">
        <f ca="1">IFERROR(__xludf.DUMMYFUNCTION("""COMPUTED_VALUE"""),"Ninguno (Población General)")</f>
        <v>Ninguno (Población General)</v>
      </c>
    </row>
    <row r="51" spans="1:97" ht="15.5">
      <c r="A51" s="29" t="str">
        <f ca="1">IFERROR(__xludf.DUMMYFUNCTION("""COMPUTED_VALUE"""),"ACT-SCVO74171")</f>
        <v>ACT-SCVO74171</v>
      </c>
      <c r="B51" s="30" t="str">
        <f ca="1">IFERROR(__xludf.DUMMYFUNCTION("""COMPUTED_VALUE"""),"SC-260619-103127")</f>
        <v>SC-260619-103127</v>
      </c>
      <c r="C51" s="62">
        <f ca="1">IFERROR(__xludf.DUMMYFUNCTION("""COMPUTED_VALUE"""),46192.4385069444)</f>
        <v>46192.438506944403</v>
      </c>
      <c r="D51" s="30">
        <f ca="1">IFERROR(__xludf.DUMMYFUNCTION("""COMPUTED_VALUE"""),92)</f>
        <v>92</v>
      </c>
      <c r="E51" s="30" t="str">
        <f ca="1">IFERROR(__xludf.DUMMYFUNCTION("""COMPUTED_VALUE"""),"PB3572")</f>
        <v>PB3572</v>
      </c>
      <c r="F5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 s="30" t="str">
        <f ca="1">IFERROR(__xludf.DUMMYFUNCTION("""COMPUTED_VALUE"""),"SUBSECRETARÍA DE DESARROLLO Y PROMOCIÓN ARTÍSTICA Y CULTURAL")</f>
        <v>SUBSECRETARÍA DE DESARROLLO Y PROMOCIÓN ARTÍSTICA Y CULTURAL</v>
      </c>
      <c r="I51" s="34" t="str">
        <f ca="1">IFERROR(__xludf.DUMMYFUNCTION("""COMPUTED_VALUE"""),"DIRECCIÓN GENERAL DE MUSEOS, ARTES VISUALES Y EXPOSICIONES")</f>
        <v>DIRECCIÓN GENERAL DE MUSEOS, ARTES VISUALES Y EXPOSICIONES</v>
      </c>
      <c r="J51" s="30" t="str">
        <f ca="1">IFERROR(__xludf.DUMMYFUNCTION("""COMPUTED_VALUE"""),"Número de Actividades realizadas")</f>
        <v>Número de Actividades realizadas</v>
      </c>
      <c r="K51" s="30">
        <f ca="1">IFERROR(__xludf.DUMMYFUNCTION("""COMPUTED_VALUE"""),800)</f>
        <v>800</v>
      </c>
      <c r="L51" s="30" t="str">
        <f ca="1">IFERROR(__xludf.DUMMYFUNCTION("""COMPUTED_VALUE"""),"Artística")</f>
        <v>Artística</v>
      </c>
      <c r="M51" s="30" t="str">
        <f ca="1">IFERROR(__xludf.DUMMYFUNCTION("""COMPUTED_VALUE"""),"Clap, clap, clap, al compás del Museo. Conferencia")</f>
        <v>Clap, clap, clap, al compás del Museo. Conferencia</v>
      </c>
      <c r="N51" s="30" t="str">
        <f ca="1">IFERROR(__xludf.DUMMYFUNCTION("""COMPUTED_VALUE"""),"Celebración del Día Internacional de la Danza  En colaboración con la Licenciatura en Artes Escénicas de la Universidad de Guanajuato se llevará a cabo un recorrido por los Museos de Guanajuato, con presentaciones de danza a cargo de las y los estudiantes"&amp;", al finalizar se llevará a cabo una conferencia en torno a esta corriente artística.")</f>
        <v>Celebración del Día Internacional de la Danza  En colaboración con la Licenciatura en Artes Escénicas de la Universidad de Guanajuato se llevará a cabo un recorrido por los Museos de Guanajuato, con presentaciones de danza a cargo de las y los estudiantes, al finalizar se llevará a cabo una conferencia en torno a esta corriente artística.</v>
      </c>
      <c r="O51" s="30" t="str">
        <f ca="1">IFERROR(__xludf.DUMMYFUNCTION("""COMPUTED_VALUE"""),"Única")</f>
        <v>Única</v>
      </c>
      <c r="P51" s="33">
        <f ca="1">IFERROR(__xludf.DUMMYFUNCTION("""COMPUTED_VALUE"""),46141)</f>
        <v>46141</v>
      </c>
      <c r="Q51" s="64">
        <f ca="1">IFERROR(__xludf.DUMMYFUNCTION("""COMPUTED_VALUE"""),46141)</f>
        <v>46141</v>
      </c>
      <c r="R51" s="30">
        <f ca="1">IFERROR(__xludf.DUMMYFUNCTION("""COMPUTED_VALUE"""),1)</f>
        <v>1</v>
      </c>
      <c r="S51" s="30" t="str">
        <f ca="1">IFERROR(__xludf.DUMMYFUNCTION("""COMPUTED_VALUE"""),"Artes escénicas")</f>
        <v>Artes escénicas</v>
      </c>
      <c r="T51" s="30" t="str">
        <f ca="1">IFERROR(__xludf.DUMMYFUNCTION("""COMPUTED_VALUE"""),"Danza contemporánea")</f>
        <v>Danza contemporánea</v>
      </c>
      <c r="U51" s="30" t="str">
        <f ca="1">IFERROR(__xludf.DUMMYFUNCTION("""COMPUTED_VALUE"""),"Presentación artística")</f>
        <v>Presentación artística</v>
      </c>
      <c r="V51" s="30" t="str">
        <f ca="1">IFERROR(__xludf.DUMMYFUNCTION("""COMPUTED_VALUE"""),"Ninguna")</f>
        <v>Ninguna</v>
      </c>
      <c r="W51" s="30" t="str">
        <f ca="1">IFERROR(__xludf.DUMMYFUNCTION("""COMPUTED_VALUE"""),"Presencial")</f>
        <v>Presencial</v>
      </c>
      <c r="X51" s="30" t="str">
        <f ca="1">IFERROR(__xludf.DUMMYFUNCTION("""COMPUTED_VALUE"""),"Espacio a Cargo de la Secretaría")</f>
        <v>Espacio a Cargo de la Secretaría</v>
      </c>
      <c r="Y51" s="30" t="str">
        <f ca="1">IFERROR(__xludf.DUMMYFUNCTION("""COMPUTED_VALUE"""),"2")</f>
        <v>2</v>
      </c>
      <c r="Z51" s="30"/>
      <c r="AA51" s="30"/>
      <c r="AB51" s="30" t="b">
        <f ca="1">IFERROR(__xludf.DUMMYFUNCTION("""COMPUTED_VALUE"""),FALSE)</f>
        <v>0</v>
      </c>
      <c r="AC51" s="30"/>
      <c r="AD51" s="30" t="b">
        <f ca="1">IFERROR(__xludf.DUMMYFUNCTION("""COMPUTED_VALUE"""),FALSE)</f>
        <v>0</v>
      </c>
      <c r="AE51" s="30"/>
      <c r="AF51" s="30" t="b">
        <f ca="1">IFERROR(__xludf.DUMMYFUNCTION("""COMPUTED_VALUE"""),FALSE)</f>
        <v>0</v>
      </c>
      <c r="AG51" s="30"/>
      <c r="AH51" s="30" t="str">
        <f ca="1">IFERROR(__xludf.DUMMYFUNCTION("""COMPUTED_VALUE"""),"Sin costo")</f>
        <v>Sin costo</v>
      </c>
      <c r="AI51" s="30"/>
      <c r="AJ51" s="30"/>
      <c r="AK51" s="30"/>
      <c r="AL51" s="30" t="str">
        <f ca="1">IFERROR(__xludf.DUMMYFUNCTION("""COMPUTED_VALUE"""),"ccardonav@guanajuato.gob.mx")</f>
        <v>ccardonav@guanajuato.gob.mx</v>
      </c>
      <c r="AM51" s="30" t="str">
        <f ca="1">IFERROR(__xludf.DUMMYFUNCTION("""COMPUTED_VALUE"""),"Arraigo y empoderamiento cultural de comunidades.")</f>
        <v>Arraigo y empoderamiento cultural de comunidades.</v>
      </c>
      <c r="AN51" s="30" t="str">
        <f ca="1">IFERROR(__xludf.DUMMYFUNCTION("""COMPUTED_VALUE"""),"1 Tranquilidad")</f>
        <v>1 Tranquilidad</v>
      </c>
      <c r="AO51" s="30" t="str">
        <f ca="1">IFERROR(__xludf.DUMMYFUNCTION("""COMPUTED_VALUE"""),"1.2 Fortalecer prevención del delito")</f>
        <v>1.2 Fortalecer prevención del delito</v>
      </c>
      <c r="AP51" s="30" t="str">
        <f ca="1">IFERROR(__xludf.DUMMYFUNCTION("""COMPUTED_VALUE"""),"1.2.2 Fortalecimiento del tejido social")</f>
        <v>1.2.2 Fortalecimiento del tejido social</v>
      </c>
      <c r="AQ51" s="30" t="str">
        <f ca="1">IFERROR(__xludf.DUMMYFUNCTION("""COMPUTED_VALUE"""),"1.2.3.4 Promover una cultura de paz desde las expresiones artísticas y culturales")</f>
        <v>1.2.3.4 Promover una cultura de paz desde las expresiones artísticas y culturales</v>
      </c>
      <c r="AR51" s="30" t="str">
        <f ca="1">IFERROR(__xludf.DUMMYFUNCTION("""COMPUTED_VALUE"""),"Cooperación")</f>
        <v>Cooperación</v>
      </c>
      <c r="AS51" s="30"/>
      <c r="AT51" s="30" t="str">
        <f ca="1">IFERROR(__xludf.DUMMYFUNCTION("""COMPUTED_VALUE"""),"Fortalecimiento de la participación ciudadana y la mediación cultural")</f>
        <v>Fortalecimiento de la participación ciudadana y la mediación cultural</v>
      </c>
      <c r="AU51" s="30" t="str">
        <f ca="1">IFERROR(__xludf.DUMMYFUNCTION("""COMPUTED_VALUE"""),"Impulso a la ampliación de la oferta cultural en los territorios.")</f>
        <v>Impulso a la ampliación de la oferta cultural en los territorios.</v>
      </c>
      <c r="AV5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 s="30" t="str">
        <f ca="1">IFERROR(__xludf.DUMMYFUNCTION("""COMPUTED_VALUE"""),"Incrementar en 25% la oferta cultural realizada en los municipios.")</f>
        <v>Incrementar en 25% la oferta cultural realizada en los municipios.</v>
      </c>
      <c r="AX51" s="30" t="str">
        <f ca="1">IFERROR(__xludf.DUMMYFUNCTION("""COMPUTED_VALUE"""),"Presentación artística")</f>
        <v>Presentación artística</v>
      </c>
      <c r="AY51" s="30" t="str">
        <f ca="1">IFERROR(__xludf.DUMMYFUNCTION("""COMPUTED_VALUE"""),"Formación")</f>
        <v>Formación</v>
      </c>
      <c r="AZ51" s="30" t="str">
        <f ca="1">IFERROR(__xludf.DUMMYFUNCTION("""COMPUTED_VALUE"""),"Formación")</f>
        <v>Formación</v>
      </c>
      <c r="BA51" s="30"/>
      <c r="BB51" s="30"/>
      <c r="BC51" s="30">
        <f ca="1">IFERROR(__xludf.DUMMYFUNCTION("""COMPUTED_VALUE"""),0)</f>
        <v>0</v>
      </c>
      <c r="BD51" s="30"/>
      <c r="BE51" s="30"/>
      <c r="BF51" s="30" t="b">
        <f ca="1">IFERROR(__xludf.DUMMYFUNCTION("""COMPUTED_VALUE"""),FALSE)</f>
        <v>0</v>
      </c>
      <c r="BG51" s="30"/>
      <c r="BH51" s="30"/>
      <c r="BI51" s="30"/>
      <c r="BJ51" s="30"/>
      <c r="BK51" s="30"/>
      <c r="BL51" s="30" t="str">
        <f ca="1">IFERROR(__xludf.DUMMYFUNCTION("""COMPUTED_VALUE"""),"Vinculacion")</f>
        <v>Vinculacion</v>
      </c>
      <c r="BM51" s="30" t="str">
        <f ca="1">IFERROR(__xludf.DUMMYFUNCTION("""COMPUTED_VALUE"""),"Sí")</f>
        <v>Sí</v>
      </c>
      <c r="BN51" s="30"/>
      <c r="BO51" s="30" t="str">
        <f ca="1">IFERROR(__xludf.DUMMYFUNCTION("""COMPUTED_VALUE"""),"332249d0")</f>
        <v>332249d0</v>
      </c>
      <c r="BP51" s="29" t="str">
        <f ca="1">IFERROR(__xludf.DUMMYFUNCTION("""COMPUTED_VALUE"""),"Guanajuato")</f>
        <v>Guanajuato</v>
      </c>
      <c r="BQ51" s="30" t="str">
        <f ca="1">IFERROR(__xludf.DUMMYFUNCTION("""COMPUTED_VALUE"""),"Urbano")</f>
        <v>Urbano</v>
      </c>
      <c r="BR51" s="30">
        <f ca="1">IFERROR(__xludf.DUMMYFUNCTION("""COMPUTED_VALUE"""),49)</f>
        <v>49</v>
      </c>
      <c r="BS51" s="30" t="str">
        <f ca="1">IFERROR(__xludf.DUMMYFUNCTION("""COMPUTED_VALUE"""),"Guanajuato")</f>
        <v>Guanajuato</v>
      </c>
      <c r="BT51" s="30"/>
      <c r="BU51" s="30" t="str">
        <f ca="1">IFERROR(__xludf.DUMMYFUNCTION("""COMPUTED_VALUE"""),"Si")</f>
        <v>Si</v>
      </c>
      <c r="BV51" s="30" t="str">
        <f ca="1">IFERROR(__xludf.DUMMYFUNCTION("""COMPUTED_VALUE"""),"Si")</f>
        <v>Si</v>
      </c>
      <c r="BW51" s="30">
        <f ca="1">IFERROR(__xludf.DUMMYFUNCTION("""COMPUTED_VALUE"""),5)</f>
        <v>5</v>
      </c>
      <c r="BX51" s="30">
        <f ca="1">IFERROR(__xludf.DUMMYFUNCTION("""COMPUTED_VALUE"""),5)</f>
        <v>5</v>
      </c>
      <c r="BY51" s="30">
        <f ca="1">IFERROR(__xludf.DUMMYFUNCTION("""COMPUTED_VALUE"""),0)</f>
        <v>0</v>
      </c>
      <c r="BZ51" s="30" t="str">
        <f ca="1">IFERROR(__xludf.DUMMYFUNCTION("""COMPUTED_VALUE"""),"Guanajuato")</f>
        <v>Guanajuato</v>
      </c>
      <c r="CA51" s="30" t="str">
        <f ca="1">IFERROR(__xludf.DUMMYFUNCTION("""COMPUTED_VALUE"""),"No")</f>
        <v>No</v>
      </c>
      <c r="CB51" s="30" t="str">
        <f ca="1">IFERROR(__xludf.DUMMYFUNCTION("""COMPUTED_VALUE"""),"No")</f>
        <v>No</v>
      </c>
      <c r="CC51" s="30" t="str">
        <f ca="1">IFERROR(__xludf.DUMMYFUNCTION("""COMPUTED_VALUE"""),"49a42d92")</f>
        <v>49a42d92</v>
      </c>
      <c r="CD51" s="29" t="str">
        <f ca="1">IFERROR(__xludf.DUMMYFUNCTION("""COMPUTED_VALUE"""),"Adultos (30 a 59 años)")</f>
        <v>Adultos (30 a 59 años)</v>
      </c>
      <c r="CE51" s="30" t="str">
        <f ca="1">IFERROR(__xludf.DUMMYFUNCTION("""COMPUTED_VALUE"""),"Dato global")</f>
        <v>Dato global</v>
      </c>
      <c r="CF51" s="30" t="str">
        <f ca="1">IFERROR(__xludf.DUMMYFUNCTION("""COMPUTED_VALUE"""),"Ninguno (Población General)")</f>
        <v>Ninguno (Población General)</v>
      </c>
      <c r="CG51" s="30">
        <f ca="1">IFERROR(__xludf.DUMMYFUNCTION("""COMPUTED_VALUE"""),115)</f>
        <v>115</v>
      </c>
      <c r="CI51" s="30" t="str">
        <f ca="1">IFERROR(__xludf.DUMMYFUNCTION("""COMPUTED_VALUE"""),"d47bdb92")</f>
        <v>d47bdb92</v>
      </c>
      <c r="CJ51" s="29" t="str">
        <f ca="1">IFERROR(__xludf.DUMMYFUNCTION("""COMPUTED_VALUE"""),"Regitro_Evidencia_Files_/d47bdb92.Archivo_Evidencia.205004.zip")</f>
        <v>Regitro_Evidencia_Files_/d47bdb92.Archivo_Evidencia.205004.zip</v>
      </c>
      <c r="CK51" s="30" t="str">
        <f ca="1">IFERROR(__xludf.DUMMYFUNCTION("""COMPUTED_VALUE"""),"Carpeta")</f>
        <v>Carpeta</v>
      </c>
      <c r="CL51" s="30"/>
      <c r="CM51" s="30" t="str">
        <f ca="1">IFERROR(__xludf.DUMMYFUNCTION("""COMPUTED_VALUE"""),"Guanajuato")</f>
        <v>Guanajuato</v>
      </c>
      <c r="CN51" s="32" t="e">
        <f ca="1"/>
        <v>#NAME?</v>
      </c>
      <c r="CO51" s="32" t="e">
        <f ca="1"/>
        <v>#NAME?</v>
      </c>
      <c r="CP51" s="32" t="e">
        <f ca="1"/>
        <v>#NAME?</v>
      </c>
      <c r="CQ51" s="32" t="e">
        <f ca="1"/>
        <v>#NAME?</v>
      </c>
      <c r="CR51" s="30" t="e">
        <f ca="1"/>
        <v>#NAME?</v>
      </c>
      <c r="CS51" s="30" t="str">
        <f ca="1">IFERROR(__xludf.DUMMYFUNCTION("""COMPUTED_VALUE"""),"Ninguno (Población General)")</f>
        <v>Ninguno (Población General)</v>
      </c>
    </row>
    <row r="52" spans="1:97" ht="15.5">
      <c r="A52" s="29" t="str">
        <f ca="1">IFERROR(__xludf.DUMMYFUNCTION("""COMPUTED_VALUE"""),"ACT-SCUZ80082")</f>
        <v>ACT-SCUZ80082</v>
      </c>
      <c r="B52" s="30" t="str">
        <f ca="1">IFERROR(__xludf.DUMMYFUNCTION("""COMPUTED_VALUE"""),"SC-260619-103736")</f>
        <v>SC-260619-103736</v>
      </c>
      <c r="C52" s="62">
        <f ca="1">IFERROR(__xludf.DUMMYFUNCTION("""COMPUTED_VALUE"""),46192.4427777777)</f>
        <v>46192.442777777702</v>
      </c>
      <c r="D52" s="30">
        <f ca="1">IFERROR(__xludf.DUMMYFUNCTION("""COMPUTED_VALUE"""),92)</f>
        <v>92</v>
      </c>
      <c r="E52" s="30" t="str">
        <f ca="1">IFERROR(__xludf.DUMMYFUNCTION("""COMPUTED_VALUE"""),"PB3572")</f>
        <v>PB3572</v>
      </c>
      <c r="F5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 s="30" t="str">
        <f ca="1">IFERROR(__xludf.DUMMYFUNCTION("""COMPUTED_VALUE"""),"SUBSECRETARÍA DE DESARROLLO Y PROMOCIÓN ARTÍSTICA Y CULTURAL")</f>
        <v>SUBSECRETARÍA DE DESARROLLO Y PROMOCIÓN ARTÍSTICA Y CULTURAL</v>
      </c>
      <c r="I52" s="34" t="str">
        <f ca="1">IFERROR(__xludf.DUMMYFUNCTION("""COMPUTED_VALUE"""),"DIRECCIÓN GENERAL DE MUSEOS, ARTES VISUALES Y EXPOSICIONES")</f>
        <v>DIRECCIÓN GENERAL DE MUSEOS, ARTES VISUALES Y EXPOSICIONES</v>
      </c>
      <c r="J52" s="30" t="str">
        <f ca="1">IFERROR(__xludf.DUMMYFUNCTION("""COMPUTED_VALUE"""),"Número de Actividades realizadas")</f>
        <v>Número de Actividades realizadas</v>
      </c>
      <c r="K52" s="30">
        <f ca="1">IFERROR(__xludf.DUMMYFUNCTION("""COMPUTED_VALUE"""),800)</f>
        <v>800</v>
      </c>
      <c r="L52" s="30" t="str">
        <f ca="1">IFERROR(__xludf.DUMMYFUNCTION("""COMPUTED_VALUE"""),"Artística")</f>
        <v>Artística</v>
      </c>
      <c r="M52" s="30" t="str">
        <f ca="1">IFERROR(__xludf.DUMMYFUNCTION("""COMPUTED_VALUE"""),"Inauguración de la exposición: Manuel Álvarez Bravo, los años decisivos")</f>
        <v>Inauguración de la exposición: Manuel Álvarez Bravo, los años decisivos</v>
      </c>
      <c r="N52" s="30" t="str">
        <f ca="1">IFERROR(__xludf.DUMMYFUNCTION("""COMPUTED_VALUE"""),"Manuel Álvarez Bravo (CDMX, 1902-2002), uno de los fundadores de la fotografía moderna mundial, es considerado de los máximos representantes de la fotografía latinoamericana del siglo XX.")</f>
        <v>Manuel Álvarez Bravo (CDMX, 1902-2002), uno de los fundadores de la fotografía moderna mundial, es considerado de los máximos representantes de la fotografía latinoamericana del siglo XX.</v>
      </c>
      <c r="O52" s="30" t="str">
        <f ca="1">IFERROR(__xludf.DUMMYFUNCTION("""COMPUTED_VALUE"""),"Única")</f>
        <v>Única</v>
      </c>
      <c r="P52" s="33">
        <f ca="1">IFERROR(__xludf.DUMMYFUNCTION("""COMPUTED_VALUE"""),46142)</f>
        <v>46142</v>
      </c>
      <c r="Q52" s="64">
        <f ca="1">IFERROR(__xludf.DUMMYFUNCTION("""COMPUTED_VALUE"""),46142)</f>
        <v>46142</v>
      </c>
      <c r="R52" s="30">
        <f ca="1">IFERROR(__xludf.DUMMYFUNCTION("""COMPUTED_VALUE"""),1)</f>
        <v>1</v>
      </c>
      <c r="S52" s="30" t="str">
        <f ca="1">IFERROR(__xludf.DUMMYFUNCTION("""COMPUTED_VALUE"""),"Artes visuales")</f>
        <v>Artes visuales</v>
      </c>
      <c r="T52" s="30" t="str">
        <f ca="1">IFERROR(__xludf.DUMMYFUNCTION("""COMPUTED_VALUE"""),"Fotografía")</f>
        <v>Fotografía</v>
      </c>
      <c r="U52" s="30" t="str">
        <f ca="1">IFERROR(__xludf.DUMMYFUNCTION("""COMPUTED_VALUE"""),"Exposición")</f>
        <v>Exposición</v>
      </c>
      <c r="V52" s="30" t="str">
        <f ca="1">IFERROR(__xludf.DUMMYFUNCTION("""COMPUTED_VALUE"""),"Ninguna")</f>
        <v>Ninguna</v>
      </c>
      <c r="W52" s="30" t="str">
        <f ca="1">IFERROR(__xludf.DUMMYFUNCTION("""COMPUTED_VALUE"""),"Presencial")</f>
        <v>Presencial</v>
      </c>
      <c r="X52" s="30" t="str">
        <f ca="1">IFERROR(__xludf.DUMMYFUNCTION("""COMPUTED_VALUE"""),"Espacio a Cargo de la Secretaría")</f>
        <v>Espacio a Cargo de la Secretaría</v>
      </c>
      <c r="Y52" s="30" t="str">
        <f ca="1">IFERROR(__xludf.DUMMYFUNCTION("""COMPUTED_VALUE"""),"6")</f>
        <v>6</v>
      </c>
      <c r="Z52" s="30"/>
      <c r="AA52" s="30"/>
      <c r="AB52" s="30" t="b">
        <f ca="1">IFERROR(__xludf.DUMMYFUNCTION("""COMPUTED_VALUE"""),FALSE)</f>
        <v>0</v>
      </c>
      <c r="AC52" s="30"/>
      <c r="AD52" s="30" t="b">
        <f ca="1">IFERROR(__xludf.DUMMYFUNCTION("""COMPUTED_VALUE"""),TRUE)</f>
        <v>1</v>
      </c>
      <c r="AE52" s="30">
        <f ca="1">IFERROR(__xludf.DUMMYFUNCTION("""COMPUTED_VALUE"""),1)</f>
        <v>1</v>
      </c>
      <c r="AF52" s="30" t="b">
        <f ca="1">IFERROR(__xludf.DUMMYFUNCTION("""COMPUTED_VALUE"""),FALSE)</f>
        <v>0</v>
      </c>
      <c r="AG52" s="30"/>
      <c r="AH52" s="30" t="str">
        <f ca="1">IFERROR(__xludf.DUMMYFUNCTION("""COMPUTED_VALUE"""),"Sin costo")</f>
        <v>Sin costo</v>
      </c>
      <c r="AI52" s="30"/>
      <c r="AJ52" s="30"/>
      <c r="AK52" s="30"/>
      <c r="AL52" s="30" t="str">
        <f ca="1">IFERROR(__xludf.DUMMYFUNCTION("""COMPUTED_VALUE"""),"ccardonav@guanajuato.gob.mx")</f>
        <v>ccardonav@guanajuato.gob.mx</v>
      </c>
      <c r="AM52" s="30" t="str">
        <f ca="1">IFERROR(__xludf.DUMMYFUNCTION("""COMPUTED_VALUE"""),"Creación de la Secretaría de Cultura, con una visión social de la política cultural.")</f>
        <v>Creación de la Secretaría de Cultura, con una visión social de la política cultural.</v>
      </c>
      <c r="AN52" s="30" t="str">
        <f ca="1">IFERROR(__xludf.DUMMYFUNCTION("""COMPUTED_VALUE"""),"1 Tranquilidad")</f>
        <v>1 Tranquilidad</v>
      </c>
      <c r="AO52" s="30" t="str">
        <f ca="1">IFERROR(__xludf.DUMMYFUNCTION("""COMPUTED_VALUE"""),"1.2 Fortalecer prevención del delito")</f>
        <v>1.2 Fortalecer prevención del delito</v>
      </c>
      <c r="AP52" s="30" t="str">
        <f ca="1">IFERROR(__xludf.DUMMYFUNCTION("""COMPUTED_VALUE"""),"1.2.2 Fortalecimiento del tejido social")</f>
        <v>1.2.2 Fortalecimiento del tejido social</v>
      </c>
      <c r="AQ52" s="30" t="str">
        <f ca="1">IFERROR(__xludf.DUMMYFUNCTION("""COMPUTED_VALUE"""),"1.2.3.4 Promover una cultura de paz desde las expresiones artísticas y culturales")</f>
        <v>1.2.3.4 Promover una cultura de paz desde las expresiones artísticas y culturales</v>
      </c>
      <c r="AR52" s="30" t="str">
        <f ca="1">IFERROR(__xludf.DUMMYFUNCTION("""COMPUTED_VALUE"""),"Cooperación")</f>
        <v>Cooperación</v>
      </c>
      <c r="AS52" s="30"/>
      <c r="AT52" s="30" t="str">
        <f ca="1">IFERROR(__xludf.DUMMYFUNCTION("""COMPUTED_VALUE"""),"Fortalecimiento de la participación ciudadana y la mediación cultural")</f>
        <v>Fortalecimiento de la participación ciudadana y la mediación cultural</v>
      </c>
      <c r="AU52" s="30" t="str">
        <f ca="1">IFERROR(__xludf.DUMMYFUNCTION("""COMPUTED_VALUE"""),"Impulso a la ampliación de la oferta cultural en los territorios.")</f>
        <v>Impulso a la ampliación de la oferta cultural en los territorios.</v>
      </c>
      <c r="AV5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 s="30" t="str">
        <f ca="1">IFERROR(__xludf.DUMMYFUNCTION("""COMPUTED_VALUE"""),"Incrementar en 25% la oferta cultural realizada en los municipios.")</f>
        <v>Incrementar en 25% la oferta cultural realizada en los municipios.</v>
      </c>
      <c r="AX52" s="30" t="str">
        <f ca="1">IFERROR(__xludf.DUMMYFUNCTION("""COMPUTED_VALUE"""),"Exposición")</f>
        <v>Exposición</v>
      </c>
      <c r="AY52" s="30" t="str">
        <f ca="1">IFERROR(__xludf.DUMMYFUNCTION("""COMPUTED_VALUE"""),"Formación")</f>
        <v>Formación</v>
      </c>
      <c r="AZ52" s="30" t="str">
        <f ca="1">IFERROR(__xludf.DUMMYFUNCTION("""COMPUTED_VALUE"""),"Formación")</f>
        <v>Formación</v>
      </c>
      <c r="BA52" s="30"/>
      <c r="BB52" s="30"/>
      <c r="BC52" s="30">
        <f ca="1">IFERROR(__xludf.DUMMYFUNCTION("""COMPUTED_VALUE"""),0)</f>
        <v>0</v>
      </c>
      <c r="BD52" s="30"/>
      <c r="BE52" s="30"/>
      <c r="BF52" s="30" t="b">
        <f ca="1">IFERROR(__xludf.DUMMYFUNCTION("""COMPUTED_VALUE"""),FALSE)</f>
        <v>0</v>
      </c>
      <c r="BG52" s="30"/>
      <c r="BH52" s="30"/>
      <c r="BI52" s="30"/>
      <c r="BJ52" s="30"/>
      <c r="BK52" s="30"/>
      <c r="BL52" s="30"/>
      <c r="BM52" s="30" t="str">
        <f ca="1">IFERROR(__xludf.DUMMYFUNCTION("""COMPUTED_VALUE"""),"No")</f>
        <v>No</v>
      </c>
      <c r="BN52" s="30"/>
      <c r="BO52" s="30" t="str">
        <f ca="1">IFERROR(__xludf.DUMMYFUNCTION("""COMPUTED_VALUE"""),"9d74ad68")</f>
        <v>9d74ad68</v>
      </c>
      <c r="BP52" s="29" t="str">
        <f ca="1">IFERROR(__xludf.DUMMYFUNCTION("""COMPUTED_VALUE"""),"Guanajuato")</f>
        <v>Guanajuato</v>
      </c>
      <c r="BQ52" s="30" t="str">
        <f ca="1">IFERROR(__xludf.DUMMYFUNCTION("""COMPUTED_VALUE"""),"Urbano")</f>
        <v>Urbano</v>
      </c>
      <c r="BR52" s="30">
        <f ca="1">IFERROR(__xludf.DUMMYFUNCTION("""COMPUTED_VALUE"""),49)</f>
        <v>49</v>
      </c>
      <c r="BS52" s="30" t="str">
        <f ca="1">IFERROR(__xludf.DUMMYFUNCTION("""COMPUTED_VALUE"""),"Guanajuato")</f>
        <v>Guanajuato</v>
      </c>
      <c r="BT52" s="30"/>
      <c r="BU52" s="30" t="str">
        <f ca="1">IFERROR(__xludf.DUMMYFUNCTION("""COMPUTED_VALUE"""),"Si")</f>
        <v>Si</v>
      </c>
      <c r="BV52" s="30" t="str">
        <f ca="1">IFERROR(__xludf.DUMMYFUNCTION("""COMPUTED_VALUE"""),"Si")</f>
        <v>Si</v>
      </c>
      <c r="BW52" s="30">
        <f ca="1">IFERROR(__xludf.DUMMYFUNCTION("""COMPUTED_VALUE"""),8)</f>
        <v>8</v>
      </c>
      <c r="BX52" s="30">
        <f ca="1">IFERROR(__xludf.DUMMYFUNCTION("""COMPUTED_VALUE"""),8)</f>
        <v>8</v>
      </c>
      <c r="BY52" s="30">
        <f ca="1">IFERROR(__xludf.DUMMYFUNCTION("""COMPUTED_VALUE"""),0)</f>
        <v>0</v>
      </c>
      <c r="BZ52" s="30" t="str">
        <f ca="1">IFERROR(__xludf.DUMMYFUNCTION("""COMPUTED_VALUE"""),"Guanajuato")</f>
        <v>Guanajuato</v>
      </c>
      <c r="CA52" s="30" t="str">
        <f ca="1">IFERROR(__xludf.DUMMYFUNCTION("""COMPUTED_VALUE"""),"No")</f>
        <v>No</v>
      </c>
      <c r="CB52" s="30" t="str">
        <f ca="1">IFERROR(__xludf.DUMMYFUNCTION("""COMPUTED_VALUE"""),"No")</f>
        <v>No</v>
      </c>
      <c r="CC52" s="30" t="str">
        <f ca="1">IFERROR(__xludf.DUMMYFUNCTION("""COMPUTED_VALUE"""),"bfd83393")</f>
        <v>bfd83393</v>
      </c>
      <c r="CD52" s="29" t="str">
        <f ca="1">IFERROR(__xludf.DUMMYFUNCTION("""COMPUTED_VALUE"""),"Primera Infancia (0 a 5 años)")</f>
        <v>Primera Infancia (0 a 5 años)</v>
      </c>
      <c r="CE52" s="30" t="str">
        <f ca="1">IFERROR(__xludf.DUMMYFUNCTION("""COMPUTED_VALUE"""),"Dato global")</f>
        <v>Dato global</v>
      </c>
      <c r="CF52" s="30" t="str">
        <f ca="1">IFERROR(__xludf.DUMMYFUNCTION("""COMPUTED_VALUE"""),"NNA (Niñas, Niños y Adolescentes)")</f>
        <v>NNA (Niñas, Niños y Adolescentes)</v>
      </c>
      <c r="CG52" s="30">
        <f ca="1">IFERROR(__xludf.DUMMYFUNCTION("""COMPUTED_VALUE"""),20)</f>
        <v>20</v>
      </c>
      <c r="CI52" s="30" t="str">
        <f ca="1">IFERROR(__xludf.DUMMYFUNCTION("""COMPUTED_VALUE"""),"32d24c9b")</f>
        <v>32d24c9b</v>
      </c>
      <c r="CJ52" s="29" t="str">
        <f ca="1">IFERROR(__xludf.DUMMYFUNCTION("""COMPUTED_VALUE"""),"Regitro_Evidencia_Files_/32d24c9b.Archivo_Evidencia.211107.zip")</f>
        <v>Regitro_Evidencia_Files_/32d24c9b.Archivo_Evidencia.211107.zip</v>
      </c>
      <c r="CK52" s="30" t="str">
        <f ca="1">IFERROR(__xludf.DUMMYFUNCTION("""COMPUTED_VALUE"""),"Carpeta")</f>
        <v>Carpeta</v>
      </c>
      <c r="CL52" s="30"/>
      <c r="CM52" s="30" t="str">
        <f ca="1">IFERROR(__xludf.DUMMYFUNCTION("""COMPUTED_VALUE"""),"Guanajuato")</f>
        <v>Guanajuato</v>
      </c>
      <c r="CN52" s="32" t="e">
        <f ca="1"/>
        <v>#NAME?</v>
      </c>
      <c r="CO52" s="32" t="e">
        <f ca="1"/>
        <v>#NAME?</v>
      </c>
      <c r="CP52" s="32" t="e">
        <f ca="1"/>
        <v>#NAME?</v>
      </c>
      <c r="CQ52" s="32" t="e">
        <f ca="1"/>
        <v>#NAME?</v>
      </c>
      <c r="CR52" s="30" t="e">
        <f ca="1"/>
        <v>#NAME?</v>
      </c>
      <c r="CS52" s="30" t="str">
        <f ca="1">IFERROR(__xludf.DUMMYFUNCTION("""COMPUTED_VALUE"""),"Ninguno (Población General)")</f>
        <v>Ninguno (Población General)</v>
      </c>
    </row>
    <row r="53" spans="1:97" ht="15.5">
      <c r="A53" s="29" t="str">
        <f ca="1">IFERROR(__xludf.DUMMYFUNCTION("""COMPUTED_VALUE"""),"ACT-SCRE54917")</f>
        <v>ACT-SCRE54917</v>
      </c>
      <c r="B53" s="30" t="str">
        <f ca="1">IFERROR(__xludf.DUMMYFUNCTION("""COMPUTED_VALUE"""),"SC-260619-110512")</f>
        <v>SC-260619-110512</v>
      </c>
      <c r="C53" s="62">
        <f ca="1">IFERROR(__xludf.DUMMYFUNCTION("""COMPUTED_VALUE"""),46192.4619444444)</f>
        <v>46192.461944444403</v>
      </c>
      <c r="D53" s="30">
        <f ca="1">IFERROR(__xludf.DUMMYFUNCTION("""COMPUTED_VALUE"""),92)</f>
        <v>92</v>
      </c>
      <c r="E53" s="30" t="str">
        <f ca="1">IFERROR(__xludf.DUMMYFUNCTION("""COMPUTED_VALUE"""),"PB3572")</f>
        <v>PB3572</v>
      </c>
      <c r="F5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3" s="30" t="str">
        <f ca="1">IFERROR(__xludf.DUMMYFUNCTION("""COMPUTED_VALUE"""),"SUBSECRETARÍA DE DESARROLLO Y PROMOCIÓN ARTÍSTICA Y CULTURAL")</f>
        <v>SUBSECRETARÍA DE DESARROLLO Y PROMOCIÓN ARTÍSTICA Y CULTURAL</v>
      </c>
      <c r="I53" s="34" t="str">
        <f ca="1">IFERROR(__xludf.DUMMYFUNCTION("""COMPUTED_VALUE"""),"DIRECCIÓN GENERAL DE MUSEOS, ARTES VISUALES Y EXPOSICIONES")</f>
        <v>DIRECCIÓN GENERAL DE MUSEOS, ARTES VISUALES Y EXPOSICIONES</v>
      </c>
      <c r="J53" s="30" t="str">
        <f ca="1">IFERROR(__xludf.DUMMYFUNCTION("""COMPUTED_VALUE"""),"Número de Actividades realizadas")</f>
        <v>Número de Actividades realizadas</v>
      </c>
      <c r="K53" s="30">
        <f ca="1">IFERROR(__xludf.DUMMYFUNCTION("""COMPUTED_VALUE"""),800)</f>
        <v>800</v>
      </c>
      <c r="L53" s="30" t="str">
        <f ca="1">IFERROR(__xludf.DUMMYFUNCTION("""COMPUTED_VALUE"""),"Artística")</f>
        <v>Artística</v>
      </c>
      <c r="M53" s="30" t="str">
        <f ca="1">IFERROR(__xludf.DUMMYFUNCTION("""COMPUTED_VALUE"""),"Visita guiada libre")</f>
        <v>Visita guiada libre</v>
      </c>
      <c r="N53" s="30" t="str">
        <f ca="1">IFERROR(__xludf.DUMMYFUNCTION("""COMPUTED_VALUE"""),"Recorrido guiado por el museo")</f>
        <v>Recorrido guiado por el museo</v>
      </c>
      <c r="O53" s="30" t="str">
        <f ca="1">IFERROR(__xludf.DUMMYFUNCTION("""COMPUTED_VALUE"""),"Única")</f>
        <v>Única</v>
      </c>
      <c r="P53" s="33">
        <f ca="1">IFERROR(__xludf.DUMMYFUNCTION("""COMPUTED_VALUE"""),46119)</f>
        <v>46119</v>
      </c>
      <c r="Q53" s="64">
        <f ca="1">IFERROR(__xludf.DUMMYFUNCTION("""COMPUTED_VALUE"""),46119)</f>
        <v>46119</v>
      </c>
      <c r="R53" s="30">
        <f ca="1">IFERROR(__xludf.DUMMYFUNCTION("""COMPUTED_VALUE"""),1)</f>
        <v>1</v>
      </c>
      <c r="S53" s="30" t="str">
        <f ca="1">IFERROR(__xludf.DUMMYFUNCTION("""COMPUTED_VALUE"""),"Cultura comunitaria")</f>
        <v>Cultura comunitaria</v>
      </c>
      <c r="T53" s="30" t="str">
        <f ca="1">IFERROR(__xludf.DUMMYFUNCTION("""COMPUTED_VALUE"""),"Formación comunitaria")</f>
        <v>Formación comunitaria</v>
      </c>
      <c r="U53" s="30" t="str">
        <f ca="1">IFERROR(__xludf.DUMMYFUNCTION("""COMPUTED_VALUE"""),"Visitas guiadas")</f>
        <v>Visitas guiadas</v>
      </c>
      <c r="V53" s="30" t="str">
        <f ca="1">IFERROR(__xludf.DUMMYFUNCTION("""COMPUTED_VALUE"""),"Ninguna")</f>
        <v>Ninguna</v>
      </c>
      <c r="W53" s="30" t="str">
        <f ca="1">IFERROR(__xludf.DUMMYFUNCTION("""COMPUTED_VALUE"""),"Presencial")</f>
        <v>Presencial</v>
      </c>
      <c r="X53" s="30" t="str">
        <f ca="1">IFERROR(__xludf.DUMMYFUNCTION("""COMPUTED_VALUE"""),"Espacio a Cargo de la Secretaría")</f>
        <v>Espacio a Cargo de la Secretaría</v>
      </c>
      <c r="Y53" s="30" t="str">
        <f ca="1">IFERROR(__xludf.DUMMYFUNCTION("""COMPUTED_VALUE"""),"1")</f>
        <v>1</v>
      </c>
      <c r="Z53" s="30"/>
      <c r="AA53" s="30"/>
      <c r="AB53" s="30" t="b">
        <f ca="1">IFERROR(__xludf.DUMMYFUNCTION("""COMPUTED_VALUE"""),FALSE)</f>
        <v>0</v>
      </c>
      <c r="AC53" s="30"/>
      <c r="AD53" s="30" t="b">
        <f ca="1">IFERROR(__xludf.DUMMYFUNCTION("""COMPUTED_VALUE"""),FALSE)</f>
        <v>0</v>
      </c>
      <c r="AE53" s="30"/>
      <c r="AF53" s="30" t="b">
        <f ca="1">IFERROR(__xludf.DUMMYFUNCTION("""COMPUTED_VALUE"""),FALSE)</f>
        <v>0</v>
      </c>
      <c r="AG53" s="30"/>
      <c r="AH53" s="30" t="str">
        <f ca="1">IFERROR(__xludf.DUMMYFUNCTION("""COMPUTED_VALUE"""),"Sin costo")</f>
        <v>Sin costo</v>
      </c>
      <c r="AI53" s="30"/>
      <c r="AJ53" s="30"/>
      <c r="AK53" s="30"/>
      <c r="AL53" s="30" t="str">
        <f ca="1">IFERROR(__xludf.DUMMYFUNCTION("""COMPUTED_VALUE"""),"ccardonav@guanajuato.gob.mx")</f>
        <v>ccardonav@guanajuato.gob.mx</v>
      </c>
      <c r="AM53" s="30" t="str">
        <f ca="1">IFERROR(__xludf.DUMMYFUNCTION("""COMPUTED_VALUE"""),"Arraigo y empoderamiento cultural de comunidades.")</f>
        <v>Arraigo y empoderamiento cultural de comunidades.</v>
      </c>
      <c r="AN53" s="30" t="str">
        <f ca="1">IFERROR(__xludf.DUMMYFUNCTION("""COMPUTED_VALUE"""),"1 Tranquilidad")</f>
        <v>1 Tranquilidad</v>
      </c>
      <c r="AO53" s="30" t="str">
        <f ca="1">IFERROR(__xludf.DUMMYFUNCTION("""COMPUTED_VALUE"""),"1.2 Fortalecer prevención del delito")</f>
        <v>1.2 Fortalecer prevención del delito</v>
      </c>
      <c r="AP53" s="30" t="str">
        <f ca="1">IFERROR(__xludf.DUMMYFUNCTION("""COMPUTED_VALUE"""),"1.2.2 Fortalecimiento del tejido social")</f>
        <v>1.2.2 Fortalecimiento del tejido social</v>
      </c>
      <c r="AQ53" s="30" t="str">
        <f ca="1">IFERROR(__xludf.DUMMYFUNCTION("""COMPUTED_VALUE"""),"1.2.3.4 Promover una cultura de paz desde las expresiones artísticas y culturales")</f>
        <v>1.2.3.4 Promover una cultura de paz desde las expresiones artísticas y culturales</v>
      </c>
      <c r="AR53" s="30" t="str">
        <f ca="1">IFERROR(__xludf.DUMMYFUNCTION("""COMPUTED_VALUE"""),"Cooperación")</f>
        <v>Cooperación</v>
      </c>
      <c r="AS53" s="30"/>
      <c r="AT53" s="30" t="str">
        <f ca="1">IFERROR(__xludf.DUMMYFUNCTION("""COMPUTED_VALUE"""),"Fortalecimiento de la participación ciudadana y la mediación cultural")</f>
        <v>Fortalecimiento de la participación ciudadana y la mediación cultural</v>
      </c>
      <c r="AU53" s="30" t="str">
        <f ca="1">IFERROR(__xludf.DUMMYFUNCTION("""COMPUTED_VALUE"""),"Impulso a la ampliación de la oferta cultural en los territorios.")</f>
        <v>Impulso a la ampliación de la oferta cultural en los territorios.</v>
      </c>
      <c r="AV5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3" s="30" t="str">
        <f ca="1">IFERROR(__xludf.DUMMYFUNCTION("""COMPUTED_VALUE"""),"Incrementar en 25% la oferta cultural realizada en los municipios.")</f>
        <v>Incrementar en 25% la oferta cultural realizada en los municipios.</v>
      </c>
      <c r="AX53" s="30" t="str">
        <f ca="1">IFERROR(__xludf.DUMMYFUNCTION("""COMPUTED_VALUE"""),"Visitas guiadas")</f>
        <v>Visitas guiadas</v>
      </c>
      <c r="AY53" s="30" t="str">
        <f ca="1">IFERROR(__xludf.DUMMYFUNCTION("""COMPUTED_VALUE"""),"Formación")</f>
        <v>Formación</v>
      </c>
      <c r="AZ53" s="30" t="str">
        <f ca="1">IFERROR(__xludf.DUMMYFUNCTION("""COMPUTED_VALUE"""),"Formación")</f>
        <v>Formación</v>
      </c>
      <c r="BA53" s="30"/>
      <c r="BB53" s="30"/>
      <c r="BC53" s="30">
        <f ca="1">IFERROR(__xludf.DUMMYFUNCTION("""COMPUTED_VALUE"""),0)</f>
        <v>0</v>
      </c>
      <c r="BD53" s="30"/>
      <c r="BE53" s="30"/>
      <c r="BF53" s="30" t="b">
        <f ca="1">IFERROR(__xludf.DUMMYFUNCTION("""COMPUTED_VALUE"""),FALSE)</f>
        <v>0</v>
      </c>
      <c r="BG53" s="30"/>
      <c r="BH53" s="30"/>
      <c r="BI53" s="30"/>
      <c r="BJ53" s="30"/>
      <c r="BK53" s="30"/>
      <c r="BL53" s="30"/>
      <c r="BM53" s="30" t="str">
        <f ca="1">IFERROR(__xludf.DUMMYFUNCTION("""COMPUTED_VALUE"""),"No")</f>
        <v>No</v>
      </c>
      <c r="BN53" s="30"/>
      <c r="BO53" s="30" t="str">
        <f ca="1">IFERROR(__xludf.DUMMYFUNCTION("""COMPUTED_VALUE"""),"ccfb0687")</f>
        <v>ccfb0687</v>
      </c>
      <c r="BP53" s="29" t="str">
        <f ca="1">IFERROR(__xludf.DUMMYFUNCTION("""COMPUTED_VALUE"""),"Guanajuato")</f>
        <v>Guanajuato</v>
      </c>
      <c r="BQ53" s="30" t="str">
        <f ca="1">IFERROR(__xludf.DUMMYFUNCTION("""COMPUTED_VALUE"""),"Urbano")</f>
        <v>Urbano</v>
      </c>
      <c r="BR53" s="30">
        <f ca="1">IFERROR(__xludf.DUMMYFUNCTION("""COMPUTED_VALUE"""),49)</f>
        <v>49</v>
      </c>
      <c r="BS53" s="30" t="str">
        <f ca="1">IFERROR(__xludf.DUMMYFUNCTION("""COMPUTED_VALUE"""),"Guanajuato")</f>
        <v>Guanajuato</v>
      </c>
      <c r="BT53" s="30"/>
      <c r="BU53" s="30" t="str">
        <f ca="1">IFERROR(__xludf.DUMMYFUNCTION("""COMPUTED_VALUE"""),"Si")</f>
        <v>Si</v>
      </c>
      <c r="BV53" s="30" t="str">
        <f ca="1">IFERROR(__xludf.DUMMYFUNCTION("""COMPUTED_VALUE"""),"Si")</f>
        <v>Si</v>
      </c>
      <c r="BW53" s="30">
        <f ca="1">IFERROR(__xludf.DUMMYFUNCTION("""COMPUTED_VALUE"""),2)</f>
        <v>2</v>
      </c>
      <c r="BX53" s="30">
        <f ca="1">IFERROR(__xludf.DUMMYFUNCTION("""COMPUTED_VALUE"""),2)</f>
        <v>2</v>
      </c>
      <c r="BY53" s="30">
        <f ca="1">IFERROR(__xludf.DUMMYFUNCTION("""COMPUTED_VALUE"""),0)</f>
        <v>0</v>
      </c>
      <c r="BZ53" s="30" t="str">
        <f ca="1">IFERROR(__xludf.DUMMYFUNCTION("""COMPUTED_VALUE"""),"Guanajuato")</f>
        <v>Guanajuato</v>
      </c>
      <c r="CA53" s="30" t="str">
        <f ca="1">IFERROR(__xludf.DUMMYFUNCTION("""COMPUTED_VALUE"""),"No")</f>
        <v>No</v>
      </c>
      <c r="CB53" s="30" t="str">
        <f ca="1">IFERROR(__xludf.DUMMYFUNCTION("""COMPUTED_VALUE"""),"No")</f>
        <v>No</v>
      </c>
      <c r="CC53" s="30" t="str">
        <f ca="1">IFERROR(__xludf.DUMMYFUNCTION("""COMPUTED_VALUE"""),"9eb4f709")</f>
        <v>9eb4f709</v>
      </c>
      <c r="CD53" s="29" t="str">
        <f ca="1">IFERROR(__xludf.DUMMYFUNCTION("""COMPUTED_VALUE"""),"Niñas y Niños (6 a 12 años)")</f>
        <v>Niñas y Niños (6 a 12 años)</v>
      </c>
      <c r="CE53" s="30" t="str">
        <f ca="1">IFERROR(__xludf.DUMMYFUNCTION("""COMPUTED_VALUE"""),"Dato global")</f>
        <v>Dato global</v>
      </c>
      <c r="CF53" s="30" t="str">
        <f ca="1">IFERROR(__xludf.DUMMYFUNCTION("""COMPUTED_VALUE"""),"NNA (Niñas, Niños y Adolescentes)")</f>
        <v>NNA (Niñas, Niños y Adolescentes)</v>
      </c>
      <c r="CG53" s="30">
        <f ca="1">IFERROR(__xludf.DUMMYFUNCTION("""COMPUTED_VALUE"""),30)</f>
        <v>30</v>
      </c>
      <c r="CI53" s="30" t="str">
        <f ca="1">IFERROR(__xludf.DUMMYFUNCTION("""COMPUTED_VALUE"""),"1ccf044f")</f>
        <v>1ccf044f</v>
      </c>
      <c r="CJ53" s="29" t="str">
        <f ca="1">IFERROR(__xludf.DUMMYFUNCTION("""COMPUTED_VALUE"""),"Regitro_Evidencia_Files_/1ccf044f.Archivo_Evidencia.161149.zip")</f>
        <v>Regitro_Evidencia_Files_/1ccf044f.Archivo_Evidencia.161149.zip</v>
      </c>
      <c r="CK53" s="30" t="str">
        <f ca="1">IFERROR(__xludf.DUMMYFUNCTION("""COMPUTED_VALUE"""),"Carpeta")</f>
        <v>Carpeta</v>
      </c>
      <c r="CL53" s="30"/>
      <c r="CM53" s="30" t="str">
        <f ca="1">IFERROR(__xludf.DUMMYFUNCTION("""COMPUTED_VALUE"""),"Guanajuato")</f>
        <v>Guanajuato</v>
      </c>
      <c r="CN53" s="32" t="e">
        <f ca="1"/>
        <v>#NAME?</v>
      </c>
      <c r="CO53" s="32" t="e">
        <f ca="1"/>
        <v>#NAME?</v>
      </c>
      <c r="CP53" s="32" t="e">
        <f ca="1"/>
        <v>#NAME?</v>
      </c>
      <c r="CQ53" s="32" t="e">
        <f ca="1"/>
        <v>#NAME?</v>
      </c>
      <c r="CR53" s="30" t="e">
        <f ca="1"/>
        <v>#NAME?</v>
      </c>
      <c r="CS53" s="30" t="str">
        <f ca="1">IFERROR(__xludf.DUMMYFUNCTION("""COMPUTED_VALUE"""),"Ninguno (Población General)")</f>
        <v>Ninguno (Población General)</v>
      </c>
    </row>
    <row r="54" spans="1:97" ht="15.5">
      <c r="A54" s="29" t="str">
        <f ca="1">IFERROR(__xludf.DUMMYFUNCTION("""COMPUTED_VALUE"""),"ACT-SCJS28324")</f>
        <v>ACT-SCJS28324</v>
      </c>
      <c r="B54" s="30" t="str">
        <f ca="1">IFERROR(__xludf.DUMMYFUNCTION("""COMPUTED_VALUE"""),"SC-260619-111135")</f>
        <v>SC-260619-111135</v>
      </c>
      <c r="C54" s="62">
        <f ca="1">IFERROR(__xludf.DUMMYFUNCTION("""COMPUTED_VALUE"""),46192.4663773148)</f>
        <v>46192.466377314799</v>
      </c>
      <c r="D54" s="30">
        <f ca="1">IFERROR(__xludf.DUMMYFUNCTION("""COMPUTED_VALUE"""),92)</f>
        <v>92</v>
      </c>
      <c r="E54" s="30" t="str">
        <f ca="1">IFERROR(__xludf.DUMMYFUNCTION("""COMPUTED_VALUE"""),"PB3572")</f>
        <v>PB3572</v>
      </c>
      <c r="F5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4" s="30" t="str">
        <f ca="1">IFERROR(__xludf.DUMMYFUNCTION("""COMPUTED_VALUE"""),"SUBSECRETARÍA DE DESARROLLO Y PROMOCIÓN ARTÍSTICA Y CULTURAL")</f>
        <v>SUBSECRETARÍA DE DESARROLLO Y PROMOCIÓN ARTÍSTICA Y CULTURAL</v>
      </c>
      <c r="I54" s="34" t="str">
        <f ca="1">IFERROR(__xludf.DUMMYFUNCTION("""COMPUTED_VALUE"""),"DIRECCIÓN GENERAL DE MUSEOS, ARTES VISUALES Y EXPOSICIONES")</f>
        <v>DIRECCIÓN GENERAL DE MUSEOS, ARTES VISUALES Y EXPOSICIONES</v>
      </c>
      <c r="J54" s="30" t="str">
        <f ca="1">IFERROR(__xludf.DUMMYFUNCTION("""COMPUTED_VALUE"""),"Número de Actividades realizadas")</f>
        <v>Número de Actividades realizadas</v>
      </c>
      <c r="K54" s="30">
        <f ca="1">IFERROR(__xludf.DUMMYFUNCTION("""COMPUTED_VALUE"""),800)</f>
        <v>800</v>
      </c>
      <c r="L54" s="30" t="str">
        <f ca="1">IFERROR(__xludf.DUMMYFUNCTION("""COMPUTED_VALUE"""),"Artística")</f>
        <v>Artística</v>
      </c>
      <c r="M54" s="30" t="str">
        <f ca="1">IFERROR(__xludf.DUMMYFUNCTION("""COMPUTED_VALUE"""),"Visita guiada libre")</f>
        <v>Visita guiada libre</v>
      </c>
      <c r="N54" s="30" t="str">
        <f ca="1">IFERROR(__xludf.DUMMYFUNCTION("""COMPUTED_VALUE"""),"Recorrido guiado por el museo")</f>
        <v>Recorrido guiado por el museo</v>
      </c>
      <c r="O54" s="30" t="str">
        <f ca="1">IFERROR(__xludf.DUMMYFUNCTION("""COMPUTED_VALUE"""),"Única")</f>
        <v>Única</v>
      </c>
      <c r="P54" s="33">
        <f ca="1">IFERROR(__xludf.DUMMYFUNCTION("""COMPUTED_VALUE"""),46121)</f>
        <v>46121</v>
      </c>
      <c r="Q54" s="64">
        <f ca="1">IFERROR(__xludf.DUMMYFUNCTION("""COMPUTED_VALUE"""),46121)</f>
        <v>46121</v>
      </c>
      <c r="R54" s="30">
        <f ca="1">IFERROR(__xludf.DUMMYFUNCTION("""COMPUTED_VALUE"""),1)</f>
        <v>1</v>
      </c>
      <c r="S54" s="30" t="str">
        <f ca="1">IFERROR(__xludf.DUMMYFUNCTION("""COMPUTED_VALUE"""),"Cultura comunitaria")</f>
        <v>Cultura comunitaria</v>
      </c>
      <c r="T54" s="30" t="str">
        <f ca="1">IFERROR(__xludf.DUMMYFUNCTION("""COMPUTED_VALUE"""),"Formación comunitaria")</f>
        <v>Formación comunitaria</v>
      </c>
      <c r="U54" s="30" t="str">
        <f ca="1">IFERROR(__xludf.DUMMYFUNCTION("""COMPUTED_VALUE"""),"Visitas guiadas")</f>
        <v>Visitas guiadas</v>
      </c>
      <c r="V54" s="30" t="str">
        <f ca="1">IFERROR(__xludf.DUMMYFUNCTION("""COMPUTED_VALUE"""),"Ninguna")</f>
        <v>Ninguna</v>
      </c>
      <c r="W54" s="30" t="str">
        <f ca="1">IFERROR(__xludf.DUMMYFUNCTION("""COMPUTED_VALUE"""),"Presencial")</f>
        <v>Presencial</v>
      </c>
      <c r="X54" s="30" t="str">
        <f ca="1">IFERROR(__xludf.DUMMYFUNCTION("""COMPUTED_VALUE"""),"Espacio a Cargo de la Secretaría")</f>
        <v>Espacio a Cargo de la Secretaría</v>
      </c>
      <c r="Y54" s="30" t="str">
        <f ca="1">IFERROR(__xludf.DUMMYFUNCTION("""COMPUTED_VALUE"""),"1")</f>
        <v>1</v>
      </c>
      <c r="Z54" s="30"/>
      <c r="AA54" s="30"/>
      <c r="AB54" s="30" t="b">
        <f ca="1">IFERROR(__xludf.DUMMYFUNCTION("""COMPUTED_VALUE"""),FALSE)</f>
        <v>0</v>
      </c>
      <c r="AC54" s="30"/>
      <c r="AD54" s="30" t="b">
        <f ca="1">IFERROR(__xludf.DUMMYFUNCTION("""COMPUTED_VALUE"""),FALSE)</f>
        <v>0</v>
      </c>
      <c r="AE54" s="30"/>
      <c r="AF54" s="30" t="b">
        <f ca="1">IFERROR(__xludf.DUMMYFUNCTION("""COMPUTED_VALUE"""),FALSE)</f>
        <v>0</v>
      </c>
      <c r="AG54" s="30"/>
      <c r="AH54" s="30" t="str">
        <f ca="1">IFERROR(__xludf.DUMMYFUNCTION("""COMPUTED_VALUE"""),"Sin costo")</f>
        <v>Sin costo</v>
      </c>
      <c r="AI54" s="30"/>
      <c r="AJ54" s="30"/>
      <c r="AK54" s="30"/>
      <c r="AL54" s="30" t="str">
        <f ca="1">IFERROR(__xludf.DUMMYFUNCTION("""COMPUTED_VALUE"""),"ccardonav@guanajuato.gob.mx")</f>
        <v>ccardonav@guanajuato.gob.mx</v>
      </c>
      <c r="AM54" s="30" t="str">
        <f ca="1">IFERROR(__xludf.DUMMYFUNCTION("""COMPUTED_VALUE"""),"Arraigo y empoderamiento cultural de comunidades.")</f>
        <v>Arraigo y empoderamiento cultural de comunidades.</v>
      </c>
      <c r="AN54" s="30" t="str">
        <f ca="1">IFERROR(__xludf.DUMMYFUNCTION("""COMPUTED_VALUE"""),"1 Tranquilidad")</f>
        <v>1 Tranquilidad</v>
      </c>
      <c r="AO54" s="30" t="str">
        <f ca="1">IFERROR(__xludf.DUMMYFUNCTION("""COMPUTED_VALUE"""),"1.2 Fortalecer prevención del delito")</f>
        <v>1.2 Fortalecer prevención del delito</v>
      </c>
      <c r="AP54" s="30" t="str">
        <f ca="1">IFERROR(__xludf.DUMMYFUNCTION("""COMPUTED_VALUE"""),"1.2.2 Fortalecimiento del tejido social")</f>
        <v>1.2.2 Fortalecimiento del tejido social</v>
      </c>
      <c r="AQ54" s="30" t="str">
        <f ca="1">IFERROR(__xludf.DUMMYFUNCTION("""COMPUTED_VALUE"""),"1.2.3.4 Promover una cultura de paz desde las expresiones artísticas y culturales")</f>
        <v>1.2.3.4 Promover una cultura de paz desde las expresiones artísticas y culturales</v>
      </c>
      <c r="AR54" s="30" t="str">
        <f ca="1">IFERROR(__xludf.DUMMYFUNCTION("""COMPUTED_VALUE"""),"Cooperación")</f>
        <v>Cooperación</v>
      </c>
      <c r="AS54" s="30"/>
      <c r="AT54" s="30" t="str">
        <f ca="1">IFERROR(__xludf.DUMMYFUNCTION("""COMPUTED_VALUE"""),"Fortalecimiento de la participación ciudadana y la mediación cultural")</f>
        <v>Fortalecimiento de la participación ciudadana y la mediación cultural</v>
      </c>
      <c r="AU54" s="30" t="str">
        <f ca="1">IFERROR(__xludf.DUMMYFUNCTION("""COMPUTED_VALUE"""),"Impulso a la ampliación de la oferta cultural en los territorios.")</f>
        <v>Impulso a la ampliación de la oferta cultural en los territorios.</v>
      </c>
      <c r="AV5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4" s="30" t="str">
        <f ca="1">IFERROR(__xludf.DUMMYFUNCTION("""COMPUTED_VALUE"""),"Incrementar en 25% la oferta cultural realizada en los municipios.")</f>
        <v>Incrementar en 25% la oferta cultural realizada en los municipios.</v>
      </c>
      <c r="AX54" s="30" t="str">
        <f ca="1">IFERROR(__xludf.DUMMYFUNCTION("""COMPUTED_VALUE"""),"Visitas guiadas")</f>
        <v>Visitas guiadas</v>
      </c>
      <c r="AY54" s="30" t="str">
        <f ca="1">IFERROR(__xludf.DUMMYFUNCTION("""COMPUTED_VALUE"""),"Formación")</f>
        <v>Formación</v>
      </c>
      <c r="AZ54" s="30" t="str">
        <f ca="1">IFERROR(__xludf.DUMMYFUNCTION("""COMPUTED_VALUE"""),"Formación")</f>
        <v>Formación</v>
      </c>
      <c r="BA54" s="30"/>
      <c r="BB54" s="30"/>
      <c r="BC54" s="30">
        <f ca="1">IFERROR(__xludf.DUMMYFUNCTION("""COMPUTED_VALUE"""),0)</f>
        <v>0</v>
      </c>
      <c r="BD54" s="30"/>
      <c r="BE54" s="30"/>
      <c r="BF54" s="30" t="b">
        <f ca="1">IFERROR(__xludf.DUMMYFUNCTION("""COMPUTED_VALUE"""),FALSE)</f>
        <v>0</v>
      </c>
      <c r="BG54" s="30"/>
      <c r="BH54" s="30"/>
      <c r="BI54" s="30"/>
      <c r="BJ54" s="30"/>
      <c r="BK54" s="30"/>
      <c r="BL54" s="30"/>
      <c r="BM54" s="30" t="str">
        <f ca="1">IFERROR(__xludf.DUMMYFUNCTION("""COMPUTED_VALUE"""),"No")</f>
        <v>No</v>
      </c>
      <c r="BN54" s="30"/>
      <c r="BO54" s="30" t="str">
        <f ca="1">IFERROR(__xludf.DUMMYFUNCTION("""COMPUTED_VALUE"""),"731ebe28")</f>
        <v>731ebe28</v>
      </c>
      <c r="BP54" s="29" t="str">
        <f ca="1">IFERROR(__xludf.DUMMYFUNCTION("""COMPUTED_VALUE"""),"Guanajuato")</f>
        <v>Guanajuato</v>
      </c>
      <c r="BQ54" s="30" t="str">
        <f ca="1">IFERROR(__xludf.DUMMYFUNCTION("""COMPUTED_VALUE"""),"Urbano")</f>
        <v>Urbano</v>
      </c>
      <c r="BR54" s="30">
        <f ca="1">IFERROR(__xludf.DUMMYFUNCTION("""COMPUTED_VALUE"""),49)</f>
        <v>49</v>
      </c>
      <c r="BS54" s="30" t="str">
        <f ca="1">IFERROR(__xludf.DUMMYFUNCTION("""COMPUTED_VALUE"""),"Guanajuato")</f>
        <v>Guanajuato</v>
      </c>
      <c r="BT54" s="30"/>
      <c r="BU54" s="30" t="str">
        <f ca="1">IFERROR(__xludf.DUMMYFUNCTION("""COMPUTED_VALUE"""),"Si")</f>
        <v>Si</v>
      </c>
      <c r="BV54" s="30" t="str">
        <f ca="1">IFERROR(__xludf.DUMMYFUNCTION("""COMPUTED_VALUE"""),"Si")</f>
        <v>Si</v>
      </c>
      <c r="BW54" s="30">
        <f ca="1">IFERROR(__xludf.DUMMYFUNCTION("""COMPUTED_VALUE"""),42)</f>
        <v>42</v>
      </c>
      <c r="BX54" s="30">
        <f ca="1">IFERROR(__xludf.DUMMYFUNCTION("""COMPUTED_VALUE"""),42)</f>
        <v>42</v>
      </c>
      <c r="BY54" s="30">
        <f ca="1">IFERROR(__xludf.DUMMYFUNCTION("""COMPUTED_VALUE"""),0)</f>
        <v>0</v>
      </c>
      <c r="BZ54" s="30" t="str">
        <f ca="1">IFERROR(__xludf.DUMMYFUNCTION("""COMPUTED_VALUE"""),"Guanajuato")</f>
        <v>Guanajuato</v>
      </c>
      <c r="CA54" s="30" t="str">
        <f ca="1">IFERROR(__xludf.DUMMYFUNCTION("""COMPUTED_VALUE"""),"No")</f>
        <v>No</v>
      </c>
      <c r="CB54" s="30" t="str">
        <f ca="1">IFERROR(__xludf.DUMMYFUNCTION("""COMPUTED_VALUE"""),"No")</f>
        <v>No</v>
      </c>
      <c r="CC54" s="30" t="str">
        <f ca="1">IFERROR(__xludf.DUMMYFUNCTION("""COMPUTED_VALUE"""),"e3699cf1")</f>
        <v>e3699cf1</v>
      </c>
      <c r="CD54" s="29" t="str">
        <f ca="1">IFERROR(__xludf.DUMMYFUNCTION("""COMPUTED_VALUE"""),"Adolescentes (13 a 17 años)")</f>
        <v>Adolescentes (13 a 17 años)</v>
      </c>
      <c r="CE54" s="30" t="str">
        <f ca="1">IFERROR(__xludf.DUMMYFUNCTION("""COMPUTED_VALUE"""),"Dato global")</f>
        <v>Dato global</v>
      </c>
      <c r="CF54" s="30" t="str">
        <f ca="1">IFERROR(__xludf.DUMMYFUNCTION("""COMPUTED_VALUE"""),"NNA (Niñas, Niños y Adolescentes)")</f>
        <v>NNA (Niñas, Niños y Adolescentes)</v>
      </c>
      <c r="CG54" s="30">
        <f ca="1">IFERROR(__xludf.DUMMYFUNCTION("""COMPUTED_VALUE"""),25)</f>
        <v>25</v>
      </c>
      <c r="CI54" s="30" t="str">
        <f ca="1">IFERROR(__xludf.DUMMYFUNCTION("""COMPUTED_VALUE"""),"e2ea99ad")</f>
        <v>e2ea99ad</v>
      </c>
      <c r="CJ54" s="29" t="str">
        <f ca="1">IFERROR(__xludf.DUMMYFUNCTION("""COMPUTED_VALUE"""),"Regitro_Evidencia_Files_/e2ea99ad.Archivo_Evidencia.161642.zip")</f>
        <v>Regitro_Evidencia_Files_/e2ea99ad.Archivo_Evidencia.161642.zip</v>
      </c>
      <c r="CK54" s="30" t="str">
        <f ca="1">IFERROR(__xludf.DUMMYFUNCTION("""COMPUTED_VALUE"""),"Carpeta")</f>
        <v>Carpeta</v>
      </c>
      <c r="CL54" s="30"/>
      <c r="CM54" s="30" t="str">
        <f ca="1">IFERROR(__xludf.DUMMYFUNCTION("""COMPUTED_VALUE"""),"Guanajuato")</f>
        <v>Guanajuato</v>
      </c>
      <c r="CN54" s="32" t="e">
        <f ca="1"/>
        <v>#NAME?</v>
      </c>
      <c r="CO54" s="32" t="e">
        <f ca="1"/>
        <v>#NAME?</v>
      </c>
      <c r="CP54" s="32" t="e">
        <f ca="1"/>
        <v>#NAME?</v>
      </c>
      <c r="CQ54" s="32" t="e">
        <f ca="1"/>
        <v>#NAME?</v>
      </c>
      <c r="CR54" s="30" t="e">
        <f ca="1"/>
        <v>#NAME?</v>
      </c>
      <c r="CS54" s="30" t="str">
        <f ca="1">IFERROR(__xludf.DUMMYFUNCTION("""COMPUTED_VALUE"""),"Ninguno (Población General)")</f>
        <v>Ninguno (Población General)</v>
      </c>
    </row>
    <row r="55" spans="1:97" ht="15.5">
      <c r="A55" s="29" t="str">
        <f ca="1">IFERROR(__xludf.DUMMYFUNCTION("""COMPUTED_VALUE"""),"ACT-SCQW88822")</f>
        <v>ACT-SCQW88822</v>
      </c>
      <c r="B55" s="30" t="str">
        <f ca="1">IFERROR(__xludf.DUMMYFUNCTION("""COMPUTED_VALUE"""),"SC-260619-114120")</f>
        <v>SC-260619-114120</v>
      </c>
      <c r="C55" s="62">
        <f ca="1">IFERROR(__xludf.DUMMYFUNCTION("""COMPUTED_VALUE"""),46192.487037037)</f>
        <v>46192.487037036997</v>
      </c>
      <c r="D55" s="30">
        <f ca="1">IFERROR(__xludf.DUMMYFUNCTION("""COMPUTED_VALUE"""),92)</f>
        <v>92</v>
      </c>
      <c r="E55" s="30" t="str">
        <f ca="1">IFERROR(__xludf.DUMMYFUNCTION("""COMPUTED_VALUE"""),"PB3572")</f>
        <v>PB3572</v>
      </c>
      <c r="F5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5" s="30" t="str">
        <f ca="1">IFERROR(__xludf.DUMMYFUNCTION("""COMPUTED_VALUE"""),"SUBSECRETARÍA DE DESARROLLO Y PROMOCIÓN ARTÍSTICA Y CULTURAL")</f>
        <v>SUBSECRETARÍA DE DESARROLLO Y PROMOCIÓN ARTÍSTICA Y CULTURAL</v>
      </c>
      <c r="I55" s="34" t="str">
        <f ca="1">IFERROR(__xludf.DUMMYFUNCTION("""COMPUTED_VALUE"""),"DIRECCIÓN GENERAL DE MUSEOS, ARTES VISUALES Y EXPOSICIONES")</f>
        <v>DIRECCIÓN GENERAL DE MUSEOS, ARTES VISUALES Y EXPOSICIONES</v>
      </c>
      <c r="J55" s="30" t="str">
        <f ca="1">IFERROR(__xludf.DUMMYFUNCTION("""COMPUTED_VALUE"""),"Número de Actividades realizadas")</f>
        <v>Número de Actividades realizadas</v>
      </c>
      <c r="K55" s="30">
        <f ca="1">IFERROR(__xludf.DUMMYFUNCTION("""COMPUTED_VALUE"""),800)</f>
        <v>800</v>
      </c>
      <c r="L55" s="30" t="str">
        <f ca="1">IFERROR(__xludf.DUMMYFUNCTION("""COMPUTED_VALUE"""),"Artística")</f>
        <v>Artística</v>
      </c>
      <c r="M55" s="30" t="str">
        <f ca="1">IFERROR(__xludf.DUMMYFUNCTION("""COMPUTED_VALUE"""),"Visita guiada libre")</f>
        <v>Visita guiada libre</v>
      </c>
      <c r="N55" s="30" t="str">
        <f ca="1">IFERROR(__xludf.DUMMYFUNCTION("""COMPUTED_VALUE"""),"Recorrido guiado por el museo")</f>
        <v>Recorrido guiado por el museo</v>
      </c>
      <c r="O55" s="30" t="str">
        <f ca="1">IFERROR(__xludf.DUMMYFUNCTION("""COMPUTED_VALUE"""),"Única")</f>
        <v>Única</v>
      </c>
      <c r="P55" s="33">
        <f ca="1">IFERROR(__xludf.DUMMYFUNCTION("""COMPUTED_VALUE"""),46122)</f>
        <v>46122</v>
      </c>
      <c r="Q55" s="64">
        <f ca="1">IFERROR(__xludf.DUMMYFUNCTION("""COMPUTED_VALUE"""),46122)</f>
        <v>46122</v>
      </c>
      <c r="R55" s="30">
        <f ca="1">IFERROR(__xludf.DUMMYFUNCTION("""COMPUTED_VALUE"""),1)</f>
        <v>1</v>
      </c>
      <c r="S55" s="30" t="str">
        <f ca="1">IFERROR(__xludf.DUMMYFUNCTION("""COMPUTED_VALUE"""),"Cultura comunitaria")</f>
        <v>Cultura comunitaria</v>
      </c>
      <c r="T55" s="30" t="str">
        <f ca="1">IFERROR(__xludf.DUMMYFUNCTION("""COMPUTED_VALUE"""),"Formación comunitaria")</f>
        <v>Formación comunitaria</v>
      </c>
      <c r="U55" s="30" t="str">
        <f ca="1">IFERROR(__xludf.DUMMYFUNCTION("""COMPUTED_VALUE"""),"Visitas guiadas")</f>
        <v>Visitas guiadas</v>
      </c>
      <c r="V55" s="30" t="str">
        <f ca="1">IFERROR(__xludf.DUMMYFUNCTION("""COMPUTED_VALUE"""),"Ninguna")</f>
        <v>Ninguna</v>
      </c>
      <c r="W55" s="30" t="str">
        <f ca="1">IFERROR(__xludf.DUMMYFUNCTION("""COMPUTED_VALUE"""),"Presencial")</f>
        <v>Presencial</v>
      </c>
      <c r="X55" s="30" t="str">
        <f ca="1">IFERROR(__xludf.DUMMYFUNCTION("""COMPUTED_VALUE"""),"Espacio a Cargo de la Secretaría")</f>
        <v>Espacio a Cargo de la Secretaría</v>
      </c>
      <c r="Y55" s="30" t="str">
        <f ca="1">IFERROR(__xludf.DUMMYFUNCTION("""COMPUTED_VALUE"""),"1")</f>
        <v>1</v>
      </c>
      <c r="Z55" s="30"/>
      <c r="AA55" s="30"/>
      <c r="AB55" s="30" t="b">
        <f ca="1">IFERROR(__xludf.DUMMYFUNCTION("""COMPUTED_VALUE"""),FALSE)</f>
        <v>0</v>
      </c>
      <c r="AC55" s="30"/>
      <c r="AD55" s="30" t="b">
        <f ca="1">IFERROR(__xludf.DUMMYFUNCTION("""COMPUTED_VALUE"""),FALSE)</f>
        <v>0</v>
      </c>
      <c r="AE55" s="30"/>
      <c r="AF55" s="30" t="b">
        <f ca="1">IFERROR(__xludf.DUMMYFUNCTION("""COMPUTED_VALUE"""),FALSE)</f>
        <v>0</v>
      </c>
      <c r="AG55" s="30"/>
      <c r="AH55" s="30" t="str">
        <f ca="1">IFERROR(__xludf.DUMMYFUNCTION("""COMPUTED_VALUE"""),"Sin costo")</f>
        <v>Sin costo</v>
      </c>
      <c r="AI55" s="30"/>
      <c r="AJ55" s="30"/>
      <c r="AK55" s="30"/>
      <c r="AL55" s="30" t="str">
        <f ca="1">IFERROR(__xludf.DUMMYFUNCTION("""COMPUTED_VALUE"""),"ccardonav@guanajuato.gob.mx")</f>
        <v>ccardonav@guanajuato.gob.mx</v>
      </c>
      <c r="AM55" s="30" t="str">
        <f ca="1">IFERROR(__xludf.DUMMYFUNCTION("""COMPUTED_VALUE"""),"Arraigo y empoderamiento cultural de comunidades.")</f>
        <v>Arraigo y empoderamiento cultural de comunidades.</v>
      </c>
      <c r="AN55" s="30" t="str">
        <f ca="1">IFERROR(__xludf.DUMMYFUNCTION("""COMPUTED_VALUE"""),"2 Igualdad")</f>
        <v>2 Igualdad</v>
      </c>
      <c r="AO55" s="30" t="str">
        <f ca="1">IFERROR(__xludf.DUMMYFUNCTION("""COMPUTED_VALUE"""),"2.1 Protección de derechos humanos")</f>
        <v>2.1 Protección de derechos humanos</v>
      </c>
      <c r="AP55" s="30" t="str">
        <f ca="1">IFERROR(__xludf.DUMMYFUNCTION("""COMPUTED_VALUE"""),"2.1.3 Inclusión de personas con discapacidad")</f>
        <v>2.1.3 Inclusión de personas con discapacidad</v>
      </c>
      <c r="AQ55" s="30" t="str">
        <f ca="1">IFERROR(__xludf.DUMMYFUNCTION("""COMPUTED_VALUE"""),"2.1.3.2 Coordinar la incorporación progresiva de la accesibilidad universal")</f>
        <v>2.1.3.2 Coordinar la incorporación progresiva de la accesibilidad universal</v>
      </c>
      <c r="AR55" s="30" t="str">
        <f ca="1">IFERROR(__xludf.DUMMYFUNCTION("""COMPUTED_VALUE"""),"Cooperación")</f>
        <v>Cooperación</v>
      </c>
      <c r="AS55" s="30"/>
      <c r="AT55" s="30" t="str">
        <f ca="1">IFERROR(__xludf.DUMMYFUNCTION("""COMPUTED_VALUE"""),"Fortalecimiento de la participación ciudadana y la mediación cultural")</f>
        <v>Fortalecimiento de la participación ciudadana y la mediación cultural</v>
      </c>
      <c r="AU55" s="30" t="str">
        <f ca="1">IFERROR(__xludf.DUMMYFUNCTION("""COMPUTED_VALUE"""),"Impulso a la ampliación de la oferta cultural en los territorios.")</f>
        <v>Impulso a la ampliación de la oferta cultural en los territorios.</v>
      </c>
      <c r="AV5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5" s="30" t="str">
        <f ca="1">IFERROR(__xludf.DUMMYFUNCTION("""COMPUTED_VALUE"""),"Incrementar en 25% la oferta cultural realizada en los municipios.")</f>
        <v>Incrementar en 25% la oferta cultural realizada en los municipios.</v>
      </c>
      <c r="AX55" s="30" t="str">
        <f ca="1">IFERROR(__xludf.DUMMYFUNCTION("""COMPUTED_VALUE"""),"Visitas guiadas")</f>
        <v>Visitas guiadas</v>
      </c>
      <c r="AY55" s="30" t="str">
        <f ca="1">IFERROR(__xludf.DUMMYFUNCTION("""COMPUTED_VALUE"""),"Formación")</f>
        <v>Formación</v>
      </c>
      <c r="AZ55" s="30" t="str">
        <f ca="1">IFERROR(__xludf.DUMMYFUNCTION("""COMPUTED_VALUE"""),"Formación")</f>
        <v>Formación</v>
      </c>
      <c r="BA55" s="30"/>
      <c r="BB55" s="30"/>
      <c r="BC55" s="30">
        <f ca="1">IFERROR(__xludf.DUMMYFUNCTION("""COMPUTED_VALUE"""),0)</f>
        <v>0</v>
      </c>
      <c r="BD55" s="30"/>
      <c r="BE55" s="30"/>
      <c r="BF55" s="30" t="b">
        <f ca="1">IFERROR(__xludf.DUMMYFUNCTION("""COMPUTED_VALUE"""),FALSE)</f>
        <v>0</v>
      </c>
      <c r="BG55" s="30"/>
      <c r="BH55" s="30"/>
      <c r="BI55" s="30"/>
      <c r="BJ55" s="30"/>
      <c r="BK55" s="30"/>
      <c r="BL55" s="30"/>
      <c r="BM55" s="30" t="str">
        <f ca="1">IFERROR(__xludf.DUMMYFUNCTION("""COMPUTED_VALUE"""),"No")</f>
        <v>No</v>
      </c>
      <c r="BN55" s="30"/>
      <c r="BO55" s="30" t="str">
        <f ca="1">IFERROR(__xludf.DUMMYFUNCTION("""COMPUTED_VALUE"""),"67d2e2c5")</f>
        <v>67d2e2c5</v>
      </c>
      <c r="BP55" s="29" t="str">
        <f ca="1">IFERROR(__xludf.DUMMYFUNCTION("""COMPUTED_VALUE"""),"Guanajuato")</f>
        <v>Guanajuato</v>
      </c>
      <c r="BQ55" s="30" t="str">
        <f ca="1">IFERROR(__xludf.DUMMYFUNCTION("""COMPUTED_VALUE"""),"Urbano")</f>
        <v>Urbano</v>
      </c>
      <c r="BR55" s="30">
        <f ca="1">IFERROR(__xludf.DUMMYFUNCTION("""COMPUTED_VALUE"""),49)</f>
        <v>49</v>
      </c>
      <c r="BS55" s="30" t="str">
        <f ca="1">IFERROR(__xludf.DUMMYFUNCTION("""COMPUTED_VALUE"""),"Guanajuato")</f>
        <v>Guanajuato</v>
      </c>
      <c r="BT55" s="30"/>
      <c r="BU55" s="30" t="str">
        <f ca="1">IFERROR(__xludf.DUMMYFUNCTION("""COMPUTED_VALUE"""),"Si")</f>
        <v>Si</v>
      </c>
      <c r="BV55" s="30" t="str">
        <f ca="1">IFERROR(__xludf.DUMMYFUNCTION("""COMPUTED_VALUE"""),"Si")</f>
        <v>Si</v>
      </c>
      <c r="BW55" s="30">
        <f ca="1">IFERROR(__xludf.DUMMYFUNCTION("""COMPUTED_VALUE"""),15)</f>
        <v>15</v>
      </c>
      <c r="BX55" s="30">
        <f ca="1">IFERROR(__xludf.DUMMYFUNCTION("""COMPUTED_VALUE"""),15)</f>
        <v>15</v>
      </c>
      <c r="BY55" s="30">
        <f ca="1">IFERROR(__xludf.DUMMYFUNCTION("""COMPUTED_VALUE"""),0)</f>
        <v>0</v>
      </c>
      <c r="BZ55" s="30" t="str">
        <f ca="1">IFERROR(__xludf.DUMMYFUNCTION("""COMPUTED_VALUE"""),"Guanajuato")</f>
        <v>Guanajuato</v>
      </c>
      <c r="CA55" s="30" t="str">
        <f ca="1">IFERROR(__xludf.DUMMYFUNCTION("""COMPUTED_VALUE"""),"No")</f>
        <v>No</v>
      </c>
      <c r="CB55" s="30" t="str">
        <f ca="1">IFERROR(__xludf.DUMMYFUNCTION("""COMPUTED_VALUE"""),"No")</f>
        <v>No</v>
      </c>
      <c r="CC55" s="30" t="str">
        <f ca="1">IFERROR(__xludf.DUMMYFUNCTION("""COMPUTED_VALUE"""),"991db004")</f>
        <v>991db004</v>
      </c>
      <c r="CD55" s="29" t="str">
        <f ca="1">IFERROR(__xludf.DUMMYFUNCTION("""COMPUTED_VALUE"""),"Jóvenes (18 a 29 años)")</f>
        <v>Jóvenes (18 a 29 años)</v>
      </c>
      <c r="CE55" s="30" t="str">
        <f ca="1">IFERROR(__xludf.DUMMYFUNCTION("""COMPUTED_VALUE"""),"Dato global")</f>
        <v>Dato global</v>
      </c>
      <c r="CF55" s="30" t="str">
        <f ca="1">IFERROR(__xludf.DUMMYFUNCTION("""COMPUTED_VALUE"""),"Ninguno (Población General)")</f>
        <v>Ninguno (Población General)</v>
      </c>
      <c r="CG55" s="30">
        <f ca="1">IFERROR(__xludf.DUMMYFUNCTION("""COMPUTED_VALUE"""),50)</f>
        <v>50</v>
      </c>
      <c r="CI55" s="30" t="str">
        <f ca="1">IFERROR(__xludf.DUMMYFUNCTION("""COMPUTED_VALUE"""),"49bbec50")</f>
        <v>49bbec50</v>
      </c>
      <c r="CJ55" s="29" t="str">
        <f ca="1">IFERROR(__xludf.DUMMYFUNCTION("""COMPUTED_VALUE"""),"Regitro_Evidencia_Files_/49bbec50.Archivo_Evidencia.162555.zip")</f>
        <v>Regitro_Evidencia_Files_/49bbec50.Archivo_Evidencia.162555.zip</v>
      </c>
      <c r="CK55" s="30" t="str">
        <f ca="1">IFERROR(__xludf.DUMMYFUNCTION("""COMPUTED_VALUE"""),"Carpeta")</f>
        <v>Carpeta</v>
      </c>
      <c r="CL55" s="30"/>
      <c r="CM55" s="30" t="str">
        <f ca="1">IFERROR(__xludf.DUMMYFUNCTION("""COMPUTED_VALUE"""),"Guanajuato")</f>
        <v>Guanajuato</v>
      </c>
      <c r="CN55" s="32" t="e">
        <f ca="1"/>
        <v>#NAME?</v>
      </c>
      <c r="CO55" s="32" t="e">
        <f ca="1"/>
        <v>#NAME?</v>
      </c>
      <c r="CP55" s="32" t="e">
        <f ca="1"/>
        <v>#NAME?</v>
      </c>
      <c r="CQ55" s="32" t="e">
        <f ca="1"/>
        <v>#NAME?</v>
      </c>
      <c r="CR55" s="30" t="e">
        <f ca="1"/>
        <v>#NAME?</v>
      </c>
      <c r="CS55" s="30" t="str">
        <f ca="1">IFERROR(__xludf.DUMMYFUNCTION("""COMPUTED_VALUE"""),"Ninguno (Población General)")</f>
        <v>Ninguno (Población General)</v>
      </c>
    </row>
    <row r="56" spans="1:97" ht="15.5">
      <c r="A56" s="29" t="str">
        <f ca="1">IFERROR(__xludf.DUMMYFUNCTION("""COMPUTED_VALUE"""),"ACT-SCGF02574")</f>
        <v>ACT-SCGF02574</v>
      </c>
      <c r="B56" s="30" t="str">
        <f ca="1">IFERROR(__xludf.DUMMYFUNCTION("""COMPUTED_VALUE"""),"SC-260619-114648")</f>
        <v>SC-260619-114648</v>
      </c>
      <c r="C56" s="62">
        <f ca="1">IFERROR(__xludf.DUMMYFUNCTION("""COMPUTED_VALUE"""),46192.4908333333)</f>
        <v>46192.490833333301</v>
      </c>
      <c r="D56" s="30">
        <f ca="1">IFERROR(__xludf.DUMMYFUNCTION("""COMPUTED_VALUE"""),92)</f>
        <v>92</v>
      </c>
      <c r="E56" s="30" t="str">
        <f ca="1">IFERROR(__xludf.DUMMYFUNCTION("""COMPUTED_VALUE"""),"PB3572")</f>
        <v>PB3572</v>
      </c>
      <c r="F5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 s="30" t="str">
        <f ca="1">IFERROR(__xludf.DUMMYFUNCTION("""COMPUTED_VALUE"""),"SUBSECRETARÍA DE DESARROLLO Y PROMOCIÓN ARTÍSTICA Y CULTURAL")</f>
        <v>SUBSECRETARÍA DE DESARROLLO Y PROMOCIÓN ARTÍSTICA Y CULTURAL</v>
      </c>
      <c r="I56" s="34" t="str">
        <f ca="1">IFERROR(__xludf.DUMMYFUNCTION("""COMPUTED_VALUE"""),"DIRECCIÓN GENERAL DE MUSEOS, ARTES VISUALES Y EXPOSICIONES")</f>
        <v>DIRECCIÓN GENERAL DE MUSEOS, ARTES VISUALES Y EXPOSICIONES</v>
      </c>
      <c r="J56" s="30" t="str">
        <f ca="1">IFERROR(__xludf.DUMMYFUNCTION("""COMPUTED_VALUE"""),"Número de Actividades realizadas")</f>
        <v>Número de Actividades realizadas</v>
      </c>
      <c r="K56" s="30">
        <f ca="1">IFERROR(__xludf.DUMMYFUNCTION("""COMPUTED_VALUE"""),800)</f>
        <v>800</v>
      </c>
      <c r="L56" s="30" t="str">
        <f ca="1">IFERROR(__xludf.DUMMYFUNCTION("""COMPUTED_VALUE"""),"Artística")</f>
        <v>Artística</v>
      </c>
      <c r="M56" s="30" t="str">
        <f ca="1">IFERROR(__xludf.DUMMYFUNCTION("""COMPUTED_VALUE"""),"Visita guiada libre")</f>
        <v>Visita guiada libre</v>
      </c>
      <c r="N56" s="30" t="str">
        <f ca="1">IFERROR(__xludf.DUMMYFUNCTION("""COMPUTED_VALUE"""),"Recorrido guiado por el museo")</f>
        <v>Recorrido guiado por el museo</v>
      </c>
      <c r="O56" s="30" t="str">
        <f ca="1">IFERROR(__xludf.DUMMYFUNCTION("""COMPUTED_VALUE"""),"Única")</f>
        <v>Única</v>
      </c>
      <c r="P56" s="33">
        <f ca="1">IFERROR(__xludf.DUMMYFUNCTION("""COMPUTED_VALUE"""),46134)</f>
        <v>46134</v>
      </c>
      <c r="Q56" s="64">
        <f ca="1">IFERROR(__xludf.DUMMYFUNCTION("""COMPUTED_VALUE"""),46134)</f>
        <v>46134</v>
      </c>
      <c r="R56" s="30">
        <f ca="1">IFERROR(__xludf.DUMMYFUNCTION("""COMPUTED_VALUE"""),1)</f>
        <v>1</v>
      </c>
      <c r="S56" s="30" t="str">
        <f ca="1">IFERROR(__xludf.DUMMYFUNCTION("""COMPUTED_VALUE"""),"Cultura comunitaria")</f>
        <v>Cultura comunitaria</v>
      </c>
      <c r="T56" s="30" t="str">
        <f ca="1">IFERROR(__xludf.DUMMYFUNCTION("""COMPUTED_VALUE"""),"Formación comunitaria")</f>
        <v>Formación comunitaria</v>
      </c>
      <c r="U56" s="30" t="str">
        <f ca="1">IFERROR(__xludf.DUMMYFUNCTION("""COMPUTED_VALUE"""),"Visitas guiadas")</f>
        <v>Visitas guiadas</v>
      </c>
      <c r="V56" s="30" t="str">
        <f ca="1">IFERROR(__xludf.DUMMYFUNCTION("""COMPUTED_VALUE"""),"Ninguna")</f>
        <v>Ninguna</v>
      </c>
      <c r="W56" s="30" t="str">
        <f ca="1">IFERROR(__xludf.DUMMYFUNCTION("""COMPUTED_VALUE"""),"Presencial")</f>
        <v>Presencial</v>
      </c>
      <c r="X56" s="30" t="str">
        <f ca="1">IFERROR(__xludf.DUMMYFUNCTION("""COMPUTED_VALUE"""),"Espacio a Cargo de la Secretaría")</f>
        <v>Espacio a Cargo de la Secretaría</v>
      </c>
      <c r="Y56" s="30" t="str">
        <f ca="1">IFERROR(__xludf.DUMMYFUNCTION("""COMPUTED_VALUE"""),"1")</f>
        <v>1</v>
      </c>
      <c r="Z56" s="30"/>
      <c r="AA56" s="30"/>
      <c r="AB56" s="30" t="b">
        <f ca="1">IFERROR(__xludf.DUMMYFUNCTION("""COMPUTED_VALUE"""),FALSE)</f>
        <v>0</v>
      </c>
      <c r="AC56" s="30"/>
      <c r="AD56" s="30" t="b">
        <f ca="1">IFERROR(__xludf.DUMMYFUNCTION("""COMPUTED_VALUE"""),FALSE)</f>
        <v>0</v>
      </c>
      <c r="AE56" s="30"/>
      <c r="AF56" s="30" t="b">
        <f ca="1">IFERROR(__xludf.DUMMYFUNCTION("""COMPUTED_VALUE"""),FALSE)</f>
        <v>0</v>
      </c>
      <c r="AG56" s="30"/>
      <c r="AH56" s="30" t="str">
        <f ca="1">IFERROR(__xludf.DUMMYFUNCTION("""COMPUTED_VALUE"""),"Sin costo")</f>
        <v>Sin costo</v>
      </c>
      <c r="AI56" s="30"/>
      <c r="AJ56" s="30"/>
      <c r="AK56" s="30"/>
      <c r="AL56" s="30" t="str">
        <f ca="1">IFERROR(__xludf.DUMMYFUNCTION("""COMPUTED_VALUE"""),"ccardonav@guanajuato.gob.mx")</f>
        <v>ccardonav@guanajuato.gob.mx</v>
      </c>
      <c r="AM56" s="30" t="str">
        <f ca="1">IFERROR(__xludf.DUMMYFUNCTION("""COMPUTED_VALUE"""),"Arraigo y empoderamiento cultural de comunidades.")</f>
        <v>Arraigo y empoderamiento cultural de comunidades.</v>
      </c>
      <c r="AN56" s="30" t="str">
        <f ca="1">IFERROR(__xludf.DUMMYFUNCTION("""COMPUTED_VALUE"""),"2 Igualdad")</f>
        <v>2 Igualdad</v>
      </c>
      <c r="AO56" s="30" t="str">
        <f ca="1">IFERROR(__xludf.DUMMYFUNCTION("""COMPUTED_VALUE"""),"2.1 Protección de derechos humanos")</f>
        <v>2.1 Protección de derechos humanos</v>
      </c>
      <c r="AP56" s="30" t="str">
        <f ca="1">IFERROR(__xludf.DUMMYFUNCTION("""COMPUTED_VALUE"""),"2.1.3 Inclusión de personas con discapacidad")</f>
        <v>2.1.3 Inclusión de personas con discapacidad</v>
      </c>
      <c r="AQ56" s="30" t="str">
        <f ca="1">IFERROR(__xludf.DUMMYFUNCTION("""COMPUTED_VALUE"""),"2.1.3.2 Coordinar la incorporación progresiva de la accesibilidad universal")</f>
        <v>2.1.3.2 Coordinar la incorporación progresiva de la accesibilidad universal</v>
      </c>
      <c r="AR56" s="30" t="str">
        <f ca="1">IFERROR(__xludf.DUMMYFUNCTION("""COMPUTED_VALUE"""),"Cooperación")</f>
        <v>Cooperación</v>
      </c>
      <c r="AS56" s="30"/>
      <c r="AT56" s="30" t="str">
        <f ca="1">IFERROR(__xludf.DUMMYFUNCTION("""COMPUTED_VALUE"""),"Fortalecimiento de la participación ciudadana y la mediación cultural")</f>
        <v>Fortalecimiento de la participación ciudadana y la mediación cultural</v>
      </c>
      <c r="AU56" s="30" t="str">
        <f ca="1">IFERROR(__xludf.DUMMYFUNCTION("""COMPUTED_VALUE"""),"Impulso a la ampliación de la oferta cultural en los territorios.")</f>
        <v>Impulso a la ampliación de la oferta cultural en los territorios.</v>
      </c>
      <c r="AV5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 s="30" t="str">
        <f ca="1">IFERROR(__xludf.DUMMYFUNCTION("""COMPUTED_VALUE"""),"Incrementar en 25% la oferta cultural realizada en los municipios.")</f>
        <v>Incrementar en 25% la oferta cultural realizada en los municipios.</v>
      </c>
      <c r="AX56" s="30" t="str">
        <f ca="1">IFERROR(__xludf.DUMMYFUNCTION("""COMPUTED_VALUE"""),"Visitas guiadas")</f>
        <v>Visitas guiadas</v>
      </c>
      <c r="AY56" s="30" t="str">
        <f ca="1">IFERROR(__xludf.DUMMYFUNCTION("""COMPUTED_VALUE"""),"Formación")</f>
        <v>Formación</v>
      </c>
      <c r="AZ56" s="30" t="str">
        <f ca="1">IFERROR(__xludf.DUMMYFUNCTION("""COMPUTED_VALUE"""),"Formación")</f>
        <v>Formación</v>
      </c>
      <c r="BA56" s="30"/>
      <c r="BB56" s="30"/>
      <c r="BC56" s="30">
        <f ca="1">IFERROR(__xludf.DUMMYFUNCTION("""COMPUTED_VALUE"""),0)</f>
        <v>0</v>
      </c>
      <c r="BD56" s="30"/>
      <c r="BE56" s="30"/>
      <c r="BF56" s="30" t="b">
        <f ca="1">IFERROR(__xludf.DUMMYFUNCTION("""COMPUTED_VALUE"""),FALSE)</f>
        <v>0</v>
      </c>
      <c r="BG56" s="30"/>
      <c r="BH56" s="30"/>
      <c r="BI56" s="30"/>
      <c r="BJ56" s="30"/>
      <c r="BK56" s="30"/>
      <c r="BL56" s="30"/>
      <c r="BM56" s="30" t="str">
        <f ca="1">IFERROR(__xludf.DUMMYFUNCTION("""COMPUTED_VALUE"""),"No")</f>
        <v>No</v>
      </c>
      <c r="BN56" s="30"/>
      <c r="BO56" s="30" t="str">
        <f ca="1">IFERROR(__xludf.DUMMYFUNCTION("""COMPUTED_VALUE"""),"fc4923ff")</f>
        <v>fc4923ff</v>
      </c>
      <c r="BP56" s="29" t="str">
        <f ca="1">IFERROR(__xludf.DUMMYFUNCTION("""COMPUTED_VALUE"""),"Guanajuato")</f>
        <v>Guanajuato</v>
      </c>
      <c r="BQ56" s="30" t="str">
        <f ca="1">IFERROR(__xludf.DUMMYFUNCTION("""COMPUTED_VALUE"""),"Urbano")</f>
        <v>Urbano</v>
      </c>
      <c r="BR56" s="30">
        <f ca="1">IFERROR(__xludf.DUMMYFUNCTION("""COMPUTED_VALUE"""),49)</f>
        <v>49</v>
      </c>
      <c r="BS56" s="30" t="str">
        <f ca="1">IFERROR(__xludf.DUMMYFUNCTION("""COMPUTED_VALUE"""),"Guanajuato")</f>
        <v>Guanajuato</v>
      </c>
      <c r="BT56" s="30"/>
      <c r="BU56" s="30" t="str">
        <f ca="1">IFERROR(__xludf.DUMMYFUNCTION("""COMPUTED_VALUE"""),"Si")</f>
        <v>Si</v>
      </c>
      <c r="BV56" s="30" t="str">
        <f ca="1">IFERROR(__xludf.DUMMYFUNCTION("""COMPUTED_VALUE"""),"Si")</f>
        <v>Si</v>
      </c>
      <c r="BW56" s="30">
        <f ca="1">IFERROR(__xludf.DUMMYFUNCTION("""COMPUTED_VALUE"""),5)</f>
        <v>5</v>
      </c>
      <c r="BX56" s="30">
        <f ca="1">IFERROR(__xludf.DUMMYFUNCTION("""COMPUTED_VALUE"""),5)</f>
        <v>5</v>
      </c>
      <c r="BY56" s="30">
        <f ca="1">IFERROR(__xludf.DUMMYFUNCTION("""COMPUTED_VALUE"""),0)</f>
        <v>0</v>
      </c>
      <c r="BZ56" s="30" t="str">
        <f ca="1">IFERROR(__xludf.DUMMYFUNCTION("""COMPUTED_VALUE"""),"Guanajuato")</f>
        <v>Guanajuato</v>
      </c>
      <c r="CA56" s="30" t="str">
        <f ca="1">IFERROR(__xludf.DUMMYFUNCTION("""COMPUTED_VALUE"""),"No")</f>
        <v>No</v>
      </c>
      <c r="CB56" s="30" t="str">
        <f ca="1">IFERROR(__xludf.DUMMYFUNCTION("""COMPUTED_VALUE"""),"No")</f>
        <v>No</v>
      </c>
      <c r="CC56" s="30" t="str">
        <f ca="1">IFERROR(__xludf.DUMMYFUNCTION("""COMPUTED_VALUE"""),"b90e7100")</f>
        <v>b90e7100</v>
      </c>
      <c r="CD56" s="29" t="str">
        <f ca="1">IFERROR(__xludf.DUMMYFUNCTION("""COMPUTED_VALUE"""),"Adultos (30 a 59 años)")</f>
        <v>Adultos (30 a 59 años)</v>
      </c>
      <c r="CE56" s="30" t="str">
        <f ca="1">IFERROR(__xludf.DUMMYFUNCTION("""COMPUTED_VALUE"""),"Dato global")</f>
        <v>Dato global</v>
      </c>
      <c r="CF56" s="30" t="str">
        <f ca="1">IFERROR(__xludf.DUMMYFUNCTION("""COMPUTED_VALUE"""),"Ninguno (Población General)")</f>
        <v>Ninguno (Población General)</v>
      </c>
      <c r="CG56" s="30">
        <f ca="1">IFERROR(__xludf.DUMMYFUNCTION("""COMPUTED_VALUE"""),25)</f>
        <v>25</v>
      </c>
      <c r="CI56" s="30" t="str">
        <f ca="1">IFERROR(__xludf.DUMMYFUNCTION("""COMPUTED_VALUE"""),"2854a97c")</f>
        <v>2854a97c</v>
      </c>
      <c r="CJ56" s="29"/>
      <c r="CK56" s="30"/>
      <c r="CL56" s="30"/>
      <c r="CM56" s="30" t="str">
        <f ca="1">IFERROR(__xludf.DUMMYFUNCTION("""COMPUTED_VALUE"""),"Guanajuato")</f>
        <v>Guanajuato</v>
      </c>
      <c r="CN56" s="32" t="e">
        <f ca="1"/>
        <v>#NAME?</v>
      </c>
      <c r="CO56" s="32" t="e">
        <f ca="1"/>
        <v>#NAME?</v>
      </c>
      <c r="CP56" s="32" t="e">
        <f ca="1"/>
        <v>#NAME?</v>
      </c>
      <c r="CQ56" s="32" t="e">
        <f ca="1"/>
        <v>#NAME?</v>
      </c>
      <c r="CR56" s="30" t="e">
        <f ca="1"/>
        <v>#NAME?</v>
      </c>
      <c r="CS56" s="30" t="str">
        <f ca="1">IFERROR(__xludf.DUMMYFUNCTION("""COMPUTED_VALUE"""),"Ninguno (Población General)")</f>
        <v>Ninguno (Población General)</v>
      </c>
    </row>
    <row r="57" spans="1:97" ht="15.5">
      <c r="A57" s="29" t="str">
        <f ca="1">IFERROR(__xludf.DUMMYFUNCTION("""COMPUTED_VALUE"""),"ACT-SCDO56831")</f>
        <v>ACT-SCDO56831</v>
      </c>
      <c r="B57" s="30" t="str">
        <f ca="1">IFERROR(__xludf.DUMMYFUNCTION("""COMPUTED_VALUE"""),"SC-260619-115047")</f>
        <v>SC-260619-115047</v>
      </c>
      <c r="C57" s="62">
        <f ca="1">IFERROR(__xludf.DUMMYFUNCTION("""COMPUTED_VALUE"""),46192.493599537)</f>
        <v>46192.493599537003</v>
      </c>
      <c r="D57" s="30">
        <f ca="1">IFERROR(__xludf.DUMMYFUNCTION("""COMPUTED_VALUE"""),92)</f>
        <v>92</v>
      </c>
      <c r="E57" s="30" t="str">
        <f ca="1">IFERROR(__xludf.DUMMYFUNCTION("""COMPUTED_VALUE"""),"PB3572")</f>
        <v>PB3572</v>
      </c>
      <c r="F5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7" s="30" t="str">
        <f ca="1">IFERROR(__xludf.DUMMYFUNCTION("""COMPUTED_VALUE"""),"SUBSECRETARÍA DE DESARROLLO Y PROMOCIÓN ARTÍSTICA Y CULTURAL")</f>
        <v>SUBSECRETARÍA DE DESARROLLO Y PROMOCIÓN ARTÍSTICA Y CULTURAL</v>
      </c>
      <c r="I57" s="34" t="str">
        <f ca="1">IFERROR(__xludf.DUMMYFUNCTION("""COMPUTED_VALUE"""),"DIRECCIÓN GENERAL DE MUSEOS, ARTES VISUALES Y EXPOSICIONES")</f>
        <v>DIRECCIÓN GENERAL DE MUSEOS, ARTES VISUALES Y EXPOSICIONES</v>
      </c>
      <c r="J57" s="30" t="str">
        <f ca="1">IFERROR(__xludf.DUMMYFUNCTION("""COMPUTED_VALUE"""),"Número de Actividades realizadas")</f>
        <v>Número de Actividades realizadas</v>
      </c>
      <c r="K57" s="30">
        <f ca="1">IFERROR(__xludf.DUMMYFUNCTION("""COMPUTED_VALUE"""),800)</f>
        <v>800</v>
      </c>
      <c r="L57" s="30" t="str">
        <f ca="1">IFERROR(__xludf.DUMMYFUNCTION("""COMPUTED_VALUE"""),"Artística")</f>
        <v>Artística</v>
      </c>
      <c r="M57" s="30" t="str">
        <f ca="1">IFERROR(__xludf.DUMMYFUNCTION("""COMPUTED_VALUE"""),"Visita guiada libre")</f>
        <v>Visita guiada libre</v>
      </c>
      <c r="N57" s="30" t="str">
        <f ca="1">IFERROR(__xludf.DUMMYFUNCTION("""COMPUTED_VALUE"""),"Recorrido guiado por el museo")</f>
        <v>Recorrido guiado por el museo</v>
      </c>
      <c r="O57" s="30" t="str">
        <f ca="1">IFERROR(__xludf.DUMMYFUNCTION("""COMPUTED_VALUE"""),"Única")</f>
        <v>Única</v>
      </c>
      <c r="P57" s="33">
        <f ca="1">IFERROR(__xludf.DUMMYFUNCTION("""COMPUTED_VALUE"""),46134)</f>
        <v>46134</v>
      </c>
      <c r="Q57" s="64">
        <f ca="1">IFERROR(__xludf.DUMMYFUNCTION("""COMPUTED_VALUE"""),46134)</f>
        <v>46134</v>
      </c>
      <c r="R57" s="30">
        <f ca="1">IFERROR(__xludf.DUMMYFUNCTION("""COMPUTED_VALUE"""),1)</f>
        <v>1</v>
      </c>
      <c r="S57" s="30" t="str">
        <f ca="1">IFERROR(__xludf.DUMMYFUNCTION("""COMPUTED_VALUE"""),"Cultura comunitaria")</f>
        <v>Cultura comunitaria</v>
      </c>
      <c r="T57" s="30" t="str">
        <f ca="1">IFERROR(__xludf.DUMMYFUNCTION("""COMPUTED_VALUE"""),"Formación comunitaria")</f>
        <v>Formación comunitaria</v>
      </c>
      <c r="U57" s="30" t="str">
        <f ca="1">IFERROR(__xludf.DUMMYFUNCTION("""COMPUTED_VALUE"""),"Visitas guiadas")</f>
        <v>Visitas guiadas</v>
      </c>
      <c r="V57" s="30" t="str">
        <f ca="1">IFERROR(__xludf.DUMMYFUNCTION("""COMPUTED_VALUE"""),"Ninguna")</f>
        <v>Ninguna</v>
      </c>
      <c r="W57" s="30" t="str">
        <f ca="1">IFERROR(__xludf.DUMMYFUNCTION("""COMPUTED_VALUE"""),"Presencial")</f>
        <v>Presencial</v>
      </c>
      <c r="X57" s="30" t="str">
        <f ca="1">IFERROR(__xludf.DUMMYFUNCTION("""COMPUTED_VALUE"""),"Espacio a Cargo de la Secretaría")</f>
        <v>Espacio a Cargo de la Secretaría</v>
      </c>
      <c r="Y57" s="30" t="str">
        <f ca="1">IFERROR(__xludf.DUMMYFUNCTION("""COMPUTED_VALUE"""),"1")</f>
        <v>1</v>
      </c>
      <c r="Z57" s="30"/>
      <c r="AA57" s="30"/>
      <c r="AB57" s="30" t="b">
        <f ca="1">IFERROR(__xludf.DUMMYFUNCTION("""COMPUTED_VALUE"""),FALSE)</f>
        <v>0</v>
      </c>
      <c r="AC57" s="30"/>
      <c r="AD57" s="30" t="b">
        <f ca="1">IFERROR(__xludf.DUMMYFUNCTION("""COMPUTED_VALUE"""),FALSE)</f>
        <v>0</v>
      </c>
      <c r="AE57" s="30"/>
      <c r="AF57" s="30" t="b">
        <f ca="1">IFERROR(__xludf.DUMMYFUNCTION("""COMPUTED_VALUE"""),FALSE)</f>
        <v>0</v>
      </c>
      <c r="AG57" s="30"/>
      <c r="AH57" s="30" t="str">
        <f ca="1">IFERROR(__xludf.DUMMYFUNCTION("""COMPUTED_VALUE"""),"Sin costo")</f>
        <v>Sin costo</v>
      </c>
      <c r="AI57" s="30"/>
      <c r="AJ57" s="30"/>
      <c r="AK57" s="30"/>
      <c r="AL57" s="30" t="str">
        <f ca="1">IFERROR(__xludf.DUMMYFUNCTION("""COMPUTED_VALUE"""),"ccardonav@guanajuato.gob.mx")</f>
        <v>ccardonav@guanajuato.gob.mx</v>
      </c>
      <c r="AM57" s="30" t="str">
        <f ca="1">IFERROR(__xludf.DUMMYFUNCTION("""COMPUTED_VALUE"""),"Arraigo y empoderamiento cultural de comunidades.")</f>
        <v>Arraigo y empoderamiento cultural de comunidades.</v>
      </c>
      <c r="AN57" s="30" t="str">
        <f ca="1">IFERROR(__xludf.DUMMYFUNCTION("""COMPUTED_VALUE"""),"2 Igualdad")</f>
        <v>2 Igualdad</v>
      </c>
      <c r="AO57" s="30" t="str">
        <f ca="1">IFERROR(__xludf.DUMMYFUNCTION("""COMPUTED_VALUE"""),"2.1 Protección de derechos humanos")</f>
        <v>2.1 Protección de derechos humanos</v>
      </c>
      <c r="AP57" s="30" t="str">
        <f ca="1">IFERROR(__xludf.DUMMYFUNCTION("""COMPUTED_VALUE"""),"2.1.3 Inclusión de personas con discapacidad")</f>
        <v>2.1.3 Inclusión de personas con discapacidad</v>
      </c>
      <c r="AQ57" s="30" t="str">
        <f ca="1">IFERROR(__xludf.DUMMYFUNCTION("""COMPUTED_VALUE"""),"2.1.3.2 Coordinar la incorporación progresiva de la accesibilidad universal")</f>
        <v>2.1.3.2 Coordinar la incorporación progresiva de la accesibilidad universal</v>
      </c>
      <c r="AR57" s="30" t="str">
        <f ca="1">IFERROR(__xludf.DUMMYFUNCTION("""COMPUTED_VALUE"""),"Cooperación")</f>
        <v>Cooperación</v>
      </c>
      <c r="AS57" s="30"/>
      <c r="AT57" s="30" t="str">
        <f ca="1">IFERROR(__xludf.DUMMYFUNCTION("""COMPUTED_VALUE"""),"Fortalecimiento de la participación ciudadana y la mediación cultural")</f>
        <v>Fortalecimiento de la participación ciudadana y la mediación cultural</v>
      </c>
      <c r="AU57" s="30" t="str">
        <f ca="1">IFERROR(__xludf.DUMMYFUNCTION("""COMPUTED_VALUE"""),"Impulso a la ampliación de la oferta cultural en los territorios.")</f>
        <v>Impulso a la ampliación de la oferta cultural en los territorios.</v>
      </c>
      <c r="AV5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 s="30" t="str">
        <f ca="1">IFERROR(__xludf.DUMMYFUNCTION("""COMPUTED_VALUE"""),"Incrementar en 25% la oferta cultural realizada en los municipios.")</f>
        <v>Incrementar en 25% la oferta cultural realizada en los municipios.</v>
      </c>
      <c r="AX57" s="30" t="str">
        <f ca="1">IFERROR(__xludf.DUMMYFUNCTION("""COMPUTED_VALUE"""),"Visitas guiadas")</f>
        <v>Visitas guiadas</v>
      </c>
      <c r="AY57" s="30" t="str">
        <f ca="1">IFERROR(__xludf.DUMMYFUNCTION("""COMPUTED_VALUE"""),"Formación")</f>
        <v>Formación</v>
      </c>
      <c r="AZ57" s="30" t="str">
        <f ca="1">IFERROR(__xludf.DUMMYFUNCTION("""COMPUTED_VALUE"""),"Formación")</f>
        <v>Formación</v>
      </c>
      <c r="BA57" s="30"/>
      <c r="BB57" s="30"/>
      <c r="BC57" s="30">
        <f ca="1">IFERROR(__xludf.DUMMYFUNCTION("""COMPUTED_VALUE"""),0)</f>
        <v>0</v>
      </c>
      <c r="BD57" s="30"/>
      <c r="BE57" s="30"/>
      <c r="BF57" s="30" t="b">
        <f ca="1">IFERROR(__xludf.DUMMYFUNCTION("""COMPUTED_VALUE"""),FALSE)</f>
        <v>0</v>
      </c>
      <c r="BG57" s="30"/>
      <c r="BH57" s="30"/>
      <c r="BI57" s="30"/>
      <c r="BJ57" s="30"/>
      <c r="BK57" s="30"/>
      <c r="BL57" s="30"/>
      <c r="BM57" s="30" t="str">
        <f ca="1">IFERROR(__xludf.DUMMYFUNCTION("""COMPUTED_VALUE"""),"No")</f>
        <v>No</v>
      </c>
      <c r="BN57" s="30"/>
      <c r="BO57" s="30" t="str">
        <f ca="1">IFERROR(__xludf.DUMMYFUNCTION("""COMPUTED_VALUE"""),"a941cafd")</f>
        <v>a941cafd</v>
      </c>
      <c r="BP57" s="29" t="str">
        <f ca="1">IFERROR(__xludf.DUMMYFUNCTION("""COMPUTED_VALUE"""),"Guanajuato")</f>
        <v>Guanajuato</v>
      </c>
      <c r="BQ57" s="30" t="str">
        <f ca="1">IFERROR(__xludf.DUMMYFUNCTION("""COMPUTED_VALUE"""),"Urbano")</f>
        <v>Urbano</v>
      </c>
      <c r="BR57" s="30">
        <f ca="1">IFERROR(__xludf.DUMMYFUNCTION("""COMPUTED_VALUE"""),49)</f>
        <v>49</v>
      </c>
      <c r="BS57" s="30" t="str">
        <f ca="1">IFERROR(__xludf.DUMMYFUNCTION("""COMPUTED_VALUE"""),"Guanajuato")</f>
        <v>Guanajuato</v>
      </c>
      <c r="BT57" s="30"/>
      <c r="BU57" s="30" t="str">
        <f ca="1">IFERROR(__xludf.DUMMYFUNCTION("""COMPUTED_VALUE"""),"Si")</f>
        <v>Si</v>
      </c>
      <c r="BV57" s="30" t="str">
        <f ca="1">IFERROR(__xludf.DUMMYFUNCTION("""COMPUTED_VALUE"""),"Si")</f>
        <v>Si</v>
      </c>
      <c r="BW57" s="30">
        <f ca="1">IFERROR(__xludf.DUMMYFUNCTION("""COMPUTED_VALUE"""),4)</f>
        <v>4</v>
      </c>
      <c r="BX57" s="30">
        <f ca="1">IFERROR(__xludf.DUMMYFUNCTION("""COMPUTED_VALUE"""),4)</f>
        <v>4</v>
      </c>
      <c r="BY57" s="30">
        <f ca="1">IFERROR(__xludf.DUMMYFUNCTION("""COMPUTED_VALUE"""),0)</f>
        <v>0</v>
      </c>
      <c r="BZ57" s="30" t="str">
        <f ca="1">IFERROR(__xludf.DUMMYFUNCTION("""COMPUTED_VALUE"""),"Guanajuato")</f>
        <v>Guanajuato</v>
      </c>
      <c r="CA57" s="30" t="str">
        <f ca="1">IFERROR(__xludf.DUMMYFUNCTION("""COMPUTED_VALUE"""),"No")</f>
        <v>No</v>
      </c>
      <c r="CB57" s="30" t="str">
        <f ca="1">IFERROR(__xludf.DUMMYFUNCTION("""COMPUTED_VALUE"""),"No")</f>
        <v>No</v>
      </c>
      <c r="CC57" s="30" t="str">
        <f ca="1">IFERROR(__xludf.DUMMYFUNCTION("""COMPUTED_VALUE"""),"507a83b3")</f>
        <v>507a83b3</v>
      </c>
      <c r="CD57" s="29" t="str">
        <f ca="1">IFERROR(__xludf.DUMMYFUNCTION("""COMPUTED_VALUE"""),"Adultos Mayores (60 años o más)")</f>
        <v>Adultos Mayores (60 años o más)</v>
      </c>
      <c r="CE57" s="30" t="str">
        <f ca="1">IFERROR(__xludf.DUMMYFUNCTION("""COMPUTED_VALUE"""),"Dato global")</f>
        <v>Dato global</v>
      </c>
      <c r="CF57" s="30" t="str">
        <f ca="1">IFERROR(__xludf.DUMMYFUNCTION("""COMPUTED_VALUE"""),"Ninguno (Población General)")</f>
        <v>Ninguno (Población General)</v>
      </c>
      <c r="CG57" s="30">
        <f ca="1">IFERROR(__xludf.DUMMYFUNCTION("""COMPUTED_VALUE"""),20)</f>
        <v>20</v>
      </c>
      <c r="CI57" s="30" t="str">
        <f ca="1">IFERROR(__xludf.DUMMYFUNCTION("""COMPUTED_VALUE"""),"5e8630d9")</f>
        <v>5e8630d9</v>
      </c>
      <c r="CJ57" s="29" t="str">
        <f ca="1">IFERROR(__xludf.DUMMYFUNCTION("""COMPUTED_VALUE"""),"Regitro_Evidencia_Files_/5e8630d9.Archivo_Evidencia.170711.zip")</f>
        <v>Regitro_Evidencia_Files_/5e8630d9.Archivo_Evidencia.170711.zip</v>
      </c>
      <c r="CK57" s="30" t="str">
        <f ca="1">IFERROR(__xludf.DUMMYFUNCTION("""COMPUTED_VALUE"""),"Carpeta")</f>
        <v>Carpeta</v>
      </c>
      <c r="CL57" s="30"/>
      <c r="CM57" s="30" t="str">
        <f ca="1">IFERROR(__xludf.DUMMYFUNCTION("""COMPUTED_VALUE"""),"Guanajuato")</f>
        <v>Guanajuato</v>
      </c>
      <c r="CN57" s="32" t="e">
        <f ca="1"/>
        <v>#NAME?</v>
      </c>
      <c r="CO57" s="32" t="e">
        <f ca="1"/>
        <v>#NAME?</v>
      </c>
      <c r="CP57" s="32" t="e">
        <f ca="1"/>
        <v>#NAME?</v>
      </c>
      <c r="CQ57" s="32" t="e">
        <f ca="1"/>
        <v>#NAME?</v>
      </c>
      <c r="CR57" s="30" t="e">
        <f ca="1"/>
        <v>#NAME?</v>
      </c>
      <c r="CS57" s="30" t="str">
        <f ca="1">IFERROR(__xludf.DUMMYFUNCTION("""COMPUTED_VALUE"""),"Ninguno (Población General)")</f>
        <v>Ninguno (Población General)</v>
      </c>
    </row>
    <row r="58" spans="1:97" ht="15.5">
      <c r="A58" s="29" t="str">
        <f ca="1">IFERROR(__xludf.DUMMYFUNCTION("""COMPUTED_VALUE"""),"ACT-SCID52619")</f>
        <v>ACT-SCID52619</v>
      </c>
      <c r="B58" s="30" t="str">
        <f ca="1">IFERROR(__xludf.DUMMYFUNCTION("""COMPUTED_VALUE"""),"SC-260619-115439")</f>
        <v>SC-260619-115439</v>
      </c>
      <c r="C58" s="62">
        <f ca="1">IFERROR(__xludf.DUMMYFUNCTION("""COMPUTED_VALUE"""),46192.4962847222)</f>
        <v>46192.496284722198</v>
      </c>
      <c r="D58" s="30">
        <f ca="1">IFERROR(__xludf.DUMMYFUNCTION("""COMPUTED_VALUE"""),92)</f>
        <v>92</v>
      </c>
      <c r="E58" s="30" t="str">
        <f ca="1">IFERROR(__xludf.DUMMYFUNCTION("""COMPUTED_VALUE"""),"PB3572")</f>
        <v>PB3572</v>
      </c>
      <c r="F5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 s="30" t="str">
        <f ca="1">IFERROR(__xludf.DUMMYFUNCTION("""COMPUTED_VALUE"""),"SUBSECRETARÍA DE DESARROLLO Y PROMOCIÓN ARTÍSTICA Y CULTURAL")</f>
        <v>SUBSECRETARÍA DE DESARROLLO Y PROMOCIÓN ARTÍSTICA Y CULTURAL</v>
      </c>
      <c r="I58" s="34" t="str">
        <f ca="1">IFERROR(__xludf.DUMMYFUNCTION("""COMPUTED_VALUE"""),"DIRECCIÓN GENERAL DE MUSEOS, ARTES VISUALES Y EXPOSICIONES")</f>
        <v>DIRECCIÓN GENERAL DE MUSEOS, ARTES VISUALES Y EXPOSICIONES</v>
      </c>
      <c r="J58" s="30" t="str">
        <f ca="1">IFERROR(__xludf.DUMMYFUNCTION("""COMPUTED_VALUE"""),"Número de Actividades realizadas")</f>
        <v>Número de Actividades realizadas</v>
      </c>
      <c r="K58" s="30">
        <f ca="1">IFERROR(__xludf.DUMMYFUNCTION("""COMPUTED_VALUE"""),800)</f>
        <v>800</v>
      </c>
      <c r="L58" s="30" t="str">
        <f ca="1">IFERROR(__xludf.DUMMYFUNCTION("""COMPUTED_VALUE"""),"Artística")</f>
        <v>Artística</v>
      </c>
      <c r="M58" s="30" t="str">
        <f ca="1">IFERROR(__xludf.DUMMYFUNCTION("""COMPUTED_VALUE"""),"Visita guiada libre")</f>
        <v>Visita guiada libre</v>
      </c>
      <c r="N58" s="30" t="str">
        <f ca="1">IFERROR(__xludf.DUMMYFUNCTION("""COMPUTED_VALUE"""),"Recorrido guiado por el museo")</f>
        <v>Recorrido guiado por el museo</v>
      </c>
      <c r="O58" s="30" t="str">
        <f ca="1">IFERROR(__xludf.DUMMYFUNCTION("""COMPUTED_VALUE"""),"Única")</f>
        <v>Única</v>
      </c>
      <c r="P58" s="33">
        <f ca="1">IFERROR(__xludf.DUMMYFUNCTION("""COMPUTED_VALUE"""),46138)</f>
        <v>46138</v>
      </c>
      <c r="Q58" s="64">
        <f ca="1">IFERROR(__xludf.DUMMYFUNCTION("""COMPUTED_VALUE"""),46138)</f>
        <v>46138</v>
      </c>
      <c r="R58" s="30">
        <f ca="1">IFERROR(__xludf.DUMMYFUNCTION("""COMPUTED_VALUE"""),1)</f>
        <v>1</v>
      </c>
      <c r="S58" s="30" t="str">
        <f ca="1">IFERROR(__xludf.DUMMYFUNCTION("""COMPUTED_VALUE"""),"Cultura comunitaria")</f>
        <v>Cultura comunitaria</v>
      </c>
      <c r="T58" s="30" t="str">
        <f ca="1">IFERROR(__xludf.DUMMYFUNCTION("""COMPUTED_VALUE"""),"Formación comunitaria")</f>
        <v>Formación comunitaria</v>
      </c>
      <c r="U58" s="30" t="str">
        <f ca="1">IFERROR(__xludf.DUMMYFUNCTION("""COMPUTED_VALUE"""),"Visitas guiadas")</f>
        <v>Visitas guiadas</v>
      </c>
      <c r="V58" s="30" t="str">
        <f ca="1">IFERROR(__xludf.DUMMYFUNCTION("""COMPUTED_VALUE"""),"Ninguna")</f>
        <v>Ninguna</v>
      </c>
      <c r="W58" s="30" t="str">
        <f ca="1">IFERROR(__xludf.DUMMYFUNCTION("""COMPUTED_VALUE"""),"Presencial")</f>
        <v>Presencial</v>
      </c>
      <c r="X58" s="30" t="str">
        <f ca="1">IFERROR(__xludf.DUMMYFUNCTION("""COMPUTED_VALUE"""),"Espacio a Cargo de la Secretaría")</f>
        <v>Espacio a Cargo de la Secretaría</v>
      </c>
      <c r="Y58" s="30" t="str">
        <f ca="1">IFERROR(__xludf.DUMMYFUNCTION("""COMPUTED_VALUE"""),"1")</f>
        <v>1</v>
      </c>
      <c r="Z58" s="30"/>
      <c r="AA58" s="30"/>
      <c r="AB58" s="30" t="b">
        <f ca="1">IFERROR(__xludf.DUMMYFUNCTION("""COMPUTED_VALUE"""),FALSE)</f>
        <v>0</v>
      </c>
      <c r="AC58" s="30"/>
      <c r="AD58" s="30" t="b">
        <f ca="1">IFERROR(__xludf.DUMMYFUNCTION("""COMPUTED_VALUE"""),FALSE)</f>
        <v>0</v>
      </c>
      <c r="AE58" s="30"/>
      <c r="AF58" s="30" t="b">
        <f ca="1">IFERROR(__xludf.DUMMYFUNCTION("""COMPUTED_VALUE"""),FALSE)</f>
        <v>0</v>
      </c>
      <c r="AG58" s="30"/>
      <c r="AH58" s="30" t="str">
        <f ca="1">IFERROR(__xludf.DUMMYFUNCTION("""COMPUTED_VALUE"""),"Sin costo")</f>
        <v>Sin costo</v>
      </c>
      <c r="AI58" s="30"/>
      <c r="AJ58" s="30"/>
      <c r="AK58" s="30"/>
      <c r="AL58" s="30" t="str">
        <f ca="1">IFERROR(__xludf.DUMMYFUNCTION("""COMPUTED_VALUE"""),"ccardonav@guanajuato.gob.mx")</f>
        <v>ccardonav@guanajuato.gob.mx</v>
      </c>
      <c r="AM58" s="30" t="str">
        <f ca="1">IFERROR(__xludf.DUMMYFUNCTION("""COMPUTED_VALUE"""),"Arraigo y empoderamiento cultural de comunidades.")</f>
        <v>Arraigo y empoderamiento cultural de comunidades.</v>
      </c>
      <c r="AN58" s="30" t="str">
        <f ca="1">IFERROR(__xludf.DUMMYFUNCTION("""COMPUTED_VALUE"""),"2 Igualdad")</f>
        <v>2 Igualdad</v>
      </c>
      <c r="AO58" s="30" t="str">
        <f ca="1">IFERROR(__xludf.DUMMYFUNCTION("""COMPUTED_VALUE"""),"2.1 Protección de derechos humanos")</f>
        <v>2.1 Protección de derechos humanos</v>
      </c>
      <c r="AP58" s="30" t="str">
        <f ca="1">IFERROR(__xludf.DUMMYFUNCTION("""COMPUTED_VALUE"""),"2.1.3 Inclusión de personas con discapacidad")</f>
        <v>2.1.3 Inclusión de personas con discapacidad</v>
      </c>
      <c r="AQ58" s="30" t="str">
        <f ca="1">IFERROR(__xludf.DUMMYFUNCTION("""COMPUTED_VALUE"""),"2.1.3.2 Coordinar la incorporación progresiva de la accesibilidad universal")</f>
        <v>2.1.3.2 Coordinar la incorporación progresiva de la accesibilidad universal</v>
      </c>
      <c r="AR58" s="30" t="str">
        <f ca="1">IFERROR(__xludf.DUMMYFUNCTION("""COMPUTED_VALUE"""),"Cooperación")</f>
        <v>Cooperación</v>
      </c>
      <c r="AS58" s="30"/>
      <c r="AT58" s="30" t="str">
        <f ca="1">IFERROR(__xludf.DUMMYFUNCTION("""COMPUTED_VALUE"""),"Fortalecimiento de la participación ciudadana y la mediación cultural")</f>
        <v>Fortalecimiento de la participación ciudadana y la mediación cultural</v>
      </c>
      <c r="AU58" s="30" t="str">
        <f ca="1">IFERROR(__xludf.DUMMYFUNCTION("""COMPUTED_VALUE"""),"Impulso a la ampliación de la oferta cultural en los territorios.")</f>
        <v>Impulso a la ampliación de la oferta cultural en los territorios.</v>
      </c>
      <c r="AV5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 s="30" t="str">
        <f ca="1">IFERROR(__xludf.DUMMYFUNCTION("""COMPUTED_VALUE"""),"Incrementar en 25% la oferta cultural realizada en los municipios.")</f>
        <v>Incrementar en 25% la oferta cultural realizada en los municipios.</v>
      </c>
      <c r="AX58" s="30" t="str">
        <f ca="1">IFERROR(__xludf.DUMMYFUNCTION("""COMPUTED_VALUE"""),"Visitas guiadas")</f>
        <v>Visitas guiadas</v>
      </c>
      <c r="AY58" s="30" t="str">
        <f ca="1">IFERROR(__xludf.DUMMYFUNCTION("""COMPUTED_VALUE"""),"Formación")</f>
        <v>Formación</v>
      </c>
      <c r="AZ58" s="30" t="str">
        <f ca="1">IFERROR(__xludf.DUMMYFUNCTION("""COMPUTED_VALUE"""),"Formación")</f>
        <v>Formación</v>
      </c>
      <c r="BA58" s="30"/>
      <c r="BB58" s="30"/>
      <c r="BC58" s="30">
        <f ca="1">IFERROR(__xludf.DUMMYFUNCTION("""COMPUTED_VALUE"""),0)</f>
        <v>0</v>
      </c>
      <c r="BD58" s="30"/>
      <c r="BE58" s="30"/>
      <c r="BF58" s="30" t="b">
        <f ca="1">IFERROR(__xludf.DUMMYFUNCTION("""COMPUTED_VALUE"""),FALSE)</f>
        <v>0</v>
      </c>
      <c r="BG58" s="30"/>
      <c r="BH58" s="30"/>
      <c r="BI58" s="30"/>
      <c r="BJ58" s="30"/>
      <c r="BK58" s="30"/>
      <c r="BL58" s="30"/>
      <c r="BM58" s="30" t="str">
        <f ca="1">IFERROR(__xludf.DUMMYFUNCTION("""COMPUTED_VALUE"""),"No")</f>
        <v>No</v>
      </c>
      <c r="BN58" s="30"/>
      <c r="BO58" s="30" t="str">
        <f ca="1">IFERROR(__xludf.DUMMYFUNCTION("""COMPUTED_VALUE"""),"e9575eb8")</f>
        <v>e9575eb8</v>
      </c>
      <c r="BP58" s="29" t="str">
        <f ca="1">IFERROR(__xludf.DUMMYFUNCTION("""COMPUTED_VALUE"""),"Guanajuato")</f>
        <v>Guanajuato</v>
      </c>
      <c r="BQ58" s="30" t="str">
        <f ca="1">IFERROR(__xludf.DUMMYFUNCTION("""COMPUTED_VALUE"""),"Urbano")</f>
        <v>Urbano</v>
      </c>
      <c r="BR58" s="30">
        <f ca="1">IFERROR(__xludf.DUMMYFUNCTION("""COMPUTED_VALUE"""),49)</f>
        <v>49</v>
      </c>
      <c r="BS58" s="30" t="str">
        <f ca="1">IFERROR(__xludf.DUMMYFUNCTION("""COMPUTED_VALUE"""),"Guanajuato")</f>
        <v>Guanajuato</v>
      </c>
      <c r="BT58" s="30"/>
      <c r="BU58" s="30" t="str">
        <f ca="1">IFERROR(__xludf.DUMMYFUNCTION("""COMPUTED_VALUE"""),"Si")</f>
        <v>Si</v>
      </c>
      <c r="BV58" s="30" t="str">
        <f ca="1">IFERROR(__xludf.DUMMYFUNCTION("""COMPUTED_VALUE"""),"Si")</f>
        <v>Si</v>
      </c>
      <c r="BW58" s="30">
        <f ca="1">IFERROR(__xludf.DUMMYFUNCTION("""COMPUTED_VALUE"""),4)</f>
        <v>4</v>
      </c>
      <c r="BX58" s="30">
        <f ca="1">IFERROR(__xludf.DUMMYFUNCTION("""COMPUTED_VALUE"""),4)</f>
        <v>4</v>
      </c>
      <c r="BY58" s="30">
        <f ca="1">IFERROR(__xludf.DUMMYFUNCTION("""COMPUTED_VALUE"""),0)</f>
        <v>0</v>
      </c>
      <c r="BZ58" s="30" t="str">
        <f ca="1">IFERROR(__xludf.DUMMYFUNCTION("""COMPUTED_VALUE"""),"Guanajuato")</f>
        <v>Guanajuato</v>
      </c>
      <c r="CA58" s="30" t="str">
        <f ca="1">IFERROR(__xludf.DUMMYFUNCTION("""COMPUTED_VALUE"""),"No")</f>
        <v>No</v>
      </c>
      <c r="CB58" s="30" t="str">
        <f ca="1">IFERROR(__xludf.DUMMYFUNCTION("""COMPUTED_VALUE"""),"No")</f>
        <v>No</v>
      </c>
      <c r="CC58" s="30" t="str">
        <f ca="1">IFERROR(__xludf.DUMMYFUNCTION("""COMPUTED_VALUE"""),"aa0304e6")</f>
        <v>aa0304e6</v>
      </c>
      <c r="CD58" s="29" t="str">
        <f ca="1">IFERROR(__xludf.DUMMYFUNCTION("""COMPUTED_VALUE"""),"Jóvenes (18 a 29 años)")</f>
        <v>Jóvenes (18 a 29 años)</v>
      </c>
      <c r="CE58" s="30" t="str">
        <f ca="1">IFERROR(__xludf.DUMMYFUNCTION("""COMPUTED_VALUE"""),"Dato global")</f>
        <v>Dato global</v>
      </c>
      <c r="CF58" s="30" t="str">
        <f ca="1">IFERROR(__xludf.DUMMYFUNCTION("""COMPUTED_VALUE"""),"Ninguno (Población General)")</f>
        <v>Ninguno (Población General)</v>
      </c>
      <c r="CG58" s="30">
        <f ca="1">IFERROR(__xludf.DUMMYFUNCTION("""COMPUTED_VALUE"""),4)</f>
        <v>4</v>
      </c>
      <c r="CI58" s="30" t="str">
        <f ca="1">IFERROR(__xludf.DUMMYFUNCTION("""COMPUTED_VALUE"""),"b56b0e89")</f>
        <v>b56b0e89</v>
      </c>
      <c r="CJ58" s="29" t="str">
        <f ca="1">IFERROR(__xludf.DUMMYFUNCTION("""COMPUTED_VALUE"""),"Regitro_Evidencia_Files_/b56b0e89.Archivo_Evidencia.171141.zip")</f>
        <v>Regitro_Evidencia_Files_/b56b0e89.Archivo_Evidencia.171141.zip</v>
      </c>
      <c r="CK58" s="30" t="str">
        <f ca="1">IFERROR(__xludf.DUMMYFUNCTION("""COMPUTED_VALUE"""),"Carpeta")</f>
        <v>Carpeta</v>
      </c>
      <c r="CL58" s="30"/>
      <c r="CM58" s="30" t="str">
        <f ca="1">IFERROR(__xludf.DUMMYFUNCTION("""COMPUTED_VALUE"""),"Guanajuato")</f>
        <v>Guanajuato</v>
      </c>
      <c r="CN58" s="32" t="e">
        <f ca="1"/>
        <v>#NAME?</v>
      </c>
      <c r="CO58" s="32" t="e">
        <f ca="1"/>
        <v>#NAME?</v>
      </c>
      <c r="CP58" s="32" t="e">
        <f ca="1"/>
        <v>#NAME?</v>
      </c>
      <c r="CQ58" s="32" t="e">
        <f ca="1"/>
        <v>#NAME?</v>
      </c>
      <c r="CR58" s="30" t="e">
        <f ca="1"/>
        <v>#NAME?</v>
      </c>
      <c r="CS58" s="30" t="str">
        <f ca="1">IFERROR(__xludf.DUMMYFUNCTION("""COMPUTED_VALUE"""),"Ninguno (Población General)")</f>
        <v>Ninguno (Población General)</v>
      </c>
    </row>
    <row r="59" spans="1:97" ht="15.5">
      <c r="A59" s="29" t="str">
        <f ca="1">IFERROR(__xludf.DUMMYFUNCTION("""COMPUTED_VALUE"""),"ACT-SCFY90265")</f>
        <v>ACT-SCFY90265</v>
      </c>
      <c r="B59" s="30" t="str">
        <f ca="1">IFERROR(__xludf.DUMMYFUNCTION("""COMPUTED_VALUE"""),"SC-260619-115815")</f>
        <v>SC-260619-115815</v>
      </c>
      <c r="C59" s="62">
        <f ca="1">IFERROR(__xludf.DUMMYFUNCTION("""COMPUTED_VALUE"""),46192.4987847222)</f>
        <v>46192.4987847222</v>
      </c>
      <c r="D59" s="30">
        <f ca="1">IFERROR(__xludf.DUMMYFUNCTION("""COMPUTED_VALUE"""),92)</f>
        <v>92</v>
      </c>
      <c r="E59" s="30" t="str">
        <f ca="1">IFERROR(__xludf.DUMMYFUNCTION("""COMPUTED_VALUE"""),"PB3572")</f>
        <v>PB3572</v>
      </c>
      <c r="F5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 s="30" t="str">
        <f ca="1">IFERROR(__xludf.DUMMYFUNCTION("""COMPUTED_VALUE"""),"SUBSECRETARÍA DE DESARROLLO Y PROMOCIÓN ARTÍSTICA Y CULTURAL")</f>
        <v>SUBSECRETARÍA DE DESARROLLO Y PROMOCIÓN ARTÍSTICA Y CULTURAL</v>
      </c>
      <c r="I59" s="34" t="str">
        <f ca="1">IFERROR(__xludf.DUMMYFUNCTION("""COMPUTED_VALUE"""),"DIRECCIÓN GENERAL DE MUSEOS, ARTES VISUALES Y EXPOSICIONES")</f>
        <v>DIRECCIÓN GENERAL DE MUSEOS, ARTES VISUALES Y EXPOSICIONES</v>
      </c>
      <c r="J59" s="30" t="str">
        <f ca="1">IFERROR(__xludf.DUMMYFUNCTION("""COMPUTED_VALUE"""),"Número de Actividades realizadas")</f>
        <v>Número de Actividades realizadas</v>
      </c>
      <c r="K59" s="30">
        <f ca="1">IFERROR(__xludf.DUMMYFUNCTION("""COMPUTED_VALUE"""),800)</f>
        <v>800</v>
      </c>
      <c r="L59" s="30" t="str">
        <f ca="1">IFERROR(__xludf.DUMMYFUNCTION("""COMPUTED_VALUE"""),"Artística")</f>
        <v>Artística</v>
      </c>
      <c r="M59" s="30" t="str">
        <f ca="1">IFERROR(__xludf.DUMMYFUNCTION("""COMPUTED_VALUE"""),"Visita guiada libre")</f>
        <v>Visita guiada libre</v>
      </c>
      <c r="N59" s="30" t="str">
        <f ca="1">IFERROR(__xludf.DUMMYFUNCTION("""COMPUTED_VALUE"""),"Recorrido guiado por el museo")</f>
        <v>Recorrido guiado por el museo</v>
      </c>
      <c r="O59" s="30" t="str">
        <f ca="1">IFERROR(__xludf.DUMMYFUNCTION("""COMPUTED_VALUE"""),"Única")</f>
        <v>Única</v>
      </c>
      <c r="P59" s="33">
        <f ca="1">IFERROR(__xludf.DUMMYFUNCTION("""COMPUTED_VALUE"""),46140)</f>
        <v>46140</v>
      </c>
      <c r="Q59" s="64">
        <f ca="1">IFERROR(__xludf.DUMMYFUNCTION("""COMPUTED_VALUE"""),46140)</f>
        <v>46140</v>
      </c>
      <c r="R59" s="30">
        <f ca="1">IFERROR(__xludf.DUMMYFUNCTION("""COMPUTED_VALUE"""),1)</f>
        <v>1</v>
      </c>
      <c r="S59" s="30" t="str">
        <f ca="1">IFERROR(__xludf.DUMMYFUNCTION("""COMPUTED_VALUE"""),"Cultura comunitaria")</f>
        <v>Cultura comunitaria</v>
      </c>
      <c r="T59" s="30" t="str">
        <f ca="1">IFERROR(__xludf.DUMMYFUNCTION("""COMPUTED_VALUE"""),"Formación comunitaria")</f>
        <v>Formación comunitaria</v>
      </c>
      <c r="U59" s="30" t="str">
        <f ca="1">IFERROR(__xludf.DUMMYFUNCTION("""COMPUTED_VALUE"""),"Visitas guiadas")</f>
        <v>Visitas guiadas</v>
      </c>
      <c r="V59" s="30" t="str">
        <f ca="1">IFERROR(__xludf.DUMMYFUNCTION("""COMPUTED_VALUE"""),"Ninguna")</f>
        <v>Ninguna</v>
      </c>
      <c r="W59" s="30" t="str">
        <f ca="1">IFERROR(__xludf.DUMMYFUNCTION("""COMPUTED_VALUE"""),"Presencial")</f>
        <v>Presencial</v>
      </c>
      <c r="X59" s="30" t="str">
        <f ca="1">IFERROR(__xludf.DUMMYFUNCTION("""COMPUTED_VALUE"""),"Espacio a Cargo de la Secretaría")</f>
        <v>Espacio a Cargo de la Secretaría</v>
      </c>
      <c r="Y59" s="30" t="str">
        <f ca="1">IFERROR(__xludf.DUMMYFUNCTION("""COMPUTED_VALUE"""),"1")</f>
        <v>1</v>
      </c>
      <c r="Z59" s="30"/>
      <c r="AA59" s="30"/>
      <c r="AB59" s="30" t="b">
        <f ca="1">IFERROR(__xludf.DUMMYFUNCTION("""COMPUTED_VALUE"""),FALSE)</f>
        <v>0</v>
      </c>
      <c r="AC59" s="30"/>
      <c r="AD59" s="30" t="b">
        <f ca="1">IFERROR(__xludf.DUMMYFUNCTION("""COMPUTED_VALUE"""),FALSE)</f>
        <v>0</v>
      </c>
      <c r="AE59" s="30"/>
      <c r="AF59" s="30" t="b">
        <f ca="1">IFERROR(__xludf.DUMMYFUNCTION("""COMPUTED_VALUE"""),FALSE)</f>
        <v>0</v>
      </c>
      <c r="AG59" s="30"/>
      <c r="AH59" s="30" t="str">
        <f ca="1">IFERROR(__xludf.DUMMYFUNCTION("""COMPUTED_VALUE"""),"Sin costo")</f>
        <v>Sin costo</v>
      </c>
      <c r="AI59" s="30"/>
      <c r="AJ59" s="30"/>
      <c r="AK59" s="30"/>
      <c r="AL59" s="30" t="str">
        <f ca="1">IFERROR(__xludf.DUMMYFUNCTION("""COMPUTED_VALUE"""),"ccardonav@guanajuato.gob.mx")</f>
        <v>ccardonav@guanajuato.gob.mx</v>
      </c>
      <c r="AM59" s="30" t="str">
        <f ca="1">IFERROR(__xludf.DUMMYFUNCTION("""COMPUTED_VALUE"""),"Arraigo y empoderamiento cultural de comunidades.")</f>
        <v>Arraigo y empoderamiento cultural de comunidades.</v>
      </c>
      <c r="AN59" s="30" t="str">
        <f ca="1">IFERROR(__xludf.DUMMYFUNCTION("""COMPUTED_VALUE"""),"2 Igualdad")</f>
        <v>2 Igualdad</v>
      </c>
      <c r="AO59" s="30" t="str">
        <f ca="1">IFERROR(__xludf.DUMMYFUNCTION("""COMPUTED_VALUE"""),"2.1 Protección de derechos humanos")</f>
        <v>2.1 Protección de derechos humanos</v>
      </c>
      <c r="AP59" s="30" t="str">
        <f ca="1">IFERROR(__xludf.DUMMYFUNCTION("""COMPUTED_VALUE"""),"2.1.3 Inclusión de personas con discapacidad")</f>
        <v>2.1.3 Inclusión de personas con discapacidad</v>
      </c>
      <c r="AQ59" s="30" t="str">
        <f ca="1">IFERROR(__xludf.DUMMYFUNCTION("""COMPUTED_VALUE"""),"2.1.3.2 Coordinar la incorporación progresiva de la accesibilidad universal")</f>
        <v>2.1.3.2 Coordinar la incorporación progresiva de la accesibilidad universal</v>
      </c>
      <c r="AR59" s="30" t="str">
        <f ca="1">IFERROR(__xludf.DUMMYFUNCTION("""COMPUTED_VALUE"""),"Cooperación")</f>
        <v>Cooperación</v>
      </c>
      <c r="AS59" s="30"/>
      <c r="AT59" s="30" t="str">
        <f ca="1">IFERROR(__xludf.DUMMYFUNCTION("""COMPUTED_VALUE"""),"Fortalecimiento de la participación ciudadana y la mediación cultural")</f>
        <v>Fortalecimiento de la participación ciudadana y la mediación cultural</v>
      </c>
      <c r="AU59" s="30" t="str">
        <f ca="1">IFERROR(__xludf.DUMMYFUNCTION("""COMPUTED_VALUE"""),"Impulso a la ampliación de la oferta cultural en los territorios.")</f>
        <v>Impulso a la ampliación de la oferta cultural en los territorios.</v>
      </c>
      <c r="AV5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 s="30" t="str">
        <f ca="1">IFERROR(__xludf.DUMMYFUNCTION("""COMPUTED_VALUE"""),"Incrementar en 25% la oferta cultural realizada en los municipios.")</f>
        <v>Incrementar en 25% la oferta cultural realizada en los municipios.</v>
      </c>
      <c r="AX59" s="30" t="str">
        <f ca="1">IFERROR(__xludf.DUMMYFUNCTION("""COMPUTED_VALUE"""),"Visitas guiadas")</f>
        <v>Visitas guiadas</v>
      </c>
      <c r="AY59" s="30" t="str">
        <f ca="1">IFERROR(__xludf.DUMMYFUNCTION("""COMPUTED_VALUE"""),"Formación")</f>
        <v>Formación</v>
      </c>
      <c r="AZ59" s="30" t="str">
        <f ca="1">IFERROR(__xludf.DUMMYFUNCTION("""COMPUTED_VALUE"""),"Formación")</f>
        <v>Formación</v>
      </c>
      <c r="BA59" s="30"/>
      <c r="BB59" s="30"/>
      <c r="BC59" s="30">
        <f ca="1">IFERROR(__xludf.DUMMYFUNCTION("""COMPUTED_VALUE"""),0)</f>
        <v>0</v>
      </c>
      <c r="BD59" s="30"/>
      <c r="BE59" s="30"/>
      <c r="BF59" s="30" t="b">
        <f ca="1">IFERROR(__xludf.DUMMYFUNCTION("""COMPUTED_VALUE"""),FALSE)</f>
        <v>0</v>
      </c>
      <c r="BG59" s="30"/>
      <c r="BH59" s="30"/>
      <c r="BI59" s="30"/>
      <c r="BJ59" s="30"/>
      <c r="BK59" s="30"/>
      <c r="BL59" s="30"/>
      <c r="BM59" s="30" t="str">
        <f ca="1">IFERROR(__xludf.DUMMYFUNCTION("""COMPUTED_VALUE"""),"No")</f>
        <v>No</v>
      </c>
      <c r="BN59" s="30"/>
      <c r="BO59" s="30" t="str">
        <f ca="1">IFERROR(__xludf.DUMMYFUNCTION("""COMPUTED_VALUE"""),"43160394")</f>
        <v>43160394</v>
      </c>
      <c r="BP59" s="29" t="str">
        <f ca="1">IFERROR(__xludf.DUMMYFUNCTION("""COMPUTED_VALUE"""),"Guanajuato")</f>
        <v>Guanajuato</v>
      </c>
      <c r="BQ59" s="30" t="str">
        <f ca="1">IFERROR(__xludf.DUMMYFUNCTION("""COMPUTED_VALUE"""),"Urbano")</f>
        <v>Urbano</v>
      </c>
      <c r="BR59" s="30">
        <f ca="1">IFERROR(__xludf.DUMMYFUNCTION("""COMPUTED_VALUE"""),49)</f>
        <v>49</v>
      </c>
      <c r="BS59" s="30" t="str">
        <f ca="1">IFERROR(__xludf.DUMMYFUNCTION("""COMPUTED_VALUE"""),"Guanajuato")</f>
        <v>Guanajuato</v>
      </c>
      <c r="BT59" s="30"/>
      <c r="BU59" s="30" t="str">
        <f ca="1">IFERROR(__xludf.DUMMYFUNCTION("""COMPUTED_VALUE"""),"Si")</f>
        <v>Si</v>
      </c>
      <c r="BV59" s="30" t="str">
        <f ca="1">IFERROR(__xludf.DUMMYFUNCTION("""COMPUTED_VALUE"""),"Si")</f>
        <v>Si</v>
      </c>
      <c r="BW59" s="30">
        <f ca="1">IFERROR(__xludf.DUMMYFUNCTION("""COMPUTED_VALUE"""),50)</f>
        <v>50</v>
      </c>
      <c r="BX59" s="30">
        <f ca="1">IFERROR(__xludf.DUMMYFUNCTION("""COMPUTED_VALUE"""),50)</f>
        <v>50</v>
      </c>
      <c r="BY59" s="30">
        <f ca="1">IFERROR(__xludf.DUMMYFUNCTION("""COMPUTED_VALUE"""),0)</f>
        <v>0</v>
      </c>
      <c r="BZ59" s="30" t="str">
        <f ca="1">IFERROR(__xludf.DUMMYFUNCTION("""COMPUTED_VALUE"""),"Guanajuato")</f>
        <v>Guanajuato</v>
      </c>
      <c r="CA59" s="30" t="str">
        <f ca="1">IFERROR(__xludf.DUMMYFUNCTION("""COMPUTED_VALUE"""),"No")</f>
        <v>No</v>
      </c>
      <c r="CB59" s="30" t="str">
        <f ca="1">IFERROR(__xludf.DUMMYFUNCTION("""COMPUTED_VALUE"""),"No")</f>
        <v>No</v>
      </c>
      <c r="CC59" s="30" t="str">
        <f ca="1">IFERROR(__xludf.DUMMYFUNCTION("""COMPUTED_VALUE"""),"09db4bdd")</f>
        <v>09db4bdd</v>
      </c>
      <c r="CD59" s="29" t="str">
        <f ca="1">IFERROR(__xludf.DUMMYFUNCTION("""COMPUTED_VALUE"""),"Adultos (30 a 59 años)")</f>
        <v>Adultos (30 a 59 años)</v>
      </c>
      <c r="CE59" s="30" t="str">
        <f ca="1">IFERROR(__xludf.DUMMYFUNCTION("""COMPUTED_VALUE"""),"Dato global")</f>
        <v>Dato global</v>
      </c>
      <c r="CF59" s="30" t="str">
        <f ca="1">IFERROR(__xludf.DUMMYFUNCTION("""COMPUTED_VALUE"""),"Ninguno (Población General)")</f>
        <v>Ninguno (Población General)</v>
      </c>
      <c r="CG59" s="30">
        <f ca="1">IFERROR(__xludf.DUMMYFUNCTION("""COMPUTED_VALUE"""),40)</f>
        <v>40</v>
      </c>
      <c r="CI59" s="30" t="str">
        <f ca="1">IFERROR(__xludf.DUMMYFUNCTION("""COMPUTED_VALUE"""),"c002d401")</f>
        <v>c002d401</v>
      </c>
      <c r="CJ59" s="29" t="str">
        <f ca="1">IFERROR(__xludf.DUMMYFUNCTION("""COMPUTED_VALUE"""),"Regitro_Evidencia_Files_/c002d401.Archivo_Evidencia.172003.zip")</f>
        <v>Regitro_Evidencia_Files_/c002d401.Archivo_Evidencia.172003.zip</v>
      </c>
      <c r="CK59" s="30"/>
      <c r="CL59" s="30"/>
      <c r="CM59" s="30" t="str">
        <f ca="1">IFERROR(__xludf.DUMMYFUNCTION("""COMPUTED_VALUE"""),"Guanajuato")</f>
        <v>Guanajuato</v>
      </c>
      <c r="CN59" s="32" t="e">
        <f ca="1"/>
        <v>#NAME?</v>
      </c>
      <c r="CO59" s="32" t="e">
        <f ca="1"/>
        <v>#NAME?</v>
      </c>
      <c r="CP59" s="32" t="e">
        <f ca="1"/>
        <v>#NAME?</v>
      </c>
      <c r="CQ59" s="32" t="e">
        <f ca="1"/>
        <v>#NAME?</v>
      </c>
      <c r="CR59" s="30" t="e">
        <f ca="1"/>
        <v>#NAME?</v>
      </c>
      <c r="CS59" s="30" t="str">
        <f ca="1">IFERROR(__xludf.DUMMYFUNCTION("""COMPUTED_VALUE"""),"Ninguno (Población General)")</f>
        <v>Ninguno (Población General)</v>
      </c>
    </row>
    <row r="60" spans="1:97" ht="14.5">
      <c r="A60" s="29" t="str">
        <f ca="1">IFERROR(__xludf.DUMMYFUNCTION("""COMPUTED_VALUE"""),"ACT-SCRR27760")</f>
        <v>ACT-SCRR27760</v>
      </c>
      <c r="B60" s="30" t="str">
        <f ca="1">IFERROR(__xludf.DUMMYFUNCTION("""COMPUTED_VALUE"""),"SC-260619-120149")</f>
        <v>SC-260619-120149</v>
      </c>
      <c r="C60" s="62">
        <f ca="1">IFERROR(__xludf.DUMMYFUNCTION("""COMPUTED_VALUE"""),46192.501261574)</f>
        <v>46192.501261573998</v>
      </c>
      <c r="D60" s="30">
        <f ca="1">IFERROR(__xludf.DUMMYFUNCTION("""COMPUTED_VALUE"""),92)</f>
        <v>92</v>
      </c>
      <c r="E60" s="30" t="str">
        <f ca="1">IFERROR(__xludf.DUMMYFUNCTION("""COMPUTED_VALUE"""),"PB3572")</f>
        <v>PB3572</v>
      </c>
      <c r="F6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0" s="30" t="str">
        <f ca="1">IFERROR(__xludf.DUMMYFUNCTION("""COMPUTED_VALUE"""),"SUBSECRETARÍA DE DESARROLLO Y PROMOCIÓN ARTÍSTICA Y CULTURAL")</f>
        <v>SUBSECRETARÍA DE DESARROLLO Y PROMOCIÓN ARTÍSTICA Y CULTURAL</v>
      </c>
      <c r="I60" s="34" t="str">
        <f ca="1">IFERROR(__xludf.DUMMYFUNCTION("""COMPUTED_VALUE"""),"DIRECCIÓN GENERAL DE MUSEOS, ARTES VISUALES Y EXPOSICIONES")</f>
        <v>DIRECCIÓN GENERAL DE MUSEOS, ARTES VISUALES Y EXPOSICIONES</v>
      </c>
      <c r="J60" s="30" t="str">
        <f ca="1">IFERROR(__xludf.DUMMYFUNCTION("""COMPUTED_VALUE"""),"Número de Actividades realizadas")</f>
        <v>Número de Actividades realizadas</v>
      </c>
      <c r="K60" s="30">
        <f ca="1">IFERROR(__xludf.DUMMYFUNCTION("""COMPUTED_VALUE"""),800)</f>
        <v>800</v>
      </c>
      <c r="L60" s="30" t="str">
        <f ca="1">IFERROR(__xludf.DUMMYFUNCTION("""COMPUTED_VALUE"""),"Artística")</f>
        <v>Artística</v>
      </c>
      <c r="M60" s="30" t="str">
        <f ca="1">IFERROR(__xludf.DUMMYFUNCTION("""COMPUTED_VALUE"""),"Visita guiada libre")</f>
        <v>Visita guiada libre</v>
      </c>
      <c r="N60" s="30" t="str">
        <f ca="1">IFERROR(__xludf.DUMMYFUNCTION("""COMPUTED_VALUE"""),"Recorrido guiado por el museo")</f>
        <v>Recorrido guiado por el museo</v>
      </c>
      <c r="O60" s="30" t="str">
        <f ca="1">IFERROR(__xludf.DUMMYFUNCTION("""COMPUTED_VALUE"""),"Única")</f>
        <v>Única</v>
      </c>
      <c r="P60" s="33">
        <f ca="1">IFERROR(__xludf.DUMMYFUNCTION("""COMPUTED_VALUE"""),46140)</f>
        <v>46140</v>
      </c>
      <c r="Q60" s="65">
        <f ca="1">IFERROR(__xludf.DUMMYFUNCTION("""COMPUTED_VALUE"""),46140)</f>
        <v>46140</v>
      </c>
      <c r="R60" s="30">
        <f ca="1">IFERROR(__xludf.DUMMYFUNCTION("""COMPUTED_VALUE"""),1)</f>
        <v>1</v>
      </c>
      <c r="S60" s="30" t="str">
        <f ca="1">IFERROR(__xludf.DUMMYFUNCTION("""COMPUTED_VALUE"""),"Cultura comunitaria")</f>
        <v>Cultura comunitaria</v>
      </c>
      <c r="T60" s="30" t="str">
        <f ca="1">IFERROR(__xludf.DUMMYFUNCTION("""COMPUTED_VALUE"""),"Formación comunitaria")</f>
        <v>Formación comunitaria</v>
      </c>
      <c r="U60" s="30" t="str">
        <f ca="1">IFERROR(__xludf.DUMMYFUNCTION("""COMPUTED_VALUE"""),"Visitas guiadas")</f>
        <v>Visitas guiadas</v>
      </c>
      <c r="V60" s="30" t="str">
        <f ca="1">IFERROR(__xludf.DUMMYFUNCTION("""COMPUTED_VALUE"""),"Ninguna")</f>
        <v>Ninguna</v>
      </c>
      <c r="W60" s="30" t="str">
        <f ca="1">IFERROR(__xludf.DUMMYFUNCTION("""COMPUTED_VALUE"""),"Presencial")</f>
        <v>Presencial</v>
      </c>
      <c r="X60" s="30" t="str">
        <f ca="1">IFERROR(__xludf.DUMMYFUNCTION("""COMPUTED_VALUE"""),"Espacio a Cargo de la Secretaría")</f>
        <v>Espacio a Cargo de la Secretaría</v>
      </c>
      <c r="Y60" s="30" t="str">
        <f ca="1">IFERROR(__xludf.DUMMYFUNCTION("""COMPUTED_VALUE"""),"1")</f>
        <v>1</v>
      </c>
      <c r="Z60" s="30"/>
      <c r="AA60" s="30"/>
      <c r="AB60" s="30" t="b">
        <f ca="1">IFERROR(__xludf.DUMMYFUNCTION("""COMPUTED_VALUE"""),FALSE)</f>
        <v>0</v>
      </c>
      <c r="AC60" s="30"/>
      <c r="AD60" s="30" t="b">
        <f ca="1">IFERROR(__xludf.DUMMYFUNCTION("""COMPUTED_VALUE"""),FALSE)</f>
        <v>0</v>
      </c>
      <c r="AE60" s="30"/>
      <c r="AF60" s="30" t="b">
        <f ca="1">IFERROR(__xludf.DUMMYFUNCTION("""COMPUTED_VALUE"""),FALSE)</f>
        <v>0</v>
      </c>
      <c r="AG60" s="30"/>
      <c r="AH60" s="30" t="str">
        <f ca="1">IFERROR(__xludf.DUMMYFUNCTION("""COMPUTED_VALUE"""),"Sin costo")</f>
        <v>Sin costo</v>
      </c>
      <c r="AI60" s="30"/>
      <c r="AJ60" s="30"/>
      <c r="AK60" s="30"/>
      <c r="AL60" s="30" t="str">
        <f ca="1">IFERROR(__xludf.DUMMYFUNCTION("""COMPUTED_VALUE"""),"ccardonav@guanajuato.gob.mx")</f>
        <v>ccardonav@guanajuato.gob.mx</v>
      </c>
      <c r="AM60" s="30" t="str">
        <f ca="1">IFERROR(__xludf.DUMMYFUNCTION("""COMPUTED_VALUE"""),"Arraigo y empoderamiento cultural de comunidades.")</f>
        <v>Arraigo y empoderamiento cultural de comunidades.</v>
      </c>
      <c r="AN60" s="30" t="str">
        <f ca="1">IFERROR(__xludf.DUMMYFUNCTION("""COMPUTED_VALUE"""),"2 Igualdad")</f>
        <v>2 Igualdad</v>
      </c>
      <c r="AO60" s="30" t="str">
        <f ca="1">IFERROR(__xludf.DUMMYFUNCTION("""COMPUTED_VALUE"""),"2.1 Protección de derechos humanos")</f>
        <v>2.1 Protección de derechos humanos</v>
      </c>
      <c r="AP60" s="30" t="str">
        <f ca="1">IFERROR(__xludf.DUMMYFUNCTION("""COMPUTED_VALUE"""),"2.1.3 Inclusión de personas con discapacidad")</f>
        <v>2.1.3 Inclusión de personas con discapacidad</v>
      </c>
      <c r="AQ60" s="30" t="str">
        <f ca="1">IFERROR(__xludf.DUMMYFUNCTION("""COMPUTED_VALUE"""),"2.1.3.2 Coordinar la incorporación progresiva de la accesibilidad universal")</f>
        <v>2.1.3.2 Coordinar la incorporación progresiva de la accesibilidad universal</v>
      </c>
      <c r="AR60" s="30" t="str">
        <f ca="1">IFERROR(__xludf.DUMMYFUNCTION("""COMPUTED_VALUE"""),"Cooperación")</f>
        <v>Cooperación</v>
      </c>
      <c r="AS60" s="30"/>
      <c r="AT60" s="30" t="str">
        <f ca="1">IFERROR(__xludf.DUMMYFUNCTION("""COMPUTED_VALUE"""),"Fortalecimiento de la participación ciudadana y la mediación cultural")</f>
        <v>Fortalecimiento de la participación ciudadana y la mediación cultural</v>
      </c>
      <c r="AU60" s="30" t="str">
        <f ca="1">IFERROR(__xludf.DUMMYFUNCTION("""COMPUTED_VALUE"""),"Impulso a la ampliación de la oferta cultural en los territorios.")</f>
        <v>Impulso a la ampliación de la oferta cultural en los territorios.</v>
      </c>
      <c r="AV6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0" s="30" t="str">
        <f ca="1">IFERROR(__xludf.DUMMYFUNCTION("""COMPUTED_VALUE"""),"Incrementar en 25% la oferta cultural realizada en los municipios.")</f>
        <v>Incrementar en 25% la oferta cultural realizada en los municipios.</v>
      </c>
      <c r="AX60" s="30" t="str">
        <f ca="1">IFERROR(__xludf.DUMMYFUNCTION("""COMPUTED_VALUE"""),"Visitas guiadas")</f>
        <v>Visitas guiadas</v>
      </c>
      <c r="AY60" s="30" t="str">
        <f ca="1">IFERROR(__xludf.DUMMYFUNCTION("""COMPUTED_VALUE"""),"Formación")</f>
        <v>Formación</v>
      </c>
      <c r="AZ60" s="30" t="str">
        <f ca="1">IFERROR(__xludf.DUMMYFUNCTION("""COMPUTED_VALUE"""),"Formación")</f>
        <v>Formación</v>
      </c>
      <c r="BA60" s="30"/>
      <c r="BB60" s="30"/>
      <c r="BC60" s="30">
        <f ca="1">IFERROR(__xludf.DUMMYFUNCTION("""COMPUTED_VALUE"""),0)</f>
        <v>0</v>
      </c>
      <c r="BD60" s="30"/>
      <c r="BE60" s="30"/>
      <c r="BF60" s="30" t="b">
        <f ca="1">IFERROR(__xludf.DUMMYFUNCTION("""COMPUTED_VALUE"""),FALSE)</f>
        <v>0</v>
      </c>
      <c r="BG60" s="30"/>
      <c r="BH60" s="30"/>
      <c r="BI60" s="30"/>
      <c r="BJ60" s="30"/>
      <c r="BK60" s="30"/>
      <c r="BL60" s="30"/>
      <c r="BM60" s="30" t="str">
        <f ca="1">IFERROR(__xludf.DUMMYFUNCTION("""COMPUTED_VALUE"""),"No")</f>
        <v>No</v>
      </c>
      <c r="BN60" s="30"/>
      <c r="BO60" s="30" t="str">
        <f ca="1">IFERROR(__xludf.DUMMYFUNCTION("""COMPUTED_VALUE"""),"f5562d24")</f>
        <v>f5562d24</v>
      </c>
      <c r="BP60" s="29" t="str">
        <f ca="1">IFERROR(__xludf.DUMMYFUNCTION("""COMPUTED_VALUE"""),"Guanajuato")</f>
        <v>Guanajuato</v>
      </c>
      <c r="BQ60" s="30" t="str">
        <f ca="1">IFERROR(__xludf.DUMMYFUNCTION("""COMPUTED_VALUE"""),"Rural")</f>
        <v>Rural</v>
      </c>
      <c r="BR60" s="30">
        <f ca="1">IFERROR(__xludf.DUMMYFUNCTION("""COMPUTED_VALUE"""),49)</f>
        <v>49</v>
      </c>
      <c r="BS60" s="30" t="str">
        <f ca="1">IFERROR(__xludf.DUMMYFUNCTION("""COMPUTED_VALUE"""),"Guanajuato")</f>
        <v>Guanajuato</v>
      </c>
      <c r="BT60" s="30"/>
      <c r="BU60" s="30" t="str">
        <f ca="1">IFERROR(__xludf.DUMMYFUNCTION("""COMPUTED_VALUE"""),"Si")</f>
        <v>Si</v>
      </c>
      <c r="BV60" s="30" t="str">
        <f ca="1">IFERROR(__xludf.DUMMYFUNCTION("""COMPUTED_VALUE"""),"Si")</f>
        <v>Si</v>
      </c>
      <c r="BW60" s="30">
        <f ca="1">IFERROR(__xludf.DUMMYFUNCTION("""COMPUTED_VALUE"""),41)</f>
        <v>41</v>
      </c>
      <c r="BX60" s="30">
        <f ca="1">IFERROR(__xludf.DUMMYFUNCTION("""COMPUTED_VALUE"""),41)</f>
        <v>41</v>
      </c>
      <c r="BY60" s="30">
        <f ca="1">IFERROR(__xludf.DUMMYFUNCTION("""COMPUTED_VALUE"""),0)</f>
        <v>0</v>
      </c>
      <c r="BZ60" s="30" t="str">
        <f ca="1">IFERROR(__xludf.DUMMYFUNCTION("""COMPUTED_VALUE"""),"Guanajuato")</f>
        <v>Guanajuato</v>
      </c>
      <c r="CA60" s="30" t="str">
        <f ca="1">IFERROR(__xludf.DUMMYFUNCTION("""COMPUTED_VALUE"""),"No")</f>
        <v>No</v>
      </c>
      <c r="CB60" s="30" t="str">
        <f ca="1">IFERROR(__xludf.DUMMYFUNCTION("""COMPUTED_VALUE"""),"No")</f>
        <v>No</v>
      </c>
      <c r="CC60" s="30" t="str">
        <f ca="1">IFERROR(__xludf.DUMMYFUNCTION("""COMPUTED_VALUE"""),"62de6350")</f>
        <v>62de6350</v>
      </c>
      <c r="CD60" s="29" t="str">
        <f ca="1">IFERROR(__xludf.DUMMYFUNCTION("""COMPUTED_VALUE"""),"Adultos Mayores (60 años o más)")</f>
        <v>Adultos Mayores (60 años o más)</v>
      </c>
      <c r="CE60" s="30" t="str">
        <f ca="1">IFERROR(__xludf.DUMMYFUNCTION("""COMPUTED_VALUE"""),"Dato global")</f>
        <v>Dato global</v>
      </c>
      <c r="CF60" s="30" t="str">
        <f ca="1">IFERROR(__xludf.DUMMYFUNCTION("""COMPUTED_VALUE"""),"Ninguno (Población General)")</f>
        <v>Ninguno (Población General)</v>
      </c>
      <c r="CG60" s="30">
        <f ca="1">IFERROR(__xludf.DUMMYFUNCTION("""COMPUTED_VALUE"""),5)</f>
        <v>5</v>
      </c>
      <c r="CI60" s="30" t="str">
        <f ca="1">IFERROR(__xludf.DUMMYFUNCTION("""COMPUTED_VALUE"""),"bd962545")</f>
        <v>bd962545</v>
      </c>
      <c r="CJ60" s="29" t="str">
        <f ca="1">IFERROR(__xludf.DUMMYFUNCTION("""COMPUTED_VALUE"""),"Regitro_Evidencia_Files_/bd962545.Archivo_Evidencia.172420.zip")</f>
        <v>Regitro_Evidencia_Files_/bd962545.Archivo_Evidencia.172420.zip</v>
      </c>
      <c r="CK60" s="30" t="str">
        <f ca="1">IFERROR(__xludf.DUMMYFUNCTION("""COMPUTED_VALUE"""),"Carpeta")</f>
        <v>Carpeta</v>
      </c>
      <c r="CL60" s="30"/>
      <c r="CM60" s="30" t="str">
        <f ca="1">IFERROR(__xludf.DUMMYFUNCTION("""COMPUTED_VALUE"""),"Guanajuato")</f>
        <v>Guanajuato</v>
      </c>
      <c r="CN60" s="32" t="e">
        <f ca="1"/>
        <v>#NAME?</v>
      </c>
      <c r="CO60" s="32" t="e">
        <f ca="1"/>
        <v>#NAME?</v>
      </c>
      <c r="CP60" s="32" t="e">
        <f ca="1"/>
        <v>#NAME?</v>
      </c>
      <c r="CQ60" s="32" t="e">
        <f ca="1"/>
        <v>#NAME?</v>
      </c>
      <c r="CR60" s="30" t="e">
        <f ca="1"/>
        <v>#NAME?</v>
      </c>
      <c r="CS60" s="30" t="str">
        <f ca="1">IFERROR(__xludf.DUMMYFUNCTION("""COMPUTED_VALUE"""),"Ninguno (Población General)")</f>
        <v>Ninguno (Población General)</v>
      </c>
    </row>
    <row r="61" spans="1:97" ht="14.5">
      <c r="A61" s="29" t="str">
        <f ca="1">IFERROR(__xludf.DUMMYFUNCTION("""COMPUTED_VALUE"""),"ACT-SCAF80267")</f>
        <v>ACT-SCAF80267</v>
      </c>
      <c r="B61" s="30" t="str">
        <f ca="1">IFERROR(__xludf.DUMMYFUNCTION("""COMPUTED_VALUE"""),"SC-260619-120509")</f>
        <v>SC-260619-120509</v>
      </c>
      <c r="C61" s="62">
        <f ca="1">IFERROR(__xludf.DUMMYFUNCTION("""COMPUTED_VALUE"""),46192.5035763888)</f>
        <v>46192.503576388801</v>
      </c>
      <c r="D61" s="30">
        <f ca="1">IFERROR(__xludf.DUMMYFUNCTION("""COMPUTED_VALUE"""),92)</f>
        <v>92</v>
      </c>
      <c r="E61" s="30" t="str">
        <f ca="1">IFERROR(__xludf.DUMMYFUNCTION("""COMPUTED_VALUE"""),"PB3572")</f>
        <v>PB3572</v>
      </c>
      <c r="F6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1" s="30" t="str">
        <f ca="1">IFERROR(__xludf.DUMMYFUNCTION("""COMPUTED_VALUE"""),"SUBSECRETARÍA DE DESARROLLO Y PROMOCIÓN ARTÍSTICA Y CULTURAL")</f>
        <v>SUBSECRETARÍA DE DESARROLLO Y PROMOCIÓN ARTÍSTICA Y CULTURAL</v>
      </c>
      <c r="I61" s="34" t="str">
        <f ca="1">IFERROR(__xludf.DUMMYFUNCTION("""COMPUTED_VALUE"""),"DIRECCIÓN GENERAL DE MUSEOS, ARTES VISUALES Y EXPOSICIONES")</f>
        <v>DIRECCIÓN GENERAL DE MUSEOS, ARTES VISUALES Y EXPOSICIONES</v>
      </c>
      <c r="J61" s="30" t="str">
        <f ca="1">IFERROR(__xludf.DUMMYFUNCTION("""COMPUTED_VALUE"""),"Número de Actividades realizadas")</f>
        <v>Número de Actividades realizadas</v>
      </c>
      <c r="K61" s="30">
        <f ca="1">IFERROR(__xludf.DUMMYFUNCTION("""COMPUTED_VALUE"""),800)</f>
        <v>800</v>
      </c>
      <c r="L61" s="30" t="str">
        <f ca="1">IFERROR(__xludf.DUMMYFUNCTION("""COMPUTED_VALUE"""),"Artística")</f>
        <v>Artística</v>
      </c>
      <c r="M61" s="30" t="str">
        <f ca="1">IFERROR(__xludf.DUMMYFUNCTION("""COMPUTED_VALUE"""),"Visita guiada UVEG Telebachillerato Comunitario León Ramillete")</f>
        <v>Visita guiada UVEG Telebachillerato Comunitario León Ramillete</v>
      </c>
      <c r="N61" s="30" t="str">
        <f ca="1">IFERROR(__xludf.DUMMYFUNCTION("""COMPUTED_VALUE"""),"Recorrido guiado por el museo")</f>
        <v>Recorrido guiado por el museo</v>
      </c>
      <c r="O61" s="30" t="str">
        <f ca="1">IFERROR(__xludf.DUMMYFUNCTION("""COMPUTED_VALUE"""),"Única")</f>
        <v>Única</v>
      </c>
      <c r="P61" s="33">
        <f ca="1">IFERROR(__xludf.DUMMYFUNCTION("""COMPUTED_VALUE"""),46142)</f>
        <v>46142</v>
      </c>
      <c r="Q61" s="65">
        <f ca="1">IFERROR(__xludf.DUMMYFUNCTION("""COMPUTED_VALUE"""),46142)</f>
        <v>46142</v>
      </c>
      <c r="R61" s="30">
        <f ca="1">IFERROR(__xludf.DUMMYFUNCTION("""COMPUTED_VALUE"""),1)</f>
        <v>1</v>
      </c>
      <c r="S61" s="30" t="str">
        <f ca="1">IFERROR(__xludf.DUMMYFUNCTION("""COMPUTED_VALUE"""),"Cultura comunitaria")</f>
        <v>Cultura comunitaria</v>
      </c>
      <c r="T61" s="30" t="str">
        <f ca="1">IFERROR(__xludf.DUMMYFUNCTION("""COMPUTED_VALUE"""),"Formación comunitaria")</f>
        <v>Formación comunitaria</v>
      </c>
      <c r="U61" s="30" t="str">
        <f ca="1">IFERROR(__xludf.DUMMYFUNCTION("""COMPUTED_VALUE"""),"Visitas guiadas")</f>
        <v>Visitas guiadas</v>
      </c>
      <c r="V61" s="30" t="str">
        <f ca="1">IFERROR(__xludf.DUMMYFUNCTION("""COMPUTED_VALUE"""),"Ninguna")</f>
        <v>Ninguna</v>
      </c>
      <c r="W61" s="30" t="str">
        <f ca="1">IFERROR(__xludf.DUMMYFUNCTION("""COMPUTED_VALUE"""),"Presencial")</f>
        <v>Presencial</v>
      </c>
      <c r="X61" s="30" t="str">
        <f ca="1">IFERROR(__xludf.DUMMYFUNCTION("""COMPUTED_VALUE"""),"Espacio a Cargo de la Secretaría")</f>
        <v>Espacio a Cargo de la Secretaría</v>
      </c>
      <c r="Y61" s="30" t="str">
        <f ca="1">IFERROR(__xludf.DUMMYFUNCTION("""COMPUTED_VALUE"""),"5")</f>
        <v>5</v>
      </c>
      <c r="Z61" s="30"/>
      <c r="AA61" s="30"/>
      <c r="AB61" s="30" t="b">
        <f ca="1">IFERROR(__xludf.DUMMYFUNCTION("""COMPUTED_VALUE"""),FALSE)</f>
        <v>0</v>
      </c>
      <c r="AC61" s="30"/>
      <c r="AD61" s="30" t="b">
        <f ca="1">IFERROR(__xludf.DUMMYFUNCTION("""COMPUTED_VALUE"""),FALSE)</f>
        <v>0</v>
      </c>
      <c r="AE61" s="30"/>
      <c r="AF61" s="30" t="b">
        <f ca="1">IFERROR(__xludf.DUMMYFUNCTION("""COMPUTED_VALUE"""),FALSE)</f>
        <v>0</v>
      </c>
      <c r="AG61" s="30"/>
      <c r="AH61" s="30" t="str">
        <f ca="1">IFERROR(__xludf.DUMMYFUNCTION("""COMPUTED_VALUE"""),"Sin costo")</f>
        <v>Sin costo</v>
      </c>
      <c r="AI61" s="30"/>
      <c r="AJ61" s="30"/>
      <c r="AK61" s="30"/>
      <c r="AL61" s="30" t="str">
        <f ca="1">IFERROR(__xludf.DUMMYFUNCTION("""COMPUTED_VALUE"""),"ccardonav@guanajuato.gob.mx")</f>
        <v>ccardonav@guanajuato.gob.mx</v>
      </c>
      <c r="AM61" s="30" t="str">
        <f ca="1">IFERROR(__xludf.DUMMYFUNCTION("""COMPUTED_VALUE"""),"Arraigo y empoderamiento cultural de comunidades.")</f>
        <v>Arraigo y empoderamiento cultural de comunidades.</v>
      </c>
      <c r="AN61" s="30" t="str">
        <f ca="1">IFERROR(__xludf.DUMMYFUNCTION("""COMPUTED_VALUE"""),"2 Igualdad")</f>
        <v>2 Igualdad</v>
      </c>
      <c r="AO61" s="30" t="str">
        <f ca="1">IFERROR(__xludf.DUMMYFUNCTION("""COMPUTED_VALUE"""),"2.1 Protección de derechos humanos")</f>
        <v>2.1 Protección de derechos humanos</v>
      </c>
      <c r="AP61" s="30" t="str">
        <f ca="1">IFERROR(__xludf.DUMMYFUNCTION("""COMPUTED_VALUE"""),"2.1.3 Inclusión de personas con discapacidad")</f>
        <v>2.1.3 Inclusión de personas con discapacidad</v>
      </c>
      <c r="AQ61" s="30" t="str">
        <f ca="1">IFERROR(__xludf.DUMMYFUNCTION("""COMPUTED_VALUE"""),"2.1.3.2 Coordinar la incorporación progresiva de la accesibilidad universal")</f>
        <v>2.1.3.2 Coordinar la incorporación progresiva de la accesibilidad universal</v>
      </c>
      <c r="AR61" s="30" t="str">
        <f ca="1">IFERROR(__xludf.DUMMYFUNCTION("""COMPUTED_VALUE"""),"Cooperación")</f>
        <v>Cooperación</v>
      </c>
      <c r="AS61" s="30"/>
      <c r="AT61" s="30" t="str">
        <f ca="1">IFERROR(__xludf.DUMMYFUNCTION("""COMPUTED_VALUE"""),"Fortalecimiento de la participación ciudadana y la mediación cultural")</f>
        <v>Fortalecimiento de la participación ciudadana y la mediación cultural</v>
      </c>
      <c r="AU61" s="30" t="str">
        <f ca="1">IFERROR(__xludf.DUMMYFUNCTION("""COMPUTED_VALUE"""),"Impulso a la ampliación de la oferta cultural en los territorios.")</f>
        <v>Impulso a la ampliación de la oferta cultural en los territorios.</v>
      </c>
      <c r="AV6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1" s="30" t="str">
        <f ca="1">IFERROR(__xludf.DUMMYFUNCTION("""COMPUTED_VALUE"""),"Incrementar en 25% la oferta cultural realizada en los municipios.")</f>
        <v>Incrementar en 25% la oferta cultural realizada en los municipios.</v>
      </c>
      <c r="AX61" s="30" t="str">
        <f ca="1">IFERROR(__xludf.DUMMYFUNCTION("""COMPUTED_VALUE"""),"Visitas escolares")</f>
        <v>Visitas escolares</v>
      </c>
      <c r="AY61" s="30" t="str">
        <f ca="1">IFERROR(__xludf.DUMMYFUNCTION("""COMPUTED_VALUE"""),"Formación")</f>
        <v>Formación</v>
      </c>
      <c r="AZ61" s="30" t="str">
        <f ca="1">IFERROR(__xludf.DUMMYFUNCTION("""COMPUTED_VALUE"""),"Formación")</f>
        <v>Formación</v>
      </c>
      <c r="BA61" s="30"/>
      <c r="BB61" s="30"/>
      <c r="BC61" s="30">
        <f ca="1">IFERROR(__xludf.DUMMYFUNCTION("""COMPUTED_VALUE"""),0)</f>
        <v>0</v>
      </c>
      <c r="BD61" s="30"/>
      <c r="BE61" s="30"/>
      <c r="BF61" s="30" t="b">
        <f ca="1">IFERROR(__xludf.DUMMYFUNCTION("""COMPUTED_VALUE"""),FALSE)</f>
        <v>0</v>
      </c>
      <c r="BG61" s="30"/>
      <c r="BH61" s="30"/>
      <c r="BI61" s="30"/>
      <c r="BJ61" s="30"/>
      <c r="BK61" s="30"/>
      <c r="BL61" s="30"/>
      <c r="BM61" s="30" t="str">
        <f ca="1">IFERROR(__xludf.DUMMYFUNCTION("""COMPUTED_VALUE"""),"No")</f>
        <v>No</v>
      </c>
      <c r="BN61" s="30"/>
      <c r="BO61" s="30" t="str">
        <f ca="1">IFERROR(__xludf.DUMMYFUNCTION("""COMPUTED_VALUE"""),"3a2d8a91")</f>
        <v>3a2d8a91</v>
      </c>
      <c r="BP61" s="29" t="str">
        <f ca="1">IFERROR(__xludf.DUMMYFUNCTION("""COMPUTED_VALUE"""),"Guanajuato")</f>
        <v>Guanajuato</v>
      </c>
      <c r="BQ61" s="30" t="str">
        <f ca="1">IFERROR(__xludf.DUMMYFUNCTION("""COMPUTED_VALUE"""),"Urbano")</f>
        <v>Urbano</v>
      </c>
      <c r="BR61" s="30">
        <f ca="1">IFERROR(__xludf.DUMMYFUNCTION("""COMPUTED_VALUE"""),49)</f>
        <v>49</v>
      </c>
      <c r="BS61" s="30" t="str">
        <f ca="1">IFERROR(__xludf.DUMMYFUNCTION("""COMPUTED_VALUE"""),"Guanajuato")</f>
        <v>Guanajuato</v>
      </c>
      <c r="BT61" s="30"/>
      <c r="BU61" s="30" t="str">
        <f ca="1">IFERROR(__xludf.DUMMYFUNCTION("""COMPUTED_VALUE"""),"Si")</f>
        <v>Si</v>
      </c>
      <c r="BV61" s="30" t="str">
        <f ca="1">IFERROR(__xludf.DUMMYFUNCTION("""COMPUTED_VALUE"""),"Si")</f>
        <v>Si</v>
      </c>
      <c r="BW61" s="30">
        <f ca="1">IFERROR(__xludf.DUMMYFUNCTION("""COMPUTED_VALUE"""),18)</f>
        <v>18</v>
      </c>
      <c r="BX61" s="30">
        <f ca="1">IFERROR(__xludf.DUMMYFUNCTION("""COMPUTED_VALUE"""),18)</f>
        <v>18</v>
      </c>
      <c r="BY61" s="30">
        <f ca="1">IFERROR(__xludf.DUMMYFUNCTION("""COMPUTED_VALUE"""),0)</f>
        <v>0</v>
      </c>
      <c r="BZ61" s="30" t="str">
        <f ca="1">IFERROR(__xludf.DUMMYFUNCTION("""COMPUTED_VALUE"""),"Guanajuato")</f>
        <v>Guanajuato</v>
      </c>
      <c r="CA61" s="30" t="str">
        <f ca="1">IFERROR(__xludf.DUMMYFUNCTION("""COMPUTED_VALUE"""),"No")</f>
        <v>No</v>
      </c>
      <c r="CB61" s="30" t="str">
        <f ca="1">IFERROR(__xludf.DUMMYFUNCTION("""COMPUTED_VALUE"""),"No")</f>
        <v>No</v>
      </c>
      <c r="CC61" s="30" t="str">
        <f ca="1">IFERROR(__xludf.DUMMYFUNCTION("""COMPUTED_VALUE"""),"85e5b2b3")</f>
        <v>85e5b2b3</v>
      </c>
      <c r="CD61" s="29" t="str">
        <f ca="1">IFERROR(__xludf.DUMMYFUNCTION("""COMPUTED_VALUE"""),"Adultos Mayores (60 años o más)")</f>
        <v>Adultos Mayores (60 años o más)</v>
      </c>
      <c r="CE61" s="30" t="str">
        <f ca="1">IFERROR(__xludf.DUMMYFUNCTION("""COMPUTED_VALUE"""),"Dato global")</f>
        <v>Dato global</v>
      </c>
      <c r="CF61" s="30" t="str">
        <f ca="1">IFERROR(__xludf.DUMMYFUNCTION("""COMPUTED_VALUE"""),"Ninguno (Población General)")</f>
        <v>Ninguno (Población General)</v>
      </c>
      <c r="CG61" s="30">
        <f ca="1">IFERROR(__xludf.DUMMYFUNCTION("""COMPUTED_VALUE"""),8)</f>
        <v>8</v>
      </c>
      <c r="CI61" s="30" t="str">
        <f ca="1">IFERROR(__xludf.DUMMYFUNCTION("""COMPUTED_VALUE"""),"72107b42")</f>
        <v>72107b42</v>
      </c>
      <c r="CJ61" s="29" t="str">
        <f ca="1">IFERROR(__xludf.DUMMYFUNCTION("""COMPUTED_VALUE"""),"Regitro_Evidencia_Files_/72107b42.Archivo_Evidencia.172842.zip")</f>
        <v>Regitro_Evidencia_Files_/72107b42.Archivo_Evidencia.172842.zip</v>
      </c>
      <c r="CK61" s="30" t="str">
        <f ca="1">IFERROR(__xludf.DUMMYFUNCTION("""COMPUTED_VALUE"""),"Carpeta")</f>
        <v>Carpeta</v>
      </c>
      <c r="CL61" s="30"/>
      <c r="CM61" s="30" t="str">
        <f ca="1">IFERROR(__xludf.DUMMYFUNCTION("""COMPUTED_VALUE"""),"Guanajuato")</f>
        <v>Guanajuato</v>
      </c>
      <c r="CN61" s="32" t="e">
        <f ca="1"/>
        <v>#NAME?</v>
      </c>
      <c r="CO61" s="32" t="e">
        <f ca="1"/>
        <v>#NAME?</v>
      </c>
      <c r="CP61" s="32" t="e">
        <f ca="1"/>
        <v>#NAME?</v>
      </c>
      <c r="CQ61" s="32" t="e">
        <f ca="1"/>
        <v>#NAME?</v>
      </c>
      <c r="CR61" s="30" t="e">
        <f ca="1"/>
        <v>#NAME?</v>
      </c>
      <c r="CS61" s="30" t="str">
        <f ca="1">IFERROR(__xludf.DUMMYFUNCTION("""COMPUTED_VALUE"""),"Ninguno (Población General)")</f>
        <v>Ninguno (Población General)</v>
      </c>
    </row>
    <row r="62" spans="1:97" ht="14.5">
      <c r="A62" s="29" t="str">
        <f ca="1">IFERROR(__xludf.DUMMYFUNCTION("""COMPUTED_VALUE"""),"ACT-SCCR74811")</f>
        <v>ACT-SCCR74811</v>
      </c>
      <c r="B62" s="30" t="str">
        <f ca="1">IFERROR(__xludf.DUMMYFUNCTION("""COMPUTED_VALUE"""),"SC-260619-122603")</f>
        <v>SC-260619-122603</v>
      </c>
      <c r="C62" s="62">
        <f ca="1">IFERROR(__xludf.DUMMYFUNCTION("""COMPUTED_VALUE"""),46192.5180902777)</f>
        <v>46192.518090277699</v>
      </c>
      <c r="D62" s="30">
        <f ca="1">IFERROR(__xludf.DUMMYFUNCTION("""COMPUTED_VALUE"""),92)</f>
        <v>92</v>
      </c>
      <c r="E62" s="30" t="str">
        <f ca="1">IFERROR(__xludf.DUMMYFUNCTION("""COMPUTED_VALUE"""),"PB3572")</f>
        <v>PB3572</v>
      </c>
      <c r="F6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2" s="30" t="str">
        <f ca="1">IFERROR(__xludf.DUMMYFUNCTION("""COMPUTED_VALUE"""),"SUBSECRETARÍA DE DESARROLLO Y PROMOCIÓN ARTÍSTICA Y CULTURAL")</f>
        <v>SUBSECRETARÍA DE DESARROLLO Y PROMOCIÓN ARTÍSTICA Y CULTURAL</v>
      </c>
      <c r="I62" s="34" t="str">
        <f ca="1">IFERROR(__xludf.DUMMYFUNCTION("""COMPUTED_VALUE"""),"DIRECCIÓN GENERAL DE MUSEOS, ARTES VISUALES Y EXPOSICIONES")</f>
        <v>DIRECCIÓN GENERAL DE MUSEOS, ARTES VISUALES Y EXPOSICIONES</v>
      </c>
      <c r="J62" s="30" t="str">
        <f ca="1">IFERROR(__xludf.DUMMYFUNCTION("""COMPUTED_VALUE"""),"Número de Actividades realizadas")</f>
        <v>Número de Actividades realizadas</v>
      </c>
      <c r="K62" s="30">
        <f ca="1">IFERROR(__xludf.DUMMYFUNCTION("""COMPUTED_VALUE"""),800)</f>
        <v>800</v>
      </c>
      <c r="L62" s="30" t="str">
        <f ca="1">IFERROR(__xludf.DUMMYFUNCTION("""COMPUTED_VALUE"""),"Artística")</f>
        <v>Artística</v>
      </c>
      <c r="M62" s="30" t="str">
        <f ca="1">IFERROR(__xludf.DUMMYFUNCTION("""COMPUTED_VALUE"""),"Visita guiada  Instituto Tecnológico Superior de Irapuato")</f>
        <v>Visita guiada  Instituto Tecnológico Superior de Irapuato</v>
      </c>
      <c r="N62" s="30" t="str">
        <f ca="1">IFERROR(__xludf.DUMMYFUNCTION("""COMPUTED_VALUE"""),"Recorrido guiado por el museo")</f>
        <v>Recorrido guiado por el museo</v>
      </c>
      <c r="O62" s="30" t="str">
        <f ca="1">IFERROR(__xludf.DUMMYFUNCTION("""COMPUTED_VALUE"""),"Única")</f>
        <v>Única</v>
      </c>
      <c r="P62" s="33">
        <f ca="1">IFERROR(__xludf.DUMMYFUNCTION("""COMPUTED_VALUE"""),46130)</f>
        <v>46130</v>
      </c>
      <c r="Q62" s="65">
        <f ca="1">IFERROR(__xludf.DUMMYFUNCTION("""COMPUTED_VALUE"""),46130)</f>
        <v>46130</v>
      </c>
      <c r="R62" s="30">
        <f ca="1">IFERROR(__xludf.DUMMYFUNCTION("""COMPUTED_VALUE"""),1)</f>
        <v>1</v>
      </c>
      <c r="S62" s="30" t="str">
        <f ca="1">IFERROR(__xludf.DUMMYFUNCTION("""COMPUTED_VALUE"""),"Cultura comunitaria")</f>
        <v>Cultura comunitaria</v>
      </c>
      <c r="T62" s="30" t="str">
        <f ca="1">IFERROR(__xludf.DUMMYFUNCTION("""COMPUTED_VALUE"""),"Formación comunitaria")</f>
        <v>Formación comunitaria</v>
      </c>
      <c r="U62" s="30" t="str">
        <f ca="1">IFERROR(__xludf.DUMMYFUNCTION("""COMPUTED_VALUE"""),"Visitas escolares")</f>
        <v>Visitas escolares</v>
      </c>
      <c r="V62" s="30" t="str">
        <f ca="1">IFERROR(__xludf.DUMMYFUNCTION("""COMPUTED_VALUE"""),"Ninguna")</f>
        <v>Ninguna</v>
      </c>
      <c r="W62" s="30" t="str">
        <f ca="1">IFERROR(__xludf.DUMMYFUNCTION("""COMPUTED_VALUE"""),"Presencial")</f>
        <v>Presencial</v>
      </c>
      <c r="X62" s="30" t="str">
        <f ca="1">IFERROR(__xludf.DUMMYFUNCTION("""COMPUTED_VALUE"""),"Espacio a Cargo de la Secretaría")</f>
        <v>Espacio a Cargo de la Secretaría</v>
      </c>
      <c r="Y62" s="30" t="str">
        <f ca="1">IFERROR(__xludf.DUMMYFUNCTION("""COMPUTED_VALUE"""),"5")</f>
        <v>5</v>
      </c>
      <c r="Z62" s="30"/>
      <c r="AA62" s="30"/>
      <c r="AB62" s="30" t="b">
        <f ca="1">IFERROR(__xludf.DUMMYFUNCTION("""COMPUTED_VALUE"""),FALSE)</f>
        <v>0</v>
      </c>
      <c r="AC62" s="30"/>
      <c r="AD62" s="30" t="b">
        <f ca="1">IFERROR(__xludf.DUMMYFUNCTION("""COMPUTED_VALUE"""),FALSE)</f>
        <v>0</v>
      </c>
      <c r="AE62" s="30"/>
      <c r="AF62" s="30" t="b">
        <f ca="1">IFERROR(__xludf.DUMMYFUNCTION("""COMPUTED_VALUE"""),FALSE)</f>
        <v>0</v>
      </c>
      <c r="AG62" s="30"/>
      <c r="AH62" s="30" t="str">
        <f ca="1">IFERROR(__xludf.DUMMYFUNCTION("""COMPUTED_VALUE"""),"Sin costo")</f>
        <v>Sin costo</v>
      </c>
      <c r="AI62" s="30"/>
      <c r="AJ62" s="30"/>
      <c r="AK62" s="30"/>
      <c r="AL62" s="30" t="str">
        <f ca="1">IFERROR(__xludf.DUMMYFUNCTION("""COMPUTED_VALUE"""),"ccardonav@guanajuato.gob.mx")</f>
        <v>ccardonav@guanajuato.gob.mx</v>
      </c>
      <c r="AM62" s="30" t="str">
        <f ca="1">IFERROR(__xludf.DUMMYFUNCTION("""COMPUTED_VALUE"""),"Arraigo y empoderamiento cultural de comunidades.")</f>
        <v>Arraigo y empoderamiento cultural de comunidades.</v>
      </c>
      <c r="AN62" s="30" t="str">
        <f ca="1">IFERROR(__xludf.DUMMYFUNCTION("""COMPUTED_VALUE"""),"2 Igualdad")</f>
        <v>2 Igualdad</v>
      </c>
      <c r="AO62" s="30" t="str">
        <f ca="1">IFERROR(__xludf.DUMMYFUNCTION("""COMPUTED_VALUE"""),"2.1 Protección de derechos humanos")</f>
        <v>2.1 Protección de derechos humanos</v>
      </c>
      <c r="AP62" s="30" t="str">
        <f ca="1">IFERROR(__xludf.DUMMYFUNCTION("""COMPUTED_VALUE"""),"2.1.3 Inclusión de personas con discapacidad")</f>
        <v>2.1.3 Inclusión de personas con discapacidad</v>
      </c>
      <c r="AQ62" s="30" t="str">
        <f ca="1">IFERROR(__xludf.DUMMYFUNCTION("""COMPUTED_VALUE"""),"2.1.3.2 Coordinar la incorporación progresiva de la accesibilidad universal")</f>
        <v>2.1.3.2 Coordinar la incorporación progresiva de la accesibilidad universal</v>
      </c>
      <c r="AR62" s="30" t="str">
        <f ca="1">IFERROR(__xludf.DUMMYFUNCTION("""COMPUTED_VALUE"""),"Cooperación")</f>
        <v>Cooperación</v>
      </c>
      <c r="AS62" s="30"/>
      <c r="AT62" s="30" t="str">
        <f ca="1">IFERROR(__xludf.DUMMYFUNCTION("""COMPUTED_VALUE"""),"Fortalecimiento de la participación ciudadana y la mediación cultural")</f>
        <v>Fortalecimiento de la participación ciudadana y la mediación cultural</v>
      </c>
      <c r="AU62" s="30" t="str">
        <f ca="1">IFERROR(__xludf.DUMMYFUNCTION("""COMPUTED_VALUE"""),"Impulso a la ampliación de la oferta cultural en los territorios.")</f>
        <v>Impulso a la ampliación de la oferta cultural en los territorios.</v>
      </c>
      <c r="AV6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2" s="30" t="str">
        <f ca="1">IFERROR(__xludf.DUMMYFUNCTION("""COMPUTED_VALUE"""),"Incrementar en 25% la oferta cultural realizada en los municipios.")</f>
        <v>Incrementar en 25% la oferta cultural realizada en los municipios.</v>
      </c>
      <c r="AX62" s="30" t="str">
        <f ca="1">IFERROR(__xludf.DUMMYFUNCTION("""COMPUTED_VALUE"""),"Visitas escolares")</f>
        <v>Visitas escolares</v>
      </c>
      <c r="AY62" s="30" t="str">
        <f ca="1">IFERROR(__xludf.DUMMYFUNCTION("""COMPUTED_VALUE"""),"Formación")</f>
        <v>Formación</v>
      </c>
      <c r="AZ62" s="30" t="str">
        <f ca="1">IFERROR(__xludf.DUMMYFUNCTION("""COMPUTED_VALUE"""),"Formación")</f>
        <v>Formación</v>
      </c>
      <c r="BA62" s="30"/>
      <c r="BB62" s="30"/>
      <c r="BC62" s="30">
        <f ca="1">IFERROR(__xludf.DUMMYFUNCTION("""COMPUTED_VALUE"""),0)</f>
        <v>0</v>
      </c>
      <c r="BD62" s="30"/>
      <c r="BE62" s="30"/>
      <c r="BF62" s="30" t="b">
        <f ca="1">IFERROR(__xludf.DUMMYFUNCTION("""COMPUTED_VALUE"""),FALSE)</f>
        <v>0</v>
      </c>
      <c r="BG62" s="30"/>
      <c r="BH62" s="30"/>
      <c r="BI62" s="30"/>
      <c r="BJ62" s="30"/>
      <c r="BK62" s="30"/>
      <c r="BL62" s="30"/>
      <c r="BM62" s="30" t="str">
        <f ca="1">IFERROR(__xludf.DUMMYFUNCTION("""COMPUTED_VALUE"""),"No")</f>
        <v>No</v>
      </c>
      <c r="BN62" s="30"/>
      <c r="BO62" s="30" t="str">
        <f ca="1">IFERROR(__xludf.DUMMYFUNCTION("""COMPUTED_VALUE"""),"ad3cadd4")</f>
        <v>ad3cadd4</v>
      </c>
      <c r="BP62" s="29" t="str">
        <f ca="1">IFERROR(__xludf.DUMMYFUNCTION("""COMPUTED_VALUE"""),"Guanajuato")</f>
        <v>Guanajuato</v>
      </c>
      <c r="BQ62" s="30" t="str">
        <f ca="1">IFERROR(__xludf.DUMMYFUNCTION("""COMPUTED_VALUE"""),"Urbano")</f>
        <v>Urbano</v>
      </c>
      <c r="BR62" s="30">
        <f ca="1">IFERROR(__xludf.DUMMYFUNCTION("""COMPUTED_VALUE"""),49)</f>
        <v>49</v>
      </c>
      <c r="BS62" s="30" t="str">
        <f ca="1">IFERROR(__xludf.DUMMYFUNCTION("""COMPUTED_VALUE"""),"Guanajuato")</f>
        <v>Guanajuato</v>
      </c>
      <c r="BT62" s="30"/>
      <c r="BU62" s="30" t="str">
        <f ca="1">IFERROR(__xludf.DUMMYFUNCTION("""COMPUTED_VALUE"""),"Si")</f>
        <v>Si</v>
      </c>
      <c r="BV62" s="30" t="str">
        <f ca="1">IFERROR(__xludf.DUMMYFUNCTION("""COMPUTED_VALUE"""),"Si")</f>
        <v>Si</v>
      </c>
      <c r="BW62" s="30">
        <f ca="1">IFERROR(__xludf.DUMMYFUNCTION("""COMPUTED_VALUE"""),29)</f>
        <v>29</v>
      </c>
      <c r="BX62" s="30">
        <f ca="1">IFERROR(__xludf.DUMMYFUNCTION("""COMPUTED_VALUE"""),29)</f>
        <v>29</v>
      </c>
      <c r="BY62" s="30">
        <f ca="1">IFERROR(__xludf.DUMMYFUNCTION("""COMPUTED_VALUE"""),0)</f>
        <v>0</v>
      </c>
      <c r="BZ62" s="30" t="str">
        <f ca="1">IFERROR(__xludf.DUMMYFUNCTION("""COMPUTED_VALUE"""),"Guanajuato")</f>
        <v>Guanajuato</v>
      </c>
      <c r="CA62" s="30" t="str">
        <f ca="1">IFERROR(__xludf.DUMMYFUNCTION("""COMPUTED_VALUE"""),"No")</f>
        <v>No</v>
      </c>
      <c r="CB62" s="30" t="str">
        <f ca="1">IFERROR(__xludf.DUMMYFUNCTION("""COMPUTED_VALUE"""),"No")</f>
        <v>No</v>
      </c>
      <c r="CC62" s="30" t="str">
        <f ca="1">IFERROR(__xludf.DUMMYFUNCTION("""COMPUTED_VALUE"""),"d8396303")</f>
        <v>d8396303</v>
      </c>
      <c r="CD62" s="29" t="str">
        <f ca="1">IFERROR(__xludf.DUMMYFUNCTION("""COMPUTED_VALUE"""),"Adultos Mayores (60 años o más)")</f>
        <v>Adultos Mayores (60 años o más)</v>
      </c>
      <c r="CE62" s="30" t="str">
        <f ca="1">IFERROR(__xludf.DUMMYFUNCTION("""COMPUTED_VALUE"""),"Dato global")</f>
        <v>Dato global</v>
      </c>
      <c r="CF62" s="30" t="str">
        <f ca="1">IFERROR(__xludf.DUMMYFUNCTION("""COMPUTED_VALUE"""),"Ninguno (Población General)")</f>
        <v>Ninguno (Población General)</v>
      </c>
      <c r="CG62" s="30">
        <f ca="1">IFERROR(__xludf.DUMMYFUNCTION("""COMPUTED_VALUE"""),2)</f>
        <v>2</v>
      </c>
      <c r="CI62" s="30" t="str">
        <f ca="1">IFERROR(__xludf.DUMMYFUNCTION("""COMPUTED_VALUE"""),"d654b569")</f>
        <v>d654b569</v>
      </c>
      <c r="CJ62" s="29" t="str">
        <f ca="1">IFERROR(__xludf.DUMMYFUNCTION("""COMPUTED_VALUE"""),"Regitro_Evidencia_Files_/d654b569.Archivo_Evidencia.174401.zip")</f>
        <v>Regitro_Evidencia_Files_/d654b569.Archivo_Evidencia.174401.zip</v>
      </c>
      <c r="CK62" s="30" t="str">
        <f ca="1">IFERROR(__xludf.DUMMYFUNCTION("""COMPUTED_VALUE"""),"Carpeta")</f>
        <v>Carpeta</v>
      </c>
      <c r="CL62" s="30"/>
      <c r="CM62" s="30" t="str">
        <f ca="1">IFERROR(__xludf.DUMMYFUNCTION("""COMPUTED_VALUE"""),"Guanajuato")</f>
        <v>Guanajuato</v>
      </c>
      <c r="CN62" s="32" t="e">
        <f ca="1"/>
        <v>#NAME?</v>
      </c>
      <c r="CO62" s="32" t="e">
        <f ca="1"/>
        <v>#NAME?</v>
      </c>
      <c r="CP62" s="32" t="e">
        <f ca="1"/>
        <v>#NAME?</v>
      </c>
      <c r="CQ62" s="32" t="e">
        <f ca="1"/>
        <v>#NAME?</v>
      </c>
      <c r="CR62" s="30" t="e">
        <f ca="1"/>
        <v>#NAME?</v>
      </c>
      <c r="CS62" s="30" t="str">
        <f ca="1">IFERROR(__xludf.DUMMYFUNCTION("""COMPUTED_VALUE"""),"NNA (Niñas, Niños y Adolescentes)")</f>
        <v>NNA (Niñas, Niños y Adolescentes)</v>
      </c>
    </row>
    <row r="63" spans="1:97" ht="14.5">
      <c r="A63" s="29" t="str">
        <f ca="1">IFERROR(__xludf.DUMMYFUNCTION("""COMPUTED_VALUE"""),"ACT-SCFB28687")</f>
        <v>ACT-SCFB28687</v>
      </c>
      <c r="B63" s="30" t="str">
        <f ca="1">IFERROR(__xludf.DUMMYFUNCTION("""COMPUTED_VALUE"""),"SC-260619-124027")</f>
        <v>SC-260619-124027</v>
      </c>
      <c r="C63" s="62">
        <f ca="1">IFERROR(__xludf.DUMMYFUNCTION("""COMPUTED_VALUE"""),46192.5280902777)</f>
        <v>46192.528090277701</v>
      </c>
      <c r="D63" s="30">
        <f ca="1">IFERROR(__xludf.DUMMYFUNCTION("""COMPUTED_VALUE"""),92)</f>
        <v>92</v>
      </c>
      <c r="E63" s="30" t="str">
        <f ca="1">IFERROR(__xludf.DUMMYFUNCTION("""COMPUTED_VALUE"""),"PB3572")</f>
        <v>PB3572</v>
      </c>
      <c r="F6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3" s="30" t="str">
        <f ca="1">IFERROR(__xludf.DUMMYFUNCTION("""COMPUTED_VALUE"""),"SUBSECRETARÍA DE DESARROLLO Y PROMOCIÓN ARTÍSTICA Y CULTURAL")</f>
        <v>SUBSECRETARÍA DE DESARROLLO Y PROMOCIÓN ARTÍSTICA Y CULTURAL</v>
      </c>
      <c r="I63" s="34" t="str">
        <f ca="1">IFERROR(__xludf.DUMMYFUNCTION("""COMPUTED_VALUE"""),"DIRECCIÓN GENERAL DE MUSEOS, ARTES VISUALES Y EXPOSICIONES")</f>
        <v>DIRECCIÓN GENERAL DE MUSEOS, ARTES VISUALES Y EXPOSICIONES</v>
      </c>
      <c r="J63" s="30" t="str">
        <f ca="1">IFERROR(__xludf.DUMMYFUNCTION("""COMPUTED_VALUE"""),"Número de Actividades realizadas")</f>
        <v>Número de Actividades realizadas</v>
      </c>
      <c r="K63" s="30">
        <f ca="1">IFERROR(__xludf.DUMMYFUNCTION("""COMPUTED_VALUE"""),800)</f>
        <v>800</v>
      </c>
      <c r="L63" s="30" t="str">
        <f ca="1">IFERROR(__xludf.DUMMYFUNCTION("""COMPUTED_VALUE"""),"Artística")</f>
        <v>Artística</v>
      </c>
      <c r="M63" s="30" t="str">
        <f ca="1">IFERROR(__xludf.DUMMYFUNCTION("""COMPUTED_VALUE"""),"Visita guiada Universidad de Guanajuato (Facultad de Arquitectura)")</f>
        <v>Visita guiada Universidad de Guanajuato (Facultad de Arquitectura)</v>
      </c>
      <c r="N63" s="30" t="str">
        <f ca="1">IFERROR(__xludf.DUMMYFUNCTION("""COMPUTED_VALUE"""),"Recorrido guiado por el museo")</f>
        <v>Recorrido guiado por el museo</v>
      </c>
      <c r="O63" s="30" t="str">
        <f ca="1">IFERROR(__xludf.DUMMYFUNCTION("""COMPUTED_VALUE"""),"Única")</f>
        <v>Única</v>
      </c>
      <c r="P63" s="33">
        <f ca="1">IFERROR(__xludf.DUMMYFUNCTION("""COMPUTED_VALUE"""),46140)</f>
        <v>46140</v>
      </c>
      <c r="Q63" s="65">
        <f ca="1">IFERROR(__xludf.DUMMYFUNCTION("""COMPUTED_VALUE"""),46140)</f>
        <v>46140</v>
      </c>
      <c r="R63" s="30">
        <f ca="1">IFERROR(__xludf.DUMMYFUNCTION("""COMPUTED_VALUE"""),1)</f>
        <v>1</v>
      </c>
      <c r="S63" s="30" t="str">
        <f ca="1">IFERROR(__xludf.DUMMYFUNCTION("""COMPUTED_VALUE"""),"Cultura comunitaria")</f>
        <v>Cultura comunitaria</v>
      </c>
      <c r="T63" s="30" t="str">
        <f ca="1">IFERROR(__xludf.DUMMYFUNCTION("""COMPUTED_VALUE"""),"Formación comunitaria")</f>
        <v>Formación comunitaria</v>
      </c>
      <c r="U63" s="30" t="str">
        <f ca="1">IFERROR(__xludf.DUMMYFUNCTION("""COMPUTED_VALUE"""),"Visitas guiadas")</f>
        <v>Visitas guiadas</v>
      </c>
      <c r="V63" s="30" t="str">
        <f ca="1">IFERROR(__xludf.DUMMYFUNCTION("""COMPUTED_VALUE"""),"Ninguna")</f>
        <v>Ninguna</v>
      </c>
      <c r="W63" s="30" t="str">
        <f ca="1">IFERROR(__xludf.DUMMYFUNCTION("""COMPUTED_VALUE"""),"Presencial")</f>
        <v>Presencial</v>
      </c>
      <c r="X63" s="30" t="str">
        <f ca="1">IFERROR(__xludf.DUMMYFUNCTION("""COMPUTED_VALUE"""),"Espacio a Cargo de la Secretaría")</f>
        <v>Espacio a Cargo de la Secretaría</v>
      </c>
      <c r="Y63" s="30" t="str">
        <f ca="1">IFERROR(__xludf.DUMMYFUNCTION("""COMPUTED_VALUE"""),"5")</f>
        <v>5</v>
      </c>
      <c r="Z63" s="30"/>
      <c r="AA63" s="30"/>
      <c r="AB63" s="30" t="b">
        <f ca="1">IFERROR(__xludf.DUMMYFUNCTION("""COMPUTED_VALUE"""),FALSE)</f>
        <v>0</v>
      </c>
      <c r="AC63" s="30"/>
      <c r="AD63" s="30" t="b">
        <f ca="1">IFERROR(__xludf.DUMMYFUNCTION("""COMPUTED_VALUE"""),FALSE)</f>
        <v>0</v>
      </c>
      <c r="AE63" s="30"/>
      <c r="AF63" s="30" t="b">
        <f ca="1">IFERROR(__xludf.DUMMYFUNCTION("""COMPUTED_VALUE"""),FALSE)</f>
        <v>0</v>
      </c>
      <c r="AG63" s="30"/>
      <c r="AH63" s="30" t="str">
        <f ca="1">IFERROR(__xludf.DUMMYFUNCTION("""COMPUTED_VALUE"""),"Sin costo")</f>
        <v>Sin costo</v>
      </c>
      <c r="AI63" s="30"/>
      <c r="AJ63" s="30"/>
      <c r="AK63" s="30"/>
      <c r="AL63" s="30" t="str">
        <f ca="1">IFERROR(__xludf.DUMMYFUNCTION("""COMPUTED_VALUE"""),"ccardonav@guanajuato.gob.mx")</f>
        <v>ccardonav@guanajuato.gob.mx</v>
      </c>
      <c r="AM63" s="30" t="str">
        <f ca="1">IFERROR(__xludf.DUMMYFUNCTION("""COMPUTED_VALUE"""),"Arraigo y empoderamiento cultural de comunidades.")</f>
        <v>Arraigo y empoderamiento cultural de comunidades.</v>
      </c>
      <c r="AN63" s="30" t="str">
        <f ca="1">IFERROR(__xludf.DUMMYFUNCTION("""COMPUTED_VALUE"""),"2 Igualdad")</f>
        <v>2 Igualdad</v>
      </c>
      <c r="AO63" s="30" t="str">
        <f ca="1">IFERROR(__xludf.DUMMYFUNCTION("""COMPUTED_VALUE"""),"2.1 Protección de derechos humanos")</f>
        <v>2.1 Protección de derechos humanos</v>
      </c>
      <c r="AP63" s="30" t="str">
        <f ca="1">IFERROR(__xludf.DUMMYFUNCTION("""COMPUTED_VALUE"""),"2.1.3 Inclusión de personas con discapacidad")</f>
        <v>2.1.3 Inclusión de personas con discapacidad</v>
      </c>
      <c r="AQ63" s="30" t="str">
        <f ca="1">IFERROR(__xludf.DUMMYFUNCTION("""COMPUTED_VALUE"""),"2.1.3.2 Coordinar la incorporación progresiva de la accesibilidad universal")</f>
        <v>2.1.3.2 Coordinar la incorporación progresiva de la accesibilidad universal</v>
      </c>
      <c r="AR63" s="30" t="str">
        <f ca="1">IFERROR(__xludf.DUMMYFUNCTION("""COMPUTED_VALUE"""),"Cooperación")</f>
        <v>Cooperación</v>
      </c>
      <c r="AS63" s="30"/>
      <c r="AT63" s="30" t="str">
        <f ca="1">IFERROR(__xludf.DUMMYFUNCTION("""COMPUTED_VALUE"""),"Fortalecimiento de la participación ciudadana y la mediación cultural")</f>
        <v>Fortalecimiento de la participación ciudadana y la mediación cultural</v>
      </c>
      <c r="AU63" s="30" t="str">
        <f ca="1">IFERROR(__xludf.DUMMYFUNCTION("""COMPUTED_VALUE"""),"Impulso a la ampliación de la oferta cultural en los territorios.")</f>
        <v>Impulso a la ampliación de la oferta cultural en los territorios.</v>
      </c>
      <c r="AV6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3" s="30" t="str">
        <f ca="1">IFERROR(__xludf.DUMMYFUNCTION("""COMPUTED_VALUE"""),"Incrementar en 25% la oferta cultural realizada en los municipios.")</f>
        <v>Incrementar en 25% la oferta cultural realizada en los municipios.</v>
      </c>
      <c r="AX63" s="30" t="str">
        <f ca="1">IFERROR(__xludf.DUMMYFUNCTION("""COMPUTED_VALUE"""),"Visitas escolares")</f>
        <v>Visitas escolares</v>
      </c>
      <c r="AY63" s="30" t="str">
        <f ca="1">IFERROR(__xludf.DUMMYFUNCTION("""COMPUTED_VALUE"""),"Formación")</f>
        <v>Formación</v>
      </c>
      <c r="AZ63" s="30" t="str">
        <f ca="1">IFERROR(__xludf.DUMMYFUNCTION("""COMPUTED_VALUE"""),"Formación")</f>
        <v>Formación</v>
      </c>
      <c r="BA63" s="30"/>
      <c r="BB63" s="30"/>
      <c r="BC63" s="30">
        <f ca="1">IFERROR(__xludf.DUMMYFUNCTION("""COMPUTED_VALUE"""),0)</f>
        <v>0</v>
      </c>
      <c r="BD63" s="30"/>
      <c r="BE63" s="30"/>
      <c r="BF63" s="30" t="b">
        <f ca="1">IFERROR(__xludf.DUMMYFUNCTION("""COMPUTED_VALUE"""),FALSE)</f>
        <v>0</v>
      </c>
      <c r="BG63" s="30"/>
      <c r="BH63" s="30"/>
      <c r="BI63" s="30"/>
      <c r="BJ63" s="30"/>
      <c r="BK63" s="30"/>
      <c r="BL63" s="30"/>
      <c r="BM63" s="30" t="str">
        <f ca="1">IFERROR(__xludf.DUMMYFUNCTION("""COMPUTED_VALUE"""),"No")</f>
        <v>No</v>
      </c>
      <c r="BN63" s="30"/>
      <c r="BO63" s="30" t="str">
        <f ca="1">IFERROR(__xludf.DUMMYFUNCTION("""COMPUTED_VALUE"""),"27b2dc0e")</f>
        <v>27b2dc0e</v>
      </c>
      <c r="BP63" s="29" t="str">
        <f ca="1">IFERROR(__xludf.DUMMYFUNCTION("""COMPUTED_VALUE"""),"Guanajuato")</f>
        <v>Guanajuato</v>
      </c>
      <c r="BQ63" s="30" t="str">
        <f ca="1">IFERROR(__xludf.DUMMYFUNCTION("""COMPUTED_VALUE"""),"Urbano")</f>
        <v>Urbano</v>
      </c>
      <c r="BR63" s="30"/>
      <c r="BS63" s="30"/>
      <c r="BT63" s="30"/>
      <c r="BU63" s="30" t="str">
        <f ca="1">IFERROR(__xludf.DUMMYFUNCTION("""COMPUTED_VALUE"""),"No")</f>
        <v>No</v>
      </c>
      <c r="BV63" s="30" t="str">
        <f ca="1">IFERROR(__xludf.DUMMYFUNCTION("""COMPUTED_VALUE"""),"No")</f>
        <v>No</v>
      </c>
      <c r="BW63" s="30">
        <f ca="1">IFERROR(__xludf.DUMMYFUNCTION("""COMPUTED_VALUE"""),29)</f>
        <v>29</v>
      </c>
      <c r="BX63" s="30">
        <f ca="1">IFERROR(__xludf.DUMMYFUNCTION("""COMPUTED_VALUE"""),29)</f>
        <v>29</v>
      </c>
      <c r="BY63" s="30">
        <f ca="1">IFERROR(__xludf.DUMMYFUNCTION("""COMPUTED_VALUE"""),0)</f>
        <v>0</v>
      </c>
      <c r="BZ63" s="30"/>
      <c r="CA63" s="30" t="str">
        <f ca="1">IFERROR(__xludf.DUMMYFUNCTION("""COMPUTED_VALUE"""),"No")</f>
        <v>No</v>
      </c>
      <c r="CB63" s="30" t="str">
        <f ca="1">IFERROR(__xludf.DUMMYFUNCTION("""COMPUTED_VALUE"""),"No")</f>
        <v>No</v>
      </c>
      <c r="CC63" s="30" t="str">
        <f ca="1">IFERROR(__xludf.DUMMYFUNCTION("""COMPUTED_VALUE"""),"c226cf67")</f>
        <v>c226cf67</v>
      </c>
      <c r="CD63" s="29" t="str">
        <f ca="1">IFERROR(__xludf.DUMMYFUNCTION("""COMPUTED_VALUE"""),"Jóvenes (18 a 29 años)")</f>
        <v>Jóvenes (18 a 29 años)</v>
      </c>
      <c r="CE63" s="30" t="str">
        <f ca="1">IFERROR(__xludf.DUMMYFUNCTION("""COMPUTED_VALUE"""),"Dato global")</f>
        <v>Dato global</v>
      </c>
      <c r="CF63" s="30" t="str">
        <f ca="1">IFERROR(__xludf.DUMMYFUNCTION("""COMPUTED_VALUE"""),"Ninguno (Población General)")</f>
        <v>Ninguno (Población General)</v>
      </c>
      <c r="CG63" s="30">
        <f ca="1">IFERROR(__xludf.DUMMYFUNCTION("""COMPUTED_VALUE"""),42)</f>
        <v>42</v>
      </c>
      <c r="CI63" s="30" t="str">
        <f ca="1">IFERROR(__xludf.DUMMYFUNCTION("""COMPUTED_VALUE"""),"d54cb14b")</f>
        <v>d54cb14b</v>
      </c>
      <c r="CJ63" s="29" t="str">
        <f ca="1">IFERROR(__xludf.DUMMYFUNCTION("""COMPUTED_VALUE"""),"Regitro_Evidencia_Files_/d54cb14b.Archivo_Evidencia.185306.zip")</f>
        <v>Regitro_Evidencia_Files_/d54cb14b.Archivo_Evidencia.185306.zip</v>
      </c>
      <c r="CK63" s="30" t="str">
        <f ca="1">IFERROR(__xludf.DUMMYFUNCTION("""COMPUTED_VALUE"""),"Carpeta")</f>
        <v>Carpeta</v>
      </c>
      <c r="CL63" s="30"/>
      <c r="CM63" s="30" t="str">
        <f ca="1">IFERROR(__xludf.DUMMYFUNCTION("""COMPUTED_VALUE"""),"Guanajuato")</f>
        <v>Guanajuato</v>
      </c>
      <c r="CN63" s="32" t="e">
        <f ca="1"/>
        <v>#NAME?</v>
      </c>
      <c r="CO63" s="32" t="e">
        <f ca="1"/>
        <v>#NAME?</v>
      </c>
      <c r="CP63" s="32" t="e">
        <f ca="1"/>
        <v>#NAME?</v>
      </c>
      <c r="CQ63" s="32" t="e">
        <f ca="1"/>
        <v>#NAME?</v>
      </c>
      <c r="CR63" s="30" t="e">
        <f ca="1"/>
        <v>#NAME?</v>
      </c>
      <c r="CS63" s="30" t="str">
        <f ca="1">IFERROR(__xludf.DUMMYFUNCTION("""COMPUTED_VALUE"""),"NNA (Niñas, Niños y Adolescentes)")</f>
        <v>NNA (Niñas, Niños y Adolescentes)</v>
      </c>
    </row>
    <row r="64" spans="1:97" ht="14.5">
      <c r="A64" s="29" t="str">
        <f ca="1">IFERROR(__xludf.DUMMYFUNCTION("""COMPUTED_VALUE"""),"ACT-SCEY53656")</f>
        <v>ACT-SCEY53656</v>
      </c>
      <c r="B64" s="30" t="str">
        <f ca="1">IFERROR(__xludf.DUMMYFUNCTION("""COMPUTED_VALUE"""),"SC-260619-124452")</f>
        <v>SC-260619-124452</v>
      </c>
      <c r="C64" s="62">
        <f ca="1">IFERROR(__xludf.DUMMYFUNCTION("""COMPUTED_VALUE"""),46192.5311574074)</f>
        <v>46192.5311574074</v>
      </c>
      <c r="D64" s="30">
        <f ca="1">IFERROR(__xludf.DUMMYFUNCTION("""COMPUTED_VALUE"""),92)</f>
        <v>92</v>
      </c>
      <c r="E64" s="30" t="str">
        <f ca="1">IFERROR(__xludf.DUMMYFUNCTION("""COMPUTED_VALUE"""),"PB3572")</f>
        <v>PB3572</v>
      </c>
      <c r="F6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4" s="30" t="str">
        <f ca="1">IFERROR(__xludf.DUMMYFUNCTION("""COMPUTED_VALUE"""),"SUBSECRETARÍA DE DESARROLLO Y PROMOCIÓN ARTÍSTICA Y CULTURAL")</f>
        <v>SUBSECRETARÍA DE DESARROLLO Y PROMOCIÓN ARTÍSTICA Y CULTURAL</v>
      </c>
      <c r="I64" s="34" t="str">
        <f ca="1">IFERROR(__xludf.DUMMYFUNCTION("""COMPUTED_VALUE"""),"DIRECCIÓN GENERAL DE MUSEOS, ARTES VISUALES Y EXPOSICIONES")</f>
        <v>DIRECCIÓN GENERAL DE MUSEOS, ARTES VISUALES Y EXPOSICIONES</v>
      </c>
      <c r="J64" s="30" t="str">
        <f ca="1">IFERROR(__xludf.DUMMYFUNCTION("""COMPUTED_VALUE"""),"Número de Actividades realizadas")</f>
        <v>Número de Actividades realizadas</v>
      </c>
      <c r="K64" s="30">
        <f ca="1">IFERROR(__xludf.DUMMYFUNCTION("""COMPUTED_VALUE"""),800)</f>
        <v>800</v>
      </c>
      <c r="L64" s="30" t="str">
        <f ca="1">IFERROR(__xludf.DUMMYFUNCTION("""COMPUTED_VALUE"""),"Artística")</f>
        <v>Artística</v>
      </c>
      <c r="M64" s="30" t="str">
        <f ca="1">IFERROR(__xludf.DUMMYFUNCTION("""COMPUTED_VALUE"""),"Recorrido guiado por el museo")</f>
        <v>Recorrido guiado por el museo</v>
      </c>
      <c r="N64" s="30" t="str">
        <f ca="1">IFERROR(__xludf.DUMMYFUNCTION("""COMPUTED_VALUE"""),"Recorrido guiado por el museo")</f>
        <v>Recorrido guiado por el museo</v>
      </c>
      <c r="O64" s="30" t="str">
        <f ca="1">IFERROR(__xludf.DUMMYFUNCTION("""COMPUTED_VALUE"""),"Única")</f>
        <v>Única</v>
      </c>
      <c r="P64" s="33">
        <f ca="1">IFERROR(__xludf.DUMMYFUNCTION("""COMPUTED_VALUE"""),46192)</f>
        <v>46192</v>
      </c>
      <c r="Q64" s="65">
        <f ca="1">IFERROR(__xludf.DUMMYFUNCTION("""COMPUTED_VALUE"""),46192)</f>
        <v>46192</v>
      </c>
      <c r="R64" s="30">
        <f ca="1">IFERROR(__xludf.DUMMYFUNCTION("""COMPUTED_VALUE"""),1)</f>
        <v>1</v>
      </c>
      <c r="S64" s="30" t="str">
        <f ca="1">IFERROR(__xludf.DUMMYFUNCTION("""COMPUTED_VALUE"""),"Cultura comunitaria")</f>
        <v>Cultura comunitaria</v>
      </c>
      <c r="T64" s="30" t="str">
        <f ca="1">IFERROR(__xludf.DUMMYFUNCTION("""COMPUTED_VALUE"""),"Formación comunitaria")</f>
        <v>Formación comunitaria</v>
      </c>
      <c r="U64" s="30" t="str">
        <f ca="1">IFERROR(__xludf.DUMMYFUNCTION("""COMPUTED_VALUE"""),"Visitas escolares")</f>
        <v>Visitas escolares</v>
      </c>
      <c r="V64" s="30" t="str">
        <f ca="1">IFERROR(__xludf.DUMMYFUNCTION("""COMPUTED_VALUE"""),"Ninguna")</f>
        <v>Ninguna</v>
      </c>
      <c r="W64" s="30" t="str">
        <f ca="1">IFERROR(__xludf.DUMMYFUNCTION("""COMPUTED_VALUE"""),"Presencial")</f>
        <v>Presencial</v>
      </c>
      <c r="X64" s="30" t="str">
        <f ca="1">IFERROR(__xludf.DUMMYFUNCTION("""COMPUTED_VALUE"""),"Espacio a Cargo de la Secretaría")</f>
        <v>Espacio a Cargo de la Secretaría</v>
      </c>
      <c r="Y64" s="30" t="str">
        <f ca="1">IFERROR(__xludf.DUMMYFUNCTION("""COMPUTED_VALUE"""),"2")</f>
        <v>2</v>
      </c>
      <c r="Z64" s="30"/>
      <c r="AA64" s="30"/>
      <c r="AB64" s="30" t="b">
        <f ca="1">IFERROR(__xludf.DUMMYFUNCTION("""COMPUTED_VALUE"""),FALSE)</f>
        <v>0</v>
      </c>
      <c r="AC64" s="30"/>
      <c r="AD64" s="30" t="b">
        <f ca="1">IFERROR(__xludf.DUMMYFUNCTION("""COMPUTED_VALUE"""),FALSE)</f>
        <v>0</v>
      </c>
      <c r="AE64" s="30"/>
      <c r="AF64" s="30" t="b">
        <f ca="1">IFERROR(__xludf.DUMMYFUNCTION("""COMPUTED_VALUE"""),FALSE)</f>
        <v>0</v>
      </c>
      <c r="AG64" s="30"/>
      <c r="AH64" s="30" t="str">
        <f ca="1">IFERROR(__xludf.DUMMYFUNCTION("""COMPUTED_VALUE"""),"Sin costo")</f>
        <v>Sin costo</v>
      </c>
      <c r="AI64" s="30"/>
      <c r="AJ64" s="30"/>
      <c r="AK64" s="30"/>
      <c r="AL64" s="30" t="str">
        <f ca="1">IFERROR(__xludf.DUMMYFUNCTION("""COMPUTED_VALUE"""),"ccardonav@guanajuato.gob.mx")</f>
        <v>ccardonav@guanajuato.gob.mx</v>
      </c>
      <c r="AM64" s="30" t="str">
        <f ca="1">IFERROR(__xludf.DUMMYFUNCTION("""COMPUTED_VALUE"""),"Arraigo y empoderamiento cultural de comunidades.")</f>
        <v>Arraigo y empoderamiento cultural de comunidades.</v>
      </c>
      <c r="AN64" s="30" t="str">
        <f ca="1">IFERROR(__xludf.DUMMYFUNCTION("""COMPUTED_VALUE"""),"2 Igualdad")</f>
        <v>2 Igualdad</v>
      </c>
      <c r="AO64" s="30" t="str">
        <f ca="1">IFERROR(__xludf.DUMMYFUNCTION("""COMPUTED_VALUE"""),"2.1 Protección de derechos humanos")</f>
        <v>2.1 Protección de derechos humanos</v>
      </c>
      <c r="AP64" s="30" t="str">
        <f ca="1">IFERROR(__xludf.DUMMYFUNCTION("""COMPUTED_VALUE"""),"2.1.3 Inclusión de personas con discapacidad")</f>
        <v>2.1.3 Inclusión de personas con discapacidad</v>
      </c>
      <c r="AQ64" s="30" t="str">
        <f ca="1">IFERROR(__xludf.DUMMYFUNCTION("""COMPUTED_VALUE"""),"2.1.3.2 Coordinar la incorporación progresiva de la accesibilidad universal")</f>
        <v>2.1.3.2 Coordinar la incorporación progresiva de la accesibilidad universal</v>
      </c>
      <c r="AR64" s="30" t="str">
        <f ca="1">IFERROR(__xludf.DUMMYFUNCTION("""COMPUTED_VALUE"""),"Cooperación")</f>
        <v>Cooperación</v>
      </c>
      <c r="AS64" s="30"/>
      <c r="AT64" s="30" t="str">
        <f ca="1">IFERROR(__xludf.DUMMYFUNCTION("""COMPUTED_VALUE"""),"Fortalecimiento de la participación ciudadana y la mediación cultural")</f>
        <v>Fortalecimiento de la participación ciudadana y la mediación cultural</v>
      </c>
      <c r="AU64" s="30" t="str">
        <f ca="1">IFERROR(__xludf.DUMMYFUNCTION("""COMPUTED_VALUE"""),"Impulso a la ampliación de la oferta cultural en los territorios.")</f>
        <v>Impulso a la ampliación de la oferta cultural en los territorios.</v>
      </c>
      <c r="AV6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4" s="30" t="str">
        <f ca="1">IFERROR(__xludf.DUMMYFUNCTION("""COMPUTED_VALUE"""),"Incrementar en 25% la oferta cultural realizada en los municipios.")</f>
        <v>Incrementar en 25% la oferta cultural realizada en los municipios.</v>
      </c>
      <c r="AX64" s="30" t="str">
        <f ca="1">IFERROR(__xludf.DUMMYFUNCTION("""COMPUTED_VALUE"""),"Visitas escolares")</f>
        <v>Visitas escolares</v>
      </c>
      <c r="AY64" s="30" t="str">
        <f ca="1">IFERROR(__xludf.DUMMYFUNCTION("""COMPUTED_VALUE"""),"Formación")</f>
        <v>Formación</v>
      </c>
      <c r="AZ64" s="30" t="str">
        <f ca="1">IFERROR(__xludf.DUMMYFUNCTION("""COMPUTED_VALUE"""),"Formación")</f>
        <v>Formación</v>
      </c>
      <c r="BA64" s="30"/>
      <c r="BB64" s="30"/>
      <c r="BC64" s="30">
        <f ca="1">IFERROR(__xludf.DUMMYFUNCTION("""COMPUTED_VALUE"""),0)</f>
        <v>0</v>
      </c>
      <c r="BD64" s="30"/>
      <c r="BE64" s="30"/>
      <c r="BF64" s="30" t="b">
        <f ca="1">IFERROR(__xludf.DUMMYFUNCTION("""COMPUTED_VALUE"""),FALSE)</f>
        <v>0</v>
      </c>
      <c r="BG64" s="30"/>
      <c r="BH64" s="30"/>
      <c r="BI64" s="30"/>
      <c r="BJ64" s="30"/>
      <c r="BK64" s="30"/>
      <c r="BL64" s="30"/>
      <c r="BM64" s="30" t="str">
        <f ca="1">IFERROR(__xludf.DUMMYFUNCTION("""COMPUTED_VALUE"""),"No")</f>
        <v>No</v>
      </c>
      <c r="BN64" s="30"/>
      <c r="BO64" s="30" t="str">
        <f ca="1">IFERROR(__xludf.DUMMYFUNCTION("""COMPUTED_VALUE"""),"6508bb72")</f>
        <v>6508bb72</v>
      </c>
      <c r="BP64" s="29" t="str">
        <f ca="1">IFERROR(__xludf.DUMMYFUNCTION("""COMPUTED_VALUE"""),"Guanajuato")</f>
        <v>Guanajuato</v>
      </c>
      <c r="BQ64" s="30" t="str">
        <f ca="1">IFERROR(__xludf.DUMMYFUNCTION("""COMPUTED_VALUE"""),"Rural")</f>
        <v>Rural</v>
      </c>
      <c r="BR64" s="30">
        <f ca="1">IFERROR(__xludf.DUMMYFUNCTION("""COMPUTED_VALUE"""),49)</f>
        <v>49</v>
      </c>
      <c r="BS64" s="30" t="str">
        <f ca="1">IFERROR(__xludf.DUMMYFUNCTION("""COMPUTED_VALUE"""),"Guanajuato")</f>
        <v>Guanajuato</v>
      </c>
      <c r="BT64" s="30"/>
      <c r="BU64" s="30" t="str">
        <f ca="1">IFERROR(__xludf.DUMMYFUNCTION("""COMPUTED_VALUE"""),"Si")</f>
        <v>Si</v>
      </c>
      <c r="BV64" s="30" t="str">
        <f ca="1">IFERROR(__xludf.DUMMYFUNCTION("""COMPUTED_VALUE"""),"Si")</f>
        <v>Si</v>
      </c>
      <c r="BW64" s="30">
        <f ca="1">IFERROR(__xludf.DUMMYFUNCTION("""COMPUTED_VALUE"""),86)</f>
        <v>86</v>
      </c>
      <c r="BX64" s="30">
        <f ca="1">IFERROR(__xludf.DUMMYFUNCTION("""COMPUTED_VALUE"""),86)</f>
        <v>86</v>
      </c>
      <c r="BY64" s="30">
        <f ca="1">IFERROR(__xludf.DUMMYFUNCTION("""COMPUTED_VALUE"""),0)</f>
        <v>0</v>
      </c>
      <c r="BZ64" s="30" t="str">
        <f ca="1">IFERROR(__xludf.DUMMYFUNCTION("""COMPUTED_VALUE"""),"Guanajuato")</f>
        <v>Guanajuato</v>
      </c>
      <c r="CA64" s="30" t="str">
        <f ca="1">IFERROR(__xludf.DUMMYFUNCTION("""COMPUTED_VALUE"""),"No")</f>
        <v>No</v>
      </c>
      <c r="CB64" s="30" t="str">
        <f ca="1">IFERROR(__xludf.DUMMYFUNCTION("""COMPUTED_VALUE"""),"No")</f>
        <v>No</v>
      </c>
      <c r="CC64" s="30" t="str">
        <f ca="1">IFERROR(__xludf.DUMMYFUNCTION("""COMPUTED_VALUE"""),"9d5e649c")</f>
        <v>9d5e649c</v>
      </c>
      <c r="CD64" s="29" t="str">
        <f ca="1">IFERROR(__xludf.DUMMYFUNCTION("""COMPUTED_VALUE"""),"Adultos Mayores (60 años o más)")</f>
        <v>Adultos Mayores (60 años o más)</v>
      </c>
      <c r="CE64" s="30" t="str">
        <f ca="1">IFERROR(__xludf.DUMMYFUNCTION("""COMPUTED_VALUE"""),"Dato global")</f>
        <v>Dato global</v>
      </c>
      <c r="CF64" s="30" t="str">
        <f ca="1">IFERROR(__xludf.DUMMYFUNCTION("""COMPUTED_VALUE"""),"Ninguno (Población General)")</f>
        <v>Ninguno (Población General)</v>
      </c>
      <c r="CG64" s="30">
        <f ca="1">IFERROR(__xludf.DUMMYFUNCTION("""COMPUTED_VALUE"""),15)</f>
        <v>15</v>
      </c>
      <c r="CI64" s="30" t="str">
        <f ca="1">IFERROR(__xludf.DUMMYFUNCTION("""COMPUTED_VALUE"""),"da06369c")</f>
        <v>da06369c</v>
      </c>
      <c r="CJ64" s="29" t="str">
        <f ca="1">IFERROR(__xludf.DUMMYFUNCTION("""COMPUTED_VALUE"""),"Regitro_Evidencia_Files_/da06369c.Archivo_Evidencia.185828.zip")</f>
        <v>Regitro_Evidencia_Files_/da06369c.Archivo_Evidencia.185828.zip</v>
      </c>
      <c r="CK64" s="30" t="str">
        <f ca="1">IFERROR(__xludf.DUMMYFUNCTION("""COMPUTED_VALUE"""),"Carpeta")</f>
        <v>Carpeta</v>
      </c>
      <c r="CL64" s="30"/>
      <c r="CM64" s="30" t="str">
        <f ca="1">IFERROR(__xludf.DUMMYFUNCTION("""COMPUTED_VALUE"""),"Guanajuato")</f>
        <v>Guanajuato</v>
      </c>
      <c r="CN64" s="32" t="e">
        <f ca="1"/>
        <v>#NAME?</v>
      </c>
      <c r="CO64" s="32" t="e">
        <f ca="1"/>
        <v>#NAME?</v>
      </c>
      <c r="CP64" s="32" t="e">
        <f ca="1"/>
        <v>#NAME?</v>
      </c>
      <c r="CQ64" s="32" t="e">
        <f ca="1"/>
        <v>#NAME?</v>
      </c>
      <c r="CR64" s="30" t="e">
        <f ca="1"/>
        <v>#NAME?</v>
      </c>
      <c r="CS64" s="30" t="str">
        <f ca="1">IFERROR(__xludf.DUMMYFUNCTION("""COMPUTED_VALUE"""),"Ninguno (Población General), Ninguno (Población General), Ninguno (Población General)")</f>
        <v>Ninguno (Población General), Ninguno (Población General), Ninguno (Población General)</v>
      </c>
    </row>
    <row r="65" spans="1:97" ht="14.5">
      <c r="A65" s="29" t="str">
        <f ca="1">IFERROR(__xludf.DUMMYFUNCTION("""COMPUTED_VALUE"""),"ACT-SCLN82017")</f>
        <v>ACT-SCLN82017</v>
      </c>
      <c r="B65" s="30" t="str">
        <f ca="1">IFERROR(__xludf.DUMMYFUNCTION("""COMPUTED_VALUE"""),"SC-260619-125429")</f>
        <v>SC-260619-125429</v>
      </c>
      <c r="C65" s="62">
        <f ca="1">IFERROR(__xludf.DUMMYFUNCTION("""COMPUTED_VALUE"""),46192.5378356481)</f>
        <v>46192.537835648101</v>
      </c>
      <c r="D65" s="30">
        <f ca="1">IFERROR(__xludf.DUMMYFUNCTION("""COMPUTED_VALUE"""),92)</f>
        <v>92</v>
      </c>
      <c r="E65" s="30" t="str">
        <f ca="1">IFERROR(__xludf.DUMMYFUNCTION("""COMPUTED_VALUE"""),"PB3572")</f>
        <v>PB3572</v>
      </c>
      <c r="F6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5" s="30" t="str">
        <f ca="1">IFERROR(__xludf.DUMMYFUNCTION("""COMPUTED_VALUE"""),"SUBSECRETARÍA DE DESARROLLO Y PROMOCIÓN ARTÍSTICA Y CULTURAL")</f>
        <v>SUBSECRETARÍA DE DESARROLLO Y PROMOCIÓN ARTÍSTICA Y CULTURAL</v>
      </c>
      <c r="I65" s="34" t="str">
        <f ca="1">IFERROR(__xludf.DUMMYFUNCTION("""COMPUTED_VALUE"""),"DIRECCIÓN GENERAL DE MUSEOS, ARTES VISUALES Y EXPOSICIONES")</f>
        <v>DIRECCIÓN GENERAL DE MUSEOS, ARTES VISUALES Y EXPOSICIONES</v>
      </c>
      <c r="J65" s="30" t="str">
        <f ca="1">IFERROR(__xludf.DUMMYFUNCTION("""COMPUTED_VALUE"""),"Número de Actividades realizadas")</f>
        <v>Número de Actividades realizadas</v>
      </c>
      <c r="K65" s="30">
        <f ca="1">IFERROR(__xludf.DUMMYFUNCTION("""COMPUTED_VALUE"""),800)</f>
        <v>800</v>
      </c>
      <c r="L65" s="30" t="str">
        <f ca="1">IFERROR(__xludf.DUMMYFUNCTION("""COMPUTED_VALUE"""),"Artística")</f>
        <v>Artística</v>
      </c>
      <c r="M65" s="30" t="str">
        <f ca="1">IFERROR(__xludf.DUMMYFUNCTION("""COMPUTED_VALUE"""),"Visita guiada Pedro Poveda Funddé")</f>
        <v>Visita guiada Pedro Poveda Funddé</v>
      </c>
      <c r="N65" s="30" t="str">
        <f ca="1">IFERROR(__xludf.DUMMYFUNCTION("""COMPUTED_VALUE"""),"Recorrido guiado por el museo")</f>
        <v>Recorrido guiado por el museo</v>
      </c>
      <c r="O65" s="30" t="str">
        <f ca="1">IFERROR(__xludf.DUMMYFUNCTION("""COMPUTED_VALUE"""),"Única")</f>
        <v>Única</v>
      </c>
      <c r="P65" s="33">
        <f ca="1">IFERROR(__xludf.DUMMYFUNCTION("""COMPUTED_VALUE"""),46142)</f>
        <v>46142</v>
      </c>
      <c r="Q65" s="65">
        <f ca="1">IFERROR(__xludf.DUMMYFUNCTION("""COMPUTED_VALUE"""),46142)</f>
        <v>46142</v>
      </c>
      <c r="R65" s="30">
        <f ca="1">IFERROR(__xludf.DUMMYFUNCTION("""COMPUTED_VALUE"""),1)</f>
        <v>1</v>
      </c>
      <c r="S65" s="30" t="str">
        <f ca="1">IFERROR(__xludf.DUMMYFUNCTION("""COMPUTED_VALUE"""),"Cultura comunitaria")</f>
        <v>Cultura comunitaria</v>
      </c>
      <c r="T65" s="30" t="str">
        <f ca="1">IFERROR(__xludf.DUMMYFUNCTION("""COMPUTED_VALUE"""),"Formación comunitaria")</f>
        <v>Formación comunitaria</v>
      </c>
      <c r="U65" s="30" t="str">
        <f ca="1">IFERROR(__xludf.DUMMYFUNCTION("""COMPUTED_VALUE"""),"Visitas escolares")</f>
        <v>Visitas escolares</v>
      </c>
      <c r="V65" s="30" t="str">
        <f ca="1">IFERROR(__xludf.DUMMYFUNCTION("""COMPUTED_VALUE"""),"Ninguna")</f>
        <v>Ninguna</v>
      </c>
      <c r="W65" s="30" t="str">
        <f ca="1">IFERROR(__xludf.DUMMYFUNCTION("""COMPUTED_VALUE"""),"Presencial")</f>
        <v>Presencial</v>
      </c>
      <c r="X65" s="30" t="str">
        <f ca="1">IFERROR(__xludf.DUMMYFUNCTION("""COMPUTED_VALUE"""),"Espacio a Cargo de la Secretaría")</f>
        <v>Espacio a Cargo de la Secretaría</v>
      </c>
      <c r="Y65" s="30" t="str">
        <f ca="1">IFERROR(__xludf.DUMMYFUNCTION("""COMPUTED_VALUE"""),"5")</f>
        <v>5</v>
      </c>
      <c r="Z65" s="30"/>
      <c r="AA65" s="30"/>
      <c r="AB65" s="30" t="b">
        <f ca="1">IFERROR(__xludf.DUMMYFUNCTION("""COMPUTED_VALUE"""),FALSE)</f>
        <v>0</v>
      </c>
      <c r="AC65" s="30"/>
      <c r="AD65" s="30" t="b">
        <f ca="1">IFERROR(__xludf.DUMMYFUNCTION("""COMPUTED_VALUE"""),FALSE)</f>
        <v>0</v>
      </c>
      <c r="AE65" s="30"/>
      <c r="AF65" s="30" t="b">
        <f ca="1">IFERROR(__xludf.DUMMYFUNCTION("""COMPUTED_VALUE"""),FALSE)</f>
        <v>0</v>
      </c>
      <c r="AG65" s="30"/>
      <c r="AH65" s="30" t="str">
        <f ca="1">IFERROR(__xludf.DUMMYFUNCTION("""COMPUTED_VALUE"""),"Sin costo")</f>
        <v>Sin costo</v>
      </c>
      <c r="AI65" s="30"/>
      <c r="AJ65" s="30"/>
      <c r="AK65" s="30"/>
      <c r="AL65" s="30" t="str">
        <f ca="1">IFERROR(__xludf.DUMMYFUNCTION("""COMPUTED_VALUE"""),"ccardonav@guanajuato.gob.mx")</f>
        <v>ccardonav@guanajuato.gob.mx</v>
      </c>
      <c r="AM65" s="30" t="str">
        <f ca="1">IFERROR(__xludf.DUMMYFUNCTION("""COMPUTED_VALUE"""),"Arraigo y empoderamiento cultural de comunidades.")</f>
        <v>Arraigo y empoderamiento cultural de comunidades.</v>
      </c>
      <c r="AN65" s="30" t="str">
        <f ca="1">IFERROR(__xludf.DUMMYFUNCTION("""COMPUTED_VALUE"""),"2 Igualdad")</f>
        <v>2 Igualdad</v>
      </c>
      <c r="AO65" s="30" t="str">
        <f ca="1">IFERROR(__xludf.DUMMYFUNCTION("""COMPUTED_VALUE"""),"2.1 Protección de derechos humanos")</f>
        <v>2.1 Protección de derechos humanos</v>
      </c>
      <c r="AP65" s="30" t="str">
        <f ca="1">IFERROR(__xludf.DUMMYFUNCTION("""COMPUTED_VALUE"""),"2.1.3 Inclusión de personas con discapacidad")</f>
        <v>2.1.3 Inclusión de personas con discapacidad</v>
      </c>
      <c r="AQ65" s="30" t="str">
        <f ca="1">IFERROR(__xludf.DUMMYFUNCTION("""COMPUTED_VALUE"""),"2.1.3.2 Coordinar la incorporación progresiva de la accesibilidad universal")</f>
        <v>2.1.3.2 Coordinar la incorporación progresiva de la accesibilidad universal</v>
      </c>
      <c r="AR65" s="30" t="str">
        <f ca="1">IFERROR(__xludf.DUMMYFUNCTION("""COMPUTED_VALUE"""),"Cooperación")</f>
        <v>Cooperación</v>
      </c>
      <c r="AS65" s="30"/>
      <c r="AT65" s="30" t="str">
        <f ca="1">IFERROR(__xludf.DUMMYFUNCTION("""COMPUTED_VALUE"""),"Fortalecimiento de la participación ciudadana y la mediación cultural")</f>
        <v>Fortalecimiento de la participación ciudadana y la mediación cultural</v>
      </c>
      <c r="AU65" s="30" t="str">
        <f ca="1">IFERROR(__xludf.DUMMYFUNCTION("""COMPUTED_VALUE"""),"Impulso a la ampliación de la oferta cultural en los territorios.")</f>
        <v>Impulso a la ampliación de la oferta cultural en los territorios.</v>
      </c>
      <c r="AV6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5" s="30" t="str">
        <f ca="1">IFERROR(__xludf.DUMMYFUNCTION("""COMPUTED_VALUE"""),"Incrementar en 25% la oferta cultural realizada en los municipios.")</f>
        <v>Incrementar en 25% la oferta cultural realizada en los municipios.</v>
      </c>
      <c r="AX65" s="30" t="str">
        <f ca="1">IFERROR(__xludf.DUMMYFUNCTION("""COMPUTED_VALUE"""),"Visitas escolares")</f>
        <v>Visitas escolares</v>
      </c>
      <c r="AY65" s="30" t="str">
        <f ca="1">IFERROR(__xludf.DUMMYFUNCTION("""COMPUTED_VALUE"""),"Formación")</f>
        <v>Formación</v>
      </c>
      <c r="AZ65" s="30" t="str">
        <f ca="1">IFERROR(__xludf.DUMMYFUNCTION("""COMPUTED_VALUE"""),"Formación")</f>
        <v>Formación</v>
      </c>
      <c r="BA65" s="30"/>
      <c r="BB65" s="30"/>
      <c r="BC65" s="30">
        <f ca="1">IFERROR(__xludf.DUMMYFUNCTION("""COMPUTED_VALUE"""),0)</f>
        <v>0</v>
      </c>
      <c r="BD65" s="30"/>
      <c r="BE65" s="30"/>
      <c r="BF65" s="30" t="b">
        <f ca="1">IFERROR(__xludf.DUMMYFUNCTION("""COMPUTED_VALUE"""),FALSE)</f>
        <v>0</v>
      </c>
      <c r="BG65" s="30"/>
      <c r="BH65" s="30"/>
      <c r="BI65" s="30"/>
      <c r="BJ65" s="30"/>
      <c r="BK65" s="30"/>
      <c r="BL65" s="30"/>
      <c r="BM65" s="30" t="str">
        <f ca="1">IFERROR(__xludf.DUMMYFUNCTION("""COMPUTED_VALUE"""),"No")</f>
        <v>No</v>
      </c>
      <c r="BN65" s="30"/>
      <c r="BO65" s="30" t="str">
        <f ca="1">IFERROR(__xludf.DUMMYFUNCTION("""COMPUTED_VALUE"""),"f51f95aa")</f>
        <v>f51f95aa</v>
      </c>
      <c r="BP65" s="29" t="str">
        <f ca="1">IFERROR(__xludf.DUMMYFUNCTION("""COMPUTED_VALUE"""),"Guanajuato")</f>
        <v>Guanajuato</v>
      </c>
      <c r="BQ65" s="30" t="str">
        <f ca="1">IFERROR(__xludf.DUMMYFUNCTION("""COMPUTED_VALUE"""),"Urbano")</f>
        <v>Urbano</v>
      </c>
      <c r="BR65" s="30">
        <f ca="1">IFERROR(__xludf.DUMMYFUNCTION("""COMPUTED_VALUE"""),49)</f>
        <v>49</v>
      </c>
      <c r="BS65" s="30" t="str">
        <f ca="1">IFERROR(__xludf.DUMMYFUNCTION("""COMPUTED_VALUE"""),"Guanajuato")</f>
        <v>Guanajuato</v>
      </c>
      <c r="BT65" s="30"/>
      <c r="BU65" s="30" t="str">
        <f ca="1">IFERROR(__xludf.DUMMYFUNCTION("""COMPUTED_VALUE"""),"Si")</f>
        <v>Si</v>
      </c>
      <c r="BV65" s="30" t="str">
        <f ca="1">IFERROR(__xludf.DUMMYFUNCTION("""COMPUTED_VALUE"""),"Si")</f>
        <v>Si</v>
      </c>
      <c r="BW65" s="30">
        <f ca="1">IFERROR(__xludf.DUMMYFUNCTION("""COMPUTED_VALUE"""),22)</f>
        <v>22</v>
      </c>
      <c r="BX65" s="30">
        <f ca="1">IFERROR(__xludf.DUMMYFUNCTION("""COMPUTED_VALUE"""),22)</f>
        <v>22</v>
      </c>
      <c r="BY65" s="30">
        <f ca="1">IFERROR(__xludf.DUMMYFUNCTION("""COMPUTED_VALUE"""),0)</f>
        <v>0</v>
      </c>
      <c r="BZ65" s="30" t="str">
        <f ca="1">IFERROR(__xludf.DUMMYFUNCTION("""COMPUTED_VALUE"""),"Guanajuato")</f>
        <v>Guanajuato</v>
      </c>
      <c r="CA65" s="30" t="str">
        <f ca="1">IFERROR(__xludf.DUMMYFUNCTION("""COMPUTED_VALUE"""),"No")</f>
        <v>No</v>
      </c>
      <c r="CB65" s="30" t="str">
        <f ca="1">IFERROR(__xludf.DUMMYFUNCTION("""COMPUTED_VALUE"""),"No")</f>
        <v>No</v>
      </c>
      <c r="CC65" s="30" t="str">
        <f ca="1">IFERROR(__xludf.DUMMYFUNCTION("""COMPUTED_VALUE"""),"98adea54")</f>
        <v>98adea54</v>
      </c>
      <c r="CD65" s="29" t="str">
        <f ca="1">IFERROR(__xludf.DUMMYFUNCTION("""COMPUTED_VALUE"""),"Adultos (30 a 59 años)")</f>
        <v>Adultos (30 a 59 años)</v>
      </c>
      <c r="CE65" s="30" t="str">
        <f ca="1">IFERROR(__xludf.DUMMYFUNCTION("""COMPUTED_VALUE"""),"Dato global")</f>
        <v>Dato global</v>
      </c>
      <c r="CF65" s="30" t="str">
        <f ca="1">IFERROR(__xludf.DUMMYFUNCTION("""COMPUTED_VALUE"""),"Ninguno (Población General)")</f>
        <v>Ninguno (Población General)</v>
      </c>
      <c r="CG65" s="30">
        <f ca="1">IFERROR(__xludf.DUMMYFUNCTION("""COMPUTED_VALUE"""),5)</f>
        <v>5</v>
      </c>
      <c r="CI65" s="30" t="str">
        <f ca="1">IFERROR(__xludf.DUMMYFUNCTION("""COMPUTED_VALUE"""),"554e523d")</f>
        <v>554e523d</v>
      </c>
      <c r="CJ65" s="29" t="str">
        <f ca="1">IFERROR(__xludf.DUMMYFUNCTION("""COMPUTED_VALUE"""),"Regitro_Evidencia_Files_/554e523d.Archivo_Evidencia.155510. Lectura de poesía.zip")</f>
        <v>Regitro_Evidencia_Files_/554e523d.Archivo_Evidencia.155510. Lectura de poesía.zip</v>
      </c>
      <c r="CK65" s="30" t="str">
        <f ca="1">IFERROR(__xludf.DUMMYFUNCTION("""COMPUTED_VALUE"""),"Carpeta")</f>
        <v>Carpeta</v>
      </c>
      <c r="CL65" s="30"/>
      <c r="CM65" s="30" t="str">
        <f ca="1">IFERROR(__xludf.DUMMYFUNCTION("""COMPUTED_VALUE"""),"Guanajuato")</f>
        <v>Guanajuato</v>
      </c>
      <c r="CN65" s="32" t="e">
        <f ca="1"/>
        <v>#NAME?</v>
      </c>
      <c r="CO65" s="32" t="e">
        <f ca="1"/>
        <v>#NAME?</v>
      </c>
      <c r="CP65" s="32" t="e">
        <f ca="1"/>
        <v>#NAME?</v>
      </c>
      <c r="CQ65" s="32" t="e">
        <f ca="1"/>
        <v>#NAME?</v>
      </c>
      <c r="CR65" s="30" t="e">
        <f ca="1"/>
        <v>#NAME?</v>
      </c>
      <c r="CS65" s="30" t="str">
        <f ca="1">IFERROR(__xludf.DUMMYFUNCTION("""COMPUTED_VALUE"""),"NNA (Niñas, Niños y Adolescentes)")</f>
        <v>NNA (Niñas, Niños y Adolescentes)</v>
      </c>
    </row>
    <row r="66" spans="1:97" ht="14.5">
      <c r="A66" s="29" t="str">
        <f ca="1">IFERROR(__xludf.DUMMYFUNCTION("""COMPUTED_VALUE"""),"ACT-SCOL36987")</f>
        <v>ACT-SCOL36987</v>
      </c>
      <c r="B66" s="30" t="str">
        <f ca="1">IFERROR(__xludf.DUMMYFUNCTION("""COMPUTED_VALUE"""),"SC-260619-125806")</f>
        <v>SC-260619-125806</v>
      </c>
      <c r="C66" s="62">
        <f ca="1">IFERROR(__xludf.DUMMYFUNCTION("""COMPUTED_VALUE"""),46192.5403472222)</f>
        <v>46192.540347222202</v>
      </c>
      <c r="D66" s="30">
        <f ca="1">IFERROR(__xludf.DUMMYFUNCTION("""COMPUTED_VALUE"""),92)</f>
        <v>92</v>
      </c>
      <c r="E66" s="30" t="str">
        <f ca="1">IFERROR(__xludf.DUMMYFUNCTION("""COMPUTED_VALUE"""),"PB3572")</f>
        <v>PB3572</v>
      </c>
      <c r="F6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6" s="30" t="str">
        <f ca="1">IFERROR(__xludf.DUMMYFUNCTION("""COMPUTED_VALUE"""),"SUBSECRETARÍA DE DESARROLLO Y PROMOCIÓN ARTÍSTICA Y CULTURAL")</f>
        <v>SUBSECRETARÍA DE DESARROLLO Y PROMOCIÓN ARTÍSTICA Y CULTURAL</v>
      </c>
      <c r="I66" s="34" t="str">
        <f ca="1">IFERROR(__xludf.DUMMYFUNCTION("""COMPUTED_VALUE"""),"DIRECCIÓN GENERAL DE MUSEOS, ARTES VISUALES Y EXPOSICIONES")</f>
        <v>DIRECCIÓN GENERAL DE MUSEOS, ARTES VISUALES Y EXPOSICIONES</v>
      </c>
      <c r="J66" s="30" t="str">
        <f ca="1">IFERROR(__xludf.DUMMYFUNCTION("""COMPUTED_VALUE"""),"Número de Actividades realizadas")</f>
        <v>Número de Actividades realizadas</v>
      </c>
      <c r="K66" s="30">
        <f ca="1">IFERROR(__xludf.DUMMYFUNCTION("""COMPUTED_VALUE"""),800)</f>
        <v>800</v>
      </c>
      <c r="L66" s="30" t="str">
        <f ca="1">IFERROR(__xludf.DUMMYFUNCTION("""COMPUTED_VALUE"""),"Artística")</f>
        <v>Artística</v>
      </c>
      <c r="M66" s="30" t="str">
        <f ca="1">IFERROR(__xludf.DUMMYFUNCTION("""COMPUTED_VALUE"""),"Visita guiada INGENIERO Ponciano Aguilar")</f>
        <v>Visita guiada INGENIERO Ponciano Aguilar</v>
      </c>
      <c r="N66" s="30" t="str">
        <f ca="1">IFERROR(__xludf.DUMMYFUNCTION("""COMPUTED_VALUE"""),"Recorrido guiado por el museo")</f>
        <v>Recorrido guiado por el museo</v>
      </c>
      <c r="O66" s="30" t="str">
        <f ca="1">IFERROR(__xludf.DUMMYFUNCTION("""COMPUTED_VALUE"""),"Única")</f>
        <v>Única</v>
      </c>
      <c r="P66" s="33">
        <f ca="1">IFERROR(__xludf.DUMMYFUNCTION("""COMPUTED_VALUE"""),46135)</f>
        <v>46135</v>
      </c>
      <c r="Q66" s="65">
        <f ca="1">IFERROR(__xludf.DUMMYFUNCTION("""COMPUTED_VALUE"""),46135)</f>
        <v>46135</v>
      </c>
      <c r="R66" s="30">
        <f ca="1">IFERROR(__xludf.DUMMYFUNCTION("""COMPUTED_VALUE"""),1)</f>
        <v>1</v>
      </c>
      <c r="S66" s="30" t="str">
        <f ca="1">IFERROR(__xludf.DUMMYFUNCTION("""COMPUTED_VALUE"""),"Cultura comunitaria")</f>
        <v>Cultura comunitaria</v>
      </c>
      <c r="T66" s="30" t="str">
        <f ca="1">IFERROR(__xludf.DUMMYFUNCTION("""COMPUTED_VALUE"""),"Formación comunitaria")</f>
        <v>Formación comunitaria</v>
      </c>
      <c r="U66" s="30" t="str">
        <f ca="1">IFERROR(__xludf.DUMMYFUNCTION("""COMPUTED_VALUE"""),"Visitas escolares")</f>
        <v>Visitas escolares</v>
      </c>
      <c r="V66" s="30" t="str">
        <f ca="1">IFERROR(__xludf.DUMMYFUNCTION("""COMPUTED_VALUE"""),"Ninguna")</f>
        <v>Ninguna</v>
      </c>
      <c r="W66" s="30" t="str">
        <f ca="1">IFERROR(__xludf.DUMMYFUNCTION("""COMPUTED_VALUE"""),"Presencial")</f>
        <v>Presencial</v>
      </c>
      <c r="X66" s="30" t="str">
        <f ca="1">IFERROR(__xludf.DUMMYFUNCTION("""COMPUTED_VALUE"""),"Espacio a Cargo de la Secretaría")</f>
        <v>Espacio a Cargo de la Secretaría</v>
      </c>
      <c r="Y66" s="30" t="str">
        <f ca="1">IFERROR(__xludf.DUMMYFUNCTION("""COMPUTED_VALUE"""),"6")</f>
        <v>6</v>
      </c>
      <c r="Z66" s="30"/>
      <c r="AA66" s="30"/>
      <c r="AB66" s="30" t="b">
        <f ca="1">IFERROR(__xludf.DUMMYFUNCTION("""COMPUTED_VALUE"""),FALSE)</f>
        <v>0</v>
      </c>
      <c r="AC66" s="30"/>
      <c r="AD66" s="30" t="b">
        <f ca="1">IFERROR(__xludf.DUMMYFUNCTION("""COMPUTED_VALUE"""),FALSE)</f>
        <v>0</v>
      </c>
      <c r="AE66" s="30"/>
      <c r="AF66" s="30" t="b">
        <f ca="1">IFERROR(__xludf.DUMMYFUNCTION("""COMPUTED_VALUE"""),FALSE)</f>
        <v>0</v>
      </c>
      <c r="AG66" s="30"/>
      <c r="AH66" s="30" t="str">
        <f ca="1">IFERROR(__xludf.DUMMYFUNCTION("""COMPUTED_VALUE"""),"Sin costo")</f>
        <v>Sin costo</v>
      </c>
      <c r="AI66" s="30"/>
      <c r="AJ66" s="30"/>
      <c r="AK66" s="30"/>
      <c r="AL66" s="30" t="str">
        <f ca="1">IFERROR(__xludf.DUMMYFUNCTION("""COMPUTED_VALUE"""),"ccardonav@guanajuato.gob.mx")</f>
        <v>ccardonav@guanajuato.gob.mx</v>
      </c>
      <c r="AM66" s="30" t="str">
        <f ca="1">IFERROR(__xludf.DUMMYFUNCTION("""COMPUTED_VALUE"""),"Arraigo y empoderamiento cultural de comunidades.")</f>
        <v>Arraigo y empoderamiento cultural de comunidades.</v>
      </c>
      <c r="AN66" s="30" t="str">
        <f ca="1">IFERROR(__xludf.DUMMYFUNCTION("""COMPUTED_VALUE"""),"2 Igualdad")</f>
        <v>2 Igualdad</v>
      </c>
      <c r="AO66" s="30" t="str">
        <f ca="1">IFERROR(__xludf.DUMMYFUNCTION("""COMPUTED_VALUE"""),"2.1 Protección de derechos humanos")</f>
        <v>2.1 Protección de derechos humanos</v>
      </c>
      <c r="AP66" s="30" t="str">
        <f ca="1">IFERROR(__xludf.DUMMYFUNCTION("""COMPUTED_VALUE"""),"2.1.3 Inclusión de personas con discapacidad")</f>
        <v>2.1.3 Inclusión de personas con discapacidad</v>
      </c>
      <c r="AQ66" s="30" t="str">
        <f ca="1">IFERROR(__xludf.DUMMYFUNCTION("""COMPUTED_VALUE"""),"2.1.3.2 Coordinar la incorporación progresiva de la accesibilidad universal")</f>
        <v>2.1.3.2 Coordinar la incorporación progresiva de la accesibilidad universal</v>
      </c>
      <c r="AR66" s="30" t="str">
        <f ca="1">IFERROR(__xludf.DUMMYFUNCTION("""COMPUTED_VALUE"""),"Cooperación")</f>
        <v>Cooperación</v>
      </c>
      <c r="AS66" s="30"/>
      <c r="AT66" s="30" t="str">
        <f ca="1">IFERROR(__xludf.DUMMYFUNCTION("""COMPUTED_VALUE"""),"Fortalecimiento de la participación ciudadana y la mediación cultural")</f>
        <v>Fortalecimiento de la participación ciudadana y la mediación cultural</v>
      </c>
      <c r="AU66" s="30" t="str">
        <f ca="1">IFERROR(__xludf.DUMMYFUNCTION("""COMPUTED_VALUE"""),"Impulso a la ampliación de la oferta cultural en los territorios.")</f>
        <v>Impulso a la ampliación de la oferta cultural en los territorios.</v>
      </c>
      <c r="AV6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6" s="30" t="str">
        <f ca="1">IFERROR(__xludf.DUMMYFUNCTION("""COMPUTED_VALUE"""),"Incrementar en 25% la oferta cultural realizada en los municipios.")</f>
        <v>Incrementar en 25% la oferta cultural realizada en los municipios.</v>
      </c>
      <c r="AX66" s="30" t="str">
        <f ca="1">IFERROR(__xludf.DUMMYFUNCTION("""COMPUTED_VALUE"""),"Visitas escolares")</f>
        <v>Visitas escolares</v>
      </c>
      <c r="AY66" s="30" t="str">
        <f ca="1">IFERROR(__xludf.DUMMYFUNCTION("""COMPUTED_VALUE"""),"Formación")</f>
        <v>Formación</v>
      </c>
      <c r="AZ66" s="30" t="str">
        <f ca="1">IFERROR(__xludf.DUMMYFUNCTION("""COMPUTED_VALUE"""),"Formación")</f>
        <v>Formación</v>
      </c>
      <c r="BA66" s="30"/>
      <c r="BB66" s="30"/>
      <c r="BC66" s="30">
        <f ca="1">IFERROR(__xludf.DUMMYFUNCTION("""COMPUTED_VALUE"""),0)</f>
        <v>0</v>
      </c>
      <c r="BD66" s="30"/>
      <c r="BE66" s="30"/>
      <c r="BF66" s="30" t="b">
        <f ca="1">IFERROR(__xludf.DUMMYFUNCTION("""COMPUTED_VALUE"""),FALSE)</f>
        <v>0</v>
      </c>
      <c r="BG66" s="30"/>
      <c r="BH66" s="30"/>
      <c r="BI66" s="30"/>
      <c r="BJ66" s="30"/>
      <c r="BK66" s="30"/>
      <c r="BL66" s="30"/>
      <c r="BM66" s="30" t="str">
        <f ca="1">IFERROR(__xludf.DUMMYFUNCTION("""COMPUTED_VALUE"""),"No")</f>
        <v>No</v>
      </c>
      <c r="BN66" s="30"/>
      <c r="BO66" s="30" t="str">
        <f ca="1">IFERROR(__xludf.DUMMYFUNCTION("""COMPUTED_VALUE"""),"870a1955")</f>
        <v>870a1955</v>
      </c>
      <c r="BP66" s="29" t="str">
        <f ca="1">IFERROR(__xludf.DUMMYFUNCTION("""COMPUTED_VALUE"""),"Guanajuato")</f>
        <v>Guanajuato</v>
      </c>
      <c r="BQ66" s="30" t="str">
        <f ca="1">IFERROR(__xludf.DUMMYFUNCTION("""COMPUTED_VALUE"""),"Urbano")</f>
        <v>Urbano</v>
      </c>
      <c r="BR66" s="30"/>
      <c r="BS66" s="30"/>
      <c r="BT66" s="30"/>
      <c r="BU66" s="30" t="str">
        <f ca="1">IFERROR(__xludf.DUMMYFUNCTION("""COMPUTED_VALUE"""),"No")</f>
        <v>No</v>
      </c>
      <c r="BV66" s="30" t="str">
        <f ca="1">IFERROR(__xludf.DUMMYFUNCTION("""COMPUTED_VALUE"""),"No")</f>
        <v>No</v>
      </c>
      <c r="BW66" s="30">
        <f ca="1">IFERROR(__xludf.DUMMYFUNCTION("""COMPUTED_VALUE"""),22)</f>
        <v>22</v>
      </c>
      <c r="BX66" s="30">
        <f ca="1">IFERROR(__xludf.DUMMYFUNCTION("""COMPUTED_VALUE"""),22)</f>
        <v>22</v>
      </c>
      <c r="BY66" s="30">
        <f ca="1">IFERROR(__xludf.DUMMYFUNCTION("""COMPUTED_VALUE"""),0)</f>
        <v>0</v>
      </c>
      <c r="BZ66" s="30"/>
      <c r="CA66" s="30" t="str">
        <f ca="1">IFERROR(__xludf.DUMMYFUNCTION("""COMPUTED_VALUE"""),"No")</f>
        <v>No</v>
      </c>
      <c r="CB66" s="30" t="str">
        <f ca="1">IFERROR(__xludf.DUMMYFUNCTION("""COMPUTED_VALUE"""),"No")</f>
        <v>No</v>
      </c>
      <c r="CC66" s="30" t="str">
        <f ca="1">IFERROR(__xludf.DUMMYFUNCTION("""COMPUTED_VALUE"""),"75c5a470")</f>
        <v>75c5a470</v>
      </c>
      <c r="CD66" s="29" t="str">
        <f ca="1">IFERROR(__xludf.DUMMYFUNCTION("""COMPUTED_VALUE"""),"Jóvenes (18 a 29 años)")</f>
        <v>Jóvenes (18 a 29 años)</v>
      </c>
      <c r="CE66" s="30" t="str">
        <f ca="1">IFERROR(__xludf.DUMMYFUNCTION("""COMPUTED_VALUE"""),"Dato global")</f>
        <v>Dato global</v>
      </c>
      <c r="CF66" s="30" t="str">
        <f ca="1">IFERROR(__xludf.DUMMYFUNCTION("""COMPUTED_VALUE"""),"Ninguno (Población General)")</f>
        <v>Ninguno (Población General)</v>
      </c>
      <c r="CG66" s="30">
        <f ca="1">IFERROR(__xludf.DUMMYFUNCTION("""COMPUTED_VALUE"""),4)</f>
        <v>4</v>
      </c>
      <c r="CI66" s="30" t="str">
        <f ca="1">IFERROR(__xludf.DUMMYFUNCTION("""COMPUTED_VALUE"""),"c2f996de")</f>
        <v>c2f996de</v>
      </c>
      <c r="CJ66" s="29" t="str">
        <f ca="1">IFERROR(__xludf.DUMMYFUNCTION("""COMPUTED_VALUE"""),"Regitro_Evidencia_Files_/c2f996de.Archivo_Evidencia.160002. Taller de lectoescritura a partir de la exposición Poética del Paisaje.zip")</f>
        <v>Regitro_Evidencia_Files_/c2f996de.Archivo_Evidencia.160002. Taller de lectoescritura a partir de la exposición Poética del Paisaje.zip</v>
      </c>
      <c r="CK66" s="30" t="str">
        <f ca="1">IFERROR(__xludf.DUMMYFUNCTION("""COMPUTED_VALUE"""),"Carpeta")</f>
        <v>Carpeta</v>
      </c>
      <c r="CL66" s="30"/>
      <c r="CM66" s="30" t="str">
        <f ca="1">IFERROR(__xludf.DUMMYFUNCTION("""COMPUTED_VALUE"""),"Guanajuato")</f>
        <v>Guanajuato</v>
      </c>
      <c r="CN66" s="32" t="e">
        <f ca="1"/>
        <v>#NAME?</v>
      </c>
      <c r="CO66" s="32" t="e">
        <f ca="1"/>
        <v>#NAME?</v>
      </c>
      <c r="CP66" s="32" t="e">
        <f ca="1"/>
        <v>#NAME?</v>
      </c>
      <c r="CQ66" s="32" t="e">
        <f ca="1"/>
        <v>#NAME?</v>
      </c>
      <c r="CR66" s="30" t="e">
        <f ca="1"/>
        <v>#NAME?</v>
      </c>
      <c r="CS66" s="30" t="str">
        <f ca="1">IFERROR(__xludf.DUMMYFUNCTION("""COMPUTED_VALUE"""),"NNA (Niñas, Niños y Adolescentes)")</f>
        <v>NNA (Niñas, Niños y Adolescentes)</v>
      </c>
    </row>
    <row r="67" spans="1:97" ht="14.5">
      <c r="A67" s="29" t="str">
        <f ca="1">IFERROR(__xludf.DUMMYFUNCTION("""COMPUTED_VALUE"""),"ACT-SCPT13660")</f>
        <v>ACT-SCPT13660</v>
      </c>
      <c r="B67" s="30" t="str">
        <f ca="1">IFERROR(__xludf.DUMMYFUNCTION("""COMPUTED_VALUE"""),"SC-260619-131142")</f>
        <v>SC-260619-131142</v>
      </c>
      <c r="C67" s="62">
        <f ca="1">IFERROR(__xludf.DUMMYFUNCTION("""COMPUTED_VALUE"""),46192.5497916666)</f>
        <v>46192.549791666599</v>
      </c>
      <c r="D67" s="30">
        <f ca="1">IFERROR(__xludf.DUMMYFUNCTION("""COMPUTED_VALUE"""),92)</f>
        <v>92</v>
      </c>
      <c r="E67" s="30" t="str">
        <f ca="1">IFERROR(__xludf.DUMMYFUNCTION("""COMPUTED_VALUE"""),"PB3572")</f>
        <v>PB3572</v>
      </c>
      <c r="F6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7" s="30" t="str">
        <f ca="1">IFERROR(__xludf.DUMMYFUNCTION("""COMPUTED_VALUE"""),"SUBSECRETARÍA DE DESARROLLO Y PROMOCIÓN ARTÍSTICA Y CULTURAL")</f>
        <v>SUBSECRETARÍA DE DESARROLLO Y PROMOCIÓN ARTÍSTICA Y CULTURAL</v>
      </c>
      <c r="I67" s="34" t="str">
        <f ca="1">IFERROR(__xludf.DUMMYFUNCTION("""COMPUTED_VALUE"""),"DIRECCIÓN GENERAL DE MUSEOS, ARTES VISUALES Y EXPOSICIONES")</f>
        <v>DIRECCIÓN GENERAL DE MUSEOS, ARTES VISUALES Y EXPOSICIONES</v>
      </c>
      <c r="J67" s="30" t="str">
        <f ca="1">IFERROR(__xludf.DUMMYFUNCTION("""COMPUTED_VALUE"""),"Número de Actividades realizadas")</f>
        <v>Número de Actividades realizadas</v>
      </c>
      <c r="K67" s="30">
        <f ca="1">IFERROR(__xludf.DUMMYFUNCTION("""COMPUTED_VALUE"""),800)</f>
        <v>800</v>
      </c>
      <c r="L67" s="30" t="str">
        <f ca="1">IFERROR(__xludf.DUMMYFUNCTION("""COMPUTED_VALUE"""),"Artística")</f>
        <v>Artística</v>
      </c>
      <c r="M67" s="30" t="str">
        <f ca="1">IFERROR(__xludf.DUMMYFUNCTION("""COMPUTED_VALUE"""),"Visita práctica escolar")</f>
        <v>Visita práctica escolar</v>
      </c>
      <c r="N67" s="30" t="str">
        <f ca="1">IFERROR(__xludf.DUMMYFUNCTION("""COMPUTED_VALUE"""),"Recorrido guiado por el museo")</f>
        <v>Recorrido guiado por el museo</v>
      </c>
      <c r="O67" s="30" t="str">
        <f ca="1">IFERROR(__xludf.DUMMYFUNCTION("""COMPUTED_VALUE"""),"Única")</f>
        <v>Única</v>
      </c>
      <c r="P67" s="33">
        <f ca="1">IFERROR(__xludf.DUMMYFUNCTION("""COMPUTED_VALUE"""),46128)</f>
        <v>46128</v>
      </c>
      <c r="Q67" s="65">
        <f ca="1">IFERROR(__xludf.DUMMYFUNCTION("""COMPUTED_VALUE"""),46128)</f>
        <v>46128</v>
      </c>
      <c r="R67" s="30">
        <f ca="1">IFERROR(__xludf.DUMMYFUNCTION("""COMPUTED_VALUE"""),1)</f>
        <v>1</v>
      </c>
      <c r="S67" s="30" t="str">
        <f ca="1">IFERROR(__xludf.DUMMYFUNCTION("""COMPUTED_VALUE"""),"Cultura comunitaria")</f>
        <v>Cultura comunitaria</v>
      </c>
      <c r="T67" s="30" t="str">
        <f ca="1">IFERROR(__xludf.DUMMYFUNCTION("""COMPUTED_VALUE"""),"Formación comunitaria")</f>
        <v>Formación comunitaria</v>
      </c>
      <c r="U67" s="30" t="str">
        <f ca="1">IFERROR(__xludf.DUMMYFUNCTION("""COMPUTED_VALUE"""),"Visitas escolares")</f>
        <v>Visitas escolares</v>
      </c>
      <c r="V67" s="30" t="str">
        <f ca="1">IFERROR(__xludf.DUMMYFUNCTION("""COMPUTED_VALUE"""),"Ninguna")</f>
        <v>Ninguna</v>
      </c>
      <c r="W67" s="30" t="str">
        <f ca="1">IFERROR(__xludf.DUMMYFUNCTION("""COMPUTED_VALUE"""),"Presencial")</f>
        <v>Presencial</v>
      </c>
      <c r="X67" s="30" t="str">
        <f ca="1">IFERROR(__xludf.DUMMYFUNCTION("""COMPUTED_VALUE"""),"Espacio a Cargo de la Secretaría")</f>
        <v>Espacio a Cargo de la Secretaría</v>
      </c>
      <c r="Y67" s="30" t="str">
        <f ca="1">IFERROR(__xludf.DUMMYFUNCTION("""COMPUTED_VALUE"""),"6")</f>
        <v>6</v>
      </c>
      <c r="Z67" s="30"/>
      <c r="AA67" s="30"/>
      <c r="AB67" s="30" t="b">
        <f ca="1">IFERROR(__xludf.DUMMYFUNCTION("""COMPUTED_VALUE"""),FALSE)</f>
        <v>0</v>
      </c>
      <c r="AC67" s="30"/>
      <c r="AD67" s="30" t="b">
        <f ca="1">IFERROR(__xludf.DUMMYFUNCTION("""COMPUTED_VALUE"""),FALSE)</f>
        <v>0</v>
      </c>
      <c r="AE67" s="30"/>
      <c r="AF67" s="30" t="b">
        <f ca="1">IFERROR(__xludf.DUMMYFUNCTION("""COMPUTED_VALUE"""),FALSE)</f>
        <v>0</v>
      </c>
      <c r="AG67" s="30"/>
      <c r="AH67" s="30" t="str">
        <f ca="1">IFERROR(__xludf.DUMMYFUNCTION("""COMPUTED_VALUE"""),"Sin costo")</f>
        <v>Sin costo</v>
      </c>
      <c r="AI67" s="30"/>
      <c r="AJ67" s="30"/>
      <c r="AK67" s="30"/>
      <c r="AL67" s="30" t="str">
        <f ca="1">IFERROR(__xludf.DUMMYFUNCTION("""COMPUTED_VALUE"""),"ccardonav@guanajuato.gob.mx")</f>
        <v>ccardonav@guanajuato.gob.mx</v>
      </c>
      <c r="AM67" s="30" t="str">
        <f ca="1">IFERROR(__xludf.DUMMYFUNCTION("""COMPUTED_VALUE"""),"Arraigo y empoderamiento cultural de comunidades.")</f>
        <v>Arraigo y empoderamiento cultural de comunidades.</v>
      </c>
      <c r="AN67" s="30" t="str">
        <f ca="1">IFERROR(__xludf.DUMMYFUNCTION("""COMPUTED_VALUE"""),"2 Igualdad")</f>
        <v>2 Igualdad</v>
      </c>
      <c r="AO67" s="30" t="str">
        <f ca="1">IFERROR(__xludf.DUMMYFUNCTION("""COMPUTED_VALUE"""),"2.1 Protección de derechos humanos")</f>
        <v>2.1 Protección de derechos humanos</v>
      </c>
      <c r="AP67" s="30" t="str">
        <f ca="1">IFERROR(__xludf.DUMMYFUNCTION("""COMPUTED_VALUE"""),"2.1.3 Inclusión de personas con discapacidad")</f>
        <v>2.1.3 Inclusión de personas con discapacidad</v>
      </c>
      <c r="AQ67" s="30" t="str">
        <f ca="1">IFERROR(__xludf.DUMMYFUNCTION("""COMPUTED_VALUE"""),"2.1.3.2 Coordinar la incorporación progresiva de la accesibilidad universal")</f>
        <v>2.1.3.2 Coordinar la incorporación progresiva de la accesibilidad universal</v>
      </c>
      <c r="AR67" s="30" t="str">
        <f ca="1">IFERROR(__xludf.DUMMYFUNCTION("""COMPUTED_VALUE"""),"Cooperación")</f>
        <v>Cooperación</v>
      </c>
      <c r="AS67" s="30"/>
      <c r="AT67" s="30" t="str">
        <f ca="1">IFERROR(__xludf.DUMMYFUNCTION("""COMPUTED_VALUE"""),"Fortalecimiento de la participación ciudadana y la mediación cultural")</f>
        <v>Fortalecimiento de la participación ciudadana y la mediación cultural</v>
      </c>
      <c r="AU67" s="30" t="str">
        <f ca="1">IFERROR(__xludf.DUMMYFUNCTION("""COMPUTED_VALUE"""),"Impulso a la ampliación de la oferta cultural en los territorios.")</f>
        <v>Impulso a la ampliación de la oferta cultural en los territorios.</v>
      </c>
      <c r="AV6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7" s="30" t="str">
        <f ca="1">IFERROR(__xludf.DUMMYFUNCTION("""COMPUTED_VALUE"""),"Incrementar en 25% la oferta cultural realizada en los municipios.")</f>
        <v>Incrementar en 25% la oferta cultural realizada en los municipios.</v>
      </c>
      <c r="AX67" s="30" t="str">
        <f ca="1">IFERROR(__xludf.DUMMYFUNCTION("""COMPUTED_VALUE"""),"Visitas escolares")</f>
        <v>Visitas escolares</v>
      </c>
      <c r="AY67" s="30" t="str">
        <f ca="1">IFERROR(__xludf.DUMMYFUNCTION("""COMPUTED_VALUE"""),"Formación")</f>
        <v>Formación</v>
      </c>
      <c r="AZ67" s="30" t="str">
        <f ca="1">IFERROR(__xludf.DUMMYFUNCTION("""COMPUTED_VALUE"""),"Formación")</f>
        <v>Formación</v>
      </c>
      <c r="BA67" s="30"/>
      <c r="BB67" s="30"/>
      <c r="BC67" s="30">
        <f ca="1">IFERROR(__xludf.DUMMYFUNCTION("""COMPUTED_VALUE"""),0)</f>
        <v>0</v>
      </c>
      <c r="BD67" s="30"/>
      <c r="BE67" s="30"/>
      <c r="BF67" s="30" t="b">
        <f ca="1">IFERROR(__xludf.DUMMYFUNCTION("""COMPUTED_VALUE"""),FALSE)</f>
        <v>0</v>
      </c>
      <c r="BG67" s="30"/>
      <c r="BH67" s="30"/>
      <c r="BI67" s="30"/>
      <c r="BJ67" s="30"/>
      <c r="BK67" s="30"/>
      <c r="BL67" s="30"/>
      <c r="BM67" s="30" t="str">
        <f ca="1">IFERROR(__xludf.DUMMYFUNCTION("""COMPUTED_VALUE"""),"No")</f>
        <v>No</v>
      </c>
      <c r="BN67" s="30"/>
      <c r="BO67" s="30" t="str">
        <f ca="1">IFERROR(__xludf.DUMMYFUNCTION("""COMPUTED_VALUE"""),"fbad417a")</f>
        <v>fbad417a</v>
      </c>
      <c r="BP67" s="29" t="str">
        <f ca="1">IFERROR(__xludf.DUMMYFUNCTION("""COMPUTED_VALUE"""),"Guanajuato")</f>
        <v>Guanajuato</v>
      </c>
      <c r="BQ67" s="30" t="str">
        <f ca="1">IFERROR(__xludf.DUMMYFUNCTION("""COMPUTED_VALUE"""),"Urbano")</f>
        <v>Urbano</v>
      </c>
      <c r="BR67" s="30"/>
      <c r="BS67" s="30"/>
      <c r="BT67" s="30"/>
      <c r="BU67" s="30" t="str">
        <f ca="1">IFERROR(__xludf.DUMMYFUNCTION("""COMPUTED_VALUE"""),"No")</f>
        <v>No</v>
      </c>
      <c r="BV67" s="30" t="str">
        <f ca="1">IFERROR(__xludf.DUMMYFUNCTION("""COMPUTED_VALUE"""),"No")</f>
        <v>No</v>
      </c>
      <c r="BW67" s="30">
        <f ca="1">IFERROR(__xludf.DUMMYFUNCTION("""COMPUTED_VALUE"""),61)</f>
        <v>61</v>
      </c>
      <c r="BX67" s="30">
        <f ca="1">IFERROR(__xludf.DUMMYFUNCTION("""COMPUTED_VALUE"""),61)</f>
        <v>61</v>
      </c>
      <c r="BY67" s="30">
        <f ca="1">IFERROR(__xludf.DUMMYFUNCTION("""COMPUTED_VALUE"""),0)</f>
        <v>0</v>
      </c>
      <c r="BZ67" s="30"/>
      <c r="CA67" s="30" t="str">
        <f ca="1">IFERROR(__xludf.DUMMYFUNCTION("""COMPUTED_VALUE"""),"No")</f>
        <v>No</v>
      </c>
      <c r="CB67" s="30" t="str">
        <f ca="1">IFERROR(__xludf.DUMMYFUNCTION("""COMPUTED_VALUE"""),"No")</f>
        <v>No</v>
      </c>
      <c r="CC67" s="30" t="str">
        <f ca="1">IFERROR(__xludf.DUMMYFUNCTION("""COMPUTED_VALUE"""),"d0db83b6")</f>
        <v>d0db83b6</v>
      </c>
      <c r="CD67" s="29" t="str">
        <f ca="1">IFERROR(__xludf.DUMMYFUNCTION("""COMPUTED_VALUE"""),"Jóvenes (18 a 29 años)")</f>
        <v>Jóvenes (18 a 29 años)</v>
      </c>
      <c r="CE67" s="30" t="str">
        <f ca="1">IFERROR(__xludf.DUMMYFUNCTION("""COMPUTED_VALUE"""),"Dato global")</f>
        <v>Dato global</v>
      </c>
      <c r="CF67" s="30" t="str">
        <f ca="1">IFERROR(__xludf.DUMMYFUNCTION("""COMPUTED_VALUE"""),"Ninguno (Población General)")</f>
        <v>Ninguno (Población General)</v>
      </c>
      <c r="CG67" s="30">
        <f ca="1">IFERROR(__xludf.DUMMYFUNCTION("""COMPUTED_VALUE"""),4)</f>
        <v>4</v>
      </c>
      <c r="CI67" s="30" t="str">
        <f ca="1">IFERROR(__xludf.DUMMYFUNCTION("""COMPUTED_VALUE"""),"9b6c0425")</f>
        <v>9b6c0425</v>
      </c>
      <c r="CJ67" s="29" t="str">
        <f ca="1">IFERROR(__xludf.DUMMYFUNCTION("""COMPUTED_VALUE"""),"Regitro_Evidencia_Files_/9b6c0425.Archivo_Evidencia.160747.zip")</f>
        <v>Regitro_Evidencia_Files_/9b6c0425.Archivo_Evidencia.160747.zip</v>
      </c>
      <c r="CK67" s="30" t="str">
        <f ca="1">IFERROR(__xludf.DUMMYFUNCTION("""COMPUTED_VALUE"""),"Carpeta")</f>
        <v>Carpeta</v>
      </c>
      <c r="CL67" s="30"/>
      <c r="CM67" s="30" t="str">
        <f ca="1">IFERROR(__xludf.DUMMYFUNCTION("""COMPUTED_VALUE"""),"Guanajuato")</f>
        <v>Guanajuato</v>
      </c>
      <c r="CN67" s="32" t="e">
        <f ca="1"/>
        <v>#NAME?</v>
      </c>
      <c r="CO67" s="32" t="e">
        <f ca="1"/>
        <v>#NAME?</v>
      </c>
      <c r="CP67" s="32" t="e">
        <f ca="1"/>
        <v>#NAME?</v>
      </c>
      <c r="CQ67" s="32" t="e">
        <f ca="1"/>
        <v>#NAME?</v>
      </c>
      <c r="CR67" s="30" t="e">
        <f ca="1"/>
        <v>#NAME?</v>
      </c>
      <c r="CS67" s="30" t="str">
        <f ca="1">IFERROR(__xludf.DUMMYFUNCTION("""COMPUTED_VALUE"""),"Ninguno (Población General)")</f>
        <v>Ninguno (Población General)</v>
      </c>
    </row>
    <row r="68" spans="1:97" ht="14.5">
      <c r="A68" s="29" t="str">
        <f ca="1">IFERROR(__xludf.DUMMYFUNCTION("""COMPUTED_VALUE"""),"ACT-SCJK83217")</f>
        <v>ACT-SCJK83217</v>
      </c>
      <c r="B68" s="30" t="str">
        <f ca="1">IFERROR(__xludf.DUMMYFUNCTION("""COMPUTED_VALUE"""),"SC-260619-141825")</f>
        <v>SC-260619-141825</v>
      </c>
      <c r="C68" s="62">
        <f ca="1">IFERROR(__xludf.DUMMYFUNCTION("""COMPUTED_VALUE"""),46192.5961226851)</f>
        <v>46192.5961226851</v>
      </c>
      <c r="D68" s="30">
        <f ca="1">IFERROR(__xludf.DUMMYFUNCTION("""COMPUTED_VALUE"""),92)</f>
        <v>92</v>
      </c>
      <c r="E68" s="30" t="str">
        <f ca="1">IFERROR(__xludf.DUMMYFUNCTION("""COMPUTED_VALUE"""),"PB3572")</f>
        <v>PB3572</v>
      </c>
      <c r="F6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8" s="30" t="str">
        <f ca="1">IFERROR(__xludf.DUMMYFUNCTION("""COMPUTED_VALUE"""),"SUBSECRETARÍA DE DESARROLLO Y PROMOCIÓN ARTÍSTICA Y CULTURAL")</f>
        <v>SUBSECRETARÍA DE DESARROLLO Y PROMOCIÓN ARTÍSTICA Y CULTURAL</v>
      </c>
      <c r="I68" s="34" t="str">
        <f ca="1">IFERROR(__xludf.DUMMYFUNCTION("""COMPUTED_VALUE"""),"DIRECCIÓN GENERAL DE MUSEOS, ARTES VISUALES Y EXPOSICIONES")</f>
        <v>DIRECCIÓN GENERAL DE MUSEOS, ARTES VISUALES Y EXPOSICIONES</v>
      </c>
      <c r="J68" s="30" t="str">
        <f ca="1">IFERROR(__xludf.DUMMYFUNCTION("""COMPUTED_VALUE"""),"Número de Actividades realizadas")</f>
        <v>Número de Actividades realizadas</v>
      </c>
      <c r="K68" s="30">
        <f ca="1">IFERROR(__xludf.DUMMYFUNCTION("""COMPUTED_VALUE"""),800)</f>
        <v>800</v>
      </c>
      <c r="L68" s="30" t="str">
        <f ca="1">IFERROR(__xludf.DUMMYFUNCTION("""COMPUTED_VALUE"""),"Artística")</f>
        <v>Artística</v>
      </c>
      <c r="M68" s="30" t="str">
        <f ca="1">IFERROR(__xludf.DUMMYFUNCTION("""COMPUTED_VALUE"""),"Visita práctica escolar")</f>
        <v>Visita práctica escolar</v>
      </c>
      <c r="N68" s="30" t="str">
        <f ca="1">IFERROR(__xludf.DUMMYFUNCTION("""COMPUTED_VALUE"""),"Recorrido guiado por el museo")</f>
        <v>Recorrido guiado por el museo</v>
      </c>
      <c r="O68" s="30" t="str">
        <f ca="1">IFERROR(__xludf.DUMMYFUNCTION("""COMPUTED_VALUE"""),"Única")</f>
        <v>Única</v>
      </c>
      <c r="P68" s="33">
        <f ca="1">IFERROR(__xludf.DUMMYFUNCTION("""COMPUTED_VALUE"""),46135)</f>
        <v>46135</v>
      </c>
      <c r="Q68" s="65">
        <f ca="1">IFERROR(__xludf.DUMMYFUNCTION("""COMPUTED_VALUE"""),46135)</f>
        <v>46135</v>
      </c>
      <c r="R68" s="30">
        <f ca="1">IFERROR(__xludf.DUMMYFUNCTION("""COMPUTED_VALUE"""),1)</f>
        <v>1</v>
      </c>
      <c r="S68" s="30" t="str">
        <f ca="1">IFERROR(__xludf.DUMMYFUNCTION("""COMPUTED_VALUE"""),"Cultura comunitaria")</f>
        <v>Cultura comunitaria</v>
      </c>
      <c r="T68" s="30" t="str">
        <f ca="1">IFERROR(__xludf.DUMMYFUNCTION("""COMPUTED_VALUE"""),"Formación comunitaria")</f>
        <v>Formación comunitaria</v>
      </c>
      <c r="U68" s="30" t="str">
        <f ca="1">IFERROR(__xludf.DUMMYFUNCTION("""COMPUTED_VALUE"""),"Visitas escolares")</f>
        <v>Visitas escolares</v>
      </c>
      <c r="V68" s="30" t="str">
        <f ca="1">IFERROR(__xludf.DUMMYFUNCTION("""COMPUTED_VALUE"""),"Ninguna")</f>
        <v>Ninguna</v>
      </c>
      <c r="W68" s="30" t="str">
        <f ca="1">IFERROR(__xludf.DUMMYFUNCTION("""COMPUTED_VALUE"""),"Presencial")</f>
        <v>Presencial</v>
      </c>
      <c r="X68" s="30" t="str">
        <f ca="1">IFERROR(__xludf.DUMMYFUNCTION("""COMPUTED_VALUE"""),"Espacio a Cargo de la Secretaría")</f>
        <v>Espacio a Cargo de la Secretaría</v>
      </c>
      <c r="Y68" s="30" t="str">
        <f ca="1">IFERROR(__xludf.DUMMYFUNCTION("""COMPUTED_VALUE"""),"2")</f>
        <v>2</v>
      </c>
      <c r="Z68" s="30"/>
      <c r="AA68" s="30"/>
      <c r="AB68" s="30" t="b">
        <f ca="1">IFERROR(__xludf.DUMMYFUNCTION("""COMPUTED_VALUE"""),FALSE)</f>
        <v>0</v>
      </c>
      <c r="AC68" s="30"/>
      <c r="AD68" s="30" t="b">
        <f ca="1">IFERROR(__xludf.DUMMYFUNCTION("""COMPUTED_VALUE"""),FALSE)</f>
        <v>0</v>
      </c>
      <c r="AE68" s="30"/>
      <c r="AF68" s="30" t="b">
        <f ca="1">IFERROR(__xludf.DUMMYFUNCTION("""COMPUTED_VALUE"""),FALSE)</f>
        <v>0</v>
      </c>
      <c r="AG68" s="30"/>
      <c r="AH68" s="30" t="str">
        <f ca="1">IFERROR(__xludf.DUMMYFUNCTION("""COMPUTED_VALUE"""),"Sin costo")</f>
        <v>Sin costo</v>
      </c>
      <c r="AI68" s="30"/>
      <c r="AJ68" s="30"/>
      <c r="AK68" s="30"/>
      <c r="AL68" s="30" t="str">
        <f ca="1">IFERROR(__xludf.DUMMYFUNCTION("""COMPUTED_VALUE"""),"ccardonav@guanajuato.gob.mx")</f>
        <v>ccardonav@guanajuato.gob.mx</v>
      </c>
      <c r="AM68" s="30" t="str">
        <f ca="1">IFERROR(__xludf.DUMMYFUNCTION("""COMPUTED_VALUE"""),"Arraigo y empoderamiento cultural de comunidades.")</f>
        <v>Arraigo y empoderamiento cultural de comunidades.</v>
      </c>
      <c r="AN68" s="30" t="str">
        <f ca="1">IFERROR(__xludf.DUMMYFUNCTION("""COMPUTED_VALUE"""),"2 Igualdad")</f>
        <v>2 Igualdad</v>
      </c>
      <c r="AO68" s="30" t="str">
        <f ca="1">IFERROR(__xludf.DUMMYFUNCTION("""COMPUTED_VALUE"""),"2.1 Protección de derechos humanos")</f>
        <v>2.1 Protección de derechos humanos</v>
      </c>
      <c r="AP68" s="30" t="str">
        <f ca="1">IFERROR(__xludf.DUMMYFUNCTION("""COMPUTED_VALUE"""),"2.1.3 Inclusión de personas con discapacidad")</f>
        <v>2.1.3 Inclusión de personas con discapacidad</v>
      </c>
      <c r="AQ68" s="30" t="str">
        <f ca="1">IFERROR(__xludf.DUMMYFUNCTION("""COMPUTED_VALUE"""),"2.1.3.2 Coordinar la incorporación progresiva de la accesibilidad universal")</f>
        <v>2.1.3.2 Coordinar la incorporación progresiva de la accesibilidad universal</v>
      </c>
      <c r="AR68" s="30" t="str">
        <f ca="1">IFERROR(__xludf.DUMMYFUNCTION("""COMPUTED_VALUE"""),"Cooperación")</f>
        <v>Cooperación</v>
      </c>
      <c r="AS68" s="30"/>
      <c r="AT68" s="30" t="str">
        <f ca="1">IFERROR(__xludf.DUMMYFUNCTION("""COMPUTED_VALUE"""),"Fortalecimiento de la participación ciudadana y la mediación cultural")</f>
        <v>Fortalecimiento de la participación ciudadana y la mediación cultural</v>
      </c>
      <c r="AU68" s="30" t="str">
        <f ca="1">IFERROR(__xludf.DUMMYFUNCTION("""COMPUTED_VALUE"""),"Impulso a la ampliación de la oferta cultural en los territorios.")</f>
        <v>Impulso a la ampliación de la oferta cultural en los territorios.</v>
      </c>
      <c r="AV6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8" s="30" t="str">
        <f ca="1">IFERROR(__xludf.DUMMYFUNCTION("""COMPUTED_VALUE"""),"Incrementar en 25% la oferta cultural realizada en los municipios.")</f>
        <v>Incrementar en 25% la oferta cultural realizada en los municipios.</v>
      </c>
      <c r="AX68" s="30" t="str">
        <f ca="1">IFERROR(__xludf.DUMMYFUNCTION("""COMPUTED_VALUE"""),"Visitas escolares")</f>
        <v>Visitas escolares</v>
      </c>
      <c r="AY68" s="30" t="str">
        <f ca="1">IFERROR(__xludf.DUMMYFUNCTION("""COMPUTED_VALUE"""),"Formación")</f>
        <v>Formación</v>
      </c>
      <c r="AZ68" s="30"/>
      <c r="BA68" s="30"/>
      <c r="BB68" s="30"/>
      <c r="BC68" s="30">
        <f ca="1">IFERROR(__xludf.DUMMYFUNCTION("""COMPUTED_VALUE"""),0)</f>
        <v>0</v>
      </c>
      <c r="BD68" s="30"/>
      <c r="BE68" s="30"/>
      <c r="BF68" s="30" t="b">
        <f ca="1">IFERROR(__xludf.DUMMYFUNCTION("""COMPUTED_VALUE"""),FALSE)</f>
        <v>0</v>
      </c>
      <c r="BG68" s="30"/>
      <c r="BH68" s="30"/>
      <c r="BI68" s="30"/>
      <c r="BJ68" s="30"/>
      <c r="BK68" s="30"/>
      <c r="BL68" s="30"/>
      <c r="BM68" s="30" t="str">
        <f ca="1">IFERROR(__xludf.DUMMYFUNCTION("""COMPUTED_VALUE"""),"No")</f>
        <v>No</v>
      </c>
      <c r="BN68" s="30"/>
      <c r="BO68" s="30" t="str">
        <f ca="1">IFERROR(__xludf.DUMMYFUNCTION("""COMPUTED_VALUE"""),"b973695e")</f>
        <v>b973695e</v>
      </c>
      <c r="BP68" s="29" t="str">
        <f ca="1">IFERROR(__xludf.DUMMYFUNCTION("""COMPUTED_VALUE"""),"Guanajuato")</f>
        <v>Guanajuato</v>
      </c>
      <c r="BQ68" s="30" t="str">
        <f ca="1">IFERROR(__xludf.DUMMYFUNCTION("""COMPUTED_VALUE"""),"Urbano")</f>
        <v>Urbano</v>
      </c>
      <c r="BR68" s="30"/>
      <c r="BS68" s="30"/>
      <c r="BT68" s="30"/>
      <c r="BU68" s="30" t="str">
        <f ca="1">IFERROR(__xludf.DUMMYFUNCTION("""COMPUTED_VALUE"""),"No")</f>
        <v>No</v>
      </c>
      <c r="BV68" s="30" t="str">
        <f ca="1">IFERROR(__xludf.DUMMYFUNCTION("""COMPUTED_VALUE"""),"No")</f>
        <v>No</v>
      </c>
      <c r="BW68" s="30">
        <f ca="1">IFERROR(__xludf.DUMMYFUNCTION("""COMPUTED_VALUE"""),92)</f>
        <v>92</v>
      </c>
      <c r="BX68" s="30"/>
      <c r="BY68" s="30">
        <f ca="1">IFERROR(__xludf.DUMMYFUNCTION("""COMPUTED_VALUE"""),92)</f>
        <v>92</v>
      </c>
      <c r="BZ68" s="30"/>
      <c r="CA68" s="30" t="str">
        <f ca="1">IFERROR(__xludf.DUMMYFUNCTION("""COMPUTED_VALUE"""),"No")</f>
        <v>No</v>
      </c>
      <c r="CB68" s="30" t="str">
        <f ca="1">IFERROR(__xludf.DUMMYFUNCTION("""COMPUTED_VALUE"""),"No")</f>
        <v>No</v>
      </c>
      <c r="CC68" s="30" t="str">
        <f ca="1">IFERROR(__xludf.DUMMYFUNCTION("""COMPUTED_VALUE"""),"c3aa03c9")</f>
        <v>c3aa03c9</v>
      </c>
      <c r="CD68" s="29" t="str">
        <f ca="1">IFERROR(__xludf.DUMMYFUNCTION("""COMPUTED_VALUE"""),"Jóvenes (18 a 29 años)")</f>
        <v>Jóvenes (18 a 29 años)</v>
      </c>
      <c r="CE68" s="30" t="str">
        <f ca="1">IFERROR(__xludf.DUMMYFUNCTION("""COMPUTED_VALUE"""),"Dato global")</f>
        <v>Dato global</v>
      </c>
      <c r="CF68" s="30" t="str">
        <f ca="1">IFERROR(__xludf.DUMMYFUNCTION("""COMPUTED_VALUE"""),"Ninguno (Población General)")</f>
        <v>Ninguno (Población General)</v>
      </c>
      <c r="CG68" s="30">
        <f ca="1">IFERROR(__xludf.DUMMYFUNCTION("""COMPUTED_VALUE"""),50)</f>
        <v>50</v>
      </c>
      <c r="CI68" s="30" t="str">
        <f ca="1">IFERROR(__xludf.DUMMYFUNCTION("""COMPUTED_VALUE"""),"2cc81373")</f>
        <v>2cc81373</v>
      </c>
      <c r="CJ68" s="29" t="str">
        <f ca="1">IFERROR(__xludf.DUMMYFUNCTION("""COMPUTED_VALUE"""),"Regitro_Evidencia_Files_/2cc81373.Archivo_Evidencia.161747.zip")</f>
        <v>Regitro_Evidencia_Files_/2cc81373.Archivo_Evidencia.161747.zip</v>
      </c>
      <c r="CK68" s="30" t="str">
        <f ca="1">IFERROR(__xludf.DUMMYFUNCTION("""COMPUTED_VALUE"""),"Carpeta")</f>
        <v>Carpeta</v>
      </c>
      <c r="CL68" s="30"/>
      <c r="CM68" s="30" t="str">
        <f ca="1">IFERROR(__xludf.DUMMYFUNCTION("""COMPUTED_VALUE"""),"Guanajuato")</f>
        <v>Guanajuato</v>
      </c>
      <c r="CN68" s="32" t="e">
        <f ca="1"/>
        <v>#NAME?</v>
      </c>
      <c r="CO68" s="32" t="e">
        <f ca="1"/>
        <v>#NAME?</v>
      </c>
      <c r="CP68" s="32" t="e">
        <f ca="1"/>
        <v>#NAME?</v>
      </c>
      <c r="CQ68" s="32" t="e">
        <f ca="1"/>
        <v>#NAME?</v>
      </c>
      <c r="CR68" s="30" t="e">
        <f ca="1"/>
        <v>#NAME?</v>
      </c>
      <c r="CS68" s="30" t="str">
        <f ca="1">IFERROR(__xludf.DUMMYFUNCTION("""COMPUTED_VALUE"""),"NNA (Niñas, Niños y Adolescentes)")</f>
        <v>NNA (Niñas, Niños y Adolescentes)</v>
      </c>
    </row>
    <row r="69" spans="1:97" ht="14.5">
      <c r="A69" s="29" t="str">
        <f ca="1">IFERROR(__xludf.DUMMYFUNCTION("""COMPUTED_VALUE"""),"ACT-SCAP74839")</f>
        <v>ACT-SCAP74839</v>
      </c>
      <c r="B69" s="30" t="str">
        <f ca="1">IFERROR(__xludf.DUMMYFUNCTION("""COMPUTED_VALUE"""),"SC-260619-142402")</f>
        <v>SC-260619-142402</v>
      </c>
      <c r="C69" s="62">
        <f ca="1">IFERROR(__xludf.DUMMYFUNCTION("""COMPUTED_VALUE"""),46192.6000231481)</f>
        <v>46192.600023148101</v>
      </c>
      <c r="D69" s="30">
        <f ca="1">IFERROR(__xludf.DUMMYFUNCTION("""COMPUTED_VALUE"""),92)</f>
        <v>92</v>
      </c>
      <c r="E69" s="30" t="str">
        <f ca="1">IFERROR(__xludf.DUMMYFUNCTION("""COMPUTED_VALUE"""),"PB3572")</f>
        <v>PB3572</v>
      </c>
      <c r="F6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9" s="30" t="str">
        <f ca="1">IFERROR(__xludf.DUMMYFUNCTION("""COMPUTED_VALUE"""),"SUBSECRETARÍA DE DESARROLLO Y PROMOCIÓN ARTÍSTICA Y CULTURAL")</f>
        <v>SUBSECRETARÍA DE DESARROLLO Y PROMOCIÓN ARTÍSTICA Y CULTURAL</v>
      </c>
      <c r="I69" s="34" t="str">
        <f ca="1">IFERROR(__xludf.DUMMYFUNCTION("""COMPUTED_VALUE"""),"DIRECCIÓN GENERAL DE MUSEOS, ARTES VISUALES Y EXPOSICIONES")</f>
        <v>DIRECCIÓN GENERAL DE MUSEOS, ARTES VISUALES Y EXPOSICIONES</v>
      </c>
      <c r="J69" s="30" t="str">
        <f ca="1">IFERROR(__xludf.DUMMYFUNCTION("""COMPUTED_VALUE"""),"Número de Actividades realizadas")</f>
        <v>Número de Actividades realizadas</v>
      </c>
      <c r="K69" s="30">
        <f ca="1">IFERROR(__xludf.DUMMYFUNCTION("""COMPUTED_VALUE"""),800)</f>
        <v>800</v>
      </c>
      <c r="L69" s="30" t="str">
        <f ca="1">IFERROR(__xludf.DUMMYFUNCTION("""COMPUTED_VALUE"""),"Artística")</f>
        <v>Artística</v>
      </c>
      <c r="M69" s="30" t="str">
        <f ca="1">IFERROR(__xludf.DUMMYFUNCTION("""COMPUTED_VALUE"""),"Joint, Museos+Fanzines")</f>
        <v>Joint, Museos+Fanzines</v>
      </c>
      <c r="N69" s="30" t="str">
        <f ca="1">IFERROR(__xludf.DUMMYFUNCTION("""COMPUTED_VALUE"""),"Presentación Editorial de Fanzines y Publicaciones Independientes, resultado del trabajo creativo y técnico de los estudiantes de la Licenciatura en Artes Visuales UG.")</f>
        <v>Presentación Editorial de Fanzines y Publicaciones Independientes, resultado del trabajo creativo y técnico de los estudiantes de la Licenciatura en Artes Visuales UG.</v>
      </c>
      <c r="O69" s="30" t="str">
        <f ca="1">IFERROR(__xludf.DUMMYFUNCTION("""COMPUTED_VALUE"""),"Única")</f>
        <v>Única</v>
      </c>
      <c r="P69" s="33">
        <f ca="1">IFERROR(__xludf.DUMMYFUNCTION("""COMPUTED_VALUE"""),46149)</f>
        <v>46149</v>
      </c>
      <c r="Q69" s="65">
        <f ca="1">IFERROR(__xludf.DUMMYFUNCTION("""COMPUTED_VALUE"""),46149)</f>
        <v>46149</v>
      </c>
      <c r="R69" s="30">
        <f ca="1">IFERROR(__xludf.DUMMYFUNCTION("""COMPUTED_VALUE"""),1)</f>
        <v>1</v>
      </c>
      <c r="S69" s="30" t="str">
        <f ca="1">IFERROR(__xludf.DUMMYFUNCTION("""COMPUTED_VALUE"""),"Cultura comunitaria")</f>
        <v>Cultura comunitaria</v>
      </c>
      <c r="T69" s="30" t="str">
        <f ca="1">IFERROR(__xludf.DUMMYFUNCTION("""COMPUTED_VALUE"""),"Formación comunitaria")</f>
        <v>Formación comunitaria</v>
      </c>
      <c r="U69" s="30" t="str">
        <f ca="1">IFERROR(__xludf.DUMMYFUNCTION("""COMPUTED_VALUE"""),"Presentación artística")</f>
        <v>Presentación artística</v>
      </c>
      <c r="V69" s="30" t="str">
        <f ca="1">IFERROR(__xludf.DUMMYFUNCTION("""COMPUTED_VALUE"""),"Ninguna")</f>
        <v>Ninguna</v>
      </c>
      <c r="W69" s="30" t="str">
        <f ca="1">IFERROR(__xludf.DUMMYFUNCTION("""COMPUTED_VALUE"""),"Presencial")</f>
        <v>Presencial</v>
      </c>
      <c r="X69" s="30" t="str">
        <f ca="1">IFERROR(__xludf.DUMMYFUNCTION("""COMPUTED_VALUE"""),"Espacio a Cargo de la Secretaría")</f>
        <v>Espacio a Cargo de la Secretaría</v>
      </c>
      <c r="Y69" s="30" t="str">
        <f ca="1">IFERROR(__xludf.DUMMYFUNCTION("""COMPUTED_VALUE"""),"4")</f>
        <v>4</v>
      </c>
      <c r="Z69" s="30"/>
      <c r="AA69" s="30"/>
      <c r="AB69" s="30" t="b">
        <f ca="1">IFERROR(__xludf.DUMMYFUNCTION("""COMPUTED_VALUE"""),FALSE)</f>
        <v>0</v>
      </c>
      <c r="AC69" s="30"/>
      <c r="AD69" s="30" t="b">
        <f ca="1">IFERROR(__xludf.DUMMYFUNCTION("""COMPUTED_VALUE"""),FALSE)</f>
        <v>0</v>
      </c>
      <c r="AE69" s="30"/>
      <c r="AF69" s="30" t="b">
        <f ca="1">IFERROR(__xludf.DUMMYFUNCTION("""COMPUTED_VALUE"""),FALSE)</f>
        <v>0</v>
      </c>
      <c r="AG69" s="30"/>
      <c r="AH69" s="30" t="str">
        <f ca="1">IFERROR(__xludf.DUMMYFUNCTION("""COMPUTED_VALUE"""),"Sin costo")</f>
        <v>Sin costo</v>
      </c>
      <c r="AI69" s="30"/>
      <c r="AJ69" s="30"/>
      <c r="AK69" s="30"/>
      <c r="AL69" s="30" t="str">
        <f ca="1">IFERROR(__xludf.DUMMYFUNCTION("""COMPUTED_VALUE"""),"ccardonav@guanajuato.gob.mx")</f>
        <v>ccardonav@guanajuato.gob.mx</v>
      </c>
      <c r="AM69" s="30" t="str">
        <f ca="1">IFERROR(__xludf.DUMMYFUNCTION("""COMPUTED_VALUE"""),"Arraigo y empoderamiento cultural de comunidades.")</f>
        <v>Arraigo y empoderamiento cultural de comunidades.</v>
      </c>
      <c r="AN69" s="30" t="str">
        <f ca="1">IFERROR(__xludf.DUMMYFUNCTION("""COMPUTED_VALUE"""),"1 Tranquilidad")</f>
        <v>1 Tranquilidad</v>
      </c>
      <c r="AO69" s="30" t="str">
        <f ca="1">IFERROR(__xludf.DUMMYFUNCTION("""COMPUTED_VALUE"""),"1.2 Fortalecer prevención del delito")</f>
        <v>1.2 Fortalecer prevención del delito</v>
      </c>
      <c r="AP69" s="30" t="str">
        <f ca="1">IFERROR(__xludf.DUMMYFUNCTION("""COMPUTED_VALUE"""),"1.2.2 Fortalecimiento del tejido social")</f>
        <v>1.2.2 Fortalecimiento del tejido social</v>
      </c>
      <c r="AQ69" s="30" t="str">
        <f ca="1">IFERROR(__xludf.DUMMYFUNCTION("""COMPUTED_VALUE"""),"1.2.3.4 Promover una cultura de paz desde las expresiones artísticas y culturales")</f>
        <v>1.2.3.4 Promover una cultura de paz desde las expresiones artísticas y culturales</v>
      </c>
      <c r="AR69" s="30" t="str">
        <f ca="1">IFERROR(__xludf.DUMMYFUNCTION("""COMPUTED_VALUE"""),"Cooperación")</f>
        <v>Cooperación</v>
      </c>
      <c r="AS69" s="30"/>
      <c r="AT69" s="30" t="str">
        <f ca="1">IFERROR(__xludf.DUMMYFUNCTION("""COMPUTED_VALUE"""),"Fortalecimiento de la participación ciudadana y la mediación cultural")</f>
        <v>Fortalecimiento de la participación ciudadana y la mediación cultural</v>
      </c>
      <c r="AU69" s="30" t="str">
        <f ca="1">IFERROR(__xludf.DUMMYFUNCTION("""COMPUTED_VALUE"""),"Impulso a la ampliación de la oferta cultural en los territorios.")</f>
        <v>Impulso a la ampliación de la oferta cultural en los territorios.</v>
      </c>
      <c r="AV6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9" s="30" t="str">
        <f ca="1">IFERROR(__xludf.DUMMYFUNCTION("""COMPUTED_VALUE"""),"Incrementar en 25% la oferta cultural realizada en los municipios.")</f>
        <v>Incrementar en 25% la oferta cultural realizada en los municipios.</v>
      </c>
      <c r="AX69" s="30" t="str">
        <f ca="1">IFERROR(__xludf.DUMMYFUNCTION("""COMPUTED_VALUE"""),"Presentación artística")</f>
        <v>Presentación artística</v>
      </c>
      <c r="AY69" s="30" t="str">
        <f ca="1">IFERROR(__xludf.DUMMYFUNCTION("""COMPUTED_VALUE"""),"Formación")</f>
        <v>Formación</v>
      </c>
      <c r="AZ69" s="30"/>
      <c r="BA69" s="30"/>
      <c r="BB69" s="30"/>
      <c r="BC69" s="30">
        <f ca="1">IFERROR(__xludf.DUMMYFUNCTION("""COMPUTED_VALUE"""),0)</f>
        <v>0</v>
      </c>
      <c r="BD69" s="30"/>
      <c r="BE69" s="30"/>
      <c r="BF69" s="30" t="b">
        <f ca="1">IFERROR(__xludf.DUMMYFUNCTION("""COMPUTED_VALUE"""),FALSE)</f>
        <v>0</v>
      </c>
      <c r="BG69" s="30"/>
      <c r="BH69" s="30"/>
      <c r="BI69" s="30"/>
      <c r="BJ69" s="30"/>
      <c r="BK69" s="30"/>
      <c r="BL69" s="30" t="str">
        <f ca="1">IFERROR(__xludf.DUMMYFUNCTION("""COMPUTED_VALUE"""),"VINCULACIÓN")</f>
        <v>VINCULACIÓN</v>
      </c>
      <c r="BM69" s="30" t="str">
        <f ca="1">IFERROR(__xludf.DUMMYFUNCTION("""COMPUTED_VALUE"""),"Sí")</f>
        <v>Sí</v>
      </c>
      <c r="BN69" s="30"/>
      <c r="BO69" s="30" t="str">
        <f ca="1">IFERROR(__xludf.DUMMYFUNCTION("""COMPUTED_VALUE"""),"3a35508f")</f>
        <v>3a35508f</v>
      </c>
      <c r="BP69" s="29" t="str">
        <f ca="1">IFERROR(__xludf.DUMMYFUNCTION("""COMPUTED_VALUE"""),"Guanajuato")</f>
        <v>Guanajuato</v>
      </c>
      <c r="BQ69" s="30" t="str">
        <f ca="1">IFERROR(__xludf.DUMMYFUNCTION("""COMPUTED_VALUE"""),"Urbano")</f>
        <v>Urbano</v>
      </c>
      <c r="BR69" s="30"/>
      <c r="BS69" s="30"/>
      <c r="BT69" s="30"/>
      <c r="BU69" s="30" t="str">
        <f ca="1">IFERROR(__xludf.DUMMYFUNCTION("""COMPUTED_VALUE"""),"No")</f>
        <v>No</v>
      </c>
      <c r="BV69" s="30" t="str">
        <f ca="1">IFERROR(__xludf.DUMMYFUNCTION("""COMPUTED_VALUE"""),"No")</f>
        <v>No</v>
      </c>
      <c r="BW69" s="30">
        <f ca="1">IFERROR(__xludf.DUMMYFUNCTION("""COMPUTED_VALUE"""),45)</f>
        <v>45</v>
      </c>
      <c r="BX69" s="30">
        <f ca="1">IFERROR(__xludf.DUMMYFUNCTION("""COMPUTED_VALUE"""),45)</f>
        <v>45</v>
      </c>
      <c r="BY69" s="30">
        <f ca="1">IFERROR(__xludf.DUMMYFUNCTION("""COMPUTED_VALUE"""),0)</f>
        <v>0</v>
      </c>
      <c r="BZ69" s="30"/>
      <c r="CA69" s="30" t="str">
        <f ca="1">IFERROR(__xludf.DUMMYFUNCTION("""COMPUTED_VALUE"""),"No")</f>
        <v>No</v>
      </c>
      <c r="CB69" s="30" t="str">
        <f ca="1">IFERROR(__xludf.DUMMYFUNCTION("""COMPUTED_VALUE"""),"No")</f>
        <v>No</v>
      </c>
      <c r="CC69" s="30" t="str">
        <f ca="1">IFERROR(__xludf.DUMMYFUNCTION("""COMPUTED_VALUE"""),"48874cdc")</f>
        <v>48874cdc</v>
      </c>
      <c r="CD69" s="29" t="str">
        <f ca="1">IFERROR(__xludf.DUMMYFUNCTION("""COMPUTED_VALUE"""),"Jóvenes (18 a 29 años)")</f>
        <v>Jóvenes (18 a 29 años)</v>
      </c>
      <c r="CE69" s="30" t="str">
        <f ca="1">IFERROR(__xludf.DUMMYFUNCTION("""COMPUTED_VALUE"""),"Dato global")</f>
        <v>Dato global</v>
      </c>
      <c r="CF69" s="30" t="str">
        <f ca="1">IFERROR(__xludf.DUMMYFUNCTION("""COMPUTED_VALUE"""),"Ninguno (Población General)")</f>
        <v>Ninguno (Población General)</v>
      </c>
      <c r="CG69" s="30">
        <f ca="1">IFERROR(__xludf.DUMMYFUNCTION("""COMPUTED_VALUE"""),41)</f>
        <v>41</v>
      </c>
      <c r="CI69" s="30" t="str">
        <f ca="1">IFERROR(__xludf.DUMMYFUNCTION("""COMPUTED_VALUE"""),"4fa1fefe")</f>
        <v>4fa1fefe</v>
      </c>
      <c r="CJ69" s="29" t="str">
        <f ca="1">IFERROR(__xludf.DUMMYFUNCTION("""COMPUTED_VALUE"""),"Regitro_Evidencia_Files_/4fa1fefe.Archivo_Evidencia.211749.pdf")</f>
        <v>Regitro_Evidencia_Files_/4fa1fefe.Archivo_Evidencia.211749.pdf</v>
      </c>
      <c r="CK69" s="30" t="str">
        <f ca="1">IFERROR(__xludf.DUMMYFUNCTION("""COMPUTED_VALUE"""),"PDF")</f>
        <v>PDF</v>
      </c>
      <c r="CL69" s="30"/>
      <c r="CM69" s="30" t="str">
        <f ca="1">IFERROR(__xludf.DUMMYFUNCTION("""COMPUTED_VALUE"""),"Guanajuato")</f>
        <v>Guanajuato</v>
      </c>
      <c r="CN69" s="32" t="e">
        <f ca="1"/>
        <v>#NAME?</v>
      </c>
      <c r="CO69" s="32" t="e">
        <f ca="1"/>
        <v>#NAME?</v>
      </c>
      <c r="CP69" s="32" t="e">
        <f ca="1"/>
        <v>#NAME?</v>
      </c>
      <c r="CQ69" s="32" t="e">
        <f ca="1"/>
        <v>#NAME?</v>
      </c>
      <c r="CR69" s="30" t="e">
        <f ca="1"/>
        <v>#NAME?</v>
      </c>
      <c r="CS69" s="30" t="str">
        <f ca="1">IFERROR(__xludf.DUMMYFUNCTION("""COMPUTED_VALUE"""),"Ninguno (Población General)")</f>
        <v>Ninguno (Población General)</v>
      </c>
    </row>
    <row r="70" spans="1:97" ht="14.5">
      <c r="A70" s="29" t="str">
        <f ca="1">IFERROR(__xludf.DUMMYFUNCTION("""COMPUTED_VALUE"""),"ACT-SCZY13401")</f>
        <v>ACT-SCZY13401</v>
      </c>
      <c r="B70" s="30" t="str">
        <f ca="1">IFERROR(__xludf.DUMMYFUNCTION("""COMPUTED_VALUE"""),"SC-260619-145021")</f>
        <v>SC-260619-145021</v>
      </c>
      <c r="C70" s="62">
        <f ca="1">IFERROR(__xludf.DUMMYFUNCTION("""COMPUTED_VALUE"""),46192.6182986111)</f>
        <v>46192.618298611102</v>
      </c>
      <c r="D70" s="30">
        <f ca="1">IFERROR(__xludf.DUMMYFUNCTION("""COMPUTED_VALUE"""),92)</f>
        <v>92</v>
      </c>
      <c r="E70" s="30" t="str">
        <f ca="1">IFERROR(__xludf.DUMMYFUNCTION("""COMPUTED_VALUE"""),"PB3572")</f>
        <v>PB3572</v>
      </c>
      <c r="F7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0" s="30" t="str">
        <f ca="1">IFERROR(__xludf.DUMMYFUNCTION("""COMPUTED_VALUE"""),"SUBSECRETARÍA DE DESARROLLO Y PROMOCIÓN ARTÍSTICA Y CULTURAL")</f>
        <v>SUBSECRETARÍA DE DESARROLLO Y PROMOCIÓN ARTÍSTICA Y CULTURAL</v>
      </c>
      <c r="I70" s="34" t="str">
        <f ca="1">IFERROR(__xludf.DUMMYFUNCTION("""COMPUTED_VALUE"""),"DIRECCIÓN GENERAL DE MUSEOS, ARTES VISUALES Y EXPOSICIONES")</f>
        <v>DIRECCIÓN GENERAL DE MUSEOS, ARTES VISUALES Y EXPOSICIONES</v>
      </c>
      <c r="J70" s="30" t="str">
        <f ca="1">IFERROR(__xludf.DUMMYFUNCTION("""COMPUTED_VALUE"""),"Número de Actividades realizadas")</f>
        <v>Número de Actividades realizadas</v>
      </c>
      <c r="K70" s="30">
        <f ca="1">IFERROR(__xludf.DUMMYFUNCTION("""COMPUTED_VALUE"""),800)</f>
        <v>800</v>
      </c>
      <c r="L70" s="30" t="str">
        <f ca="1">IFERROR(__xludf.DUMMYFUNCTION("""COMPUTED_VALUE"""),"Artística")</f>
        <v>Artística</v>
      </c>
      <c r="M70" s="30" t="str">
        <f ca="1">IFERROR(__xludf.DUMMYFUNCTION("""COMPUTED_VALUE"""),"Visita escolar Secundaria Benito Juárez")</f>
        <v>Visita escolar Secundaria Benito Juárez</v>
      </c>
      <c r="N70" s="30" t="str">
        <f ca="1">IFERROR(__xludf.DUMMYFUNCTION("""COMPUTED_VALUE"""),"Recorrido guiado por el museo")</f>
        <v>Recorrido guiado por el museo</v>
      </c>
      <c r="O70" s="30" t="str">
        <f ca="1">IFERROR(__xludf.DUMMYFUNCTION("""COMPUTED_VALUE"""),"Única")</f>
        <v>Única</v>
      </c>
      <c r="P70" s="33">
        <f ca="1">IFERROR(__xludf.DUMMYFUNCTION("""COMPUTED_VALUE"""),46150)</f>
        <v>46150</v>
      </c>
      <c r="Q70" s="65">
        <f ca="1">IFERROR(__xludf.DUMMYFUNCTION("""COMPUTED_VALUE"""),46150)</f>
        <v>46150</v>
      </c>
      <c r="R70" s="30">
        <f ca="1">IFERROR(__xludf.DUMMYFUNCTION("""COMPUTED_VALUE"""),1)</f>
        <v>1</v>
      </c>
      <c r="S70" s="30" t="str">
        <f ca="1">IFERROR(__xludf.DUMMYFUNCTION("""COMPUTED_VALUE"""),"Cultura comunitaria")</f>
        <v>Cultura comunitaria</v>
      </c>
      <c r="T70" s="30" t="str">
        <f ca="1">IFERROR(__xludf.DUMMYFUNCTION("""COMPUTED_VALUE"""),"Formación comunitaria")</f>
        <v>Formación comunitaria</v>
      </c>
      <c r="U70" s="30" t="str">
        <f ca="1">IFERROR(__xludf.DUMMYFUNCTION("""COMPUTED_VALUE"""),"Visitas escolares")</f>
        <v>Visitas escolares</v>
      </c>
      <c r="V70" s="30" t="str">
        <f ca="1">IFERROR(__xludf.DUMMYFUNCTION("""COMPUTED_VALUE"""),"Ninguna")</f>
        <v>Ninguna</v>
      </c>
      <c r="W70" s="30" t="str">
        <f ca="1">IFERROR(__xludf.DUMMYFUNCTION("""COMPUTED_VALUE"""),"Presencial")</f>
        <v>Presencial</v>
      </c>
      <c r="X70" s="30" t="str">
        <f ca="1">IFERROR(__xludf.DUMMYFUNCTION("""COMPUTED_VALUE"""),"Espacio a Cargo de la Secretaría")</f>
        <v>Espacio a Cargo de la Secretaría</v>
      </c>
      <c r="Y70" s="30" t="str">
        <f ca="1">IFERROR(__xludf.DUMMYFUNCTION("""COMPUTED_VALUE"""),"4")</f>
        <v>4</v>
      </c>
      <c r="Z70" s="30"/>
      <c r="AA70" s="30"/>
      <c r="AB70" s="30" t="b">
        <f ca="1">IFERROR(__xludf.DUMMYFUNCTION("""COMPUTED_VALUE"""),FALSE)</f>
        <v>0</v>
      </c>
      <c r="AC70" s="30"/>
      <c r="AD70" s="30" t="b">
        <f ca="1">IFERROR(__xludf.DUMMYFUNCTION("""COMPUTED_VALUE"""),FALSE)</f>
        <v>0</v>
      </c>
      <c r="AE70" s="30"/>
      <c r="AF70" s="30" t="b">
        <f ca="1">IFERROR(__xludf.DUMMYFUNCTION("""COMPUTED_VALUE"""),FALSE)</f>
        <v>0</v>
      </c>
      <c r="AG70" s="30"/>
      <c r="AH70" s="30" t="str">
        <f ca="1">IFERROR(__xludf.DUMMYFUNCTION("""COMPUTED_VALUE"""),"Sin costo")</f>
        <v>Sin costo</v>
      </c>
      <c r="AI70" s="30"/>
      <c r="AJ70" s="30"/>
      <c r="AK70" s="30"/>
      <c r="AL70" s="30" t="str">
        <f ca="1">IFERROR(__xludf.DUMMYFUNCTION("""COMPUTED_VALUE"""),"ccardonav@guanajuato.gob.mx")</f>
        <v>ccardonav@guanajuato.gob.mx</v>
      </c>
      <c r="AM70" s="30" t="str">
        <f ca="1">IFERROR(__xludf.DUMMYFUNCTION("""COMPUTED_VALUE"""),"Arraigo y empoderamiento cultural de comunidades.")</f>
        <v>Arraigo y empoderamiento cultural de comunidades.</v>
      </c>
      <c r="AN70" s="30" t="str">
        <f ca="1">IFERROR(__xludf.DUMMYFUNCTION("""COMPUTED_VALUE"""),"2 Igualdad")</f>
        <v>2 Igualdad</v>
      </c>
      <c r="AO70" s="30" t="str">
        <f ca="1">IFERROR(__xludf.DUMMYFUNCTION("""COMPUTED_VALUE"""),"2.1 Protección de derechos humanos")</f>
        <v>2.1 Protección de derechos humanos</v>
      </c>
      <c r="AP70" s="30" t="str">
        <f ca="1">IFERROR(__xludf.DUMMYFUNCTION("""COMPUTED_VALUE"""),"2.1.3 Inclusión de personas con discapacidad")</f>
        <v>2.1.3 Inclusión de personas con discapacidad</v>
      </c>
      <c r="AQ70" s="30" t="str">
        <f ca="1">IFERROR(__xludf.DUMMYFUNCTION("""COMPUTED_VALUE"""),"2.1.3.2 Coordinar la incorporación progresiva de la accesibilidad universal")</f>
        <v>2.1.3.2 Coordinar la incorporación progresiva de la accesibilidad universal</v>
      </c>
      <c r="AR70" s="30" t="str">
        <f ca="1">IFERROR(__xludf.DUMMYFUNCTION("""COMPUTED_VALUE"""),"Cooperación")</f>
        <v>Cooperación</v>
      </c>
      <c r="AS70" s="30"/>
      <c r="AT70" s="30" t="str">
        <f ca="1">IFERROR(__xludf.DUMMYFUNCTION("""COMPUTED_VALUE"""),"Fortalecimiento de la participación ciudadana y la mediación cultural")</f>
        <v>Fortalecimiento de la participación ciudadana y la mediación cultural</v>
      </c>
      <c r="AU70" s="30" t="str">
        <f ca="1">IFERROR(__xludf.DUMMYFUNCTION("""COMPUTED_VALUE"""),"Impulso a la ampliación de la oferta cultural en los territorios.")</f>
        <v>Impulso a la ampliación de la oferta cultural en los territorios.</v>
      </c>
      <c r="AV7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0" s="30" t="str">
        <f ca="1">IFERROR(__xludf.DUMMYFUNCTION("""COMPUTED_VALUE"""),"Incrementar en 25% la oferta cultural realizada en los municipios.")</f>
        <v>Incrementar en 25% la oferta cultural realizada en los municipios.</v>
      </c>
      <c r="AX70" s="30" t="str">
        <f ca="1">IFERROR(__xludf.DUMMYFUNCTION("""COMPUTED_VALUE"""),"Visitas escolares")</f>
        <v>Visitas escolares</v>
      </c>
      <c r="AY70" s="30" t="str">
        <f ca="1">IFERROR(__xludf.DUMMYFUNCTION("""COMPUTED_VALUE"""),"Formación")</f>
        <v>Formación</v>
      </c>
      <c r="AZ70" s="30" t="str">
        <f ca="1">IFERROR(__xludf.DUMMYFUNCTION("""COMPUTED_VALUE"""),"Formación")</f>
        <v>Formación</v>
      </c>
      <c r="BA70" s="30"/>
      <c r="BB70" s="30"/>
      <c r="BC70" s="30">
        <f ca="1">IFERROR(__xludf.DUMMYFUNCTION("""COMPUTED_VALUE"""),0)</f>
        <v>0</v>
      </c>
      <c r="BD70" s="30"/>
      <c r="BE70" s="30"/>
      <c r="BF70" s="30" t="b">
        <f ca="1">IFERROR(__xludf.DUMMYFUNCTION("""COMPUTED_VALUE"""),FALSE)</f>
        <v>0</v>
      </c>
      <c r="BG70" s="30"/>
      <c r="BH70" s="30"/>
      <c r="BI70" s="30"/>
      <c r="BJ70" s="30"/>
      <c r="BK70" s="30"/>
      <c r="BL70" s="30"/>
      <c r="BM70" s="30" t="str">
        <f ca="1">IFERROR(__xludf.DUMMYFUNCTION("""COMPUTED_VALUE"""),"No")</f>
        <v>No</v>
      </c>
      <c r="BN70" s="30"/>
      <c r="BO70" s="30" t="str">
        <f ca="1">IFERROR(__xludf.DUMMYFUNCTION("""COMPUTED_VALUE"""),"cd440d34")</f>
        <v>cd440d34</v>
      </c>
      <c r="BP70" s="29" t="str">
        <f ca="1">IFERROR(__xludf.DUMMYFUNCTION("""COMPUTED_VALUE"""),"Guanajuato")</f>
        <v>Guanajuato</v>
      </c>
      <c r="BQ70" s="30" t="str">
        <f ca="1">IFERROR(__xludf.DUMMYFUNCTION("""COMPUTED_VALUE"""),"Urbano")</f>
        <v>Urbano</v>
      </c>
      <c r="BR70" s="30"/>
      <c r="BS70" s="30"/>
      <c r="BT70" s="30"/>
      <c r="BU70" s="30" t="str">
        <f ca="1">IFERROR(__xludf.DUMMYFUNCTION("""COMPUTED_VALUE"""),"No")</f>
        <v>No</v>
      </c>
      <c r="BV70" s="30" t="str">
        <f ca="1">IFERROR(__xludf.DUMMYFUNCTION("""COMPUTED_VALUE"""),"No")</f>
        <v>No</v>
      </c>
      <c r="BW70" s="30">
        <f ca="1">IFERROR(__xludf.DUMMYFUNCTION("""COMPUTED_VALUE"""),20)</f>
        <v>20</v>
      </c>
      <c r="BX70" s="30">
        <f ca="1">IFERROR(__xludf.DUMMYFUNCTION("""COMPUTED_VALUE"""),20)</f>
        <v>20</v>
      </c>
      <c r="BY70" s="30">
        <f ca="1">IFERROR(__xludf.DUMMYFUNCTION("""COMPUTED_VALUE"""),0)</f>
        <v>0</v>
      </c>
      <c r="BZ70" s="30"/>
      <c r="CA70" s="30" t="str">
        <f ca="1">IFERROR(__xludf.DUMMYFUNCTION("""COMPUTED_VALUE"""),"No")</f>
        <v>No</v>
      </c>
      <c r="CB70" s="30" t="str">
        <f ca="1">IFERROR(__xludf.DUMMYFUNCTION("""COMPUTED_VALUE"""),"No")</f>
        <v>No</v>
      </c>
      <c r="CC70" s="30" t="str">
        <f ca="1">IFERROR(__xludf.DUMMYFUNCTION("""COMPUTED_VALUE"""),"79cc93ac")</f>
        <v>79cc93ac</v>
      </c>
      <c r="CD70" s="29" t="str">
        <f ca="1">IFERROR(__xludf.DUMMYFUNCTION("""COMPUTED_VALUE"""),"Jóvenes (18 a 29 años)")</f>
        <v>Jóvenes (18 a 29 años)</v>
      </c>
      <c r="CE70" s="30" t="str">
        <f ca="1">IFERROR(__xludf.DUMMYFUNCTION("""COMPUTED_VALUE"""),"Dato global")</f>
        <v>Dato global</v>
      </c>
      <c r="CF70" s="30" t="str">
        <f ca="1">IFERROR(__xludf.DUMMYFUNCTION("""COMPUTED_VALUE"""),"Ninguno (Población General)")</f>
        <v>Ninguno (Población General)</v>
      </c>
      <c r="CG70" s="30">
        <f ca="1">IFERROR(__xludf.DUMMYFUNCTION("""COMPUTED_VALUE"""),18)</f>
        <v>18</v>
      </c>
      <c r="CI70" s="30" t="str">
        <f ca="1">IFERROR(__xludf.DUMMYFUNCTION("""COMPUTED_VALUE"""),"e74f99a3")</f>
        <v>e74f99a3</v>
      </c>
      <c r="CJ70" s="29" t="str">
        <f ca="1">IFERROR(__xludf.DUMMYFUNCTION("""COMPUTED_VALUE"""),"Regitro_Evidencia_Files_/e74f99a3.Archivo_Evidencia.200927.pdf")</f>
        <v>Regitro_Evidencia_Files_/e74f99a3.Archivo_Evidencia.200927.pdf</v>
      </c>
      <c r="CK70" s="30" t="str">
        <f ca="1">IFERROR(__xludf.DUMMYFUNCTION("""COMPUTED_VALUE"""),"PDF")</f>
        <v>PDF</v>
      </c>
      <c r="CL70" s="30"/>
      <c r="CM70" s="30" t="str">
        <f ca="1">IFERROR(__xludf.DUMMYFUNCTION("""COMPUTED_VALUE"""),"Guanajuato")</f>
        <v>Guanajuato</v>
      </c>
      <c r="CN70" s="32" t="e">
        <f ca="1"/>
        <v>#NAME?</v>
      </c>
      <c r="CO70" s="32" t="e">
        <f ca="1"/>
        <v>#NAME?</v>
      </c>
      <c r="CP70" s="32" t="e">
        <f ca="1"/>
        <v>#NAME?</v>
      </c>
      <c r="CQ70" s="32" t="e">
        <f ca="1"/>
        <v>#NAME?</v>
      </c>
      <c r="CR70" s="30" t="e">
        <f ca="1"/>
        <v>#NAME?</v>
      </c>
      <c r="CS70" s="30" t="str">
        <f ca="1">IFERROR(__xludf.DUMMYFUNCTION("""COMPUTED_VALUE"""),"Ninguno (Población General)")</f>
        <v>Ninguno (Población General)</v>
      </c>
    </row>
    <row r="71" spans="1:97" ht="14.5">
      <c r="A71" s="29" t="str">
        <f ca="1">IFERROR(__xludf.DUMMYFUNCTION("""COMPUTED_VALUE"""),"ACT-SCSH02504")</f>
        <v>ACT-SCSH02504</v>
      </c>
      <c r="B71" s="30" t="str">
        <f ca="1">IFERROR(__xludf.DUMMYFUNCTION("""COMPUTED_VALUE"""),"SC-260619-150004")</f>
        <v>SC-260619-150004</v>
      </c>
      <c r="C71" s="62">
        <f ca="1">IFERROR(__xludf.DUMMYFUNCTION("""COMPUTED_VALUE"""),46192.6250462962)</f>
        <v>46192.625046296198</v>
      </c>
      <c r="D71" s="30">
        <f ca="1">IFERROR(__xludf.DUMMYFUNCTION("""COMPUTED_VALUE"""),92)</f>
        <v>92</v>
      </c>
      <c r="E71" s="30" t="str">
        <f ca="1">IFERROR(__xludf.DUMMYFUNCTION("""COMPUTED_VALUE"""),"PB3572")</f>
        <v>PB3572</v>
      </c>
      <c r="F7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1" s="30" t="str">
        <f ca="1">IFERROR(__xludf.DUMMYFUNCTION("""COMPUTED_VALUE"""),"SUBSECRETARÍA DE DESARROLLO Y PROMOCIÓN ARTÍSTICA Y CULTURAL")</f>
        <v>SUBSECRETARÍA DE DESARROLLO Y PROMOCIÓN ARTÍSTICA Y CULTURAL</v>
      </c>
      <c r="I71" s="34" t="str">
        <f ca="1">IFERROR(__xludf.DUMMYFUNCTION("""COMPUTED_VALUE"""),"DIRECCIÓN GENERAL DE MUSEOS, ARTES VISUALES Y EXPOSICIONES")</f>
        <v>DIRECCIÓN GENERAL DE MUSEOS, ARTES VISUALES Y EXPOSICIONES</v>
      </c>
      <c r="J71" s="30" t="str">
        <f ca="1">IFERROR(__xludf.DUMMYFUNCTION("""COMPUTED_VALUE"""),"Número de Actividades realizadas")</f>
        <v>Número de Actividades realizadas</v>
      </c>
      <c r="K71" s="30">
        <f ca="1">IFERROR(__xludf.DUMMYFUNCTION("""COMPUTED_VALUE"""),800)</f>
        <v>800</v>
      </c>
      <c r="L71" s="30" t="str">
        <f ca="1">IFERROR(__xludf.DUMMYFUNCTION("""COMPUTED_VALUE"""),"Artística")</f>
        <v>Artística</v>
      </c>
      <c r="M71" s="30" t="str">
        <f ca="1">IFERROR(__xludf.DUMMYFUNCTION("""COMPUTED_VALUE"""),"Taller de lectoescritura: Cada cabeza es un mundo")</f>
        <v>Taller de lectoescritura: Cada cabeza es un mundo</v>
      </c>
      <c r="N71" s="30" t="str">
        <f ca="1">IFERROR(__xludf.DUMMYFUNCTION("""COMPUTED_VALUE"""),"A partir de la lectura de Persépolis de Marjane Satrapo y Niño Terror: Cómics de miedo para niños punketos a través del cómic y la novela gráfica las y los participantes reconocerán y reflexionarán sobre culturas distintas a las suyas, personajes similare"&amp;"s en edades pero con distintos contextos.")</f>
        <v>A partir de la lectura de Persépolis de Marjane Satrapo y Niño Terror: Cómics de miedo para niños punketos a través del cómic y la novela gráfica las y los participantes reconocerán y reflexionarán sobre culturas distintas a las suyas, personajes similares en edades pero con distintos contextos.</v>
      </c>
      <c r="O71" s="30" t="str">
        <f ca="1">IFERROR(__xludf.DUMMYFUNCTION("""COMPUTED_VALUE"""),"Única")</f>
        <v>Única</v>
      </c>
      <c r="P71" s="33">
        <f ca="1">IFERROR(__xludf.DUMMYFUNCTION("""COMPUTED_VALUE"""),46150)</f>
        <v>46150</v>
      </c>
      <c r="Q71" s="65">
        <f ca="1">IFERROR(__xludf.DUMMYFUNCTION("""COMPUTED_VALUE"""),46150)</f>
        <v>46150</v>
      </c>
      <c r="R71" s="30">
        <f ca="1">IFERROR(__xludf.DUMMYFUNCTION("""COMPUTED_VALUE"""),1)</f>
        <v>1</v>
      </c>
      <c r="S71" s="30" t="str">
        <f ca="1">IFERROR(__xludf.DUMMYFUNCTION("""COMPUTED_VALUE"""),"Literatura")</f>
        <v>Literatura</v>
      </c>
      <c r="T71" s="30" t="str">
        <f ca="1">IFERROR(__xludf.DUMMYFUNCTION("""COMPUTED_VALUE"""),"Fomento a la lectura")</f>
        <v>Fomento a la lectura</v>
      </c>
      <c r="U71" s="30" t="str">
        <f ca="1">IFERROR(__xludf.DUMMYFUNCTION("""COMPUTED_VALUE"""),"Taller")</f>
        <v>Taller</v>
      </c>
      <c r="V71" s="30" t="str">
        <f ca="1">IFERROR(__xludf.DUMMYFUNCTION("""COMPUTED_VALUE"""),"Ninguna")</f>
        <v>Ninguna</v>
      </c>
      <c r="W71" s="30" t="str">
        <f ca="1">IFERROR(__xludf.DUMMYFUNCTION("""COMPUTED_VALUE"""),"Presencial")</f>
        <v>Presencial</v>
      </c>
      <c r="X71" s="30" t="str">
        <f ca="1">IFERROR(__xludf.DUMMYFUNCTION("""COMPUTED_VALUE"""),"Espacio a Cargo de la Secretaría")</f>
        <v>Espacio a Cargo de la Secretaría</v>
      </c>
      <c r="Y71" s="30" t="str">
        <f ca="1">IFERROR(__xludf.DUMMYFUNCTION("""COMPUTED_VALUE"""),"5")</f>
        <v>5</v>
      </c>
      <c r="Z71" s="30"/>
      <c r="AA71" s="30"/>
      <c r="AB71" s="30" t="b">
        <f ca="1">IFERROR(__xludf.DUMMYFUNCTION("""COMPUTED_VALUE"""),FALSE)</f>
        <v>0</v>
      </c>
      <c r="AC71" s="30"/>
      <c r="AD71" s="30" t="b">
        <f ca="1">IFERROR(__xludf.DUMMYFUNCTION("""COMPUTED_VALUE"""),TRUE)</f>
        <v>1</v>
      </c>
      <c r="AE71" s="30">
        <f ca="1">IFERROR(__xludf.DUMMYFUNCTION("""COMPUTED_VALUE"""),1)</f>
        <v>1</v>
      </c>
      <c r="AF71" s="30" t="b">
        <f ca="1">IFERROR(__xludf.DUMMYFUNCTION("""COMPUTED_VALUE"""),FALSE)</f>
        <v>0</v>
      </c>
      <c r="AG71" s="30"/>
      <c r="AH71" s="30" t="str">
        <f ca="1">IFERROR(__xludf.DUMMYFUNCTION("""COMPUTED_VALUE"""),"Sin costo")</f>
        <v>Sin costo</v>
      </c>
      <c r="AI71" s="30"/>
      <c r="AJ71" s="30"/>
      <c r="AK71" s="30"/>
      <c r="AL71" s="30" t="str">
        <f ca="1">IFERROR(__xludf.DUMMYFUNCTION("""COMPUTED_VALUE"""),"ccardonav@guanajuato.gob.mx")</f>
        <v>ccardonav@guanajuato.gob.mx</v>
      </c>
      <c r="AM71" s="30" t="str">
        <f ca="1">IFERROR(__xludf.DUMMYFUNCTION("""COMPUTED_VALUE"""),"Leer para crecer.")</f>
        <v>Leer para crecer.</v>
      </c>
      <c r="AN71" s="30" t="str">
        <f ca="1">IFERROR(__xludf.DUMMYFUNCTION("""COMPUTED_VALUE"""),"4 Vocación")</f>
        <v>4 Vocación</v>
      </c>
      <c r="AO71" s="30" t="str">
        <f ca="1">IFERROR(__xludf.DUMMYFUNCTION("""COMPUTED_VALUE"""),"4.4 Reforzar competencias lectoras y lógico matemáticas")</f>
        <v>4.4 Reforzar competencias lectoras y lógico matemáticas</v>
      </c>
      <c r="AP71" s="30" t="str">
        <f ca="1">IFERROR(__xludf.DUMMYFUNCTION("""COMPUTED_VALUE"""),"4.4.2 Competencias lectoras")</f>
        <v>4.4.2 Competencias lectoras</v>
      </c>
      <c r="AQ71" s="30" t="str">
        <f ca="1">IFERROR(__xludf.DUMMYFUNCTION("""COMPUTED_VALUE"""),"4.4.2 Fomentar el hábito lector")</f>
        <v>4.4.2 Fomentar el hábito lector</v>
      </c>
      <c r="AR71" s="30" t="str">
        <f ca="1">IFERROR(__xludf.DUMMYFUNCTION("""COMPUTED_VALUE"""),"Cooperación")</f>
        <v>Cooperación</v>
      </c>
      <c r="AS71" s="30"/>
      <c r="AT71" s="30" t="str">
        <f ca="1">IFERROR(__xludf.DUMMYFUNCTION("""COMPUTED_VALUE"""),"Fortalecimiento de la participación ciudadana y la mediación cultural")</f>
        <v>Fortalecimiento de la participación ciudadana y la mediación cultural</v>
      </c>
      <c r="AU71" s="30" t="str">
        <f ca="1">IFERROR(__xludf.DUMMYFUNCTION("""COMPUTED_VALUE"""),"Impulso a la ampliación de la oferta cultural en los territorios.")</f>
        <v>Impulso a la ampliación de la oferta cultural en los territorios.</v>
      </c>
      <c r="AV7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1" s="30" t="str">
        <f ca="1">IFERROR(__xludf.DUMMYFUNCTION("""COMPUTED_VALUE"""),"Incrementar en 25% la oferta cultural realizada en los municipios.")</f>
        <v>Incrementar en 25% la oferta cultural realizada en los municipios.</v>
      </c>
      <c r="AX71" s="30" t="str">
        <f ca="1">IFERROR(__xludf.DUMMYFUNCTION("""COMPUTED_VALUE"""),"Taller")</f>
        <v>Taller</v>
      </c>
      <c r="AY71" s="30" t="str">
        <f ca="1">IFERROR(__xludf.DUMMYFUNCTION("""COMPUTED_VALUE"""),"Formación")</f>
        <v>Formación</v>
      </c>
      <c r="AZ71" s="30" t="str">
        <f ca="1">IFERROR(__xludf.DUMMYFUNCTION("""COMPUTED_VALUE"""),"Formación")</f>
        <v>Formación</v>
      </c>
      <c r="BA71" s="30"/>
      <c r="BB71" s="30"/>
      <c r="BC71" s="30">
        <f ca="1">IFERROR(__xludf.DUMMYFUNCTION("""COMPUTED_VALUE"""),0)</f>
        <v>0</v>
      </c>
      <c r="BD71" s="30"/>
      <c r="BE71" s="30"/>
      <c r="BF71" s="30" t="b">
        <f ca="1">IFERROR(__xludf.DUMMYFUNCTION("""COMPUTED_VALUE"""),FALSE)</f>
        <v>0</v>
      </c>
      <c r="BG71" s="30"/>
      <c r="BH71" s="30"/>
      <c r="BI71" s="30"/>
      <c r="BJ71" s="30"/>
      <c r="BK71" s="30"/>
      <c r="BL71" s="30"/>
      <c r="BM71" s="30" t="str">
        <f ca="1">IFERROR(__xludf.DUMMYFUNCTION("""COMPUTED_VALUE"""),"No")</f>
        <v>No</v>
      </c>
      <c r="BN71" s="30"/>
      <c r="BO71" s="30" t="str">
        <f ca="1">IFERROR(__xludf.DUMMYFUNCTION("""COMPUTED_VALUE"""),"ae8faa78")</f>
        <v>ae8faa78</v>
      </c>
      <c r="BP71" s="29" t="str">
        <f ca="1">IFERROR(__xludf.DUMMYFUNCTION("""COMPUTED_VALUE"""),"Guanajuato")</f>
        <v>Guanajuato</v>
      </c>
      <c r="BQ71" s="30" t="str">
        <f ca="1">IFERROR(__xludf.DUMMYFUNCTION("""COMPUTED_VALUE"""),"Urbano")</f>
        <v>Urbano</v>
      </c>
      <c r="BR71" s="30"/>
      <c r="BS71" s="30"/>
      <c r="BT71" s="30" t="str">
        <f ca="1">IFERROR(__xludf.DUMMYFUNCTION("""COMPUTED_VALUE"""),"GUANAJUATO CENTRO")</f>
        <v>GUANAJUATO CENTRO</v>
      </c>
      <c r="BU71" s="30" t="str">
        <f ca="1">IFERROR(__xludf.DUMMYFUNCTION("""COMPUTED_VALUE"""),"No")</f>
        <v>No</v>
      </c>
      <c r="BV71" s="30" t="str">
        <f ca="1">IFERROR(__xludf.DUMMYFUNCTION("""COMPUTED_VALUE"""),"No")</f>
        <v>No</v>
      </c>
      <c r="BW71" s="30">
        <f ca="1">IFERROR(__xludf.DUMMYFUNCTION("""COMPUTED_VALUE"""),24)</f>
        <v>24</v>
      </c>
      <c r="BX71" s="30">
        <f ca="1">IFERROR(__xludf.DUMMYFUNCTION("""COMPUTED_VALUE"""),24)</f>
        <v>24</v>
      </c>
      <c r="BY71" s="30">
        <f ca="1">IFERROR(__xludf.DUMMYFUNCTION("""COMPUTED_VALUE"""),0)</f>
        <v>0</v>
      </c>
      <c r="BZ71" s="30" t="str">
        <f ca="1">IFERROR(__xludf.DUMMYFUNCTION("""COMPUTED_VALUE"""),"GUANAJUATO CENTRO")</f>
        <v>GUANAJUATO CENTRO</v>
      </c>
      <c r="CA71" s="30" t="str">
        <f ca="1">IFERROR(__xludf.DUMMYFUNCTION("""COMPUTED_VALUE"""),"No")</f>
        <v>No</v>
      </c>
      <c r="CB71" s="30" t="str">
        <f ca="1">IFERROR(__xludf.DUMMYFUNCTION("""COMPUTED_VALUE"""),"No")</f>
        <v>No</v>
      </c>
      <c r="CC71" s="30" t="str">
        <f ca="1">IFERROR(__xludf.DUMMYFUNCTION("""COMPUTED_VALUE"""),"c2859d2e")</f>
        <v>c2859d2e</v>
      </c>
      <c r="CD71" s="29" t="str">
        <f ca="1">IFERROR(__xludf.DUMMYFUNCTION("""COMPUTED_VALUE"""),"Jóvenes (18 a 29 años)")</f>
        <v>Jóvenes (18 a 29 años)</v>
      </c>
      <c r="CE71" s="30" t="str">
        <f ca="1">IFERROR(__xludf.DUMMYFUNCTION("""COMPUTED_VALUE"""),"Dato global")</f>
        <v>Dato global</v>
      </c>
      <c r="CF71" s="30" t="str">
        <f ca="1">IFERROR(__xludf.DUMMYFUNCTION("""COMPUTED_VALUE"""),"Ninguno (Población General)")</f>
        <v>Ninguno (Población General)</v>
      </c>
      <c r="CG71" s="30">
        <f ca="1">IFERROR(__xludf.DUMMYFUNCTION("""COMPUTED_VALUE"""),29)</f>
        <v>29</v>
      </c>
      <c r="CI71" s="30" t="str">
        <f ca="1">IFERROR(__xludf.DUMMYFUNCTION("""COMPUTED_VALUE"""),"bb2cdbc7")</f>
        <v>bb2cdbc7</v>
      </c>
      <c r="CJ71" s="29" t="str">
        <f ca="1">IFERROR(__xludf.DUMMYFUNCTION("""COMPUTED_VALUE"""),"Regitro_Evidencia_Files_/bb2cdbc7.Archivo_Evidencia.203338.pdf")</f>
        <v>Regitro_Evidencia_Files_/bb2cdbc7.Archivo_Evidencia.203338.pdf</v>
      </c>
      <c r="CK71" s="30" t="str">
        <f ca="1">IFERROR(__xludf.DUMMYFUNCTION("""COMPUTED_VALUE"""),"PDF")</f>
        <v>PDF</v>
      </c>
      <c r="CL71" s="30"/>
      <c r="CM71" s="30" t="str">
        <f ca="1">IFERROR(__xludf.DUMMYFUNCTION("""COMPUTED_VALUE"""),"Guanajuato")</f>
        <v>Guanajuato</v>
      </c>
      <c r="CN71" s="32" t="e">
        <f ca="1"/>
        <v>#NAME?</v>
      </c>
      <c r="CO71" s="32" t="e">
        <f ca="1"/>
        <v>#NAME?</v>
      </c>
      <c r="CP71" s="32" t="e">
        <f ca="1"/>
        <v>#NAME?</v>
      </c>
      <c r="CQ71" s="32" t="e">
        <f ca="1"/>
        <v>#NAME?</v>
      </c>
      <c r="CR71" s="30" t="e">
        <f ca="1"/>
        <v>#NAME?</v>
      </c>
      <c r="CS71" s="30" t="str">
        <f ca="1">IFERROR(__xludf.DUMMYFUNCTION("""COMPUTED_VALUE"""),"Ninguno (Población General)")</f>
        <v>Ninguno (Población General)</v>
      </c>
    </row>
    <row r="72" spans="1:97" ht="14.5">
      <c r="A72" s="29" t="str">
        <f ca="1">IFERROR(__xludf.DUMMYFUNCTION("""COMPUTED_VALUE"""),"ACT-SCZG64402")</f>
        <v>ACT-SCZG64402</v>
      </c>
      <c r="B72" s="30" t="str">
        <f ca="1">IFERROR(__xludf.DUMMYFUNCTION("""COMPUTED_VALUE"""),"SC-260619-154616")</f>
        <v>SC-260619-154616</v>
      </c>
      <c r="C72" s="62">
        <f ca="1">IFERROR(__xludf.DUMMYFUNCTION("""COMPUTED_VALUE"""),46192.6571296296)</f>
        <v>46192.657129629602</v>
      </c>
      <c r="D72" s="30">
        <f ca="1">IFERROR(__xludf.DUMMYFUNCTION("""COMPUTED_VALUE"""),92)</f>
        <v>92</v>
      </c>
      <c r="E72" s="30" t="str">
        <f ca="1">IFERROR(__xludf.DUMMYFUNCTION("""COMPUTED_VALUE"""),"PB3572")</f>
        <v>PB3572</v>
      </c>
      <c r="F7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2" s="30" t="str">
        <f ca="1">IFERROR(__xludf.DUMMYFUNCTION("""COMPUTED_VALUE"""),"SUBSECRETARÍA DE DESARROLLO Y PROMOCIÓN ARTÍSTICA Y CULTURAL")</f>
        <v>SUBSECRETARÍA DE DESARROLLO Y PROMOCIÓN ARTÍSTICA Y CULTURAL</v>
      </c>
      <c r="I72" s="34" t="str">
        <f ca="1">IFERROR(__xludf.DUMMYFUNCTION("""COMPUTED_VALUE"""),"DIRECCIÓN GENERAL DE MUSEOS, ARTES VISUALES Y EXPOSICIONES")</f>
        <v>DIRECCIÓN GENERAL DE MUSEOS, ARTES VISUALES Y EXPOSICIONES</v>
      </c>
      <c r="J72" s="30" t="str">
        <f ca="1">IFERROR(__xludf.DUMMYFUNCTION("""COMPUTED_VALUE"""),"Número de Actividades realizadas")</f>
        <v>Número de Actividades realizadas</v>
      </c>
      <c r="K72" s="30">
        <f ca="1">IFERROR(__xludf.DUMMYFUNCTION("""COMPUTED_VALUE"""),800)</f>
        <v>800</v>
      </c>
      <c r="L72" s="30" t="str">
        <f ca="1">IFERROR(__xludf.DUMMYFUNCTION("""COMPUTED_VALUE"""),"Artística")</f>
        <v>Artística</v>
      </c>
      <c r="M72" s="30" t="str">
        <f ca="1">IFERROR(__xludf.DUMMYFUNCTION("""COMPUTED_VALUE"""),"Visita práctica escolar. Sesión de dibujo UG")</f>
        <v>Visita práctica escolar. Sesión de dibujo UG</v>
      </c>
      <c r="N72" s="30" t="str">
        <f ca="1">IFERROR(__xludf.DUMMYFUNCTION("""COMPUTED_VALUE"""),"Recorrido guiado por el museo")</f>
        <v>Recorrido guiado por el museo</v>
      </c>
      <c r="O72" s="30" t="str">
        <f ca="1">IFERROR(__xludf.DUMMYFUNCTION("""COMPUTED_VALUE"""),"Única")</f>
        <v>Única</v>
      </c>
      <c r="P72" s="33">
        <f ca="1">IFERROR(__xludf.DUMMYFUNCTION("""COMPUTED_VALUE"""),46156)</f>
        <v>46156</v>
      </c>
      <c r="Q72" s="65">
        <f ca="1">IFERROR(__xludf.DUMMYFUNCTION("""COMPUTED_VALUE"""),46156)</f>
        <v>46156</v>
      </c>
      <c r="R72" s="30">
        <f ca="1">IFERROR(__xludf.DUMMYFUNCTION("""COMPUTED_VALUE"""),1)</f>
        <v>1</v>
      </c>
      <c r="S72" s="30" t="str">
        <f ca="1">IFERROR(__xludf.DUMMYFUNCTION("""COMPUTED_VALUE"""),"Cultura comunitaria")</f>
        <v>Cultura comunitaria</v>
      </c>
      <c r="T72" s="30" t="str">
        <f ca="1">IFERROR(__xludf.DUMMYFUNCTION("""COMPUTED_VALUE"""),"Formación comunitaria")</f>
        <v>Formación comunitaria</v>
      </c>
      <c r="U72" s="30" t="str">
        <f ca="1">IFERROR(__xludf.DUMMYFUNCTION("""COMPUTED_VALUE"""),"Visitas escolares")</f>
        <v>Visitas escolares</v>
      </c>
      <c r="V72" s="30" t="str">
        <f ca="1">IFERROR(__xludf.DUMMYFUNCTION("""COMPUTED_VALUE"""),"Ninguna")</f>
        <v>Ninguna</v>
      </c>
      <c r="W72" s="30" t="str">
        <f ca="1">IFERROR(__xludf.DUMMYFUNCTION("""COMPUTED_VALUE"""),"Presencial")</f>
        <v>Presencial</v>
      </c>
      <c r="X72" s="30" t="str">
        <f ca="1">IFERROR(__xludf.DUMMYFUNCTION("""COMPUTED_VALUE"""),"Espacio a Cargo de la Secretaría")</f>
        <v>Espacio a Cargo de la Secretaría</v>
      </c>
      <c r="Y72" s="30" t="str">
        <f ca="1">IFERROR(__xludf.DUMMYFUNCTION("""COMPUTED_VALUE"""),"6")</f>
        <v>6</v>
      </c>
      <c r="Z72" s="30"/>
      <c r="AA72" s="30"/>
      <c r="AB72" s="30" t="b">
        <f ca="1">IFERROR(__xludf.DUMMYFUNCTION("""COMPUTED_VALUE"""),FALSE)</f>
        <v>0</v>
      </c>
      <c r="AC72" s="30"/>
      <c r="AD72" s="30" t="b">
        <f ca="1">IFERROR(__xludf.DUMMYFUNCTION("""COMPUTED_VALUE"""),FALSE)</f>
        <v>0</v>
      </c>
      <c r="AE72" s="30"/>
      <c r="AF72" s="30" t="b">
        <f ca="1">IFERROR(__xludf.DUMMYFUNCTION("""COMPUTED_VALUE"""),FALSE)</f>
        <v>0</v>
      </c>
      <c r="AG72" s="30"/>
      <c r="AH72" s="30" t="str">
        <f ca="1">IFERROR(__xludf.DUMMYFUNCTION("""COMPUTED_VALUE"""),"Sin costo")</f>
        <v>Sin costo</v>
      </c>
      <c r="AI72" s="30"/>
      <c r="AJ72" s="30"/>
      <c r="AK72" s="30"/>
      <c r="AL72" s="30" t="str">
        <f ca="1">IFERROR(__xludf.DUMMYFUNCTION("""COMPUTED_VALUE"""),"ccardonav@guanajuato.gob.mx")</f>
        <v>ccardonav@guanajuato.gob.mx</v>
      </c>
      <c r="AM72" s="30" t="str">
        <f ca="1">IFERROR(__xludf.DUMMYFUNCTION("""COMPUTED_VALUE"""),"Arraigo y empoderamiento cultural de comunidades.")</f>
        <v>Arraigo y empoderamiento cultural de comunidades.</v>
      </c>
      <c r="AN72" s="30" t="str">
        <f ca="1">IFERROR(__xludf.DUMMYFUNCTION("""COMPUTED_VALUE"""),"2 Igualdad")</f>
        <v>2 Igualdad</v>
      </c>
      <c r="AO72" s="30" t="str">
        <f ca="1">IFERROR(__xludf.DUMMYFUNCTION("""COMPUTED_VALUE"""),"2.1 Protección de derechos humanos")</f>
        <v>2.1 Protección de derechos humanos</v>
      </c>
      <c r="AP72" s="30" t="str">
        <f ca="1">IFERROR(__xludf.DUMMYFUNCTION("""COMPUTED_VALUE"""),"2.1.3 Inclusión de personas con discapacidad")</f>
        <v>2.1.3 Inclusión de personas con discapacidad</v>
      </c>
      <c r="AQ72" s="30" t="str">
        <f ca="1">IFERROR(__xludf.DUMMYFUNCTION("""COMPUTED_VALUE"""),"2.1.3.2 Coordinar la incorporación progresiva de la accesibilidad universal")</f>
        <v>2.1.3.2 Coordinar la incorporación progresiva de la accesibilidad universal</v>
      </c>
      <c r="AR72" s="30" t="str">
        <f ca="1">IFERROR(__xludf.DUMMYFUNCTION("""COMPUTED_VALUE"""),"Cooperación")</f>
        <v>Cooperación</v>
      </c>
      <c r="AS72" s="30"/>
      <c r="AT72" s="30" t="str">
        <f ca="1">IFERROR(__xludf.DUMMYFUNCTION("""COMPUTED_VALUE"""),"Fortalecimiento de la participación ciudadana y la mediación cultural")</f>
        <v>Fortalecimiento de la participación ciudadana y la mediación cultural</v>
      </c>
      <c r="AU72" s="30" t="str">
        <f ca="1">IFERROR(__xludf.DUMMYFUNCTION("""COMPUTED_VALUE"""),"Impulso a la ampliación de la oferta cultural en los territorios.")</f>
        <v>Impulso a la ampliación de la oferta cultural en los territorios.</v>
      </c>
      <c r="AV7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2" s="30" t="str">
        <f ca="1">IFERROR(__xludf.DUMMYFUNCTION("""COMPUTED_VALUE"""),"Incrementar en 25% la oferta cultural realizada en los municipios.")</f>
        <v>Incrementar en 25% la oferta cultural realizada en los municipios.</v>
      </c>
      <c r="AX72" s="30" t="str">
        <f ca="1">IFERROR(__xludf.DUMMYFUNCTION("""COMPUTED_VALUE"""),"Visitas escolares")</f>
        <v>Visitas escolares</v>
      </c>
      <c r="AY72" s="30" t="str">
        <f ca="1">IFERROR(__xludf.DUMMYFUNCTION("""COMPUTED_VALUE"""),"Formación")</f>
        <v>Formación</v>
      </c>
      <c r="AZ72" s="30" t="str">
        <f ca="1">IFERROR(__xludf.DUMMYFUNCTION("""COMPUTED_VALUE"""),"Formación")</f>
        <v>Formación</v>
      </c>
      <c r="BA72" s="30"/>
      <c r="BB72" s="30"/>
      <c r="BC72" s="30">
        <f ca="1">IFERROR(__xludf.DUMMYFUNCTION("""COMPUTED_VALUE"""),0)</f>
        <v>0</v>
      </c>
      <c r="BD72" s="30"/>
      <c r="BE72" s="30"/>
      <c r="BF72" s="30" t="b">
        <f ca="1">IFERROR(__xludf.DUMMYFUNCTION("""COMPUTED_VALUE"""),FALSE)</f>
        <v>0</v>
      </c>
      <c r="BG72" s="30"/>
      <c r="BH72" s="30"/>
      <c r="BI72" s="30"/>
      <c r="BJ72" s="30"/>
      <c r="BK72" s="30"/>
      <c r="BL72" s="30"/>
      <c r="BM72" s="30" t="str">
        <f ca="1">IFERROR(__xludf.DUMMYFUNCTION("""COMPUTED_VALUE"""),"No")</f>
        <v>No</v>
      </c>
      <c r="BN72" s="30"/>
      <c r="BO72" s="30" t="str">
        <f ca="1">IFERROR(__xludf.DUMMYFUNCTION("""COMPUTED_VALUE"""),"82929300")</f>
        <v>82929300</v>
      </c>
      <c r="BP72" s="29" t="str">
        <f ca="1">IFERROR(__xludf.DUMMYFUNCTION("""COMPUTED_VALUE"""),"Guanajuato")</f>
        <v>Guanajuato</v>
      </c>
      <c r="BQ72" s="30" t="str">
        <f ca="1">IFERROR(__xludf.DUMMYFUNCTION("""COMPUTED_VALUE"""),"Urbano")</f>
        <v>Urbano</v>
      </c>
      <c r="BR72" s="30"/>
      <c r="BS72" s="30"/>
      <c r="BT72" s="30" t="str">
        <f ca="1">IFERROR(__xludf.DUMMYFUNCTION("""COMPUTED_VALUE"""),"GUANAJUATO CENTRO")</f>
        <v>GUANAJUATO CENTRO</v>
      </c>
      <c r="BU72" s="30" t="str">
        <f ca="1">IFERROR(__xludf.DUMMYFUNCTION("""COMPUTED_VALUE"""),"No")</f>
        <v>No</v>
      </c>
      <c r="BV72" s="30" t="str">
        <f ca="1">IFERROR(__xludf.DUMMYFUNCTION("""COMPUTED_VALUE"""),"No")</f>
        <v>No</v>
      </c>
      <c r="BW72" s="30">
        <f ca="1">IFERROR(__xludf.DUMMYFUNCTION("""COMPUTED_VALUE"""),22)</f>
        <v>22</v>
      </c>
      <c r="BX72" s="30"/>
      <c r="BY72" s="30">
        <f ca="1">IFERROR(__xludf.DUMMYFUNCTION("""COMPUTED_VALUE"""),22)</f>
        <v>22</v>
      </c>
      <c r="BZ72" s="30" t="str">
        <f ca="1">IFERROR(__xludf.DUMMYFUNCTION("""COMPUTED_VALUE"""),"GUANAJUATO CENTRO")</f>
        <v>GUANAJUATO CENTRO</v>
      </c>
      <c r="CA72" s="30" t="str">
        <f ca="1">IFERROR(__xludf.DUMMYFUNCTION("""COMPUTED_VALUE"""),"No")</f>
        <v>No</v>
      </c>
      <c r="CB72" s="30" t="str">
        <f ca="1">IFERROR(__xludf.DUMMYFUNCTION("""COMPUTED_VALUE"""),"No")</f>
        <v>No</v>
      </c>
      <c r="CC72" s="30" t="str">
        <f ca="1">IFERROR(__xludf.DUMMYFUNCTION("""COMPUTED_VALUE"""),"b89be4d9")</f>
        <v>b89be4d9</v>
      </c>
      <c r="CD72" s="29" t="str">
        <f ca="1">IFERROR(__xludf.DUMMYFUNCTION("""COMPUTED_VALUE"""),"Jóvenes (18 a 29 años)")</f>
        <v>Jóvenes (18 a 29 años)</v>
      </c>
      <c r="CE72" s="30" t="str">
        <f ca="1">IFERROR(__xludf.DUMMYFUNCTION("""COMPUTED_VALUE"""),"Dato global")</f>
        <v>Dato global</v>
      </c>
      <c r="CF72" s="30" t="str">
        <f ca="1">IFERROR(__xludf.DUMMYFUNCTION("""COMPUTED_VALUE"""),"Ninguno (Población General)")</f>
        <v>Ninguno (Población General)</v>
      </c>
      <c r="CG72" s="30">
        <f ca="1">IFERROR(__xludf.DUMMYFUNCTION("""COMPUTED_VALUE"""),29)</f>
        <v>29</v>
      </c>
      <c r="CI72" s="30" t="str">
        <f ca="1">IFERROR(__xludf.DUMMYFUNCTION("""COMPUTED_VALUE"""),"8009bd46")</f>
        <v>8009bd46</v>
      </c>
      <c r="CJ72" s="29" t="str">
        <f ca="1">IFERROR(__xludf.DUMMYFUNCTION("""COMPUTED_VALUE"""),"Regitro_Evidencia_Files_/8009bd46.Archivo_Evidencia.204434.pdf")</f>
        <v>Regitro_Evidencia_Files_/8009bd46.Archivo_Evidencia.204434.pdf</v>
      </c>
      <c r="CK72" s="30" t="str">
        <f ca="1">IFERROR(__xludf.DUMMYFUNCTION("""COMPUTED_VALUE"""),"PDF")</f>
        <v>PDF</v>
      </c>
      <c r="CL72" s="30"/>
      <c r="CM72" s="30" t="str">
        <f ca="1">IFERROR(__xludf.DUMMYFUNCTION("""COMPUTED_VALUE"""),"Guanajuato")</f>
        <v>Guanajuato</v>
      </c>
      <c r="CN72" s="32" t="e">
        <f ca="1"/>
        <v>#NAME?</v>
      </c>
      <c r="CO72" s="32" t="e">
        <f ca="1"/>
        <v>#NAME?</v>
      </c>
      <c r="CP72" s="32" t="e">
        <f ca="1"/>
        <v>#NAME?</v>
      </c>
      <c r="CQ72" s="32" t="e">
        <f ca="1"/>
        <v>#NAME?</v>
      </c>
      <c r="CR72" s="30" t="e">
        <f ca="1"/>
        <v>#NAME?</v>
      </c>
      <c r="CS72" s="30" t="str">
        <f ca="1">IFERROR(__xludf.DUMMYFUNCTION("""COMPUTED_VALUE"""),"Ninguno (Población General)")</f>
        <v>Ninguno (Población General)</v>
      </c>
    </row>
    <row r="73" spans="1:97" ht="14.5">
      <c r="A73" s="29" t="str">
        <f ca="1">IFERROR(__xludf.DUMMYFUNCTION("""COMPUTED_VALUE"""),"ACT-SCRW57264")</f>
        <v>ACT-SCRW57264</v>
      </c>
      <c r="B73" s="30" t="str">
        <f ca="1">IFERROR(__xludf.DUMMYFUNCTION("""COMPUTED_VALUE"""),"SC-260619-155001")</f>
        <v>SC-260619-155001</v>
      </c>
      <c r="C73" s="62">
        <f ca="1">IFERROR(__xludf.DUMMYFUNCTION("""COMPUTED_VALUE"""),46192.6597337962)</f>
        <v>46192.659733796201</v>
      </c>
      <c r="D73" s="30">
        <f ca="1">IFERROR(__xludf.DUMMYFUNCTION("""COMPUTED_VALUE"""),92)</f>
        <v>92</v>
      </c>
      <c r="E73" s="30" t="str">
        <f ca="1">IFERROR(__xludf.DUMMYFUNCTION("""COMPUTED_VALUE"""),"PB3572")</f>
        <v>PB3572</v>
      </c>
      <c r="F7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3" s="30" t="str">
        <f ca="1">IFERROR(__xludf.DUMMYFUNCTION("""COMPUTED_VALUE"""),"SUBSECRETARÍA DE DESARROLLO Y PROMOCIÓN ARTÍSTICA Y CULTURAL")</f>
        <v>SUBSECRETARÍA DE DESARROLLO Y PROMOCIÓN ARTÍSTICA Y CULTURAL</v>
      </c>
      <c r="I73" s="34" t="str">
        <f ca="1">IFERROR(__xludf.DUMMYFUNCTION("""COMPUTED_VALUE"""),"DIRECCIÓN GENERAL DE MUSEOS, ARTES VISUALES Y EXPOSICIONES")</f>
        <v>DIRECCIÓN GENERAL DE MUSEOS, ARTES VISUALES Y EXPOSICIONES</v>
      </c>
      <c r="J73" s="30" t="str">
        <f ca="1">IFERROR(__xludf.DUMMYFUNCTION("""COMPUTED_VALUE"""),"Número de Actividades realizadas")</f>
        <v>Número de Actividades realizadas</v>
      </c>
      <c r="K73" s="30">
        <f ca="1">IFERROR(__xludf.DUMMYFUNCTION("""COMPUTED_VALUE"""),800)</f>
        <v>800</v>
      </c>
      <c r="L73" s="30" t="str">
        <f ca="1">IFERROR(__xludf.DUMMYFUNCTION("""COMPUTED_VALUE"""),"Artística")</f>
        <v>Artística</v>
      </c>
      <c r="M73" s="30" t="str">
        <f ca="1">IFERROR(__xludf.DUMMYFUNCTION("""COMPUTED_VALUE"""),"Visita escolar Secundaria Benito Juárez")</f>
        <v>Visita escolar Secundaria Benito Juárez</v>
      </c>
      <c r="N73" s="30" t="str">
        <f ca="1">IFERROR(__xludf.DUMMYFUNCTION("""COMPUTED_VALUE"""),"Recorrido guiado por el museo")</f>
        <v>Recorrido guiado por el museo</v>
      </c>
      <c r="O73" s="30" t="str">
        <f ca="1">IFERROR(__xludf.DUMMYFUNCTION("""COMPUTED_VALUE"""),"Única")</f>
        <v>Única</v>
      </c>
      <c r="P73" s="33">
        <f ca="1">IFERROR(__xludf.DUMMYFUNCTION("""COMPUTED_VALUE"""),46155)</f>
        <v>46155</v>
      </c>
      <c r="Q73" s="65">
        <f ca="1">IFERROR(__xludf.DUMMYFUNCTION("""COMPUTED_VALUE"""),46155)</f>
        <v>46155</v>
      </c>
      <c r="R73" s="30">
        <f ca="1">IFERROR(__xludf.DUMMYFUNCTION("""COMPUTED_VALUE"""),1)</f>
        <v>1</v>
      </c>
      <c r="S73" s="30" t="str">
        <f ca="1">IFERROR(__xludf.DUMMYFUNCTION("""COMPUTED_VALUE"""),"Cultura comunitaria")</f>
        <v>Cultura comunitaria</v>
      </c>
      <c r="T73" s="30" t="str">
        <f ca="1">IFERROR(__xludf.DUMMYFUNCTION("""COMPUTED_VALUE"""),"Formación comunitaria")</f>
        <v>Formación comunitaria</v>
      </c>
      <c r="U73" s="30" t="str">
        <f ca="1">IFERROR(__xludf.DUMMYFUNCTION("""COMPUTED_VALUE"""),"Visitas escolares")</f>
        <v>Visitas escolares</v>
      </c>
      <c r="V73" s="30" t="str">
        <f ca="1">IFERROR(__xludf.DUMMYFUNCTION("""COMPUTED_VALUE"""),"Ninguna")</f>
        <v>Ninguna</v>
      </c>
      <c r="W73" s="30" t="str">
        <f ca="1">IFERROR(__xludf.DUMMYFUNCTION("""COMPUTED_VALUE"""),"Presencial")</f>
        <v>Presencial</v>
      </c>
      <c r="X73" s="30" t="str">
        <f ca="1">IFERROR(__xludf.DUMMYFUNCTION("""COMPUTED_VALUE"""),"Espacio a Cargo de la Secretaría")</f>
        <v>Espacio a Cargo de la Secretaría</v>
      </c>
      <c r="Y73" s="30" t="str">
        <f ca="1">IFERROR(__xludf.DUMMYFUNCTION("""COMPUTED_VALUE"""),"6")</f>
        <v>6</v>
      </c>
      <c r="Z73" s="30"/>
      <c r="AA73" s="30"/>
      <c r="AB73" s="30" t="b">
        <f ca="1">IFERROR(__xludf.DUMMYFUNCTION("""COMPUTED_VALUE"""),FALSE)</f>
        <v>0</v>
      </c>
      <c r="AC73" s="30"/>
      <c r="AD73" s="30" t="b">
        <f ca="1">IFERROR(__xludf.DUMMYFUNCTION("""COMPUTED_VALUE"""),FALSE)</f>
        <v>0</v>
      </c>
      <c r="AE73" s="30"/>
      <c r="AF73" s="30" t="b">
        <f ca="1">IFERROR(__xludf.DUMMYFUNCTION("""COMPUTED_VALUE"""),FALSE)</f>
        <v>0</v>
      </c>
      <c r="AG73" s="30"/>
      <c r="AH73" s="30" t="str">
        <f ca="1">IFERROR(__xludf.DUMMYFUNCTION("""COMPUTED_VALUE"""),"Sin costo")</f>
        <v>Sin costo</v>
      </c>
      <c r="AI73" s="30"/>
      <c r="AJ73" s="30"/>
      <c r="AK73" s="30"/>
      <c r="AL73" s="30" t="str">
        <f ca="1">IFERROR(__xludf.DUMMYFUNCTION("""COMPUTED_VALUE"""),"ccardonav@guanajuato.gob.mx")</f>
        <v>ccardonav@guanajuato.gob.mx</v>
      </c>
      <c r="AM73" s="30" t="str">
        <f ca="1">IFERROR(__xludf.DUMMYFUNCTION("""COMPUTED_VALUE"""),"Arraigo y empoderamiento cultural de comunidades.")</f>
        <v>Arraigo y empoderamiento cultural de comunidades.</v>
      </c>
      <c r="AN73" s="30" t="str">
        <f ca="1">IFERROR(__xludf.DUMMYFUNCTION("""COMPUTED_VALUE"""),"2 Igualdad")</f>
        <v>2 Igualdad</v>
      </c>
      <c r="AO73" s="30" t="str">
        <f ca="1">IFERROR(__xludf.DUMMYFUNCTION("""COMPUTED_VALUE"""),"2.1 Protección de derechos humanos")</f>
        <v>2.1 Protección de derechos humanos</v>
      </c>
      <c r="AP73" s="30" t="str">
        <f ca="1">IFERROR(__xludf.DUMMYFUNCTION("""COMPUTED_VALUE"""),"2.1.3 Inclusión de personas con discapacidad")</f>
        <v>2.1.3 Inclusión de personas con discapacidad</v>
      </c>
      <c r="AQ73" s="30" t="str">
        <f ca="1">IFERROR(__xludf.DUMMYFUNCTION("""COMPUTED_VALUE"""),"2.1.3.2 Coordinar la incorporación progresiva de la accesibilidad universal")</f>
        <v>2.1.3.2 Coordinar la incorporación progresiva de la accesibilidad universal</v>
      </c>
      <c r="AR73" s="30" t="str">
        <f ca="1">IFERROR(__xludf.DUMMYFUNCTION("""COMPUTED_VALUE"""),"Cooperación")</f>
        <v>Cooperación</v>
      </c>
      <c r="AS73" s="30"/>
      <c r="AT73" s="30" t="str">
        <f ca="1">IFERROR(__xludf.DUMMYFUNCTION("""COMPUTED_VALUE"""),"Fortalecimiento de la participación ciudadana y la mediación cultural")</f>
        <v>Fortalecimiento de la participación ciudadana y la mediación cultural</v>
      </c>
      <c r="AU73" s="30" t="str">
        <f ca="1">IFERROR(__xludf.DUMMYFUNCTION("""COMPUTED_VALUE"""),"Impulso a la ampliación de la oferta cultural en los territorios.")</f>
        <v>Impulso a la ampliación de la oferta cultural en los territorios.</v>
      </c>
      <c r="AV7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3" s="30" t="str">
        <f ca="1">IFERROR(__xludf.DUMMYFUNCTION("""COMPUTED_VALUE"""),"Incrementar en 25% la oferta cultural realizada en los municipios.")</f>
        <v>Incrementar en 25% la oferta cultural realizada en los municipios.</v>
      </c>
      <c r="AX73" s="30" t="str">
        <f ca="1">IFERROR(__xludf.DUMMYFUNCTION("""COMPUTED_VALUE"""),"Visitas escolares")</f>
        <v>Visitas escolares</v>
      </c>
      <c r="AY73" s="30" t="str">
        <f ca="1">IFERROR(__xludf.DUMMYFUNCTION("""COMPUTED_VALUE"""),"Formación")</f>
        <v>Formación</v>
      </c>
      <c r="AZ73" s="30" t="str">
        <f ca="1">IFERROR(__xludf.DUMMYFUNCTION("""COMPUTED_VALUE"""),"Formación")</f>
        <v>Formación</v>
      </c>
      <c r="BA73" s="30"/>
      <c r="BB73" s="30"/>
      <c r="BC73" s="30">
        <f ca="1">IFERROR(__xludf.DUMMYFUNCTION("""COMPUTED_VALUE"""),0)</f>
        <v>0</v>
      </c>
      <c r="BD73" s="30"/>
      <c r="BE73" s="30"/>
      <c r="BF73" s="30" t="b">
        <f ca="1">IFERROR(__xludf.DUMMYFUNCTION("""COMPUTED_VALUE"""),FALSE)</f>
        <v>0</v>
      </c>
      <c r="BG73" s="30"/>
      <c r="BH73" s="30"/>
      <c r="BI73" s="30"/>
      <c r="BJ73" s="30"/>
      <c r="BK73" s="30"/>
      <c r="BL73" s="30"/>
      <c r="BM73" s="30" t="str">
        <f ca="1">IFERROR(__xludf.DUMMYFUNCTION("""COMPUTED_VALUE"""),"No")</f>
        <v>No</v>
      </c>
      <c r="BN73" s="30"/>
      <c r="BO73" s="30" t="str">
        <f ca="1">IFERROR(__xludf.DUMMYFUNCTION("""COMPUTED_VALUE"""),"69975b12")</f>
        <v>69975b12</v>
      </c>
      <c r="BP73" s="29" t="str">
        <f ca="1">IFERROR(__xludf.DUMMYFUNCTION("""COMPUTED_VALUE"""),"Guanajuato")</f>
        <v>Guanajuato</v>
      </c>
      <c r="BQ73" s="30" t="str">
        <f ca="1">IFERROR(__xludf.DUMMYFUNCTION("""COMPUTED_VALUE"""),"Urbano")</f>
        <v>Urbano</v>
      </c>
      <c r="BR73" s="30"/>
      <c r="BS73" s="30"/>
      <c r="BT73" s="30" t="str">
        <f ca="1">IFERROR(__xludf.DUMMYFUNCTION("""COMPUTED_VALUE"""),"GUANAJUATO CENTRO")</f>
        <v>GUANAJUATO CENTRO</v>
      </c>
      <c r="BU73" s="30" t="str">
        <f ca="1">IFERROR(__xludf.DUMMYFUNCTION("""COMPUTED_VALUE"""),"No")</f>
        <v>No</v>
      </c>
      <c r="BV73" s="30" t="str">
        <f ca="1">IFERROR(__xludf.DUMMYFUNCTION("""COMPUTED_VALUE"""),"No")</f>
        <v>No</v>
      </c>
      <c r="BW73" s="30">
        <f ca="1">IFERROR(__xludf.DUMMYFUNCTION("""COMPUTED_VALUE"""),26)</f>
        <v>26</v>
      </c>
      <c r="BX73" s="30"/>
      <c r="BY73" s="30">
        <f ca="1">IFERROR(__xludf.DUMMYFUNCTION("""COMPUTED_VALUE"""),26)</f>
        <v>26</v>
      </c>
      <c r="BZ73" s="30" t="str">
        <f ca="1">IFERROR(__xludf.DUMMYFUNCTION("""COMPUTED_VALUE"""),"GUANAJUATO CENTRO")</f>
        <v>GUANAJUATO CENTRO</v>
      </c>
      <c r="CA73" s="30" t="str">
        <f ca="1">IFERROR(__xludf.DUMMYFUNCTION("""COMPUTED_VALUE"""),"No")</f>
        <v>No</v>
      </c>
      <c r="CB73" s="30" t="str">
        <f ca="1">IFERROR(__xludf.DUMMYFUNCTION("""COMPUTED_VALUE"""),"No")</f>
        <v>No</v>
      </c>
      <c r="CC73" s="30" t="str">
        <f ca="1">IFERROR(__xludf.DUMMYFUNCTION("""COMPUTED_VALUE"""),"9efc8f98")</f>
        <v>9efc8f98</v>
      </c>
      <c r="CD73" s="29" t="str">
        <f ca="1">IFERROR(__xludf.DUMMYFUNCTION("""COMPUTED_VALUE"""),"Jóvenes (18 a 29 años)")</f>
        <v>Jóvenes (18 a 29 años)</v>
      </c>
      <c r="CE73" s="30" t="str">
        <f ca="1">IFERROR(__xludf.DUMMYFUNCTION("""COMPUTED_VALUE"""),"Dato global")</f>
        <v>Dato global</v>
      </c>
      <c r="CF73" s="30" t="str">
        <f ca="1">IFERROR(__xludf.DUMMYFUNCTION("""COMPUTED_VALUE"""),"Ninguno (Población General)")</f>
        <v>Ninguno (Población General)</v>
      </c>
      <c r="CG73" s="30">
        <f ca="1">IFERROR(__xludf.DUMMYFUNCTION("""COMPUTED_VALUE"""),86)</f>
        <v>86</v>
      </c>
      <c r="CI73" s="30" t="str">
        <f ca="1">IFERROR(__xludf.DUMMYFUNCTION("""COMPUTED_VALUE"""),"0625c162")</f>
        <v>0625c162</v>
      </c>
      <c r="CJ73" s="29" t="str">
        <f ca="1">IFERROR(__xludf.DUMMYFUNCTION("""COMPUTED_VALUE"""),"Regitro_Evidencia_Files_/0625c162.Archivo_Evidencia.205517.pdf")</f>
        <v>Regitro_Evidencia_Files_/0625c162.Archivo_Evidencia.205517.pdf</v>
      </c>
      <c r="CK73" s="30" t="str">
        <f ca="1">IFERROR(__xludf.DUMMYFUNCTION("""COMPUTED_VALUE"""),"PDF")</f>
        <v>PDF</v>
      </c>
      <c r="CL73" s="30"/>
      <c r="CM73" s="30" t="str">
        <f ca="1">IFERROR(__xludf.DUMMYFUNCTION("""COMPUTED_VALUE"""),"Guanajuato")</f>
        <v>Guanajuato</v>
      </c>
      <c r="CN73" s="32" t="e">
        <f ca="1"/>
        <v>#NAME?</v>
      </c>
      <c r="CO73" s="32" t="e">
        <f ca="1"/>
        <v>#NAME?</v>
      </c>
      <c r="CP73" s="32" t="e">
        <f ca="1"/>
        <v>#NAME?</v>
      </c>
      <c r="CQ73" s="32" t="e">
        <f ca="1"/>
        <v>#NAME?</v>
      </c>
      <c r="CR73" s="30" t="e">
        <f ca="1"/>
        <v>#NAME?</v>
      </c>
      <c r="CS73" s="30" t="str">
        <f ca="1">IFERROR(__xludf.DUMMYFUNCTION("""COMPUTED_VALUE"""),"Ninguno (Población General), Ninguno (Población General), Ninguno (Población General)")</f>
        <v>Ninguno (Población General), Ninguno (Población General), Ninguno (Población General)</v>
      </c>
    </row>
    <row r="74" spans="1:97" ht="14.5">
      <c r="A74" s="29" t="str">
        <f ca="1">IFERROR(__xludf.DUMMYFUNCTION("""COMPUTED_VALUE"""),"ACT-SCRO46689")</f>
        <v>ACT-SCRO46689</v>
      </c>
      <c r="B74" s="30" t="str">
        <f ca="1">IFERROR(__xludf.DUMMYFUNCTION("""COMPUTED_VALUE"""),"SC-260622-100056")</f>
        <v>SC-260622-100056</v>
      </c>
      <c r="C74" s="62">
        <f ca="1">IFERROR(__xludf.DUMMYFUNCTION("""COMPUTED_VALUE"""),46195.4173148148)</f>
        <v>46195.417314814797</v>
      </c>
      <c r="D74" s="30">
        <f ca="1">IFERROR(__xludf.DUMMYFUNCTION("""COMPUTED_VALUE"""),92)</f>
        <v>92</v>
      </c>
      <c r="E74" s="30" t="str">
        <f ca="1">IFERROR(__xludf.DUMMYFUNCTION("""COMPUTED_VALUE"""),"PB3572")</f>
        <v>PB3572</v>
      </c>
      <c r="F7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4" s="30" t="str">
        <f ca="1">IFERROR(__xludf.DUMMYFUNCTION("""COMPUTED_VALUE"""),"SUBSECRETARÍA DE DESARROLLO Y PROMOCIÓN ARTÍSTICA Y CULTURAL")</f>
        <v>SUBSECRETARÍA DE DESARROLLO Y PROMOCIÓN ARTÍSTICA Y CULTURAL</v>
      </c>
      <c r="I74" s="34" t="str">
        <f ca="1">IFERROR(__xludf.DUMMYFUNCTION("""COMPUTED_VALUE"""),"DIRECCIÓN GENERAL DE MUSEOS, ARTES VISUALES Y EXPOSICIONES")</f>
        <v>DIRECCIÓN GENERAL DE MUSEOS, ARTES VISUALES Y EXPOSICIONES</v>
      </c>
      <c r="J74" s="30" t="str">
        <f ca="1">IFERROR(__xludf.DUMMYFUNCTION("""COMPUTED_VALUE"""),"Número de Actividades realizadas")</f>
        <v>Número de Actividades realizadas</v>
      </c>
      <c r="K74" s="30">
        <f ca="1">IFERROR(__xludf.DUMMYFUNCTION("""COMPUTED_VALUE"""),800)</f>
        <v>800</v>
      </c>
      <c r="L74" s="30" t="str">
        <f ca="1">IFERROR(__xludf.DUMMYFUNCTION("""COMPUTED_VALUE"""),"Cultural")</f>
        <v>Cultural</v>
      </c>
      <c r="M74" s="30" t="str">
        <f ca="1">IFERROR(__xludf.DUMMYFUNCTION("""COMPUTED_VALUE"""),"Florilegio de mayo, peregrinaciones a Nuestra Señora de Guanajuato")</f>
        <v>Florilegio de mayo, peregrinaciones a Nuestra Señora de Guanajuato</v>
      </c>
      <c r="N74" s="30" t="str">
        <f ca="1">IFERROR(__xludf.DUMMYFUNCTION("""COMPUTED_VALUE"""),"Conferencia en torno a la tradición en la ciudad de Guanajuato")</f>
        <v>Conferencia en torno a la tradición en la ciudad de Guanajuato</v>
      </c>
      <c r="O74" s="30" t="str">
        <f ca="1">IFERROR(__xludf.DUMMYFUNCTION("""COMPUTED_VALUE"""),"Única")</f>
        <v>Única</v>
      </c>
      <c r="P74" s="33">
        <f ca="1">IFERROR(__xludf.DUMMYFUNCTION("""COMPUTED_VALUE"""),46155)</f>
        <v>46155</v>
      </c>
      <c r="Q74" s="65">
        <f ca="1">IFERROR(__xludf.DUMMYFUNCTION("""COMPUTED_VALUE"""),46155)</f>
        <v>46155</v>
      </c>
      <c r="R74" s="30">
        <f ca="1">IFERROR(__xludf.DUMMYFUNCTION("""COMPUTED_VALUE"""),1)</f>
        <v>1</v>
      </c>
      <c r="S74" s="30" t="str">
        <f ca="1">IFERROR(__xludf.DUMMYFUNCTION("""COMPUTED_VALUE"""),"Patrimonio cultural")</f>
        <v>Patrimonio cultural</v>
      </c>
      <c r="T74" s="30" t="str">
        <f ca="1">IFERROR(__xludf.DUMMYFUNCTION("""COMPUTED_VALUE"""),"Memoria histórica")</f>
        <v>Memoria histórica</v>
      </c>
      <c r="U74" s="30" t="str">
        <f ca="1">IFERROR(__xludf.DUMMYFUNCTION("""COMPUTED_VALUE"""),"Conferencia")</f>
        <v>Conferencia</v>
      </c>
      <c r="V74" s="30" t="str">
        <f ca="1">IFERROR(__xludf.DUMMYFUNCTION("""COMPUTED_VALUE"""),"Ninguna")</f>
        <v>Ninguna</v>
      </c>
      <c r="W74" s="30" t="str">
        <f ca="1">IFERROR(__xludf.DUMMYFUNCTION("""COMPUTED_VALUE"""),"Presencial")</f>
        <v>Presencial</v>
      </c>
      <c r="X74" s="30" t="str">
        <f ca="1">IFERROR(__xludf.DUMMYFUNCTION("""COMPUTED_VALUE"""),"Espacio a Cargo de la Secretaría")</f>
        <v>Espacio a Cargo de la Secretaría</v>
      </c>
      <c r="Y74" s="30" t="str">
        <f ca="1">IFERROR(__xludf.DUMMYFUNCTION("""COMPUTED_VALUE"""),"3")</f>
        <v>3</v>
      </c>
      <c r="Z74" s="30"/>
      <c r="AA74" s="30"/>
      <c r="AB74" s="30" t="b">
        <f ca="1">IFERROR(__xludf.DUMMYFUNCTION("""COMPUTED_VALUE"""),FALSE)</f>
        <v>0</v>
      </c>
      <c r="AC74" s="30"/>
      <c r="AD74" s="30" t="b">
        <f ca="1">IFERROR(__xludf.DUMMYFUNCTION("""COMPUTED_VALUE"""),FALSE)</f>
        <v>0</v>
      </c>
      <c r="AE74" s="30"/>
      <c r="AF74" s="30" t="b">
        <f ca="1">IFERROR(__xludf.DUMMYFUNCTION("""COMPUTED_VALUE"""),FALSE)</f>
        <v>0</v>
      </c>
      <c r="AG74" s="30"/>
      <c r="AH74" s="30" t="str">
        <f ca="1">IFERROR(__xludf.DUMMYFUNCTION("""COMPUTED_VALUE"""),"Sin costo")</f>
        <v>Sin costo</v>
      </c>
      <c r="AI74" s="30"/>
      <c r="AJ74" s="30"/>
      <c r="AK74" s="30"/>
      <c r="AL74" s="30" t="str">
        <f ca="1">IFERROR(__xludf.DUMMYFUNCTION("""COMPUTED_VALUE"""),"ccardonav@guanajuato.gob.mx")</f>
        <v>ccardonav@guanajuato.gob.mx</v>
      </c>
      <c r="AM74" s="30" t="str">
        <f ca="1">IFERROR(__xludf.DUMMYFUNCTION("""COMPUTED_VALUE"""),"Arraigo y empoderamiento cultural de comunidades.")</f>
        <v>Arraigo y empoderamiento cultural de comunidades.</v>
      </c>
      <c r="AN74" s="30" t="str">
        <f ca="1">IFERROR(__xludf.DUMMYFUNCTION("""COMPUTED_VALUE"""),"1 Tranquilidad")</f>
        <v>1 Tranquilidad</v>
      </c>
      <c r="AO74" s="30" t="str">
        <f ca="1">IFERROR(__xludf.DUMMYFUNCTION("""COMPUTED_VALUE"""),"1.2 Fortalecer prevención del delito")</f>
        <v>1.2 Fortalecer prevención del delito</v>
      </c>
      <c r="AP74" s="30" t="str">
        <f ca="1">IFERROR(__xludf.DUMMYFUNCTION("""COMPUTED_VALUE"""),"1.2.2 Fortalecimiento del tejido social")</f>
        <v>1.2.2 Fortalecimiento del tejido social</v>
      </c>
      <c r="AQ74" s="30" t="str">
        <f ca="1">IFERROR(__xludf.DUMMYFUNCTION("""COMPUTED_VALUE"""),"1.2.3.4 Promover una cultura de paz desde las expresiones artísticas y culturales")</f>
        <v>1.2.3.4 Promover una cultura de paz desde las expresiones artísticas y culturales</v>
      </c>
      <c r="AR74" s="30" t="str">
        <f ca="1">IFERROR(__xludf.DUMMYFUNCTION("""COMPUTED_VALUE"""),"Cooperación")</f>
        <v>Cooperación</v>
      </c>
      <c r="AS74" s="30"/>
      <c r="AT74" s="30" t="str">
        <f ca="1">IFERROR(__xludf.DUMMYFUNCTION("""COMPUTED_VALUE"""),"Fortalecimiento de la participación ciudadana y la mediación cultural")</f>
        <v>Fortalecimiento de la participación ciudadana y la mediación cultural</v>
      </c>
      <c r="AU74" s="30" t="str">
        <f ca="1">IFERROR(__xludf.DUMMYFUNCTION("""COMPUTED_VALUE"""),"Impulso a la ampliación de la oferta cultural en los territorios.")</f>
        <v>Impulso a la ampliación de la oferta cultural en los territorios.</v>
      </c>
      <c r="AV7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4" s="30" t="str">
        <f ca="1">IFERROR(__xludf.DUMMYFUNCTION("""COMPUTED_VALUE"""),"Incrementar en 25% la oferta cultural realizada en los municipios.")</f>
        <v>Incrementar en 25% la oferta cultural realizada en los municipios.</v>
      </c>
      <c r="AX74" s="30" t="str">
        <f ca="1">IFERROR(__xludf.DUMMYFUNCTION("""COMPUTED_VALUE"""),"Conferencia")</f>
        <v>Conferencia</v>
      </c>
      <c r="AY74" s="30" t="str">
        <f ca="1">IFERROR(__xludf.DUMMYFUNCTION("""COMPUTED_VALUE"""),"Formación")</f>
        <v>Formación</v>
      </c>
      <c r="AZ74" s="30" t="str">
        <f ca="1">IFERROR(__xludf.DUMMYFUNCTION("""COMPUTED_VALUE"""),"Formación")</f>
        <v>Formación</v>
      </c>
      <c r="BA74" s="30"/>
      <c r="BB74" s="30"/>
      <c r="BC74" s="30">
        <f ca="1">IFERROR(__xludf.DUMMYFUNCTION("""COMPUTED_VALUE"""),0)</f>
        <v>0</v>
      </c>
      <c r="BD74" s="30"/>
      <c r="BE74" s="30"/>
      <c r="BF74" s="30" t="b">
        <f ca="1">IFERROR(__xludf.DUMMYFUNCTION("""COMPUTED_VALUE"""),FALSE)</f>
        <v>0</v>
      </c>
      <c r="BG74" s="30"/>
      <c r="BH74" s="30"/>
      <c r="BI74" s="30"/>
      <c r="BJ74" s="30"/>
      <c r="BK74" s="30"/>
      <c r="BL74" s="30"/>
      <c r="BM74" s="30" t="str">
        <f ca="1">IFERROR(__xludf.DUMMYFUNCTION("""COMPUTED_VALUE"""),"No")</f>
        <v>No</v>
      </c>
      <c r="BN74" s="30"/>
      <c r="BO74" s="30" t="str">
        <f ca="1">IFERROR(__xludf.DUMMYFUNCTION("""COMPUTED_VALUE"""),"b7ade0ed")</f>
        <v>b7ade0ed</v>
      </c>
      <c r="BP74" s="29" t="str">
        <f ca="1">IFERROR(__xludf.DUMMYFUNCTION("""COMPUTED_VALUE"""),"Guanajuato")</f>
        <v>Guanajuato</v>
      </c>
      <c r="BQ74" s="30" t="str">
        <f ca="1">IFERROR(__xludf.DUMMYFUNCTION("""COMPUTED_VALUE"""),"Urbano")</f>
        <v>Urbano</v>
      </c>
      <c r="BR74" s="30"/>
      <c r="BS74" s="30"/>
      <c r="BT74" s="30" t="str">
        <f ca="1">IFERROR(__xludf.DUMMYFUNCTION("""COMPUTED_VALUE"""),"ZONA CENTRO")</f>
        <v>ZONA CENTRO</v>
      </c>
      <c r="BU74" s="30" t="str">
        <f ca="1">IFERROR(__xludf.DUMMYFUNCTION("""COMPUTED_VALUE"""),"No")</f>
        <v>No</v>
      </c>
      <c r="BV74" s="30" t="str">
        <f ca="1">IFERROR(__xludf.DUMMYFUNCTION("""COMPUTED_VALUE"""),"No")</f>
        <v>No</v>
      </c>
      <c r="BW74" s="30">
        <f ca="1">IFERROR(__xludf.DUMMYFUNCTION("""COMPUTED_VALUE"""),20)</f>
        <v>20</v>
      </c>
      <c r="BX74" s="30"/>
      <c r="BY74" s="30">
        <f ca="1">IFERROR(__xludf.DUMMYFUNCTION("""COMPUTED_VALUE"""),20)</f>
        <v>20</v>
      </c>
      <c r="BZ74" s="30" t="str">
        <f ca="1">IFERROR(__xludf.DUMMYFUNCTION("""COMPUTED_VALUE"""),"ZONA CENTRO")</f>
        <v>ZONA CENTRO</v>
      </c>
      <c r="CA74" s="30" t="str">
        <f ca="1">IFERROR(__xludf.DUMMYFUNCTION("""COMPUTED_VALUE"""),"No")</f>
        <v>No</v>
      </c>
      <c r="CB74" s="30" t="str">
        <f ca="1">IFERROR(__xludf.DUMMYFUNCTION("""COMPUTED_VALUE"""),"No")</f>
        <v>No</v>
      </c>
      <c r="CC74" s="30" t="str">
        <f ca="1">IFERROR(__xludf.DUMMYFUNCTION("""COMPUTED_VALUE"""),"e5b27e2b")</f>
        <v>e5b27e2b</v>
      </c>
      <c r="CD74" s="29" t="str">
        <f ca="1">IFERROR(__xludf.DUMMYFUNCTION("""COMPUTED_VALUE"""),"Adolescentes (13 a 17 años)")</f>
        <v>Adolescentes (13 a 17 años)</v>
      </c>
      <c r="CE74" s="30" t="str">
        <f ca="1">IFERROR(__xludf.DUMMYFUNCTION("""COMPUTED_VALUE"""),"Dato global")</f>
        <v>Dato global</v>
      </c>
      <c r="CF74" s="30" t="str">
        <f ca="1">IFERROR(__xludf.DUMMYFUNCTION("""COMPUTED_VALUE"""),"NNA (Niñas, Niños y Adolescentes)")</f>
        <v>NNA (Niñas, Niños y Adolescentes)</v>
      </c>
      <c r="CG74" s="30">
        <f ca="1">IFERROR(__xludf.DUMMYFUNCTION("""COMPUTED_VALUE"""),22)</f>
        <v>22</v>
      </c>
      <c r="CI74" s="30" t="str">
        <f ca="1">IFERROR(__xludf.DUMMYFUNCTION("""COMPUTED_VALUE"""),"acbf3ce0")</f>
        <v>acbf3ce0</v>
      </c>
      <c r="CJ74" s="29" t="str">
        <f ca="1">IFERROR(__xludf.DUMMYFUNCTION("""COMPUTED_VALUE"""),"Regitro_Evidencia_Files_/acbf3ce0.Archivo_Evidencia.211647. Altar de Dolores por Ana Karen Gómez.pdf")</f>
        <v>Regitro_Evidencia_Files_/acbf3ce0.Archivo_Evidencia.211647. Altar de Dolores por Ana Karen Gómez.pdf</v>
      </c>
      <c r="CK74" s="30" t="str">
        <f ca="1">IFERROR(__xludf.DUMMYFUNCTION("""COMPUTED_VALUE"""),"PDF")</f>
        <v>PDF</v>
      </c>
      <c r="CL74" s="30"/>
      <c r="CM74" s="30" t="str">
        <f ca="1">IFERROR(__xludf.DUMMYFUNCTION("""COMPUTED_VALUE"""),"Guanajuato")</f>
        <v>Guanajuato</v>
      </c>
      <c r="CN74" s="32" t="e">
        <f ca="1"/>
        <v>#NAME?</v>
      </c>
      <c r="CO74" s="32" t="e">
        <f ca="1"/>
        <v>#NAME?</v>
      </c>
      <c r="CP74" s="32" t="e">
        <f ca="1"/>
        <v>#NAME?</v>
      </c>
      <c r="CQ74" s="32" t="e">
        <f ca="1"/>
        <v>#NAME?</v>
      </c>
      <c r="CR74" s="30" t="e">
        <f ca="1"/>
        <v>#NAME?</v>
      </c>
      <c r="CS74" s="30" t="str">
        <f ca="1">IFERROR(__xludf.DUMMYFUNCTION("""COMPUTED_VALUE"""),"Ninguno (Población General)")</f>
        <v>Ninguno (Población General)</v>
      </c>
    </row>
    <row r="75" spans="1:97" ht="14.5">
      <c r="A75" s="29" t="str">
        <f ca="1">IFERROR(__xludf.DUMMYFUNCTION("""COMPUTED_VALUE"""),"ACT-SCWW16326")</f>
        <v>ACT-SCWW16326</v>
      </c>
      <c r="B75" s="30" t="str">
        <f ca="1">IFERROR(__xludf.DUMMYFUNCTION("""COMPUTED_VALUE"""),"SC-260622-101207")</f>
        <v>SC-260622-101207</v>
      </c>
      <c r="C75" s="62">
        <f ca="1">IFERROR(__xludf.DUMMYFUNCTION("""COMPUTED_VALUE"""),46195.4250810185)</f>
        <v>46195.425081018497</v>
      </c>
      <c r="D75" s="30">
        <f ca="1">IFERROR(__xludf.DUMMYFUNCTION("""COMPUTED_VALUE"""),92)</f>
        <v>92</v>
      </c>
      <c r="E75" s="30" t="str">
        <f ca="1">IFERROR(__xludf.DUMMYFUNCTION("""COMPUTED_VALUE"""),"PB3572")</f>
        <v>PB3572</v>
      </c>
      <c r="F7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5" s="30" t="str">
        <f ca="1">IFERROR(__xludf.DUMMYFUNCTION("""COMPUTED_VALUE"""),"SUBSECRETARÍA DE DESARROLLO Y PROMOCIÓN ARTÍSTICA Y CULTURAL")</f>
        <v>SUBSECRETARÍA DE DESARROLLO Y PROMOCIÓN ARTÍSTICA Y CULTURAL</v>
      </c>
      <c r="I75" s="34" t="str">
        <f ca="1">IFERROR(__xludf.DUMMYFUNCTION("""COMPUTED_VALUE"""),"DIRECCIÓN GENERAL DE MUSEOS, ARTES VISUALES Y EXPOSICIONES")</f>
        <v>DIRECCIÓN GENERAL DE MUSEOS, ARTES VISUALES Y EXPOSICIONES</v>
      </c>
      <c r="J75" s="30" t="str">
        <f ca="1">IFERROR(__xludf.DUMMYFUNCTION("""COMPUTED_VALUE"""),"Número de Actividades realizadas")</f>
        <v>Número de Actividades realizadas</v>
      </c>
      <c r="K75" s="30">
        <f ca="1">IFERROR(__xludf.DUMMYFUNCTION("""COMPUTED_VALUE"""),800)</f>
        <v>800</v>
      </c>
      <c r="L75" s="30" t="str">
        <f ca="1">IFERROR(__xludf.DUMMYFUNCTION("""COMPUTED_VALUE"""),"Artística")</f>
        <v>Artística</v>
      </c>
      <c r="M75" s="30" t="str">
        <f ca="1">IFERROR(__xludf.DUMMYFUNCTION("""COMPUTED_VALUE"""),"Cuentacuento: La gran campana")</f>
        <v>Cuentacuento: La gran campana</v>
      </c>
      <c r="N75" s="30" t="str">
        <f ca="1">IFERROR(__xludf.DUMMYFUNCTION("""COMPUTED_VALUE"""),"Perdido por la lejana y antigua china un chinito me encontró, quien entre risas y canciones un cuentito me contó; la historia de un emperador malicioso quien además de peligroso era muy caprichoso ¡Una gran campana quería! pero nadie se imaginaba lo que p"&amp;"ara crearla provocaría.")</f>
        <v>Perdido por la lejana y antigua china un chinito me encontró, quien entre risas y canciones un cuentito me contó; la historia de un emperador malicioso quien además de peligroso era muy caprichoso ¡Una gran campana quería! pero nadie se imaginaba lo que para crearla provocaría.</v>
      </c>
      <c r="O75" s="30" t="str">
        <f ca="1">IFERROR(__xludf.DUMMYFUNCTION("""COMPUTED_VALUE"""),"Única")</f>
        <v>Única</v>
      </c>
      <c r="P75" s="33">
        <f ca="1">IFERROR(__xludf.DUMMYFUNCTION("""COMPUTED_VALUE"""),46159)</f>
        <v>46159</v>
      </c>
      <c r="Q75" s="65">
        <f ca="1">IFERROR(__xludf.DUMMYFUNCTION("""COMPUTED_VALUE"""),46159)</f>
        <v>46159</v>
      </c>
      <c r="R75" s="30">
        <f ca="1">IFERROR(__xludf.DUMMYFUNCTION("""COMPUTED_VALUE"""),1)</f>
        <v>1</v>
      </c>
      <c r="S75" s="30" t="str">
        <f ca="1">IFERROR(__xludf.DUMMYFUNCTION("""COMPUTED_VALUE"""),"Artes escénicas")</f>
        <v>Artes escénicas</v>
      </c>
      <c r="T75" s="30" t="str">
        <f ca="1">IFERROR(__xludf.DUMMYFUNCTION("""COMPUTED_VALUE"""),"Teatro")</f>
        <v>Teatro</v>
      </c>
      <c r="U75" s="30" t="str">
        <f ca="1">IFERROR(__xludf.DUMMYFUNCTION("""COMPUTED_VALUE"""),"Presentación artística")</f>
        <v>Presentación artística</v>
      </c>
      <c r="V75" s="30" t="str">
        <f ca="1">IFERROR(__xludf.DUMMYFUNCTION("""COMPUTED_VALUE"""),"Ninguna")</f>
        <v>Ninguna</v>
      </c>
      <c r="W75" s="30" t="str">
        <f ca="1">IFERROR(__xludf.DUMMYFUNCTION("""COMPUTED_VALUE"""),"Presencial")</f>
        <v>Presencial</v>
      </c>
      <c r="X75" s="30" t="str">
        <f ca="1">IFERROR(__xludf.DUMMYFUNCTION("""COMPUTED_VALUE"""),"Espacio a Cargo de la Secretaría")</f>
        <v>Espacio a Cargo de la Secretaría</v>
      </c>
      <c r="Y75" s="30" t="str">
        <f ca="1">IFERROR(__xludf.DUMMYFUNCTION("""COMPUTED_VALUE"""),"4")</f>
        <v>4</v>
      </c>
      <c r="Z75" s="30"/>
      <c r="AA75" s="30"/>
      <c r="AB75" s="30" t="b">
        <f ca="1">IFERROR(__xludf.DUMMYFUNCTION("""COMPUTED_VALUE"""),FALSE)</f>
        <v>0</v>
      </c>
      <c r="AC75" s="30"/>
      <c r="AD75" s="30" t="b">
        <f ca="1">IFERROR(__xludf.DUMMYFUNCTION("""COMPUTED_VALUE"""),TRUE)</f>
        <v>1</v>
      </c>
      <c r="AE75" s="30">
        <f ca="1">IFERROR(__xludf.DUMMYFUNCTION("""COMPUTED_VALUE"""),1)</f>
        <v>1</v>
      </c>
      <c r="AF75" s="30" t="b">
        <f ca="1">IFERROR(__xludf.DUMMYFUNCTION("""COMPUTED_VALUE"""),FALSE)</f>
        <v>0</v>
      </c>
      <c r="AG75" s="30"/>
      <c r="AH75" s="30" t="str">
        <f ca="1">IFERROR(__xludf.DUMMYFUNCTION("""COMPUTED_VALUE"""),"Sin costo")</f>
        <v>Sin costo</v>
      </c>
      <c r="AI75" s="30"/>
      <c r="AJ75" s="30"/>
      <c r="AK75" s="30"/>
      <c r="AL75" s="30" t="str">
        <f ca="1">IFERROR(__xludf.DUMMYFUNCTION("""COMPUTED_VALUE"""),"ccardonav@guanajuato.gob.mx")</f>
        <v>ccardonav@guanajuato.gob.mx</v>
      </c>
      <c r="AM75" s="30" t="str">
        <f ca="1">IFERROR(__xludf.DUMMYFUNCTION("""COMPUTED_VALUE"""),"Arraigo y empoderamiento cultural de comunidades.")</f>
        <v>Arraigo y empoderamiento cultural de comunidades.</v>
      </c>
      <c r="AN75" s="30" t="str">
        <f ca="1">IFERROR(__xludf.DUMMYFUNCTION("""COMPUTED_VALUE"""),"2 Igualdad")</f>
        <v>2 Igualdad</v>
      </c>
      <c r="AO75" s="30" t="str">
        <f ca="1">IFERROR(__xludf.DUMMYFUNCTION("""COMPUTED_VALUE"""),"2.1 Protección de derechos humanos")</f>
        <v>2.1 Protección de derechos humanos</v>
      </c>
      <c r="AP75" s="30" t="str">
        <f ca="1">IFERROR(__xludf.DUMMYFUNCTION("""COMPUTED_VALUE"""),"2.1.3 Inclusión de personas con discapacidad")</f>
        <v>2.1.3 Inclusión de personas con discapacidad</v>
      </c>
      <c r="AQ75" s="30" t="str">
        <f ca="1">IFERROR(__xludf.DUMMYFUNCTION("""COMPUTED_VALUE"""),"2.1.3.2 Coordinar la incorporación progresiva de la accesibilidad universal")</f>
        <v>2.1.3.2 Coordinar la incorporación progresiva de la accesibilidad universal</v>
      </c>
      <c r="AR75" s="30" t="str">
        <f ca="1">IFERROR(__xludf.DUMMYFUNCTION("""COMPUTED_VALUE"""),"Cooperación")</f>
        <v>Cooperación</v>
      </c>
      <c r="AS75" s="30"/>
      <c r="AT75" s="30" t="str">
        <f ca="1">IFERROR(__xludf.DUMMYFUNCTION("""COMPUTED_VALUE"""),"Fortalecimiento de la participación ciudadana y la mediación cultural")</f>
        <v>Fortalecimiento de la participación ciudadana y la mediación cultural</v>
      </c>
      <c r="AU75" s="30" t="str">
        <f ca="1">IFERROR(__xludf.DUMMYFUNCTION("""COMPUTED_VALUE"""),"Impulso a la ampliación de la oferta cultural en los territorios.")</f>
        <v>Impulso a la ampliación de la oferta cultural en los territorios.</v>
      </c>
      <c r="AV7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5" s="30" t="str">
        <f ca="1">IFERROR(__xludf.DUMMYFUNCTION("""COMPUTED_VALUE"""),"Incrementar en 25% la oferta cultural realizada en los municipios.")</f>
        <v>Incrementar en 25% la oferta cultural realizada en los municipios.</v>
      </c>
      <c r="AX75" s="30" t="str">
        <f ca="1">IFERROR(__xludf.DUMMYFUNCTION("""COMPUTED_VALUE"""),"Presentación artística")</f>
        <v>Presentación artística</v>
      </c>
      <c r="AY75" s="30" t="str">
        <f ca="1">IFERROR(__xludf.DUMMYFUNCTION("""COMPUTED_VALUE"""),"Formación")</f>
        <v>Formación</v>
      </c>
      <c r="AZ75" s="30" t="str">
        <f ca="1">IFERROR(__xludf.DUMMYFUNCTION("""COMPUTED_VALUE"""),"Formación")</f>
        <v>Formación</v>
      </c>
      <c r="BA75" s="30"/>
      <c r="BB75" s="30"/>
      <c r="BC75" s="30">
        <f ca="1">IFERROR(__xludf.DUMMYFUNCTION("""COMPUTED_VALUE"""),0)</f>
        <v>0</v>
      </c>
      <c r="BD75" s="30"/>
      <c r="BE75" s="30"/>
      <c r="BF75" s="30" t="b">
        <f ca="1">IFERROR(__xludf.DUMMYFUNCTION("""COMPUTED_VALUE"""),FALSE)</f>
        <v>0</v>
      </c>
      <c r="BG75" s="30"/>
      <c r="BH75" s="30"/>
      <c r="BI75" s="30"/>
      <c r="BJ75" s="30"/>
      <c r="BK75" s="30"/>
      <c r="BL75" s="30"/>
      <c r="BM75" s="30" t="str">
        <f ca="1">IFERROR(__xludf.DUMMYFUNCTION("""COMPUTED_VALUE"""),"No")</f>
        <v>No</v>
      </c>
      <c r="BN75" s="30"/>
      <c r="BO75" s="30" t="str">
        <f ca="1">IFERROR(__xludf.DUMMYFUNCTION("""COMPUTED_VALUE"""),"894316cb")</f>
        <v>894316cb</v>
      </c>
      <c r="BP75" s="29" t="str">
        <f ca="1">IFERROR(__xludf.DUMMYFUNCTION("""COMPUTED_VALUE"""),"Guanajuato")</f>
        <v>Guanajuato</v>
      </c>
      <c r="BQ75" s="30" t="str">
        <f ca="1">IFERROR(__xludf.DUMMYFUNCTION("""COMPUTED_VALUE"""),"Urbano")</f>
        <v>Urbano</v>
      </c>
      <c r="BR75" s="30"/>
      <c r="BS75" s="30"/>
      <c r="BT75" s="30" t="str">
        <f ca="1">IFERROR(__xludf.DUMMYFUNCTION("""COMPUTED_VALUE"""),"GUANAJUATO CENTRO")</f>
        <v>GUANAJUATO CENTRO</v>
      </c>
      <c r="BU75" s="30" t="str">
        <f ca="1">IFERROR(__xludf.DUMMYFUNCTION("""COMPUTED_VALUE"""),"No")</f>
        <v>No</v>
      </c>
      <c r="BV75" s="30" t="str">
        <f ca="1">IFERROR(__xludf.DUMMYFUNCTION("""COMPUTED_VALUE"""),"No")</f>
        <v>No</v>
      </c>
      <c r="BW75" s="30">
        <f ca="1">IFERROR(__xludf.DUMMYFUNCTION("""COMPUTED_VALUE"""),50)</f>
        <v>50</v>
      </c>
      <c r="BX75" s="30"/>
      <c r="BY75" s="30">
        <f ca="1">IFERROR(__xludf.DUMMYFUNCTION("""COMPUTED_VALUE"""),50)</f>
        <v>50</v>
      </c>
      <c r="BZ75" s="30" t="str">
        <f ca="1">IFERROR(__xludf.DUMMYFUNCTION("""COMPUTED_VALUE"""),"GUANAJUATO CENTRO")</f>
        <v>GUANAJUATO CENTRO</v>
      </c>
      <c r="CA75" s="30" t="str">
        <f ca="1">IFERROR(__xludf.DUMMYFUNCTION("""COMPUTED_VALUE"""),"No")</f>
        <v>No</v>
      </c>
      <c r="CB75" s="30" t="str">
        <f ca="1">IFERROR(__xludf.DUMMYFUNCTION("""COMPUTED_VALUE"""),"No")</f>
        <v>No</v>
      </c>
      <c r="CC75" s="30" t="str">
        <f ca="1">IFERROR(__xludf.DUMMYFUNCTION("""COMPUTED_VALUE"""),"4fa04ed3")</f>
        <v>4fa04ed3</v>
      </c>
      <c r="CD75" s="29" t="str">
        <f ca="1">IFERROR(__xludf.DUMMYFUNCTION("""COMPUTED_VALUE"""),"Adolescentes (13 a 17 años)")</f>
        <v>Adolescentes (13 a 17 años)</v>
      </c>
      <c r="CE75" s="30" t="str">
        <f ca="1">IFERROR(__xludf.DUMMYFUNCTION("""COMPUTED_VALUE"""),"Dato global")</f>
        <v>Dato global</v>
      </c>
      <c r="CF75" s="30" t="str">
        <f ca="1">IFERROR(__xludf.DUMMYFUNCTION("""COMPUTED_VALUE"""),"NNA (Niñas, Niños y Adolescentes)")</f>
        <v>NNA (Niñas, Niños y Adolescentes)</v>
      </c>
      <c r="CG75" s="30">
        <f ca="1">IFERROR(__xludf.DUMMYFUNCTION("""COMPUTED_VALUE"""),22)</f>
        <v>22</v>
      </c>
      <c r="CI75" s="30" t="str">
        <f ca="1">IFERROR(__xludf.DUMMYFUNCTION("""COMPUTED_VALUE"""),"c448ece4")</f>
        <v>c448ece4</v>
      </c>
      <c r="CJ75" s="29" t="str">
        <f ca="1">IFERROR(__xludf.DUMMYFUNCTION("""COMPUTED_VALUE"""),"Regitro_Evidencia_Files_/c448ece4.Archivo_Evidencia.213523.pdf")</f>
        <v>Regitro_Evidencia_Files_/c448ece4.Archivo_Evidencia.213523.pdf</v>
      </c>
      <c r="CK75" s="30" t="str">
        <f ca="1">IFERROR(__xludf.DUMMYFUNCTION("""COMPUTED_VALUE"""),"PDF")</f>
        <v>PDF</v>
      </c>
      <c r="CL75" s="30"/>
      <c r="CM75" s="30" t="str">
        <f ca="1">IFERROR(__xludf.DUMMYFUNCTION("""COMPUTED_VALUE"""),"Guanajuato")</f>
        <v>Guanajuato</v>
      </c>
      <c r="CN75" s="32" t="e">
        <f ca="1"/>
        <v>#NAME?</v>
      </c>
      <c r="CO75" s="32" t="e">
        <f ca="1"/>
        <v>#NAME?</v>
      </c>
      <c r="CP75" s="32" t="e">
        <f ca="1"/>
        <v>#NAME?</v>
      </c>
      <c r="CQ75" s="32" t="e">
        <f ca="1"/>
        <v>#NAME?</v>
      </c>
      <c r="CR75" s="30" t="e">
        <f ca="1"/>
        <v>#NAME?</v>
      </c>
      <c r="CS75" s="30" t="str">
        <f ca="1">IFERROR(__xludf.DUMMYFUNCTION("""COMPUTED_VALUE"""),"Ninguno (Población General), Ninguno (Población General), Ninguno (Población General)")</f>
        <v>Ninguno (Población General), Ninguno (Población General), Ninguno (Población General)</v>
      </c>
    </row>
    <row r="76" spans="1:97" ht="14.5">
      <c r="A76" s="29" t="str">
        <f ca="1">IFERROR(__xludf.DUMMYFUNCTION("""COMPUTED_VALUE"""),"ACT-SCSX44941")</f>
        <v>ACT-SCSX44941</v>
      </c>
      <c r="B76" s="30" t="str">
        <f ca="1">IFERROR(__xludf.DUMMYFUNCTION("""COMPUTED_VALUE"""),"SC-260622-101654")</f>
        <v>SC-260622-101654</v>
      </c>
      <c r="C76" s="62">
        <f ca="1">IFERROR(__xludf.DUMMYFUNCTION("""COMPUTED_VALUE"""),46195.4284027777)</f>
        <v>46195.428402777703</v>
      </c>
      <c r="D76" s="30">
        <f ca="1">IFERROR(__xludf.DUMMYFUNCTION("""COMPUTED_VALUE"""),92)</f>
        <v>92</v>
      </c>
      <c r="E76" s="30" t="str">
        <f ca="1">IFERROR(__xludf.DUMMYFUNCTION("""COMPUTED_VALUE"""),"PB3572")</f>
        <v>PB3572</v>
      </c>
      <c r="F7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6" s="30" t="str">
        <f ca="1">IFERROR(__xludf.DUMMYFUNCTION("""COMPUTED_VALUE"""),"SUBSECRETARÍA DE DESARROLLO Y PROMOCIÓN ARTÍSTICA Y CULTURAL")</f>
        <v>SUBSECRETARÍA DE DESARROLLO Y PROMOCIÓN ARTÍSTICA Y CULTURAL</v>
      </c>
      <c r="I76" s="34" t="str">
        <f ca="1">IFERROR(__xludf.DUMMYFUNCTION("""COMPUTED_VALUE"""),"DIRECCIÓN GENERAL DE MUSEOS, ARTES VISUALES Y EXPOSICIONES")</f>
        <v>DIRECCIÓN GENERAL DE MUSEOS, ARTES VISUALES Y EXPOSICIONES</v>
      </c>
      <c r="J76" s="30" t="str">
        <f ca="1">IFERROR(__xludf.DUMMYFUNCTION("""COMPUTED_VALUE"""),"Número de Actividades realizadas")</f>
        <v>Número de Actividades realizadas</v>
      </c>
      <c r="K76" s="30">
        <f ca="1">IFERROR(__xludf.DUMMYFUNCTION("""COMPUTED_VALUE"""),800)</f>
        <v>800</v>
      </c>
      <c r="L76" s="30" t="str">
        <f ca="1">IFERROR(__xludf.DUMMYFUNCTION("""COMPUTED_VALUE"""),"Artística")</f>
        <v>Artística</v>
      </c>
      <c r="M76" s="30" t="str">
        <f ca="1">IFERROR(__xludf.DUMMYFUNCTION("""COMPUTED_VALUE"""),"Visita guiada Gerontológico Salamanca")</f>
        <v>Visita guiada Gerontológico Salamanca</v>
      </c>
      <c r="N76" s="30" t="str">
        <f ca="1">IFERROR(__xludf.DUMMYFUNCTION("""COMPUTED_VALUE"""),"Recorrido guiado por el museo")</f>
        <v>Recorrido guiado por el museo</v>
      </c>
      <c r="O76" s="30" t="str">
        <f ca="1">IFERROR(__xludf.DUMMYFUNCTION("""COMPUTED_VALUE"""),"Única")</f>
        <v>Única</v>
      </c>
      <c r="P76" s="33">
        <f ca="1">IFERROR(__xludf.DUMMYFUNCTION("""COMPUTED_VALUE"""),46162)</f>
        <v>46162</v>
      </c>
      <c r="Q76" s="65">
        <f ca="1">IFERROR(__xludf.DUMMYFUNCTION("""COMPUTED_VALUE"""),46162)</f>
        <v>46162</v>
      </c>
      <c r="R76" s="30">
        <f ca="1">IFERROR(__xludf.DUMMYFUNCTION("""COMPUTED_VALUE"""),1)</f>
        <v>1</v>
      </c>
      <c r="S76" s="30" t="str">
        <f ca="1">IFERROR(__xludf.DUMMYFUNCTION("""COMPUTED_VALUE"""),"Cultura comunitaria")</f>
        <v>Cultura comunitaria</v>
      </c>
      <c r="T76" s="30" t="str">
        <f ca="1">IFERROR(__xludf.DUMMYFUNCTION("""COMPUTED_VALUE"""),"Formación comunitaria")</f>
        <v>Formación comunitaria</v>
      </c>
      <c r="U76" s="30" t="str">
        <f ca="1">IFERROR(__xludf.DUMMYFUNCTION("""COMPUTED_VALUE"""),"Visitas escolares")</f>
        <v>Visitas escolares</v>
      </c>
      <c r="V76" s="30" t="str">
        <f ca="1">IFERROR(__xludf.DUMMYFUNCTION("""COMPUTED_VALUE"""),"Ninguna")</f>
        <v>Ninguna</v>
      </c>
      <c r="W76" s="30" t="str">
        <f ca="1">IFERROR(__xludf.DUMMYFUNCTION("""COMPUTED_VALUE"""),"Presencial")</f>
        <v>Presencial</v>
      </c>
      <c r="X76" s="30" t="str">
        <f ca="1">IFERROR(__xludf.DUMMYFUNCTION("""COMPUTED_VALUE"""),"Espacio a Cargo de la Secretaría")</f>
        <v>Espacio a Cargo de la Secretaría</v>
      </c>
      <c r="Y76" s="30" t="str">
        <f ca="1">IFERROR(__xludf.DUMMYFUNCTION("""COMPUTED_VALUE"""),"5")</f>
        <v>5</v>
      </c>
      <c r="Z76" s="30"/>
      <c r="AA76" s="30"/>
      <c r="AB76" s="30" t="b">
        <f ca="1">IFERROR(__xludf.DUMMYFUNCTION("""COMPUTED_VALUE"""),FALSE)</f>
        <v>0</v>
      </c>
      <c r="AC76" s="30"/>
      <c r="AD76" s="30" t="b">
        <f ca="1">IFERROR(__xludf.DUMMYFUNCTION("""COMPUTED_VALUE"""),FALSE)</f>
        <v>0</v>
      </c>
      <c r="AE76" s="30"/>
      <c r="AF76" s="30" t="b">
        <f ca="1">IFERROR(__xludf.DUMMYFUNCTION("""COMPUTED_VALUE"""),FALSE)</f>
        <v>0</v>
      </c>
      <c r="AG76" s="30"/>
      <c r="AH76" s="30" t="str">
        <f ca="1">IFERROR(__xludf.DUMMYFUNCTION("""COMPUTED_VALUE"""),"Sin costo")</f>
        <v>Sin costo</v>
      </c>
      <c r="AI76" s="30"/>
      <c r="AJ76" s="30"/>
      <c r="AK76" s="30"/>
      <c r="AL76" s="30" t="str">
        <f ca="1">IFERROR(__xludf.DUMMYFUNCTION("""COMPUTED_VALUE"""),"ccardonav@guanajuato.gob.mx")</f>
        <v>ccardonav@guanajuato.gob.mx</v>
      </c>
      <c r="AM76" s="30" t="str">
        <f ca="1">IFERROR(__xludf.DUMMYFUNCTION("""COMPUTED_VALUE"""),"Arraigo y empoderamiento cultural de comunidades.")</f>
        <v>Arraigo y empoderamiento cultural de comunidades.</v>
      </c>
      <c r="AN76" s="30" t="str">
        <f ca="1">IFERROR(__xludf.DUMMYFUNCTION("""COMPUTED_VALUE"""),"2 Igualdad")</f>
        <v>2 Igualdad</v>
      </c>
      <c r="AO76" s="30" t="str">
        <f ca="1">IFERROR(__xludf.DUMMYFUNCTION("""COMPUTED_VALUE"""),"2.1 Protección de derechos humanos")</f>
        <v>2.1 Protección de derechos humanos</v>
      </c>
      <c r="AP76" s="30" t="str">
        <f ca="1">IFERROR(__xludf.DUMMYFUNCTION("""COMPUTED_VALUE"""),"2.1.3 Inclusión de personas con discapacidad")</f>
        <v>2.1.3 Inclusión de personas con discapacidad</v>
      </c>
      <c r="AQ76" s="30" t="str">
        <f ca="1">IFERROR(__xludf.DUMMYFUNCTION("""COMPUTED_VALUE"""),"2.1.3.2 Coordinar la incorporación progresiva de la accesibilidad universal")</f>
        <v>2.1.3.2 Coordinar la incorporación progresiva de la accesibilidad universal</v>
      </c>
      <c r="AR76" s="30" t="str">
        <f ca="1">IFERROR(__xludf.DUMMYFUNCTION("""COMPUTED_VALUE"""),"Cooperación")</f>
        <v>Cooperación</v>
      </c>
      <c r="AS76" s="30"/>
      <c r="AT76" s="30" t="str">
        <f ca="1">IFERROR(__xludf.DUMMYFUNCTION("""COMPUTED_VALUE"""),"Fortalecimiento de la participación ciudadana y la mediación cultural")</f>
        <v>Fortalecimiento de la participación ciudadana y la mediación cultural</v>
      </c>
      <c r="AU76" s="30" t="str">
        <f ca="1">IFERROR(__xludf.DUMMYFUNCTION("""COMPUTED_VALUE"""),"Impulso a la ampliación de la oferta cultural en los territorios.")</f>
        <v>Impulso a la ampliación de la oferta cultural en los territorios.</v>
      </c>
      <c r="AV7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6" s="30" t="str">
        <f ca="1">IFERROR(__xludf.DUMMYFUNCTION("""COMPUTED_VALUE"""),"Incrementar en 25% la oferta cultural realizada en los municipios.")</f>
        <v>Incrementar en 25% la oferta cultural realizada en los municipios.</v>
      </c>
      <c r="AX76" s="30" t="str">
        <f ca="1">IFERROR(__xludf.DUMMYFUNCTION("""COMPUTED_VALUE"""),"Visitas escolares")</f>
        <v>Visitas escolares</v>
      </c>
      <c r="AY76" s="30" t="str">
        <f ca="1">IFERROR(__xludf.DUMMYFUNCTION("""COMPUTED_VALUE"""),"Formación")</f>
        <v>Formación</v>
      </c>
      <c r="AZ76" s="30" t="str">
        <f ca="1">IFERROR(__xludf.DUMMYFUNCTION("""COMPUTED_VALUE"""),"Formación")</f>
        <v>Formación</v>
      </c>
      <c r="BA76" s="30"/>
      <c r="BB76" s="30"/>
      <c r="BC76" s="30">
        <f ca="1">IFERROR(__xludf.DUMMYFUNCTION("""COMPUTED_VALUE"""),0)</f>
        <v>0</v>
      </c>
      <c r="BD76" s="30"/>
      <c r="BE76" s="30"/>
      <c r="BF76" s="30" t="b">
        <f ca="1">IFERROR(__xludf.DUMMYFUNCTION("""COMPUTED_VALUE"""),FALSE)</f>
        <v>0</v>
      </c>
      <c r="BG76" s="30"/>
      <c r="BH76" s="30"/>
      <c r="BI76" s="30"/>
      <c r="BJ76" s="30"/>
      <c r="BK76" s="30"/>
      <c r="BL76" s="30"/>
      <c r="BM76" s="30" t="str">
        <f ca="1">IFERROR(__xludf.DUMMYFUNCTION("""COMPUTED_VALUE"""),"No")</f>
        <v>No</v>
      </c>
      <c r="BN76" s="30"/>
      <c r="BO76" s="30" t="str">
        <f ca="1">IFERROR(__xludf.DUMMYFUNCTION("""COMPUTED_VALUE"""),"82f493d3")</f>
        <v>82f493d3</v>
      </c>
      <c r="BP76" s="29" t="str">
        <f ca="1">IFERROR(__xludf.DUMMYFUNCTION("""COMPUTED_VALUE"""),"Guanajuato")</f>
        <v>Guanajuato</v>
      </c>
      <c r="BQ76" s="30" t="str">
        <f ca="1">IFERROR(__xludf.DUMMYFUNCTION("""COMPUTED_VALUE"""),"Urbano")</f>
        <v>Urbano</v>
      </c>
      <c r="BR76" s="30"/>
      <c r="BS76" s="30"/>
      <c r="BT76" s="30"/>
      <c r="BU76" s="30" t="str">
        <f ca="1">IFERROR(__xludf.DUMMYFUNCTION("""COMPUTED_VALUE"""),"No")</f>
        <v>No</v>
      </c>
      <c r="BV76" s="30" t="str">
        <f ca="1">IFERROR(__xludf.DUMMYFUNCTION("""COMPUTED_VALUE"""),"No")</f>
        <v>No</v>
      </c>
      <c r="BW76" s="30">
        <f ca="1">IFERROR(__xludf.DUMMYFUNCTION("""COMPUTED_VALUE"""),375)</f>
        <v>375</v>
      </c>
      <c r="BX76" s="30"/>
      <c r="BY76" s="30">
        <f ca="1">IFERROR(__xludf.DUMMYFUNCTION("""COMPUTED_VALUE"""),375)</f>
        <v>375</v>
      </c>
      <c r="BZ76" s="30"/>
      <c r="CA76" s="30" t="str">
        <f ca="1">IFERROR(__xludf.DUMMYFUNCTION("""COMPUTED_VALUE"""),"No")</f>
        <v>No</v>
      </c>
      <c r="CB76" s="30" t="str">
        <f ca="1">IFERROR(__xludf.DUMMYFUNCTION("""COMPUTED_VALUE"""),"No")</f>
        <v>No</v>
      </c>
      <c r="CC76" s="30" t="str">
        <f ca="1">IFERROR(__xludf.DUMMYFUNCTION("""COMPUTED_VALUE"""),"5819d111")</f>
        <v>5819d111</v>
      </c>
      <c r="CD76" s="29" t="str">
        <f ca="1">IFERROR(__xludf.DUMMYFUNCTION("""COMPUTED_VALUE"""),"Niñas y Niños (6 a 12 años)")</f>
        <v>Niñas y Niños (6 a 12 años)</v>
      </c>
      <c r="CE76" s="30" t="str">
        <f ca="1">IFERROR(__xludf.DUMMYFUNCTION("""COMPUTED_VALUE"""),"Dato global")</f>
        <v>Dato global</v>
      </c>
      <c r="CF76" s="30" t="str">
        <f ca="1">IFERROR(__xludf.DUMMYFUNCTION("""COMPUTED_VALUE"""),"Ninguno (Población General)")</f>
        <v>Ninguno (Población General)</v>
      </c>
      <c r="CG76" s="30">
        <f ca="1">IFERROR(__xludf.DUMMYFUNCTION("""COMPUTED_VALUE"""),21)</f>
        <v>21</v>
      </c>
      <c r="CI76" s="30" t="str">
        <f ca="1">IFERROR(__xludf.DUMMYFUNCTION("""COMPUTED_VALUE"""),"fef86079")</f>
        <v>fef86079</v>
      </c>
      <c r="CJ76" s="29" t="str">
        <f ca="1">IFERROR(__xludf.DUMMYFUNCTION("""COMPUTED_VALUE"""),"Regitro_Evidencia_Files_/fef86079.Archivo_Evidencia.214232.pdf")</f>
        <v>Regitro_Evidencia_Files_/fef86079.Archivo_Evidencia.214232.pdf</v>
      </c>
      <c r="CK76" s="30" t="str">
        <f ca="1">IFERROR(__xludf.DUMMYFUNCTION("""COMPUTED_VALUE"""),"PDF")</f>
        <v>PDF</v>
      </c>
      <c r="CL76" s="30"/>
      <c r="CM76" s="30" t="str">
        <f ca="1">IFERROR(__xludf.DUMMYFUNCTION("""COMPUTED_VALUE"""),"Guanajuato")</f>
        <v>Guanajuato</v>
      </c>
      <c r="CN76" s="32" t="e">
        <f ca="1"/>
        <v>#NAME?</v>
      </c>
      <c r="CO76" s="32" t="e">
        <f ca="1"/>
        <v>#NAME?</v>
      </c>
      <c r="CP76" s="32" t="e">
        <f ca="1"/>
        <v>#NAME?</v>
      </c>
      <c r="CQ76" s="32" t="e">
        <f ca="1"/>
        <v>#NAME?</v>
      </c>
      <c r="CR76" s="30" t="e">
        <f ca="1"/>
        <v>#NAME?</v>
      </c>
      <c r="CS76" s="30" t="str">
        <f ca="1">IFERROR(__xludf.DUMMYFUNCTION("""COMPUTED_VALUE"""),"Ninguno (Población General)")</f>
        <v>Ninguno (Población General)</v>
      </c>
    </row>
    <row r="77" spans="1:97" ht="14.5">
      <c r="A77" s="29" t="str">
        <f ca="1">IFERROR(__xludf.DUMMYFUNCTION("""COMPUTED_VALUE"""),"ACT-SCMS43271")</f>
        <v>ACT-SCMS43271</v>
      </c>
      <c r="B77" s="30" t="str">
        <f ca="1">IFERROR(__xludf.DUMMYFUNCTION("""COMPUTED_VALUE"""),"SC-260622-102102")</f>
        <v>SC-260622-102102</v>
      </c>
      <c r="C77" s="62">
        <f ca="1">IFERROR(__xludf.DUMMYFUNCTION("""COMPUTED_VALUE"""),46195.4312731481)</f>
        <v>46195.431273148097</v>
      </c>
      <c r="D77" s="30">
        <f ca="1">IFERROR(__xludf.DUMMYFUNCTION("""COMPUTED_VALUE"""),92)</f>
        <v>92</v>
      </c>
      <c r="E77" s="30" t="str">
        <f ca="1">IFERROR(__xludf.DUMMYFUNCTION("""COMPUTED_VALUE"""),"PB3572")</f>
        <v>PB3572</v>
      </c>
      <c r="F7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7" s="30" t="str">
        <f ca="1">IFERROR(__xludf.DUMMYFUNCTION("""COMPUTED_VALUE"""),"SUBSECRETARÍA DE DESARROLLO Y PROMOCIÓN ARTÍSTICA Y CULTURAL")</f>
        <v>SUBSECRETARÍA DE DESARROLLO Y PROMOCIÓN ARTÍSTICA Y CULTURAL</v>
      </c>
      <c r="I77" s="34" t="str">
        <f ca="1">IFERROR(__xludf.DUMMYFUNCTION("""COMPUTED_VALUE"""),"DIRECCIÓN GENERAL DE MUSEOS, ARTES VISUALES Y EXPOSICIONES")</f>
        <v>DIRECCIÓN GENERAL DE MUSEOS, ARTES VISUALES Y EXPOSICIONES</v>
      </c>
      <c r="J77" s="30" t="str">
        <f ca="1">IFERROR(__xludf.DUMMYFUNCTION("""COMPUTED_VALUE"""),"Número de Actividades realizadas")</f>
        <v>Número de Actividades realizadas</v>
      </c>
      <c r="K77" s="30">
        <f ca="1">IFERROR(__xludf.DUMMYFUNCTION("""COMPUTED_VALUE"""),800)</f>
        <v>800</v>
      </c>
      <c r="L77" s="30" t="str">
        <f ca="1">IFERROR(__xludf.DUMMYFUNCTION("""COMPUTED_VALUE"""),"Artística")</f>
        <v>Artística</v>
      </c>
      <c r="M77" s="30" t="str">
        <f ca="1">IFERROR(__xludf.DUMMYFUNCTION("""COMPUTED_VALUE"""),"Rumbo al festival del piano")</f>
        <v>Rumbo al festival del piano</v>
      </c>
      <c r="N77" s="30" t="str">
        <f ca="1">IFERROR(__xludf.DUMMYFUNCTION("""COMPUTED_VALUE"""),"Presentación musical a cargo de estudiantes de Música de la Universidad de Guanajuato.")</f>
        <v>Presentación musical a cargo de estudiantes de Música de la Universidad de Guanajuato.</v>
      </c>
      <c r="O77" s="30" t="str">
        <f ca="1">IFERROR(__xludf.DUMMYFUNCTION("""COMPUTED_VALUE"""),"Única")</f>
        <v>Única</v>
      </c>
      <c r="P77" s="33">
        <f ca="1">IFERROR(__xludf.DUMMYFUNCTION("""COMPUTED_VALUE"""),46162)</f>
        <v>46162</v>
      </c>
      <c r="Q77" s="65">
        <f ca="1">IFERROR(__xludf.DUMMYFUNCTION("""COMPUTED_VALUE"""),46162)</f>
        <v>46162</v>
      </c>
      <c r="R77" s="30">
        <f ca="1">IFERROR(__xludf.DUMMYFUNCTION("""COMPUTED_VALUE"""),1)</f>
        <v>1</v>
      </c>
      <c r="S77" s="30" t="str">
        <f ca="1">IFERROR(__xludf.DUMMYFUNCTION("""COMPUTED_VALUE"""),"Música")</f>
        <v>Música</v>
      </c>
      <c r="T77" s="30" t="str">
        <f ca="1">IFERROR(__xludf.DUMMYFUNCTION("""COMPUTED_VALUE"""),"Música académica")</f>
        <v>Música académica</v>
      </c>
      <c r="U77" s="30" t="str">
        <f ca="1">IFERROR(__xludf.DUMMYFUNCTION("""COMPUTED_VALUE"""),"Presentación artística")</f>
        <v>Presentación artística</v>
      </c>
      <c r="V77" s="30" t="str">
        <f ca="1">IFERROR(__xludf.DUMMYFUNCTION("""COMPUTED_VALUE"""),"Ninguna")</f>
        <v>Ninguna</v>
      </c>
      <c r="W77" s="30" t="str">
        <f ca="1">IFERROR(__xludf.DUMMYFUNCTION("""COMPUTED_VALUE"""),"Presencial")</f>
        <v>Presencial</v>
      </c>
      <c r="X77" s="30" t="str">
        <f ca="1">IFERROR(__xludf.DUMMYFUNCTION("""COMPUTED_VALUE"""),"Espacio a Cargo de la Secretaría")</f>
        <v>Espacio a Cargo de la Secretaría</v>
      </c>
      <c r="Y77" s="30" t="str">
        <f ca="1">IFERROR(__xludf.DUMMYFUNCTION("""COMPUTED_VALUE"""),"5")</f>
        <v>5</v>
      </c>
      <c r="Z77" s="30"/>
      <c r="AA77" s="30"/>
      <c r="AB77" s="30" t="b">
        <f ca="1">IFERROR(__xludf.DUMMYFUNCTION("""COMPUTED_VALUE"""),FALSE)</f>
        <v>0</v>
      </c>
      <c r="AC77" s="30"/>
      <c r="AD77" s="30" t="b">
        <f ca="1">IFERROR(__xludf.DUMMYFUNCTION("""COMPUTED_VALUE"""),FALSE)</f>
        <v>0</v>
      </c>
      <c r="AE77" s="30"/>
      <c r="AF77" s="30" t="b">
        <f ca="1">IFERROR(__xludf.DUMMYFUNCTION("""COMPUTED_VALUE"""),FALSE)</f>
        <v>0</v>
      </c>
      <c r="AG77" s="30"/>
      <c r="AH77" s="30" t="str">
        <f ca="1">IFERROR(__xludf.DUMMYFUNCTION("""COMPUTED_VALUE"""),"Sin costo")</f>
        <v>Sin costo</v>
      </c>
      <c r="AI77" s="30"/>
      <c r="AJ77" s="30"/>
      <c r="AK77" s="30"/>
      <c r="AL77" s="30" t="str">
        <f ca="1">IFERROR(__xludf.DUMMYFUNCTION("""COMPUTED_VALUE"""),"ccardonav@guanajuato.gob.mx")</f>
        <v>ccardonav@guanajuato.gob.mx</v>
      </c>
      <c r="AM77" s="30" t="str">
        <f ca="1">IFERROR(__xludf.DUMMYFUNCTION("""COMPUTED_VALUE"""),"Arraigo y empoderamiento cultural de comunidades.")</f>
        <v>Arraigo y empoderamiento cultural de comunidades.</v>
      </c>
      <c r="AN77" s="30" t="str">
        <f ca="1">IFERROR(__xludf.DUMMYFUNCTION("""COMPUTED_VALUE"""),"1 Tranquilidad")</f>
        <v>1 Tranquilidad</v>
      </c>
      <c r="AO77" s="30" t="str">
        <f ca="1">IFERROR(__xludf.DUMMYFUNCTION("""COMPUTED_VALUE"""),"1.2 Fortalecer prevención del delito")</f>
        <v>1.2 Fortalecer prevención del delito</v>
      </c>
      <c r="AP77" s="30" t="str">
        <f ca="1">IFERROR(__xludf.DUMMYFUNCTION("""COMPUTED_VALUE"""),"1.2.2 Fortalecimiento del tejido social")</f>
        <v>1.2.2 Fortalecimiento del tejido social</v>
      </c>
      <c r="AQ77" s="30" t="str">
        <f ca="1">IFERROR(__xludf.DUMMYFUNCTION("""COMPUTED_VALUE"""),"1.2.3.4 Promover una cultura de paz desde las expresiones artísticas y culturales")</f>
        <v>1.2.3.4 Promover una cultura de paz desde las expresiones artísticas y culturales</v>
      </c>
      <c r="AR77" s="30" t="str">
        <f ca="1">IFERROR(__xludf.DUMMYFUNCTION("""COMPUTED_VALUE"""),"Cooperación")</f>
        <v>Cooperación</v>
      </c>
      <c r="AS77" s="30"/>
      <c r="AT77" s="30" t="str">
        <f ca="1">IFERROR(__xludf.DUMMYFUNCTION("""COMPUTED_VALUE"""),"Fortalecimiento de la participación ciudadana y la mediación cultural")</f>
        <v>Fortalecimiento de la participación ciudadana y la mediación cultural</v>
      </c>
      <c r="AU77" s="30" t="str">
        <f ca="1">IFERROR(__xludf.DUMMYFUNCTION("""COMPUTED_VALUE"""),"Impulso a la ampliación de la oferta cultural en los territorios.")</f>
        <v>Impulso a la ampliación de la oferta cultural en los territorios.</v>
      </c>
      <c r="AV7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7" s="30" t="str">
        <f ca="1">IFERROR(__xludf.DUMMYFUNCTION("""COMPUTED_VALUE"""),"Incrementar en 25% la oferta cultural realizada en los municipios.")</f>
        <v>Incrementar en 25% la oferta cultural realizada en los municipios.</v>
      </c>
      <c r="AX77" s="30" t="str">
        <f ca="1">IFERROR(__xludf.DUMMYFUNCTION("""COMPUTED_VALUE"""),"Presentación artística")</f>
        <v>Presentación artística</v>
      </c>
      <c r="AY77" s="30" t="str">
        <f ca="1">IFERROR(__xludf.DUMMYFUNCTION("""COMPUTED_VALUE"""),"Formación")</f>
        <v>Formación</v>
      </c>
      <c r="AZ77" s="30" t="str">
        <f ca="1">IFERROR(__xludf.DUMMYFUNCTION("""COMPUTED_VALUE"""),"Formación")</f>
        <v>Formación</v>
      </c>
      <c r="BA77" s="30"/>
      <c r="BB77" s="30"/>
      <c r="BC77" s="30">
        <f ca="1">IFERROR(__xludf.DUMMYFUNCTION("""COMPUTED_VALUE"""),0)</f>
        <v>0</v>
      </c>
      <c r="BD77" s="30"/>
      <c r="BE77" s="30"/>
      <c r="BF77" s="30" t="b">
        <f ca="1">IFERROR(__xludf.DUMMYFUNCTION("""COMPUTED_VALUE"""),FALSE)</f>
        <v>0</v>
      </c>
      <c r="BG77" s="30"/>
      <c r="BH77" s="30"/>
      <c r="BI77" s="30"/>
      <c r="BJ77" s="30"/>
      <c r="BK77" s="30"/>
      <c r="BL77" s="30"/>
      <c r="BM77" s="30" t="str">
        <f ca="1">IFERROR(__xludf.DUMMYFUNCTION("""COMPUTED_VALUE"""),"No")</f>
        <v>No</v>
      </c>
      <c r="BN77" s="30"/>
      <c r="BO77" s="30" t="str">
        <f ca="1">IFERROR(__xludf.DUMMYFUNCTION("""COMPUTED_VALUE"""),"1a52a00a")</f>
        <v>1a52a00a</v>
      </c>
      <c r="BP77" s="29" t="str">
        <f ca="1">IFERROR(__xludf.DUMMYFUNCTION("""COMPUTED_VALUE"""),"Guanajuato")</f>
        <v>Guanajuato</v>
      </c>
      <c r="BQ77" s="30" t="str">
        <f ca="1">IFERROR(__xludf.DUMMYFUNCTION("""COMPUTED_VALUE"""),"Urbano")</f>
        <v>Urbano</v>
      </c>
      <c r="BR77" s="30"/>
      <c r="BS77" s="30"/>
      <c r="BT77" s="30" t="str">
        <f ca="1">IFERROR(__xludf.DUMMYFUNCTION("""COMPUTED_VALUE"""),"ZONA CENTRO")</f>
        <v>ZONA CENTRO</v>
      </c>
      <c r="BU77" s="30" t="str">
        <f ca="1">IFERROR(__xludf.DUMMYFUNCTION("""COMPUTED_VALUE"""),"No")</f>
        <v>No</v>
      </c>
      <c r="BV77" s="30" t="str">
        <f ca="1">IFERROR(__xludf.DUMMYFUNCTION("""COMPUTED_VALUE"""),"No")</f>
        <v>No</v>
      </c>
      <c r="BW77" s="30">
        <f ca="1">IFERROR(__xludf.DUMMYFUNCTION("""COMPUTED_VALUE"""),31)</f>
        <v>31</v>
      </c>
      <c r="BX77" s="30"/>
      <c r="BY77" s="30">
        <f ca="1">IFERROR(__xludf.DUMMYFUNCTION("""COMPUTED_VALUE"""),31)</f>
        <v>31</v>
      </c>
      <c r="BZ77" s="30" t="str">
        <f ca="1">IFERROR(__xludf.DUMMYFUNCTION("""COMPUTED_VALUE"""),"ZONA CENTRO")</f>
        <v>ZONA CENTRO</v>
      </c>
      <c r="CA77" s="30" t="str">
        <f ca="1">IFERROR(__xludf.DUMMYFUNCTION("""COMPUTED_VALUE"""),"No")</f>
        <v>No</v>
      </c>
      <c r="CB77" s="30" t="str">
        <f ca="1">IFERROR(__xludf.DUMMYFUNCTION("""COMPUTED_VALUE"""),"No")</f>
        <v>No</v>
      </c>
      <c r="CC77" s="30" t="str">
        <f ca="1">IFERROR(__xludf.DUMMYFUNCTION("""COMPUTED_VALUE"""),"7d9bc34e")</f>
        <v>7d9bc34e</v>
      </c>
      <c r="CD77" s="29" t="str">
        <f ca="1">IFERROR(__xludf.DUMMYFUNCTION("""COMPUTED_VALUE"""),"Adolescentes (13 a 17 años)")</f>
        <v>Adolescentes (13 a 17 años)</v>
      </c>
      <c r="CE77" s="30" t="str">
        <f ca="1">IFERROR(__xludf.DUMMYFUNCTION("""COMPUTED_VALUE"""),"Dato global")</f>
        <v>Dato global</v>
      </c>
      <c r="CF77" s="30" t="str">
        <f ca="1">IFERROR(__xludf.DUMMYFUNCTION("""COMPUTED_VALUE"""),"Ninguno (Población General)")</f>
        <v>Ninguno (Población General)</v>
      </c>
      <c r="CG77" s="30">
        <f ca="1">IFERROR(__xludf.DUMMYFUNCTION("""COMPUTED_VALUE"""),20)</f>
        <v>20</v>
      </c>
      <c r="CI77" s="30" t="str">
        <f ca="1">IFERROR(__xludf.DUMMYFUNCTION("""COMPUTED_VALUE"""),"4131ffe6")</f>
        <v>4131ffe6</v>
      </c>
      <c r="CJ77" s="29" t="str">
        <f ca="1">IFERROR(__xludf.DUMMYFUNCTION("""COMPUTED_VALUE"""),"Regitro_Evidencia_Files_/4131ffe6.Archivo_Evidencia.215316.pdf")</f>
        <v>Regitro_Evidencia_Files_/4131ffe6.Archivo_Evidencia.215316.pdf</v>
      </c>
      <c r="CK77" s="30" t="str">
        <f ca="1">IFERROR(__xludf.DUMMYFUNCTION("""COMPUTED_VALUE"""),"PDF")</f>
        <v>PDF</v>
      </c>
      <c r="CL77" s="30"/>
      <c r="CM77" s="30" t="str">
        <f ca="1">IFERROR(__xludf.DUMMYFUNCTION("""COMPUTED_VALUE"""),"Guanajuato")</f>
        <v>Guanajuato</v>
      </c>
      <c r="CN77" s="32" t="e">
        <f ca="1"/>
        <v>#NAME?</v>
      </c>
      <c r="CO77" s="32" t="e">
        <f ca="1"/>
        <v>#NAME?</v>
      </c>
      <c r="CP77" s="32" t="e">
        <f ca="1"/>
        <v>#NAME?</v>
      </c>
      <c r="CQ77" s="32" t="e">
        <f ca="1"/>
        <v>#NAME?</v>
      </c>
      <c r="CR77" s="30" t="e">
        <f ca="1"/>
        <v>#NAME?</v>
      </c>
      <c r="CS77" s="30" t="str">
        <f ca="1">IFERROR(__xludf.DUMMYFUNCTION("""COMPUTED_VALUE"""),"Ninguno (Población General)")</f>
        <v>Ninguno (Población General)</v>
      </c>
    </row>
    <row r="78" spans="1:97" ht="14.5">
      <c r="A78" s="29" t="str">
        <f ca="1">IFERROR(__xludf.DUMMYFUNCTION("""COMPUTED_VALUE"""),"ACT-SCPY84321")</f>
        <v>ACT-SCPY84321</v>
      </c>
      <c r="B78" s="30" t="str">
        <f ca="1">IFERROR(__xludf.DUMMYFUNCTION("""COMPUTED_VALUE"""),"SC-260622-103219")</f>
        <v>SC-260622-103219</v>
      </c>
      <c r="C78" s="62">
        <f ca="1">IFERROR(__xludf.DUMMYFUNCTION("""COMPUTED_VALUE"""),46195.4391087963)</f>
        <v>46195.439108796301</v>
      </c>
      <c r="D78" s="30">
        <f ca="1">IFERROR(__xludf.DUMMYFUNCTION("""COMPUTED_VALUE"""),92)</f>
        <v>92</v>
      </c>
      <c r="E78" s="30" t="str">
        <f ca="1">IFERROR(__xludf.DUMMYFUNCTION("""COMPUTED_VALUE"""),"PB3572")</f>
        <v>PB3572</v>
      </c>
      <c r="F7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8" s="30" t="str">
        <f ca="1">IFERROR(__xludf.DUMMYFUNCTION("""COMPUTED_VALUE"""),"SUBSECRETARÍA DE DESARROLLO Y PROMOCIÓN ARTÍSTICA Y CULTURAL")</f>
        <v>SUBSECRETARÍA DE DESARROLLO Y PROMOCIÓN ARTÍSTICA Y CULTURAL</v>
      </c>
      <c r="I78" s="34" t="str">
        <f ca="1">IFERROR(__xludf.DUMMYFUNCTION("""COMPUTED_VALUE"""),"DIRECCIÓN GENERAL DE MUSEOS, ARTES VISUALES Y EXPOSICIONES")</f>
        <v>DIRECCIÓN GENERAL DE MUSEOS, ARTES VISUALES Y EXPOSICIONES</v>
      </c>
      <c r="J78" s="30" t="str">
        <f ca="1">IFERROR(__xludf.DUMMYFUNCTION("""COMPUTED_VALUE"""),"Número de Actividades realizadas")</f>
        <v>Número de Actividades realizadas</v>
      </c>
      <c r="K78" s="30">
        <f ca="1">IFERROR(__xludf.DUMMYFUNCTION("""COMPUTED_VALUE"""),800)</f>
        <v>800</v>
      </c>
      <c r="L78" s="30" t="str">
        <f ca="1">IFERROR(__xludf.DUMMYFUNCTION("""COMPUTED_VALUE"""),"Cultural")</f>
        <v>Cultural</v>
      </c>
      <c r="M78" s="30" t="str">
        <f ca="1">IFERROR(__xludf.DUMMYFUNCTION("""COMPUTED_VALUE"""),"Transmisión Radio UG EL DADO")</f>
        <v>Transmisión Radio UG EL DADO</v>
      </c>
      <c r="N78" s="30" t="str">
        <f ca="1">IFERROR(__xludf.DUMMYFUNCTION("""COMPUTED_VALUE"""),"Transmición de Radio Universidad de Guanajuato en el Museo")</f>
        <v>Transmición de Radio Universidad de Guanajuato en el Museo</v>
      </c>
      <c r="O78" s="30" t="str">
        <f ca="1">IFERROR(__xludf.DUMMYFUNCTION("""COMPUTED_VALUE"""),"Única")</f>
        <v>Única</v>
      </c>
      <c r="P78" s="33">
        <f ca="1">IFERROR(__xludf.DUMMYFUNCTION("""COMPUTED_VALUE"""),46162)</f>
        <v>46162</v>
      </c>
      <c r="Q78" s="65">
        <f ca="1">IFERROR(__xludf.DUMMYFUNCTION("""COMPUTED_VALUE"""),46162)</f>
        <v>46162</v>
      </c>
      <c r="R78" s="30">
        <f ca="1">IFERROR(__xludf.DUMMYFUNCTION("""COMPUTED_VALUE"""),1)</f>
        <v>1</v>
      </c>
      <c r="S78" s="30" t="str">
        <f ca="1">IFERROR(__xludf.DUMMYFUNCTION("""COMPUTED_VALUE"""),"Cultura comunitaria")</f>
        <v>Cultura comunitaria</v>
      </c>
      <c r="T78" s="30" t="str">
        <f ca="1">IFERROR(__xludf.DUMMYFUNCTION("""COMPUTED_VALUE"""),"Mediación cultural")</f>
        <v>Mediación cultural</v>
      </c>
      <c r="U78" s="30" t="str">
        <f ca="1">IFERROR(__xludf.DUMMYFUNCTION("""COMPUTED_VALUE"""),"Programación cultural en recinto")</f>
        <v>Programación cultural en recinto</v>
      </c>
      <c r="V78" s="30" t="str">
        <f ca="1">IFERROR(__xludf.DUMMYFUNCTION("""COMPUTED_VALUE"""),"Ninguna")</f>
        <v>Ninguna</v>
      </c>
      <c r="W78" s="30" t="str">
        <f ca="1">IFERROR(__xludf.DUMMYFUNCTION("""COMPUTED_VALUE"""),"Presencial")</f>
        <v>Presencial</v>
      </c>
      <c r="X78" s="30" t="str">
        <f ca="1">IFERROR(__xludf.DUMMYFUNCTION("""COMPUTED_VALUE"""),"Espacio a Cargo de la Secretaría")</f>
        <v>Espacio a Cargo de la Secretaría</v>
      </c>
      <c r="Y78" s="30" t="str">
        <f ca="1">IFERROR(__xludf.DUMMYFUNCTION("""COMPUTED_VALUE"""),"6")</f>
        <v>6</v>
      </c>
      <c r="Z78" s="30"/>
      <c r="AA78" s="30"/>
      <c r="AB78" s="30" t="b">
        <f ca="1">IFERROR(__xludf.DUMMYFUNCTION("""COMPUTED_VALUE"""),FALSE)</f>
        <v>0</v>
      </c>
      <c r="AC78" s="30"/>
      <c r="AD78" s="30" t="b">
        <f ca="1">IFERROR(__xludf.DUMMYFUNCTION("""COMPUTED_VALUE"""),FALSE)</f>
        <v>0</v>
      </c>
      <c r="AE78" s="30"/>
      <c r="AF78" s="30" t="b">
        <f ca="1">IFERROR(__xludf.DUMMYFUNCTION("""COMPUTED_VALUE"""),FALSE)</f>
        <v>0</v>
      </c>
      <c r="AG78" s="30"/>
      <c r="AH78" s="30" t="str">
        <f ca="1">IFERROR(__xludf.DUMMYFUNCTION("""COMPUTED_VALUE"""),"Sin costo")</f>
        <v>Sin costo</v>
      </c>
      <c r="AI78" s="30"/>
      <c r="AJ78" s="30"/>
      <c r="AK78" s="30"/>
      <c r="AL78" s="30" t="str">
        <f ca="1">IFERROR(__xludf.DUMMYFUNCTION("""COMPUTED_VALUE"""),"ccardonav@guanajuato.gob.mx")</f>
        <v>ccardonav@guanajuato.gob.mx</v>
      </c>
      <c r="AM78" s="30" t="str">
        <f ca="1">IFERROR(__xludf.DUMMYFUNCTION("""COMPUTED_VALUE"""),"Arraigo y empoderamiento cultural de comunidades.")</f>
        <v>Arraigo y empoderamiento cultural de comunidades.</v>
      </c>
      <c r="AN78" s="30" t="str">
        <f ca="1">IFERROR(__xludf.DUMMYFUNCTION("""COMPUTED_VALUE"""),"2 Igualdad")</f>
        <v>2 Igualdad</v>
      </c>
      <c r="AO78" s="30" t="str">
        <f ca="1">IFERROR(__xludf.DUMMYFUNCTION("""COMPUTED_VALUE"""),"2.1 Protección de derechos humanos")</f>
        <v>2.1 Protección de derechos humanos</v>
      </c>
      <c r="AP78" s="30" t="str">
        <f ca="1">IFERROR(__xludf.DUMMYFUNCTION("""COMPUTED_VALUE"""),"2.1.3 Inclusión de personas con discapacidad")</f>
        <v>2.1.3 Inclusión de personas con discapacidad</v>
      </c>
      <c r="AQ78" s="30" t="str">
        <f ca="1">IFERROR(__xludf.DUMMYFUNCTION("""COMPUTED_VALUE"""),"2.1.3.2 Coordinar la incorporación progresiva de la accesibilidad universal")</f>
        <v>2.1.3.2 Coordinar la incorporación progresiva de la accesibilidad universal</v>
      </c>
      <c r="AR78" s="30" t="str">
        <f ca="1">IFERROR(__xludf.DUMMYFUNCTION("""COMPUTED_VALUE"""),"Cooperación")</f>
        <v>Cooperación</v>
      </c>
      <c r="AS78" s="30"/>
      <c r="AT78" s="30" t="str">
        <f ca="1">IFERROR(__xludf.DUMMYFUNCTION("""COMPUTED_VALUE"""),"Fortalecimiento de la participación ciudadana y la mediación cultural")</f>
        <v>Fortalecimiento de la participación ciudadana y la mediación cultural</v>
      </c>
      <c r="AU78" s="30" t="str">
        <f ca="1">IFERROR(__xludf.DUMMYFUNCTION("""COMPUTED_VALUE"""),"Impulso a la ampliación de la oferta cultural en los territorios.")</f>
        <v>Impulso a la ampliación de la oferta cultural en los territorios.</v>
      </c>
      <c r="AV7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8" s="30" t="str">
        <f ca="1">IFERROR(__xludf.DUMMYFUNCTION("""COMPUTED_VALUE"""),"Incrementar en 25% la oferta cultural realizada en los municipios.")</f>
        <v>Incrementar en 25% la oferta cultural realizada en los municipios.</v>
      </c>
      <c r="AX78" s="30" t="str">
        <f ca="1">IFERROR(__xludf.DUMMYFUNCTION("""COMPUTED_VALUE"""),"Programación cultural en recinto")</f>
        <v>Programación cultural en recinto</v>
      </c>
      <c r="AY78" s="30" t="str">
        <f ca="1">IFERROR(__xludf.DUMMYFUNCTION("""COMPUTED_VALUE"""),"Formación")</f>
        <v>Formación</v>
      </c>
      <c r="AZ78" s="30" t="str">
        <f ca="1">IFERROR(__xludf.DUMMYFUNCTION("""COMPUTED_VALUE"""),"Formación")</f>
        <v>Formación</v>
      </c>
      <c r="BA78" s="30"/>
      <c r="BB78" s="30"/>
      <c r="BC78" s="30">
        <f ca="1">IFERROR(__xludf.DUMMYFUNCTION("""COMPUTED_VALUE"""),0)</f>
        <v>0</v>
      </c>
      <c r="BD78" s="30"/>
      <c r="BE78" s="30"/>
      <c r="BF78" s="30" t="b">
        <f ca="1">IFERROR(__xludf.DUMMYFUNCTION("""COMPUTED_VALUE"""),FALSE)</f>
        <v>0</v>
      </c>
      <c r="BG78" s="30"/>
      <c r="BH78" s="30"/>
      <c r="BI78" s="30"/>
      <c r="BJ78" s="30"/>
      <c r="BK78" s="30"/>
      <c r="BL78" s="30"/>
      <c r="BM78" s="30" t="str">
        <f ca="1">IFERROR(__xludf.DUMMYFUNCTION("""COMPUTED_VALUE"""),"No")</f>
        <v>No</v>
      </c>
      <c r="BN78" s="30"/>
      <c r="BO78" s="30" t="str">
        <f ca="1">IFERROR(__xludf.DUMMYFUNCTION("""COMPUTED_VALUE"""),"263eb7e9")</f>
        <v>263eb7e9</v>
      </c>
      <c r="BP78" s="29" t="str">
        <f ca="1">IFERROR(__xludf.DUMMYFUNCTION("""COMPUTED_VALUE"""),"Guanajuato")</f>
        <v>Guanajuato</v>
      </c>
      <c r="BQ78" s="30" t="str">
        <f ca="1">IFERROR(__xludf.DUMMYFUNCTION("""COMPUTED_VALUE"""),"Urbano")</f>
        <v>Urbano</v>
      </c>
      <c r="BR78" s="30"/>
      <c r="BS78" s="30"/>
      <c r="BT78" s="30" t="str">
        <f ca="1">IFERROR(__xludf.DUMMYFUNCTION("""COMPUTED_VALUE"""),"ZONA CENTRO")</f>
        <v>ZONA CENTRO</v>
      </c>
      <c r="BU78" s="30" t="str">
        <f ca="1">IFERROR(__xludf.DUMMYFUNCTION("""COMPUTED_VALUE"""),"No")</f>
        <v>No</v>
      </c>
      <c r="BV78" s="30" t="str">
        <f ca="1">IFERROR(__xludf.DUMMYFUNCTION("""COMPUTED_VALUE"""),"No")</f>
        <v>No</v>
      </c>
      <c r="BW78" s="30">
        <f ca="1">IFERROR(__xludf.DUMMYFUNCTION("""COMPUTED_VALUE"""),268)</f>
        <v>268</v>
      </c>
      <c r="BX78" s="30"/>
      <c r="BY78" s="30">
        <f ca="1">IFERROR(__xludf.DUMMYFUNCTION("""COMPUTED_VALUE"""),268)</f>
        <v>268</v>
      </c>
      <c r="BZ78" s="30" t="str">
        <f ca="1">IFERROR(__xludf.DUMMYFUNCTION("""COMPUTED_VALUE"""),"ZONA CENTRO")</f>
        <v>ZONA CENTRO</v>
      </c>
      <c r="CA78" s="30" t="str">
        <f ca="1">IFERROR(__xludf.DUMMYFUNCTION("""COMPUTED_VALUE"""),"No")</f>
        <v>No</v>
      </c>
      <c r="CB78" s="30" t="str">
        <f ca="1">IFERROR(__xludf.DUMMYFUNCTION("""COMPUTED_VALUE"""),"No")</f>
        <v>No</v>
      </c>
      <c r="CC78" s="30" t="str">
        <f ca="1">IFERROR(__xludf.DUMMYFUNCTION("""COMPUTED_VALUE"""),"6ba90595")</f>
        <v>6ba90595</v>
      </c>
      <c r="CD78" s="29" t="str">
        <f ca="1">IFERROR(__xludf.DUMMYFUNCTION("""COMPUTED_VALUE"""),"Adultos (30 a 59 años)")</f>
        <v>Adultos (30 a 59 años)</v>
      </c>
      <c r="CE78" s="30" t="str">
        <f ca="1">IFERROR(__xludf.DUMMYFUNCTION("""COMPUTED_VALUE"""),"Dato global")</f>
        <v>Dato global</v>
      </c>
      <c r="CF78" s="30" t="str">
        <f ca="1">IFERROR(__xludf.DUMMYFUNCTION("""COMPUTED_VALUE"""),"Ninguno (Población General)")</f>
        <v>Ninguno (Población General)</v>
      </c>
      <c r="CG78" s="30">
        <f ca="1">IFERROR(__xludf.DUMMYFUNCTION("""COMPUTED_VALUE"""),20)</f>
        <v>20</v>
      </c>
      <c r="CI78" s="30" t="str">
        <f ca="1">IFERROR(__xludf.DUMMYFUNCTION("""COMPUTED_VALUE"""),"c81896bc")</f>
        <v>c81896bc</v>
      </c>
      <c r="CJ78" s="29" t="str">
        <f ca="1">IFERROR(__xludf.DUMMYFUNCTION("""COMPUTED_VALUE"""),"Regitro_Evidencia_Files_/c81896bc.Archivo_Evidencia.221420.pdf")</f>
        <v>Regitro_Evidencia_Files_/c81896bc.Archivo_Evidencia.221420.pdf</v>
      </c>
      <c r="CK78" s="30" t="str">
        <f ca="1">IFERROR(__xludf.DUMMYFUNCTION("""COMPUTED_VALUE"""),"PDF")</f>
        <v>PDF</v>
      </c>
      <c r="CL78" s="30"/>
      <c r="CM78" s="30" t="str">
        <f ca="1">IFERROR(__xludf.DUMMYFUNCTION("""COMPUTED_VALUE"""),"Guanajuato")</f>
        <v>Guanajuato</v>
      </c>
      <c r="CN78" s="32" t="e">
        <f ca="1"/>
        <v>#NAME?</v>
      </c>
      <c r="CO78" s="32" t="e">
        <f ca="1"/>
        <v>#NAME?</v>
      </c>
      <c r="CP78" s="32" t="e">
        <f ca="1"/>
        <v>#NAME?</v>
      </c>
      <c r="CQ78" s="32" t="e">
        <f ca="1"/>
        <v>#NAME?</v>
      </c>
      <c r="CR78" s="30" t="e">
        <f ca="1"/>
        <v>#NAME?</v>
      </c>
      <c r="CS78" s="30" t="str">
        <f ca="1">IFERROR(__xludf.DUMMYFUNCTION("""COMPUTED_VALUE"""),"Ninguno (Población General)")</f>
        <v>Ninguno (Población General)</v>
      </c>
    </row>
    <row r="79" spans="1:97" ht="14.5">
      <c r="A79" s="29" t="str">
        <f ca="1">IFERROR(__xludf.DUMMYFUNCTION("""COMPUTED_VALUE"""),"ACT-SCCK59938")</f>
        <v>ACT-SCCK59938</v>
      </c>
      <c r="B79" s="30" t="str">
        <f ca="1">IFERROR(__xludf.DUMMYFUNCTION("""COMPUTED_VALUE"""),"SC-260622-110744")</f>
        <v>SC-260622-110744</v>
      </c>
      <c r="C79" s="62">
        <f ca="1">IFERROR(__xludf.DUMMYFUNCTION("""COMPUTED_VALUE"""),46195.4637037037)</f>
        <v>46195.463703703703</v>
      </c>
      <c r="D79" s="30">
        <f ca="1">IFERROR(__xludf.DUMMYFUNCTION("""COMPUTED_VALUE"""),92)</f>
        <v>92</v>
      </c>
      <c r="E79" s="30" t="str">
        <f ca="1">IFERROR(__xludf.DUMMYFUNCTION("""COMPUTED_VALUE"""),"PB3572")</f>
        <v>PB3572</v>
      </c>
      <c r="F7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7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79" s="30" t="str">
        <f ca="1">IFERROR(__xludf.DUMMYFUNCTION("""COMPUTED_VALUE"""),"SUBSECRETARÍA DE DESARROLLO Y PROMOCIÓN ARTÍSTICA Y CULTURAL")</f>
        <v>SUBSECRETARÍA DE DESARROLLO Y PROMOCIÓN ARTÍSTICA Y CULTURAL</v>
      </c>
      <c r="I79" s="34" t="str">
        <f ca="1">IFERROR(__xludf.DUMMYFUNCTION("""COMPUTED_VALUE"""),"DIRECCIÓN GENERAL DE MUSEOS, ARTES VISUALES Y EXPOSICIONES")</f>
        <v>DIRECCIÓN GENERAL DE MUSEOS, ARTES VISUALES Y EXPOSICIONES</v>
      </c>
      <c r="J79" s="30" t="str">
        <f ca="1">IFERROR(__xludf.DUMMYFUNCTION("""COMPUTED_VALUE"""),"Número de Actividades realizadas")</f>
        <v>Número de Actividades realizadas</v>
      </c>
      <c r="K79" s="30">
        <f ca="1">IFERROR(__xludf.DUMMYFUNCTION("""COMPUTED_VALUE"""),800)</f>
        <v>800</v>
      </c>
      <c r="L79" s="30" t="str">
        <f ca="1">IFERROR(__xludf.DUMMYFUNCTION("""COMPUTED_VALUE"""),"Artística")</f>
        <v>Artística</v>
      </c>
      <c r="M79" s="30" t="str">
        <f ca="1">IFERROR(__xludf.DUMMYFUNCTION("""COMPUTED_VALUE"""),"Los de afuera, presentación musical - visual urbana")</f>
        <v>Los de afuera, presentación musical - visual urbana</v>
      </c>
      <c r="N79" s="30" t="str">
        <f ca="1">IFERROR(__xludf.DUMMYFUNCTION("""COMPUTED_VALUE"""),"Presentación tanto musical como visual de arte urbano en la cual se da introducción a un público no familiarizado con tales disciplinas mientras conocen brevemente las historias de los artistas urbanos invitados.")</f>
        <v>Presentación tanto musical como visual de arte urbano en la cual se da introducción a un público no familiarizado con tales disciplinas mientras conocen brevemente las historias de los artistas urbanos invitados.</v>
      </c>
      <c r="O79" s="30" t="str">
        <f ca="1">IFERROR(__xludf.DUMMYFUNCTION("""COMPUTED_VALUE"""),"Única")</f>
        <v>Única</v>
      </c>
      <c r="P79" s="33">
        <f ca="1">IFERROR(__xludf.DUMMYFUNCTION("""COMPUTED_VALUE"""),46163)</f>
        <v>46163</v>
      </c>
      <c r="Q79" s="65">
        <f ca="1">IFERROR(__xludf.DUMMYFUNCTION("""COMPUTED_VALUE"""),46163)</f>
        <v>46163</v>
      </c>
      <c r="R79" s="30">
        <f ca="1">IFERROR(__xludf.DUMMYFUNCTION("""COMPUTED_VALUE"""),1)</f>
        <v>1</v>
      </c>
      <c r="S79" s="30" t="str">
        <f ca="1">IFERROR(__xludf.DUMMYFUNCTION("""COMPUTED_VALUE"""),"Artes escénicas")</f>
        <v>Artes escénicas</v>
      </c>
      <c r="T79" s="30" t="str">
        <f ca="1">IFERROR(__xludf.DUMMYFUNCTION("""COMPUTED_VALUE"""),"Danza contemporánea")</f>
        <v>Danza contemporánea</v>
      </c>
      <c r="U79" s="30" t="str">
        <f ca="1">IFERROR(__xludf.DUMMYFUNCTION("""COMPUTED_VALUE"""),"Presentación artística")</f>
        <v>Presentación artística</v>
      </c>
      <c r="V79" s="30" t="str">
        <f ca="1">IFERROR(__xludf.DUMMYFUNCTION("""COMPUTED_VALUE"""),"Ninguna")</f>
        <v>Ninguna</v>
      </c>
      <c r="W79" s="30" t="str">
        <f ca="1">IFERROR(__xludf.DUMMYFUNCTION("""COMPUTED_VALUE"""),"Presencial")</f>
        <v>Presencial</v>
      </c>
      <c r="X79" s="30" t="str">
        <f ca="1">IFERROR(__xludf.DUMMYFUNCTION("""COMPUTED_VALUE"""),"Espacio a Cargo de la Secretaría")</f>
        <v>Espacio a Cargo de la Secretaría</v>
      </c>
      <c r="Y79" s="30" t="str">
        <f ca="1">IFERROR(__xludf.DUMMYFUNCTION("""COMPUTED_VALUE"""),"6")</f>
        <v>6</v>
      </c>
      <c r="Z79" s="30"/>
      <c r="AA79" s="30"/>
      <c r="AB79" s="30" t="b">
        <f ca="1">IFERROR(__xludf.DUMMYFUNCTION("""COMPUTED_VALUE"""),FALSE)</f>
        <v>0</v>
      </c>
      <c r="AC79" s="30"/>
      <c r="AD79" s="30" t="b">
        <f ca="1">IFERROR(__xludf.DUMMYFUNCTION("""COMPUTED_VALUE"""),FALSE)</f>
        <v>0</v>
      </c>
      <c r="AE79" s="30"/>
      <c r="AF79" s="30" t="b">
        <f ca="1">IFERROR(__xludf.DUMMYFUNCTION("""COMPUTED_VALUE"""),FALSE)</f>
        <v>0</v>
      </c>
      <c r="AG79" s="30"/>
      <c r="AH79" s="30" t="str">
        <f ca="1">IFERROR(__xludf.DUMMYFUNCTION("""COMPUTED_VALUE"""),"Sin costo")</f>
        <v>Sin costo</v>
      </c>
      <c r="AI79" s="30"/>
      <c r="AJ79" s="30"/>
      <c r="AK79" s="30"/>
      <c r="AL79" s="30" t="str">
        <f ca="1">IFERROR(__xludf.DUMMYFUNCTION("""COMPUTED_VALUE"""),"ccardonav@guanajuato.gob.mx")</f>
        <v>ccardonav@guanajuato.gob.mx</v>
      </c>
      <c r="AM79" s="30" t="str">
        <f ca="1">IFERROR(__xludf.DUMMYFUNCTION("""COMPUTED_VALUE"""),"Arraigo y empoderamiento cultural de comunidades.")</f>
        <v>Arraigo y empoderamiento cultural de comunidades.</v>
      </c>
      <c r="AN79" s="30" t="str">
        <f ca="1">IFERROR(__xludf.DUMMYFUNCTION("""COMPUTED_VALUE"""),"1 Tranquilidad")</f>
        <v>1 Tranquilidad</v>
      </c>
      <c r="AO79" s="30" t="str">
        <f ca="1">IFERROR(__xludf.DUMMYFUNCTION("""COMPUTED_VALUE"""),"1.2 Fortalecer prevención del delito")</f>
        <v>1.2 Fortalecer prevención del delito</v>
      </c>
      <c r="AP79" s="30" t="str">
        <f ca="1">IFERROR(__xludf.DUMMYFUNCTION("""COMPUTED_VALUE"""),"1.2.2 Fortalecimiento del tejido social")</f>
        <v>1.2.2 Fortalecimiento del tejido social</v>
      </c>
      <c r="AQ79" s="30" t="str">
        <f ca="1">IFERROR(__xludf.DUMMYFUNCTION("""COMPUTED_VALUE"""),"1.2.3.4 Promover una cultura de paz desde las expresiones artísticas y culturales")</f>
        <v>1.2.3.4 Promover una cultura de paz desde las expresiones artísticas y culturales</v>
      </c>
      <c r="AR79" s="30" t="str">
        <f ca="1">IFERROR(__xludf.DUMMYFUNCTION("""COMPUTED_VALUE"""),"Cooperación")</f>
        <v>Cooperación</v>
      </c>
      <c r="AS79" s="30"/>
      <c r="AT79" s="30" t="str">
        <f ca="1">IFERROR(__xludf.DUMMYFUNCTION("""COMPUTED_VALUE"""),"Fortalecimiento de la participación ciudadana y la mediación cultural")</f>
        <v>Fortalecimiento de la participación ciudadana y la mediación cultural</v>
      </c>
      <c r="AU79" s="30" t="str">
        <f ca="1">IFERROR(__xludf.DUMMYFUNCTION("""COMPUTED_VALUE"""),"Impulso a la ampliación de la oferta cultural en los territorios.")</f>
        <v>Impulso a la ampliación de la oferta cultural en los territorios.</v>
      </c>
      <c r="AV7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79" s="30" t="str">
        <f ca="1">IFERROR(__xludf.DUMMYFUNCTION("""COMPUTED_VALUE"""),"Incrementar en 25% la oferta cultural realizada en los municipios.")</f>
        <v>Incrementar en 25% la oferta cultural realizada en los municipios.</v>
      </c>
      <c r="AX79" s="30" t="str">
        <f ca="1">IFERROR(__xludf.DUMMYFUNCTION("""COMPUTED_VALUE"""),"Presentación artística")</f>
        <v>Presentación artística</v>
      </c>
      <c r="AY79" s="30" t="str">
        <f ca="1">IFERROR(__xludf.DUMMYFUNCTION("""COMPUTED_VALUE"""),"Formación")</f>
        <v>Formación</v>
      </c>
      <c r="AZ79" s="30" t="str">
        <f ca="1">IFERROR(__xludf.DUMMYFUNCTION("""COMPUTED_VALUE"""),"Formación")</f>
        <v>Formación</v>
      </c>
      <c r="BA79" s="30"/>
      <c r="BB79" s="30"/>
      <c r="BC79" s="30">
        <f ca="1">IFERROR(__xludf.DUMMYFUNCTION("""COMPUTED_VALUE"""),0)</f>
        <v>0</v>
      </c>
      <c r="BD79" s="30"/>
      <c r="BE79" s="30"/>
      <c r="BF79" s="30" t="b">
        <f ca="1">IFERROR(__xludf.DUMMYFUNCTION("""COMPUTED_VALUE"""),FALSE)</f>
        <v>0</v>
      </c>
      <c r="BG79" s="30"/>
      <c r="BH79" s="30"/>
      <c r="BI79" s="30"/>
      <c r="BJ79" s="30"/>
      <c r="BK79" s="30"/>
      <c r="BL79" s="30"/>
      <c r="BM79" s="30" t="str">
        <f ca="1">IFERROR(__xludf.DUMMYFUNCTION("""COMPUTED_VALUE"""),"No")</f>
        <v>No</v>
      </c>
      <c r="BN79" s="30"/>
      <c r="BO79" s="30" t="str">
        <f ca="1">IFERROR(__xludf.DUMMYFUNCTION("""COMPUTED_VALUE"""),"9eba1084")</f>
        <v>9eba1084</v>
      </c>
      <c r="BP79" s="29" t="str">
        <f ca="1">IFERROR(__xludf.DUMMYFUNCTION("""COMPUTED_VALUE"""),"Guanajuato")</f>
        <v>Guanajuato</v>
      </c>
      <c r="BQ79" s="30" t="str">
        <f ca="1">IFERROR(__xludf.DUMMYFUNCTION("""COMPUTED_VALUE"""),"Urbano")</f>
        <v>Urbano</v>
      </c>
      <c r="BR79" s="30"/>
      <c r="BS79" s="30"/>
      <c r="BT79" s="30" t="str">
        <f ca="1">IFERROR(__xludf.DUMMYFUNCTION("""COMPUTED_VALUE"""),"ZONA CENTRO")</f>
        <v>ZONA CENTRO</v>
      </c>
      <c r="BU79" s="30" t="str">
        <f ca="1">IFERROR(__xludf.DUMMYFUNCTION("""COMPUTED_VALUE"""),"No")</f>
        <v>No</v>
      </c>
      <c r="BV79" s="30" t="str">
        <f ca="1">IFERROR(__xludf.DUMMYFUNCTION("""COMPUTED_VALUE"""),"No")</f>
        <v>No</v>
      </c>
      <c r="BW79" s="30">
        <f ca="1">IFERROR(__xludf.DUMMYFUNCTION("""COMPUTED_VALUE"""),12)</f>
        <v>12</v>
      </c>
      <c r="BX79" s="30"/>
      <c r="BY79" s="30">
        <f ca="1">IFERROR(__xludf.DUMMYFUNCTION("""COMPUTED_VALUE"""),12)</f>
        <v>12</v>
      </c>
      <c r="BZ79" s="30" t="str">
        <f ca="1">IFERROR(__xludf.DUMMYFUNCTION("""COMPUTED_VALUE"""),"ZONA CENTRO")</f>
        <v>ZONA CENTRO</v>
      </c>
      <c r="CA79" s="30" t="str">
        <f ca="1">IFERROR(__xludf.DUMMYFUNCTION("""COMPUTED_VALUE"""),"No")</f>
        <v>No</v>
      </c>
      <c r="CB79" s="30" t="str">
        <f ca="1">IFERROR(__xludf.DUMMYFUNCTION("""COMPUTED_VALUE"""),"No")</f>
        <v>No</v>
      </c>
      <c r="CC79" s="30" t="str">
        <f ca="1">IFERROR(__xludf.DUMMYFUNCTION("""COMPUTED_VALUE"""),"0553e8cf")</f>
        <v>0553e8cf</v>
      </c>
      <c r="CD79" s="29" t="str">
        <f ca="1">IFERROR(__xludf.DUMMYFUNCTION("""COMPUTED_VALUE"""),"Adolescentes (13 a 17 años)")</f>
        <v>Adolescentes (13 a 17 años)</v>
      </c>
      <c r="CE79" s="30" t="str">
        <f ca="1">IFERROR(__xludf.DUMMYFUNCTION("""COMPUTED_VALUE"""),"Dato global")</f>
        <v>Dato global</v>
      </c>
      <c r="CF79" s="30" t="str">
        <f ca="1">IFERROR(__xludf.DUMMYFUNCTION("""COMPUTED_VALUE"""),"NNA (Niñas, Niños y Adolescentes)")</f>
        <v>NNA (Niñas, Niños y Adolescentes)</v>
      </c>
      <c r="CG79" s="30">
        <f ca="1">IFERROR(__xludf.DUMMYFUNCTION("""COMPUTED_VALUE"""),92)</f>
        <v>92</v>
      </c>
      <c r="CI79" s="30" t="str">
        <f ca="1">IFERROR(__xludf.DUMMYFUNCTION("""COMPUTED_VALUE"""),"e1452955")</f>
        <v>e1452955</v>
      </c>
      <c r="CJ79" s="29" t="str">
        <f ca="1">IFERROR(__xludf.DUMMYFUNCTION("""COMPUTED_VALUE"""),"Regitro_Evidencia_Files_/e1452955.Archivo_Evidencia.225422.pdf")</f>
        <v>Regitro_Evidencia_Files_/e1452955.Archivo_Evidencia.225422.pdf</v>
      </c>
      <c r="CK79" s="30" t="str">
        <f ca="1">IFERROR(__xludf.DUMMYFUNCTION("""COMPUTED_VALUE"""),"PDF")</f>
        <v>PDF</v>
      </c>
      <c r="CL79" s="30"/>
      <c r="CM79" s="30" t="str">
        <f ca="1">IFERROR(__xludf.DUMMYFUNCTION("""COMPUTED_VALUE"""),"Guanajuato")</f>
        <v>Guanajuato</v>
      </c>
      <c r="CN79" s="32" t="e">
        <f ca="1"/>
        <v>#NAME?</v>
      </c>
      <c r="CO79" s="32" t="e">
        <f ca="1"/>
        <v>#NAME?</v>
      </c>
      <c r="CP79" s="32" t="e">
        <f ca="1"/>
        <v>#NAME?</v>
      </c>
      <c r="CQ79" s="32" t="e">
        <f ca="1"/>
        <v>#NAME?</v>
      </c>
      <c r="CR79" s="30" t="e">
        <f ca="1"/>
        <v>#NAME?</v>
      </c>
      <c r="CS79" s="30" t="str">
        <f ca="1">IFERROR(__xludf.DUMMYFUNCTION("""COMPUTED_VALUE"""),"Ninguno (Población General), Ninguno (Población General), Ninguno (Población General)")</f>
        <v>Ninguno (Población General), Ninguno (Población General), Ninguno (Población General)</v>
      </c>
    </row>
    <row r="80" spans="1:97" ht="14.5">
      <c r="A80" s="29" t="str">
        <f ca="1">IFERROR(__xludf.DUMMYFUNCTION("""COMPUTED_VALUE"""),"ACT-SCHE27788")</f>
        <v>ACT-SCHE27788</v>
      </c>
      <c r="B80" s="30" t="str">
        <f ca="1">IFERROR(__xludf.DUMMYFUNCTION("""COMPUTED_VALUE"""),"SC-260622-111214")</f>
        <v>SC-260622-111214</v>
      </c>
      <c r="C80" s="62">
        <f ca="1">IFERROR(__xludf.DUMMYFUNCTION("""COMPUTED_VALUE"""),46195.4668287037)</f>
        <v>46195.466828703698</v>
      </c>
      <c r="D80" s="30">
        <f ca="1">IFERROR(__xludf.DUMMYFUNCTION("""COMPUTED_VALUE"""),92)</f>
        <v>92</v>
      </c>
      <c r="E80" s="30" t="str">
        <f ca="1">IFERROR(__xludf.DUMMYFUNCTION("""COMPUTED_VALUE"""),"PB3572")</f>
        <v>PB3572</v>
      </c>
      <c r="F8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0" s="30" t="str">
        <f ca="1">IFERROR(__xludf.DUMMYFUNCTION("""COMPUTED_VALUE"""),"SUBSECRETARÍA DE DESARROLLO Y PROMOCIÓN ARTÍSTICA Y CULTURAL")</f>
        <v>SUBSECRETARÍA DE DESARROLLO Y PROMOCIÓN ARTÍSTICA Y CULTURAL</v>
      </c>
      <c r="I80" s="34" t="str">
        <f ca="1">IFERROR(__xludf.DUMMYFUNCTION("""COMPUTED_VALUE"""),"DIRECCIÓN GENERAL DE MUSEOS, ARTES VISUALES Y EXPOSICIONES")</f>
        <v>DIRECCIÓN GENERAL DE MUSEOS, ARTES VISUALES Y EXPOSICIONES</v>
      </c>
      <c r="J80" s="30" t="str">
        <f ca="1">IFERROR(__xludf.DUMMYFUNCTION("""COMPUTED_VALUE"""),"Número de Actividades realizadas")</f>
        <v>Número de Actividades realizadas</v>
      </c>
      <c r="K80" s="30">
        <f ca="1">IFERROR(__xludf.DUMMYFUNCTION("""COMPUTED_VALUE"""),800)</f>
        <v>800</v>
      </c>
      <c r="L80" s="30" t="str">
        <f ca="1">IFERROR(__xludf.DUMMYFUNCTION("""COMPUTED_VALUE"""),"Artística")</f>
        <v>Artística</v>
      </c>
      <c r="M80" s="30" t="str">
        <f ca="1">IFERROR(__xludf.DUMMYFUNCTION("""COMPUTED_VALUE"""),"Inauguración: ¡Moda hoy! Diseño de moda latinoamericanx y latinx")</f>
        <v>Inauguración: ¡Moda hoy! Diseño de moda latinoamericanx y latinx</v>
      </c>
      <c r="N80" s="30" t="str">
        <f ca="1">IFERROR(__xludf.DUMMYFUNCTION("""COMPUTED_VALUE"""),"¡Moda hoy! reúne el talento de diseñadorxs latinxs que han marcado a la industria global con propuestas audaces, identitarias y llenas de historia.")</f>
        <v>¡Moda hoy! reúne el talento de diseñadorxs latinxs que han marcado a la industria global con propuestas audaces, identitarias y llenas de historia.</v>
      </c>
      <c r="O80" s="30" t="str">
        <f ca="1">IFERROR(__xludf.DUMMYFUNCTION("""COMPUTED_VALUE"""),"Única")</f>
        <v>Única</v>
      </c>
      <c r="P80" s="33">
        <f ca="1">IFERROR(__xludf.DUMMYFUNCTION("""COMPUTED_VALUE"""),46163)</f>
        <v>46163</v>
      </c>
      <c r="Q80" s="65">
        <f ca="1">IFERROR(__xludf.DUMMYFUNCTION("""COMPUTED_VALUE"""),46163)</f>
        <v>46163</v>
      </c>
      <c r="R80" s="30">
        <f ca="1">IFERROR(__xludf.DUMMYFUNCTION("""COMPUTED_VALUE"""),1)</f>
        <v>1</v>
      </c>
      <c r="S80" s="30" t="str">
        <f ca="1">IFERROR(__xludf.DUMMYFUNCTION("""COMPUTED_VALUE"""),"Patrimonio cultural")</f>
        <v>Patrimonio cultural</v>
      </c>
      <c r="T80" s="30" t="str">
        <f ca="1">IFERROR(__xludf.DUMMYFUNCTION("""COMPUTED_VALUE"""),"Patrimonio material")</f>
        <v>Patrimonio material</v>
      </c>
      <c r="U80" s="30" t="str">
        <f ca="1">IFERROR(__xludf.DUMMYFUNCTION("""COMPUTED_VALUE"""),"Programación cultural en recinto")</f>
        <v>Programación cultural en recinto</v>
      </c>
      <c r="V80" s="30" t="str">
        <f ca="1">IFERROR(__xludf.DUMMYFUNCTION("""COMPUTED_VALUE"""),"Ninguna")</f>
        <v>Ninguna</v>
      </c>
      <c r="W80" s="30" t="str">
        <f ca="1">IFERROR(__xludf.DUMMYFUNCTION("""COMPUTED_VALUE"""),"Presencial")</f>
        <v>Presencial</v>
      </c>
      <c r="X80" s="30" t="str">
        <f ca="1">IFERROR(__xludf.DUMMYFUNCTION("""COMPUTED_VALUE"""),"Espacio a Cargo de la Secretaría")</f>
        <v>Espacio a Cargo de la Secretaría</v>
      </c>
      <c r="Y80" s="30" t="str">
        <f ca="1">IFERROR(__xludf.DUMMYFUNCTION("""COMPUTED_VALUE"""),"2")</f>
        <v>2</v>
      </c>
      <c r="Z80" s="30"/>
      <c r="AA80" s="30"/>
      <c r="AB80" s="30" t="b">
        <f ca="1">IFERROR(__xludf.DUMMYFUNCTION("""COMPUTED_VALUE"""),FALSE)</f>
        <v>0</v>
      </c>
      <c r="AC80" s="30"/>
      <c r="AD80" s="30" t="b">
        <f ca="1">IFERROR(__xludf.DUMMYFUNCTION("""COMPUTED_VALUE"""),TRUE)</f>
        <v>1</v>
      </c>
      <c r="AE80" s="30">
        <f ca="1">IFERROR(__xludf.DUMMYFUNCTION("""COMPUTED_VALUE"""),1)</f>
        <v>1</v>
      </c>
      <c r="AF80" s="30" t="b">
        <f ca="1">IFERROR(__xludf.DUMMYFUNCTION("""COMPUTED_VALUE"""),FALSE)</f>
        <v>0</v>
      </c>
      <c r="AG80" s="30"/>
      <c r="AH80" s="30" t="str">
        <f ca="1">IFERROR(__xludf.DUMMYFUNCTION("""COMPUTED_VALUE"""),"Sin costo")</f>
        <v>Sin costo</v>
      </c>
      <c r="AI80" s="30"/>
      <c r="AJ80" s="30"/>
      <c r="AK80" s="30"/>
      <c r="AL80" s="30" t="str">
        <f ca="1">IFERROR(__xludf.DUMMYFUNCTION("""COMPUTED_VALUE"""),"ccardonav@guanajuato.gob.mx")</f>
        <v>ccardonav@guanajuato.gob.mx</v>
      </c>
      <c r="AM80" s="30" t="str">
        <f ca="1">IFERROR(__xludf.DUMMYFUNCTION("""COMPUTED_VALUE"""),"Creación de la Secretaría de Cultura, con una visión social de la política cultural.")</f>
        <v>Creación de la Secretaría de Cultura, con una visión social de la política cultural.</v>
      </c>
      <c r="AN80" s="30" t="str">
        <f ca="1">IFERROR(__xludf.DUMMYFUNCTION("""COMPUTED_VALUE"""),"1 Tranquilidad")</f>
        <v>1 Tranquilidad</v>
      </c>
      <c r="AO80" s="30" t="str">
        <f ca="1">IFERROR(__xludf.DUMMYFUNCTION("""COMPUTED_VALUE"""),"1.2 Fortalecer prevención del delito")</f>
        <v>1.2 Fortalecer prevención del delito</v>
      </c>
      <c r="AP80" s="30" t="str">
        <f ca="1">IFERROR(__xludf.DUMMYFUNCTION("""COMPUTED_VALUE"""),"1.2.2 Fortalecimiento del tejido social")</f>
        <v>1.2.2 Fortalecimiento del tejido social</v>
      </c>
      <c r="AQ80" s="30" t="str">
        <f ca="1">IFERROR(__xludf.DUMMYFUNCTION("""COMPUTED_VALUE"""),"1.2.3.4 Promover una cultura de paz desde las expresiones artísticas y culturales")</f>
        <v>1.2.3.4 Promover una cultura de paz desde las expresiones artísticas y culturales</v>
      </c>
      <c r="AR80" s="30" t="str">
        <f ca="1">IFERROR(__xludf.DUMMYFUNCTION("""COMPUTED_VALUE"""),"Cooperación")</f>
        <v>Cooperación</v>
      </c>
      <c r="AS80" s="30"/>
      <c r="AT80" s="30" t="str">
        <f ca="1">IFERROR(__xludf.DUMMYFUNCTION("""COMPUTED_VALUE"""),"Fortalecimiento de la participación ciudadana y la mediación cultural")</f>
        <v>Fortalecimiento de la participación ciudadana y la mediación cultural</v>
      </c>
      <c r="AU80" s="30" t="str">
        <f ca="1">IFERROR(__xludf.DUMMYFUNCTION("""COMPUTED_VALUE"""),"Impulso a la ampliación de la oferta cultural en los territorios.")</f>
        <v>Impulso a la ampliación de la oferta cultural en los territorios.</v>
      </c>
      <c r="AV8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0" s="30" t="str">
        <f ca="1">IFERROR(__xludf.DUMMYFUNCTION("""COMPUTED_VALUE"""),"Incrementar en 25% la oferta cultural realizada en los municipios.")</f>
        <v>Incrementar en 25% la oferta cultural realizada en los municipios.</v>
      </c>
      <c r="AX80" s="30" t="str">
        <f ca="1">IFERROR(__xludf.DUMMYFUNCTION("""COMPUTED_VALUE"""),"Programación cultural en recinto")</f>
        <v>Programación cultural en recinto</v>
      </c>
      <c r="AY80" s="30" t="str">
        <f ca="1">IFERROR(__xludf.DUMMYFUNCTION("""COMPUTED_VALUE"""),"Formación")</f>
        <v>Formación</v>
      </c>
      <c r="AZ80" s="30" t="str">
        <f ca="1">IFERROR(__xludf.DUMMYFUNCTION("""COMPUTED_VALUE"""),"Formación")</f>
        <v>Formación</v>
      </c>
      <c r="BA80" s="30"/>
      <c r="BB80" s="30"/>
      <c r="BC80" s="30">
        <f ca="1">IFERROR(__xludf.DUMMYFUNCTION("""COMPUTED_VALUE"""),0)</f>
        <v>0</v>
      </c>
      <c r="BD80" s="30"/>
      <c r="BE80" s="30"/>
      <c r="BF80" s="30" t="b">
        <f ca="1">IFERROR(__xludf.DUMMYFUNCTION("""COMPUTED_VALUE"""),FALSE)</f>
        <v>0</v>
      </c>
      <c r="BG80" s="30"/>
      <c r="BH80" s="30"/>
      <c r="BI80" s="30"/>
      <c r="BJ80" s="30"/>
      <c r="BK80" s="30"/>
      <c r="BL80" s="30"/>
      <c r="BM80" s="30" t="str">
        <f ca="1">IFERROR(__xludf.DUMMYFUNCTION("""COMPUTED_VALUE"""),"No")</f>
        <v>No</v>
      </c>
      <c r="BN80" s="30"/>
      <c r="BO80" s="30" t="str">
        <f ca="1">IFERROR(__xludf.DUMMYFUNCTION("""COMPUTED_VALUE"""),"aeaf18e1")</f>
        <v>aeaf18e1</v>
      </c>
      <c r="BP80" s="29" t="str">
        <f ca="1">IFERROR(__xludf.DUMMYFUNCTION("""COMPUTED_VALUE"""),"Guanajuato")</f>
        <v>Guanajuato</v>
      </c>
      <c r="BQ80" s="30" t="str">
        <f ca="1">IFERROR(__xludf.DUMMYFUNCTION("""COMPUTED_VALUE"""),"Urbano")</f>
        <v>Urbano</v>
      </c>
      <c r="BR80" s="30"/>
      <c r="BS80" s="30"/>
      <c r="BT80" s="30" t="str">
        <f ca="1">IFERROR(__xludf.DUMMYFUNCTION("""COMPUTED_VALUE"""),"ZONA CENTRO")</f>
        <v>ZONA CENTRO</v>
      </c>
      <c r="BU80" s="30" t="str">
        <f ca="1">IFERROR(__xludf.DUMMYFUNCTION("""COMPUTED_VALUE"""),"No")</f>
        <v>No</v>
      </c>
      <c r="BV80" s="30" t="str">
        <f ca="1">IFERROR(__xludf.DUMMYFUNCTION("""COMPUTED_VALUE"""),"No")</f>
        <v>No</v>
      </c>
      <c r="BW80" s="30">
        <f ca="1">IFERROR(__xludf.DUMMYFUNCTION("""COMPUTED_VALUE"""),13)</f>
        <v>13</v>
      </c>
      <c r="BX80" s="30"/>
      <c r="BY80" s="30">
        <f ca="1">IFERROR(__xludf.DUMMYFUNCTION("""COMPUTED_VALUE"""),13)</f>
        <v>13</v>
      </c>
      <c r="BZ80" s="30" t="str">
        <f ca="1">IFERROR(__xludf.DUMMYFUNCTION("""COMPUTED_VALUE"""),"ZONA CENTRO")</f>
        <v>ZONA CENTRO</v>
      </c>
      <c r="CA80" s="30" t="str">
        <f ca="1">IFERROR(__xludf.DUMMYFUNCTION("""COMPUTED_VALUE"""),"No")</f>
        <v>No</v>
      </c>
      <c r="CB80" s="30" t="str">
        <f ca="1">IFERROR(__xludf.DUMMYFUNCTION("""COMPUTED_VALUE"""),"No")</f>
        <v>No</v>
      </c>
      <c r="CC80" s="30" t="str">
        <f ca="1">IFERROR(__xludf.DUMMYFUNCTION("""COMPUTED_VALUE"""),"46ddb514")</f>
        <v>46ddb514</v>
      </c>
      <c r="CD80" s="29" t="str">
        <f ca="1">IFERROR(__xludf.DUMMYFUNCTION("""COMPUTED_VALUE"""),"Adolescentes (13 a 17 años)")</f>
        <v>Adolescentes (13 a 17 años)</v>
      </c>
      <c r="CE80" s="30" t="str">
        <f ca="1">IFERROR(__xludf.DUMMYFUNCTION("""COMPUTED_VALUE"""),"Dato global")</f>
        <v>Dato global</v>
      </c>
      <c r="CF80" s="30" t="str">
        <f ca="1">IFERROR(__xludf.DUMMYFUNCTION("""COMPUTED_VALUE"""),"NNA (Niñas, Niños y Adolescentes)")</f>
        <v>NNA (Niñas, Niños y Adolescentes)</v>
      </c>
      <c r="CG80" s="30">
        <f ca="1">IFERROR(__xludf.DUMMYFUNCTION("""COMPUTED_VALUE"""),45)</f>
        <v>45</v>
      </c>
      <c r="CI80" s="30" t="str">
        <f ca="1">IFERROR(__xludf.DUMMYFUNCTION("""COMPUTED_VALUE"""),"9a0e9a6a")</f>
        <v>9a0e9a6a</v>
      </c>
      <c r="CJ80" s="29" t="str">
        <f ca="1">IFERROR(__xludf.DUMMYFUNCTION("""COMPUTED_VALUE"""),"Regitro_Evidencia_Files_/9a0e9a6a.Archivo_Evidencia.230113. El ser mujer en la Bella Época.pdf")</f>
        <v>Regitro_Evidencia_Files_/9a0e9a6a.Archivo_Evidencia.230113. El ser mujer en la Bella Época.pdf</v>
      </c>
      <c r="CK80" s="30" t="str">
        <f ca="1">IFERROR(__xludf.DUMMYFUNCTION("""COMPUTED_VALUE"""),"PDF")</f>
        <v>PDF</v>
      </c>
      <c r="CL80" s="30"/>
      <c r="CM80" s="30" t="str">
        <f ca="1">IFERROR(__xludf.DUMMYFUNCTION("""COMPUTED_VALUE"""),"Guanajuato")</f>
        <v>Guanajuato</v>
      </c>
      <c r="CN80" s="32" t="e">
        <f ca="1"/>
        <v>#NAME?</v>
      </c>
      <c r="CO80" s="32" t="e">
        <f ca="1"/>
        <v>#NAME?</v>
      </c>
      <c r="CP80" s="32" t="e">
        <f ca="1"/>
        <v>#NAME?</v>
      </c>
      <c r="CQ80" s="32" t="e">
        <f ca="1"/>
        <v>#NAME?</v>
      </c>
      <c r="CR80" s="30" t="e">
        <f ca="1"/>
        <v>#NAME?</v>
      </c>
      <c r="CS80" s="30" t="str">
        <f ca="1">IFERROR(__xludf.DUMMYFUNCTION("""COMPUTED_VALUE"""),"Ninguno (Población General)")</f>
        <v>Ninguno (Población General)</v>
      </c>
    </row>
    <row r="81" spans="1:97" ht="14.5">
      <c r="A81" s="29" t="str">
        <f ca="1">IFERROR(__xludf.DUMMYFUNCTION("""COMPUTED_VALUE"""),"ACT-SCQN89526")</f>
        <v>ACT-SCQN89526</v>
      </c>
      <c r="B81" s="30" t="str">
        <f ca="1">IFERROR(__xludf.DUMMYFUNCTION("""COMPUTED_VALUE"""),"SC-260622-112027")</f>
        <v>SC-260622-112027</v>
      </c>
      <c r="C81" s="62">
        <f ca="1">IFERROR(__xludf.DUMMYFUNCTION("""COMPUTED_VALUE"""),46195.4725347222)</f>
        <v>46195.472534722197</v>
      </c>
      <c r="D81" s="30">
        <f ca="1">IFERROR(__xludf.DUMMYFUNCTION("""COMPUTED_VALUE"""),92)</f>
        <v>92</v>
      </c>
      <c r="E81" s="30" t="str">
        <f ca="1">IFERROR(__xludf.DUMMYFUNCTION("""COMPUTED_VALUE"""),"PB3572")</f>
        <v>PB3572</v>
      </c>
      <c r="F8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1" s="30" t="str">
        <f ca="1">IFERROR(__xludf.DUMMYFUNCTION("""COMPUTED_VALUE"""),"SUBSECRETARÍA DE DESARROLLO Y PROMOCIÓN ARTÍSTICA Y CULTURAL")</f>
        <v>SUBSECRETARÍA DE DESARROLLO Y PROMOCIÓN ARTÍSTICA Y CULTURAL</v>
      </c>
      <c r="I81" s="34" t="str">
        <f ca="1">IFERROR(__xludf.DUMMYFUNCTION("""COMPUTED_VALUE"""),"DIRECCIÓN GENERAL DE MUSEOS, ARTES VISUALES Y EXPOSICIONES")</f>
        <v>DIRECCIÓN GENERAL DE MUSEOS, ARTES VISUALES Y EXPOSICIONES</v>
      </c>
      <c r="J81" s="30" t="str">
        <f ca="1">IFERROR(__xludf.DUMMYFUNCTION("""COMPUTED_VALUE"""),"Número de Actividades realizadas")</f>
        <v>Número de Actividades realizadas</v>
      </c>
      <c r="K81" s="30">
        <f ca="1">IFERROR(__xludf.DUMMYFUNCTION("""COMPUTED_VALUE"""),800)</f>
        <v>800</v>
      </c>
      <c r="L81" s="30" t="str">
        <f ca="1">IFERROR(__xludf.DUMMYFUNCTION("""COMPUTED_VALUE"""),"Artística")</f>
        <v>Artística</v>
      </c>
      <c r="M81" s="30" t="str">
        <f ca="1">IFERROR(__xludf.DUMMYFUNCTION("""COMPUTED_VALUE"""),"Ecos, Tolula, música y danza.")</f>
        <v>Ecos, Tolula, música y danza.</v>
      </c>
      <c r="N81" s="30" t="str">
        <f ca="1">IFERROR(__xludf.DUMMYFUNCTION("""COMPUTED_VALUE"""),"Ecos Tolula Ensamble presenta una propuesta escénica que muestra el interés por fusionar y enriquecer el contexto armónico, rítmico, visual y de movimiento de estas dos artes.")</f>
        <v>Ecos Tolula Ensamble presenta una propuesta escénica que muestra el interés por fusionar y enriquecer el contexto armónico, rítmico, visual y de movimiento de estas dos artes.</v>
      </c>
      <c r="O81" s="30" t="str">
        <f ca="1">IFERROR(__xludf.DUMMYFUNCTION("""COMPUTED_VALUE"""),"Única")</f>
        <v>Única</v>
      </c>
      <c r="P81" s="33">
        <f ca="1">IFERROR(__xludf.DUMMYFUNCTION("""COMPUTED_VALUE"""),46164)</f>
        <v>46164</v>
      </c>
      <c r="Q81" s="65">
        <f ca="1">IFERROR(__xludf.DUMMYFUNCTION("""COMPUTED_VALUE"""),46164)</f>
        <v>46164</v>
      </c>
      <c r="R81" s="30">
        <f ca="1">IFERROR(__xludf.DUMMYFUNCTION("""COMPUTED_VALUE"""),1)</f>
        <v>1</v>
      </c>
      <c r="S81" s="30" t="str">
        <f ca="1">IFERROR(__xludf.DUMMYFUNCTION("""COMPUTED_VALUE"""),"Música")</f>
        <v>Música</v>
      </c>
      <c r="T81" s="30" t="str">
        <f ca="1">IFERROR(__xludf.DUMMYFUNCTION("""COMPUTED_VALUE"""),"Música académica")</f>
        <v>Música académica</v>
      </c>
      <c r="U81" s="30" t="str">
        <f ca="1">IFERROR(__xludf.DUMMYFUNCTION("""COMPUTED_VALUE"""),"Presentación artística")</f>
        <v>Presentación artística</v>
      </c>
      <c r="V81" s="30" t="str">
        <f ca="1">IFERROR(__xludf.DUMMYFUNCTION("""COMPUTED_VALUE"""),"Ninguna")</f>
        <v>Ninguna</v>
      </c>
      <c r="W81" s="30" t="str">
        <f ca="1">IFERROR(__xludf.DUMMYFUNCTION("""COMPUTED_VALUE"""),"Presencial")</f>
        <v>Presencial</v>
      </c>
      <c r="X81" s="30" t="str">
        <f ca="1">IFERROR(__xludf.DUMMYFUNCTION("""COMPUTED_VALUE"""),"Espacio a Cargo de la Secretaría")</f>
        <v>Espacio a Cargo de la Secretaría</v>
      </c>
      <c r="Y81" s="30" t="str">
        <f ca="1">IFERROR(__xludf.DUMMYFUNCTION("""COMPUTED_VALUE"""),"5")</f>
        <v>5</v>
      </c>
      <c r="Z81" s="30"/>
      <c r="AA81" s="30"/>
      <c r="AB81" s="30" t="b">
        <f ca="1">IFERROR(__xludf.DUMMYFUNCTION("""COMPUTED_VALUE"""),FALSE)</f>
        <v>0</v>
      </c>
      <c r="AC81" s="30"/>
      <c r="AD81" s="30" t="b">
        <f ca="1">IFERROR(__xludf.DUMMYFUNCTION("""COMPUTED_VALUE"""),FALSE)</f>
        <v>0</v>
      </c>
      <c r="AE81" s="30"/>
      <c r="AF81" s="30" t="b">
        <f ca="1">IFERROR(__xludf.DUMMYFUNCTION("""COMPUTED_VALUE"""),FALSE)</f>
        <v>0</v>
      </c>
      <c r="AG81" s="30"/>
      <c r="AH81" s="30" t="str">
        <f ca="1">IFERROR(__xludf.DUMMYFUNCTION("""COMPUTED_VALUE"""),"Sin costo")</f>
        <v>Sin costo</v>
      </c>
      <c r="AI81" s="30"/>
      <c r="AJ81" s="30"/>
      <c r="AK81" s="30"/>
      <c r="AL81" s="30" t="str">
        <f ca="1">IFERROR(__xludf.DUMMYFUNCTION("""COMPUTED_VALUE"""),"ccardonav@guanajuato.gob.mx")</f>
        <v>ccardonav@guanajuato.gob.mx</v>
      </c>
      <c r="AM81" s="30" t="str">
        <f ca="1">IFERROR(__xludf.DUMMYFUNCTION("""COMPUTED_VALUE"""),"Arraigo y empoderamiento cultural de comunidades.")</f>
        <v>Arraigo y empoderamiento cultural de comunidades.</v>
      </c>
      <c r="AN81" s="30" t="str">
        <f ca="1">IFERROR(__xludf.DUMMYFUNCTION("""COMPUTED_VALUE"""),"1 Tranquilidad")</f>
        <v>1 Tranquilidad</v>
      </c>
      <c r="AO81" s="30" t="str">
        <f ca="1">IFERROR(__xludf.DUMMYFUNCTION("""COMPUTED_VALUE"""),"1.2 Fortalecer prevención del delito")</f>
        <v>1.2 Fortalecer prevención del delito</v>
      </c>
      <c r="AP81" s="30" t="str">
        <f ca="1">IFERROR(__xludf.DUMMYFUNCTION("""COMPUTED_VALUE"""),"1.2.2 Fortalecimiento del tejido social")</f>
        <v>1.2.2 Fortalecimiento del tejido social</v>
      </c>
      <c r="AQ81" s="30" t="str">
        <f ca="1">IFERROR(__xludf.DUMMYFUNCTION("""COMPUTED_VALUE"""),"1.2.3.4 Promover una cultura de paz desde las expresiones artísticas y culturales")</f>
        <v>1.2.3.4 Promover una cultura de paz desde las expresiones artísticas y culturales</v>
      </c>
      <c r="AR81" s="30" t="str">
        <f ca="1">IFERROR(__xludf.DUMMYFUNCTION("""COMPUTED_VALUE"""),"Cooperación")</f>
        <v>Cooperación</v>
      </c>
      <c r="AS81" s="30"/>
      <c r="AT81" s="30" t="str">
        <f ca="1">IFERROR(__xludf.DUMMYFUNCTION("""COMPUTED_VALUE"""),"Fortalecimiento de la participación ciudadana y la mediación cultural")</f>
        <v>Fortalecimiento de la participación ciudadana y la mediación cultural</v>
      </c>
      <c r="AU81" s="30" t="str">
        <f ca="1">IFERROR(__xludf.DUMMYFUNCTION("""COMPUTED_VALUE"""),"Impulso a la ampliación de la oferta cultural en los territorios.")</f>
        <v>Impulso a la ampliación de la oferta cultural en los territorios.</v>
      </c>
      <c r="AV8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1" s="30" t="str">
        <f ca="1">IFERROR(__xludf.DUMMYFUNCTION("""COMPUTED_VALUE"""),"Incrementar en 25% la oferta cultural realizada en los municipios.")</f>
        <v>Incrementar en 25% la oferta cultural realizada en los municipios.</v>
      </c>
      <c r="AX81" s="30" t="str">
        <f ca="1">IFERROR(__xludf.DUMMYFUNCTION("""COMPUTED_VALUE"""),"Presentación artística")</f>
        <v>Presentación artística</v>
      </c>
      <c r="AY81" s="30" t="str">
        <f ca="1">IFERROR(__xludf.DUMMYFUNCTION("""COMPUTED_VALUE"""),"Formación")</f>
        <v>Formación</v>
      </c>
      <c r="AZ81" s="30" t="str">
        <f ca="1">IFERROR(__xludf.DUMMYFUNCTION("""COMPUTED_VALUE"""),"Formación")</f>
        <v>Formación</v>
      </c>
      <c r="BA81" s="30"/>
      <c r="BB81" s="30"/>
      <c r="BC81" s="30">
        <f ca="1">IFERROR(__xludf.DUMMYFUNCTION("""COMPUTED_VALUE"""),0)</f>
        <v>0</v>
      </c>
      <c r="BD81" s="30"/>
      <c r="BE81" s="30"/>
      <c r="BF81" s="30" t="b">
        <f ca="1">IFERROR(__xludf.DUMMYFUNCTION("""COMPUTED_VALUE"""),FALSE)</f>
        <v>0</v>
      </c>
      <c r="BG81" s="30"/>
      <c r="BH81" s="30"/>
      <c r="BI81" s="30"/>
      <c r="BJ81" s="30"/>
      <c r="BK81" s="30"/>
      <c r="BL81" s="30"/>
      <c r="BM81" s="30" t="str">
        <f ca="1">IFERROR(__xludf.DUMMYFUNCTION("""COMPUTED_VALUE"""),"No")</f>
        <v>No</v>
      </c>
      <c r="BN81" s="30"/>
      <c r="BO81" s="30" t="str">
        <f ca="1">IFERROR(__xludf.DUMMYFUNCTION("""COMPUTED_VALUE"""),"d8423119")</f>
        <v>d8423119</v>
      </c>
      <c r="BP81" s="29" t="str">
        <f ca="1">IFERROR(__xludf.DUMMYFUNCTION("""COMPUTED_VALUE"""),"Guanajuato")</f>
        <v>Guanajuato</v>
      </c>
      <c r="BQ81" s="30" t="str">
        <f ca="1">IFERROR(__xludf.DUMMYFUNCTION("""COMPUTED_VALUE"""),"Urbano")</f>
        <v>Urbano</v>
      </c>
      <c r="BR81" s="30"/>
      <c r="BS81" s="30"/>
      <c r="BT81" s="30"/>
      <c r="BU81" s="30" t="str">
        <f ca="1">IFERROR(__xludf.DUMMYFUNCTION("""COMPUTED_VALUE"""),"No")</f>
        <v>No</v>
      </c>
      <c r="BV81" s="30" t="str">
        <f ca="1">IFERROR(__xludf.DUMMYFUNCTION("""COMPUTED_VALUE"""),"No")</f>
        <v>No</v>
      </c>
      <c r="BW81" s="30">
        <f ca="1">IFERROR(__xludf.DUMMYFUNCTION("""COMPUTED_VALUE"""),0)</f>
        <v>0</v>
      </c>
      <c r="BX81" s="30"/>
      <c r="BY81" s="30">
        <f ca="1">IFERROR(__xludf.DUMMYFUNCTION("""COMPUTED_VALUE"""),0)</f>
        <v>0</v>
      </c>
      <c r="BZ81" s="30"/>
      <c r="CA81" s="30" t="str">
        <f ca="1">IFERROR(__xludf.DUMMYFUNCTION("""COMPUTED_VALUE"""),"No")</f>
        <v>No</v>
      </c>
      <c r="CB81" s="30" t="str">
        <f ca="1">IFERROR(__xludf.DUMMYFUNCTION("""COMPUTED_VALUE"""),"No")</f>
        <v>No</v>
      </c>
      <c r="CC81" s="30" t="str">
        <f ca="1">IFERROR(__xludf.DUMMYFUNCTION("""COMPUTED_VALUE"""),"0005aa5f")</f>
        <v>0005aa5f</v>
      </c>
      <c r="CD81" s="29" t="str">
        <f ca="1">IFERROR(__xludf.DUMMYFUNCTION("""COMPUTED_VALUE"""),"Jóvenes (18 a 29 años)")</f>
        <v>Jóvenes (18 a 29 años)</v>
      </c>
      <c r="CE81" s="30" t="str">
        <f ca="1">IFERROR(__xludf.DUMMYFUNCTION("""COMPUTED_VALUE"""),"Dato global")</f>
        <v>Dato global</v>
      </c>
      <c r="CF81" s="30" t="str">
        <f ca="1">IFERROR(__xludf.DUMMYFUNCTION("""COMPUTED_VALUE"""),"Ninguno (Población General)")</f>
        <v>Ninguno (Población General)</v>
      </c>
      <c r="CG81" s="30">
        <f ca="1">IFERROR(__xludf.DUMMYFUNCTION("""COMPUTED_VALUE"""),20)</f>
        <v>20</v>
      </c>
      <c r="CI81" s="30" t="str">
        <f ca="1">IFERROR(__xludf.DUMMYFUNCTION("""COMPUTED_VALUE"""),"5edf52ba")</f>
        <v>5edf52ba</v>
      </c>
      <c r="CJ81" s="29" t="str">
        <f ca="1">IFERROR(__xludf.DUMMYFUNCTION("""COMPUTED_VALUE"""),"Regitro_Evidencia_Files_/5edf52ba.Archivo_Evidencia.212730. Gráfica de Maestros Japoneses en Oaxaca.pdf")</f>
        <v>Regitro_Evidencia_Files_/5edf52ba.Archivo_Evidencia.212730. Gráfica de Maestros Japoneses en Oaxaca.pdf</v>
      </c>
      <c r="CK81" s="30" t="str">
        <f ca="1">IFERROR(__xludf.DUMMYFUNCTION("""COMPUTED_VALUE"""),"PDF")</f>
        <v>PDF</v>
      </c>
      <c r="CL81" s="30"/>
      <c r="CM81" s="30" t="str">
        <f ca="1">IFERROR(__xludf.DUMMYFUNCTION("""COMPUTED_VALUE"""),"Guanajuato")</f>
        <v>Guanajuato</v>
      </c>
      <c r="CN81" s="32" t="e">
        <f ca="1"/>
        <v>#NAME?</v>
      </c>
      <c r="CO81" s="32" t="e">
        <f ca="1"/>
        <v>#NAME?</v>
      </c>
      <c r="CP81" s="32" t="e">
        <f ca="1"/>
        <v>#NAME?</v>
      </c>
      <c r="CQ81" s="32" t="e">
        <f ca="1"/>
        <v>#NAME?</v>
      </c>
      <c r="CR81" s="30" t="e">
        <f ca="1"/>
        <v>#NAME?</v>
      </c>
      <c r="CS81" s="30" t="str">
        <f ca="1">IFERROR(__xludf.DUMMYFUNCTION("""COMPUTED_VALUE"""),"Ninguno (Población General)")</f>
        <v>Ninguno (Población General)</v>
      </c>
    </row>
    <row r="82" spans="1:97" ht="14.5">
      <c r="A82" s="29" t="str">
        <f ca="1">IFERROR(__xludf.DUMMYFUNCTION("""COMPUTED_VALUE"""),"ACT-SCQZ87444")</f>
        <v>ACT-SCQZ87444</v>
      </c>
      <c r="B82" s="30" t="str">
        <f ca="1">IFERROR(__xludf.DUMMYFUNCTION("""COMPUTED_VALUE"""),"SC-260622-112432")</f>
        <v>SC-260622-112432</v>
      </c>
      <c r="C82" s="62">
        <f ca="1">IFERROR(__xludf.DUMMYFUNCTION("""COMPUTED_VALUE"""),46195.4753703703)</f>
        <v>46195.475370370303</v>
      </c>
      <c r="D82" s="30">
        <f ca="1">IFERROR(__xludf.DUMMYFUNCTION("""COMPUTED_VALUE"""),92)</f>
        <v>92</v>
      </c>
      <c r="E82" s="30" t="str">
        <f ca="1">IFERROR(__xludf.DUMMYFUNCTION("""COMPUTED_VALUE"""),"PB3572")</f>
        <v>PB3572</v>
      </c>
      <c r="F8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2" s="30" t="str">
        <f ca="1">IFERROR(__xludf.DUMMYFUNCTION("""COMPUTED_VALUE"""),"SUBSECRETARÍA DE DESARROLLO Y PROMOCIÓN ARTÍSTICA Y CULTURAL")</f>
        <v>SUBSECRETARÍA DE DESARROLLO Y PROMOCIÓN ARTÍSTICA Y CULTURAL</v>
      </c>
      <c r="I82" s="34" t="str">
        <f ca="1">IFERROR(__xludf.DUMMYFUNCTION("""COMPUTED_VALUE"""),"DIRECCIÓN GENERAL DE MUSEOS, ARTES VISUALES Y EXPOSICIONES")</f>
        <v>DIRECCIÓN GENERAL DE MUSEOS, ARTES VISUALES Y EXPOSICIONES</v>
      </c>
      <c r="J82" s="30" t="str">
        <f ca="1">IFERROR(__xludf.DUMMYFUNCTION("""COMPUTED_VALUE"""),"Número de Actividades realizadas")</f>
        <v>Número de Actividades realizadas</v>
      </c>
      <c r="K82" s="30">
        <f ca="1">IFERROR(__xludf.DUMMYFUNCTION("""COMPUTED_VALUE"""),800)</f>
        <v>800</v>
      </c>
      <c r="L82" s="30" t="str">
        <f ca="1">IFERROR(__xludf.DUMMYFUNCTION("""COMPUTED_VALUE"""),"Artística")</f>
        <v>Artística</v>
      </c>
      <c r="M82" s="30" t="str">
        <f ca="1">IFERROR(__xludf.DUMMYFUNCTION("""COMPUTED_VALUE"""),"Inauguración: ¡Moda hoy! Diseño de moda latinoamericanx y latinx")</f>
        <v>Inauguración: ¡Moda hoy! Diseño de moda latinoamericanx y latinx</v>
      </c>
      <c r="N82" s="30" t="str">
        <f ca="1">IFERROR(__xludf.DUMMYFUNCTION("""COMPUTED_VALUE"""),"Conferencia en torno a la exposición¡Moda hoy! Diseño de moda latinoamericanx y latinx A través de piezas emblemáticas y narrativas contemporáneas, descubrirás cómo la creatividad latinoamericana sigue expandiendo sus fronteras.")</f>
        <v>Conferencia en torno a la exposición¡Moda hoy! Diseño de moda latinoamericanx y latinx A través de piezas emblemáticas y narrativas contemporáneas, descubrirás cómo la creatividad latinoamericana sigue expandiendo sus fronteras.</v>
      </c>
      <c r="O82" s="30" t="str">
        <f ca="1">IFERROR(__xludf.DUMMYFUNCTION("""COMPUTED_VALUE"""),"Única")</f>
        <v>Única</v>
      </c>
      <c r="P82" s="33">
        <f ca="1">IFERROR(__xludf.DUMMYFUNCTION("""COMPUTED_VALUE"""),46164)</f>
        <v>46164</v>
      </c>
      <c r="Q82" s="65">
        <f ca="1">IFERROR(__xludf.DUMMYFUNCTION("""COMPUTED_VALUE"""),46164)</f>
        <v>46164</v>
      </c>
      <c r="R82" s="30">
        <f ca="1">IFERROR(__xludf.DUMMYFUNCTION("""COMPUTED_VALUE"""),1)</f>
        <v>1</v>
      </c>
      <c r="S82" s="30" t="str">
        <f ca="1">IFERROR(__xludf.DUMMYFUNCTION("""COMPUTED_VALUE"""),"Cultura comunitaria")</f>
        <v>Cultura comunitaria</v>
      </c>
      <c r="T82" s="30" t="str">
        <f ca="1">IFERROR(__xludf.DUMMYFUNCTION("""COMPUTED_VALUE"""),"Mediación cultural")</f>
        <v>Mediación cultural</v>
      </c>
      <c r="U82" s="30" t="str">
        <f ca="1">IFERROR(__xludf.DUMMYFUNCTION("""COMPUTED_VALUE"""),"Charla")</f>
        <v>Charla</v>
      </c>
      <c r="V82" s="30" t="str">
        <f ca="1">IFERROR(__xludf.DUMMYFUNCTION("""COMPUTED_VALUE"""),"Ninguna")</f>
        <v>Ninguna</v>
      </c>
      <c r="W82" s="30" t="str">
        <f ca="1">IFERROR(__xludf.DUMMYFUNCTION("""COMPUTED_VALUE"""),"Presencial")</f>
        <v>Presencial</v>
      </c>
      <c r="X82" s="30" t="str">
        <f ca="1">IFERROR(__xludf.DUMMYFUNCTION("""COMPUTED_VALUE"""),"Espacio a Cargo de la Secretaría")</f>
        <v>Espacio a Cargo de la Secretaría</v>
      </c>
      <c r="Y82" s="30" t="str">
        <f ca="1">IFERROR(__xludf.DUMMYFUNCTION("""COMPUTED_VALUE"""),"2")</f>
        <v>2</v>
      </c>
      <c r="Z82" s="30"/>
      <c r="AA82" s="30"/>
      <c r="AB82" s="30" t="b">
        <f ca="1">IFERROR(__xludf.DUMMYFUNCTION("""COMPUTED_VALUE"""),FALSE)</f>
        <v>0</v>
      </c>
      <c r="AC82" s="30"/>
      <c r="AD82" s="30" t="b">
        <f ca="1">IFERROR(__xludf.DUMMYFUNCTION("""COMPUTED_VALUE"""),FALSE)</f>
        <v>0</v>
      </c>
      <c r="AE82" s="30"/>
      <c r="AF82" s="30" t="b">
        <f ca="1">IFERROR(__xludf.DUMMYFUNCTION("""COMPUTED_VALUE"""),FALSE)</f>
        <v>0</v>
      </c>
      <c r="AG82" s="30"/>
      <c r="AH82" s="30" t="str">
        <f ca="1">IFERROR(__xludf.DUMMYFUNCTION("""COMPUTED_VALUE"""),"Sin costo")</f>
        <v>Sin costo</v>
      </c>
      <c r="AI82" s="30"/>
      <c r="AJ82" s="30"/>
      <c r="AK82" s="30"/>
      <c r="AL82" s="30" t="str">
        <f ca="1">IFERROR(__xludf.DUMMYFUNCTION("""COMPUTED_VALUE"""),"ccardonav@guanajuato.gob.mx")</f>
        <v>ccardonav@guanajuato.gob.mx</v>
      </c>
      <c r="AM82" s="30" t="str">
        <f ca="1">IFERROR(__xludf.DUMMYFUNCTION("""COMPUTED_VALUE"""),"Creación de la Secretaría de Cultura, con una visión social de la política cultural.")</f>
        <v>Creación de la Secretaría de Cultura, con una visión social de la política cultural.</v>
      </c>
      <c r="AN82" s="30" t="str">
        <f ca="1">IFERROR(__xludf.DUMMYFUNCTION("""COMPUTED_VALUE"""),"1 Tranquilidad")</f>
        <v>1 Tranquilidad</v>
      </c>
      <c r="AO82" s="30" t="str">
        <f ca="1">IFERROR(__xludf.DUMMYFUNCTION("""COMPUTED_VALUE"""),"1.2 Fortalecer prevención del delito")</f>
        <v>1.2 Fortalecer prevención del delito</v>
      </c>
      <c r="AP82" s="30" t="str">
        <f ca="1">IFERROR(__xludf.DUMMYFUNCTION("""COMPUTED_VALUE"""),"1.2.2 Fortalecimiento del tejido social")</f>
        <v>1.2.2 Fortalecimiento del tejido social</v>
      </c>
      <c r="AQ82" s="30" t="str">
        <f ca="1">IFERROR(__xludf.DUMMYFUNCTION("""COMPUTED_VALUE"""),"1.2.3.4 Promover una cultura de paz desde las expresiones artísticas y culturales")</f>
        <v>1.2.3.4 Promover una cultura de paz desde las expresiones artísticas y culturales</v>
      </c>
      <c r="AR82" s="30" t="str">
        <f ca="1">IFERROR(__xludf.DUMMYFUNCTION("""COMPUTED_VALUE"""),"Cooperación")</f>
        <v>Cooperación</v>
      </c>
      <c r="AS82" s="30"/>
      <c r="AT82" s="30" t="str">
        <f ca="1">IFERROR(__xludf.DUMMYFUNCTION("""COMPUTED_VALUE"""),"Fortalecimiento de la participación ciudadana y la mediación cultural")</f>
        <v>Fortalecimiento de la participación ciudadana y la mediación cultural</v>
      </c>
      <c r="AU82" s="30" t="str">
        <f ca="1">IFERROR(__xludf.DUMMYFUNCTION("""COMPUTED_VALUE"""),"Impulso a la ampliación de la oferta cultural en los territorios.")</f>
        <v>Impulso a la ampliación de la oferta cultural en los territorios.</v>
      </c>
      <c r="AV8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2" s="30" t="str">
        <f ca="1">IFERROR(__xludf.DUMMYFUNCTION("""COMPUTED_VALUE"""),"Incrementar en 25% la oferta cultural realizada en los municipios.")</f>
        <v>Incrementar en 25% la oferta cultural realizada en los municipios.</v>
      </c>
      <c r="AX82" s="30" t="str">
        <f ca="1">IFERROR(__xludf.DUMMYFUNCTION("""COMPUTED_VALUE"""),"Charla")</f>
        <v>Charla</v>
      </c>
      <c r="AY82" s="30" t="str">
        <f ca="1">IFERROR(__xludf.DUMMYFUNCTION("""COMPUTED_VALUE"""),"Formación")</f>
        <v>Formación</v>
      </c>
      <c r="AZ82" s="30" t="str">
        <f ca="1">IFERROR(__xludf.DUMMYFUNCTION("""COMPUTED_VALUE"""),"Formación")</f>
        <v>Formación</v>
      </c>
      <c r="BA82" s="30"/>
      <c r="BB82" s="30"/>
      <c r="BC82" s="30">
        <f ca="1">IFERROR(__xludf.DUMMYFUNCTION("""COMPUTED_VALUE"""),0)</f>
        <v>0</v>
      </c>
      <c r="BD82" s="30"/>
      <c r="BE82" s="30"/>
      <c r="BF82" s="30" t="b">
        <f ca="1">IFERROR(__xludf.DUMMYFUNCTION("""COMPUTED_VALUE"""),FALSE)</f>
        <v>0</v>
      </c>
      <c r="BG82" s="30"/>
      <c r="BH82" s="30"/>
      <c r="BI82" s="30"/>
      <c r="BJ82" s="30"/>
      <c r="BK82" s="30"/>
      <c r="BL82" s="30"/>
      <c r="BM82" s="30" t="str">
        <f ca="1">IFERROR(__xludf.DUMMYFUNCTION("""COMPUTED_VALUE"""),"No")</f>
        <v>No</v>
      </c>
      <c r="BN82" s="30"/>
      <c r="BO82" s="30" t="str">
        <f ca="1">IFERROR(__xludf.DUMMYFUNCTION("""COMPUTED_VALUE"""),"21d9139f")</f>
        <v>21d9139f</v>
      </c>
      <c r="BP82" s="29" t="str">
        <f ca="1">IFERROR(__xludf.DUMMYFUNCTION("""COMPUTED_VALUE"""),"Guanajuato")</f>
        <v>Guanajuato</v>
      </c>
      <c r="BQ82" s="30" t="str">
        <f ca="1">IFERROR(__xludf.DUMMYFUNCTION("""COMPUTED_VALUE"""),"Urbano")</f>
        <v>Urbano</v>
      </c>
      <c r="BR82" s="30"/>
      <c r="BS82" s="30"/>
      <c r="BT82" s="30" t="str">
        <f ca="1">IFERROR(__xludf.DUMMYFUNCTION("""COMPUTED_VALUE"""),"ZONA CENTRO")</f>
        <v>ZONA CENTRO</v>
      </c>
      <c r="BU82" s="30" t="str">
        <f ca="1">IFERROR(__xludf.DUMMYFUNCTION("""COMPUTED_VALUE"""),"No")</f>
        <v>No</v>
      </c>
      <c r="BV82" s="30" t="str">
        <f ca="1">IFERROR(__xludf.DUMMYFUNCTION("""COMPUTED_VALUE"""),"No")</f>
        <v>No</v>
      </c>
      <c r="BW82" s="30">
        <f ca="1">IFERROR(__xludf.DUMMYFUNCTION("""COMPUTED_VALUE"""),255)</f>
        <v>255</v>
      </c>
      <c r="BX82" s="30"/>
      <c r="BY82" s="30">
        <f ca="1">IFERROR(__xludf.DUMMYFUNCTION("""COMPUTED_VALUE"""),255)</f>
        <v>255</v>
      </c>
      <c r="BZ82" s="30" t="str">
        <f ca="1">IFERROR(__xludf.DUMMYFUNCTION("""COMPUTED_VALUE"""),"ZONA CENTRO")</f>
        <v>ZONA CENTRO</v>
      </c>
      <c r="CA82" s="30" t="str">
        <f ca="1">IFERROR(__xludf.DUMMYFUNCTION("""COMPUTED_VALUE"""),"No")</f>
        <v>No</v>
      </c>
      <c r="CB82" s="30" t="str">
        <f ca="1">IFERROR(__xludf.DUMMYFUNCTION("""COMPUTED_VALUE"""),"No")</f>
        <v>No</v>
      </c>
      <c r="CC82" s="30" t="str">
        <f ca="1">IFERROR(__xludf.DUMMYFUNCTION("""COMPUTED_VALUE"""),"a696076f")</f>
        <v>a696076f</v>
      </c>
      <c r="CD82" s="29" t="str">
        <f ca="1">IFERROR(__xludf.DUMMYFUNCTION("""COMPUTED_VALUE"""),"Adolescentes (13 a 17 años)")</f>
        <v>Adolescentes (13 a 17 años)</v>
      </c>
      <c r="CE82" s="30" t="str">
        <f ca="1">IFERROR(__xludf.DUMMYFUNCTION("""COMPUTED_VALUE"""),"Dato global")</f>
        <v>Dato global</v>
      </c>
      <c r="CF82" s="30" t="str">
        <f ca="1">IFERROR(__xludf.DUMMYFUNCTION("""COMPUTED_VALUE"""),"NNA (Niñas, Niños y Adolescentes)")</f>
        <v>NNA (Niñas, Niños y Adolescentes)</v>
      </c>
      <c r="CG82" s="30">
        <f ca="1">IFERROR(__xludf.DUMMYFUNCTION("""COMPUTED_VALUE"""),24)</f>
        <v>24</v>
      </c>
      <c r="CI82" s="30" t="str">
        <f ca="1">IFERROR(__xludf.DUMMYFUNCTION("""COMPUTED_VALUE"""),"f4d47ce2")</f>
        <v>f4d47ce2</v>
      </c>
      <c r="CJ82" s="29" t="str">
        <f ca="1">IFERROR(__xludf.DUMMYFUNCTION("""COMPUTED_VALUE"""),"Regitro_Evidencia_Images/f4d47ce2.Archivo_Evidencia.181608.jpg")</f>
        <v>Regitro_Evidencia_Images/f4d47ce2.Archivo_Evidencia.181608.jpg</v>
      </c>
      <c r="CK82" s="30" t="str">
        <f ca="1">IFERROR(__xludf.DUMMYFUNCTION("""COMPUTED_VALUE"""),"Foto")</f>
        <v>Foto</v>
      </c>
      <c r="CL82" s="30"/>
      <c r="CM82" s="30" t="str">
        <f ca="1">IFERROR(__xludf.DUMMYFUNCTION("""COMPUTED_VALUE"""),"Guanajuato")</f>
        <v>Guanajuato</v>
      </c>
      <c r="CN82" s="32" t="e">
        <f ca="1"/>
        <v>#NAME?</v>
      </c>
      <c r="CO82" s="32" t="e">
        <f ca="1"/>
        <v>#NAME?</v>
      </c>
      <c r="CP82" s="32" t="e">
        <f ca="1"/>
        <v>#NAME?</v>
      </c>
      <c r="CQ82" s="32" t="e">
        <f ca="1"/>
        <v>#NAME?</v>
      </c>
      <c r="CR82" s="30" t="e">
        <f ca="1"/>
        <v>#NAME?</v>
      </c>
      <c r="CS82" s="30" t="str">
        <f ca="1">IFERROR(__xludf.DUMMYFUNCTION("""COMPUTED_VALUE"""),"Ninguno (Población General)")</f>
        <v>Ninguno (Población General)</v>
      </c>
    </row>
    <row r="83" spans="1:97" ht="14.5">
      <c r="A83" s="29" t="str">
        <f ca="1">IFERROR(__xludf.DUMMYFUNCTION("""COMPUTED_VALUE"""),"ACT-SCZI86402")</f>
        <v>ACT-SCZI86402</v>
      </c>
      <c r="B83" s="30" t="str">
        <f ca="1">IFERROR(__xludf.DUMMYFUNCTION("""COMPUTED_VALUE"""),"SC-260622-113022")</f>
        <v>SC-260622-113022</v>
      </c>
      <c r="C83" s="62">
        <f ca="1">IFERROR(__xludf.DUMMYFUNCTION("""COMPUTED_VALUE"""),46195.4794212962)</f>
        <v>46195.479421296201</v>
      </c>
      <c r="D83" s="30">
        <f ca="1">IFERROR(__xludf.DUMMYFUNCTION("""COMPUTED_VALUE"""),92)</f>
        <v>92</v>
      </c>
      <c r="E83" s="30" t="str">
        <f ca="1">IFERROR(__xludf.DUMMYFUNCTION("""COMPUTED_VALUE"""),"PB3572")</f>
        <v>PB3572</v>
      </c>
      <c r="F8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3" s="30" t="str">
        <f ca="1">IFERROR(__xludf.DUMMYFUNCTION("""COMPUTED_VALUE"""),"SUBSECRETARÍA DE DESARROLLO Y PROMOCIÓN ARTÍSTICA Y CULTURAL")</f>
        <v>SUBSECRETARÍA DE DESARROLLO Y PROMOCIÓN ARTÍSTICA Y CULTURAL</v>
      </c>
      <c r="I83" s="34" t="str">
        <f ca="1">IFERROR(__xludf.DUMMYFUNCTION("""COMPUTED_VALUE"""),"DIRECCIÓN GENERAL DE MUSEOS, ARTES VISUALES Y EXPOSICIONES")</f>
        <v>DIRECCIÓN GENERAL DE MUSEOS, ARTES VISUALES Y EXPOSICIONES</v>
      </c>
      <c r="J83" s="30" t="str">
        <f ca="1">IFERROR(__xludf.DUMMYFUNCTION("""COMPUTED_VALUE"""),"Número de Actividades realizadas")</f>
        <v>Número de Actividades realizadas</v>
      </c>
      <c r="K83" s="30">
        <f ca="1">IFERROR(__xludf.DUMMYFUNCTION("""COMPUTED_VALUE"""),800)</f>
        <v>800</v>
      </c>
      <c r="L83" s="30" t="str">
        <f ca="1">IFERROR(__xludf.DUMMYFUNCTION("""COMPUTED_VALUE"""),"Artística")</f>
        <v>Artística</v>
      </c>
      <c r="M83" s="30" t="str">
        <f ca="1">IFERROR(__xludf.DUMMYFUNCTION("""COMPUTED_VALUE"""),"Obra en análisis: observando el poder en El fusilero Marino.")</f>
        <v>Obra en análisis: observando el poder en El fusilero Marino.</v>
      </c>
      <c r="N83" s="30" t="str">
        <f ca="1">IFERROR(__xludf.DUMMYFUNCTION("""COMPUTED_VALUE"""),"Actividad de mediación artística, en donde a partir de la obra el Fusilero Marino de Diego Rivera realizaremos un análisis de la técnica, la historia, el contexto político y social de la pieza, así como la representación del poder en la misma. El desarrol"&amp;"lo de la sesión se llevará a cabo de manera participativa y colectiva, a través del diálogo crítico entre los asistentes.")</f>
        <v>Actividad de mediación artística, en donde a partir de la obra el Fusilero Marino de Diego Rivera realizaremos un análisis de la técnica, la historia, el contexto político y social de la pieza, así como la representación del poder en la misma. El desarrollo de la sesión se llevará a cabo de manera participativa y colectiva, a través del diálogo crítico entre los asistentes.</v>
      </c>
      <c r="O83" s="30" t="str">
        <f ca="1">IFERROR(__xludf.DUMMYFUNCTION("""COMPUTED_VALUE"""),"Única")</f>
        <v>Única</v>
      </c>
      <c r="P83" s="33">
        <f ca="1">IFERROR(__xludf.DUMMYFUNCTION("""COMPUTED_VALUE"""),46168)</f>
        <v>46168</v>
      </c>
      <c r="Q83" s="65">
        <f ca="1">IFERROR(__xludf.DUMMYFUNCTION("""COMPUTED_VALUE"""),46168)</f>
        <v>46168</v>
      </c>
      <c r="R83" s="30">
        <f ca="1">IFERROR(__xludf.DUMMYFUNCTION("""COMPUTED_VALUE"""),1)</f>
        <v>1</v>
      </c>
      <c r="S83" s="30" t="str">
        <f ca="1">IFERROR(__xludf.DUMMYFUNCTION("""COMPUTED_VALUE"""),"Cultura comunitaria")</f>
        <v>Cultura comunitaria</v>
      </c>
      <c r="T83" s="30" t="str">
        <f ca="1">IFERROR(__xludf.DUMMYFUNCTION("""COMPUTED_VALUE"""),"Formación comunitaria")</f>
        <v>Formación comunitaria</v>
      </c>
      <c r="U83" s="30" t="str">
        <f ca="1">IFERROR(__xludf.DUMMYFUNCTION("""COMPUTED_VALUE"""),"Visitas guiadas")</f>
        <v>Visitas guiadas</v>
      </c>
      <c r="V83" s="30" t="str">
        <f ca="1">IFERROR(__xludf.DUMMYFUNCTION("""COMPUTED_VALUE"""),"Ninguna")</f>
        <v>Ninguna</v>
      </c>
      <c r="W83" s="30" t="str">
        <f ca="1">IFERROR(__xludf.DUMMYFUNCTION("""COMPUTED_VALUE"""),"Presencial")</f>
        <v>Presencial</v>
      </c>
      <c r="X83" s="30" t="str">
        <f ca="1">IFERROR(__xludf.DUMMYFUNCTION("""COMPUTED_VALUE"""),"Espacio a Cargo de la Secretaría")</f>
        <v>Espacio a Cargo de la Secretaría</v>
      </c>
      <c r="Y83" s="30" t="str">
        <f ca="1">IFERROR(__xludf.DUMMYFUNCTION("""COMPUTED_VALUE"""),"6")</f>
        <v>6</v>
      </c>
      <c r="Z83" s="30"/>
      <c r="AA83" s="30"/>
      <c r="AB83" s="30" t="b">
        <f ca="1">IFERROR(__xludf.DUMMYFUNCTION("""COMPUTED_VALUE"""),FALSE)</f>
        <v>0</v>
      </c>
      <c r="AC83" s="30"/>
      <c r="AD83" s="30" t="b">
        <f ca="1">IFERROR(__xludf.DUMMYFUNCTION("""COMPUTED_VALUE"""),FALSE)</f>
        <v>0</v>
      </c>
      <c r="AE83" s="30"/>
      <c r="AF83" s="30" t="b">
        <f ca="1">IFERROR(__xludf.DUMMYFUNCTION("""COMPUTED_VALUE"""),FALSE)</f>
        <v>0</v>
      </c>
      <c r="AG83" s="30"/>
      <c r="AH83" s="30" t="str">
        <f ca="1">IFERROR(__xludf.DUMMYFUNCTION("""COMPUTED_VALUE"""),"Sin costo")</f>
        <v>Sin costo</v>
      </c>
      <c r="AI83" s="30"/>
      <c r="AJ83" s="30"/>
      <c r="AK83" s="30"/>
      <c r="AL83" s="30" t="str">
        <f ca="1">IFERROR(__xludf.DUMMYFUNCTION("""COMPUTED_VALUE"""),"ccardonav@guanajuato.gob.mx")</f>
        <v>ccardonav@guanajuato.gob.mx</v>
      </c>
      <c r="AM83" s="30" t="str">
        <f ca="1">IFERROR(__xludf.DUMMYFUNCTION("""COMPUTED_VALUE"""),"Arraigo y empoderamiento cultural de comunidades.")</f>
        <v>Arraigo y empoderamiento cultural de comunidades.</v>
      </c>
      <c r="AN83" s="30" t="str">
        <f ca="1">IFERROR(__xludf.DUMMYFUNCTION("""COMPUTED_VALUE"""),"1 Tranquilidad")</f>
        <v>1 Tranquilidad</v>
      </c>
      <c r="AO83" s="30" t="str">
        <f ca="1">IFERROR(__xludf.DUMMYFUNCTION("""COMPUTED_VALUE"""),"1.2 Fortalecer prevención del delito")</f>
        <v>1.2 Fortalecer prevención del delito</v>
      </c>
      <c r="AP83" s="30" t="str">
        <f ca="1">IFERROR(__xludf.DUMMYFUNCTION("""COMPUTED_VALUE"""),"1.2.2 Fortalecimiento del tejido social")</f>
        <v>1.2.2 Fortalecimiento del tejido social</v>
      </c>
      <c r="AQ83" s="30" t="str">
        <f ca="1">IFERROR(__xludf.DUMMYFUNCTION("""COMPUTED_VALUE"""),"1.2.3.4 Promover una cultura de paz desde las expresiones artísticas y culturales")</f>
        <v>1.2.3.4 Promover una cultura de paz desde las expresiones artísticas y culturales</v>
      </c>
      <c r="AR83" s="30" t="str">
        <f ca="1">IFERROR(__xludf.DUMMYFUNCTION("""COMPUTED_VALUE"""),"Cooperación")</f>
        <v>Cooperación</v>
      </c>
      <c r="AS83" s="30"/>
      <c r="AT83" s="30" t="str">
        <f ca="1">IFERROR(__xludf.DUMMYFUNCTION("""COMPUTED_VALUE"""),"Fortalecimiento de la participación ciudadana y la mediación cultural")</f>
        <v>Fortalecimiento de la participación ciudadana y la mediación cultural</v>
      </c>
      <c r="AU83" s="30" t="str">
        <f ca="1">IFERROR(__xludf.DUMMYFUNCTION("""COMPUTED_VALUE"""),"Impulso a la ampliación de la oferta cultural en los territorios.")</f>
        <v>Impulso a la ampliación de la oferta cultural en los territorios.</v>
      </c>
      <c r="AV8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3" s="30" t="str">
        <f ca="1">IFERROR(__xludf.DUMMYFUNCTION("""COMPUTED_VALUE"""),"Incrementar en 25% la oferta cultural realizada en los municipios.")</f>
        <v>Incrementar en 25% la oferta cultural realizada en los municipios.</v>
      </c>
      <c r="AX83" s="30" t="str">
        <f ca="1">IFERROR(__xludf.DUMMYFUNCTION("""COMPUTED_VALUE"""),"Visitas guiadas")</f>
        <v>Visitas guiadas</v>
      </c>
      <c r="AY83" s="30" t="str">
        <f ca="1">IFERROR(__xludf.DUMMYFUNCTION("""COMPUTED_VALUE"""),"Formación")</f>
        <v>Formación</v>
      </c>
      <c r="AZ83" s="30" t="str">
        <f ca="1">IFERROR(__xludf.DUMMYFUNCTION("""COMPUTED_VALUE"""),"Formación")</f>
        <v>Formación</v>
      </c>
      <c r="BA83" s="30"/>
      <c r="BB83" s="30"/>
      <c r="BC83" s="30">
        <f ca="1">IFERROR(__xludf.DUMMYFUNCTION("""COMPUTED_VALUE"""),0)</f>
        <v>0</v>
      </c>
      <c r="BD83" s="30"/>
      <c r="BE83" s="30"/>
      <c r="BF83" s="30" t="b">
        <f ca="1">IFERROR(__xludf.DUMMYFUNCTION("""COMPUTED_VALUE"""),FALSE)</f>
        <v>0</v>
      </c>
      <c r="BG83" s="30"/>
      <c r="BH83" s="30"/>
      <c r="BI83" s="30"/>
      <c r="BJ83" s="30"/>
      <c r="BK83" s="30"/>
      <c r="BL83" s="30"/>
      <c r="BM83" s="30" t="str">
        <f ca="1">IFERROR(__xludf.DUMMYFUNCTION("""COMPUTED_VALUE"""),"No")</f>
        <v>No</v>
      </c>
      <c r="BN83" s="30"/>
      <c r="BO83" s="30" t="str">
        <f ca="1">IFERROR(__xludf.DUMMYFUNCTION("""COMPUTED_VALUE"""),"bb3f44b9")</f>
        <v>bb3f44b9</v>
      </c>
      <c r="BP83" s="29" t="str">
        <f ca="1">IFERROR(__xludf.DUMMYFUNCTION("""COMPUTED_VALUE"""),"Guanajuato")</f>
        <v>Guanajuato</v>
      </c>
      <c r="BQ83" s="30" t="str">
        <f ca="1">IFERROR(__xludf.DUMMYFUNCTION("""COMPUTED_VALUE"""),"Urbano")</f>
        <v>Urbano</v>
      </c>
      <c r="BR83" s="30"/>
      <c r="BS83" s="30"/>
      <c r="BT83" s="30" t="str">
        <f ca="1">IFERROR(__xludf.DUMMYFUNCTION("""COMPUTED_VALUE"""),"ZONA CENTRO")</f>
        <v>ZONA CENTRO</v>
      </c>
      <c r="BU83" s="30" t="str">
        <f ca="1">IFERROR(__xludf.DUMMYFUNCTION("""COMPUTED_VALUE"""),"No")</f>
        <v>No</v>
      </c>
      <c r="BV83" s="30" t="str">
        <f ca="1">IFERROR(__xludf.DUMMYFUNCTION("""COMPUTED_VALUE"""),"No")</f>
        <v>No</v>
      </c>
      <c r="BW83" s="30">
        <f ca="1">IFERROR(__xludf.DUMMYFUNCTION("""COMPUTED_VALUE"""),3)</f>
        <v>3</v>
      </c>
      <c r="BX83" s="30"/>
      <c r="BY83" s="30">
        <f ca="1">IFERROR(__xludf.DUMMYFUNCTION("""COMPUTED_VALUE"""),3)</f>
        <v>3</v>
      </c>
      <c r="BZ83" s="30" t="str">
        <f ca="1">IFERROR(__xludf.DUMMYFUNCTION("""COMPUTED_VALUE"""),"ZONA CENTRO")</f>
        <v>ZONA CENTRO</v>
      </c>
      <c r="CA83" s="30" t="str">
        <f ca="1">IFERROR(__xludf.DUMMYFUNCTION("""COMPUTED_VALUE"""),"No")</f>
        <v>No</v>
      </c>
      <c r="CB83" s="30" t="str">
        <f ca="1">IFERROR(__xludf.DUMMYFUNCTION("""COMPUTED_VALUE"""),"No")</f>
        <v>No</v>
      </c>
      <c r="CC83" s="30" t="str">
        <f ca="1">IFERROR(__xludf.DUMMYFUNCTION("""COMPUTED_VALUE"""),"e6974c7f")</f>
        <v>e6974c7f</v>
      </c>
      <c r="CD83" s="29" t="str">
        <f ca="1">IFERROR(__xludf.DUMMYFUNCTION("""COMPUTED_VALUE"""),"Adultos (30 a 59 años)")</f>
        <v>Adultos (30 a 59 años)</v>
      </c>
      <c r="CE83" s="30" t="str">
        <f ca="1">IFERROR(__xludf.DUMMYFUNCTION("""COMPUTED_VALUE"""),"Dato global")</f>
        <v>Dato global</v>
      </c>
      <c r="CF83" s="30" t="str">
        <f ca="1">IFERROR(__xludf.DUMMYFUNCTION("""COMPUTED_VALUE"""),"Ninguno (Población General)")</f>
        <v>Ninguno (Población General)</v>
      </c>
      <c r="CG83" s="30">
        <f ca="1">IFERROR(__xludf.DUMMYFUNCTION("""COMPUTED_VALUE"""),22)</f>
        <v>22</v>
      </c>
      <c r="CI83" s="30" t="str">
        <f ca="1">IFERROR(__xludf.DUMMYFUNCTION("""COMPUTED_VALUE"""),"2914a201")</f>
        <v>2914a201</v>
      </c>
      <c r="CJ83" s="29" t="str">
        <f ca="1">IFERROR(__xludf.DUMMYFUNCTION("""COMPUTED_VALUE"""),"Regitro_Evidencia_Images/2914a201.Archivo_Evidencia.182349.jpg")</f>
        <v>Regitro_Evidencia_Images/2914a201.Archivo_Evidencia.182349.jpg</v>
      </c>
      <c r="CK83" s="30" t="str">
        <f ca="1">IFERROR(__xludf.DUMMYFUNCTION("""COMPUTED_VALUE"""),"Foto")</f>
        <v>Foto</v>
      </c>
      <c r="CL83" s="30"/>
      <c r="CM83" s="30" t="str">
        <f ca="1">IFERROR(__xludf.DUMMYFUNCTION("""COMPUTED_VALUE"""),"Guanajuato")</f>
        <v>Guanajuato</v>
      </c>
      <c r="CN83" s="32" t="e">
        <f ca="1"/>
        <v>#NAME?</v>
      </c>
      <c r="CO83" s="32" t="e">
        <f ca="1"/>
        <v>#NAME?</v>
      </c>
      <c r="CP83" s="32" t="e">
        <f ca="1"/>
        <v>#NAME?</v>
      </c>
      <c r="CQ83" s="32" t="e">
        <f ca="1"/>
        <v>#NAME?</v>
      </c>
      <c r="CR83" s="30" t="e">
        <f ca="1"/>
        <v>#NAME?</v>
      </c>
      <c r="CS83" s="30" t="str">
        <f ca="1">IFERROR(__xludf.DUMMYFUNCTION("""COMPUTED_VALUE"""),"Ninguno (Población General)")</f>
        <v>Ninguno (Población General)</v>
      </c>
    </row>
    <row r="84" spans="1:97" ht="14.5">
      <c r="A84" s="29" t="str">
        <f ca="1">IFERROR(__xludf.DUMMYFUNCTION("""COMPUTED_VALUE"""),"ACT-SCHH09885")</f>
        <v>ACT-SCHH09885</v>
      </c>
      <c r="B84" s="30" t="str">
        <f ca="1">IFERROR(__xludf.DUMMYFUNCTION("""COMPUTED_VALUE"""),"SC-260622-113516")</f>
        <v>SC-260622-113516</v>
      </c>
      <c r="C84" s="62">
        <f ca="1">IFERROR(__xludf.DUMMYFUNCTION("""COMPUTED_VALUE"""),46195.482824074)</f>
        <v>46195.482824074003</v>
      </c>
      <c r="D84" s="30">
        <f ca="1">IFERROR(__xludf.DUMMYFUNCTION("""COMPUTED_VALUE"""),92)</f>
        <v>92</v>
      </c>
      <c r="E84" s="30" t="str">
        <f ca="1">IFERROR(__xludf.DUMMYFUNCTION("""COMPUTED_VALUE"""),"PB3572")</f>
        <v>PB3572</v>
      </c>
      <c r="F8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4" s="30" t="str">
        <f ca="1">IFERROR(__xludf.DUMMYFUNCTION("""COMPUTED_VALUE"""),"SUBSECRETARÍA DE DESARROLLO Y PROMOCIÓN ARTÍSTICA Y CULTURAL")</f>
        <v>SUBSECRETARÍA DE DESARROLLO Y PROMOCIÓN ARTÍSTICA Y CULTURAL</v>
      </c>
      <c r="I84" s="34" t="str">
        <f ca="1">IFERROR(__xludf.DUMMYFUNCTION("""COMPUTED_VALUE"""),"DIRECCIÓN GENERAL DE MUSEOS, ARTES VISUALES Y EXPOSICIONES")</f>
        <v>DIRECCIÓN GENERAL DE MUSEOS, ARTES VISUALES Y EXPOSICIONES</v>
      </c>
      <c r="J84" s="30" t="str">
        <f ca="1">IFERROR(__xludf.DUMMYFUNCTION("""COMPUTED_VALUE"""),"Número de Actividades realizadas")</f>
        <v>Número de Actividades realizadas</v>
      </c>
      <c r="K84" s="30">
        <f ca="1">IFERROR(__xludf.DUMMYFUNCTION("""COMPUTED_VALUE"""),800)</f>
        <v>800</v>
      </c>
      <c r="L84" s="30" t="str">
        <f ca="1">IFERROR(__xludf.DUMMYFUNCTION("""COMPUTED_VALUE"""),"Cultural")</f>
        <v>Cultural</v>
      </c>
      <c r="M84" s="30" t="str">
        <f ca="1">IFERROR(__xludf.DUMMYFUNCTION("""COMPUTED_VALUE"""),"Transmisión Radio UG")</f>
        <v>Transmisión Radio UG</v>
      </c>
      <c r="N84" s="30" t="str">
        <f ca="1">IFERROR(__xludf.DUMMYFUNCTION("""COMPUTED_VALUE"""),"Transmisión de Radio Universidad de Guanajuato en el Museo")</f>
        <v>Transmisión de Radio Universidad de Guanajuato en el Museo</v>
      </c>
      <c r="O84" s="30" t="str">
        <f ca="1">IFERROR(__xludf.DUMMYFUNCTION("""COMPUTED_VALUE"""),"Única")</f>
        <v>Única</v>
      </c>
      <c r="P84" s="33">
        <f ca="1">IFERROR(__xludf.DUMMYFUNCTION("""COMPUTED_VALUE"""),46168)</f>
        <v>46168</v>
      </c>
      <c r="Q84" s="65">
        <f ca="1">IFERROR(__xludf.DUMMYFUNCTION("""COMPUTED_VALUE"""),46168)</f>
        <v>46168</v>
      </c>
      <c r="R84" s="30">
        <f ca="1">IFERROR(__xludf.DUMMYFUNCTION("""COMPUTED_VALUE"""),1)</f>
        <v>1</v>
      </c>
      <c r="S84" s="30" t="str">
        <f ca="1">IFERROR(__xludf.DUMMYFUNCTION("""COMPUTED_VALUE"""),"Cultura comunitaria")</f>
        <v>Cultura comunitaria</v>
      </c>
      <c r="T84" s="30" t="str">
        <f ca="1">IFERROR(__xludf.DUMMYFUNCTION("""COMPUTED_VALUE"""),"Activación comunitaria")</f>
        <v>Activación comunitaria</v>
      </c>
      <c r="U84" s="30" t="str">
        <f ca="1">IFERROR(__xludf.DUMMYFUNCTION("""COMPUTED_VALUE"""),"Vinculación")</f>
        <v>Vinculación</v>
      </c>
      <c r="V84" s="30" t="str">
        <f ca="1">IFERROR(__xludf.DUMMYFUNCTION("""COMPUTED_VALUE"""),"Ninguna")</f>
        <v>Ninguna</v>
      </c>
      <c r="W84" s="30" t="str">
        <f ca="1">IFERROR(__xludf.DUMMYFUNCTION("""COMPUTED_VALUE"""),"Presencial")</f>
        <v>Presencial</v>
      </c>
      <c r="X84" s="30" t="str">
        <f ca="1">IFERROR(__xludf.DUMMYFUNCTION("""COMPUTED_VALUE"""),"Espacio a Cargo de la Secretaría")</f>
        <v>Espacio a Cargo de la Secretaría</v>
      </c>
      <c r="Y84" s="30" t="str">
        <f ca="1">IFERROR(__xludf.DUMMYFUNCTION("""COMPUTED_VALUE"""),"6")</f>
        <v>6</v>
      </c>
      <c r="Z84" s="30"/>
      <c r="AA84" s="30"/>
      <c r="AB84" s="30" t="b">
        <f ca="1">IFERROR(__xludf.DUMMYFUNCTION("""COMPUTED_VALUE"""),FALSE)</f>
        <v>0</v>
      </c>
      <c r="AC84" s="30"/>
      <c r="AD84" s="30" t="b">
        <f ca="1">IFERROR(__xludf.DUMMYFUNCTION("""COMPUTED_VALUE"""),FALSE)</f>
        <v>0</v>
      </c>
      <c r="AE84" s="30"/>
      <c r="AF84" s="30" t="b">
        <f ca="1">IFERROR(__xludf.DUMMYFUNCTION("""COMPUTED_VALUE"""),FALSE)</f>
        <v>0</v>
      </c>
      <c r="AG84" s="30"/>
      <c r="AH84" s="30" t="str">
        <f ca="1">IFERROR(__xludf.DUMMYFUNCTION("""COMPUTED_VALUE"""),"Sin costo")</f>
        <v>Sin costo</v>
      </c>
      <c r="AI84" s="30"/>
      <c r="AJ84" s="30"/>
      <c r="AK84" s="30"/>
      <c r="AL84" s="30" t="str">
        <f ca="1">IFERROR(__xludf.DUMMYFUNCTION("""COMPUTED_VALUE"""),"ccardonav@guanajuato.gob.mx")</f>
        <v>ccardonav@guanajuato.gob.mx</v>
      </c>
      <c r="AM84" s="30" t="str">
        <f ca="1">IFERROR(__xludf.DUMMYFUNCTION("""COMPUTED_VALUE"""),"Arraigo y empoderamiento cultural de comunidades.")</f>
        <v>Arraigo y empoderamiento cultural de comunidades.</v>
      </c>
      <c r="AN84" s="30" t="str">
        <f ca="1">IFERROR(__xludf.DUMMYFUNCTION("""COMPUTED_VALUE"""),"1 Tranquilidad")</f>
        <v>1 Tranquilidad</v>
      </c>
      <c r="AO84" s="30" t="str">
        <f ca="1">IFERROR(__xludf.DUMMYFUNCTION("""COMPUTED_VALUE"""),"1.2 Fortalecer prevención del delito")</f>
        <v>1.2 Fortalecer prevención del delito</v>
      </c>
      <c r="AP84" s="30" t="str">
        <f ca="1">IFERROR(__xludf.DUMMYFUNCTION("""COMPUTED_VALUE"""),"1.2.2 Fortalecimiento del tejido social")</f>
        <v>1.2.2 Fortalecimiento del tejido social</v>
      </c>
      <c r="AQ84" s="30" t="str">
        <f ca="1">IFERROR(__xludf.DUMMYFUNCTION("""COMPUTED_VALUE"""),"1.2.3.4 Promover una cultura de paz desde las expresiones artísticas y culturales")</f>
        <v>1.2.3.4 Promover una cultura de paz desde las expresiones artísticas y culturales</v>
      </c>
      <c r="AR84" s="30" t="str">
        <f ca="1">IFERROR(__xludf.DUMMYFUNCTION("""COMPUTED_VALUE"""),"Cooperación")</f>
        <v>Cooperación</v>
      </c>
      <c r="AS84" s="30"/>
      <c r="AT84" s="30" t="str">
        <f ca="1">IFERROR(__xludf.DUMMYFUNCTION("""COMPUTED_VALUE"""),"Fortalecimiento de la participación ciudadana y la mediación cultural")</f>
        <v>Fortalecimiento de la participación ciudadana y la mediación cultural</v>
      </c>
      <c r="AU84" s="30" t="str">
        <f ca="1">IFERROR(__xludf.DUMMYFUNCTION("""COMPUTED_VALUE"""),"Impulso a la ampliación de la oferta cultural en los territorios.")</f>
        <v>Impulso a la ampliación de la oferta cultural en los territorios.</v>
      </c>
      <c r="AV8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4" s="30" t="str">
        <f ca="1">IFERROR(__xludf.DUMMYFUNCTION("""COMPUTED_VALUE"""),"Incrementar en 25% la oferta cultural realizada en los municipios.")</f>
        <v>Incrementar en 25% la oferta cultural realizada en los municipios.</v>
      </c>
      <c r="AX84" s="30" t="str">
        <f ca="1">IFERROR(__xludf.DUMMYFUNCTION("""COMPUTED_VALUE"""),"Difusión cultural")</f>
        <v>Difusión cultural</v>
      </c>
      <c r="AY84" s="30" t="str">
        <f ca="1">IFERROR(__xludf.DUMMYFUNCTION("""COMPUTED_VALUE"""),"Formación")</f>
        <v>Formación</v>
      </c>
      <c r="AZ84" s="30"/>
      <c r="BA84" s="30"/>
      <c r="BB84" s="30"/>
      <c r="BC84" s="30">
        <f ca="1">IFERROR(__xludf.DUMMYFUNCTION("""COMPUTED_VALUE"""),0)</f>
        <v>0</v>
      </c>
      <c r="BD84" s="30"/>
      <c r="BE84" s="30"/>
      <c r="BF84" s="30" t="b">
        <f ca="1">IFERROR(__xludf.DUMMYFUNCTION("""COMPUTED_VALUE"""),FALSE)</f>
        <v>0</v>
      </c>
      <c r="BG84" s="30"/>
      <c r="BH84" s="30"/>
      <c r="BI84" s="30"/>
      <c r="BJ84" s="30"/>
      <c r="BK84" s="30"/>
      <c r="BL84" s="30" t="str">
        <f ca="1">IFERROR(__xludf.DUMMYFUNCTION("""COMPUTED_VALUE"""),"VINCULACION")</f>
        <v>VINCULACION</v>
      </c>
      <c r="BM84" s="30" t="str">
        <f ca="1">IFERROR(__xludf.DUMMYFUNCTION("""COMPUTED_VALUE"""),"Sí")</f>
        <v>Sí</v>
      </c>
      <c r="BN84" s="30"/>
      <c r="BO84" s="30" t="str">
        <f ca="1">IFERROR(__xludf.DUMMYFUNCTION("""COMPUTED_VALUE"""),"30456bd0")</f>
        <v>30456bd0</v>
      </c>
      <c r="BP84" s="29" t="str">
        <f ca="1">IFERROR(__xludf.DUMMYFUNCTION("""COMPUTED_VALUE"""),"Guanajuato")</f>
        <v>Guanajuato</v>
      </c>
      <c r="BQ84" s="30" t="str">
        <f ca="1">IFERROR(__xludf.DUMMYFUNCTION("""COMPUTED_VALUE"""),"Urbano")</f>
        <v>Urbano</v>
      </c>
      <c r="BR84" s="30"/>
      <c r="BS84" s="30"/>
      <c r="BT84" s="30" t="str">
        <f ca="1">IFERROR(__xludf.DUMMYFUNCTION("""COMPUTED_VALUE"""),"GUANAJUATO CENTRO")</f>
        <v>GUANAJUATO CENTRO</v>
      </c>
      <c r="BU84" s="30" t="str">
        <f ca="1">IFERROR(__xludf.DUMMYFUNCTION("""COMPUTED_VALUE"""),"No")</f>
        <v>No</v>
      </c>
      <c r="BV84" s="30" t="str">
        <f ca="1">IFERROR(__xludf.DUMMYFUNCTION("""COMPUTED_VALUE"""),"No")</f>
        <v>No</v>
      </c>
      <c r="BW84" s="30">
        <f ca="1">IFERROR(__xludf.DUMMYFUNCTION("""COMPUTED_VALUE"""),4)</f>
        <v>4</v>
      </c>
      <c r="BX84" s="30"/>
      <c r="BY84" s="30">
        <f ca="1">IFERROR(__xludf.DUMMYFUNCTION("""COMPUTED_VALUE"""),4)</f>
        <v>4</v>
      </c>
      <c r="BZ84" s="30" t="str">
        <f ca="1">IFERROR(__xludf.DUMMYFUNCTION("""COMPUTED_VALUE"""),"GUANAJUATO CENTRO")</f>
        <v>GUANAJUATO CENTRO</v>
      </c>
      <c r="CA84" s="30" t="str">
        <f ca="1">IFERROR(__xludf.DUMMYFUNCTION("""COMPUTED_VALUE"""),"No")</f>
        <v>No</v>
      </c>
      <c r="CB84" s="30" t="str">
        <f ca="1">IFERROR(__xludf.DUMMYFUNCTION("""COMPUTED_VALUE"""),"No")</f>
        <v>No</v>
      </c>
      <c r="CC84" s="30" t="str">
        <f ca="1">IFERROR(__xludf.DUMMYFUNCTION("""COMPUTED_VALUE"""),"714ee18c")</f>
        <v>714ee18c</v>
      </c>
      <c r="CD84" s="29" t="str">
        <f ca="1">IFERROR(__xludf.DUMMYFUNCTION("""COMPUTED_VALUE"""),"Adultos (30 a 59 años)")</f>
        <v>Adultos (30 a 59 años)</v>
      </c>
      <c r="CE84" s="30" t="str">
        <f ca="1">IFERROR(__xludf.DUMMYFUNCTION("""COMPUTED_VALUE"""),"Dato global")</f>
        <v>Dato global</v>
      </c>
      <c r="CF84" s="30" t="str">
        <f ca="1">IFERROR(__xludf.DUMMYFUNCTION("""COMPUTED_VALUE"""),"Ninguno (Población General)")</f>
        <v>Ninguno (Población General)</v>
      </c>
      <c r="CG84" s="30">
        <f ca="1">IFERROR(__xludf.DUMMYFUNCTION("""COMPUTED_VALUE"""),26)</f>
        <v>26</v>
      </c>
      <c r="CI84" s="30" t="str">
        <f ca="1">IFERROR(__xludf.DUMMYFUNCTION("""COMPUTED_VALUE"""),"18c3d26e")</f>
        <v>18c3d26e</v>
      </c>
      <c r="CJ84" s="29" t="str">
        <f ca="1">IFERROR(__xludf.DUMMYFUNCTION("""COMPUTED_VALUE"""),"Regitro_Evidencia_Images/18c3d26e.Archivo_Evidencia.183812.jpg")</f>
        <v>Regitro_Evidencia_Images/18c3d26e.Archivo_Evidencia.183812.jpg</v>
      </c>
      <c r="CK84" s="30" t="str">
        <f ca="1">IFERROR(__xludf.DUMMYFUNCTION("""COMPUTED_VALUE"""),"Foto")</f>
        <v>Foto</v>
      </c>
      <c r="CL84" s="30"/>
      <c r="CM84" s="30" t="str">
        <f ca="1">IFERROR(__xludf.DUMMYFUNCTION("""COMPUTED_VALUE"""),"Guanajuato")</f>
        <v>Guanajuato</v>
      </c>
      <c r="CN84" s="32" t="e">
        <f ca="1"/>
        <v>#NAME?</v>
      </c>
      <c r="CO84" s="32" t="e">
        <f ca="1"/>
        <v>#NAME?</v>
      </c>
      <c r="CP84" s="32" t="e">
        <f ca="1"/>
        <v>#NAME?</v>
      </c>
      <c r="CQ84" s="32" t="e">
        <f ca="1"/>
        <v>#NAME?</v>
      </c>
      <c r="CR84" s="30" t="e">
        <f ca="1"/>
        <v>#NAME?</v>
      </c>
      <c r="CS84" s="30" t="str">
        <f ca="1">IFERROR(__xludf.DUMMYFUNCTION("""COMPUTED_VALUE"""),"Ninguno (Población General)")</f>
        <v>Ninguno (Población General)</v>
      </c>
    </row>
    <row r="85" spans="1:97" ht="14.5">
      <c r="A85" s="29" t="str">
        <f ca="1">IFERROR(__xludf.DUMMYFUNCTION("""COMPUTED_VALUE"""),"ACT-SCAZ01656")</f>
        <v>ACT-SCAZ01656</v>
      </c>
      <c r="B85" s="30" t="str">
        <f ca="1">IFERROR(__xludf.DUMMYFUNCTION("""COMPUTED_VALUE"""),"SC-260622-114448")</f>
        <v>SC-260622-114448</v>
      </c>
      <c r="C85" s="62">
        <f ca="1">IFERROR(__xludf.DUMMYFUNCTION("""COMPUTED_VALUE"""),46195.4894444444)</f>
        <v>46195.4894444444</v>
      </c>
      <c r="D85" s="30">
        <f ca="1">IFERROR(__xludf.DUMMYFUNCTION("""COMPUTED_VALUE"""),92)</f>
        <v>92</v>
      </c>
      <c r="E85" s="30" t="str">
        <f ca="1">IFERROR(__xludf.DUMMYFUNCTION("""COMPUTED_VALUE"""),"PB3572")</f>
        <v>PB3572</v>
      </c>
      <c r="F8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5" s="30" t="str">
        <f ca="1">IFERROR(__xludf.DUMMYFUNCTION("""COMPUTED_VALUE"""),"SUBSECRETARÍA DE DESARROLLO Y PROMOCIÓN ARTÍSTICA Y CULTURAL")</f>
        <v>SUBSECRETARÍA DE DESARROLLO Y PROMOCIÓN ARTÍSTICA Y CULTURAL</v>
      </c>
      <c r="I85" s="34" t="str">
        <f ca="1">IFERROR(__xludf.DUMMYFUNCTION("""COMPUTED_VALUE"""),"DIRECCIÓN GENERAL DE MUSEOS, ARTES VISUALES Y EXPOSICIONES")</f>
        <v>DIRECCIÓN GENERAL DE MUSEOS, ARTES VISUALES Y EXPOSICIONES</v>
      </c>
      <c r="J85" s="30" t="str">
        <f ca="1">IFERROR(__xludf.DUMMYFUNCTION("""COMPUTED_VALUE"""),"Número de Actividades realizadas")</f>
        <v>Número de Actividades realizadas</v>
      </c>
      <c r="K85" s="30">
        <f ca="1">IFERROR(__xludf.DUMMYFUNCTION("""COMPUTED_VALUE"""),800)</f>
        <v>800</v>
      </c>
      <c r="L85" s="30" t="str">
        <f ca="1">IFERROR(__xludf.DUMMYFUNCTION("""COMPUTED_VALUE"""),"Artística")</f>
        <v>Artística</v>
      </c>
      <c r="M85" s="30" t="str">
        <f ca="1">IFERROR(__xludf.DUMMYFUNCTION("""COMPUTED_VALUE"""),"Visita guiada libre")</f>
        <v>Visita guiada libre</v>
      </c>
      <c r="N85" s="30" t="str">
        <f ca="1">IFERROR(__xludf.DUMMYFUNCTION("""COMPUTED_VALUE"""),"Recorrido guiado por el museo")</f>
        <v>Recorrido guiado por el museo</v>
      </c>
      <c r="O85" s="30" t="str">
        <f ca="1">IFERROR(__xludf.DUMMYFUNCTION("""COMPUTED_VALUE"""),"Única")</f>
        <v>Única</v>
      </c>
      <c r="P85" s="33">
        <f ca="1">IFERROR(__xludf.DUMMYFUNCTION("""COMPUTED_VALUE"""),46144)</f>
        <v>46144</v>
      </c>
      <c r="Q85" s="65">
        <f ca="1">IFERROR(__xludf.DUMMYFUNCTION("""COMPUTED_VALUE"""),46144)</f>
        <v>46144</v>
      </c>
      <c r="R85" s="30">
        <f ca="1">IFERROR(__xludf.DUMMYFUNCTION("""COMPUTED_VALUE"""),1)</f>
        <v>1</v>
      </c>
      <c r="S85" s="30" t="str">
        <f ca="1">IFERROR(__xludf.DUMMYFUNCTION("""COMPUTED_VALUE"""),"Cultura comunitaria")</f>
        <v>Cultura comunitaria</v>
      </c>
      <c r="T85" s="30" t="str">
        <f ca="1">IFERROR(__xludf.DUMMYFUNCTION("""COMPUTED_VALUE"""),"Formación comunitaria")</f>
        <v>Formación comunitaria</v>
      </c>
      <c r="U85" s="30" t="str">
        <f ca="1">IFERROR(__xludf.DUMMYFUNCTION("""COMPUTED_VALUE"""),"Visitas escolares")</f>
        <v>Visitas escolares</v>
      </c>
      <c r="V85" s="30" t="str">
        <f ca="1">IFERROR(__xludf.DUMMYFUNCTION("""COMPUTED_VALUE"""),"Ninguna")</f>
        <v>Ninguna</v>
      </c>
      <c r="W85" s="30" t="str">
        <f ca="1">IFERROR(__xludf.DUMMYFUNCTION("""COMPUTED_VALUE"""),"Presencial")</f>
        <v>Presencial</v>
      </c>
      <c r="X85" s="30" t="str">
        <f ca="1">IFERROR(__xludf.DUMMYFUNCTION("""COMPUTED_VALUE"""),"Espacio a Cargo de la Secretaría")</f>
        <v>Espacio a Cargo de la Secretaría</v>
      </c>
      <c r="Y85" s="30" t="str">
        <f ca="1">IFERROR(__xludf.DUMMYFUNCTION("""COMPUTED_VALUE"""),"1")</f>
        <v>1</v>
      </c>
      <c r="Z85" s="30"/>
      <c r="AA85" s="30"/>
      <c r="AB85" s="30" t="b">
        <f ca="1">IFERROR(__xludf.DUMMYFUNCTION("""COMPUTED_VALUE"""),FALSE)</f>
        <v>0</v>
      </c>
      <c r="AC85" s="30"/>
      <c r="AD85" s="30" t="b">
        <f ca="1">IFERROR(__xludf.DUMMYFUNCTION("""COMPUTED_VALUE"""),FALSE)</f>
        <v>0</v>
      </c>
      <c r="AE85" s="30"/>
      <c r="AF85" s="30" t="b">
        <f ca="1">IFERROR(__xludf.DUMMYFUNCTION("""COMPUTED_VALUE"""),FALSE)</f>
        <v>0</v>
      </c>
      <c r="AG85" s="30"/>
      <c r="AH85" s="30" t="str">
        <f ca="1">IFERROR(__xludf.DUMMYFUNCTION("""COMPUTED_VALUE"""),"Sin costo")</f>
        <v>Sin costo</v>
      </c>
      <c r="AI85" s="30"/>
      <c r="AJ85" s="30"/>
      <c r="AK85" s="30"/>
      <c r="AL85" s="30" t="str">
        <f ca="1">IFERROR(__xludf.DUMMYFUNCTION("""COMPUTED_VALUE"""),"ccardonav@guanajuato.gob.mx")</f>
        <v>ccardonav@guanajuato.gob.mx</v>
      </c>
      <c r="AM85" s="30" t="str">
        <f ca="1">IFERROR(__xludf.DUMMYFUNCTION("""COMPUTED_VALUE"""),"Arraigo y empoderamiento cultural de comunidades.")</f>
        <v>Arraigo y empoderamiento cultural de comunidades.</v>
      </c>
      <c r="AN85" s="30" t="str">
        <f ca="1">IFERROR(__xludf.DUMMYFUNCTION("""COMPUTED_VALUE"""),"2 Igualdad")</f>
        <v>2 Igualdad</v>
      </c>
      <c r="AO85" s="30" t="str">
        <f ca="1">IFERROR(__xludf.DUMMYFUNCTION("""COMPUTED_VALUE"""),"2.1 Protección de derechos humanos")</f>
        <v>2.1 Protección de derechos humanos</v>
      </c>
      <c r="AP85" s="30" t="str">
        <f ca="1">IFERROR(__xludf.DUMMYFUNCTION("""COMPUTED_VALUE"""),"2.1.3 Inclusión de personas con discapacidad")</f>
        <v>2.1.3 Inclusión de personas con discapacidad</v>
      </c>
      <c r="AQ85" s="30" t="str">
        <f ca="1">IFERROR(__xludf.DUMMYFUNCTION("""COMPUTED_VALUE"""),"2.1.3.2 Coordinar la incorporación progresiva de la accesibilidad universal")</f>
        <v>2.1.3.2 Coordinar la incorporación progresiva de la accesibilidad universal</v>
      </c>
      <c r="AR85" s="30" t="str">
        <f ca="1">IFERROR(__xludf.DUMMYFUNCTION("""COMPUTED_VALUE"""),"Cooperación")</f>
        <v>Cooperación</v>
      </c>
      <c r="AS85" s="30"/>
      <c r="AT85" s="30" t="str">
        <f ca="1">IFERROR(__xludf.DUMMYFUNCTION("""COMPUTED_VALUE"""),"Fortalecimiento de la participación ciudadana y la mediación cultural")</f>
        <v>Fortalecimiento de la participación ciudadana y la mediación cultural</v>
      </c>
      <c r="AU85" s="30" t="str">
        <f ca="1">IFERROR(__xludf.DUMMYFUNCTION("""COMPUTED_VALUE"""),"Impulso a la ampliación de la oferta cultural en los territorios.")</f>
        <v>Impulso a la ampliación de la oferta cultural en los territorios.</v>
      </c>
      <c r="AV8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5" s="30" t="str">
        <f ca="1">IFERROR(__xludf.DUMMYFUNCTION("""COMPUTED_VALUE"""),"Incrementar en 25% la oferta cultural realizada en los municipios.")</f>
        <v>Incrementar en 25% la oferta cultural realizada en los municipios.</v>
      </c>
      <c r="AX85" s="30" t="str">
        <f ca="1">IFERROR(__xludf.DUMMYFUNCTION("""COMPUTED_VALUE"""),"Visitas escolares")</f>
        <v>Visitas escolares</v>
      </c>
      <c r="AY85" s="30" t="str">
        <f ca="1">IFERROR(__xludf.DUMMYFUNCTION("""COMPUTED_VALUE"""),"Formación")</f>
        <v>Formación</v>
      </c>
      <c r="AZ85" s="30" t="str">
        <f ca="1">IFERROR(__xludf.DUMMYFUNCTION("""COMPUTED_VALUE"""),"Formación")</f>
        <v>Formación</v>
      </c>
      <c r="BA85" s="30"/>
      <c r="BB85" s="30"/>
      <c r="BC85" s="30">
        <f ca="1">IFERROR(__xludf.DUMMYFUNCTION("""COMPUTED_VALUE"""),0)</f>
        <v>0</v>
      </c>
      <c r="BD85" s="30"/>
      <c r="BE85" s="30"/>
      <c r="BF85" s="30" t="b">
        <f ca="1">IFERROR(__xludf.DUMMYFUNCTION("""COMPUTED_VALUE"""),FALSE)</f>
        <v>0</v>
      </c>
      <c r="BG85" s="30"/>
      <c r="BH85" s="30"/>
      <c r="BI85" s="30"/>
      <c r="BJ85" s="30"/>
      <c r="BK85" s="30"/>
      <c r="BL85" s="30"/>
      <c r="BM85" s="30" t="str">
        <f ca="1">IFERROR(__xludf.DUMMYFUNCTION("""COMPUTED_VALUE"""),"No")</f>
        <v>No</v>
      </c>
      <c r="BN85" s="30"/>
      <c r="BO85" s="30" t="str">
        <f ca="1">IFERROR(__xludf.DUMMYFUNCTION("""COMPUTED_VALUE"""),"574483d1")</f>
        <v>574483d1</v>
      </c>
      <c r="BP85" s="29" t="str">
        <f ca="1">IFERROR(__xludf.DUMMYFUNCTION("""COMPUTED_VALUE"""),"Guanajuato")</f>
        <v>Guanajuato</v>
      </c>
      <c r="BQ85" s="30" t="str">
        <f ca="1">IFERROR(__xludf.DUMMYFUNCTION("""COMPUTED_VALUE"""),"Urbano")</f>
        <v>Urbano</v>
      </c>
      <c r="BR85" s="30"/>
      <c r="BS85" s="30"/>
      <c r="BT85" s="30" t="str">
        <f ca="1">IFERROR(__xludf.DUMMYFUNCTION("""COMPUTED_VALUE"""),"ZONA CENTRO")</f>
        <v>ZONA CENTRO</v>
      </c>
      <c r="BU85" s="30" t="str">
        <f ca="1">IFERROR(__xludf.DUMMYFUNCTION("""COMPUTED_VALUE"""),"No")</f>
        <v>No</v>
      </c>
      <c r="BV85" s="30" t="str">
        <f ca="1">IFERROR(__xludf.DUMMYFUNCTION("""COMPUTED_VALUE"""),"No")</f>
        <v>No</v>
      </c>
      <c r="BW85" s="30">
        <f ca="1">IFERROR(__xludf.DUMMYFUNCTION("""COMPUTED_VALUE"""),3)</f>
        <v>3</v>
      </c>
      <c r="BX85" s="30"/>
      <c r="BY85" s="30">
        <f ca="1">IFERROR(__xludf.DUMMYFUNCTION("""COMPUTED_VALUE"""),3)</f>
        <v>3</v>
      </c>
      <c r="BZ85" s="30" t="str">
        <f ca="1">IFERROR(__xludf.DUMMYFUNCTION("""COMPUTED_VALUE"""),"ZONA CENTRO")</f>
        <v>ZONA CENTRO</v>
      </c>
      <c r="CA85" s="30" t="str">
        <f ca="1">IFERROR(__xludf.DUMMYFUNCTION("""COMPUTED_VALUE"""),"No")</f>
        <v>No</v>
      </c>
      <c r="CB85" s="30" t="str">
        <f ca="1">IFERROR(__xludf.DUMMYFUNCTION("""COMPUTED_VALUE"""),"No")</f>
        <v>No</v>
      </c>
      <c r="CC85" s="30" t="str">
        <f ca="1">IFERROR(__xludf.DUMMYFUNCTION("""COMPUTED_VALUE"""),"cb631d02")</f>
        <v>cb631d02</v>
      </c>
      <c r="CD85" s="29" t="str">
        <f ca="1">IFERROR(__xludf.DUMMYFUNCTION("""COMPUTED_VALUE"""),"Adultos Mayores (60 años o más)")</f>
        <v>Adultos Mayores (60 años o más)</v>
      </c>
      <c r="CE85" s="30" t="str">
        <f ca="1">IFERROR(__xludf.DUMMYFUNCTION("""COMPUTED_VALUE"""),"Dato global")</f>
        <v>Dato global</v>
      </c>
      <c r="CF85" s="30" t="str">
        <f ca="1">IFERROR(__xludf.DUMMYFUNCTION("""COMPUTED_VALUE"""),"Ninguno (Población General)")</f>
        <v>Ninguno (Población General)</v>
      </c>
      <c r="CG85" s="30">
        <f ca="1">IFERROR(__xludf.DUMMYFUNCTION("""COMPUTED_VALUE"""),20)</f>
        <v>20</v>
      </c>
      <c r="CI85" s="30" t="str">
        <f ca="1">IFERROR(__xludf.DUMMYFUNCTION("""COMPUTED_VALUE"""),"6c60ba70")</f>
        <v>6c60ba70</v>
      </c>
      <c r="CJ85" s="29" t="str">
        <f ca="1">IFERROR(__xludf.DUMMYFUNCTION("""COMPUTED_VALUE"""),"Regitro_Evidencia_Images/6c60ba70.Archivo_Evidencia.184706.jpg")</f>
        <v>Regitro_Evidencia_Images/6c60ba70.Archivo_Evidencia.184706.jpg</v>
      </c>
      <c r="CK85" s="30" t="str">
        <f ca="1">IFERROR(__xludf.DUMMYFUNCTION("""COMPUTED_VALUE"""),"Foto")</f>
        <v>Foto</v>
      </c>
      <c r="CL85" s="30"/>
      <c r="CM85" s="30" t="str">
        <f ca="1">IFERROR(__xludf.DUMMYFUNCTION("""COMPUTED_VALUE"""),"Guanajuato")</f>
        <v>Guanajuato</v>
      </c>
      <c r="CN85" s="32" t="e">
        <f ca="1"/>
        <v>#NAME?</v>
      </c>
      <c r="CO85" s="32" t="e">
        <f ca="1"/>
        <v>#NAME?</v>
      </c>
      <c r="CP85" s="32" t="e">
        <f ca="1"/>
        <v>#NAME?</v>
      </c>
      <c r="CQ85" s="32" t="e">
        <f ca="1"/>
        <v>#NAME?</v>
      </c>
      <c r="CR85" s="30" t="e">
        <f ca="1"/>
        <v>#NAME?</v>
      </c>
      <c r="CS85" s="30" t="str">
        <f ca="1">IFERROR(__xludf.DUMMYFUNCTION("""COMPUTED_VALUE"""),"Ninguno (Población General)")</f>
        <v>Ninguno (Población General)</v>
      </c>
    </row>
    <row r="86" spans="1:97" ht="14.5">
      <c r="A86" s="29" t="str">
        <f ca="1">IFERROR(__xludf.DUMMYFUNCTION("""COMPUTED_VALUE"""),"ACT-SCKW17009")</f>
        <v>ACT-SCKW17009</v>
      </c>
      <c r="B86" s="30" t="str">
        <f ca="1">IFERROR(__xludf.DUMMYFUNCTION("""COMPUTED_VALUE"""),"SC-260622-114909")</f>
        <v>SC-260622-114909</v>
      </c>
      <c r="C86" s="62">
        <f ca="1">IFERROR(__xludf.DUMMYFUNCTION("""COMPUTED_VALUE"""),46195.4924652777)</f>
        <v>46195.492465277697</v>
      </c>
      <c r="D86" s="30">
        <f ca="1">IFERROR(__xludf.DUMMYFUNCTION("""COMPUTED_VALUE"""),92)</f>
        <v>92</v>
      </c>
      <c r="E86" s="30" t="str">
        <f ca="1">IFERROR(__xludf.DUMMYFUNCTION("""COMPUTED_VALUE"""),"PB3572")</f>
        <v>PB3572</v>
      </c>
      <c r="F8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6" s="30" t="str">
        <f ca="1">IFERROR(__xludf.DUMMYFUNCTION("""COMPUTED_VALUE"""),"SUBSECRETARÍA DE DESARROLLO Y PROMOCIÓN ARTÍSTICA Y CULTURAL")</f>
        <v>SUBSECRETARÍA DE DESARROLLO Y PROMOCIÓN ARTÍSTICA Y CULTURAL</v>
      </c>
      <c r="I86" s="34" t="str">
        <f ca="1">IFERROR(__xludf.DUMMYFUNCTION("""COMPUTED_VALUE"""),"DIRECCIÓN GENERAL DE MUSEOS, ARTES VISUALES Y EXPOSICIONES")</f>
        <v>DIRECCIÓN GENERAL DE MUSEOS, ARTES VISUALES Y EXPOSICIONES</v>
      </c>
      <c r="J86" s="30" t="str">
        <f ca="1">IFERROR(__xludf.DUMMYFUNCTION("""COMPUTED_VALUE"""),"Número de Actividades realizadas")</f>
        <v>Número de Actividades realizadas</v>
      </c>
      <c r="K86" s="30">
        <f ca="1">IFERROR(__xludf.DUMMYFUNCTION("""COMPUTED_VALUE"""),800)</f>
        <v>800</v>
      </c>
      <c r="L86" s="30" t="str">
        <f ca="1">IFERROR(__xludf.DUMMYFUNCTION("""COMPUTED_VALUE"""),"Artística")</f>
        <v>Artística</v>
      </c>
      <c r="M86" s="30" t="str">
        <f ca="1">IFERROR(__xludf.DUMMYFUNCTION("""COMPUTED_VALUE"""),"Visita guiada libre")</f>
        <v>Visita guiada libre</v>
      </c>
      <c r="N86" s="30" t="str">
        <f ca="1">IFERROR(__xludf.DUMMYFUNCTION("""COMPUTED_VALUE"""),"Recorrido guiado por el museo")</f>
        <v>Recorrido guiado por el museo</v>
      </c>
      <c r="O86" s="30" t="str">
        <f ca="1">IFERROR(__xludf.DUMMYFUNCTION("""COMPUTED_VALUE"""),"Única")</f>
        <v>Única</v>
      </c>
      <c r="P86" s="33">
        <f ca="1">IFERROR(__xludf.DUMMYFUNCTION("""COMPUTED_VALUE"""),46145)</f>
        <v>46145</v>
      </c>
      <c r="Q86" s="65">
        <f ca="1">IFERROR(__xludf.DUMMYFUNCTION("""COMPUTED_VALUE"""),46145)</f>
        <v>46145</v>
      </c>
      <c r="R86" s="30">
        <f ca="1">IFERROR(__xludf.DUMMYFUNCTION("""COMPUTED_VALUE"""),1)</f>
        <v>1</v>
      </c>
      <c r="S86" s="30" t="str">
        <f ca="1">IFERROR(__xludf.DUMMYFUNCTION("""COMPUTED_VALUE"""),"Cultura comunitaria")</f>
        <v>Cultura comunitaria</v>
      </c>
      <c r="T86" s="30" t="str">
        <f ca="1">IFERROR(__xludf.DUMMYFUNCTION("""COMPUTED_VALUE"""),"Formación comunitaria")</f>
        <v>Formación comunitaria</v>
      </c>
      <c r="U86" s="30" t="str">
        <f ca="1">IFERROR(__xludf.DUMMYFUNCTION("""COMPUTED_VALUE"""),"Visitas escolares")</f>
        <v>Visitas escolares</v>
      </c>
      <c r="V86" s="30" t="str">
        <f ca="1">IFERROR(__xludf.DUMMYFUNCTION("""COMPUTED_VALUE"""),"Ninguna")</f>
        <v>Ninguna</v>
      </c>
      <c r="W86" s="30" t="str">
        <f ca="1">IFERROR(__xludf.DUMMYFUNCTION("""COMPUTED_VALUE"""),"Presencial")</f>
        <v>Presencial</v>
      </c>
      <c r="X86" s="30" t="str">
        <f ca="1">IFERROR(__xludf.DUMMYFUNCTION("""COMPUTED_VALUE"""),"Espacio a Cargo de la Secretaría")</f>
        <v>Espacio a Cargo de la Secretaría</v>
      </c>
      <c r="Y86" s="30" t="str">
        <f ca="1">IFERROR(__xludf.DUMMYFUNCTION("""COMPUTED_VALUE"""),"1")</f>
        <v>1</v>
      </c>
      <c r="Z86" s="30"/>
      <c r="AA86" s="30"/>
      <c r="AB86" s="30" t="b">
        <f ca="1">IFERROR(__xludf.DUMMYFUNCTION("""COMPUTED_VALUE"""),FALSE)</f>
        <v>0</v>
      </c>
      <c r="AC86" s="30"/>
      <c r="AD86" s="30" t="b">
        <f ca="1">IFERROR(__xludf.DUMMYFUNCTION("""COMPUTED_VALUE"""),FALSE)</f>
        <v>0</v>
      </c>
      <c r="AE86" s="30"/>
      <c r="AF86" s="30" t="b">
        <f ca="1">IFERROR(__xludf.DUMMYFUNCTION("""COMPUTED_VALUE"""),FALSE)</f>
        <v>0</v>
      </c>
      <c r="AG86" s="30"/>
      <c r="AH86" s="30" t="str">
        <f ca="1">IFERROR(__xludf.DUMMYFUNCTION("""COMPUTED_VALUE"""),"Sin costo")</f>
        <v>Sin costo</v>
      </c>
      <c r="AI86" s="30"/>
      <c r="AJ86" s="30"/>
      <c r="AK86" s="30"/>
      <c r="AL86" s="30" t="str">
        <f ca="1">IFERROR(__xludf.DUMMYFUNCTION("""COMPUTED_VALUE"""),"ccardonav@guanajuato.gob.mx")</f>
        <v>ccardonav@guanajuato.gob.mx</v>
      </c>
      <c r="AM86" s="30" t="str">
        <f ca="1">IFERROR(__xludf.DUMMYFUNCTION("""COMPUTED_VALUE"""),"Arraigo y empoderamiento cultural de comunidades.")</f>
        <v>Arraigo y empoderamiento cultural de comunidades.</v>
      </c>
      <c r="AN86" s="30" t="str">
        <f ca="1">IFERROR(__xludf.DUMMYFUNCTION("""COMPUTED_VALUE"""),"2 Igualdad")</f>
        <v>2 Igualdad</v>
      </c>
      <c r="AO86" s="30" t="str">
        <f ca="1">IFERROR(__xludf.DUMMYFUNCTION("""COMPUTED_VALUE"""),"2.1 Protección de derechos humanos")</f>
        <v>2.1 Protección de derechos humanos</v>
      </c>
      <c r="AP86" s="30" t="str">
        <f ca="1">IFERROR(__xludf.DUMMYFUNCTION("""COMPUTED_VALUE"""),"2.1.3 Inclusión de personas con discapacidad")</f>
        <v>2.1.3 Inclusión de personas con discapacidad</v>
      </c>
      <c r="AQ86" s="30" t="str">
        <f ca="1">IFERROR(__xludf.DUMMYFUNCTION("""COMPUTED_VALUE"""),"2.1.3.2 Coordinar la incorporación progresiva de la accesibilidad universal")</f>
        <v>2.1.3.2 Coordinar la incorporación progresiva de la accesibilidad universal</v>
      </c>
      <c r="AR86" s="30" t="str">
        <f ca="1">IFERROR(__xludf.DUMMYFUNCTION("""COMPUTED_VALUE"""),"Cooperación")</f>
        <v>Cooperación</v>
      </c>
      <c r="AS86" s="30"/>
      <c r="AT86" s="30" t="str">
        <f ca="1">IFERROR(__xludf.DUMMYFUNCTION("""COMPUTED_VALUE"""),"Fortalecimiento de la participación ciudadana y la mediación cultural")</f>
        <v>Fortalecimiento de la participación ciudadana y la mediación cultural</v>
      </c>
      <c r="AU86" s="30" t="str">
        <f ca="1">IFERROR(__xludf.DUMMYFUNCTION("""COMPUTED_VALUE"""),"Impulso a la ampliación de la oferta cultural en los territorios.")</f>
        <v>Impulso a la ampliación de la oferta cultural en los territorios.</v>
      </c>
      <c r="AV8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6" s="30" t="str">
        <f ca="1">IFERROR(__xludf.DUMMYFUNCTION("""COMPUTED_VALUE"""),"Incrementar en 25% la oferta cultural realizada en los municipios.")</f>
        <v>Incrementar en 25% la oferta cultural realizada en los municipios.</v>
      </c>
      <c r="AX86" s="30" t="str">
        <f ca="1">IFERROR(__xludf.DUMMYFUNCTION("""COMPUTED_VALUE"""),"Visitas escolares")</f>
        <v>Visitas escolares</v>
      </c>
      <c r="AY86" s="30" t="str">
        <f ca="1">IFERROR(__xludf.DUMMYFUNCTION("""COMPUTED_VALUE"""),"Formación")</f>
        <v>Formación</v>
      </c>
      <c r="AZ86" s="30" t="str">
        <f ca="1">IFERROR(__xludf.DUMMYFUNCTION("""COMPUTED_VALUE"""),"Formación")</f>
        <v>Formación</v>
      </c>
      <c r="BA86" s="30"/>
      <c r="BB86" s="30"/>
      <c r="BC86" s="30">
        <f ca="1">IFERROR(__xludf.DUMMYFUNCTION("""COMPUTED_VALUE"""),0)</f>
        <v>0</v>
      </c>
      <c r="BD86" s="30"/>
      <c r="BE86" s="30"/>
      <c r="BF86" s="30" t="b">
        <f ca="1">IFERROR(__xludf.DUMMYFUNCTION("""COMPUTED_VALUE"""),FALSE)</f>
        <v>0</v>
      </c>
      <c r="BG86" s="30"/>
      <c r="BH86" s="30"/>
      <c r="BI86" s="30"/>
      <c r="BJ86" s="30"/>
      <c r="BK86" s="30"/>
      <c r="BL86" s="30"/>
      <c r="BM86" s="30" t="str">
        <f ca="1">IFERROR(__xludf.DUMMYFUNCTION("""COMPUTED_VALUE"""),"No")</f>
        <v>No</v>
      </c>
      <c r="BN86" s="30"/>
      <c r="BO86" s="30" t="str">
        <f ca="1">IFERROR(__xludf.DUMMYFUNCTION("""COMPUTED_VALUE"""),"47e3da24")</f>
        <v>47e3da24</v>
      </c>
      <c r="BP86" s="29" t="str">
        <f ca="1">IFERROR(__xludf.DUMMYFUNCTION("""COMPUTED_VALUE"""),"Guanajuato")</f>
        <v>Guanajuato</v>
      </c>
      <c r="BQ86" s="30" t="str">
        <f ca="1">IFERROR(__xludf.DUMMYFUNCTION("""COMPUTED_VALUE"""),"Urbano")</f>
        <v>Urbano</v>
      </c>
      <c r="BR86" s="30"/>
      <c r="BS86" s="30"/>
      <c r="BT86" s="30"/>
      <c r="BU86" s="30" t="str">
        <f ca="1">IFERROR(__xludf.DUMMYFUNCTION("""COMPUTED_VALUE"""),"No")</f>
        <v>No</v>
      </c>
      <c r="BV86" s="30" t="str">
        <f ca="1">IFERROR(__xludf.DUMMYFUNCTION("""COMPUTED_VALUE"""),"No")</f>
        <v>No</v>
      </c>
      <c r="BW86" s="30">
        <f ca="1">IFERROR(__xludf.DUMMYFUNCTION("""COMPUTED_VALUE"""),2)</f>
        <v>2</v>
      </c>
      <c r="BX86" s="30"/>
      <c r="BY86" s="30">
        <f ca="1">IFERROR(__xludf.DUMMYFUNCTION("""COMPUTED_VALUE"""),2)</f>
        <v>2</v>
      </c>
      <c r="BZ86" s="30"/>
      <c r="CA86" s="30" t="str">
        <f ca="1">IFERROR(__xludf.DUMMYFUNCTION("""COMPUTED_VALUE"""),"No")</f>
        <v>No</v>
      </c>
      <c r="CB86" s="30" t="str">
        <f ca="1">IFERROR(__xludf.DUMMYFUNCTION("""COMPUTED_VALUE"""),"No")</f>
        <v>No</v>
      </c>
      <c r="CC86" s="30" t="str">
        <f ca="1">IFERROR(__xludf.DUMMYFUNCTION("""COMPUTED_VALUE"""),"8b0e95b6")</f>
        <v>8b0e95b6</v>
      </c>
      <c r="CD86" s="29" t="str">
        <f ca="1">IFERROR(__xludf.DUMMYFUNCTION("""COMPUTED_VALUE"""),"Jóvenes (18 a 29 años)")</f>
        <v>Jóvenes (18 a 29 años)</v>
      </c>
      <c r="CE86" s="30" t="str">
        <f ca="1">IFERROR(__xludf.DUMMYFUNCTION("""COMPUTED_VALUE"""),"Dato global")</f>
        <v>Dato global</v>
      </c>
      <c r="CF86" s="30" t="str">
        <f ca="1">IFERROR(__xludf.DUMMYFUNCTION("""COMPUTED_VALUE"""),"Ninguno (Población General)")</f>
        <v>Ninguno (Población General)</v>
      </c>
      <c r="CG86" s="30">
        <f ca="1">IFERROR(__xludf.DUMMYFUNCTION("""COMPUTED_VALUE"""),50)</f>
        <v>50</v>
      </c>
      <c r="CI86" s="30" t="str">
        <f ca="1">IFERROR(__xludf.DUMMYFUNCTION("""COMPUTED_VALUE"""),"69ab7302")</f>
        <v>69ab7302</v>
      </c>
      <c r="CJ86" s="29" t="str">
        <f ca="1">IFERROR(__xludf.DUMMYFUNCTION("""COMPUTED_VALUE"""),"Regitro_Evidencia_Images/69ab7302.Archivo_Evidencia.201950.jpg")</f>
        <v>Regitro_Evidencia_Images/69ab7302.Archivo_Evidencia.201950.jpg</v>
      </c>
      <c r="CK86" s="30" t="str">
        <f ca="1">IFERROR(__xludf.DUMMYFUNCTION("""COMPUTED_VALUE"""),"Foto")</f>
        <v>Foto</v>
      </c>
      <c r="CL86" s="30"/>
      <c r="CM86" s="30" t="str">
        <f ca="1">IFERROR(__xludf.DUMMYFUNCTION("""COMPUTED_VALUE"""),"Guanajuato")</f>
        <v>Guanajuato</v>
      </c>
      <c r="CN86" s="32" t="e">
        <f ca="1"/>
        <v>#NAME?</v>
      </c>
      <c r="CO86" s="32" t="e">
        <f ca="1"/>
        <v>#NAME?</v>
      </c>
      <c r="CP86" s="32" t="e">
        <f ca="1"/>
        <v>#NAME?</v>
      </c>
      <c r="CQ86" s="32" t="e">
        <f ca="1"/>
        <v>#NAME?</v>
      </c>
      <c r="CR86" s="30" t="e">
        <f ca="1"/>
        <v>#NAME?</v>
      </c>
      <c r="CS86" s="30" t="str">
        <f ca="1">IFERROR(__xludf.DUMMYFUNCTION("""COMPUTED_VALUE"""),"Ninguno (Población General)")</f>
        <v>Ninguno (Población General)</v>
      </c>
    </row>
    <row r="87" spans="1:97" ht="14.5">
      <c r="A87" s="29" t="str">
        <f ca="1">IFERROR(__xludf.DUMMYFUNCTION("""COMPUTED_VALUE"""),"ACT-SCXT69671")</f>
        <v>ACT-SCXT69671</v>
      </c>
      <c r="B87" s="30" t="str">
        <f ca="1">IFERROR(__xludf.DUMMYFUNCTION("""COMPUTED_VALUE"""),"SC-260622-115232")</f>
        <v>SC-260622-115232</v>
      </c>
      <c r="C87" s="62">
        <f ca="1">IFERROR(__xludf.DUMMYFUNCTION("""COMPUTED_VALUE"""),46195.4948148148)</f>
        <v>46195.494814814803</v>
      </c>
      <c r="D87" s="30">
        <f ca="1">IFERROR(__xludf.DUMMYFUNCTION("""COMPUTED_VALUE"""),92)</f>
        <v>92</v>
      </c>
      <c r="E87" s="30" t="str">
        <f ca="1">IFERROR(__xludf.DUMMYFUNCTION("""COMPUTED_VALUE"""),"PB3572")</f>
        <v>PB3572</v>
      </c>
      <c r="F8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7" s="30" t="str">
        <f ca="1">IFERROR(__xludf.DUMMYFUNCTION("""COMPUTED_VALUE"""),"SUBSECRETARÍA DE DESARROLLO Y PROMOCIÓN ARTÍSTICA Y CULTURAL")</f>
        <v>SUBSECRETARÍA DE DESARROLLO Y PROMOCIÓN ARTÍSTICA Y CULTURAL</v>
      </c>
      <c r="I87" s="34" t="str">
        <f ca="1">IFERROR(__xludf.DUMMYFUNCTION("""COMPUTED_VALUE"""),"DIRECCIÓN GENERAL DE MUSEOS, ARTES VISUALES Y EXPOSICIONES")</f>
        <v>DIRECCIÓN GENERAL DE MUSEOS, ARTES VISUALES Y EXPOSICIONES</v>
      </c>
      <c r="J87" s="30" t="str">
        <f ca="1">IFERROR(__xludf.DUMMYFUNCTION("""COMPUTED_VALUE"""),"Número de Actividades realizadas")</f>
        <v>Número de Actividades realizadas</v>
      </c>
      <c r="K87" s="30">
        <f ca="1">IFERROR(__xludf.DUMMYFUNCTION("""COMPUTED_VALUE"""),800)</f>
        <v>800</v>
      </c>
      <c r="L87" s="30" t="str">
        <f ca="1">IFERROR(__xludf.DUMMYFUNCTION("""COMPUTED_VALUE"""),"Artística")</f>
        <v>Artística</v>
      </c>
      <c r="M87" s="30" t="str">
        <f ca="1">IFERROR(__xludf.DUMMYFUNCTION("""COMPUTED_VALUE"""),"Visita guiada libre")</f>
        <v>Visita guiada libre</v>
      </c>
      <c r="N87" s="30" t="str">
        <f ca="1">IFERROR(__xludf.DUMMYFUNCTION("""COMPUTED_VALUE"""),"Recorrido guiado por el museo")</f>
        <v>Recorrido guiado por el museo</v>
      </c>
      <c r="O87" s="30" t="str">
        <f ca="1">IFERROR(__xludf.DUMMYFUNCTION("""COMPUTED_VALUE"""),"Única")</f>
        <v>Única</v>
      </c>
      <c r="P87" s="33">
        <f ca="1">IFERROR(__xludf.DUMMYFUNCTION("""COMPUTED_VALUE"""),46195)</f>
        <v>46195</v>
      </c>
      <c r="Q87" s="65">
        <f ca="1">IFERROR(__xludf.DUMMYFUNCTION("""COMPUTED_VALUE"""),46195)</f>
        <v>46195</v>
      </c>
      <c r="R87" s="30">
        <f ca="1">IFERROR(__xludf.DUMMYFUNCTION("""COMPUTED_VALUE"""),1)</f>
        <v>1</v>
      </c>
      <c r="S87" s="30" t="str">
        <f ca="1">IFERROR(__xludf.DUMMYFUNCTION("""COMPUTED_VALUE"""),"Cultura comunitaria")</f>
        <v>Cultura comunitaria</v>
      </c>
      <c r="T87" s="30" t="str">
        <f ca="1">IFERROR(__xludf.DUMMYFUNCTION("""COMPUTED_VALUE"""),"Formación comunitaria")</f>
        <v>Formación comunitaria</v>
      </c>
      <c r="U87" s="30" t="str">
        <f ca="1">IFERROR(__xludf.DUMMYFUNCTION("""COMPUTED_VALUE"""),"Visitas escolares")</f>
        <v>Visitas escolares</v>
      </c>
      <c r="V87" s="30" t="str">
        <f ca="1">IFERROR(__xludf.DUMMYFUNCTION("""COMPUTED_VALUE"""),"Ninguna")</f>
        <v>Ninguna</v>
      </c>
      <c r="W87" s="30" t="str">
        <f ca="1">IFERROR(__xludf.DUMMYFUNCTION("""COMPUTED_VALUE"""),"Presencial")</f>
        <v>Presencial</v>
      </c>
      <c r="X87" s="30" t="str">
        <f ca="1">IFERROR(__xludf.DUMMYFUNCTION("""COMPUTED_VALUE"""),"Espacio a Cargo de la Secretaría")</f>
        <v>Espacio a Cargo de la Secretaría</v>
      </c>
      <c r="Y87" s="30" t="str">
        <f ca="1">IFERROR(__xludf.DUMMYFUNCTION("""COMPUTED_VALUE"""),"1")</f>
        <v>1</v>
      </c>
      <c r="Z87" s="30"/>
      <c r="AA87" s="30"/>
      <c r="AB87" s="30" t="b">
        <f ca="1">IFERROR(__xludf.DUMMYFUNCTION("""COMPUTED_VALUE"""),FALSE)</f>
        <v>0</v>
      </c>
      <c r="AC87" s="30"/>
      <c r="AD87" s="30" t="b">
        <f ca="1">IFERROR(__xludf.DUMMYFUNCTION("""COMPUTED_VALUE"""),FALSE)</f>
        <v>0</v>
      </c>
      <c r="AE87" s="30"/>
      <c r="AF87" s="30" t="b">
        <f ca="1">IFERROR(__xludf.DUMMYFUNCTION("""COMPUTED_VALUE"""),FALSE)</f>
        <v>0</v>
      </c>
      <c r="AG87" s="30"/>
      <c r="AH87" s="30" t="str">
        <f ca="1">IFERROR(__xludf.DUMMYFUNCTION("""COMPUTED_VALUE"""),"Sin costo")</f>
        <v>Sin costo</v>
      </c>
      <c r="AI87" s="30"/>
      <c r="AJ87" s="30"/>
      <c r="AK87" s="30"/>
      <c r="AL87" s="30" t="str">
        <f ca="1">IFERROR(__xludf.DUMMYFUNCTION("""COMPUTED_VALUE"""),"ccardonav@guanajuato.gob.mx")</f>
        <v>ccardonav@guanajuato.gob.mx</v>
      </c>
      <c r="AM87" s="30" t="str">
        <f ca="1">IFERROR(__xludf.DUMMYFUNCTION("""COMPUTED_VALUE"""),"Arraigo y empoderamiento cultural de comunidades.")</f>
        <v>Arraigo y empoderamiento cultural de comunidades.</v>
      </c>
      <c r="AN87" s="30" t="str">
        <f ca="1">IFERROR(__xludf.DUMMYFUNCTION("""COMPUTED_VALUE"""),"2 Igualdad")</f>
        <v>2 Igualdad</v>
      </c>
      <c r="AO87" s="30" t="str">
        <f ca="1">IFERROR(__xludf.DUMMYFUNCTION("""COMPUTED_VALUE"""),"2.1 Protección de derechos humanos")</f>
        <v>2.1 Protección de derechos humanos</v>
      </c>
      <c r="AP87" s="30" t="str">
        <f ca="1">IFERROR(__xludf.DUMMYFUNCTION("""COMPUTED_VALUE"""),"2.1.3 Inclusión de personas con discapacidad")</f>
        <v>2.1.3 Inclusión de personas con discapacidad</v>
      </c>
      <c r="AQ87" s="30" t="str">
        <f ca="1">IFERROR(__xludf.DUMMYFUNCTION("""COMPUTED_VALUE"""),"2.1.3.2 Coordinar la incorporación progresiva de la accesibilidad universal")</f>
        <v>2.1.3.2 Coordinar la incorporación progresiva de la accesibilidad universal</v>
      </c>
      <c r="AR87" s="30" t="str">
        <f ca="1">IFERROR(__xludf.DUMMYFUNCTION("""COMPUTED_VALUE"""),"Cooperación")</f>
        <v>Cooperación</v>
      </c>
      <c r="AS87" s="30"/>
      <c r="AT87" s="30" t="str">
        <f ca="1">IFERROR(__xludf.DUMMYFUNCTION("""COMPUTED_VALUE"""),"Fortalecimiento de la participación ciudadana y la mediación cultural")</f>
        <v>Fortalecimiento de la participación ciudadana y la mediación cultural</v>
      </c>
      <c r="AU87" s="30" t="str">
        <f ca="1">IFERROR(__xludf.DUMMYFUNCTION("""COMPUTED_VALUE"""),"Impulso a la ampliación de la oferta cultural en los territorios.")</f>
        <v>Impulso a la ampliación de la oferta cultural en los territorios.</v>
      </c>
      <c r="AV8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7" s="30" t="str">
        <f ca="1">IFERROR(__xludf.DUMMYFUNCTION("""COMPUTED_VALUE"""),"Incrementar en 25% la oferta cultural realizada en los municipios.")</f>
        <v>Incrementar en 25% la oferta cultural realizada en los municipios.</v>
      </c>
      <c r="AX87" s="30" t="str">
        <f ca="1">IFERROR(__xludf.DUMMYFUNCTION("""COMPUTED_VALUE"""),"Visitas escolares")</f>
        <v>Visitas escolares</v>
      </c>
      <c r="AY87" s="30" t="str">
        <f ca="1">IFERROR(__xludf.DUMMYFUNCTION("""COMPUTED_VALUE"""),"Formación")</f>
        <v>Formación</v>
      </c>
      <c r="AZ87" s="30" t="str">
        <f ca="1">IFERROR(__xludf.DUMMYFUNCTION("""COMPUTED_VALUE"""),"Formación")</f>
        <v>Formación</v>
      </c>
      <c r="BA87" s="30"/>
      <c r="BB87" s="30"/>
      <c r="BC87" s="30">
        <f ca="1">IFERROR(__xludf.DUMMYFUNCTION("""COMPUTED_VALUE"""),0)</f>
        <v>0</v>
      </c>
      <c r="BD87" s="30"/>
      <c r="BE87" s="30"/>
      <c r="BF87" s="30" t="b">
        <f ca="1">IFERROR(__xludf.DUMMYFUNCTION("""COMPUTED_VALUE"""),FALSE)</f>
        <v>0</v>
      </c>
      <c r="BG87" s="30"/>
      <c r="BH87" s="30"/>
      <c r="BI87" s="30"/>
      <c r="BJ87" s="30"/>
      <c r="BK87" s="30"/>
      <c r="BL87" s="30"/>
      <c r="BM87" s="30" t="str">
        <f ca="1">IFERROR(__xludf.DUMMYFUNCTION("""COMPUTED_VALUE"""),"No")</f>
        <v>No</v>
      </c>
      <c r="BN87" s="30"/>
      <c r="BO87" s="30" t="str">
        <f ca="1">IFERROR(__xludf.DUMMYFUNCTION("""COMPUTED_VALUE"""),"fc3409ac")</f>
        <v>fc3409ac</v>
      </c>
      <c r="BP87" s="29" t="str">
        <f ca="1">IFERROR(__xludf.DUMMYFUNCTION("""COMPUTED_VALUE"""),"Guanajuato")</f>
        <v>Guanajuato</v>
      </c>
      <c r="BQ87" s="30" t="str">
        <f ca="1">IFERROR(__xludf.DUMMYFUNCTION("""COMPUTED_VALUE"""),"Urbano")</f>
        <v>Urbano</v>
      </c>
      <c r="BR87" s="30"/>
      <c r="BS87" s="30"/>
      <c r="BT87" s="30"/>
      <c r="BU87" s="30" t="str">
        <f ca="1">IFERROR(__xludf.DUMMYFUNCTION("""COMPUTED_VALUE"""),"No")</f>
        <v>No</v>
      </c>
      <c r="BV87" s="30" t="str">
        <f ca="1">IFERROR(__xludf.DUMMYFUNCTION("""COMPUTED_VALUE"""),"No")</f>
        <v>No</v>
      </c>
      <c r="BW87" s="30">
        <f ca="1">IFERROR(__xludf.DUMMYFUNCTION("""COMPUTED_VALUE"""),2)</f>
        <v>2</v>
      </c>
      <c r="BX87" s="30"/>
      <c r="BY87" s="30">
        <f ca="1">IFERROR(__xludf.DUMMYFUNCTION("""COMPUTED_VALUE"""),2)</f>
        <v>2</v>
      </c>
      <c r="BZ87" s="30"/>
      <c r="CA87" s="30" t="str">
        <f ca="1">IFERROR(__xludf.DUMMYFUNCTION("""COMPUTED_VALUE"""),"No")</f>
        <v>No</v>
      </c>
      <c r="CB87" s="30" t="str">
        <f ca="1">IFERROR(__xludf.DUMMYFUNCTION("""COMPUTED_VALUE"""),"No")</f>
        <v>No</v>
      </c>
      <c r="CC87" s="30" t="str">
        <f ca="1">IFERROR(__xludf.DUMMYFUNCTION("""COMPUTED_VALUE"""),"80c8d659")</f>
        <v>80c8d659</v>
      </c>
      <c r="CD87" s="29" t="str">
        <f ca="1">IFERROR(__xludf.DUMMYFUNCTION("""COMPUTED_VALUE"""),"Jóvenes (18 a 29 años)")</f>
        <v>Jóvenes (18 a 29 años)</v>
      </c>
      <c r="CE87" s="30" t="str">
        <f ca="1">IFERROR(__xludf.DUMMYFUNCTION("""COMPUTED_VALUE"""),"Dato global")</f>
        <v>Dato global</v>
      </c>
      <c r="CF87" s="30" t="str">
        <f ca="1">IFERROR(__xludf.DUMMYFUNCTION("""COMPUTED_VALUE"""),"Ninguno (Población General)")</f>
        <v>Ninguno (Población General)</v>
      </c>
      <c r="CG87" s="30">
        <f ca="1">IFERROR(__xludf.DUMMYFUNCTION("""COMPUTED_VALUE"""),125)</f>
        <v>125</v>
      </c>
      <c r="CI87" s="30" t="str">
        <f ca="1">IFERROR(__xludf.DUMMYFUNCTION("""COMPUTED_VALUE"""),"9de2958c")</f>
        <v>9de2958c</v>
      </c>
      <c r="CJ87" s="29" t="str">
        <f ca="1">IFERROR(__xludf.DUMMYFUNCTION("""COMPUTED_VALUE"""),"Regitro_Evidencia_Images/9de2958c.Archivo_Evidencia.211414.jpg")</f>
        <v>Regitro_Evidencia_Images/9de2958c.Archivo_Evidencia.211414.jpg</v>
      </c>
      <c r="CK87" s="30" t="str">
        <f ca="1">IFERROR(__xludf.DUMMYFUNCTION("""COMPUTED_VALUE"""),"Foto")</f>
        <v>Foto</v>
      </c>
      <c r="CL87" s="30"/>
      <c r="CM87" s="30" t="str">
        <f ca="1">IFERROR(__xludf.DUMMYFUNCTION("""COMPUTED_VALUE"""),"Guanajuato")</f>
        <v>Guanajuato</v>
      </c>
      <c r="CN87" s="32" t="e">
        <f ca="1"/>
        <v>#NAME?</v>
      </c>
      <c r="CO87" s="32" t="e">
        <f ca="1"/>
        <v>#NAME?</v>
      </c>
      <c r="CP87" s="32" t="e">
        <f ca="1"/>
        <v>#NAME?</v>
      </c>
      <c r="CQ87" s="32" t="e">
        <f ca="1"/>
        <v>#NAME?</v>
      </c>
      <c r="CR87" s="30" t="e">
        <f ca="1"/>
        <v>#NAME?</v>
      </c>
      <c r="CS87" s="30" t="str">
        <f ca="1">IFERROR(__xludf.DUMMYFUNCTION("""COMPUTED_VALUE"""),"Ninguno (Población General)")</f>
        <v>Ninguno (Población General)</v>
      </c>
    </row>
    <row r="88" spans="1:97" ht="14.5">
      <c r="A88" s="29" t="str">
        <f ca="1">IFERROR(__xludf.DUMMYFUNCTION("""COMPUTED_VALUE"""),"ACT-SCCB66394")</f>
        <v>ACT-SCCB66394</v>
      </c>
      <c r="B88" s="30" t="str">
        <f ca="1">IFERROR(__xludf.DUMMYFUNCTION("""COMPUTED_VALUE"""),"SC-260622-115601")</f>
        <v>SC-260622-115601</v>
      </c>
      <c r="C88" s="62">
        <f ca="1">IFERROR(__xludf.DUMMYFUNCTION("""COMPUTED_VALUE"""),46195.4972337963)</f>
        <v>46195.497233796297</v>
      </c>
      <c r="D88" s="30">
        <f ca="1">IFERROR(__xludf.DUMMYFUNCTION("""COMPUTED_VALUE"""),92)</f>
        <v>92</v>
      </c>
      <c r="E88" s="30" t="str">
        <f ca="1">IFERROR(__xludf.DUMMYFUNCTION("""COMPUTED_VALUE"""),"PB3572")</f>
        <v>PB3572</v>
      </c>
      <c r="F8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8" s="30" t="str">
        <f ca="1">IFERROR(__xludf.DUMMYFUNCTION("""COMPUTED_VALUE"""),"SUBSECRETARÍA DE DESARROLLO Y PROMOCIÓN ARTÍSTICA Y CULTURAL")</f>
        <v>SUBSECRETARÍA DE DESARROLLO Y PROMOCIÓN ARTÍSTICA Y CULTURAL</v>
      </c>
      <c r="I88" s="34" t="str">
        <f ca="1">IFERROR(__xludf.DUMMYFUNCTION("""COMPUTED_VALUE"""),"DIRECCIÓN GENERAL DE MUSEOS, ARTES VISUALES Y EXPOSICIONES")</f>
        <v>DIRECCIÓN GENERAL DE MUSEOS, ARTES VISUALES Y EXPOSICIONES</v>
      </c>
      <c r="J88" s="30" t="str">
        <f ca="1">IFERROR(__xludf.DUMMYFUNCTION("""COMPUTED_VALUE"""),"Número de Actividades realizadas")</f>
        <v>Número de Actividades realizadas</v>
      </c>
      <c r="K88" s="30">
        <f ca="1">IFERROR(__xludf.DUMMYFUNCTION("""COMPUTED_VALUE"""),800)</f>
        <v>800</v>
      </c>
      <c r="L88" s="30" t="str">
        <f ca="1">IFERROR(__xludf.DUMMYFUNCTION("""COMPUTED_VALUE"""),"Artística")</f>
        <v>Artística</v>
      </c>
      <c r="M88" s="30" t="str">
        <f ca="1">IFERROR(__xludf.DUMMYFUNCTION("""COMPUTED_VALUE"""),"Visita guiada libre")</f>
        <v>Visita guiada libre</v>
      </c>
      <c r="N88" s="30" t="str">
        <f ca="1">IFERROR(__xludf.DUMMYFUNCTION("""COMPUTED_VALUE"""),"Recorrido guiado por el museo")</f>
        <v>Recorrido guiado por el museo</v>
      </c>
      <c r="O88" s="30" t="str">
        <f ca="1">IFERROR(__xludf.DUMMYFUNCTION("""COMPUTED_VALUE"""),"Única")</f>
        <v>Única</v>
      </c>
      <c r="P88" s="33">
        <f ca="1">IFERROR(__xludf.DUMMYFUNCTION("""COMPUTED_VALUE"""),46169)</f>
        <v>46169</v>
      </c>
      <c r="Q88" s="65">
        <f ca="1">IFERROR(__xludf.DUMMYFUNCTION("""COMPUTED_VALUE"""),46169)</f>
        <v>46169</v>
      </c>
      <c r="R88" s="30">
        <f ca="1">IFERROR(__xludf.DUMMYFUNCTION("""COMPUTED_VALUE"""),1)</f>
        <v>1</v>
      </c>
      <c r="S88" s="30" t="str">
        <f ca="1">IFERROR(__xludf.DUMMYFUNCTION("""COMPUTED_VALUE"""),"Cultura comunitaria")</f>
        <v>Cultura comunitaria</v>
      </c>
      <c r="T88" s="30" t="str">
        <f ca="1">IFERROR(__xludf.DUMMYFUNCTION("""COMPUTED_VALUE"""),"Formación comunitaria")</f>
        <v>Formación comunitaria</v>
      </c>
      <c r="U88" s="30" t="str">
        <f ca="1">IFERROR(__xludf.DUMMYFUNCTION("""COMPUTED_VALUE"""),"Visitas escolares")</f>
        <v>Visitas escolares</v>
      </c>
      <c r="V88" s="30" t="str">
        <f ca="1">IFERROR(__xludf.DUMMYFUNCTION("""COMPUTED_VALUE"""),"Ninguna")</f>
        <v>Ninguna</v>
      </c>
      <c r="W88" s="30" t="str">
        <f ca="1">IFERROR(__xludf.DUMMYFUNCTION("""COMPUTED_VALUE"""),"Presencial")</f>
        <v>Presencial</v>
      </c>
      <c r="X88" s="30" t="str">
        <f ca="1">IFERROR(__xludf.DUMMYFUNCTION("""COMPUTED_VALUE"""),"Espacio a Cargo de la Secretaría")</f>
        <v>Espacio a Cargo de la Secretaría</v>
      </c>
      <c r="Y88" s="30" t="str">
        <f ca="1">IFERROR(__xludf.DUMMYFUNCTION("""COMPUTED_VALUE"""),"1")</f>
        <v>1</v>
      </c>
      <c r="Z88" s="30"/>
      <c r="AA88" s="30"/>
      <c r="AB88" s="30" t="b">
        <f ca="1">IFERROR(__xludf.DUMMYFUNCTION("""COMPUTED_VALUE"""),FALSE)</f>
        <v>0</v>
      </c>
      <c r="AC88" s="30"/>
      <c r="AD88" s="30" t="b">
        <f ca="1">IFERROR(__xludf.DUMMYFUNCTION("""COMPUTED_VALUE"""),FALSE)</f>
        <v>0</v>
      </c>
      <c r="AE88" s="30"/>
      <c r="AF88" s="30" t="b">
        <f ca="1">IFERROR(__xludf.DUMMYFUNCTION("""COMPUTED_VALUE"""),FALSE)</f>
        <v>0</v>
      </c>
      <c r="AG88" s="30"/>
      <c r="AH88" s="30" t="str">
        <f ca="1">IFERROR(__xludf.DUMMYFUNCTION("""COMPUTED_VALUE"""),"Sin costo")</f>
        <v>Sin costo</v>
      </c>
      <c r="AI88" s="30"/>
      <c r="AJ88" s="30"/>
      <c r="AK88" s="30"/>
      <c r="AL88" s="30" t="str">
        <f ca="1">IFERROR(__xludf.DUMMYFUNCTION("""COMPUTED_VALUE"""),"ccardonav@guanajuato.gob.mx")</f>
        <v>ccardonav@guanajuato.gob.mx</v>
      </c>
      <c r="AM88" s="30" t="str">
        <f ca="1">IFERROR(__xludf.DUMMYFUNCTION("""COMPUTED_VALUE"""),"Arraigo y empoderamiento cultural de comunidades.")</f>
        <v>Arraigo y empoderamiento cultural de comunidades.</v>
      </c>
      <c r="AN88" s="30" t="str">
        <f ca="1">IFERROR(__xludf.DUMMYFUNCTION("""COMPUTED_VALUE"""),"2 Igualdad")</f>
        <v>2 Igualdad</v>
      </c>
      <c r="AO88" s="30" t="str">
        <f ca="1">IFERROR(__xludf.DUMMYFUNCTION("""COMPUTED_VALUE"""),"2.1 Protección de derechos humanos")</f>
        <v>2.1 Protección de derechos humanos</v>
      </c>
      <c r="AP88" s="30" t="str">
        <f ca="1">IFERROR(__xludf.DUMMYFUNCTION("""COMPUTED_VALUE"""),"2.1.3 Inclusión de personas con discapacidad")</f>
        <v>2.1.3 Inclusión de personas con discapacidad</v>
      </c>
      <c r="AQ88" s="30" t="str">
        <f ca="1">IFERROR(__xludf.DUMMYFUNCTION("""COMPUTED_VALUE"""),"2.1.3.2 Coordinar la incorporación progresiva de la accesibilidad universal")</f>
        <v>2.1.3.2 Coordinar la incorporación progresiva de la accesibilidad universal</v>
      </c>
      <c r="AR88" s="30" t="str">
        <f ca="1">IFERROR(__xludf.DUMMYFUNCTION("""COMPUTED_VALUE"""),"Cooperación")</f>
        <v>Cooperación</v>
      </c>
      <c r="AS88" s="30"/>
      <c r="AT88" s="30" t="str">
        <f ca="1">IFERROR(__xludf.DUMMYFUNCTION("""COMPUTED_VALUE"""),"Fortalecimiento de la participación ciudadana y la mediación cultural")</f>
        <v>Fortalecimiento de la participación ciudadana y la mediación cultural</v>
      </c>
      <c r="AU88" s="30" t="str">
        <f ca="1">IFERROR(__xludf.DUMMYFUNCTION("""COMPUTED_VALUE"""),"Impulso a la ampliación de la oferta cultural en los territorios.")</f>
        <v>Impulso a la ampliación de la oferta cultural en los territorios.</v>
      </c>
      <c r="AV8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8" s="30" t="str">
        <f ca="1">IFERROR(__xludf.DUMMYFUNCTION("""COMPUTED_VALUE"""),"Incrementar en 25% la oferta cultural realizada en los municipios.")</f>
        <v>Incrementar en 25% la oferta cultural realizada en los municipios.</v>
      </c>
      <c r="AX88" s="30" t="str">
        <f ca="1">IFERROR(__xludf.DUMMYFUNCTION("""COMPUTED_VALUE"""),"Visitas escolares")</f>
        <v>Visitas escolares</v>
      </c>
      <c r="AY88" s="30" t="str">
        <f ca="1">IFERROR(__xludf.DUMMYFUNCTION("""COMPUTED_VALUE"""),"Formación")</f>
        <v>Formación</v>
      </c>
      <c r="AZ88" s="30"/>
      <c r="BA88" s="30"/>
      <c r="BB88" s="30"/>
      <c r="BC88" s="30">
        <f ca="1">IFERROR(__xludf.DUMMYFUNCTION("""COMPUTED_VALUE"""),0)</f>
        <v>0</v>
      </c>
      <c r="BD88" s="30"/>
      <c r="BE88" s="30"/>
      <c r="BF88" s="30" t="b">
        <f ca="1">IFERROR(__xludf.DUMMYFUNCTION("""COMPUTED_VALUE"""),FALSE)</f>
        <v>0</v>
      </c>
      <c r="BG88" s="30"/>
      <c r="BH88" s="30"/>
      <c r="BI88" s="30"/>
      <c r="BJ88" s="30"/>
      <c r="BK88" s="30"/>
      <c r="BL88" s="30"/>
      <c r="BM88" s="30" t="str">
        <f ca="1">IFERROR(__xludf.DUMMYFUNCTION("""COMPUTED_VALUE"""),"No")</f>
        <v>No</v>
      </c>
      <c r="BN88" s="30"/>
      <c r="BO88" s="30" t="str">
        <f ca="1">IFERROR(__xludf.DUMMYFUNCTION("""COMPUTED_VALUE"""),"99a1872c")</f>
        <v>99a1872c</v>
      </c>
      <c r="BP88" s="29" t="str">
        <f ca="1">IFERROR(__xludf.DUMMYFUNCTION("""COMPUTED_VALUE"""),"Guanajuato")</f>
        <v>Guanajuato</v>
      </c>
      <c r="BQ88" s="30" t="str">
        <f ca="1">IFERROR(__xludf.DUMMYFUNCTION("""COMPUTED_VALUE"""),"Urbano")</f>
        <v>Urbano</v>
      </c>
      <c r="BR88" s="30"/>
      <c r="BS88" s="30"/>
      <c r="BT88" s="30"/>
      <c r="BU88" s="30" t="str">
        <f ca="1">IFERROR(__xludf.DUMMYFUNCTION("""COMPUTED_VALUE"""),"No")</f>
        <v>No</v>
      </c>
      <c r="BV88" s="30" t="str">
        <f ca="1">IFERROR(__xludf.DUMMYFUNCTION("""COMPUTED_VALUE"""),"No")</f>
        <v>No</v>
      </c>
      <c r="BW88" s="30">
        <f ca="1">IFERROR(__xludf.DUMMYFUNCTION("""COMPUTED_VALUE"""),2)</f>
        <v>2</v>
      </c>
      <c r="BX88" s="30"/>
      <c r="BY88" s="30">
        <f ca="1">IFERROR(__xludf.DUMMYFUNCTION("""COMPUTED_VALUE"""),2)</f>
        <v>2</v>
      </c>
      <c r="BZ88" s="30"/>
      <c r="CA88" s="30" t="str">
        <f ca="1">IFERROR(__xludf.DUMMYFUNCTION("""COMPUTED_VALUE"""),"No")</f>
        <v>No</v>
      </c>
      <c r="CB88" s="30" t="str">
        <f ca="1">IFERROR(__xludf.DUMMYFUNCTION("""COMPUTED_VALUE"""),"No")</f>
        <v>No</v>
      </c>
      <c r="CC88" s="30" t="str">
        <f ca="1">IFERROR(__xludf.DUMMYFUNCTION("""COMPUTED_VALUE"""),"a3f6bfe0")</f>
        <v>a3f6bfe0</v>
      </c>
      <c r="CD88" s="29" t="str">
        <f ca="1">IFERROR(__xludf.DUMMYFUNCTION("""COMPUTED_VALUE"""),"Adultos (30 a 59 años)")</f>
        <v>Adultos (30 a 59 años)</v>
      </c>
      <c r="CE88" s="30" t="str">
        <f ca="1">IFERROR(__xludf.DUMMYFUNCTION("""COMPUTED_VALUE"""),"Dato global")</f>
        <v>Dato global</v>
      </c>
      <c r="CF88" s="30" t="str">
        <f ca="1">IFERROR(__xludf.DUMMYFUNCTION("""COMPUTED_VALUE"""),"Ninguno (Población General)")</f>
        <v>Ninguno (Población General)</v>
      </c>
      <c r="CG88" s="30">
        <f ca="1">IFERROR(__xludf.DUMMYFUNCTION("""COMPUTED_VALUE"""),125)</f>
        <v>125</v>
      </c>
      <c r="CI88" s="30" t="str">
        <f ca="1">IFERROR(__xludf.DUMMYFUNCTION("""COMPUTED_VALUE"""),"9bcb0b57")</f>
        <v>9bcb0b57</v>
      </c>
      <c r="CJ88" s="29" t="str">
        <f ca="1">IFERROR(__xludf.DUMMYFUNCTION("""COMPUTED_VALUE"""),"Regitro_Evidencia_Images/9bcb0b57.Archivo_Evidencia.212823.jpg")</f>
        <v>Regitro_Evidencia_Images/9bcb0b57.Archivo_Evidencia.212823.jpg</v>
      </c>
      <c r="CK88" s="30" t="str">
        <f ca="1">IFERROR(__xludf.DUMMYFUNCTION("""COMPUTED_VALUE"""),"Foto")</f>
        <v>Foto</v>
      </c>
      <c r="CL88" s="30"/>
      <c r="CM88" s="30" t="str">
        <f ca="1">IFERROR(__xludf.DUMMYFUNCTION("""COMPUTED_VALUE"""),"Guanajuato")</f>
        <v>Guanajuato</v>
      </c>
      <c r="CN88" s="32" t="e">
        <f ca="1"/>
        <v>#NAME?</v>
      </c>
      <c r="CO88" s="32" t="e">
        <f ca="1"/>
        <v>#NAME?</v>
      </c>
      <c r="CP88" s="32" t="e">
        <f ca="1"/>
        <v>#NAME?</v>
      </c>
      <c r="CQ88" s="32" t="e">
        <f ca="1"/>
        <v>#NAME?</v>
      </c>
      <c r="CR88" s="30" t="e">
        <f ca="1"/>
        <v>#NAME?</v>
      </c>
      <c r="CS88" s="30" t="str">
        <f ca="1">IFERROR(__xludf.DUMMYFUNCTION("""COMPUTED_VALUE"""),"NNA (Niñas, Niños y Adolescentes)")</f>
        <v>NNA (Niñas, Niños y Adolescentes)</v>
      </c>
    </row>
    <row r="89" spans="1:97" ht="14.5">
      <c r="A89" s="29" t="str">
        <f ca="1">IFERROR(__xludf.DUMMYFUNCTION("""COMPUTED_VALUE"""),"ACT-SCVT09644")</f>
        <v>ACT-SCVT09644</v>
      </c>
      <c r="B89" s="30" t="str">
        <f ca="1">IFERROR(__xludf.DUMMYFUNCTION("""COMPUTED_VALUE"""),"SC-260622-115921")</f>
        <v>SC-260622-115921</v>
      </c>
      <c r="C89" s="62">
        <f ca="1">IFERROR(__xludf.DUMMYFUNCTION("""COMPUTED_VALUE"""),46195.4995486111)</f>
        <v>46195.4995486111</v>
      </c>
      <c r="D89" s="30">
        <f ca="1">IFERROR(__xludf.DUMMYFUNCTION("""COMPUTED_VALUE"""),92)</f>
        <v>92</v>
      </c>
      <c r="E89" s="30" t="str">
        <f ca="1">IFERROR(__xludf.DUMMYFUNCTION("""COMPUTED_VALUE"""),"PB3572")</f>
        <v>PB3572</v>
      </c>
      <c r="F8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8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89" s="30" t="str">
        <f ca="1">IFERROR(__xludf.DUMMYFUNCTION("""COMPUTED_VALUE"""),"SUBSECRETARÍA DE DESARROLLO Y PROMOCIÓN ARTÍSTICA Y CULTURAL")</f>
        <v>SUBSECRETARÍA DE DESARROLLO Y PROMOCIÓN ARTÍSTICA Y CULTURAL</v>
      </c>
      <c r="I89" s="34" t="str">
        <f ca="1">IFERROR(__xludf.DUMMYFUNCTION("""COMPUTED_VALUE"""),"DIRECCIÓN GENERAL DE MUSEOS, ARTES VISUALES Y EXPOSICIONES")</f>
        <v>DIRECCIÓN GENERAL DE MUSEOS, ARTES VISUALES Y EXPOSICIONES</v>
      </c>
      <c r="J89" s="30" t="str">
        <f ca="1">IFERROR(__xludf.DUMMYFUNCTION("""COMPUTED_VALUE"""),"Número de Actividades realizadas")</f>
        <v>Número de Actividades realizadas</v>
      </c>
      <c r="K89" s="30">
        <f ca="1">IFERROR(__xludf.DUMMYFUNCTION("""COMPUTED_VALUE"""),800)</f>
        <v>800</v>
      </c>
      <c r="L89" s="30" t="str">
        <f ca="1">IFERROR(__xludf.DUMMYFUNCTION("""COMPUTED_VALUE"""),"Artística")</f>
        <v>Artística</v>
      </c>
      <c r="M89" s="30" t="str">
        <f ca="1">IFERROR(__xludf.DUMMYFUNCTION("""COMPUTED_VALUE"""),"Visita guiada libre")</f>
        <v>Visita guiada libre</v>
      </c>
      <c r="N89" s="30" t="str">
        <f ca="1">IFERROR(__xludf.DUMMYFUNCTION("""COMPUTED_VALUE"""),"Recorrido guiado por el museo")</f>
        <v>Recorrido guiado por el museo</v>
      </c>
      <c r="O89" s="30" t="str">
        <f ca="1">IFERROR(__xludf.DUMMYFUNCTION("""COMPUTED_VALUE"""),"Única")</f>
        <v>Única</v>
      </c>
      <c r="P89" s="33">
        <f ca="1">IFERROR(__xludf.DUMMYFUNCTION("""COMPUTED_VALUE"""),46172)</f>
        <v>46172</v>
      </c>
      <c r="Q89" s="65">
        <f ca="1">IFERROR(__xludf.DUMMYFUNCTION("""COMPUTED_VALUE"""),46172)</f>
        <v>46172</v>
      </c>
      <c r="R89" s="30">
        <f ca="1">IFERROR(__xludf.DUMMYFUNCTION("""COMPUTED_VALUE"""),1)</f>
        <v>1</v>
      </c>
      <c r="S89" s="30" t="str">
        <f ca="1">IFERROR(__xludf.DUMMYFUNCTION("""COMPUTED_VALUE"""),"Cultura comunitaria")</f>
        <v>Cultura comunitaria</v>
      </c>
      <c r="T89" s="30" t="str">
        <f ca="1">IFERROR(__xludf.DUMMYFUNCTION("""COMPUTED_VALUE"""),"Formación comunitaria")</f>
        <v>Formación comunitaria</v>
      </c>
      <c r="U89" s="30" t="str">
        <f ca="1">IFERROR(__xludf.DUMMYFUNCTION("""COMPUTED_VALUE"""),"Visitas escolares")</f>
        <v>Visitas escolares</v>
      </c>
      <c r="V89" s="30" t="str">
        <f ca="1">IFERROR(__xludf.DUMMYFUNCTION("""COMPUTED_VALUE"""),"Ninguna")</f>
        <v>Ninguna</v>
      </c>
      <c r="W89" s="30" t="str">
        <f ca="1">IFERROR(__xludf.DUMMYFUNCTION("""COMPUTED_VALUE"""),"Presencial")</f>
        <v>Presencial</v>
      </c>
      <c r="X89" s="30" t="str">
        <f ca="1">IFERROR(__xludf.DUMMYFUNCTION("""COMPUTED_VALUE"""),"Espacio a Cargo de la Secretaría")</f>
        <v>Espacio a Cargo de la Secretaría</v>
      </c>
      <c r="Y89" s="30" t="str">
        <f ca="1">IFERROR(__xludf.DUMMYFUNCTION("""COMPUTED_VALUE"""),"1")</f>
        <v>1</v>
      </c>
      <c r="Z89" s="30"/>
      <c r="AA89" s="30"/>
      <c r="AB89" s="30" t="b">
        <f ca="1">IFERROR(__xludf.DUMMYFUNCTION("""COMPUTED_VALUE"""),FALSE)</f>
        <v>0</v>
      </c>
      <c r="AC89" s="30"/>
      <c r="AD89" s="30" t="b">
        <f ca="1">IFERROR(__xludf.DUMMYFUNCTION("""COMPUTED_VALUE"""),FALSE)</f>
        <v>0</v>
      </c>
      <c r="AE89" s="30"/>
      <c r="AF89" s="30" t="b">
        <f ca="1">IFERROR(__xludf.DUMMYFUNCTION("""COMPUTED_VALUE"""),FALSE)</f>
        <v>0</v>
      </c>
      <c r="AG89" s="30"/>
      <c r="AH89" s="30" t="str">
        <f ca="1">IFERROR(__xludf.DUMMYFUNCTION("""COMPUTED_VALUE"""),"Sin costo")</f>
        <v>Sin costo</v>
      </c>
      <c r="AI89" s="30"/>
      <c r="AJ89" s="30"/>
      <c r="AK89" s="30"/>
      <c r="AL89" s="30" t="str">
        <f ca="1">IFERROR(__xludf.DUMMYFUNCTION("""COMPUTED_VALUE"""),"ccardonav@guanajuato.gob.mx")</f>
        <v>ccardonav@guanajuato.gob.mx</v>
      </c>
      <c r="AM89" s="30" t="str">
        <f ca="1">IFERROR(__xludf.DUMMYFUNCTION("""COMPUTED_VALUE"""),"Arraigo y empoderamiento cultural de comunidades.")</f>
        <v>Arraigo y empoderamiento cultural de comunidades.</v>
      </c>
      <c r="AN89" s="30" t="str">
        <f ca="1">IFERROR(__xludf.DUMMYFUNCTION("""COMPUTED_VALUE"""),"2 Igualdad")</f>
        <v>2 Igualdad</v>
      </c>
      <c r="AO89" s="30" t="str">
        <f ca="1">IFERROR(__xludf.DUMMYFUNCTION("""COMPUTED_VALUE"""),"2.1 Protección de derechos humanos")</f>
        <v>2.1 Protección de derechos humanos</v>
      </c>
      <c r="AP89" s="30" t="str">
        <f ca="1">IFERROR(__xludf.DUMMYFUNCTION("""COMPUTED_VALUE"""),"2.1.3 Inclusión de personas con discapacidad")</f>
        <v>2.1.3 Inclusión de personas con discapacidad</v>
      </c>
      <c r="AQ89" s="30" t="str">
        <f ca="1">IFERROR(__xludf.DUMMYFUNCTION("""COMPUTED_VALUE"""),"2.1.3.2 Coordinar la incorporación progresiva de la accesibilidad universal")</f>
        <v>2.1.3.2 Coordinar la incorporación progresiva de la accesibilidad universal</v>
      </c>
      <c r="AR89" s="30" t="str">
        <f ca="1">IFERROR(__xludf.DUMMYFUNCTION("""COMPUTED_VALUE"""),"Cooperación")</f>
        <v>Cooperación</v>
      </c>
      <c r="AS89" s="30"/>
      <c r="AT89" s="30" t="str">
        <f ca="1">IFERROR(__xludf.DUMMYFUNCTION("""COMPUTED_VALUE"""),"Fortalecimiento de la participación ciudadana y la mediación cultural")</f>
        <v>Fortalecimiento de la participación ciudadana y la mediación cultural</v>
      </c>
      <c r="AU89" s="30" t="str">
        <f ca="1">IFERROR(__xludf.DUMMYFUNCTION("""COMPUTED_VALUE"""),"Impulso a la ampliación de la oferta cultural en los territorios.")</f>
        <v>Impulso a la ampliación de la oferta cultural en los territorios.</v>
      </c>
      <c r="AV8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89" s="30" t="str">
        <f ca="1">IFERROR(__xludf.DUMMYFUNCTION("""COMPUTED_VALUE"""),"Incrementar en 25% la oferta cultural realizada en los municipios.")</f>
        <v>Incrementar en 25% la oferta cultural realizada en los municipios.</v>
      </c>
      <c r="AX89" s="30" t="str">
        <f ca="1">IFERROR(__xludf.DUMMYFUNCTION("""COMPUTED_VALUE"""),"Visitas escolares")</f>
        <v>Visitas escolares</v>
      </c>
      <c r="AY89" s="30" t="str">
        <f ca="1">IFERROR(__xludf.DUMMYFUNCTION("""COMPUTED_VALUE"""),"Formación")</f>
        <v>Formación</v>
      </c>
      <c r="AZ89" s="30" t="str">
        <f ca="1">IFERROR(__xludf.DUMMYFUNCTION("""COMPUTED_VALUE"""),"Formación")</f>
        <v>Formación</v>
      </c>
      <c r="BA89" s="30"/>
      <c r="BB89" s="30"/>
      <c r="BC89" s="30">
        <f ca="1">IFERROR(__xludf.DUMMYFUNCTION("""COMPUTED_VALUE"""),0)</f>
        <v>0</v>
      </c>
      <c r="BD89" s="30"/>
      <c r="BE89" s="30"/>
      <c r="BF89" s="30" t="b">
        <f ca="1">IFERROR(__xludf.DUMMYFUNCTION("""COMPUTED_VALUE"""),FALSE)</f>
        <v>0</v>
      </c>
      <c r="BG89" s="30"/>
      <c r="BH89" s="30"/>
      <c r="BI89" s="30"/>
      <c r="BJ89" s="30"/>
      <c r="BK89" s="30"/>
      <c r="BL89" s="30"/>
      <c r="BM89" s="30" t="str">
        <f ca="1">IFERROR(__xludf.DUMMYFUNCTION("""COMPUTED_VALUE"""),"No")</f>
        <v>No</v>
      </c>
      <c r="BN89" s="30"/>
      <c r="BO89" s="30" t="str">
        <f ca="1">IFERROR(__xludf.DUMMYFUNCTION("""COMPUTED_VALUE"""),"e61a5b85")</f>
        <v>e61a5b85</v>
      </c>
      <c r="BP89" s="29" t="str">
        <f ca="1">IFERROR(__xludf.DUMMYFUNCTION("""COMPUTED_VALUE"""),"Guanajuato")</f>
        <v>Guanajuato</v>
      </c>
      <c r="BQ89" s="30" t="str">
        <f ca="1">IFERROR(__xludf.DUMMYFUNCTION("""COMPUTED_VALUE"""),"Urbano")</f>
        <v>Urbano</v>
      </c>
      <c r="BR89" s="30"/>
      <c r="BS89" s="30"/>
      <c r="BT89" s="30"/>
      <c r="BU89" s="30" t="str">
        <f ca="1">IFERROR(__xludf.DUMMYFUNCTION("""COMPUTED_VALUE"""),"No")</f>
        <v>No</v>
      </c>
      <c r="BV89" s="30" t="str">
        <f ca="1">IFERROR(__xludf.DUMMYFUNCTION("""COMPUTED_VALUE"""),"No")</f>
        <v>No</v>
      </c>
      <c r="BW89" s="30">
        <f ca="1">IFERROR(__xludf.DUMMYFUNCTION("""COMPUTED_VALUE"""),2)</f>
        <v>2</v>
      </c>
      <c r="BX89" s="30"/>
      <c r="BY89" s="30">
        <f ca="1">IFERROR(__xludf.DUMMYFUNCTION("""COMPUTED_VALUE"""),2)</f>
        <v>2</v>
      </c>
      <c r="BZ89" s="30"/>
      <c r="CA89" s="30" t="str">
        <f ca="1">IFERROR(__xludf.DUMMYFUNCTION("""COMPUTED_VALUE"""),"No")</f>
        <v>No</v>
      </c>
      <c r="CB89" s="30" t="str">
        <f ca="1">IFERROR(__xludf.DUMMYFUNCTION("""COMPUTED_VALUE"""),"No")</f>
        <v>No</v>
      </c>
      <c r="CC89" s="30" t="str">
        <f ca="1">IFERROR(__xludf.DUMMYFUNCTION("""COMPUTED_VALUE"""),"af11e443")</f>
        <v>af11e443</v>
      </c>
      <c r="CD89" s="29" t="str">
        <f ca="1">IFERROR(__xludf.DUMMYFUNCTION("""COMPUTED_VALUE"""),"Adultos Mayores (60 años o más)")</f>
        <v>Adultos Mayores (60 años o más)</v>
      </c>
      <c r="CE89" s="30" t="str">
        <f ca="1">IFERROR(__xludf.DUMMYFUNCTION("""COMPUTED_VALUE"""),"Dato global")</f>
        <v>Dato global</v>
      </c>
      <c r="CF89" s="30" t="str">
        <f ca="1">IFERROR(__xludf.DUMMYFUNCTION("""COMPUTED_VALUE"""),"Ninguno (Población General)")</f>
        <v>Ninguno (Población General)</v>
      </c>
      <c r="CG89" s="30">
        <f ca="1">IFERROR(__xludf.DUMMYFUNCTION("""COMPUTED_VALUE"""),125)</f>
        <v>125</v>
      </c>
      <c r="CI89" s="30" t="str">
        <f ca="1">IFERROR(__xludf.DUMMYFUNCTION("""COMPUTED_VALUE"""),"f7660ebf")</f>
        <v>f7660ebf</v>
      </c>
      <c r="CJ89" s="29" t="str">
        <f ca="1">IFERROR(__xludf.DUMMYFUNCTION("""COMPUTED_VALUE"""),"Regitro_Evidencia_Images/f7660ebf.Archivo_Evidencia.213935.jpg")</f>
        <v>Regitro_Evidencia_Images/f7660ebf.Archivo_Evidencia.213935.jpg</v>
      </c>
      <c r="CK89" s="30" t="str">
        <f ca="1">IFERROR(__xludf.DUMMYFUNCTION("""COMPUTED_VALUE"""),"Foto")</f>
        <v>Foto</v>
      </c>
      <c r="CL89" s="30"/>
      <c r="CM89" s="30" t="str">
        <f ca="1">IFERROR(__xludf.DUMMYFUNCTION("""COMPUTED_VALUE"""),"Guanajuato")</f>
        <v>Guanajuato</v>
      </c>
      <c r="CN89" s="32" t="e">
        <f ca="1"/>
        <v>#NAME?</v>
      </c>
      <c r="CO89" s="32" t="e">
        <f ca="1"/>
        <v>#NAME?</v>
      </c>
      <c r="CP89" s="32" t="e">
        <f ca="1"/>
        <v>#NAME?</v>
      </c>
      <c r="CQ89" s="32" t="e">
        <f ca="1"/>
        <v>#NAME?</v>
      </c>
      <c r="CR89" s="30" t="e">
        <f ca="1"/>
        <v>#NAME?</v>
      </c>
      <c r="CS89" s="30" t="str">
        <f ca="1">IFERROR(__xludf.DUMMYFUNCTION("""COMPUTED_VALUE"""),"NNA (Niñas, Niños y Adolescentes)")</f>
        <v>NNA (Niñas, Niños y Adolescentes)</v>
      </c>
    </row>
    <row r="90" spans="1:97" ht="14.5">
      <c r="A90" s="29" t="str">
        <f ca="1">IFERROR(__xludf.DUMMYFUNCTION("""COMPUTED_VALUE"""),"ACT-SCRN21273")</f>
        <v>ACT-SCRN21273</v>
      </c>
      <c r="B90" s="30" t="str">
        <f ca="1">IFERROR(__xludf.DUMMYFUNCTION("""COMPUTED_VALUE"""),"SC-260622-120305")</f>
        <v>SC-260622-120305</v>
      </c>
      <c r="C90" s="62">
        <f ca="1">IFERROR(__xludf.DUMMYFUNCTION("""COMPUTED_VALUE"""),46195.5021412037)</f>
        <v>46195.502141203702</v>
      </c>
      <c r="D90" s="30">
        <f ca="1">IFERROR(__xludf.DUMMYFUNCTION("""COMPUTED_VALUE"""),92)</f>
        <v>92</v>
      </c>
      <c r="E90" s="30" t="str">
        <f ca="1">IFERROR(__xludf.DUMMYFUNCTION("""COMPUTED_VALUE"""),"PB3572")</f>
        <v>PB3572</v>
      </c>
      <c r="F9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0" s="30" t="str">
        <f ca="1">IFERROR(__xludf.DUMMYFUNCTION("""COMPUTED_VALUE"""),"SUBSECRETARÍA DE DESARROLLO Y PROMOCIÓN ARTÍSTICA Y CULTURAL")</f>
        <v>SUBSECRETARÍA DE DESARROLLO Y PROMOCIÓN ARTÍSTICA Y CULTURAL</v>
      </c>
      <c r="I90" s="34" t="str">
        <f ca="1">IFERROR(__xludf.DUMMYFUNCTION("""COMPUTED_VALUE"""),"DIRECCIÓN GENERAL DE MUSEOS, ARTES VISUALES Y EXPOSICIONES")</f>
        <v>DIRECCIÓN GENERAL DE MUSEOS, ARTES VISUALES Y EXPOSICIONES</v>
      </c>
      <c r="J90" s="30" t="str">
        <f ca="1">IFERROR(__xludf.DUMMYFUNCTION("""COMPUTED_VALUE"""),"Número de Actividades realizadas")</f>
        <v>Número de Actividades realizadas</v>
      </c>
      <c r="K90" s="30">
        <f ca="1">IFERROR(__xludf.DUMMYFUNCTION("""COMPUTED_VALUE"""),800)</f>
        <v>800</v>
      </c>
      <c r="L90" s="30" t="str">
        <f ca="1">IFERROR(__xludf.DUMMYFUNCTION("""COMPUTED_VALUE"""),"Artística")</f>
        <v>Artística</v>
      </c>
      <c r="M90" s="30" t="str">
        <f ca="1">IFERROR(__xludf.DUMMYFUNCTION("""COMPUTED_VALUE"""),"Visita guiada libre")</f>
        <v>Visita guiada libre</v>
      </c>
      <c r="N90" s="30" t="str">
        <f ca="1">IFERROR(__xludf.DUMMYFUNCTION("""COMPUTED_VALUE"""),"Recorrido guiado por el museo")</f>
        <v>Recorrido guiado por el museo</v>
      </c>
      <c r="O90" s="30" t="str">
        <f ca="1">IFERROR(__xludf.DUMMYFUNCTION("""COMPUTED_VALUE"""),"Única")</f>
        <v>Única</v>
      </c>
      <c r="P90" s="33">
        <f ca="1">IFERROR(__xludf.DUMMYFUNCTION("""COMPUTED_VALUE"""),46173)</f>
        <v>46173</v>
      </c>
      <c r="Q90" s="65">
        <f ca="1">IFERROR(__xludf.DUMMYFUNCTION("""COMPUTED_VALUE"""),46173)</f>
        <v>46173</v>
      </c>
      <c r="R90" s="30">
        <f ca="1">IFERROR(__xludf.DUMMYFUNCTION("""COMPUTED_VALUE"""),1)</f>
        <v>1</v>
      </c>
      <c r="S90" s="30" t="str">
        <f ca="1">IFERROR(__xludf.DUMMYFUNCTION("""COMPUTED_VALUE"""),"Cultura comunitaria")</f>
        <v>Cultura comunitaria</v>
      </c>
      <c r="T90" s="30" t="str">
        <f ca="1">IFERROR(__xludf.DUMMYFUNCTION("""COMPUTED_VALUE"""),"Formación comunitaria")</f>
        <v>Formación comunitaria</v>
      </c>
      <c r="U90" s="30" t="str">
        <f ca="1">IFERROR(__xludf.DUMMYFUNCTION("""COMPUTED_VALUE"""),"Visitas escolares")</f>
        <v>Visitas escolares</v>
      </c>
      <c r="V90" s="30" t="str">
        <f ca="1">IFERROR(__xludf.DUMMYFUNCTION("""COMPUTED_VALUE"""),"Ninguna")</f>
        <v>Ninguna</v>
      </c>
      <c r="W90" s="30" t="str">
        <f ca="1">IFERROR(__xludf.DUMMYFUNCTION("""COMPUTED_VALUE"""),"Presencial")</f>
        <v>Presencial</v>
      </c>
      <c r="X90" s="30" t="str">
        <f ca="1">IFERROR(__xludf.DUMMYFUNCTION("""COMPUTED_VALUE"""),"Espacio a Cargo de la Secretaría")</f>
        <v>Espacio a Cargo de la Secretaría</v>
      </c>
      <c r="Y90" s="30" t="str">
        <f ca="1">IFERROR(__xludf.DUMMYFUNCTION("""COMPUTED_VALUE"""),"1")</f>
        <v>1</v>
      </c>
      <c r="Z90" s="30"/>
      <c r="AA90" s="30"/>
      <c r="AB90" s="30" t="b">
        <f ca="1">IFERROR(__xludf.DUMMYFUNCTION("""COMPUTED_VALUE"""),FALSE)</f>
        <v>0</v>
      </c>
      <c r="AC90" s="30"/>
      <c r="AD90" s="30" t="b">
        <f ca="1">IFERROR(__xludf.DUMMYFUNCTION("""COMPUTED_VALUE"""),FALSE)</f>
        <v>0</v>
      </c>
      <c r="AE90" s="30"/>
      <c r="AF90" s="30" t="b">
        <f ca="1">IFERROR(__xludf.DUMMYFUNCTION("""COMPUTED_VALUE"""),FALSE)</f>
        <v>0</v>
      </c>
      <c r="AG90" s="30"/>
      <c r="AH90" s="30" t="str">
        <f ca="1">IFERROR(__xludf.DUMMYFUNCTION("""COMPUTED_VALUE"""),"Sin costo")</f>
        <v>Sin costo</v>
      </c>
      <c r="AI90" s="30"/>
      <c r="AJ90" s="30"/>
      <c r="AK90" s="30"/>
      <c r="AL90" s="30" t="str">
        <f ca="1">IFERROR(__xludf.DUMMYFUNCTION("""COMPUTED_VALUE"""),"ccardonav@guanajuato.gob.mx")</f>
        <v>ccardonav@guanajuato.gob.mx</v>
      </c>
      <c r="AM90" s="30" t="str">
        <f ca="1">IFERROR(__xludf.DUMMYFUNCTION("""COMPUTED_VALUE"""),"Arraigo y empoderamiento cultural de comunidades.")</f>
        <v>Arraigo y empoderamiento cultural de comunidades.</v>
      </c>
      <c r="AN90" s="30" t="str">
        <f ca="1">IFERROR(__xludf.DUMMYFUNCTION("""COMPUTED_VALUE"""),"2 Igualdad")</f>
        <v>2 Igualdad</v>
      </c>
      <c r="AO90" s="30" t="str">
        <f ca="1">IFERROR(__xludf.DUMMYFUNCTION("""COMPUTED_VALUE"""),"2.1 Protección de derechos humanos")</f>
        <v>2.1 Protección de derechos humanos</v>
      </c>
      <c r="AP90" s="30" t="str">
        <f ca="1">IFERROR(__xludf.DUMMYFUNCTION("""COMPUTED_VALUE"""),"2.1.3 Inclusión de personas con discapacidad")</f>
        <v>2.1.3 Inclusión de personas con discapacidad</v>
      </c>
      <c r="AQ90" s="30" t="str">
        <f ca="1">IFERROR(__xludf.DUMMYFUNCTION("""COMPUTED_VALUE"""),"2.1.3.2 Coordinar la incorporación progresiva de la accesibilidad universal")</f>
        <v>2.1.3.2 Coordinar la incorporación progresiva de la accesibilidad universal</v>
      </c>
      <c r="AR90" s="30" t="str">
        <f ca="1">IFERROR(__xludf.DUMMYFUNCTION("""COMPUTED_VALUE"""),"Cooperación")</f>
        <v>Cooperación</v>
      </c>
      <c r="AS90" s="30"/>
      <c r="AT90" s="30" t="str">
        <f ca="1">IFERROR(__xludf.DUMMYFUNCTION("""COMPUTED_VALUE"""),"Fortalecimiento de la participación ciudadana y la mediación cultural")</f>
        <v>Fortalecimiento de la participación ciudadana y la mediación cultural</v>
      </c>
      <c r="AU90" s="30" t="str">
        <f ca="1">IFERROR(__xludf.DUMMYFUNCTION("""COMPUTED_VALUE"""),"Impulso a la ampliación de la oferta cultural en los territorios.")</f>
        <v>Impulso a la ampliación de la oferta cultural en los territorios.</v>
      </c>
      <c r="AV9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0" s="30" t="str">
        <f ca="1">IFERROR(__xludf.DUMMYFUNCTION("""COMPUTED_VALUE"""),"Incrementar en 25% la oferta cultural realizada en los municipios.")</f>
        <v>Incrementar en 25% la oferta cultural realizada en los municipios.</v>
      </c>
      <c r="AX90" s="30" t="str">
        <f ca="1">IFERROR(__xludf.DUMMYFUNCTION("""COMPUTED_VALUE"""),"Visitas escolares")</f>
        <v>Visitas escolares</v>
      </c>
      <c r="AY90" s="30" t="str">
        <f ca="1">IFERROR(__xludf.DUMMYFUNCTION("""COMPUTED_VALUE"""),"Formación")</f>
        <v>Formación</v>
      </c>
      <c r="AZ90" s="30" t="str">
        <f ca="1">IFERROR(__xludf.DUMMYFUNCTION("""COMPUTED_VALUE"""),"Formación")</f>
        <v>Formación</v>
      </c>
      <c r="BA90" s="30"/>
      <c r="BB90" s="30"/>
      <c r="BC90" s="30">
        <f ca="1">IFERROR(__xludf.DUMMYFUNCTION("""COMPUTED_VALUE"""),0)</f>
        <v>0</v>
      </c>
      <c r="BD90" s="30"/>
      <c r="BE90" s="30"/>
      <c r="BF90" s="30" t="b">
        <f ca="1">IFERROR(__xludf.DUMMYFUNCTION("""COMPUTED_VALUE"""),FALSE)</f>
        <v>0</v>
      </c>
      <c r="BG90" s="30"/>
      <c r="BH90" s="30"/>
      <c r="BI90" s="30"/>
      <c r="BJ90" s="30"/>
      <c r="BK90" s="30"/>
      <c r="BL90" s="30"/>
      <c r="BM90" s="30" t="str">
        <f ca="1">IFERROR(__xludf.DUMMYFUNCTION("""COMPUTED_VALUE"""),"No")</f>
        <v>No</v>
      </c>
      <c r="BN90" s="30"/>
      <c r="BO90" s="30" t="str">
        <f ca="1">IFERROR(__xludf.DUMMYFUNCTION("""COMPUTED_VALUE"""),"db49b355")</f>
        <v>db49b355</v>
      </c>
      <c r="BP90" s="29" t="str">
        <f ca="1">IFERROR(__xludf.DUMMYFUNCTION("""COMPUTED_VALUE"""),"Guanajuato")</f>
        <v>Guanajuato</v>
      </c>
      <c r="BQ90" s="30" t="str">
        <f ca="1">IFERROR(__xludf.DUMMYFUNCTION("""COMPUTED_VALUE"""),"Urbano")</f>
        <v>Urbano</v>
      </c>
      <c r="BR90" s="30"/>
      <c r="BS90" s="30"/>
      <c r="BT90" s="30"/>
      <c r="BU90" s="30" t="str">
        <f ca="1">IFERROR(__xludf.DUMMYFUNCTION("""COMPUTED_VALUE"""),"No")</f>
        <v>No</v>
      </c>
      <c r="BV90" s="30" t="str">
        <f ca="1">IFERROR(__xludf.DUMMYFUNCTION("""COMPUTED_VALUE"""),"No")</f>
        <v>No</v>
      </c>
      <c r="BW90" s="30">
        <f ca="1">IFERROR(__xludf.DUMMYFUNCTION("""COMPUTED_VALUE"""),2)</f>
        <v>2</v>
      </c>
      <c r="BX90" s="30"/>
      <c r="BY90" s="30">
        <f ca="1">IFERROR(__xludf.DUMMYFUNCTION("""COMPUTED_VALUE"""),2)</f>
        <v>2</v>
      </c>
      <c r="BZ90" s="30"/>
      <c r="CA90" s="30" t="str">
        <f ca="1">IFERROR(__xludf.DUMMYFUNCTION("""COMPUTED_VALUE"""),"No")</f>
        <v>No</v>
      </c>
      <c r="CB90" s="30" t="str">
        <f ca="1">IFERROR(__xludf.DUMMYFUNCTION("""COMPUTED_VALUE"""),"No")</f>
        <v>No</v>
      </c>
      <c r="CC90" s="30" t="str">
        <f ca="1">IFERROR(__xludf.DUMMYFUNCTION("""COMPUTED_VALUE"""),"79af9e9d")</f>
        <v>79af9e9d</v>
      </c>
      <c r="CD90" s="29" t="str">
        <f ca="1">IFERROR(__xludf.DUMMYFUNCTION("""COMPUTED_VALUE"""),"Adultos (30 a 59 años)")</f>
        <v>Adultos (30 a 59 años)</v>
      </c>
      <c r="CE90" s="30" t="str">
        <f ca="1">IFERROR(__xludf.DUMMYFUNCTION("""COMPUTED_VALUE"""),"Dato global")</f>
        <v>Dato global</v>
      </c>
      <c r="CF90" s="30" t="str">
        <f ca="1">IFERROR(__xludf.DUMMYFUNCTION("""COMPUTED_VALUE"""),"Ninguno (Población General)")</f>
        <v>Ninguno (Población General)</v>
      </c>
      <c r="CG90" s="30">
        <f ca="1">IFERROR(__xludf.DUMMYFUNCTION("""COMPUTED_VALUE"""),31)</f>
        <v>31</v>
      </c>
      <c r="CI90" s="30" t="str">
        <f ca="1">IFERROR(__xludf.DUMMYFUNCTION("""COMPUTED_VALUE"""),"f12e2d74")</f>
        <v>f12e2d74</v>
      </c>
      <c r="CJ90" s="29" t="str">
        <f ca="1">IFERROR(__xludf.DUMMYFUNCTION("""COMPUTED_VALUE"""),"Regitro_Evidencia_Files_/f12e2d74.Archivo_Evidencia.214414.pdf")</f>
        <v>Regitro_Evidencia_Files_/f12e2d74.Archivo_Evidencia.214414.pdf</v>
      </c>
      <c r="CK90" s="30" t="str">
        <f ca="1">IFERROR(__xludf.DUMMYFUNCTION("""COMPUTED_VALUE"""),"PDF")</f>
        <v>PDF</v>
      </c>
      <c r="CL90" s="30"/>
      <c r="CM90" s="30" t="str">
        <f ca="1">IFERROR(__xludf.DUMMYFUNCTION("""COMPUTED_VALUE"""),"Guanajuato")</f>
        <v>Guanajuato</v>
      </c>
      <c r="CN90" s="32" t="e">
        <f ca="1"/>
        <v>#NAME?</v>
      </c>
      <c r="CO90" s="32" t="e">
        <f ca="1"/>
        <v>#NAME?</v>
      </c>
      <c r="CP90" s="32" t="e">
        <f ca="1"/>
        <v>#NAME?</v>
      </c>
      <c r="CQ90" s="32" t="e">
        <f ca="1"/>
        <v>#NAME?</v>
      </c>
      <c r="CR90" s="30" t="e">
        <f ca="1"/>
        <v>#NAME?</v>
      </c>
      <c r="CS90" s="30" t="str">
        <f ca="1">IFERROR(__xludf.DUMMYFUNCTION("""COMPUTED_VALUE"""),"Ninguno (Población General)")</f>
        <v>Ninguno (Población General)</v>
      </c>
    </row>
    <row r="91" spans="1:97" ht="14.5">
      <c r="A91" s="29" t="str">
        <f ca="1">IFERROR(__xludf.DUMMYFUNCTION("""COMPUTED_VALUE"""),"ACT-SCQL83167")</f>
        <v>ACT-SCQL83167</v>
      </c>
      <c r="B91" s="30" t="str">
        <f ca="1">IFERROR(__xludf.DUMMYFUNCTION("""COMPUTED_VALUE"""),"SC-260622-120810")</f>
        <v>SC-260622-120810</v>
      </c>
      <c r="C91" s="62">
        <f ca="1">IFERROR(__xludf.DUMMYFUNCTION("""COMPUTED_VALUE"""),46195.5056712963)</f>
        <v>46195.505671296298</v>
      </c>
      <c r="D91" s="30">
        <f ca="1">IFERROR(__xludf.DUMMYFUNCTION("""COMPUTED_VALUE"""),92)</f>
        <v>92</v>
      </c>
      <c r="E91" s="30" t="str">
        <f ca="1">IFERROR(__xludf.DUMMYFUNCTION("""COMPUTED_VALUE"""),"PB3572")</f>
        <v>PB3572</v>
      </c>
      <c r="F9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1" s="30" t="str">
        <f ca="1">IFERROR(__xludf.DUMMYFUNCTION("""COMPUTED_VALUE"""),"SUBSECRETARÍA DE DESARROLLO Y PROMOCIÓN ARTÍSTICA Y CULTURAL")</f>
        <v>SUBSECRETARÍA DE DESARROLLO Y PROMOCIÓN ARTÍSTICA Y CULTURAL</v>
      </c>
      <c r="I91" s="34" t="str">
        <f ca="1">IFERROR(__xludf.DUMMYFUNCTION("""COMPUTED_VALUE"""),"DIRECCIÓN GENERAL DE MUSEOS, ARTES VISUALES Y EXPOSICIONES")</f>
        <v>DIRECCIÓN GENERAL DE MUSEOS, ARTES VISUALES Y EXPOSICIONES</v>
      </c>
      <c r="J91" s="30" t="str">
        <f ca="1">IFERROR(__xludf.DUMMYFUNCTION("""COMPUTED_VALUE"""),"Número de Actividades realizadas")</f>
        <v>Número de Actividades realizadas</v>
      </c>
      <c r="K91" s="30">
        <f ca="1">IFERROR(__xludf.DUMMYFUNCTION("""COMPUTED_VALUE"""),800)</f>
        <v>800</v>
      </c>
      <c r="L91" s="30" t="str">
        <f ca="1">IFERROR(__xludf.DUMMYFUNCTION("""COMPUTED_VALUE"""),"Artística")</f>
        <v>Artística</v>
      </c>
      <c r="M91" s="30" t="str">
        <f ca="1">IFERROR(__xludf.DUMMYFUNCTION("""COMPUTED_VALUE"""),"Visita guiada libre")</f>
        <v>Visita guiada libre</v>
      </c>
      <c r="N91" s="30" t="str">
        <f ca="1">IFERROR(__xludf.DUMMYFUNCTION("""COMPUTED_VALUE"""),"Recorrido guiado por el museo")</f>
        <v>Recorrido guiado por el museo</v>
      </c>
      <c r="O91" s="30" t="str">
        <f ca="1">IFERROR(__xludf.DUMMYFUNCTION("""COMPUTED_VALUE"""),"Única")</f>
        <v>Única</v>
      </c>
      <c r="P91" s="33">
        <f ca="1">IFERROR(__xludf.DUMMYFUNCTION("""COMPUTED_VALUE"""),46173)</f>
        <v>46173</v>
      </c>
      <c r="Q91" s="65">
        <f ca="1">IFERROR(__xludf.DUMMYFUNCTION("""COMPUTED_VALUE"""),46173)</f>
        <v>46173</v>
      </c>
      <c r="R91" s="30">
        <f ca="1">IFERROR(__xludf.DUMMYFUNCTION("""COMPUTED_VALUE"""),1)</f>
        <v>1</v>
      </c>
      <c r="S91" s="30" t="str">
        <f ca="1">IFERROR(__xludf.DUMMYFUNCTION("""COMPUTED_VALUE"""),"Cultura comunitaria")</f>
        <v>Cultura comunitaria</v>
      </c>
      <c r="T91" s="30" t="str">
        <f ca="1">IFERROR(__xludf.DUMMYFUNCTION("""COMPUTED_VALUE"""),"Formación comunitaria")</f>
        <v>Formación comunitaria</v>
      </c>
      <c r="U91" s="30" t="str">
        <f ca="1">IFERROR(__xludf.DUMMYFUNCTION("""COMPUTED_VALUE"""),"Visitas escolares")</f>
        <v>Visitas escolares</v>
      </c>
      <c r="V91" s="30" t="str">
        <f ca="1">IFERROR(__xludf.DUMMYFUNCTION("""COMPUTED_VALUE"""),"Ninguna")</f>
        <v>Ninguna</v>
      </c>
      <c r="W91" s="30" t="str">
        <f ca="1">IFERROR(__xludf.DUMMYFUNCTION("""COMPUTED_VALUE"""),"Presencial")</f>
        <v>Presencial</v>
      </c>
      <c r="X91" s="30" t="str">
        <f ca="1">IFERROR(__xludf.DUMMYFUNCTION("""COMPUTED_VALUE"""),"Espacio a Cargo de la Secretaría")</f>
        <v>Espacio a Cargo de la Secretaría</v>
      </c>
      <c r="Y91" s="30" t="str">
        <f ca="1">IFERROR(__xludf.DUMMYFUNCTION("""COMPUTED_VALUE"""),"1")</f>
        <v>1</v>
      </c>
      <c r="Z91" s="30"/>
      <c r="AA91" s="30"/>
      <c r="AB91" s="30" t="b">
        <f ca="1">IFERROR(__xludf.DUMMYFUNCTION("""COMPUTED_VALUE"""),FALSE)</f>
        <v>0</v>
      </c>
      <c r="AC91" s="30"/>
      <c r="AD91" s="30" t="b">
        <f ca="1">IFERROR(__xludf.DUMMYFUNCTION("""COMPUTED_VALUE"""),FALSE)</f>
        <v>0</v>
      </c>
      <c r="AE91" s="30"/>
      <c r="AF91" s="30" t="b">
        <f ca="1">IFERROR(__xludf.DUMMYFUNCTION("""COMPUTED_VALUE"""),FALSE)</f>
        <v>0</v>
      </c>
      <c r="AG91" s="30"/>
      <c r="AH91" s="30" t="str">
        <f ca="1">IFERROR(__xludf.DUMMYFUNCTION("""COMPUTED_VALUE"""),"Sin costo")</f>
        <v>Sin costo</v>
      </c>
      <c r="AI91" s="30"/>
      <c r="AJ91" s="30"/>
      <c r="AK91" s="30"/>
      <c r="AL91" s="30" t="str">
        <f ca="1">IFERROR(__xludf.DUMMYFUNCTION("""COMPUTED_VALUE"""),"ccardonav@guanajuato.gob.mx")</f>
        <v>ccardonav@guanajuato.gob.mx</v>
      </c>
      <c r="AM91" s="30" t="str">
        <f ca="1">IFERROR(__xludf.DUMMYFUNCTION("""COMPUTED_VALUE"""),"Arraigo y empoderamiento cultural de comunidades.")</f>
        <v>Arraigo y empoderamiento cultural de comunidades.</v>
      </c>
      <c r="AN91" s="30" t="str">
        <f ca="1">IFERROR(__xludf.DUMMYFUNCTION("""COMPUTED_VALUE"""),"2 Igualdad")</f>
        <v>2 Igualdad</v>
      </c>
      <c r="AO91" s="30" t="str">
        <f ca="1">IFERROR(__xludf.DUMMYFUNCTION("""COMPUTED_VALUE"""),"2.1 Protección de derechos humanos")</f>
        <v>2.1 Protección de derechos humanos</v>
      </c>
      <c r="AP91" s="30" t="str">
        <f ca="1">IFERROR(__xludf.DUMMYFUNCTION("""COMPUTED_VALUE"""),"2.1.3 Inclusión de personas con discapacidad")</f>
        <v>2.1.3 Inclusión de personas con discapacidad</v>
      </c>
      <c r="AQ91" s="30" t="str">
        <f ca="1">IFERROR(__xludf.DUMMYFUNCTION("""COMPUTED_VALUE"""),"2.1.3.2 Coordinar la incorporación progresiva de la accesibilidad universal")</f>
        <v>2.1.3.2 Coordinar la incorporación progresiva de la accesibilidad universal</v>
      </c>
      <c r="AR91" s="30" t="str">
        <f ca="1">IFERROR(__xludf.DUMMYFUNCTION("""COMPUTED_VALUE"""),"Cooperación")</f>
        <v>Cooperación</v>
      </c>
      <c r="AS91" s="30"/>
      <c r="AT91" s="30" t="str">
        <f ca="1">IFERROR(__xludf.DUMMYFUNCTION("""COMPUTED_VALUE"""),"Fortalecimiento de la participación ciudadana y la mediación cultural")</f>
        <v>Fortalecimiento de la participación ciudadana y la mediación cultural</v>
      </c>
      <c r="AU91" s="30" t="str">
        <f ca="1">IFERROR(__xludf.DUMMYFUNCTION("""COMPUTED_VALUE"""),"Impulso a la ampliación de la oferta cultural en los territorios.")</f>
        <v>Impulso a la ampliación de la oferta cultural en los territorios.</v>
      </c>
      <c r="AV9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1" s="30" t="str">
        <f ca="1">IFERROR(__xludf.DUMMYFUNCTION("""COMPUTED_VALUE"""),"Incrementar en 25% la oferta cultural realizada en los municipios.")</f>
        <v>Incrementar en 25% la oferta cultural realizada en los municipios.</v>
      </c>
      <c r="AX91" s="30" t="str">
        <f ca="1">IFERROR(__xludf.DUMMYFUNCTION("""COMPUTED_VALUE"""),"Visitas escolares")</f>
        <v>Visitas escolares</v>
      </c>
      <c r="AY91" s="30" t="str">
        <f ca="1">IFERROR(__xludf.DUMMYFUNCTION("""COMPUTED_VALUE"""),"Formación")</f>
        <v>Formación</v>
      </c>
      <c r="AZ91" s="30" t="str">
        <f ca="1">IFERROR(__xludf.DUMMYFUNCTION("""COMPUTED_VALUE"""),"Formación")</f>
        <v>Formación</v>
      </c>
      <c r="BA91" s="30"/>
      <c r="BB91" s="30"/>
      <c r="BC91" s="30">
        <f ca="1">IFERROR(__xludf.DUMMYFUNCTION("""COMPUTED_VALUE"""),0)</f>
        <v>0</v>
      </c>
      <c r="BD91" s="30"/>
      <c r="BE91" s="30"/>
      <c r="BF91" s="30" t="b">
        <f ca="1">IFERROR(__xludf.DUMMYFUNCTION("""COMPUTED_VALUE"""),FALSE)</f>
        <v>0</v>
      </c>
      <c r="BG91" s="30"/>
      <c r="BH91" s="30"/>
      <c r="BI91" s="30"/>
      <c r="BJ91" s="30"/>
      <c r="BK91" s="30"/>
      <c r="BL91" s="30"/>
      <c r="BM91" s="30" t="str">
        <f ca="1">IFERROR(__xludf.DUMMYFUNCTION("""COMPUTED_VALUE"""),"No")</f>
        <v>No</v>
      </c>
      <c r="BN91" s="30"/>
      <c r="BO91" s="30" t="str">
        <f ca="1">IFERROR(__xludf.DUMMYFUNCTION("""COMPUTED_VALUE"""),"668b4560")</f>
        <v>668b4560</v>
      </c>
      <c r="BP91" s="29" t="str">
        <f ca="1">IFERROR(__xludf.DUMMYFUNCTION("""COMPUTED_VALUE"""),"Guanajuato")</f>
        <v>Guanajuato</v>
      </c>
      <c r="BQ91" s="30" t="str">
        <f ca="1">IFERROR(__xludf.DUMMYFUNCTION("""COMPUTED_VALUE"""),"Urbano")</f>
        <v>Urbano</v>
      </c>
      <c r="BR91" s="30"/>
      <c r="BS91" s="30"/>
      <c r="BT91" s="30"/>
      <c r="BU91" s="30" t="str">
        <f ca="1">IFERROR(__xludf.DUMMYFUNCTION("""COMPUTED_VALUE"""),"No")</f>
        <v>No</v>
      </c>
      <c r="BV91" s="30" t="str">
        <f ca="1">IFERROR(__xludf.DUMMYFUNCTION("""COMPUTED_VALUE"""),"No")</f>
        <v>No</v>
      </c>
      <c r="BW91" s="30">
        <f ca="1">IFERROR(__xludf.DUMMYFUNCTION("""COMPUTED_VALUE"""),26)</f>
        <v>26</v>
      </c>
      <c r="BX91" s="30"/>
      <c r="BY91" s="30">
        <f ca="1">IFERROR(__xludf.DUMMYFUNCTION("""COMPUTED_VALUE"""),26)</f>
        <v>26</v>
      </c>
      <c r="BZ91" s="30"/>
      <c r="CA91" s="30" t="str">
        <f ca="1">IFERROR(__xludf.DUMMYFUNCTION("""COMPUTED_VALUE"""),"No")</f>
        <v>No</v>
      </c>
      <c r="CB91" s="30" t="str">
        <f ca="1">IFERROR(__xludf.DUMMYFUNCTION("""COMPUTED_VALUE"""),"No")</f>
        <v>No</v>
      </c>
      <c r="CC91" s="30" t="str">
        <f ca="1">IFERROR(__xludf.DUMMYFUNCTION("""COMPUTED_VALUE"""),"24c5ec71")</f>
        <v>24c5ec71</v>
      </c>
      <c r="CD91" s="29" t="str">
        <f ca="1">IFERROR(__xludf.DUMMYFUNCTION("""COMPUTED_VALUE"""),"Jóvenes (18 a 29 años)")</f>
        <v>Jóvenes (18 a 29 años)</v>
      </c>
      <c r="CE91" s="30" t="str">
        <f ca="1">IFERROR(__xludf.DUMMYFUNCTION("""COMPUTED_VALUE"""),"Dato global")</f>
        <v>Dato global</v>
      </c>
      <c r="CF91" s="30" t="str">
        <f ca="1">IFERROR(__xludf.DUMMYFUNCTION("""COMPUTED_VALUE"""),"Ninguno (Población General)")</f>
        <v>Ninguno (Población General)</v>
      </c>
      <c r="CG91" s="30">
        <f ca="1">IFERROR(__xludf.DUMMYFUNCTION("""COMPUTED_VALUE"""),90)</f>
        <v>90</v>
      </c>
      <c r="CI91" s="30" t="str">
        <f ca="1">IFERROR(__xludf.DUMMYFUNCTION("""COMPUTED_VALUE"""),"f06157fb")</f>
        <v>f06157fb</v>
      </c>
      <c r="CJ91" s="29" t="str">
        <f ca="1">IFERROR(__xludf.DUMMYFUNCTION("""COMPUTED_VALUE"""),"Regitro_Evidencia_Files_/f06157fb.Archivo_Evidencia.215549.pdf")</f>
        <v>Regitro_Evidencia_Files_/f06157fb.Archivo_Evidencia.215549.pdf</v>
      </c>
      <c r="CK91" s="30" t="str">
        <f ca="1">IFERROR(__xludf.DUMMYFUNCTION("""COMPUTED_VALUE"""),"PDF")</f>
        <v>PDF</v>
      </c>
      <c r="CL91" s="30"/>
      <c r="CM91" s="30" t="str">
        <f ca="1">IFERROR(__xludf.DUMMYFUNCTION("""COMPUTED_VALUE"""),"Guanajuato")</f>
        <v>Guanajuato</v>
      </c>
      <c r="CN91" s="32" t="e">
        <f ca="1"/>
        <v>#NAME?</v>
      </c>
      <c r="CO91" s="32" t="e">
        <f ca="1"/>
        <v>#NAME?</v>
      </c>
      <c r="CP91" s="32" t="e">
        <f ca="1"/>
        <v>#NAME?</v>
      </c>
      <c r="CQ91" s="32" t="e">
        <f ca="1"/>
        <v>#NAME?</v>
      </c>
      <c r="CR91" s="30" t="e">
        <f ca="1"/>
        <v>#NAME?</v>
      </c>
      <c r="CS91" s="30" t="str">
        <f ca="1">IFERROR(__xludf.DUMMYFUNCTION("""COMPUTED_VALUE"""),"NNA (Niñas, Niños y Adolescentes)")</f>
        <v>NNA (Niñas, Niños y Adolescentes)</v>
      </c>
    </row>
    <row r="92" spans="1:97" ht="14.5">
      <c r="A92" s="29" t="str">
        <f ca="1">IFERROR(__xludf.DUMMYFUNCTION("""COMPUTED_VALUE"""),"ACT-SCMZ54375")</f>
        <v>ACT-SCMZ54375</v>
      </c>
      <c r="B92" s="30" t="str">
        <f ca="1">IFERROR(__xludf.DUMMYFUNCTION("""COMPUTED_VALUE"""),"SC-260622-121605")</f>
        <v>SC-260622-121605</v>
      </c>
      <c r="C92" s="62">
        <f ca="1">IFERROR(__xludf.DUMMYFUNCTION("""COMPUTED_VALUE"""),46195.5111689814)</f>
        <v>46195.5111689814</v>
      </c>
      <c r="D92" s="30">
        <f ca="1">IFERROR(__xludf.DUMMYFUNCTION("""COMPUTED_VALUE"""),92)</f>
        <v>92</v>
      </c>
      <c r="E92" s="30" t="str">
        <f ca="1">IFERROR(__xludf.DUMMYFUNCTION("""COMPUTED_VALUE"""),"PB3572")</f>
        <v>PB3572</v>
      </c>
      <c r="F9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2" s="30" t="str">
        <f ca="1">IFERROR(__xludf.DUMMYFUNCTION("""COMPUTED_VALUE"""),"SUBSECRETARÍA DE DESARROLLO Y PROMOCIÓN ARTÍSTICA Y CULTURAL")</f>
        <v>SUBSECRETARÍA DE DESARROLLO Y PROMOCIÓN ARTÍSTICA Y CULTURAL</v>
      </c>
      <c r="I92" s="34" t="str">
        <f ca="1">IFERROR(__xludf.DUMMYFUNCTION("""COMPUTED_VALUE"""),"DIRECCIÓN GENERAL DE MUSEOS, ARTES VISUALES Y EXPOSICIONES")</f>
        <v>DIRECCIÓN GENERAL DE MUSEOS, ARTES VISUALES Y EXPOSICIONES</v>
      </c>
      <c r="J92" s="30" t="str">
        <f ca="1">IFERROR(__xludf.DUMMYFUNCTION("""COMPUTED_VALUE"""),"Número de Actividades realizadas")</f>
        <v>Número de Actividades realizadas</v>
      </c>
      <c r="K92" s="30">
        <f ca="1">IFERROR(__xludf.DUMMYFUNCTION("""COMPUTED_VALUE"""),800)</f>
        <v>800</v>
      </c>
      <c r="L92" s="30" t="str">
        <f ca="1">IFERROR(__xludf.DUMMYFUNCTION("""COMPUTED_VALUE"""),"Artística")</f>
        <v>Artística</v>
      </c>
      <c r="M92" s="30" t="str">
        <f ca="1">IFERROR(__xludf.DUMMYFUNCTION("""COMPUTED_VALUE"""),"Visita guiada libre")</f>
        <v>Visita guiada libre</v>
      </c>
      <c r="N92" s="30" t="str">
        <f ca="1">IFERROR(__xludf.DUMMYFUNCTION("""COMPUTED_VALUE"""),"Recorrido guiado por el museo")</f>
        <v>Recorrido guiado por el museo</v>
      </c>
      <c r="O92" s="30" t="str">
        <f ca="1">IFERROR(__xludf.DUMMYFUNCTION("""COMPUTED_VALUE"""),"Única")</f>
        <v>Única</v>
      </c>
      <c r="P92" s="33">
        <f ca="1">IFERROR(__xludf.DUMMYFUNCTION("""COMPUTED_VALUE"""),46173)</f>
        <v>46173</v>
      </c>
      <c r="Q92" s="65">
        <f ca="1">IFERROR(__xludf.DUMMYFUNCTION("""COMPUTED_VALUE"""),46173)</f>
        <v>46173</v>
      </c>
      <c r="R92" s="30">
        <f ca="1">IFERROR(__xludf.DUMMYFUNCTION("""COMPUTED_VALUE"""),1)</f>
        <v>1</v>
      </c>
      <c r="S92" s="30" t="str">
        <f ca="1">IFERROR(__xludf.DUMMYFUNCTION("""COMPUTED_VALUE"""),"Cultura comunitaria")</f>
        <v>Cultura comunitaria</v>
      </c>
      <c r="T92" s="30" t="str">
        <f ca="1">IFERROR(__xludf.DUMMYFUNCTION("""COMPUTED_VALUE"""),"Formación comunitaria")</f>
        <v>Formación comunitaria</v>
      </c>
      <c r="U92" s="30" t="str">
        <f ca="1">IFERROR(__xludf.DUMMYFUNCTION("""COMPUTED_VALUE"""),"Visitas escolares")</f>
        <v>Visitas escolares</v>
      </c>
      <c r="V92" s="30" t="str">
        <f ca="1">IFERROR(__xludf.DUMMYFUNCTION("""COMPUTED_VALUE"""),"Ninguna")</f>
        <v>Ninguna</v>
      </c>
      <c r="W92" s="30" t="str">
        <f ca="1">IFERROR(__xludf.DUMMYFUNCTION("""COMPUTED_VALUE"""),"Presencial")</f>
        <v>Presencial</v>
      </c>
      <c r="X92" s="30" t="str">
        <f ca="1">IFERROR(__xludf.DUMMYFUNCTION("""COMPUTED_VALUE"""),"Espacio a Cargo de la Secretaría")</f>
        <v>Espacio a Cargo de la Secretaría</v>
      </c>
      <c r="Y92" s="30" t="str">
        <f ca="1">IFERROR(__xludf.DUMMYFUNCTION("""COMPUTED_VALUE"""),"2")</f>
        <v>2</v>
      </c>
      <c r="Z92" s="30"/>
      <c r="AA92" s="30"/>
      <c r="AB92" s="30" t="b">
        <f ca="1">IFERROR(__xludf.DUMMYFUNCTION("""COMPUTED_VALUE"""),FALSE)</f>
        <v>0</v>
      </c>
      <c r="AC92" s="30"/>
      <c r="AD92" s="30" t="b">
        <f ca="1">IFERROR(__xludf.DUMMYFUNCTION("""COMPUTED_VALUE"""),FALSE)</f>
        <v>0</v>
      </c>
      <c r="AE92" s="30"/>
      <c r="AF92" s="30" t="b">
        <f ca="1">IFERROR(__xludf.DUMMYFUNCTION("""COMPUTED_VALUE"""),FALSE)</f>
        <v>0</v>
      </c>
      <c r="AG92" s="30"/>
      <c r="AH92" s="30" t="str">
        <f ca="1">IFERROR(__xludf.DUMMYFUNCTION("""COMPUTED_VALUE"""),"Sin costo")</f>
        <v>Sin costo</v>
      </c>
      <c r="AI92" s="30"/>
      <c r="AJ92" s="30"/>
      <c r="AK92" s="30"/>
      <c r="AL92" s="30" t="str">
        <f ca="1">IFERROR(__xludf.DUMMYFUNCTION("""COMPUTED_VALUE"""),"ccardonav@guanajuato.gob.mx")</f>
        <v>ccardonav@guanajuato.gob.mx</v>
      </c>
      <c r="AM92" s="30" t="str">
        <f ca="1">IFERROR(__xludf.DUMMYFUNCTION("""COMPUTED_VALUE"""),"Arraigo y empoderamiento cultural de comunidades.")</f>
        <v>Arraigo y empoderamiento cultural de comunidades.</v>
      </c>
      <c r="AN92" s="30" t="str">
        <f ca="1">IFERROR(__xludf.DUMMYFUNCTION("""COMPUTED_VALUE"""),"2 Igualdad")</f>
        <v>2 Igualdad</v>
      </c>
      <c r="AO92" s="30" t="str">
        <f ca="1">IFERROR(__xludf.DUMMYFUNCTION("""COMPUTED_VALUE"""),"2.1 Protección de derechos humanos")</f>
        <v>2.1 Protección de derechos humanos</v>
      </c>
      <c r="AP92" s="30" t="str">
        <f ca="1">IFERROR(__xludf.DUMMYFUNCTION("""COMPUTED_VALUE"""),"2.1.3 Inclusión de personas con discapacidad")</f>
        <v>2.1.3 Inclusión de personas con discapacidad</v>
      </c>
      <c r="AQ92" s="30" t="str">
        <f ca="1">IFERROR(__xludf.DUMMYFUNCTION("""COMPUTED_VALUE"""),"2.1.3.2 Coordinar la incorporación progresiva de la accesibilidad universal")</f>
        <v>2.1.3.2 Coordinar la incorporación progresiva de la accesibilidad universal</v>
      </c>
      <c r="AR92" s="30" t="str">
        <f ca="1">IFERROR(__xludf.DUMMYFUNCTION("""COMPUTED_VALUE"""),"Cooperación")</f>
        <v>Cooperación</v>
      </c>
      <c r="AS92" s="30"/>
      <c r="AT92" s="30" t="str">
        <f ca="1">IFERROR(__xludf.DUMMYFUNCTION("""COMPUTED_VALUE"""),"Fortalecimiento de la participación ciudadana y la mediación cultural")</f>
        <v>Fortalecimiento de la participación ciudadana y la mediación cultural</v>
      </c>
      <c r="AU92" s="30" t="str">
        <f ca="1">IFERROR(__xludf.DUMMYFUNCTION("""COMPUTED_VALUE"""),"Impulso a la ampliación de la oferta cultural en los territorios.")</f>
        <v>Impulso a la ampliación de la oferta cultural en los territorios.</v>
      </c>
      <c r="AV9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2" s="30" t="str">
        <f ca="1">IFERROR(__xludf.DUMMYFUNCTION("""COMPUTED_VALUE"""),"Incrementar en 25% la oferta cultural realizada en los municipios.")</f>
        <v>Incrementar en 25% la oferta cultural realizada en los municipios.</v>
      </c>
      <c r="AX92" s="30" t="str">
        <f ca="1">IFERROR(__xludf.DUMMYFUNCTION("""COMPUTED_VALUE"""),"Visitas escolares")</f>
        <v>Visitas escolares</v>
      </c>
      <c r="AY92" s="30" t="str">
        <f ca="1">IFERROR(__xludf.DUMMYFUNCTION("""COMPUTED_VALUE"""),"Formación")</f>
        <v>Formación</v>
      </c>
      <c r="AZ92" s="30" t="str">
        <f ca="1">IFERROR(__xludf.DUMMYFUNCTION("""COMPUTED_VALUE"""),"Formación")</f>
        <v>Formación</v>
      </c>
      <c r="BA92" s="30"/>
      <c r="BB92" s="30"/>
      <c r="BC92" s="30">
        <f ca="1">IFERROR(__xludf.DUMMYFUNCTION("""COMPUTED_VALUE"""),0)</f>
        <v>0</v>
      </c>
      <c r="BD92" s="30"/>
      <c r="BE92" s="30"/>
      <c r="BF92" s="30" t="b">
        <f ca="1">IFERROR(__xludf.DUMMYFUNCTION("""COMPUTED_VALUE"""),FALSE)</f>
        <v>0</v>
      </c>
      <c r="BG92" s="30"/>
      <c r="BH92" s="30"/>
      <c r="BI92" s="30"/>
      <c r="BJ92" s="30"/>
      <c r="BK92" s="30"/>
      <c r="BL92" s="30"/>
      <c r="BM92" s="30" t="str">
        <f ca="1">IFERROR(__xludf.DUMMYFUNCTION("""COMPUTED_VALUE"""),"No")</f>
        <v>No</v>
      </c>
      <c r="BN92" s="30"/>
      <c r="BO92" s="30" t="str">
        <f ca="1">IFERROR(__xludf.DUMMYFUNCTION("""COMPUTED_VALUE"""),"11611566")</f>
        <v>11611566</v>
      </c>
      <c r="BP92" s="29" t="str">
        <f ca="1">IFERROR(__xludf.DUMMYFUNCTION("""COMPUTED_VALUE"""),"Guanajuato")</f>
        <v>Guanajuato</v>
      </c>
      <c r="BQ92" s="30" t="str">
        <f ca="1">IFERROR(__xludf.DUMMYFUNCTION("""COMPUTED_VALUE"""),"Urbano")</f>
        <v>Urbano</v>
      </c>
      <c r="BR92" s="30"/>
      <c r="BS92" s="30"/>
      <c r="BT92" s="30"/>
      <c r="BU92" s="30" t="str">
        <f ca="1">IFERROR(__xludf.DUMMYFUNCTION("""COMPUTED_VALUE"""),"No")</f>
        <v>No</v>
      </c>
      <c r="BV92" s="30" t="str">
        <f ca="1">IFERROR(__xludf.DUMMYFUNCTION("""COMPUTED_VALUE"""),"No")</f>
        <v>No</v>
      </c>
      <c r="BW92" s="30">
        <f ca="1">IFERROR(__xludf.DUMMYFUNCTION("""COMPUTED_VALUE"""),17)</f>
        <v>17</v>
      </c>
      <c r="BX92" s="30"/>
      <c r="BY92" s="30">
        <f ca="1">IFERROR(__xludf.DUMMYFUNCTION("""COMPUTED_VALUE"""),17)</f>
        <v>17</v>
      </c>
      <c r="BZ92" s="30"/>
      <c r="CA92" s="30" t="str">
        <f ca="1">IFERROR(__xludf.DUMMYFUNCTION("""COMPUTED_VALUE"""),"No")</f>
        <v>No</v>
      </c>
      <c r="CB92" s="30" t="str">
        <f ca="1">IFERROR(__xludf.DUMMYFUNCTION("""COMPUTED_VALUE"""),"No")</f>
        <v>No</v>
      </c>
      <c r="CC92" s="30" t="str">
        <f ca="1">IFERROR(__xludf.DUMMYFUNCTION("""COMPUTED_VALUE"""),"cf3ecd12")</f>
        <v>cf3ecd12</v>
      </c>
      <c r="CD92" s="29" t="str">
        <f ca="1">IFERROR(__xludf.DUMMYFUNCTION("""COMPUTED_VALUE"""),"Adultos (30 a 59 años)")</f>
        <v>Adultos (30 a 59 años)</v>
      </c>
      <c r="CE92" s="30" t="str">
        <f ca="1">IFERROR(__xludf.DUMMYFUNCTION("""COMPUTED_VALUE"""),"Dato global")</f>
        <v>Dato global</v>
      </c>
      <c r="CF92" s="30" t="str">
        <f ca="1">IFERROR(__xludf.DUMMYFUNCTION("""COMPUTED_VALUE"""),"Ninguno (Población General)")</f>
        <v>Ninguno (Población General)</v>
      </c>
      <c r="CG92" s="30">
        <f ca="1">IFERROR(__xludf.DUMMYFUNCTION("""COMPUTED_VALUE"""),100)</f>
        <v>100</v>
      </c>
      <c r="CI92" s="30" t="str">
        <f ca="1">IFERROR(__xludf.DUMMYFUNCTION("""COMPUTED_VALUE"""),"f45fd606")</f>
        <v>f45fd606</v>
      </c>
      <c r="CJ92" s="29" t="str">
        <f ca="1">IFERROR(__xludf.DUMMYFUNCTION("""COMPUTED_VALUE"""),"Regitro_Evidencia_Files_/f45fd606.Archivo_Evidencia.225405.34 (1).pdf")</f>
        <v>Regitro_Evidencia_Files_/f45fd606.Archivo_Evidencia.225405.34 (1).pdf</v>
      </c>
      <c r="CK92" s="30" t="str">
        <f ca="1">IFERROR(__xludf.DUMMYFUNCTION("""COMPUTED_VALUE"""),"PDF")</f>
        <v>PDF</v>
      </c>
      <c r="CL92" s="30"/>
      <c r="CM92" s="30" t="str">
        <f ca="1">IFERROR(__xludf.DUMMYFUNCTION("""COMPUTED_VALUE"""),"Guanajuato")</f>
        <v>Guanajuato</v>
      </c>
      <c r="CN92" s="32" t="e">
        <f ca="1"/>
        <v>#NAME?</v>
      </c>
      <c r="CO92" s="32" t="e">
        <f ca="1"/>
        <v>#NAME?</v>
      </c>
      <c r="CP92" s="32" t="e">
        <f ca="1"/>
        <v>#NAME?</v>
      </c>
      <c r="CQ92" s="32" t="e">
        <f ca="1"/>
        <v>#NAME?</v>
      </c>
      <c r="CR92" s="30" t="e">
        <f ca="1"/>
        <v>#NAME?</v>
      </c>
      <c r="CS92" s="30" t="str">
        <f ca="1">IFERROR(__xludf.DUMMYFUNCTION("""COMPUTED_VALUE"""),"Ninguno (Población General), Ninguno (Población General)")</f>
        <v>Ninguno (Población General), Ninguno (Población General)</v>
      </c>
    </row>
    <row r="93" spans="1:97" ht="14.5">
      <c r="A93" s="29" t="str">
        <f ca="1">IFERROR(__xludf.DUMMYFUNCTION("""COMPUTED_VALUE"""),"ACT-SCVP20410")</f>
        <v>ACT-SCVP20410</v>
      </c>
      <c r="B93" s="30" t="str">
        <f ca="1">IFERROR(__xludf.DUMMYFUNCTION("""COMPUTED_VALUE"""),"SC-260622-121932")</f>
        <v>SC-260622-121932</v>
      </c>
      <c r="C93" s="62">
        <f ca="1">IFERROR(__xludf.DUMMYFUNCTION("""COMPUTED_VALUE"""),46195.5135648148)</f>
        <v>46195.513564814799</v>
      </c>
      <c r="D93" s="30">
        <f ca="1">IFERROR(__xludf.DUMMYFUNCTION("""COMPUTED_VALUE"""),92)</f>
        <v>92</v>
      </c>
      <c r="E93" s="30" t="str">
        <f ca="1">IFERROR(__xludf.DUMMYFUNCTION("""COMPUTED_VALUE"""),"PB3572")</f>
        <v>PB3572</v>
      </c>
      <c r="F9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3" s="30" t="str">
        <f ca="1">IFERROR(__xludf.DUMMYFUNCTION("""COMPUTED_VALUE"""),"SUBSECRETARÍA DE DESARROLLO Y PROMOCIÓN ARTÍSTICA Y CULTURAL")</f>
        <v>SUBSECRETARÍA DE DESARROLLO Y PROMOCIÓN ARTÍSTICA Y CULTURAL</v>
      </c>
      <c r="I93" s="34" t="str">
        <f ca="1">IFERROR(__xludf.DUMMYFUNCTION("""COMPUTED_VALUE"""),"DIRECCIÓN GENERAL DE MUSEOS, ARTES VISUALES Y EXPOSICIONES")</f>
        <v>DIRECCIÓN GENERAL DE MUSEOS, ARTES VISUALES Y EXPOSICIONES</v>
      </c>
      <c r="J93" s="30" t="str">
        <f ca="1">IFERROR(__xludf.DUMMYFUNCTION("""COMPUTED_VALUE"""),"Número de Actividades realizadas")</f>
        <v>Número de Actividades realizadas</v>
      </c>
      <c r="K93" s="30">
        <f ca="1">IFERROR(__xludf.DUMMYFUNCTION("""COMPUTED_VALUE"""),800)</f>
        <v>800</v>
      </c>
      <c r="L93" s="30" t="str">
        <f ca="1">IFERROR(__xludf.DUMMYFUNCTION("""COMPUTED_VALUE"""),"Artística")</f>
        <v>Artística</v>
      </c>
      <c r="M93" s="30" t="str">
        <f ca="1">IFERROR(__xludf.DUMMYFUNCTION("""COMPUTED_VALUE"""),"Visita guiada Esc. TVC Bachillerato Loma de Yerbabuena")</f>
        <v>Visita guiada Esc. TVC Bachillerato Loma de Yerbabuena</v>
      </c>
      <c r="N93" s="30" t="str">
        <f ca="1">IFERROR(__xludf.DUMMYFUNCTION("""COMPUTED_VALUE"""),"Recorrido guiado por el museo")</f>
        <v>Recorrido guiado por el museo</v>
      </c>
      <c r="O93" s="30" t="str">
        <f ca="1">IFERROR(__xludf.DUMMYFUNCTION("""COMPUTED_VALUE"""),"Única")</f>
        <v>Única</v>
      </c>
      <c r="P93" s="33">
        <f ca="1">IFERROR(__xludf.DUMMYFUNCTION("""COMPUTED_VALUE"""),46164)</f>
        <v>46164</v>
      </c>
      <c r="Q93" s="65">
        <f ca="1">IFERROR(__xludf.DUMMYFUNCTION("""COMPUTED_VALUE"""),46164)</f>
        <v>46164</v>
      </c>
      <c r="R93" s="30">
        <f ca="1">IFERROR(__xludf.DUMMYFUNCTION("""COMPUTED_VALUE"""),1)</f>
        <v>1</v>
      </c>
      <c r="S93" s="30" t="str">
        <f ca="1">IFERROR(__xludf.DUMMYFUNCTION("""COMPUTED_VALUE"""),"Cultura comunitaria")</f>
        <v>Cultura comunitaria</v>
      </c>
      <c r="T93" s="30" t="str">
        <f ca="1">IFERROR(__xludf.DUMMYFUNCTION("""COMPUTED_VALUE"""),"Formación comunitaria")</f>
        <v>Formación comunitaria</v>
      </c>
      <c r="U93" s="30" t="str">
        <f ca="1">IFERROR(__xludf.DUMMYFUNCTION("""COMPUTED_VALUE"""),"Visitas escolares")</f>
        <v>Visitas escolares</v>
      </c>
      <c r="V93" s="30" t="str">
        <f ca="1">IFERROR(__xludf.DUMMYFUNCTION("""COMPUTED_VALUE"""),"Ninguna")</f>
        <v>Ninguna</v>
      </c>
      <c r="W93" s="30" t="str">
        <f ca="1">IFERROR(__xludf.DUMMYFUNCTION("""COMPUTED_VALUE"""),"Presencial")</f>
        <v>Presencial</v>
      </c>
      <c r="X93" s="30" t="str">
        <f ca="1">IFERROR(__xludf.DUMMYFUNCTION("""COMPUTED_VALUE"""),"Espacio a Cargo de la Secretaría")</f>
        <v>Espacio a Cargo de la Secretaría</v>
      </c>
      <c r="Y93" s="30" t="str">
        <f ca="1">IFERROR(__xludf.DUMMYFUNCTION("""COMPUTED_VALUE"""),"2")</f>
        <v>2</v>
      </c>
      <c r="Z93" s="30"/>
      <c r="AA93" s="30"/>
      <c r="AB93" s="30" t="b">
        <f ca="1">IFERROR(__xludf.DUMMYFUNCTION("""COMPUTED_VALUE"""),FALSE)</f>
        <v>0</v>
      </c>
      <c r="AC93" s="30"/>
      <c r="AD93" s="30" t="b">
        <f ca="1">IFERROR(__xludf.DUMMYFUNCTION("""COMPUTED_VALUE"""),FALSE)</f>
        <v>0</v>
      </c>
      <c r="AE93" s="30"/>
      <c r="AF93" s="30" t="b">
        <f ca="1">IFERROR(__xludf.DUMMYFUNCTION("""COMPUTED_VALUE"""),FALSE)</f>
        <v>0</v>
      </c>
      <c r="AG93" s="30"/>
      <c r="AH93" s="30" t="str">
        <f ca="1">IFERROR(__xludf.DUMMYFUNCTION("""COMPUTED_VALUE"""),"Sin costo")</f>
        <v>Sin costo</v>
      </c>
      <c r="AI93" s="30"/>
      <c r="AJ93" s="30"/>
      <c r="AK93" s="30"/>
      <c r="AL93" s="30" t="str">
        <f ca="1">IFERROR(__xludf.DUMMYFUNCTION("""COMPUTED_VALUE"""),"ccardonav@guanajuato.gob.mx")</f>
        <v>ccardonav@guanajuato.gob.mx</v>
      </c>
      <c r="AM93" s="30" t="str">
        <f ca="1">IFERROR(__xludf.DUMMYFUNCTION("""COMPUTED_VALUE"""),"Arraigo y empoderamiento cultural de comunidades.")</f>
        <v>Arraigo y empoderamiento cultural de comunidades.</v>
      </c>
      <c r="AN93" s="30" t="str">
        <f ca="1">IFERROR(__xludf.DUMMYFUNCTION("""COMPUTED_VALUE"""),"2 Igualdad")</f>
        <v>2 Igualdad</v>
      </c>
      <c r="AO93" s="30" t="str">
        <f ca="1">IFERROR(__xludf.DUMMYFUNCTION("""COMPUTED_VALUE"""),"2.1 Protección de derechos humanos")</f>
        <v>2.1 Protección de derechos humanos</v>
      </c>
      <c r="AP93" s="30" t="str">
        <f ca="1">IFERROR(__xludf.DUMMYFUNCTION("""COMPUTED_VALUE"""),"2.1.3 Inclusión de personas con discapacidad")</f>
        <v>2.1.3 Inclusión de personas con discapacidad</v>
      </c>
      <c r="AQ93" s="30" t="str">
        <f ca="1">IFERROR(__xludf.DUMMYFUNCTION("""COMPUTED_VALUE"""),"2.1.3.2 Coordinar la incorporación progresiva de la accesibilidad universal")</f>
        <v>2.1.3.2 Coordinar la incorporación progresiva de la accesibilidad universal</v>
      </c>
      <c r="AR93" s="30" t="str">
        <f ca="1">IFERROR(__xludf.DUMMYFUNCTION("""COMPUTED_VALUE"""),"Cooperación")</f>
        <v>Cooperación</v>
      </c>
      <c r="AS93" s="30"/>
      <c r="AT93" s="30" t="str">
        <f ca="1">IFERROR(__xludf.DUMMYFUNCTION("""COMPUTED_VALUE"""),"Fortalecimiento de la participación ciudadana y la mediación cultural")</f>
        <v>Fortalecimiento de la participación ciudadana y la mediación cultural</v>
      </c>
      <c r="AU93" s="30" t="str">
        <f ca="1">IFERROR(__xludf.DUMMYFUNCTION("""COMPUTED_VALUE"""),"Impulso a la ampliación de la oferta cultural en los territorios.")</f>
        <v>Impulso a la ampliación de la oferta cultural en los territorios.</v>
      </c>
      <c r="AV9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3" s="30" t="str">
        <f ca="1">IFERROR(__xludf.DUMMYFUNCTION("""COMPUTED_VALUE"""),"Incrementar en 25% la oferta cultural realizada en los municipios.")</f>
        <v>Incrementar en 25% la oferta cultural realizada en los municipios.</v>
      </c>
      <c r="AX93" s="30" t="str">
        <f ca="1">IFERROR(__xludf.DUMMYFUNCTION("""COMPUTED_VALUE"""),"Visitas escolares")</f>
        <v>Visitas escolares</v>
      </c>
      <c r="AY93" s="30" t="str">
        <f ca="1">IFERROR(__xludf.DUMMYFUNCTION("""COMPUTED_VALUE"""),"Formación")</f>
        <v>Formación</v>
      </c>
      <c r="AZ93" s="30"/>
      <c r="BA93" s="30"/>
      <c r="BB93" s="30"/>
      <c r="BC93" s="30">
        <f ca="1">IFERROR(__xludf.DUMMYFUNCTION("""COMPUTED_VALUE"""),0)</f>
        <v>0</v>
      </c>
      <c r="BD93" s="30"/>
      <c r="BE93" s="30"/>
      <c r="BF93" s="30" t="b">
        <f ca="1">IFERROR(__xludf.DUMMYFUNCTION("""COMPUTED_VALUE"""),FALSE)</f>
        <v>0</v>
      </c>
      <c r="BG93" s="30"/>
      <c r="BH93" s="30"/>
      <c r="BI93" s="30"/>
      <c r="BJ93" s="30"/>
      <c r="BK93" s="30"/>
      <c r="BL93" s="30"/>
      <c r="BM93" s="30" t="str">
        <f ca="1">IFERROR(__xludf.DUMMYFUNCTION("""COMPUTED_VALUE"""),"No")</f>
        <v>No</v>
      </c>
      <c r="BN93" s="30"/>
      <c r="BO93" s="30" t="str">
        <f ca="1">IFERROR(__xludf.DUMMYFUNCTION("""COMPUTED_VALUE"""),"a1a8569e")</f>
        <v>a1a8569e</v>
      </c>
      <c r="BP93" s="29" t="str">
        <f ca="1">IFERROR(__xludf.DUMMYFUNCTION("""COMPUTED_VALUE"""),"Guanajuato")</f>
        <v>Guanajuato</v>
      </c>
      <c r="BQ93" s="30" t="str">
        <f ca="1">IFERROR(__xludf.DUMMYFUNCTION("""COMPUTED_VALUE"""),"Urbano")</f>
        <v>Urbano</v>
      </c>
      <c r="BR93" s="30"/>
      <c r="BS93" s="30"/>
      <c r="BT93" s="30"/>
      <c r="BU93" s="30" t="str">
        <f ca="1">IFERROR(__xludf.DUMMYFUNCTION("""COMPUTED_VALUE"""),"No")</f>
        <v>No</v>
      </c>
      <c r="BV93" s="30" t="str">
        <f ca="1">IFERROR(__xludf.DUMMYFUNCTION("""COMPUTED_VALUE"""),"No")</f>
        <v>No</v>
      </c>
      <c r="BW93" s="30">
        <f ca="1">IFERROR(__xludf.DUMMYFUNCTION("""COMPUTED_VALUE"""),22)</f>
        <v>22</v>
      </c>
      <c r="BX93" s="30"/>
      <c r="BY93" s="30">
        <f ca="1">IFERROR(__xludf.DUMMYFUNCTION("""COMPUTED_VALUE"""),22)</f>
        <v>22</v>
      </c>
      <c r="BZ93" s="30"/>
      <c r="CA93" s="30" t="str">
        <f ca="1">IFERROR(__xludf.DUMMYFUNCTION("""COMPUTED_VALUE"""),"No")</f>
        <v>No</v>
      </c>
      <c r="CB93" s="30" t="str">
        <f ca="1">IFERROR(__xludf.DUMMYFUNCTION("""COMPUTED_VALUE"""),"No")</f>
        <v>No</v>
      </c>
      <c r="CC93" s="30" t="str">
        <f ca="1">IFERROR(__xludf.DUMMYFUNCTION("""COMPUTED_VALUE"""),"4c26deef")</f>
        <v>4c26deef</v>
      </c>
      <c r="CD93" s="29" t="str">
        <f ca="1">IFERROR(__xludf.DUMMYFUNCTION("""COMPUTED_VALUE"""),"Adultos Mayores (60 años o más)")</f>
        <v>Adultos Mayores (60 años o más)</v>
      </c>
      <c r="CE93" s="30" t="str">
        <f ca="1">IFERROR(__xludf.DUMMYFUNCTION("""COMPUTED_VALUE"""),"Dato global")</f>
        <v>Dato global</v>
      </c>
      <c r="CF93" s="30" t="str">
        <f ca="1">IFERROR(__xludf.DUMMYFUNCTION("""COMPUTED_VALUE"""),"Ninguno (Población General)")</f>
        <v>Ninguno (Población General)</v>
      </c>
      <c r="CG93" s="30">
        <f ca="1">IFERROR(__xludf.DUMMYFUNCTION("""COMPUTED_VALUE"""),78)</f>
        <v>78</v>
      </c>
      <c r="CI93" s="30" t="str">
        <f ca="1">IFERROR(__xludf.DUMMYFUNCTION("""COMPUTED_VALUE"""),"e774f187")</f>
        <v>e774f187</v>
      </c>
      <c r="CJ93" s="29" t="str">
        <f ca="1">IFERROR(__xludf.DUMMYFUNCTION("""COMPUTED_VALUE"""),"Regitro_Evidencia_Files_/e774f187.Archivo_Evidencia.225933.06 (4).pdf")</f>
        <v>Regitro_Evidencia_Files_/e774f187.Archivo_Evidencia.225933.06 (4).pdf</v>
      </c>
      <c r="CK93" s="30" t="str">
        <f ca="1">IFERROR(__xludf.DUMMYFUNCTION("""COMPUTED_VALUE"""),"PDF")</f>
        <v>PDF</v>
      </c>
      <c r="CL93" s="30"/>
      <c r="CM93" s="30" t="str">
        <f ca="1">IFERROR(__xludf.DUMMYFUNCTION("""COMPUTED_VALUE"""),"Guanajuato")</f>
        <v>Guanajuato</v>
      </c>
      <c r="CN93" s="32" t="e">
        <f ca="1"/>
        <v>#NAME?</v>
      </c>
      <c r="CO93" s="32" t="e">
        <f ca="1"/>
        <v>#NAME?</v>
      </c>
      <c r="CP93" s="32" t="e">
        <f ca="1"/>
        <v>#NAME?</v>
      </c>
      <c r="CQ93" s="32" t="e">
        <f ca="1"/>
        <v>#NAME?</v>
      </c>
      <c r="CR93" s="30" t="e">
        <f ca="1"/>
        <v>#NAME?</v>
      </c>
      <c r="CS93" s="30" t="str">
        <f ca="1">IFERROR(__xludf.DUMMYFUNCTION("""COMPUTED_VALUE"""),"Ninguno (Población General)")</f>
        <v>Ninguno (Población General)</v>
      </c>
    </row>
    <row r="94" spans="1:97" ht="14.5">
      <c r="A94" s="29" t="str">
        <f ca="1">IFERROR(__xludf.DUMMYFUNCTION("""COMPUTED_VALUE"""),"ACT-SCWC72951")</f>
        <v>ACT-SCWC72951</v>
      </c>
      <c r="B94" s="30" t="str">
        <f ca="1">IFERROR(__xludf.DUMMYFUNCTION("""COMPUTED_VALUE"""),"SC-260622-122514")</f>
        <v>SC-260622-122514</v>
      </c>
      <c r="C94" s="62">
        <f ca="1">IFERROR(__xludf.DUMMYFUNCTION("""COMPUTED_VALUE"""),46195.5175231481)</f>
        <v>46195.517523148097</v>
      </c>
      <c r="D94" s="30">
        <f ca="1">IFERROR(__xludf.DUMMYFUNCTION("""COMPUTED_VALUE"""),92)</f>
        <v>92</v>
      </c>
      <c r="E94" s="30" t="str">
        <f ca="1">IFERROR(__xludf.DUMMYFUNCTION("""COMPUTED_VALUE"""),"PB3572")</f>
        <v>PB3572</v>
      </c>
      <c r="F9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4" s="30" t="str">
        <f ca="1">IFERROR(__xludf.DUMMYFUNCTION("""COMPUTED_VALUE"""),"SUBSECRETARÍA DE DESARROLLO Y PROMOCIÓN ARTÍSTICA Y CULTURAL")</f>
        <v>SUBSECRETARÍA DE DESARROLLO Y PROMOCIÓN ARTÍSTICA Y CULTURAL</v>
      </c>
      <c r="I94" s="34" t="str">
        <f ca="1">IFERROR(__xludf.DUMMYFUNCTION("""COMPUTED_VALUE"""),"DIRECCIÓN GENERAL DE MUSEOS, ARTES VISUALES Y EXPOSICIONES")</f>
        <v>DIRECCIÓN GENERAL DE MUSEOS, ARTES VISUALES Y EXPOSICIONES</v>
      </c>
      <c r="J94" s="30" t="str">
        <f ca="1">IFERROR(__xludf.DUMMYFUNCTION("""COMPUTED_VALUE"""),"Número de Actividades realizadas")</f>
        <v>Número de Actividades realizadas</v>
      </c>
      <c r="K94" s="30">
        <f ca="1">IFERROR(__xludf.DUMMYFUNCTION("""COMPUTED_VALUE"""),800)</f>
        <v>800</v>
      </c>
      <c r="L94" s="30" t="str">
        <f ca="1">IFERROR(__xludf.DUMMYFUNCTION("""COMPUTED_VALUE"""),"Artística")</f>
        <v>Artística</v>
      </c>
      <c r="M94" s="30" t="str">
        <f ca="1">IFERROR(__xludf.DUMMYFUNCTION("""COMPUTED_VALUE"""),"Visita guiada Esc. Pri. Aquiles Serdán")</f>
        <v>Visita guiada Esc. Pri. Aquiles Serdán</v>
      </c>
      <c r="N94" s="30" t="str">
        <f ca="1">IFERROR(__xludf.DUMMYFUNCTION("""COMPUTED_VALUE"""),"Recorrido guiado por el museo")</f>
        <v>Recorrido guiado por el museo</v>
      </c>
      <c r="O94" s="30" t="str">
        <f ca="1">IFERROR(__xludf.DUMMYFUNCTION("""COMPUTED_VALUE"""),"Única")</f>
        <v>Única</v>
      </c>
      <c r="P94" s="33">
        <f ca="1">IFERROR(__xludf.DUMMYFUNCTION("""COMPUTED_VALUE"""),46164)</f>
        <v>46164</v>
      </c>
      <c r="Q94" s="65">
        <f ca="1">IFERROR(__xludf.DUMMYFUNCTION("""COMPUTED_VALUE"""),46164)</f>
        <v>46164</v>
      </c>
      <c r="R94" s="30">
        <f ca="1">IFERROR(__xludf.DUMMYFUNCTION("""COMPUTED_VALUE"""),1)</f>
        <v>1</v>
      </c>
      <c r="S94" s="30" t="str">
        <f ca="1">IFERROR(__xludf.DUMMYFUNCTION("""COMPUTED_VALUE"""),"Cultura comunitaria")</f>
        <v>Cultura comunitaria</v>
      </c>
      <c r="T94" s="30" t="str">
        <f ca="1">IFERROR(__xludf.DUMMYFUNCTION("""COMPUTED_VALUE"""),"Formación comunitaria")</f>
        <v>Formación comunitaria</v>
      </c>
      <c r="U94" s="30" t="str">
        <f ca="1">IFERROR(__xludf.DUMMYFUNCTION("""COMPUTED_VALUE"""),"Visitas escolares")</f>
        <v>Visitas escolares</v>
      </c>
      <c r="V94" s="30" t="str">
        <f ca="1">IFERROR(__xludf.DUMMYFUNCTION("""COMPUTED_VALUE"""),"Ninguna")</f>
        <v>Ninguna</v>
      </c>
      <c r="W94" s="30" t="str">
        <f ca="1">IFERROR(__xludf.DUMMYFUNCTION("""COMPUTED_VALUE"""),"Presencial")</f>
        <v>Presencial</v>
      </c>
      <c r="X94" s="30" t="str">
        <f ca="1">IFERROR(__xludf.DUMMYFUNCTION("""COMPUTED_VALUE"""),"Espacio a Cargo de la Secretaría")</f>
        <v>Espacio a Cargo de la Secretaría</v>
      </c>
      <c r="Y94" s="30" t="str">
        <f ca="1">IFERROR(__xludf.DUMMYFUNCTION("""COMPUTED_VALUE"""),"5")</f>
        <v>5</v>
      </c>
      <c r="Z94" s="30"/>
      <c r="AA94" s="30"/>
      <c r="AB94" s="30" t="b">
        <f ca="1">IFERROR(__xludf.DUMMYFUNCTION("""COMPUTED_VALUE"""),FALSE)</f>
        <v>0</v>
      </c>
      <c r="AC94" s="30"/>
      <c r="AD94" s="30" t="b">
        <f ca="1">IFERROR(__xludf.DUMMYFUNCTION("""COMPUTED_VALUE"""),FALSE)</f>
        <v>0</v>
      </c>
      <c r="AE94" s="30"/>
      <c r="AF94" s="30" t="b">
        <f ca="1">IFERROR(__xludf.DUMMYFUNCTION("""COMPUTED_VALUE"""),FALSE)</f>
        <v>0</v>
      </c>
      <c r="AG94" s="30"/>
      <c r="AH94" s="30" t="str">
        <f ca="1">IFERROR(__xludf.DUMMYFUNCTION("""COMPUTED_VALUE"""),"Sin costo")</f>
        <v>Sin costo</v>
      </c>
      <c r="AI94" s="30"/>
      <c r="AJ94" s="30"/>
      <c r="AK94" s="30"/>
      <c r="AL94" s="30" t="str">
        <f ca="1">IFERROR(__xludf.DUMMYFUNCTION("""COMPUTED_VALUE"""),"ccardonav@guanajuato.gob.mx")</f>
        <v>ccardonav@guanajuato.gob.mx</v>
      </c>
      <c r="AM94" s="30" t="str">
        <f ca="1">IFERROR(__xludf.DUMMYFUNCTION("""COMPUTED_VALUE"""),"Arraigo y empoderamiento cultural de comunidades.")</f>
        <v>Arraigo y empoderamiento cultural de comunidades.</v>
      </c>
      <c r="AN94" s="30" t="str">
        <f ca="1">IFERROR(__xludf.DUMMYFUNCTION("""COMPUTED_VALUE"""),"2 Igualdad")</f>
        <v>2 Igualdad</v>
      </c>
      <c r="AO94" s="30" t="str">
        <f ca="1">IFERROR(__xludf.DUMMYFUNCTION("""COMPUTED_VALUE"""),"2.1 Protección de derechos humanos")</f>
        <v>2.1 Protección de derechos humanos</v>
      </c>
      <c r="AP94" s="30" t="str">
        <f ca="1">IFERROR(__xludf.DUMMYFUNCTION("""COMPUTED_VALUE"""),"2.1.3 Inclusión de personas con discapacidad")</f>
        <v>2.1.3 Inclusión de personas con discapacidad</v>
      </c>
      <c r="AQ94" s="30" t="str">
        <f ca="1">IFERROR(__xludf.DUMMYFUNCTION("""COMPUTED_VALUE"""),"2.1.3.2 Coordinar la incorporación progresiva de la accesibilidad universal")</f>
        <v>2.1.3.2 Coordinar la incorporación progresiva de la accesibilidad universal</v>
      </c>
      <c r="AR94" s="30" t="str">
        <f ca="1">IFERROR(__xludf.DUMMYFUNCTION("""COMPUTED_VALUE"""),"Cooperación")</f>
        <v>Cooperación</v>
      </c>
      <c r="AS94" s="30"/>
      <c r="AT94" s="30" t="str">
        <f ca="1">IFERROR(__xludf.DUMMYFUNCTION("""COMPUTED_VALUE"""),"Fortalecimiento de la participación ciudadana y la mediación cultural")</f>
        <v>Fortalecimiento de la participación ciudadana y la mediación cultural</v>
      </c>
      <c r="AU94" s="30" t="str">
        <f ca="1">IFERROR(__xludf.DUMMYFUNCTION("""COMPUTED_VALUE"""),"Impulso a la ampliación de la oferta cultural en los territorios.")</f>
        <v>Impulso a la ampliación de la oferta cultural en los territorios.</v>
      </c>
      <c r="AV9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4" s="30" t="str">
        <f ca="1">IFERROR(__xludf.DUMMYFUNCTION("""COMPUTED_VALUE"""),"Incrementar en 25% la oferta cultural realizada en los municipios.")</f>
        <v>Incrementar en 25% la oferta cultural realizada en los municipios.</v>
      </c>
      <c r="AX94" s="30" t="str">
        <f ca="1">IFERROR(__xludf.DUMMYFUNCTION("""COMPUTED_VALUE"""),"Visitas escolares")</f>
        <v>Visitas escolares</v>
      </c>
      <c r="AY94" s="30" t="str">
        <f ca="1">IFERROR(__xludf.DUMMYFUNCTION("""COMPUTED_VALUE"""),"Formación")</f>
        <v>Formación</v>
      </c>
      <c r="AZ94" s="30" t="str">
        <f ca="1">IFERROR(__xludf.DUMMYFUNCTION("""COMPUTED_VALUE"""),"Formación")</f>
        <v>Formación</v>
      </c>
      <c r="BA94" s="30"/>
      <c r="BB94" s="30"/>
      <c r="BC94" s="30">
        <f ca="1">IFERROR(__xludf.DUMMYFUNCTION("""COMPUTED_VALUE"""),0)</f>
        <v>0</v>
      </c>
      <c r="BD94" s="30"/>
      <c r="BE94" s="30"/>
      <c r="BF94" s="30" t="b">
        <f ca="1">IFERROR(__xludf.DUMMYFUNCTION("""COMPUTED_VALUE"""),FALSE)</f>
        <v>0</v>
      </c>
      <c r="BG94" s="30"/>
      <c r="BH94" s="30"/>
      <c r="BI94" s="30"/>
      <c r="BJ94" s="30"/>
      <c r="BK94" s="30"/>
      <c r="BL94" s="30"/>
      <c r="BM94" s="30" t="str">
        <f ca="1">IFERROR(__xludf.DUMMYFUNCTION("""COMPUTED_VALUE"""),"No")</f>
        <v>No</v>
      </c>
      <c r="BN94" s="30"/>
      <c r="BO94" s="30" t="str">
        <f ca="1">IFERROR(__xludf.DUMMYFUNCTION("""COMPUTED_VALUE"""),"89c2ab17")</f>
        <v>89c2ab17</v>
      </c>
      <c r="BP94" s="29" t="str">
        <f ca="1">IFERROR(__xludf.DUMMYFUNCTION("""COMPUTED_VALUE"""),"Guanajuato")</f>
        <v>Guanajuato</v>
      </c>
      <c r="BQ94" s="30" t="str">
        <f ca="1">IFERROR(__xludf.DUMMYFUNCTION("""COMPUTED_VALUE"""),"Urbano")</f>
        <v>Urbano</v>
      </c>
      <c r="BR94" s="30"/>
      <c r="BS94" s="30"/>
      <c r="BT94" s="30" t="str">
        <f ca="1">IFERROR(__xludf.DUMMYFUNCTION("""COMPUTED_VALUE"""),"ZONA CENTRO")</f>
        <v>ZONA CENTRO</v>
      </c>
      <c r="BU94" s="30" t="str">
        <f ca="1">IFERROR(__xludf.DUMMYFUNCTION("""COMPUTED_VALUE"""),"No")</f>
        <v>No</v>
      </c>
      <c r="BV94" s="30" t="str">
        <f ca="1">IFERROR(__xludf.DUMMYFUNCTION("""COMPUTED_VALUE"""),"No")</f>
        <v>No</v>
      </c>
      <c r="BW94" s="30">
        <f ca="1">IFERROR(__xludf.DUMMYFUNCTION("""COMPUTED_VALUE"""),74)</f>
        <v>74</v>
      </c>
      <c r="BX94" s="30"/>
      <c r="BY94" s="30">
        <f ca="1">IFERROR(__xludf.DUMMYFUNCTION("""COMPUTED_VALUE"""),74)</f>
        <v>74</v>
      </c>
      <c r="BZ94" s="30" t="str">
        <f ca="1">IFERROR(__xludf.DUMMYFUNCTION("""COMPUTED_VALUE"""),"ZONA CENTRO")</f>
        <v>ZONA CENTRO</v>
      </c>
      <c r="CA94" s="30" t="str">
        <f ca="1">IFERROR(__xludf.DUMMYFUNCTION("""COMPUTED_VALUE"""),"No")</f>
        <v>No</v>
      </c>
      <c r="CB94" s="30" t="str">
        <f ca="1">IFERROR(__xludf.DUMMYFUNCTION("""COMPUTED_VALUE"""),"No")</f>
        <v>No</v>
      </c>
      <c r="CC94" s="30" t="str">
        <f ca="1">IFERROR(__xludf.DUMMYFUNCTION("""COMPUTED_VALUE"""),"59d45b26")</f>
        <v>59d45b26</v>
      </c>
      <c r="CD94" s="29" t="str">
        <f ca="1">IFERROR(__xludf.DUMMYFUNCTION("""COMPUTED_VALUE"""),"Adultos (30 a 59 años)")</f>
        <v>Adultos (30 a 59 años)</v>
      </c>
      <c r="CE94" s="30" t="str">
        <f ca="1">IFERROR(__xludf.DUMMYFUNCTION("""COMPUTED_VALUE"""),"Dato global")</f>
        <v>Dato global</v>
      </c>
      <c r="CF94" s="30" t="str">
        <f ca="1">IFERROR(__xludf.DUMMYFUNCTION("""COMPUTED_VALUE"""),"Ninguno (Población General)")</f>
        <v>Ninguno (Población General)</v>
      </c>
      <c r="CG94" s="30">
        <f ca="1">IFERROR(__xludf.DUMMYFUNCTION("""COMPUTED_VALUE"""),12)</f>
        <v>12</v>
      </c>
      <c r="CI94" s="30" t="str">
        <f ca="1">IFERROR(__xludf.DUMMYFUNCTION("""COMPUTED_VALUE"""),"e1e21e8a")</f>
        <v>e1e21e8a</v>
      </c>
      <c r="CJ94" s="29" t="str">
        <f ca="1">IFERROR(__xludf.DUMMYFUNCTION("""COMPUTED_VALUE"""),"Regitro_Evidencia_Files_/e1e21e8a.Archivo_Evidencia.230421.50 (5).pdf")</f>
        <v>Regitro_Evidencia_Files_/e1e21e8a.Archivo_Evidencia.230421.50 (5).pdf</v>
      </c>
      <c r="CK94" s="30" t="str">
        <f ca="1">IFERROR(__xludf.DUMMYFUNCTION("""COMPUTED_VALUE"""),"PDF")</f>
        <v>PDF</v>
      </c>
      <c r="CL94" s="30"/>
      <c r="CM94" s="30" t="str">
        <f ca="1">IFERROR(__xludf.DUMMYFUNCTION("""COMPUTED_VALUE"""),"Guanajuato")</f>
        <v>Guanajuato</v>
      </c>
      <c r="CN94" s="32" t="e">
        <f ca="1"/>
        <v>#NAME?</v>
      </c>
      <c r="CO94" s="32" t="e">
        <f ca="1"/>
        <v>#NAME?</v>
      </c>
      <c r="CP94" s="32" t="e">
        <f ca="1"/>
        <v>#NAME?</v>
      </c>
      <c r="CQ94" s="32" t="e">
        <f ca="1"/>
        <v>#NAME?</v>
      </c>
      <c r="CR94" s="30" t="e">
        <f ca="1"/>
        <v>#NAME?</v>
      </c>
      <c r="CS94" s="30" t="str">
        <f ca="1">IFERROR(__xludf.DUMMYFUNCTION("""COMPUTED_VALUE"""),"Ninguno (Población General)")</f>
        <v>Ninguno (Población General)</v>
      </c>
    </row>
    <row r="95" spans="1:97" ht="14.5">
      <c r="A95" s="29" t="str">
        <f ca="1">IFERROR(__xludf.DUMMYFUNCTION("""COMPUTED_VALUE"""),"ACT-SCOJ61319")</f>
        <v>ACT-SCOJ61319</v>
      </c>
      <c r="B95" s="30" t="str">
        <f ca="1">IFERROR(__xludf.DUMMYFUNCTION("""COMPUTED_VALUE"""),"SC-260622-122905")</f>
        <v>SC-260622-122905</v>
      </c>
      <c r="C95" s="62">
        <f ca="1">IFERROR(__xludf.DUMMYFUNCTION("""COMPUTED_VALUE"""),46195.5201967592)</f>
        <v>46195.5201967592</v>
      </c>
      <c r="D95" s="30">
        <f ca="1">IFERROR(__xludf.DUMMYFUNCTION("""COMPUTED_VALUE"""),92)</f>
        <v>92</v>
      </c>
      <c r="E95" s="30" t="str">
        <f ca="1">IFERROR(__xludf.DUMMYFUNCTION("""COMPUTED_VALUE"""),"PB3572")</f>
        <v>PB3572</v>
      </c>
      <c r="F9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5" s="30" t="str">
        <f ca="1">IFERROR(__xludf.DUMMYFUNCTION("""COMPUTED_VALUE"""),"SUBSECRETARÍA DE DESARROLLO Y PROMOCIÓN ARTÍSTICA Y CULTURAL")</f>
        <v>SUBSECRETARÍA DE DESARROLLO Y PROMOCIÓN ARTÍSTICA Y CULTURAL</v>
      </c>
      <c r="I95" s="34" t="str">
        <f ca="1">IFERROR(__xludf.DUMMYFUNCTION("""COMPUTED_VALUE"""),"DIRECCIÓN GENERAL DE MUSEOS, ARTES VISUALES Y EXPOSICIONES")</f>
        <v>DIRECCIÓN GENERAL DE MUSEOS, ARTES VISUALES Y EXPOSICIONES</v>
      </c>
      <c r="J95" s="30" t="str">
        <f ca="1">IFERROR(__xludf.DUMMYFUNCTION("""COMPUTED_VALUE"""),"Número de Actividades realizadas")</f>
        <v>Número de Actividades realizadas</v>
      </c>
      <c r="K95" s="30">
        <f ca="1">IFERROR(__xludf.DUMMYFUNCTION("""COMPUTED_VALUE"""),800)</f>
        <v>800</v>
      </c>
      <c r="L95" s="30" t="str">
        <f ca="1">IFERROR(__xludf.DUMMYFUNCTION("""COMPUTED_VALUE"""),"Artística")</f>
        <v>Artística</v>
      </c>
      <c r="M95" s="30" t="str">
        <f ca="1">IFERROR(__xludf.DUMMYFUNCTION("""COMPUTED_VALUE"""),"Visita práctica escolar. Sesión de dibujo UG")</f>
        <v>Visita práctica escolar. Sesión de dibujo UG</v>
      </c>
      <c r="N95" s="30" t="str">
        <f ca="1">IFERROR(__xludf.DUMMYFUNCTION("""COMPUTED_VALUE"""),"Recorrido guiado por el museo")</f>
        <v>Recorrido guiado por el museo</v>
      </c>
      <c r="O95" s="30" t="str">
        <f ca="1">IFERROR(__xludf.DUMMYFUNCTION("""COMPUTED_VALUE"""),"Única")</f>
        <v>Única</v>
      </c>
      <c r="P95" s="33">
        <f ca="1">IFERROR(__xludf.DUMMYFUNCTION("""COMPUTED_VALUE"""),46163)</f>
        <v>46163</v>
      </c>
      <c r="Q95" s="65">
        <f ca="1">IFERROR(__xludf.DUMMYFUNCTION("""COMPUTED_VALUE"""),46163)</f>
        <v>46163</v>
      </c>
      <c r="R95" s="30">
        <f ca="1">IFERROR(__xludf.DUMMYFUNCTION("""COMPUTED_VALUE"""),1)</f>
        <v>1</v>
      </c>
      <c r="S95" s="30" t="str">
        <f ca="1">IFERROR(__xludf.DUMMYFUNCTION("""COMPUTED_VALUE"""),"Cultura comunitaria")</f>
        <v>Cultura comunitaria</v>
      </c>
      <c r="T95" s="30" t="str">
        <f ca="1">IFERROR(__xludf.DUMMYFUNCTION("""COMPUTED_VALUE"""),"Formación comunitaria")</f>
        <v>Formación comunitaria</v>
      </c>
      <c r="U95" s="30" t="str">
        <f ca="1">IFERROR(__xludf.DUMMYFUNCTION("""COMPUTED_VALUE"""),"Visitas escolares")</f>
        <v>Visitas escolares</v>
      </c>
      <c r="V95" s="30" t="str">
        <f ca="1">IFERROR(__xludf.DUMMYFUNCTION("""COMPUTED_VALUE"""),"Ninguna")</f>
        <v>Ninguna</v>
      </c>
      <c r="W95" s="30" t="str">
        <f ca="1">IFERROR(__xludf.DUMMYFUNCTION("""COMPUTED_VALUE"""),"Presencial")</f>
        <v>Presencial</v>
      </c>
      <c r="X95" s="30" t="str">
        <f ca="1">IFERROR(__xludf.DUMMYFUNCTION("""COMPUTED_VALUE"""),"Espacio a Cargo de la Secretaría")</f>
        <v>Espacio a Cargo de la Secretaría</v>
      </c>
      <c r="Y95" s="30" t="str">
        <f ca="1">IFERROR(__xludf.DUMMYFUNCTION("""COMPUTED_VALUE"""),"5")</f>
        <v>5</v>
      </c>
      <c r="Z95" s="30"/>
      <c r="AA95" s="30"/>
      <c r="AB95" s="30" t="b">
        <f ca="1">IFERROR(__xludf.DUMMYFUNCTION("""COMPUTED_VALUE"""),FALSE)</f>
        <v>0</v>
      </c>
      <c r="AC95" s="30"/>
      <c r="AD95" s="30" t="b">
        <f ca="1">IFERROR(__xludf.DUMMYFUNCTION("""COMPUTED_VALUE"""),FALSE)</f>
        <v>0</v>
      </c>
      <c r="AE95" s="30"/>
      <c r="AF95" s="30" t="b">
        <f ca="1">IFERROR(__xludf.DUMMYFUNCTION("""COMPUTED_VALUE"""),FALSE)</f>
        <v>0</v>
      </c>
      <c r="AG95" s="30"/>
      <c r="AH95" s="30" t="str">
        <f ca="1">IFERROR(__xludf.DUMMYFUNCTION("""COMPUTED_VALUE"""),"Sin costo")</f>
        <v>Sin costo</v>
      </c>
      <c r="AI95" s="30"/>
      <c r="AJ95" s="30"/>
      <c r="AK95" s="30"/>
      <c r="AL95" s="30" t="str">
        <f ca="1">IFERROR(__xludf.DUMMYFUNCTION("""COMPUTED_VALUE"""),"ccardonav@guanajuato.gob.mx")</f>
        <v>ccardonav@guanajuato.gob.mx</v>
      </c>
      <c r="AM95" s="30" t="str">
        <f ca="1">IFERROR(__xludf.DUMMYFUNCTION("""COMPUTED_VALUE"""),"Arraigo y empoderamiento cultural de comunidades.")</f>
        <v>Arraigo y empoderamiento cultural de comunidades.</v>
      </c>
      <c r="AN95" s="30" t="str">
        <f ca="1">IFERROR(__xludf.DUMMYFUNCTION("""COMPUTED_VALUE"""),"2 Igualdad")</f>
        <v>2 Igualdad</v>
      </c>
      <c r="AO95" s="30" t="str">
        <f ca="1">IFERROR(__xludf.DUMMYFUNCTION("""COMPUTED_VALUE"""),"2.1 Protección de derechos humanos")</f>
        <v>2.1 Protección de derechos humanos</v>
      </c>
      <c r="AP95" s="30" t="str">
        <f ca="1">IFERROR(__xludf.DUMMYFUNCTION("""COMPUTED_VALUE"""),"2.1.3 Inclusión de personas con discapacidad")</f>
        <v>2.1.3 Inclusión de personas con discapacidad</v>
      </c>
      <c r="AQ95" s="30" t="str">
        <f ca="1">IFERROR(__xludf.DUMMYFUNCTION("""COMPUTED_VALUE"""),"2.1.3.2 Coordinar la incorporación progresiva de la accesibilidad universal")</f>
        <v>2.1.3.2 Coordinar la incorporación progresiva de la accesibilidad universal</v>
      </c>
      <c r="AR95" s="30" t="str">
        <f ca="1">IFERROR(__xludf.DUMMYFUNCTION("""COMPUTED_VALUE"""),"Cooperación")</f>
        <v>Cooperación</v>
      </c>
      <c r="AS95" s="30"/>
      <c r="AT95" s="30" t="str">
        <f ca="1">IFERROR(__xludf.DUMMYFUNCTION("""COMPUTED_VALUE"""),"Fortalecimiento de la participación ciudadana y la mediación cultural")</f>
        <v>Fortalecimiento de la participación ciudadana y la mediación cultural</v>
      </c>
      <c r="AU95" s="30" t="str">
        <f ca="1">IFERROR(__xludf.DUMMYFUNCTION("""COMPUTED_VALUE"""),"Impulso a la ampliación de la oferta cultural en los territorios.")</f>
        <v>Impulso a la ampliación de la oferta cultural en los territorios.</v>
      </c>
      <c r="AV9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5" s="30" t="str">
        <f ca="1">IFERROR(__xludf.DUMMYFUNCTION("""COMPUTED_VALUE"""),"Incrementar en 25% la oferta cultural realizada en los municipios.")</f>
        <v>Incrementar en 25% la oferta cultural realizada en los municipios.</v>
      </c>
      <c r="AX95" s="30" t="str">
        <f ca="1">IFERROR(__xludf.DUMMYFUNCTION("""COMPUTED_VALUE"""),"Visitas escolares")</f>
        <v>Visitas escolares</v>
      </c>
      <c r="AY95" s="30" t="str">
        <f ca="1">IFERROR(__xludf.DUMMYFUNCTION("""COMPUTED_VALUE"""),"Formación")</f>
        <v>Formación</v>
      </c>
      <c r="AZ95" s="30" t="str">
        <f ca="1">IFERROR(__xludf.DUMMYFUNCTION("""COMPUTED_VALUE"""),"Formación")</f>
        <v>Formación</v>
      </c>
      <c r="BA95" s="30"/>
      <c r="BB95" s="30"/>
      <c r="BC95" s="30">
        <f ca="1">IFERROR(__xludf.DUMMYFUNCTION("""COMPUTED_VALUE"""),0)</f>
        <v>0</v>
      </c>
      <c r="BD95" s="30"/>
      <c r="BE95" s="30"/>
      <c r="BF95" s="30" t="b">
        <f ca="1">IFERROR(__xludf.DUMMYFUNCTION("""COMPUTED_VALUE"""),FALSE)</f>
        <v>0</v>
      </c>
      <c r="BG95" s="30"/>
      <c r="BH95" s="30"/>
      <c r="BI95" s="30"/>
      <c r="BJ95" s="30"/>
      <c r="BK95" s="30"/>
      <c r="BL95" s="30"/>
      <c r="BM95" s="30" t="str">
        <f ca="1">IFERROR(__xludf.DUMMYFUNCTION("""COMPUTED_VALUE"""),"No")</f>
        <v>No</v>
      </c>
      <c r="BN95" s="30"/>
      <c r="BO95" s="30" t="str">
        <f ca="1">IFERROR(__xludf.DUMMYFUNCTION("""COMPUTED_VALUE"""),"811dd022")</f>
        <v>811dd022</v>
      </c>
      <c r="BP95" s="29" t="str">
        <f ca="1">IFERROR(__xludf.DUMMYFUNCTION("""COMPUTED_VALUE"""),"Guanajuato")</f>
        <v>Guanajuato</v>
      </c>
      <c r="BQ95" s="30" t="str">
        <f ca="1">IFERROR(__xludf.DUMMYFUNCTION("""COMPUTED_VALUE"""),"Urbano")</f>
        <v>Urbano</v>
      </c>
      <c r="BR95" s="30"/>
      <c r="BS95" s="30"/>
      <c r="BT95" s="30"/>
      <c r="BU95" s="30" t="str">
        <f ca="1">IFERROR(__xludf.DUMMYFUNCTION("""COMPUTED_VALUE"""),"No")</f>
        <v>No</v>
      </c>
      <c r="BV95" s="30" t="str">
        <f ca="1">IFERROR(__xludf.DUMMYFUNCTION("""COMPUTED_VALUE"""),"No")</f>
        <v>No</v>
      </c>
      <c r="BW95" s="30">
        <f ca="1">IFERROR(__xludf.DUMMYFUNCTION("""COMPUTED_VALUE"""),65)</f>
        <v>65</v>
      </c>
      <c r="BX95" s="30"/>
      <c r="BY95" s="30">
        <f ca="1">IFERROR(__xludf.DUMMYFUNCTION("""COMPUTED_VALUE"""),65)</f>
        <v>65</v>
      </c>
      <c r="BZ95" s="30"/>
      <c r="CA95" s="30" t="str">
        <f ca="1">IFERROR(__xludf.DUMMYFUNCTION("""COMPUTED_VALUE"""),"No")</f>
        <v>No</v>
      </c>
      <c r="CB95" s="30" t="str">
        <f ca="1">IFERROR(__xludf.DUMMYFUNCTION("""COMPUTED_VALUE"""),"No")</f>
        <v>No</v>
      </c>
      <c r="CC95" s="30" t="str">
        <f ca="1">IFERROR(__xludf.DUMMYFUNCTION("""COMPUTED_VALUE"""),"1fad0ad1")</f>
        <v>1fad0ad1</v>
      </c>
      <c r="CD95" s="29" t="str">
        <f ca="1">IFERROR(__xludf.DUMMYFUNCTION("""COMPUTED_VALUE"""),"Adultos (30 a 59 años)")</f>
        <v>Adultos (30 a 59 años)</v>
      </c>
      <c r="CE95" s="30" t="str">
        <f ca="1">IFERROR(__xludf.DUMMYFUNCTION("""COMPUTED_VALUE"""),"Dato global")</f>
        <v>Dato global</v>
      </c>
      <c r="CF95" s="30" t="str">
        <f ca="1">IFERROR(__xludf.DUMMYFUNCTION("""COMPUTED_VALUE"""),"Ninguno (Población General)")</f>
        <v>Ninguno (Población General)</v>
      </c>
      <c r="CG95" s="30">
        <f ca="1">IFERROR(__xludf.DUMMYFUNCTION("""COMPUTED_VALUE"""),13)</f>
        <v>13</v>
      </c>
      <c r="CI95" s="30" t="str">
        <f ca="1">IFERROR(__xludf.DUMMYFUNCTION("""COMPUTED_VALUE"""),"09c9ae99")</f>
        <v>09c9ae99</v>
      </c>
      <c r="CJ95" s="29" t="str">
        <f ca="1">IFERROR(__xludf.DUMMYFUNCTION("""COMPUTED_VALUE"""),"Regitro_Evidencia_Files_/09c9ae99.Archivo_Evidencia.175640.49 (1) (1).pdf")</f>
        <v>Regitro_Evidencia_Files_/09c9ae99.Archivo_Evidencia.175640.49 (1) (1).pdf</v>
      </c>
      <c r="CK95" s="30" t="str">
        <f ca="1">IFERROR(__xludf.DUMMYFUNCTION("""COMPUTED_VALUE"""),"PDF")</f>
        <v>PDF</v>
      </c>
      <c r="CL95" s="30"/>
      <c r="CM95" s="30" t="str">
        <f ca="1">IFERROR(__xludf.DUMMYFUNCTION("""COMPUTED_VALUE"""),"Guanajuato")</f>
        <v>Guanajuato</v>
      </c>
      <c r="CN95" s="32" t="e">
        <f ca="1"/>
        <v>#NAME?</v>
      </c>
      <c r="CO95" s="32" t="e">
        <f ca="1"/>
        <v>#NAME?</v>
      </c>
      <c r="CP95" s="32" t="e">
        <f ca="1"/>
        <v>#NAME?</v>
      </c>
      <c r="CQ95" s="32" t="e">
        <f ca="1"/>
        <v>#NAME?</v>
      </c>
      <c r="CR95" s="30" t="e">
        <f ca="1"/>
        <v>#NAME?</v>
      </c>
      <c r="CS95" s="30" t="str">
        <f ca="1">IFERROR(__xludf.DUMMYFUNCTION("""COMPUTED_VALUE"""),"Ninguno (Población General), Ninguno (Población General)")</f>
        <v>Ninguno (Población General), Ninguno (Población General)</v>
      </c>
    </row>
    <row r="96" spans="1:97" ht="14.5">
      <c r="A96" s="29" t="str">
        <f ca="1">IFERROR(__xludf.DUMMYFUNCTION("""COMPUTED_VALUE"""),"ACT-SCQS70160")</f>
        <v>ACT-SCQS70160</v>
      </c>
      <c r="B96" s="30" t="str">
        <f ca="1">IFERROR(__xludf.DUMMYFUNCTION("""COMPUTED_VALUE"""),"SC-260622-123746")</f>
        <v>SC-260622-123746</v>
      </c>
      <c r="C96" s="62">
        <f ca="1">IFERROR(__xludf.DUMMYFUNCTION("""COMPUTED_VALUE"""),46195.5262268518)</f>
        <v>46195.526226851798</v>
      </c>
      <c r="D96" s="30">
        <f ca="1">IFERROR(__xludf.DUMMYFUNCTION("""COMPUTED_VALUE"""),92)</f>
        <v>92</v>
      </c>
      <c r="E96" s="30" t="str">
        <f ca="1">IFERROR(__xludf.DUMMYFUNCTION("""COMPUTED_VALUE"""),"PB3572")</f>
        <v>PB3572</v>
      </c>
      <c r="F9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6" s="30" t="str">
        <f ca="1">IFERROR(__xludf.DUMMYFUNCTION("""COMPUTED_VALUE"""),"SUBSECRETARÍA DE DESARROLLO Y PROMOCIÓN ARTÍSTICA Y CULTURAL")</f>
        <v>SUBSECRETARÍA DE DESARROLLO Y PROMOCIÓN ARTÍSTICA Y CULTURAL</v>
      </c>
      <c r="I96" s="34" t="str">
        <f ca="1">IFERROR(__xludf.DUMMYFUNCTION("""COMPUTED_VALUE"""),"DIRECCIÓN GENERAL DE MUSEOS, ARTES VISUALES Y EXPOSICIONES")</f>
        <v>DIRECCIÓN GENERAL DE MUSEOS, ARTES VISUALES Y EXPOSICIONES</v>
      </c>
      <c r="J96" s="30" t="str">
        <f ca="1">IFERROR(__xludf.DUMMYFUNCTION("""COMPUTED_VALUE"""),"Número de Actividades realizadas")</f>
        <v>Número de Actividades realizadas</v>
      </c>
      <c r="K96" s="30">
        <f ca="1">IFERROR(__xludf.DUMMYFUNCTION("""COMPUTED_VALUE"""),800)</f>
        <v>800</v>
      </c>
      <c r="L96" s="30" t="str">
        <f ca="1">IFERROR(__xludf.DUMMYFUNCTION("""COMPUTED_VALUE"""),"Artística")</f>
        <v>Artística</v>
      </c>
      <c r="M96" s="30" t="str">
        <f ca="1">IFERROR(__xludf.DUMMYFUNCTION("""COMPUTED_VALUE"""),"Concierto de la Orquesta Sinfónica Infantil del Departamento de Música y Artes Escénicas")</f>
        <v>Concierto de la Orquesta Sinfónica Infantil del Departamento de Música y Artes Escénicas</v>
      </c>
      <c r="N96" s="30" t="str">
        <f ca="1">IFERROR(__xludf.DUMMYFUNCTION("""COMPUTED_VALUE"""),"Espacios incidentales: Concierto de la Orquesta Sinfónica Infantil del Departamento de Música y Artes Escénicas")</f>
        <v>Espacios incidentales: Concierto de la Orquesta Sinfónica Infantil del Departamento de Música y Artes Escénicas</v>
      </c>
      <c r="O96" s="30" t="str">
        <f ca="1">IFERROR(__xludf.DUMMYFUNCTION("""COMPUTED_VALUE"""),"Única")</f>
        <v>Única</v>
      </c>
      <c r="P96" s="33">
        <f ca="1">IFERROR(__xludf.DUMMYFUNCTION("""COMPUTED_VALUE"""),46175)</f>
        <v>46175</v>
      </c>
      <c r="Q96" s="65">
        <f ca="1">IFERROR(__xludf.DUMMYFUNCTION("""COMPUTED_VALUE"""),46175)</f>
        <v>46175</v>
      </c>
      <c r="R96" s="30">
        <f ca="1">IFERROR(__xludf.DUMMYFUNCTION("""COMPUTED_VALUE"""),1)</f>
        <v>1</v>
      </c>
      <c r="S96" s="30" t="str">
        <f ca="1">IFERROR(__xludf.DUMMYFUNCTION("""COMPUTED_VALUE"""),"Música")</f>
        <v>Música</v>
      </c>
      <c r="T96" s="30" t="str">
        <f ca="1">IFERROR(__xludf.DUMMYFUNCTION("""COMPUTED_VALUE"""),"Música académica")</f>
        <v>Música académica</v>
      </c>
      <c r="U96" s="30" t="str">
        <f ca="1">IFERROR(__xludf.DUMMYFUNCTION("""COMPUTED_VALUE"""),"Presentación artística")</f>
        <v>Presentación artística</v>
      </c>
      <c r="V96" s="30" t="str">
        <f ca="1">IFERROR(__xludf.DUMMYFUNCTION("""COMPUTED_VALUE"""),"Ninguna")</f>
        <v>Ninguna</v>
      </c>
      <c r="W96" s="30" t="str">
        <f ca="1">IFERROR(__xludf.DUMMYFUNCTION("""COMPUTED_VALUE"""),"Presencial")</f>
        <v>Presencial</v>
      </c>
      <c r="X96" s="30" t="str">
        <f ca="1">IFERROR(__xludf.DUMMYFUNCTION("""COMPUTED_VALUE"""),"Espacio a Cargo de la Secretaría")</f>
        <v>Espacio a Cargo de la Secretaría</v>
      </c>
      <c r="Y96" s="30" t="str">
        <f ca="1">IFERROR(__xludf.DUMMYFUNCTION("""COMPUTED_VALUE"""),"5")</f>
        <v>5</v>
      </c>
      <c r="Z96" s="30"/>
      <c r="AA96" s="30"/>
      <c r="AB96" s="30" t="b">
        <f ca="1">IFERROR(__xludf.DUMMYFUNCTION("""COMPUTED_VALUE"""),FALSE)</f>
        <v>0</v>
      </c>
      <c r="AC96" s="30"/>
      <c r="AD96" s="30" t="b">
        <f ca="1">IFERROR(__xludf.DUMMYFUNCTION("""COMPUTED_VALUE"""),FALSE)</f>
        <v>0</v>
      </c>
      <c r="AE96" s="30"/>
      <c r="AF96" s="30" t="b">
        <f ca="1">IFERROR(__xludf.DUMMYFUNCTION("""COMPUTED_VALUE"""),FALSE)</f>
        <v>0</v>
      </c>
      <c r="AG96" s="30"/>
      <c r="AH96" s="30" t="str">
        <f ca="1">IFERROR(__xludf.DUMMYFUNCTION("""COMPUTED_VALUE"""),"Sin costo")</f>
        <v>Sin costo</v>
      </c>
      <c r="AI96" s="30"/>
      <c r="AJ96" s="30"/>
      <c r="AK96" s="30"/>
      <c r="AL96" s="30" t="str">
        <f ca="1">IFERROR(__xludf.DUMMYFUNCTION("""COMPUTED_VALUE"""),"ccardonav@guanajuato.gob.mx")</f>
        <v>ccardonav@guanajuato.gob.mx</v>
      </c>
      <c r="AM96" s="30" t="str">
        <f ca="1">IFERROR(__xludf.DUMMYFUNCTION("""COMPUTED_VALUE"""),"Arraigo y empoderamiento cultural de comunidades.")</f>
        <v>Arraigo y empoderamiento cultural de comunidades.</v>
      </c>
      <c r="AN96" s="30" t="str">
        <f ca="1">IFERROR(__xludf.DUMMYFUNCTION("""COMPUTED_VALUE"""),"1 Tranquilidad")</f>
        <v>1 Tranquilidad</v>
      </c>
      <c r="AO96" s="30" t="str">
        <f ca="1">IFERROR(__xludf.DUMMYFUNCTION("""COMPUTED_VALUE"""),"1.2 Fortalecer prevención del delito")</f>
        <v>1.2 Fortalecer prevención del delito</v>
      </c>
      <c r="AP96" s="30" t="str">
        <f ca="1">IFERROR(__xludf.DUMMYFUNCTION("""COMPUTED_VALUE"""),"1.2.2 Fortalecimiento del tejido social")</f>
        <v>1.2.2 Fortalecimiento del tejido social</v>
      </c>
      <c r="AQ96" s="30" t="str">
        <f ca="1">IFERROR(__xludf.DUMMYFUNCTION("""COMPUTED_VALUE"""),"1.2.3.4 Promover una cultura de paz desde las expresiones artísticas y culturales")</f>
        <v>1.2.3.4 Promover una cultura de paz desde las expresiones artísticas y culturales</v>
      </c>
      <c r="AR96" s="30" t="str">
        <f ca="1">IFERROR(__xludf.DUMMYFUNCTION("""COMPUTED_VALUE"""),"Cooperación")</f>
        <v>Cooperación</v>
      </c>
      <c r="AS96" s="30"/>
      <c r="AT96" s="30" t="str">
        <f ca="1">IFERROR(__xludf.DUMMYFUNCTION("""COMPUTED_VALUE"""),"Fortalecimiento de la participación ciudadana y la mediación cultural")</f>
        <v>Fortalecimiento de la participación ciudadana y la mediación cultural</v>
      </c>
      <c r="AU96" s="30" t="str">
        <f ca="1">IFERROR(__xludf.DUMMYFUNCTION("""COMPUTED_VALUE"""),"Impulso a la ampliación de la oferta cultural en los territorios.")</f>
        <v>Impulso a la ampliación de la oferta cultural en los territorios.</v>
      </c>
      <c r="AV9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6" s="30" t="str">
        <f ca="1">IFERROR(__xludf.DUMMYFUNCTION("""COMPUTED_VALUE"""),"Incrementar en 25% la oferta cultural realizada en los municipios.")</f>
        <v>Incrementar en 25% la oferta cultural realizada en los municipios.</v>
      </c>
      <c r="AX96" s="30" t="str">
        <f ca="1">IFERROR(__xludf.DUMMYFUNCTION("""COMPUTED_VALUE"""),"Presentación artística")</f>
        <v>Presentación artística</v>
      </c>
      <c r="AY96" s="30" t="str">
        <f ca="1">IFERROR(__xludf.DUMMYFUNCTION("""COMPUTED_VALUE"""),"Formación")</f>
        <v>Formación</v>
      </c>
      <c r="AZ96" s="30" t="str">
        <f ca="1">IFERROR(__xludf.DUMMYFUNCTION("""COMPUTED_VALUE"""),"Formación")</f>
        <v>Formación</v>
      </c>
      <c r="BA96" s="30"/>
      <c r="BB96" s="30"/>
      <c r="BC96" s="30">
        <f ca="1">IFERROR(__xludf.DUMMYFUNCTION("""COMPUTED_VALUE"""),0)</f>
        <v>0</v>
      </c>
      <c r="BD96" s="30"/>
      <c r="BE96" s="30"/>
      <c r="BF96" s="30" t="b">
        <f ca="1">IFERROR(__xludf.DUMMYFUNCTION("""COMPUTED_VALUE"""),FALSE)</f>
        <v>0</v>
      </c>
      <c r="BG96" s="30"/>
      <c r="BH96" s="30"/>
      <c r="BI96" s="30"/>
      <c r="BJ96" s="30"/>
      <c r="BK96" s="30"/>
      <c r="BL96" s="30"/>
      <c r="BM96" s="30" t="str">
        <f ca="1">IFERROR(__xludf.DUMMYFUNCTION("""COMPUTED_VALUE"""),"No")</f>
        <v>No</v>
      </c>
      <c r="BN96" s="30"/>
      <c r="BO96" s="30" t="str">
        <f ca="1">IFERROR(__xludf.DUMMYFUNCTION("""COMPUTED_VALUE"""),"19cf0142")</f>
        <v>19cf0142</v>
      </c>
      <c r="BP96" s="29" t="str">
        <f ca="1">IFERROR(__xludf.DUMMYFUNCTION("""COMPUTED_VALUE"""),"Guanajuato")</f>
        <v>Guanajuato</v>
      </c>
      <c r="BQ96" s="30" t="str">
        <f ca="1">IFERROR(__xludf.DUMMYFUNCTION("""COMPUTED_VALUE"""),"Urbano")</f>
        <v>Urbano</v>
      </c>
      <c r="BR96" s="30"/>
      <c r="BS96" s="30"/>
      <c r="BT96" s="30" t="str">
        <f ca="1">IFERROR(__xludf.DUMMYFUNCTION("""COMPUTED_VALUE"""),"ZONA CENTRO")</f>
        <v>ZONA CENTRO</v>
      </c>
      <c r="BU96" s="30" t="str">
        <f ca="1">IFERROR(__xludf.DUMMYFUNCTION("""COMPUTED_VALUE"""),"No")</f>
        <v>No</v>
      </c>
      <c r="BV96" s="30" t="str">
        <f ca="1">IFERROR(__xludf.DUMMYFUNCTION("""COMPUTED_VALUE"""),"No")</f>
        <v>No</v>
      </c>
      <c r="BW96" s="30">
        <f ca="1">IFERROR(__xludf.DUMMYFUNCTION("""COMPUTED_VALUE"""),8)</f>
        <v>8</v>
      </c>
      <c r="BX96" s="30"/>
      <c r="BY96" s="30">
        <f ca="1">IFERROR(__xludf.DUMMYFUNCTION("""COMPUTED_VALUE"""),8)</f>
        <v>8</v>
      </c>
      <c r="BZ96" s="30" t="str">
        <f ca="1">IFERROR(__xludf.DUMMYFUNCTION("""COMPUTED_VALUE"""),"ZONA CENTRO")</f>
        <v>ZONA CENTRO</v>
      </c>
      <c r="CA96" s="30" t="str">
        <f ca="1">IFERROR(__xludf.DUMMYFUNCTION("""COMPUTED_VALUE"""),"No")</f>
        <v>No</v>
      </c>
      <c r="CB96" s="30" t="str">
        <f ca="1">IFERROR(__xludf.DUMMYFUNCTION("""COMPUTED_VALUE"""),"No")</f>
        <v>No</v>
      </c>
      <c r="CC96" s="30" t="str">
        <f ca="1">IFERROR(__xludf.DUMMYFUNCTION("""COMPUTED_VALUE"""),"18c79f4d")</f>
        <v>18c79f4d</v>
      </c>
      <c r="CD96" s="29" t="str">
        <f ca="1">IFERROR(__xludf.DUMMYFUNCTION("""COMPUTED_VALUE"""),"Adultos (30 a 59 años)")</f>
        <v>Adultos (30 a 59 años)</v>
      </c>
      <c r="CE96" s="30" t="str">
        <f ca="1">IFERROR(__xludf.DUMMYFUNCTION("""COMPUTED_VALUE"""),"Dato global")</f>
        <v>Dato global</v>
      </c>
      <c r="CF96" s="30" t="str">
        <f ca="1">IFERROR(__xludf.DUMMYFUNCTION("""COMPUTED_VALUE"""),"Ninguno (Población General)")</f>
        <v>Ninguno (Población General)</v>
      </c>
      <c r="CG96" s="30">
        <f ca="1">IFERROR(__xludf.DUMMYFUNCTION("""COMPUTED_VALUE"""),0)</f>
        <v>0</v>
      </c>
      <c r="CI96" s="30" t="str">
        <f ca="1">IFERROR(__xludf.DUMMYFUNCTION("""COMPUTED_VALUE"""),"ac433398")</f>
        <v>ac433398</v>
      </c>
      <c r="CJ96" s="29" t="str">
        <f ca="1">IFERROR(__xludf.DUMMYFUNCTION("""COMPUTED_VALUE"""),"Regitro_Evidencia_Files_/ac433398.Archivo_Evidencia.180536.44 (1) (1).pdf")</f>
        <v>Regitro_Evidencia_Files_/ac433398.Archivo_Evidencia.180536.44 (1) (1).pdf</v>
      </c>
      <c r="CK96" s="30" t="str">
        <f ca="1">IFERROR(__xludf.DUMMYFUNCTION("""COMPUTED_VALUE"""),"PDF")</f>
        <v>PDF</v>
      </c>
      <c r="CL96" s="30"/>
      <c r="CM96" s="30" t="str">
        <f ca="1">IFERROR(__xludf.DUMMYFUNCTION("""COMPUTED_VALUE"""),"Guanajuato")</f>
        <v>Guanajuato</v>
      </c>
      <c r="CN96" s="32" t="e">
        <f ca="1"/>
        <v>#NAME?</v>
      </c>
      <c r="CO96" s="32" t="e">
        <f ca="1"/>
        <v>#NAME?</v>
      </c>
      <c r="CP96" s="32" t="e">
        <f ca="1"/>
        <v>#NAME?</v>
      </c>
      <c r="CQ96" s="32" t="e">
        <f ca="1"/>
        <v>#NAME?</v>
      </c>
      <c r="CR96" s="30" t="e">
        <f ca="1"/>
        <v>#NAME?</v>
      </c>
      <c r="CS96" s="30" t="str">
        <f ca="1">IFERROR(__xludf.DUMMYFUNCTION("""COMPUTED_VALUE"""),"Ninguno (Población General)")</f>
        <v>Ninguno (Población General)</v>
      </c>
    </row>
    <row r="97" spans="1:97" ht="14.5">
      <c r="A97" s="29" t="str">
        <f ca="1">IFERROR(__xludf.DUMMYFUNCTION("""COMPUTED_VALUE"""),"ACT-SCQP56334")</f>
        <v>ACT-SCQP56334</v>
      </c>
      <c r="B97" s="30" t="str">
        <f ca="1">IFERROR(__xludf.DUMMYFUNCTION("""COMPUTED_VALUE"""),"SC-260622-125313")</f>
        <v>SC-260622-125313</v>
      </c>
      <c r="C97" s="62">
        <f ca="1">IFERROR(__xludf.DUMMYFUNCTION("""COMPUTED_VALUE"""),46195.5369560185)</f>
        <v>46195.536956018499</v>
      </c>
      <c r="D97" s="30">
        <f ca="1">IFERROR(__xludf.DUMMYFUNCTION("""COMPUTED_VALUE"""),92)</f>
        <v>92</v>
      </c>
      <c r="E97" s="30" t="str">
        <f ca="1">IFERROR(__xludf.DUMMYFUNCTION("""COMPUTED_VALUE"""),"PB3572")</f>
        <v>PB3572</v>
      </c>
      <c r="F9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7" s="30" t="str">
        <f ca="1">IFERROR(__xludf.DUMMYFUNCTION("""COMPUTED_VALUE"""),"SUBSECRETARÍA DE DESARROLLO Y PROMOCIÓN ARTÍSTICA Y CULTURAL")</f>
        <v>SUBSECRETARÍA DE DESARROLLO Y PROMOCIÓN ARTÍSTICA Y CULTURAL</v>
      </c>
      <c r="I97" s="34" t="str">
        <f ca="1">IFERROR(__xludf.DUMMYFUNCTION("""COMPUTED_VALUE"""),"DIRECCIÓN GENERAL DE MUSEOS, ARTES VISUALES Y EXPOSICIONES")</f>
        <v>DIRECCIÓN GENERAL DE MUSEOS, ARTES VISUALES Y EXPOSICIONES</v>
      </c>
      <c r="J97" s="30" t="str">
        <f ca="1">IFERROR(__xludf.DUMMYFUNCTION("""COMPUTED_VALUE"""),"Número de Actividades realizadas")</f>
        <v>Número de Actividades realizadas</v>
      </c>
      <c r="K97" s="30">
        <f ca="1">IFERROR(__xludf.DUMMYFUNCTION("""COMPUTED_VALUE"""),800)</f>
        <v>800</v>
      </c>
      <c r="L97" s="30" t="str">
        <f ca="1">IFERROR(__xludf.DUMMYFUNCTION("""COMPUTED_VALUE"""),"Artística")</f>
        <v>Artística</v>
      </c>
      <c r="M97" s="30" t="str">
        <f ca="1">IFERROR(__xludf.DUMMYFUNCTION("""COMPUTED_VALUE"""),"Jornada: Miguel Cabrera")</f>
        <v>Jornada: Miguel Cabrera</v>
      </c>
      <c r="N97" s="30" t="str">
        <f ca="1">IFERROR(__xludf.DUMMYFUNCTION("""COMPUTED_VALUE"""),"Jornada de conferencias en torno al cierre de la exposición: Miguel Cabrera, Pintor de la Virgen María")</f>
        <v>Jornada de conferencias en torno al cierre de la exposición: Miguel Cabrera, Pintor de la Virgen María</v>
      </c>
      <c r="O97" s="30" t="str">
        <f ca="1">IFERROR(__xludf.DUMMYFUNCTION("""COMPUTED_VALUE"""),"Única")</f>
        <v>Única</v>
      </c>
      <c r="P97" s="33">
        <f ca="1">IFERROR(__xludf.DUMMYFUNCTION("""COMPUTED_VALUE"""),46176)</f>
        <v>46176</v>
      </c>
      <c r="Q97" s="65">
        <f ca="1">IFERROR(__xludf.DUMMYFUNCTION("""COMPUTED_VALUE"""),46176)</f>
        <v>46176</v>
      </c>
      <c r="R97" s="30">
        <f ca="1">IFERROR(__xludf.DUMMYFUNCTION("""COMPUTED_VALUE"""),1)</f>
        <v>1</v>
      </c>
      <c r="S97" s="30" t="str">
        <f ca="1">IFERROR(__xludf.DUMMYFUNCTION("""COMPUTED_VALUE"""),"Cultura comunitaria")</f>
        <v>Cultura comunitaria</v>
      </c>
      <c r="T97" s="30" t="str">
        <f ca="1">IFERROR(__xludf.DUMMYFUNCTION("""COMPUTED_VALUE"""),"Formación comunitaria")</f>
        <v>Formación comunitaria</v>
      </c>
      <c r="U97" s="30" t="str">
        <f ca="1">IFERROR(__xludf.DUMMYFUNCTION("""COMPUTED_VALUE"""),"Conferencia")</f>
        <v>Conferencia</v>
      </c>
      <c r="V97" s="30" t="str">
        <f ca="1">IFERROR(__xludf.DUMMYFUNCTION("""COMPUTED_VALUE"""),"Ninguna")</f>
        <v>Ninguna</v>
      </c>
      <c r="W97" s="30" t="str">
        <f ca="1">IFERROR(__xludf.DUMMYFUNCTION("""COMPUTED_VALUE"""),"Presencial")</f>
        <v>Presencial</v>
      </c>
      <c r="X97" s="30" t="str">
        <f ca="1">IFERROR(__xludf.DUMMYFUNCTION("""COMPUTED_VALUE"""),"Espacio a Cargo de la Secretaría")</f>
        <v>Espacio a Cargo de la Secretaría</v>
      </c>
      <c r="Y97" s="30" t="str">
        <f ca="1">IFERROR(__xludf.DUMMYFUNCTION("""COMPUTED_VALUE"""),"5")</f>
        <v>5</v>
      </c>
      <c r="Z97" s="30"/>
      <c r="AA97" s="30"/>
      <c r="AB97" s="30" t="b">
        <f ca="1">IFERROR(__xludf.DUMMYFUNCTION("""COMPUTED_VALUE"""),FALSE)</f>
        <v>0</v>
      </c>
      <c r="AC97" s="30"/>
      <c r="AD97" s="30" t="b">
        <f ca="1">IFERROR(__xludf.DUMMYFUNCTION("""COMPUTED_VALUE"""),FALSE)</f>
        <v>0</v>
      </c>
      <c r="AE97" s="30"/>
      <c r="AF97" s="30" t="b">
        <f ca="1">IFERROR(__xludf.DUMMYFUNCTION("""COMPUTED_VALUE"""),FALSE)</f>
        <v>0</v>
      </c>
      <c r="AG97" s="30"/>
      <c r="AH97" s="30" t="str">
        <f ca="1">IFERROR(__xludf.DUMMYFUNCTION("""COMPUTED_VALUE"""),"Sin costo")</f>
        <v>Sin costo</v>
      </c>
      <c r="AI97" s="30"/>
      <c r="AJ97" s="30"/>
      <c r="AK97" s="30"/>
      <c r="AL97" s="30" t="str">
        <f ca="1">IFERROR(__xludf.DUMMYFUNCTION("""COMPUTED_VALUE"""),"ccardonav@guanajuato.gob.mx")</f>
        <v>ccardonav@guanajuato.gob.mx</v>
      </c>
      <c r="AM97" s="30" t="str">
        <f ca="1">IFERROR(__xludf.DUMMYFUNCTION("""COMPUTED_VALUE"""),"Arraigo y empoderamiento cultural de comunidades.")</f>
        <v>Arraigo y empoderamiento cultural de comunidades.</v>
      </c>
      <c r="AN97" s="30" t="str">
        <f ca="1">IFERROR(__xludf.DUMMYFUNCTION("""COMPUTED_VALUE"""),"1 Tranquilidad")</f>
        <v>1 Tranquilidad</v>
      </c>
      <c r="AO97" s="30" t="str">
        <f ca="1">IFERROR(__xludf.DUMMYFUNCTION("""COMPUTED_VALUE"""),"1.2 Fortalecer prevención del delito")</f>
        <v>1.2 Fortalecer prevención del delito</v>
      </c>
      <c r="AP97" s="30" t="str">
        <f ca="1">IFERROR(__xludf.DUMMYFUNCTION("""COMPUTED_VALUE"""),"1.2.2 Fortalecimiento del tejido social")</f>
        <v>1.2.2 Fortalecimiento del tejido social</v>
      </c>
      <c r="AQ97" s="30" t="str">
        <f ca="1">IFERROR(__xludf.DUMMYFUNCTION("""COMPUTED_VALUE"""),"1.2.3.4 Promover una cultura de paz desde las expresiones artísticas y culturales")</f>
        <v>1.2.3.4 Promover una cultura de paz desde las expresiones artísticas y culturales</v>
      </c>
      <c r="AR97" s="30" t="str">
        <f ca="1">IFERROR(__xludf.DUMMYFUNCTION("""COMPUTED_VALUE"""),"Cooperación")</f>
        <v>Cooperación</v>
      </c>
      <c r="AS97" s="30"/>
      <c r="AT97" s="30" t="str">
        <f ca="1">IFERROR(__xludf.DUMMYFUNCTION("""COMPUTED_VALUE"""),"Fortalecimiento de la participación ciudadana y la mediación cultural")</f>
        <v>Fortalecimiento de la participación ciudadana y la mediación cultural</v>
      </c>
      <c r="AU97" s="30" t="str">
        <f ca="1">IFERROR(__xludf.DUMMYFUNCTION("""COMPUTED_VALUE"""),"Impulso a la ampliación de la oferta cultural en los territorios.")</f>
        <v>Impulso a la ampliación de la oferta cultural en los territorios.</v>
      </c>
      <c r="AV9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7" s="30" t="str">
        <f ca="1">IFERROR(__xludf.DUMMYFUNCTION("""COMPUTED_VALUE"""),"Incrementar en 25% la oferta cultural realizada en los municipios.")</f>
        <v>Incrementar en 25% la oferta cultural realizada en los municipios.</v>
      </c>
      <c r="AX97" s="30" t="str">
        <f ca="1">IFERROR(__xludf.DUMMYFUNCTION("""COMPUTED_VALUE"""),"Conferencia")</f>
        <v>Conferencia</v>
      </c>
      <c r="AY97" s="30" t="str">
        <f ca="1">IFERROR(__xludf.DUMMYFUNCTION("""COMPUTED_VALUE"""),"Formación")</f>
        <v>Formación</v>
      </c>
      <c r="AZ97" s="30" t="str">
        <f ca="1">IFERROR(__xludf.DUMMYFUNCTION("""COMPUTED_VALUE"""),"Formación")</f>
        <v>Formación</v>
      </c>
      <c r="BA97" s="30"/>
      <c r="BB97" s="30"/>
      <c r="BC97" s="30">
        <f ca="1">IFERROR(__xludf.DUMMYFUNCTION("""COMPUTED_VALUE"""),0)</f>
        <v>0</v>
      </c>
      <c r="BD97" s="30"/>
      <c r="BE97" s="30"/>
      <c r="BF97" s="30" t="b">
        <f ca="1">IFERROR(__xludf.DUMMYFUNCTION("""COMPUTED_VALUE"""),FALSE)</f>
        <v>0</v>
      </c>
      <c r="BG97" s="30"/>
      <c r="BH97" s="30"/>
      <c r="BI97" s="30"/>
      <c r="BJ97" s="30"/>
      <c r="BK97" s="30"/>
      <c r="BL97" s="30"/>
      <c r="BM97" s="30" t="str">
        <f ca="1">IFERROR(__xludf.DUMMYFUNCTION("""COMPUTED_VALUE"""),"No")</f>
        <v>No</v>
      </c>
      <c r="BN97" s="30"/>
      <c r="BO97" s="30" t="str">
        <f ca="1">IFERROR(__xludf.DUMMYFUNCTION("""COMPUTED_VALUE"""),"7c75805d")</f>
        <v>7c75805d</v>
      </c>
      <c r="BP97" s="29" t="str">
        <f ca="1">IFERROR(__xludf.DUMMYFUNCTION("""COMPUTED_VALUE"""),"Guanajuato")</f>
        <v>Guanajuato</v>
      </c>
      <c r="BQ97" s="30" t="str">
        <f ca="1">IFERROR(__xludf.DUMMYFUNCTION("""COMPUTED_VALUE"""),"Urbano")</f>
        <v>Urbano</v>
      </c>
      <c r="BR97" s="30"/>
      <c r="BS97" s="30"/>
      <c r="BT97" s="30" t="str">
        <f ca="1">IFERROR(__xludf.DUMMYFUNCTION("""COMPUTED_VALUE"""),"ZONA CENTRO")</f>
        <v>ZONA CENTRO</v>
      </c>
      <c r="BU97" s="30" t="str">
        <f ca="1">IFERROR(__xludf.DUMMYFUNCTION("""COMPUTED_VALUE"""),"No")</f>
        <v>No</v>
      </c>
      <c r="BV97" s="30" t="str">
        <f ca="1">IFERROR(__xludf.DUMMYFUNCTION("""COMPUTED_VALUE"""),"No")</f>
        <v>No</v>
      </c>
      <c r="BW97" s="30">
        <f ca="1">IFERROR(__xludf.DUMMYFUNCTION("""COMPUTED_VALUE"""),12)</f>
        <v>12</v>
      </c>
      <c r="BX97" s="30"/>
      <c r="BY97" s="30">
        <f ca="1">IFERROR(__xludf.DUMMYFUNCTION("""COMPUTED_VALUE"""),12)</f>
        <v>12</v>
      </c>
      <c r="BZ97" s="30" t="str">
        <f ca="1">IFERROR(__xludf.DUMMYFUNCTION("""COMPUTED_VALUE"""),"ZONA CENTRO")</f>
        <v>ZONA CENTRO</v>
      </c>
      <c r="CA97" s="30" t="str">
        <f ca="1">IFERROR(__xludf.DUMMYFUNCTION("""COMPUTED_VALUE"""),"No")</f>
        <v>No</v>
      </c>
      <c r="CB97" s="30" t="str">
        <f ca="1">IFERROR(__xludf.DUMMYFUNCTION("""COMPUTED_VALUE"""),"No")</f>
        <v>No</v>
      </c>
      <c r="CC97" s="30" t="str">
        <f ca="1">IFERROR(__xludf.DUMMYFUNCTION("""COMPUTED_VALUE"""),"7f891dc4")</f>
        <v>7f891dc4</v>
      </c>
      <c r="CD97" s="29" t="str">
        <f ca="1">IFERROR(__xludf.DUMMYFUNCTION("""COMPUTED_VALUE"""),"Jóvenes (18 a 29 años)")</f>
        <v>Jóvenes (18 a 29 años)</v>
      </c>
      <c r="CE97" s="30" t="str">
        <f ca="1">IFERROR(__xludf.DUMMYFUNCTION("""COMPUTED_VALUE"""),"Dato global")</f>
        <v>Dato global</v>
      </c>
      <c r="CF97" s="30" t="str">
        <f ca="1">IFERROR(__xludf.DUMMYFUNCTION("""COMPUTED_VALUE"""),"Ninguno (Población General)")</f>
        <v>Ninguno (Población General)</v>
      </c>
      <c r="CG97" s="30">
        <f ca="1">IFERROR(__xludf.DUMMYFUNCTION("""COMPUTED_VALUE"""),55)</f>
        <v>55</v>
      </c>
      <c r="CI97" s="30" t="str">
        <f ca="1">IFERROR(__xludf.DUMMYFUNCTION("""COMPUTED_VALUE"""),"7ab1590c")</f>
        <v>7ab1590c</v>
      </c>
      <c r="CJ97" s="29" t="str">
        <f ca="1">IFERROR(__xludf.DUMMYFUNCTION("""COMPUTED_VALUE"""),"Regitro_Evidencia_Files_/7ab1590c.Archivo_Evidencia.180407. Habitar ese bosque.pdf")</f>
        <v>Regitro_Evidencia_Files_/7ab1590c.Archivo_Evidencia.180407. Habitar ese bosque.pdf</v>
      </c>
      <c r="CK97" s="30" t="str">
        <f ca="1">IFERROR(__xludf.DUMMYFUNCTION("""COMPUTED_VALUE"""),"PDF")</f>
        <v>PDF</v>
      </c>
      <c r="CL97" s="30"/>
      <c r="CM97" s="30" t="str">
        <f ca="1">IFERROR(__xludf.DUMMYFUNCTION("""COMPUTED_VALUE"""),"Guanajuato")</f>
        <v>Guanajuato</v>
      </c>
      <c r="CN97" s="32" t="e">
        <f ca="1"/>
        <v>#NAME?</v>
      </c>
      <c r="CO97" s="32" t="e">
        <f ca="1"/>
        <v>#NAME?</v>
      </c>
      <c r="CP97" s="32" t="e">
        <f ca="1"/>
        <v>#NAME?</v>
      </c>
      <c r="CQ97" s="32" t="e">
        <f ca="1"/>
        <v>#NAME?</v>
      </c>
      <c r="CR97" s="30" t="e">
        <f ca="1"/>
        <v>#NAME?</v>
      </c>
      <c r="CS97" s="30" t="str">
        <f ca="1">IFERROR(__xludf.DUMMYFUNCTION("""COMPUTED_VALUE"""),"Ninguno (Población General), Ninguno (Población General)")</f>
        <v>Ninguno (Población General), Ninguno (Población General)</v>
      </c>
    </row>
    <row r="98" spans="1:97" ht="13">
      <c r="A98" s="29" t="str">
        <f ca="1">IFERROR(__xludf.DUMMYFUNCTION("""COMPUTED_VALUE"""),"ACT-SCWW65984")</f>
        <v>ACT-SCWW65984</v>
      </c>
      <c r="B98" s="30" t="str">
        <f ca="1">IFERROR(__xludf.DUMMYFUNCTION("""COMPUTED_VALUE"""),"SC-260622-162308")</f>
        <v>SC-260622-162308</v>
      </c>
      <c r="C98" s="62">
        <f ca="1">IFERROR(__xludf.DUMMYFUNCTION("""COMPUTED_VALUE"""),46195.6827314814)</f>
        <v>46195.6827314814</v>
      </c>
      <c r="D98" s="30">
        <f ca="1">IFERROR(__xludf.DUMMYFUNCTION("""COMPUTED_VALUE"""),92)</f>
        <v>92</v>
      </c>
      <c r="E98" s="30" t="str">
        <f ca="1">IFERROR(__xludf.DUMMYFUNCTION("""COMPUTED_VALUE"""),"PB3572")</f>
        <v>PB3572</v>
      </c>
      <c r="F9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8" s="30" t="str">
        <f ca="1">IFERROR(__xludf.DUMMYFUNCTION("""COMPUTED_VALUE"""),"SUBSECRETARÍA DE DESARROLLO Y PROMOCIÓN ARTÍSTICA Y CULTURAL")</f>
        <v>SUBSECRETARÍA DE DESARROLLO Y PROMOCIÓN ARTÍSTICA Y CULTURAL</v>
      </c>
      <c r="I98" s="34" t="str">
        <f ca="1">IFERROR(__xludf.DUMMYFUNCTION("""COMPUTED_VALUE"""),"DIRECCIÓN GENERAL DE MUSEOS, ARTES VISUALES Y EXPOSICIONES")</f>
        <v>DIRECCIÓN GENERAL DE MUSEOS, ARTES VISUALES Y EXPOSICIONES</v>
      </c>
      <c r="J98" s="30" t="str">
        <f ca="1">IFERROR(__xludf.DUMMYFUNCTION("""COMPUTED_VALUE"""),"Número de Actividades realizadas")</f>
        <v>Número de Actividades realizadas</v>
      </c>
      <c r="K98" s="30">
        <f ca="1">IFERROR(__xludf.DUMMYFUNCTION("""COMPUTED_VALUE"""),800)</f>
        <v>800</v>
      </c>
      <c r="L98" s="30" t="str">
        <f ca="1">IFERROR(__xludf.DUMMYFUNCTION("""COMPUTED_VALUE"""),"Artística")</f>
        <v>Artística</v>
      </c>
      <c r="M98" s="30" t="str">
        <f ca="1">IFERROR(__xludf.DUMMYFUNCTION("""COMPUTED_VALUE"""),"Palabrasumbral, palabrasfilo. Lectura de poesía.")</f>
        <v>Palabrasumbral, palabrasfilo. Lectura de poesía.</v>
      </c>
      <c r="N98" s="30" t="str">
        <f ca="1">IFERROR(__xludf.DUMMYFUNCTION("""COMPUTED_VALUE"""),"Lectura de poesía. Un tejido verbal hecho con fibras extraídas de 13 poetas latinoamericanos del siglo XX. En torno a la exposición Bajo el signo de saturno  del Museo de Arte Historia de Guanajuato.")</f>
        <v>Lectura de poesía. Un tejido verbal hecho con fibras extraídas de 13 poetas latinoamericanos del siglo XX. En torno a la exposición Bajo el signo de saturno  del Museo de Arte Historia de Guanajuato.</v>
      </c>
      <c r="O98" s="30" t="str">
        <f ca="1">IFERROR(__xludf.DUMMYFUNCTION("""COMPUTED_VALUE"""),"Única")</f>
        <v>Única</v>
      </c>
      <c r="P98" s="33">
        <f ca="1">IFERROR(__xludf.DUMMYFUNCTION("""COMPUTED_VALUE"""),46176)</f>
        <v>46176</v>
      </c>
      <c r="Q98" s="33">
        <f ca="1">IFERROR(__xludf.DUMMYFUNCTION("""COMPUTED_VALUE"""),46176)</f>
        <v>46176</v>
      </c>
      <c r="R98" s="30">
        <f ca="1">IFERROR(__xludf.DUMMYFUNCTION("""COMPUTED_VALUE"""),1)</f>
        <v>1</v>
      </c>
      <c r="S98" s="30" t="str">
        <f ca="1">IFERROR(__xludf.DUMMYFUNCTION("""COMPUTED_VALUE"""),"Literatura")</f>
        <v>Literatura</v>
      </c>
      <c r="T98" s="30" t="str">
        <f ca="1">IFERROR(__xludf.DUMMYFUNCTION("""COMPUTED_VALUE"""),"Fomento a la lectura")</f>
        <v>Fomento a la lectura</v>
      </c>
      <c r="U98" s="30" t="str">
        <f ca="1">IFERROR(__xludf.DUMMYFUNCTION("""COMPUTED_VALUE"""),"Charla")</f>
        <v>Charla</v>
      </c>
      <c r="V98" s="30" t="str">
        <f ca="1">IFERROR(__xludf.DUMMYFUNCTION("""COMPUTED_VALUE"""),"Ninguna")</f>
        <v>Ninguna</v>
      </c>
      <c r="W98" s="30" t="str">
        <f ca="1">IFERROR(__xludf.DUMMYFUNCTION("""COMPUTED_VALUE"""),"Presencial")</f>
        <v>Presencial</v>
      </c>
      <c r="X98" s="30" t="str">
        <f ca="1">IFERROR(__xludf.DUMMYFUNCTION("""COMPUTED_VALUE"""),"Espacio a Cargo de la Secretaría")</f>
        <v>Espacio a Cargo de la Secretaría</v>
      </c>
      <c r="Y98" s="30" t="str">
        <f ca="1">IFERROR(__xludf.DUMMYFUNCTION("""COMPUTED_VALUE"""),"2")</f>
        <v>2</v>
      </c>
      <c r="Z98" s="30"/>
      <c r="AA98" s="30"/>
      <c r="AB98" s="30" t="b">
        <f ca="1">IFERROR(__xludf.DUMMYFUNCTION("""COMPUTED_VALUE"""),FALSE)</f>
        <v>0</v>
      </c>
      <c r="AC98" s="30"/>
      <c r="AD98" s="30" t="b">
        <f ca="1">IFERROR(__xludf.DUMMYFUNCTION("""COMPUTED_VALUE"""),FALSE)</f>
        <v>0</v>
      </c>
      <c r="AE98" s="30"/>
      <c r="AF98" s="30" t="b">
        <f ca="1">IFERROR(__xludf.DUMMYFUNCTION("""COMPUTED_VALUE"""),FALSE)</f>
        <v>0</v>
      </c>
      <c r="AG98" s="30"/>
      <c r="AH98" s="30" t="str">
        <f ca="1">IFERROR(__xludf.DUMMYFUNCTION("""COMPUTED_VALUE"""),"Sin costo")</f>
        <v>Sin costo</v>
      </c>
      <c r="AI98" s="30"/>
      <c r="AJ98" s="30"/>
      <c r="AK98" s="30"/>
      <c r="AL98" s="30" t="str">
        <f ca="1">IFERROR(__xludf.DUMMYFUNCTION("""COMPUTED_VALUE"""),"ccardonav@guanajuato.gob.mx")</f>
        <v>ccardonav@guanajuato.gob.mx</v>
      </c>
      <c r="AM98" s="30" t="str">
        <f ca="1">IFERROR(__xludf.DUMMYFUNCTION("""COMPUTED_VALUE"""),"Leer para crecer.")</f>
        <v>Leer para crecer.</v>
      </c>
      <c r="AN98" s="30" t="str">
        <f ca="1">IFERROR(__xludf.DUMMYFUNCTION("""COMPUTED_VALUE"""),"4 Vocación")</f>
        <v>4 Vocación</v>
      </c>
      <c r="AO98" s="30" t="str">
        <f ca="1">IFERROR(__xludf.DUMMYFUNCTION("""COMPUTED_VALUE"""),"4.4 Reforzar competencias lectoras y lógico matemáticas")</f>
        <v>4.4 Reforzar competencias lectoras y lógico matemáticas</v>
      </c>
      <c r="AP98" s="30" t="str">
        <f ca="1">IFERROR(__xludf.DUMMYFUNCTION("""COMPUTED_VALUE"""),"4.4.2 Competencias lectoras")</f>
        <v>4.4.2 Competencias lectoras</v>
      </c>
      <c r="AQ98" s="30" t="str">
        <f ca="1">IFERROR(__xludf.DUMMYFUNCTION("""COMPUTED_VALUE"""),"4.4.2 Fomentar el hábito lector")</f>
        <v>4.4.2 Fomentar el hábito lector</v>
      </c>
      <c r="AR98" s="30" t="str">
        <f ca="1">IFERROR(__xludf.DUMMYFUNCTION("""COMPUTED_VALUE"""),"Cooperación")</f>
        <v>Cooperación</v>
      </c>
      <c r="AS98" s="30"/>
      <c r="AT98" s="30" t="str">
        <f ca="1">IFERROR(__xludf.DUMMYFUNCTION("""COMPUTED_VALUE"""),"Fortalecimiento de la participación ciudadana y la mediación cultural")</f>
        <v>Fortalecimiento de la participación ciudadana y la mediación cultural</v>
      </c>
      <c r="AU98" s="30" t="str">
        <f ca="1">IFERROR(__xludf.DUMMYFUNCTION("""COMPUTED_VALUE"""),"Impulso a la ampliación de la oferta cultural en los territorios.")</f>
        <v>Impulso a la ampliación de la oferta cultural en los territorios.</v>
      </c>
      <c r="AV9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8" s="30" t="str">
        <f ca="1">IFERROR(__xludf.DUMMYFUNCTION("""COMPUTED_VALUE"""),"Incrementar en 25% la oferta cultural realizada en los municipios.")</f>
        <v>Incrementar en 25% la oferta cultural realizada en los municipios.</v>
      </c>
      <c r="AX98" s="30" t="str">
        <f ca="1">IFERROR(__xludf.DUMMYFUNCTION("""COMPUTED_VALUE"""),"Charla")</f>
        <v>Charla</v>
      </c>
      <c r="AY98" s="30" t="str">
        <f ca="1">IFERROR(__xludf.DUMMYFUNCTION("""COMPUTED_VALUE"""),"Formación")</f>
        <v>Formación</v>
      </c>
      <c r="AZ98" s="30" t="str">
        <f ca="1">IFERROR(__xludf.DUMMYFUNCTION("""COMPUTED_VALUE"""),"Formación")</f>
        <v>Formación</v>
      </c>
      <c r="BA98" s="30"/>
      <c r="BB98" s="30"/>
      <c r="BC98" s="30">
        <f ca="1">IFERROR(__xludf.DUMMYFUNCTION("""COMPUTED_VALUE"""),0)</f>
        <v>0</v>
      </c>
      <c r="BD98" s="30"/>
      <c r="BE98" s="30"/>
      <c r="BF98" s="30" t="b">
        <f ca="1">IFERROR(__xludf.DUMMYFUNCTION("""COMPUTED_VALUE"""),FALSE)</f>
        <v>0</v>
      </c>
      <c r="BG98" s="30"/>
      <c r="BH98" s="30"/>
      <c r="BI98" s="30"/>
      <c r="BJ98" s="30"/>
      <c r="BK98" s="30"/>
      <c r="BL98" s="30"/>
      <c r="BM98" s="30" t="str">
        <f ca="1">IFERROR(__xludf.DUMMYFUNCTION("""COMPUTED_VALUE"""),"No")</f>
        <v>No</v>
      </c>
      <c r="BN98" s="30"/>
      <c r="BO98" s="30" t="str">
        <f ca="1">IFERROR(__xludf.DUMMYFUNCTION("""COMPUTED_VALUE"""),"9539284d")</f>
        <v>9539284d</v>
      </c>
      <c r="BP98" s="29" t="str">
        <f ca="1">IFERROR(__xludf.DUMMYFUNCTION("""COMPUTED_VALUE"""),"Guanajuato")</f>
        <v>Guanajuato</v>
      </c>
      <c r="BQ98" s="30" t="str">
        <f ca="1">IFERROR(__xludf.DUMMYFUNCTION("""COMPUTED_VALUE"""),"Urbano")</f>
        <v>Urbano</v>
      </c>
      <c r="BR98" s="30"/>
      <c r="BS98" s="30"/>
      <c r="BT98" s="30" t="str">
        <f ca="1">IFERROR(__xludf.DUMMYFUNCTION("""COMPUTED_VALUE"""),"ZONA CENTRO")</f>
        <v>ZONA CENTRO</v>
      </c>
      <c r="BU98" s="30" t="str">
        <f ca="1">IFERROR(__xludf.DUMMYFUNCTION("""COMPUTED_VALUE"""),"No")</f>
        <v>No</v>
      </c>
      <c r="BV98" s="30" t="str">
        <f ca="1">IFERROR(__xludf.DUMMYFUNCTION("""COMPUTED_VALUE"""),"No")</f>
        <v>No</v>
      </c>
      <c r="BW98" s="30">
        <f ca="1">IFERROR(__xludf.DUMMYFUNCTION("""COMPUTED_VALUE"""),13)</f>
        <v>13</v>
      </c>
      <c r="BX98" s="30"/>
      <c r="BY98" s="30">
        <f ca="1">IFERROR(__xludf.DUMMYFUNCTION("""COMPUTED_VALUE"""),13)</f>
        <v>13</v>
      </c>
      <c r="BZ98" s="30" t="str">
        <f ca="1">IFERROR(__xludf.DUMMYFUNCTION("""COMPUTED_VALUE"""),"ZONA CENTRO")</f>
        <v>ZONA CENTRO</v>
      </c>
      <c r="CA98" s="30" t="str">
        <f ca="1">IFERROR(__xludf.DUMMYFUNCTION("""COMPUTED_VALUE"""),"No")</f>
        <v>No</v>
      </c>
      <c r="CB98" s="30" t="str">
        <f ca="1">IFERROR(__xludf.DUMMYFUNCTION("""COMPUTED_VALUE"""),"No")</f>
        <v>No</v>
      </c>
      <c r="CC98" s="30" t="str">
        <f ca="1">IFERROR(__xludf.DUMMYFUNCTION("""COMPUTED_VALUE"""),"fdfa12ae")</f>
        <v>fdfa12ae</v>
      </c>
      <c r="CD98" s="29" t="str">
        <f ca="1">IFERROR(__xludf.DUMMYFUNCTION("""COMPUTED_VALUE"""),"Adultos (30 a 59 años)")</f>
        <v>Adultos (30 a 59 años)</v>
      </c>
      <c r="CE98" s="30" t="str">
        <f ca="1">IFERROR(__xludf.DUMMYFUNCTION("""COMPUTED_VALUE"""),"Dato global")</f>
        <v>Dato global</v>
      </c>
      <c r="CF98" s="30" t="str">
        <f ca="1">IFERROR(__xludf.DUMMYFUNCTION("""COMPUTED_VALUE"""),"Ninguno (Población General)")</f>
        <v>Ninguno (Población General)</v>
      </c>
      <c r="CG98" s="30">
        <f ca="1">IFERROR(__xludf.DUMMYFUNCTION("""COMPUTED_VALUE"""),100)</f>
        <v>100</v>
      </c>
      <c r="CI98" s="30" t="str">
        <f ca="1">IFERROR(__xludf.DUMMYFUNCTION("""COMPUTED_VALUE"""),"28931c1d")</f>
        <v>28931c1d</v>
      </c>
      <c r="CJ98" s="29" t="str">
        <f ca="1">IFERROR(__xludf.DUMMYFUNCTION("""COMPUTED_VALUE"""),"Regitro_Evidencia_Files_/28931c1d.Archivo_Evidencia.181121. Universidad La Salle.pdf")</f>
        <v>Regitro_Evidencia_Files_/28931c1d.Archivo_Evidencia.181121. Universidad La Salle.pdf</v>
      </c>
      <c r="CK98" s="30" t="str">
        <f ca="1">IFERROR(__xludf.DUMMYFUNCTION("""COMPUTED_VALUE"""),"PDF")</f>
        <v>PDF</v>
      </c>
      <c r="CL98" s="30"/>
      <c r="CM98" s="30" t="str">
        <f ca="1">IFERROR(__xludf.DUMMYFUNCTION("""COMPUTED_VALUE"""),"Guanajuato")</f>
        <v>Guanajuato</v>
      </c>
      <c r="CN98" s="32" t="e">
        <f ca="1"/>
        <v>#NAME?</v>
      </c>
      <c r="CO98" s="32" t="e">
        <f ca="1"/>
        <v>#NAME?</v>
      </c>
      <c r="CP98" s="32" t="e">
        <f ca="1"/>
        <v>#NAME?</v>
      </c>
      <c r="CQ98" s="32" t="e">
        <f ca="1"/>
        <v>#NAME?</v>
      </c>
      <c r="CR98" s="30" t="e">
        <f ca="1"/>
        <v>#NAME?</v>
      </c>
      <c r="CS98" s="30" t="str">
        <f ca="1">IFERROR(__xludf.DUMMYFUNCTION("""COMPUTED_VALUE"""),"Ninguno (Población General)")</f>
        <v>Ninguno (Población General)</v>
      </c>
    </row>
    <row r="99" spans="1:97" ht="13">
      <c r="A99" s="29" t="str">
        <f ca="1">IFERROR(__xludf.DUMMYFUNCTION("""COMPUTED_VALUE"""),"ACT-SCKC43099")</f>
        <v>ACT-SCKC43099</v>
      </c>
      <c r="B99" s="30" t="str">
        <f ca="1">IFERROR(__xludf.DUMMYFUNCTION("""COMPUTED_VALUE"""),"SC-260623-095522")</f>
        <v>SC-260623-095522</v>
      </c>
      <c r="C99" s="62">
        <f ca="1">IFERROR(__xludf.DUMMYFUNCTION("""COMPUTED_VALUE"""),46196.413449074)</f>
        <v>46196.413449074003</v>
      </c>
      <c r="D99" s="30">
        <f ca="1">IFERROR(__xludf.DUMMYFUNCTION("""COMPUTED_VALUE"""),92)</f>
        <v>92</v>
      </c>
      <c r="E99" s="30" t="str">
        <f ca="1">IFERROR(__xludf.DUMMYFUNCTION("""COMPUTED_VALUE"""),"PB3572")</f>
        <v>PB3572</v>
      </c>
      <c r="F9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9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99" s="30" t="str">
        <f ca="1">IFERROR(__xludf.DUMMYFUNCTION("""COMPUTED_VALUE"""),"SUBSECRETARÍA DE DESARROLLO Y PROMOCIÓN ARTÍSTICA Y CULTURAL")</f>
        <v>SUBSECRETARÍA DE DESARROLLO Y PROMOCIÓN ARTÍSTICA Y CULTURAL</v>
      </c>
      <c r="I99" s="34" t="str">
        <f ca="1">IFERROR(__xludf.DUMMYFUNCTION("""COMPUTED_VALUE"""),"DIRECCIÓN GENERAL DE MUSEOS, ARTES VISUALES Y EXPOSICIONES")</f>
        <v>DIRECCIÓN GENERAL DE MUSEOS, ARTES VISUALES Y EXPOSICIONES</v>
      </c>
      <c r="J99" s="30" t="str">
        <f ca="1">IFERROR(__xludf.DUMMYFUNCTION("""COMPUTED_VALUE"""),"Número de Actividades realizadas")</f>
        <v>Número de Actividades realizadas</v>
      </c>
      <c r="K99" s="30">
        <f ca="1">IFERROR(__xludf.DUMMYFUNCTION("""COMPUTED_VALUE"""),800)</f>
        <v>800</v>
      </c>
      <c r="L99" s="30" t="str">
        <f ca="1">IFERROR(__xludf.DUMMYFUNCTION("""COMPUTED_VALUE"""),"Artística")</f>
        <v>Artística</v>
      </c>
      <c r="M99" s="30" t="str">
        <f ca="1">IFERROR(__xludf.DUMMYFUNCTION("""COMPUTED_VALUE"""),"Reescribir el paisaje. Taller de lectoescritura a partir de la exposición Poética del Paisaje")</f>
        <v>Reescribir el paisaje. Taller de lectoescritura a partir de la exposición Poética del Paisaje</v>
      </c>
      <c r="N99" s="30" t="str">
        <f ca="1">IFERROR(__xludf.DUMMYFUNCTION("""COMPUTED_VALUE"""),"Taller que promueve el pensamiento y la escritura a partir de la obra de Carlos Pellicer y la aproximación de las obras de la exposición que se fundó a partir del paisaje como un elemento clave en la escritura del autor.")</f>
        <v>Taller que promueve el pensamiento y la escritura a partir de la obra de Carlos Pellicer y la aproximación de las obras de la exposición que se fundó a partir del paisaje como un elemento clave en la escritura del autor.</v>
      </c>
      <c r="O99" s="30" t="str">
        <f ca="1">IFERROR(__xludf.DUMMYFUNCTION("""COMPUTED_VALUE"""),"Única")</f>
        <v>Única</v>
      </c>
      <c r="P99" s="33">
        <f ca="1">IFERROR(__xludf.DUMMYFUNCTION("""COMPUTED_VALUE"""),46177)</f>
        <v>46177</v>
      </c>
      <c r="Q99" s="33">
        <f ca="1">IFERROR(__xludf.DUMMYFUNCTION("""COMPUTED_VALUE"""),46177)</f>
        <v>46177</v>
      </c>
      <c r="R99" s="30">
        <f ca="1">IFERROR(__xludf.DUMMYFUNCTION("""COMPUTED_VALUE"""),1)</f>
        <v>1</v>
      </c>
      <c r="S99" s="30" t="str">
        <f ca="1">IFERROR(__xludf.DUMMYFUNCTION("""COMPUTED_VALUE"""),"Literatura")</f>
        <v>Literatura</v>
      </c>
      <c r="T99" s="30" t="str">
        <f ca="1">IFERROR(__xludf.DUMMYFUNCTION("""COMPUTED_VALUE"""),"Fomento a la lectura")</f>
        <v>Fomento a la lectura</v>
      </c>
      <c r="U99" s="30" t="str">
        <f ca="1">IFERROR(__xludf.DUMMYFUNCTION("""COMPUTED_VALUE"""),"Taller")</f>
        <v>Taller</v>
      </c>
      <c r="V99" s="30" t="str">
        <f ca="1">IFERROR(__xludf.DUMMYFUNCTION("""COMPUTED_VALUE"""),"Ninguna")</f>
        <v>Ninguna</v>
      </c>
      <c r="W99" s="30" t="str">
        <f ca="1">IFERROR(__xludf.DUMMYFUNCTION("""COMPUTED_VALUE"""),"Presencial")</f>
        <v>Presencial</v>
      </c>
      <c r="X99" s="30" t="str">
        <f ca="1">IFERROR(__xludf.DUMMYFUNCTION("""COMPUTED_VALUE"""),"Espacio a Cargo de la Secretaría")</f>
        <v>Espacio a Cargo de la Secretaría</v>
      </c>
      <c r="Y99" s="30" t="str">
        <f ca="1">IFERROR(__xludf.DUMMYFUNCTION("""COMPUTED_VALUE"""),"6")</f>
        <v>6</v>
      </c>
      <c r="Z99" s="30"/>
      <c r="AA99" s="30"/>
      <c r="AB99" s="30" t="b">
        <f ca="1">IFERROR(__xludf.DUMMYFUNCTION("""COMPUTED_VALUE"""),FALSE)</f>
        <v>0</v>
      </c>
      <c r="AC99" s="30"/>
      <c r="AD99" s="30" t="b">
        <f ca="1">IFERROR(__xludf.DUMMYFUNCTION("""COMPUTED_VALUE"""),FALSE)</f>
        <v>0</v>
      </c>
      <c r="AE99" s="30"/>
      <c r="AF99" s="30" t="b">
        <f ca="1">IFERROR(__xludf.DUMMYFUNCTION("""COMPUTED_VALUE"""),FALSE)</f>
        <v>0</v>
      </c>
      <c r="AG99" s="30"/>
      <c r="AH99" s="30" t="str">
        <f ca="1">IFERROR(__xludf.DUMMYFUNCTION("""COMPUTED_VALUE"""),"Sin costo")</f>
        <v>Sin costo</v>
      </c>
      <c r="AI99" s="30"/>
      <c r="AJ99" s="30"/>
      <c r="AK99" s="30"/>
      <c r="AL99" s="30" t="str">
        <f ca="1">IFERROR(__xludf.DUMMYFUNCTION("""COMPUTED_VALUE"""),"ccardonav@guanajuato.gob.mx")</f>
        <v>ccardonav@guanajuato.gob.mx</v>
      </c>
      <c r="AM99" s="30" t="str">
        <f ca="1">IFERROR(__xludf.DUMMYFUNCTION("""COMPUTED_VALUE"""),"Leer para crecer.")</f>
        <v>Leer para crecer.</v>
      </c>
      <c r="AN99" s="30" t="str">
        <f ca="1">IFERROR(__xludf.DUMMYFUNCTION("""COMPUTED_VALUE"""),"4 Vocación")</f>
        <v>4 Vocación</v>
      </c>
      <c r="AO99" s="30" t="str">
        <f ca="1">IFERROR(__xludf.DUMMYFUNCTION("""COMPUTED_VALUE"""),"4.4 Reforzar competencias lectoras y lógico matemáticas")</f>
        <v>4.4 Reforzar competencias lectoras y lógico matemáticas</v>
      </c>
      <c r="AP99" s="30" t="str">
        <f ca="1">IFERROR(__xludf.DUMMYFUNCTION("""COMPUTED_VALUE"""),"4.4.2 Competencias lectoras")</f>
        <v>4.4.2 Competencias lectoras</v>
      </c>
      <c r="AQ99" s="30" t="str">
        <f ca="1">IFERROR(__xludf.DUMMYFUNCTION("""COMPUTED_VALUE"""),"4.4.2 Fomentar el hábito lector")</f>
        <v>4.4.2 Fomentar el hábito lector</v>
      </c>
      <c r="AR99" s="30" t="str">
        <f ca="1">IFERROR(__xludf.DUMMYFUNCTION("""COMPUTED_VALUE"""),"Cooperación")</f>
        <v>Cooperación</v>
      </c>
      <c r="AS99" s="30"/>
      <c r="AT99" s="30" t="str">
        <f ca="1">IFERROR(__xludf.DUMMYFUNCTION("""COMPUTED_VALUE"""),"Fortalecimiento de la participación ciudadana y la mediación cultural")</f>
        <v>Fortalecimiento de la participación ciudadana y la mediación cultural</v>
      </c>
      <c r="AU99" s="30" t="str">
        <f ca="1">IFERROR(__xludf.DUMMYFUNCTION("""COMPUTED_VALUE"""),"Impulso a la ampliación de la oferta cultural en los territorios.")</f>
        <v>Impulso a la ampliación de la oferta cultural en los territorios.</v>
      </c>
      <c r="AV9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99" s="30" t="str">
        <f ca="1">IFERROR(__xludf.DUMMYFUNCTION("""COMPUTED_VALUE"""),"Incrementar en 25% la oferta cultural realizada en los municipios.")</f>
        <v>Incrementar en 25% la oferta cultural realizada en los municipios.</v>
      </c>
      <c r="AX99" s="30" t="str">
        <f ca="1">IFERROR(__xludf.DUMMYFUNCTION("""COMPUTED_VALUE"""),"Taller")</f>
        <v>Taller</v>
      </c>
      <c r="AY99" s="30" t="str">
        <f ca="1">IFERROR(__xludf.DUMMYFUNCTION("""COMPUTED_VALUE"""),"Formación")</f>
        <v>Formación</v>
      </c>
      <c r="AZ99" s="30" t="str">
        <f ca="1">IFERROR(__xludf.DUMMYFUNCTION("""COMPUTED_VALUE"""),"Formación")</f>
        <v>Formación</v>
      </c>
      <c r="BA99" s="30"/>
      <c r="BB99" s="30"/>
      <c r="BC99" s="30">
        <f ca="1">IFERROR(__xludf.DUMMYFUNCTION("""COMPUTED_VALUE"""),0)</f>
        <v>0</v>
      </c>
      <c r="BD99" s="30"/>
      <c r="BE99" s="30"/>
      <c r="BF99" s="30" t="b">
        <f ca="1">IFERROR(__xludf.DUMMYFUNCTION("""COMPUTED_VALUE"""),FALSE)</f>
        <v>0</v>
      </c>
      <c r="BG99" s="30"/>
      <c r="BH99" s="30"/>
      <c r="BI99" s="30"/>
      <c r="BJ99" s="30"/>
      <c r="BK99" s="30"/>
      <c r="BL99" s="30"/>
      <c r="BM99" s="30" t="str">
        <f ca="1">IFERROR(__xludf.DUMMYFUNCTION("""COMPUTED_VALUE"""),"No")</f>
        <v>No</v>
      </c>
      <c r="BN99" s="30"/>
      <c r="BO99" s="30" t="str">
        <f ca="1">IFERROR(__xludf.DUMMYFUNCTION("""COMPUTED_VALUE"""),"b2532d76")</f>
        <v>b2532d76</v>
      </c>
      <c r="BP99" s="29" t="str">
        <f ca="1">IFERROR(__xludf.DUMMYFUNCTION("""COMPUTED_VALUE"""),"Guanajuato")</f>
        <v>Guanajuato</v>
      </c>
      <c r="BQ99" s="30" t="str">
        <f ca="1">IFERROR(__xludf.DUMMYFUNCTION("""COMPUTED_VALUE"""),"Urbano")</f>
        <v>Urbano</v>
      </c>
      <c r="BR99" s="30"/>
      <c r="BS99" s="30"/>
      <c r="BT99" s="30" t="str">
        <f ca="1">IFERROR(__xludf.DUMMYFUNCTION("""COMPUTED_VALUE"""),"ZONA CENTRO")</f>
        <v>ZONA CENTRO</v>
      </c>
      <c r="BU99" s="30" t="str">
        <f ca="1">IFERROR(__xludf.DUMMYFUNCTION("""COMPUTED_VALUE"""),"No")</f>
        <v>No</v>
      </c>
      <c r="BV99" s="30" t="str">
        <f ca="1">IFERROR(__xludf.DUMMYFUNCTION("""COMPUTED_VALUE"""),"No")</f>
        <v>No</v>
      </c>
      <c r="BW99" s="30">
        <f ca="1">IFERROR(__xludf.DUMMYFUNCTION("""COMPUTED_VALUE"""),27)</f>
        <v>27</v>
      </c>
      <c r="BX99" s="30">
        <f ca="1">IFERROR(__xludf.DUMMYFUNCTION("""COMPUTED_VALUE"""),27)</f>
        <v>27</v>
      </c>
      <c r="BY99" s="30">
        <f ca="1">IFERROR(__xludf.DUMMYFUNCTION("""COMPUTED_VALUE"""),0)</f>
        <v>0</v>
      </c>
      <c r="BZ99" s="30" t="str">
        <f ca="1">IFERROR(__xludf.DUMMYFUNCTION("""COMPUTED_VALUE"""),"ZONA CENTRO")</f>
        <v>ZONA CENTRO</v>
      </c>
      <c r="CA99" s="30" t="str">
        <f ca="1">IFERROR(__xludf.DUMMYFUNCTION("""COMPUTED_VALUE"""),"No")</f>
        <v>No</v>
      </c>
      <c r="CB99" s="30" t="str">
        <f ca="1">IFERROR(__xludf.DUMMYFUNCTION("""COMPUTED_VALUE"""),"No")</f>
        <v>No</v>
      </c>
      <c r="CC99" s="30" t="str">
        <f ca="1">IFERROR(__xludf.DUMMYFUNCTION("""COMPUTED_VALUE"""),"d07e1e2c")</f>
        <v>d07e1e2c</v>
      </c>
      <c r="CD99" s="29" t="str">
        <f ca="1">IFERROR(__xludf.DUMMYFUNCTION("""COMPUTED_VALUE"""),"Adultos Mayores (60 años o más)")</f>
        <v>Adultos Mayores (60 años o más)</v>
      </c>
      <c r="CE99" s="30" t="str">
        <f ca="1">IFERROR(__xludf.DUMMYFUNCTION("""COMPUTED_VALUE"""),"Dato global")</f>
        <v>Dato global</v>
      </c>
      <c r="CF99" s="30" t="str">
        <f ca="1">IFERROR(__xludf.DUMMYFUNCTION("""COMPUTED_VALUE"""),"Ninguno (Población General)")</f>
        <v>Ninguno (Población General)</v>
      </c>
      <c r="CG99" s="30">
        <f ca="1">IFERROR(__xludf.DUMMYFUNCTION("""COMPUTED_VALUE"""),100)</f>
        <v>100</v>
      </c>
      <c r="CI99" s="30" t="str">
        <f ca="1">IFERROR(__xludf.DUMMYFUNCTION("""COMPUTED_VALUE"""),"1dbbe63b")</f>
        <v>1dbbe63b</v>
      </c>
      <c r="CJ99" s="29" t="str">
        <f ca="1">IFERROR(__xludf.DUMMYFUNCTION("""COMPUTED_VALUE"""),"Regitro_Evidencia_Files_/1dbbe63b.Archivo_Evidencia.183614.2026 Quiromancia al cuadro.pdf")</f>
        <v>Regitro_Evidencia_Files_/1dbbe63b.Archivo_Evidencia.183614.2026 Quiromancia al cuadro.pdf</v>
      </c>
      <c r="CK99" s="30" t="str">
        <f ca="1">IFERROR(__xludf.DUMMYFUNCTION("""COMPUTED_VALUE"""),"PDF")</f>
        <v>PDF</v>
      </c>
      <c r="CL99" s="30"/>
      <c r="CM99" s="30" t="str">
        <f ca="1">IFERROR(__xludf.DUMMYFUNCTION("""COMPUTED_VALUE"""),"Guanajuato")</f>
        <v>Guanajuato</v>
      </c>
      <c r="CN99" s="32" t="e">
        <f ca="1"/>
        <v>#NAME?</v>
      </c>
      <c r="CO99" s="32" t="e">
        <f ca="1"/>
        <v>#NAME?</v>
      </c>
      <c r="CP99" s="32" t="e">
        <f ca="1"/>
        <v>#NAME?</v>
      </c>
      <c r="CQ99" s="32" t="e">
        <f ca="1"/>
        <v>#NAME?</v>
      </c>
      <c r="CR99" s="30" t="e">
        <f ca="1"/>
        <v>#NAME?</v>
      </c>
      <c r="CS99" s="30" t="str">
        <f ca="1">IFERROR(__xludf.DUMMYFUNCTION("""COMPUTED_VALUE"""),"Ninguno (Población General)")</f>
        <v>Ninguno (Población General)</v>
      </c>
    </row>
    <row r="100" spans="1:97" ht="13">
      <c r="A100" s="29" t="str">
        <f ca="1">IFERROR(__xludf.DUMMYFUNCTION("""COMPUTED_VALUE"""),"ACT-SCJK78780")</f>
        <v>ACT-SCJK78780</v>
      </c>
      <c r="B100" s="30" t="str">
        <f ca="1">IFERROR(__xludf.DUMMYFUNCTION("""COMPUTED_VALUE"""),"SC-260623-100012")</f>
        <v>SC-260623-100012</v>
      </c>
      <c r="C100" s="62">
        <f ca="1">IFERROR(__xludf.DUMMYFUNCTION("""COMPUTED_VALUE"""),46196.4168055555)</f>
        <v>46196.416805555498</v>
      </c>
      <c r="D100" s="30">
        <f ca="1">IFERROR(__xludf.DUMMYFUNCTION("""COMPUTED_VALUE"""),92)</f>
        <v>92</v>
      </c>
      <c r="E100" s="30" t="str">
        <f ca="1">IFERROR(__xludf.DUMMYFUNCTION("""COMPUTED_VALUE"""),"PB3572")</f>
        <v>PB3572</v>
      </c>
      <c r="F10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0" s="30" t="str">
        <f ca="1">IFERROR(__xludf.DUMMYFUNCTION("""COMPUTED_VALUE"""),"SUBSECRETARÍA DE DESARROLLO Y PROMOCIÓN ARTÍSTICA Y CULTURAL")</f>
        <v>SUBSECRETARÍA DE DESARROLLO Y PROMOCIÓN ARTÍSTICA Y CULTURAL</v>
      </c>
      <c r="I100" s="34" t="str">
        <f ca="1">IFERROR(__xludf.DUMMYFUNCTION("""COMPUTED_VALUE"""),"DIRECCIÓN GENERAL DE MUSEOS, ARTES VISUALES Y EXPOSICIONES")</f>
        <v>DIRECCIÓN GENERAL DE MUSEOS, ARTES VISUALES Y EXPOSICIONES</v>
      </c>
      <c r="J100" s="30" t="str">
        <f ca="1">IFERROR(__xludf.DUMMYFUNCTION("""COMPUTED_VALUE"""),"Número de Actividades realizadas")</f>
        <v>Número de Actividades realizadas</v>
      </c>
      <c r="K100" s="30">
        <f ca="1">IFERROR(__xludf.DUMMYFUNCTION("""COMPUTED_VALUE"""),800)</f>
        <v>800</v>
      </c>
      <c r="L100" s="30" t="str">
        <f ca="1">IFERROR(__xludf.DUMMYFUNCTION("""COMPUTED_VALUE"""),"Artística")</f>
        <v>Artística</v>
      </c>
      <c r="M100" s="30" t="str">
        <f ca="1">IFERROR(__xludf.DUMMYFUNCTION("""COMPUTED_VALUE"""),"Museum week: Sembrar la paz: taller de creación colectiva a partir de “Sembrador de pájaros""")</f>
        <v>Museum week: Sembrar la paz: taller de creación colectiva a partir de “Sembrador de pájaros"</v>
      </c>
      <c r="N100" s="30" t="str">
        <f ca="1">IFERROR(__xludf.DUMMYFUNCTION("""COMPUTED_VALUE"""),"Actividad dirigida a niñas y niños Posteriormente, los participantes elaborarán pájaros de papel (origami) como símbolo de esperanza, comunidad y construcción colectiva.")</f>
        <v>Actividad dirigida a niñas y niños Posteriormente, los participantes elaborarán pájaros de papel (origami) como símbolo de esperanza, comunidad y construcción colectiva.</v>
      </c>
      <c r="O100" s="30" t="str">
        <f ca="1">IFERROR(__xludf.DUMMYFUNCTION("""COMPUTED_VALUE"""),"Única")</f>
        <v>Única</v>
      </c>
      <c r="P100" s="33">
        <f ca="1">IFERROR(__xludf.DUMMYFUNCTION("""COMPUTED_VALUE"""),46178)</f>
        <v>46178</v>
      </c>
      <c r="Q100" s="33">
        <f ca="1">IFERROR(__xludf.DUMMYFUNCTION("""COMPUTED_VALUE"""),46178)</f>
        <v>46178</v>
      </c>
      <c r="R100" s="30">
        <f ca="1">IFERROR(__xludf.DUMMYFUNCTION("""COMPUTED_VALUE"""),1)</f>
        <v>1</v>
      </c>
      <c r="S100" s="30" t="str">
        <f ca="1">IFERROR(__xludf.DUMMYFUNCTION("""COMPUTED_VALUE"""),"Artes visuales")</f>
        <v>Artes visuales</v>
      </c>
      <c r="T100" s="30" t="str">
        <f ca="1">IFERROR(__xludf.DUMMYFUNCTION("""COMPUTED_VALUE"""),"Escultura")</f>
        <v>Escultura</v>
      </c>
      <c r="U100" s="30" t="str">
        <f ca="1">IFERROR(__xludf.DUMMYFUNCTION("""COMPUTED_VALUE"""),"Taller")</f>
        <v>Taller</v>
      </c>
      <c r="V100" s="30" t="str">
        <f ca="1">IFERROR(__xludf.DUMMYFUNCTION("""COMPUTED_VALUE"""),"Ninguna")</f>
        <v>Ninguna</v>
      </c>
      <c r="W100" s="30" t="str">
        <f ca="1">IFERROR(__xludf.DUMMYFUNCTION("""COMPUTED_VALUE"""),"Presencial")</f>
        <v>Presencial</v>
      </c>
      <c r="X100" s="30" t="str">
        <f ca="1">IFERROR(__xludf.DUMMYFUNCTION("""COMPUTED_VALUE"""),"Espacio a Cargo de la Secretaría")</f>
        <v>Espacio a Cargo de la Secretaría</v>
      </c>
      <c r="Y100" s="30" t="str">
        <f ca="1">IFERROR(__xludf.DUMMYFUNCTION("""COMPUTED_VALUE"""),"2")</f>
        <v>2</v>
      </c>
      <c r="Z100" s="30"/>
      <c r="AA100" s="30"/>
      <c r="AB100" s="30" t="b">
        <f ca="1">IFERROR(__xludf.DUMMYFUNCTION("""COMPUTED_VALUE"""),FALSE)</f>
        <v>0</v>
      </c>
      <c r="AC100" s="30"/>
      <c r="AD100" s="30" t="b">
        <f ca="1">IFERROR(__xludf.DUMMYFUNCTION("""COMPUTED_VALUE"""),FALSE)</f>
        <v>0</v>
      </c>
      <c r="AE100" s="30"/>
      <c r="AF100" s="30" t="b">
        <f ca="1">IFERROR(__xludf.DUMMYFUNCTION("""COMPUTED_VALUE"""),FALSE)</f>
        <v>0</v>
      </c>
      <c r="AG100" s="30"/>
      <c r="AH100" s="30" t="str">
        <f ca="1">IFERROR(__xludf.DUMMYFUNCTION("""COMPUTED_VALUE"""),"Sin costo")</f>
        <v>Sin costo</v>
      </c>
      <c r="AI100" s="30"/>
      <c r="AJ100" s="30"/>
      <c r="AK100" s="30"/>
      <c r="AL100" s="30" t="str">
        <f ca="1">IFERROR(__xludf.DUMMYFUNCTION("""COMPUTED_VALUE"""),"ccardonav@guanajuato.gob.mx")</f>
        <v>ccardonav@guanajuato.gob.mx</v>
      </c>
      <c r="AM100" s="30" t="str">
        <f ca="1">IFERROR(__xludf.DUMMYFUNCTION("""COMPUTED_VALUE"""),"Arraigo y empoderamiento cultural de comunidades.")</f>
        <v>Arraigo y empoderamiento cultural de comunidades.</v>
      </c>
      <c r="AN100" s="30" t="str">
        <f ca="1">IFERROR(__xludf.DUMMYFUNCTION("""COMPUTED_VALUE"""),"2 Igualdad")</f>
        <v>2 Igualdad</v>
      </c>
      <c r="AO100" s="30" t="str">
        <f ca="1">IFERROR(__xludf.DUMMYFUNCTION("""COMPUTED_VALUE"""),"2.4 Reducir brechas de desigualdad")</f>
        <v>2.4 Reducir brechas de desigualdad</v>
      </c>
      <c r="AP100" s="30" t="str">
        <f ca="1">IFERROR(__xludf.DUMMYFUNCTION("""COMPUTED_VALUE"""),"2.4.3 Descentralización de la oferta cultural")</f>
        <v>2.4.3 Descentralización de la oferta cultural</v>
      </c>
      <c r="AQ100" s="30" t="str">
        <f ca="1">IFERROR(__xludf.DUMMYFUNCTION("""COMPUTED_VALUE"""),"2.4.3.1 Impulsar el desarrollo artístico y cultural entre infancias y juventudes")</f>
        <v>2.4.3.1 Impulsar el desarrollo artístico y cultural entre infancias y juventudes</v>
      </c>
      <c r="AR100" s="30" t="str">
        <f ca="1">IFERROR(__xludf.DUMMYFUNCTION("""COMPUTED_VALUE"""),"Cooperación")</f>
        <v>Cooperación</v>
      </c>
      <c r="AS100" s="30"/>
      <c r="AT100" s="30" t="str">
        <f ca="1">IFERROR(__xludf.DUMMYFUNCTION("""COMPUTED_VALUE"""),"Fortalecimiento de la participación ciudadana y la mediación cultural")</f>
        <v>Fortalecimiento de la participación ciudadana y la mediación cultural</v>
      </c>
      <c r="AU100" s="30" t="str">
        <f ca="1">IFERROR(__xludf.DUMMYFUNCTION("""COMPUTED_VALUE"""),"Impulso a la ampliación de la oferta cultural en los territorios.")</f>
        <v>Impulso a la ampliación de la oferta cultural en los territorios.</v>
      </c>
      <c r="AV10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00" s="30" t="str">
        <f ca="1">IFERROR(__xludf.DUMMYFUNCTION("""COMPUTED_VALUE"""),"Incrementar en 25% la oferta cultural realizada en los municipios.")</f>
        <v>Incrementar en 25% la oferta cultural realizada en los municipios.</v>
      </c>
      <c r="AX100" s="30" t="str">
        <f ca="1">IFERROR(__xludf.DUMMYFUNCTION("""COMPUTED_VALUE"""),"Taller")</f>
        <v>Taller</v>
      </c>
      <c r="AY100" s="30" t="str">
        <f ca="1">IFERROR(__xludf.DUMMYFUNCTION("""COMPUTED_VALUE"""),"Formación")</f>
        <v>Formación</v>
      </c>
      <c r="AZ100" s="30" t="str">
        <f ca="1">IFERROR(__xludf.DUMMYFUNCTION("""COMPUTED_VALUE"""),"Formación")</f>
        <v>Formación</v>
      </c>
      <c r="BA100" s="30"/>
      <c r="BB100" s="30"/>
      <c r="BC100" s="30">
        <f ca="1">IFERROR(__xludf.DUMMYFUNCTION("""COMPUTED_VALUE"""),0)</f>
        <v>0</v>
      </c>
      <c r="BD100" s="30"/>
      <c r="BE100" s="30"/>
      <c r="BF100" s="30" t="b">
        <f ca="1">IFERROR(__xludf.DUMMYFUNCTION("""COMPUTED_VALUE"""),FALSE)</f>
        <v>0</v>
      </c>
      <c r="BG100" s="30"/>
      <c r="BH100" s="30"/>
      <c r="BI100" s="30"/>
      <c r="BJ100" s="30"/>
      <c r="BK100" s="30"/>
      <c r="BL100" s="30"/>
      <c r="BM100" s="30" t="str">
        <f ca="1">IFERROR(__xludf.DUMMYFUNCTION("""COMPUTED_VALUE"""),"No")</f>
        <v>No</v>
      </c>
      <c r="BN100" s="30"/>
      <c r="BO100" s="30" t="str">
        <f ca="1">IFERROR(__xludf.DUMMYFUNCTION("""COMPUTED_VALUE"""),"5734f4fa")</f>
        <v>5734f4fa</v>
      </c>
      <c r="BP100" s="29" t="str">
        <f ca="1">IFERROR(__xludf.DUMMYFUNCTION("""COMPUTED_VALUE"""),"Guanajuato")</f>
        <v>Guanajuato</v>
      </c>
      <c r="BQ100" s="30" t="str">
        <f ca="1">IFERROR(__xludf.DUMMYFUNCTION("""COMPUTED_VALUE"""),"Urbano")</f>
        <v>Urbano</v>
      </c>
      <c r="BR100" s="30"/>
      <c r="BS100" s="30"/>
      <c r="BT100" s="30" t="str">
        <f ca="1">IFERROR(__xludf.DUMMYFUNCTION("""COMPUTED_VALUE"""),"ZONA CENTRO")</f>
        <v>ZONA CENTRO</v>
      </c>
      <c r="BU100" s="30" t="str">
        <f ca="1">IFERROR(__xludf.DUMMYFUNCTION("""COMPUTED_VALUE"""),"No")</f>
        <v>No</v>
      </c>
      <c r="BV100" s="30" t="str">
        <f ca="1">IFERROR(__xludf.DUMMYFUNCTION("""COMPUTED_VALUE"""),"No")</f>
        <v>No</v>
      </c>
      <c r="BW100" s="30">
        <f ca="1">IFERROR(__xludf.DUMMYFUNCTION("""COMPUTED_VALUE"""),19)</f>
        <v>19</v>
      </c>
      <c r="BX100" s="30"/>
      <c r="BY100" s="30">
        <f ca="1">IFERROR(__xludf.DUMMYFUNCTION("""COMPUTED_VALUE"""),19)</f>
        <v>19</v>
      </c>
      <c r="BZ100" s="30" t="str">
        <f ca="1">IFERROR(__xludf.DUMMYFUNCTION("""COMPUTED_VALUE"""),"ZONA CENTRO")</f>
        <v>ZONA CENTRO</v>
      </c>
      <c r="CA100" s="30" t="str">
        <f ca="1">IFERROR(__xludf.DUMMYFUNCTION("""COMPUTED_VALUE"""),"No")</f>
        <v>No</v>
      </c>
      <c r="CB100" s="30" t="str">
        <f ca="1">IFERROR(__xludf.DUMMYFUNCTION("""COMPUTED_VALUE"""),"No")</f>
        <v>No</v>
      </c>
      <c r="CC100" s="30" t="str">
        <f ca="1">IFERROR(__xludf.DUMMYFUNCTION("""COMPUTED_VALUE"""),"7736e83b")</f>
        <v>7736e83b</v>
      </c>
      <c r="CD100" s="29" t="str">
        <f ca="1">IFERROR(__xludf.DUMMYFUNCTION("""COMPUTED_VALUE"""),"Adultos Mayores (60 años o más)")</f>
        <v>Adultos Mayores (60 años o más)</v>
      </c>
      <c r="CE100" s="30" t="str">
        <f ca="1">IFERROR(__xludf.DUMMYFUNCTION("""COMPUTED_VALUE"""),"Dato global")</f>
        <v>Dato global</v>
      </c>
      <c r="CF100" s="30" t="str">
        <f ca="1">IFERROR(__xludf.DUMMYFUNCTION("""COMPUTED_VALUE"""),"Ninguno (Población General)")</f>
        <v>Ninguno (Población General)</v>
      </c>
      <c r="CG100" s="30">
        <f ca="1">IFERROR(__xludf.DUMMYFUNCTION("""COMPUTED_VALUE"""),3)</f>
        <v>3</v>
      </c>
      <c r="CI100" s="30" t="str">
        <f ca="1">IFERROR(__xludf.DUMMYFUNCTION("""COMPUTED_VALUE"""),"61197202")</f>
        <v>61197202</v>
      </c>
      <c r="CJ100" s="29" t="str">
        <f ca="1">IFERROR(__xludf.DUMMYFUNCTION("""COMPUTED_VALUE"""),"Regitro_Evidencia_Files_/61197202.Archivo_Evidencia.184017.2026 Noche de Museos con Cecilia Fuentes.pdf")</f>
        <v>Regitro_Evidencia_Files_/61197202.Archivo_Evidencia.184017.2026 Noche de Museos con Cecilia Fuentes.pdf</v>
      </c>
      <c r="CK100" s="30" t="str">
        <f ca="1">IFERROR(__xludf.DUMMYFUNCTION("""COMPUTED_VALUE"""),"PDF")</f>
        <v>PDF</v>
      </c>
      <c r="CL100" s="30"/>
      <c r="CM100" s="30" t="str">
        <f ca="1">IFERROR(__xludf.DUMMYFUNCTION("""COMPUTED_VALUE"""),"Guanajuato")</f>
        <v>Guanajuato</v>
      </c>
      <c r="CN100" s="32" t="e">
        <f ca="1"/>
        <v>#NAME?</v>
      </c>
      <c r="CO100" s="32" t="e">
        <f ca="1"/>
        <v>#NAME?</v>
      </c>
      <c r="CP100" s="32" t="e">
        <f ca="1"/>
        <v>#NAME?</v>
      </c>
      <c r="CQ100" s="32" t="e">
        <f ca="1"/>
        <v>#NAME?</v>
      </c>
      <c r="CR100" s="30" t="e">
        <f ca="1"/>
        <v>#NAME?</v>
      </c>
      <c r="CS100" s="30" t="str">
        <f ca="1">IFERROR(__xludf.DUMMYFUNCTION("""COMPUTED_VALUE"""),"Ninguno (Población General), Ninguno (Población General)")</f>
        <v>Ninguno (Población General), Ninguno (Población General)</v>
      </c>
    </row>
    <row r="101" spans="1:97" ht="13">
      <c r="A101" s="29" t="str">
        <f ca="1">IFERROR(__xludf.DUMMYFUNCTION("""COMPUTED_VALUE"""),"ACT-SCTN33043")</f>
        <v>ACT-SCTN33043</v>
      </c>
      <c r="B101" s="30" t="str">
        <f ca="1">IFERROR(__xludf.DUMMYFUNCTION("""COMPUTED_VALUE"""),"SC-260623-100427")</f>
        <v>SC-260623-100427</v>
      </c>
      <c r="C101" s="62">
        <f ca="1">IFERROR(__xludf.DUMMYFUNCTION("""COMPUTED_VALUE"""),46196.4197569444)</f>
        <v>46196.4197569444</v>
      </c>
      <c r="D101" s="30">
        <f ca="1">IFERROR(__xludf.DUMMYFUNCTION("""COMPUTED_VALUE"""),92)</f>
        <v>92</v>
      </c>
      <c r="E101" s="30" t="str">
        <f ca="1">IFERROR(__xludf.DUMMYFUNCTION("""COMPUTED_VALUE"""),"PB3572")</f>
        <v>PB3572</v>
      </c>
      <c r="F10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1" s="30" t="str">
        <f ca="1">IFERROR(__xludf.DUMMYFUNCTION("""COMPUTED_VALUE"""),"SUBSECRETARÍA DE DESARROLLO Y PROMOCIÓN ARTÍSTICA Y CULTURAL")</f>
        <v>SUBSECRETARÍA DE DESARROLLO Y PROMOCIÓN ARTÍSTICA Y CULTURAL</v>
      </c>
      <c r="I101" s="34" t="str">
        <f ca="1">IFERROR(__xludf.DUMMYFUNCTION("""COMPUTED_VALUE"""),"DIRECCIÓN GENERAL DE MUSEOS, ARTES VISUALES Y EXPOSICIONES")</f>
        <v>DIRECCIÓN GENERAL DE MUSEOS, ARTES VISUALES Y EXPOSICIONES</v>
      </c>
      <c r="J101" s="30" t="str">
        <f ca="1">IFERROR(__xludf.DUMMYFUNCTION("""COMPUTED_VALUE"""),"Número de Actividades realizadas")</f>
        <v>Número de Actividades realizadas</v>
      </c>
      <c r="K101" s="30">
        <f ca="1">IFERROR(__xludf.DUMMYFUNCTION("""COMPUTED_VALUE"""),800)</f>
        <v>800</v>
      </c>
      <c r="L101" s="30" t="str">
        <f ca="1">IFERROR(__xludf.DUMMYFUNCTION("""COMPUTED_VALUE"""),"Artística")</f>
        <v>Artística</v>
      </c>
      <c r="M101" s="30" t="str">
        <f ca="1">IFERROR(__xludf.DUMMYFUNCTION("""COMPUTED_VALUE"""),"Danzón, patrimonio vivo, clases de baile.")</f>
        <v>Danzón, patrimonio vivo, clases de baile.</v>
      </c>
      <c r="N101" s="30" t="str">
        <f ca="1">IFERROR(__xludf.DUMMYFUNCTION("""COMPUTED_VALUE"""),"Sesiones guiadas de introducción al Danzón dentro del museo a cargo del Mtro. Juan Robles, director de Romance Danzonero.")</f>
        <v>Sesiones guiadas de introducción al Danzón dentro del museo a cargo del Mtro. Juan Robles, director de Romance Danzonero.</v>
      </c>
      <c r="O101" s="30" t="str">
        <f ca="1">IFERROR(__xludf.DUMMYFUNCTION("""COMPUTED_VALUE"""),"Única")</f>
        <v>Única</v>
      </c>
      <c r="P101" s="33">
        <f ca="1">IFERROR(__xludf.DUMMYFUNCTION("""COMPUTED_VALUE"""),46179)</f>
        <v>46179</v>
      </c>
      <c r="Q101" s="33">
        <f ca="1">IFERROR(__xludf.DUMMYFUNCTION("""COMPUTED_VALUE"""),46179)</f>
        <v>46179</v>
      </c>
      <c r="R101" s="30">
        <f ca="1">IFERROR(__xludf.DUMMYFUNCTION("""COMPUTED_VALUE"""),1)</f>
        <v>1</v>
      </c>
      <c r="S101" s="30" t="str">
        <f ca="1">IFERROR(__xludf.DUMMYFUNCTION("""COMPUTED_VALUE"""),"Artes escénicas")</f>
        <v>Artes escénicas</v>
      </c>
      <c r="T101" s="30" t="str">
        <f ca="1">IFERROR(__xludf.DUMMYFUNCTION("""COMPUTED_VALUE"""),"Danza tradicional")</f>
        <v>Danza tradicional</v>
      </c>
      <c r="U101" s="30" t="str">
        <f ca="1">IFERROR(__xludf.DUMMYFUNCTION("""COMPUTED_VALUE"""),"Taller")</f>
        <v>Taller</v>
      </c>
      <c r="V101" s="30" t="str">
        <f ca="1">IFERROR(__xludf.DUMMYFUNCTION("""COMPUTED_VALUE"""),"Ninguna")</f>
        <v>Ninguna</v>
      </c>
      <c r="W101" s="30" t="str">
        <f ca="1">IFERROR(__xludf.DUMMYFUNCTION("""COMPUTED_VALUE"""),"Presencial")</f>
        <v>Presencial</v>
      </c>
      <c r="X101" s="30" t="str">
        <f ca="1">IFERROR(__xludf.DUMMYFUNCTION("""COMPUTED_VALUE"""),"Espacio a Cargo de la Secretaría")</f>
        <v>Espacio a Cargo de la Secretaría</v>
      </c>
      <c r="Y101" s="30" t="str">
        <f ca="1">IFERROR(__xludf.DUMMYFUNCTION("""COMPUTED_VALUE"""),"5")</f>
        <v>5</v>
      </c>
      <c r="Z101" s="30"/>
      <c r="AA101" s="30"/>
      <c r="AB101" s="30" t="b">
        <f ca="1">IFERROR(__xludf.DUMMYFUNCTION("""COMPUTED_VALUE"""),FALSE)</f>
        <v>0</v>
      </c>
      <c r="AC101" s="30"/>
      <c r="AD101" s="30" t="b">
        <f ca="1">IFERROR(__xludf.DUMMYFUNCTION("""COMPUTED_VALUE"""),FALSE)</f>
        <v>0</v>
      </c>
      <c r="AE101" s="30"/>
      <c r="AF101" s="30" t="b">
        <f ca="1">IFERROR(__xludf.DUMMYFUNCTION("""COMPUTED_VALUE"""),FALSE)</f>
        <v>0</v>
      </c>
      <c r="AG101" s="30"/>
      <c r="AH101" s="30" t="str">
        <f ca="1">IFERROR(__xludf.DUMMYFUNCTION("""COMPUTED_VALUE"""),"Sin costo")</f>
        <v>Sin costo</v>
      </c>
      <c r="AI101" s="30"/>
      <c r="AJ101" s="30"/>
      <c r="AK101" s="30"/>
      <c r="AL101" s="30" t="str">
        <f ca="1">IFERROR(__xludf.DUMMYFUNCTION("""COMPUTED_VALUE"""),"ccardonav@guanajuato.gob.mx")</f>
        <v>ccardonav@guanajuato.gob.mx</v>
      </c>
      <c r="AM101" s="30" t="str">
        <f ca="1">IFERROR(__xludf.DUMMYFUNCTION("""COMPUTED_VALUE"""),"Arraigo y empoderamiento cultural de comunidades.")</f>
        <v>Arraigo y empoderamiento cultural de comunidades.</v>
      </c>
      <c r="AN101" s="30" t="str">
        <f ca="1">IFERROR(__xludf.DUMMYFUNCTION("""COMPUTED_VALUE"""),"1 Tranquilidad")</f>
        <v>1 Tranquilidad</v>
      </c>
      <c r="AO101" s="30" t="str">
        <f ca="1">IFERROR(__xludf.DUMMYFUNCTION("""COMPUTED_VALUE"""),"1.2 Fortalecer prevención del delito")</f>
        <v>1.2 Fortalecer prevención del delito</v>
      </c>
      <c r="AP101" s="30" t="str">
        <f ca="1">IFERROR(__xludf.DUMMYFUNCTION("""COMPUTED_VALUE"""),"1.2.2 Fortalecimiento del tejido social")</f>
        <v>1.2.2 Fortalecimiento del tejido social</v>
      </c>
      <c r="AQ101" s="30" t="str">
        <f ca="1">IFERROR(__xludf.DUMMYFUNCTION("""COMPUTED_VALUE"""),"1.2.3.4 Promover una cultura de paz desde las expresiones artísticas y culturales")</f>
        <v>1.2.3.4 Promover una cultura de paz desde las expresiones artísticas y culturales</v>
      </c>
      <c r="AR101" s="30" t="str">
        <f ca="1">IFERROR(__xludf.DUMMYFUNCTION("""COMPUTED_VALUE"""),"Cooperación")</f>
        <v>Cooperación</v>
      </c>
      <c r="AS101" s="30"/>
      <c r="AT101" s="30" t="str">
        <f ca="1">IFERROR(__xludf.DUMMYFUNCTION("""COMPUTED_VALUE"""),"Fortalecimiento de la participación ciudadana y la mediación cultural")</f>
        <v>Fortalecimiento de la participación ciudadana y la mediación cultural</v>
      </c>
      <c r="AU101" s="30" t="str">
        <f ca="1">IFERROR(__xludf.DUMMYFUNCTION("""COMPUTED_VALUE"""),"Impulso a la ampliación de la oferta cultural en los territorios.")</f>
        <v>Impulso a la ampliación de la oferta cultural en los territorios.</v>
      </c>
      <c r="AV10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01" s="30" t="str">
        <f ca="1">IFERROR(__xludf.DUMMYFUNCTION("""COMPUTED_VALUE"""),"Incrementar en 25% la oferta cultural realizada en los municipios.")</f>
        <v>Incrementar en 25% la oferta cultural realizada en los municipios.</v>
      </c>
      <c r="AX101" s="30" t="str">
        <f ca="1">IFERROR(__xludf.DUMMYFUNCTION("""COMPUTED_VALUE"""),"Taller")</f>
        <v>Taller</v>
      </c>
      <c r="AY101" s="30" t="str">
        <f ca="1">IFERROR(__xludf.DUMMYFUNCTION("""COMPUTED_VALUE"""),"Formación")</f>
        <v>Formación</v>
      </c>
      <c r="AZ101" s="30" t="str">
        <f ca="1">IFERROR(__xludf.DUMMYFUNCTION("""COMPUTED_VALUE"""),"Formación")</f>
        <v>Formación</v>
      </c>
      <c r="BA101" s="30"/>
      <c r="BB101" s="30"/>
      <c r="BC101" s="30">
        <f ca="1">IFERROR(__xludf.DUMMYFUNCTION("""COMPUTED_VALUE"""),0)</f>
        <v>0</v>
      </c>
      <c r="BD101" s="30"/>
      <c r="BE101" s="30"/>
      <c r="BF101" s="30" t="b">
        <f ca="1">IFERROR(__xludf.DUMMYFUNCTION("""COMPUTED_VALUE"""),FALSE)</f>
        <v>0</v>
      </c>
      <c r="BG101" s="30"/>
      <c r="BH101" s="30"/>
      <c r="BI101" s="30"/>
      <c r="BJ101" s="30"/>
      <c r="BK101" s="30"/>
      <c r="BL101" s="30"/>
      <c r="BM101" s="30" t="str">
        <f ca="1">IFERROR(__xludf.DUMMYFUNCTION("""COMPUTED_VALUE"""),"No")</f>
        <v>No</v>
      </c>
      <c r="BN101" s="30"/>
      <c r="BO101" s="30" t="str">
        <f ca="1">IFERROR(__xludf.DUMMYFUNCTION("""COMPUTED_VALUE"""),"7138c6eb")</f>
        <v>7138c6eb</v>
      </c>
      <c r="BP101" s="29" t="str">
        <f ca="1">IFERROR(__xludf.DUMMYFUNCTION("""COMPUTED_VALUE"""),"Guanajuato")</f>
        <v>Guanajuato</v>
      </c>
      <c r="BQ101" s="30" t="str">
        <f ca="1">IFERROR(__xludf.DUMMYFUNCTION("""COMPUTED_VALUE"""),"Urbano")</f>
        <v>Urbano</v>
      </c>
      <c r="BR101" s="30"/>
      <c r="BS101" s="30"/>
      <c r="BT101" s="30" t="str">
        <f ca="1">IFERROR(__xludf.DUMMYFUNCTION("""COMPUTED_VALUE"""),"ZONA CENTRO")</f>
        <v>ZONA CENTRO</v>
      </c>
      <c r="BU101" s="30" t="str">
        <f ca="1">IFERROR(__xludf.DUMMYFUNCTION("""COMPUTED_VALUE"""),"No")</f>
        <v>No</v>
      </c>
      <c r="BV101" s="30" t="str">
        <f ca="1">IFERROR(__xludf.DUMMYFUNCTION("""COMPUTED_VALUE"""),"No")</f>
        <v>No</v>
      </c>
      <c r="BW101" s="30">
        <f ca="1">IFERROR(__xludf.DUMMYFUNCTION("""COMPUTED_VALUE"""),7)</f>
        <v>7</v>
      </c>
      <c r="BX101" s="30">
        <f ca="1">IFERROR(__xludf.DUMMYFUNCTION("""COMPUTED_VALUE"""),7)</f>
        <v>7</v>
      </c>
      <c r="BY101" s="30">
        <f ca="1">IFERROR(__xludf.DUMMYFUNCTION("""COMPUTED_VALUE"""),0)</f>
        <v>0</v>
      </c>
      <c r="BZ101" s="30" t="str">
        <f ca="1">IFERROR(__xludf.DUMMYFUNCTION("""COMPUTED_VALUE"""),"ZONA CENTRO")</f>
        <v>ZONA CENTRO</v>
      </c>
      <c r="CA101" s="30" t="str">
        <f ca="1">IFERROR(__xludf.DUMMYFUNCTION("""COMPUTED_VALUE"""),"No")</f>
        <v>No</v>
      </c>
      <c r="CB101" s="30" t="str">
        <f ca="1">IFERROR(__xludf.DUMMYFUNCTION("""COMPUTED_VALUE"""),"No")</f>
        <v>No</v>
      </c>
      <c r="CC101" s="30" t="str">
        <f ca="1">IFERROR(__xludf.DUMMYFUNCTION("""COMPUTED_VALUE"""),"b10d7fb7")</f>
        <v>b10d7fb7</v>
      </c>
      <c r="CD101" s="29" t="str">
        <f ca="1">IFERROR(__xludf.DUMMYFUNCTION("""COMPUTED_VALUE"""),"Jóvenes (18 a 29 años)")</f>
        <v>Jóvenes (18 a 29 años)</v>
      </c>
      <c r="CE101" s="30" t="str">
        <f ca="1">IFERROR(__xludf.DUMMYFUNCTION("""COMPUTED_VALUE"""),"Dato global")</f>
        <v>Dato global</v>
      </c>
      <c r="CF101" s="30" t="str">
        <f ca="1">IFERROR(__xludf.DUMMYFUNCTION("""COMPUTED_VALUE"""),"Ninguno (Población General)")</f>
        <v>Ninguno (Población General)</v>
      </c>
      <c r="CG101" s="30">
        <f ca="1">IFERROR(__xludf.DUMMYFUNCTION("""COMPUTED_VALUE"""),4)</f>
        <v>4</v>
      </c>
      <c r="CI101" s="30" t="str">
        <f ca="1">IFERROR(__xludf.DUMMYFUNCTION("""COMPUTED_VALUE"""),"2c83220e")</f>
        <v>2c83220e</v>
      </c>
      <c r="CJ101" s="29" t="str">
        <f ca="1">IFERROR(__xludf.DUMMYFUNCTION("""COMPUTED_VALUE"""),"Regitro_Evidencia_Files_/2c83220e.Archivo_Evidencia.190041. Seiji Shinohara.pdf")</f>
        <v>Regitro_Evidencia_Files_/2c83220e.Archivo_Evidencia.190041. Seiji Shinohara.pdf</v>
      </c>
      <c r="CK101" s="30" t="str">
        <f ca="1">IFERROR(__xludf.DUMMYFUNCTION("""COMPUTED_VALUE"""),"PDF")</f>
        <v>PDF</v>
      </c>
      <c r="CL101" s="30"/>
      <c r="CM101" s="30" t="str">
        <f ca="1">IFERROR(__xludf.DUMMYFUNCTION("""COMPUTED_VALUE"""),"Purísima del Rincón")</f>
        <v>Purísima del Rincón</v>
      </c>
      <c r="CN101" s="32" t="e">
        <f ca="1"/>
        <v>#NAME?</v>
      </c>
      <c r="CO101" s="32" t="e">
        <f ca="1"/>
        <v>#NAME?</v>
      </c>
      <c r="CP101" s="32" t="e">
        <f ca="1"/>
        <v>#NAME?</v>
      </c>
      <c r="CQ101" s="32" t="e">
        <f ca="1"/>
        <v>#NAME?</v>
      </c>
      <c r="CR101" s="30" t="e">
        <f ca="1"/>
        <v>#NAME?</v>
      </c>
      <c r="CS101" s="30" t="str">
        <f ca="1">IFERROR(__xludf.DUMMYFUNCTION("""COMPUTED_VALUE"""),"NNA (Niñas, Niños y Adolescentes)")</f>
        <v>NNA (Niñas, Niños y Adolescentes)</v>
      </c>
    </row>
    <row r="102" spans="1:97" ht="13">
      <c r="A102" s="29" t="str">
        <f ca="1">IFERROR(__xludf.DUMMYFUNCTION("""COMPUTED_VALUE"""),"ACT-SCFT66371")</f>
        <v>ACT-SCFT66371</v>
      </c>
      <c r="B102" s="30" t="str">
        <f ca="1">IFERROR(__xludf.DUMMYFUNCTION("""COMPUTED_VALUE"""),"SC-260623-100758")</f>
        <v>SC-260623-100758</v>
      </c>
      <c r="C102" s="62">
        <f ca="1">IFERROR(__xludf.DUMMYFUNCTION("""COMPUTED_VALUE"""),46196.422199074)</f>
        <v>46196.422199073997</v>
      </c>
      <c r="D102" s="30">
        <f ca="1">IFERROR(__xludf.DUMMYFUNCTION("""COMPUTED_VALUE"""),92)</f>
        <v>92</v>
      </c>
      <c r="E102" s="30" t="str">
        <f ca="1">IFERROR(__xludf.DUMMYFUNCTION("""COMPUTED_VALUE"""),"PB3572")</f>
        <v>PB3572</v>
      </c>
      <c r="F10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2" s="30" t="str">
        <f ca="1">IFERROR(__xludf.DUMMYFUNCTION("""COMPUTED_VALUE"""),"SUBSECRETARÍA DE DESARROLLO Y PROMOCIÓN ARTÍSTICA Y CULTURAL")</f>
        <v>SUBSECRETARÍA DE DESARROLLO Y PROMOCIÓN ARTÍSTICA Y CULTURAL</v>
      </c>
      <c r="I102" s="34" t="str">
        <f ca="1">IFERROR(__xludf.DUMMYFUNCTION("""COMPUTED_VALUE"""),"DIRECCIÓN GENERAL DE MUSEOS, ARTES VISUALES Y EXPOSICIONES")</f>
        <v>DIRECCIÓN GENERAL DE MUSEOS, ARTES VISUALES Y EXPOSICIONES</v>
      </c>
      <c r="J102" s="30" t="str">
        <f ca="1">IFERROR(__xludf.DUMMYFUNCTION("""COMPUTED_VALUE"""),"Número de Actividades realizadas")</f>
        <v>Número de Actividades realizadas</v>
      </c>
      <c r="K102" s="30">
        <f ca="1">IFERROR(__xludf.DUMMYFUNCTION("""COMPUTED_VALUE"""),800)</f>
        <v>800</v>
      </c>
      <c r="L102" s="30" t="str">
        <f ca="1">IFERROR(__xludf.DUMMYFUNCTION("""COMPUTED_VALUE"""),"Artística")</f>
        <v>Artística</v>
      </c>
      <c r="M102" s="30" t="str">
        <f ca="1">IFERROR(__xludf.DUMMYFUNCTION("""COMPUTED_VALUE"""),"Diversión en los museos: Concierto Postransducción")</f>
        <v>Diversión en los museos: Concierto Postransducción</v>
      </c>
      <c r="N102" s="30" t="str">
        <f ca="1">IFERROR(__xludf.DUMMYFUNCTION("""COMPUTED_VALUE"""),"Concierto de música electroacústica y arte sonoro que concibe el sonido como materia plástica y maleable, esculpida en tiempo real a través del gesto y la tecnología. A partir de texturas densas, capas sostenidas y sonoridades ambientales, la obra constit"&amp;"uye un universo acústico inmersivo que envuelve al espectador desde múltiples direcciones, alejándose de toda narrativa lineal o figurativa.")</f>
        <v>Concierto de música electroacústica y arte sonoro que concibe el sonido como materia plástica y maleable, esculpida en tiempo real a través del gesto y la tecnología. A partir de texturas densas, capas sostenidas y sonoridades ambientales, la obra constituye un universo acústico inmersivo que envuelve al espectador desde múltiples direcciones, alejándose de toda narrativa lineal o figurativa.</v>
      </c>
      <c r="O102" s="30" t="str">
        <f ca="1">IFERROR(__xludf.DUMMYFUNCTION("""COMPUTED_VALUE"""),"Única")</f>
        <v>Única</v>
      </c>
      <c r="P102" s="33">
        <f ca="1">IFERROR(__xludf.DUMMYFUNCTION("""COMPUTED_VALUE"""),46179)</f>
        <v>46179</v>
      </c>
      <c r="Q102" s="33">
        <f ca="1">IFERROR(__xludf.DUMMYFUNCTION("""COMPUTED_VALUE"""),46179)</f>
        <v>46179</v>
      </c>
      <c r="R102" s="30">
        <f ca="1">IFERROR(__xludf.DUMMYFUNCTION("""COMPUTED_VALUE"""),1)</f>
        <v>1</v>
      </c>
      <c r="S102" s="30" t="str">
        <f ca="1">IFERROR(__xludf.DUMMYFUNCTION("""COMPUTED_VALUE"""),"Música")</f>
        <v>Música</v>
      </c>
      <c r="T102" s="30" t="str">
        <f ca="1">IFERROR(__xludf.DUMMYFUNCTION("""COMPUTED_VALUE"""),"Composición musical")</f>
        <v>Composición musical</v>
      </c>
      <c r="U102" s="30" t="str">
        <f ca="1">IFERROR(__xludf.DUMMYFUNCTION("""COMPUTED_VALUE"""),"Presentación artística")</f>
        <v>Presentación artística</v>
      </c>
      <c r="V102" s="30" t="str">
        <f ca="1">IFERROR(__xludf.DUMMYFUNCTION("""COMPUTED_VALUE"""),"Ninguna")</f>
        <v>Ninguna</v>
      </c>
      <c r="W102" s="30" t="str">
        <f ca="1">IFERROR(__xludf.DUMMYFUNCTION("""COMPUTED_VALUE"""),"Presencial")</f>
        <v>Presencial</v>
      </c>
      <c r="X102" s="30" t="str">
        <f ca="1">IFERROR(__xludf.DUMMYFUNCTION("""COMPUTED_VALUE"""),"Espacio a Cargo de la Secretaría")</f>
        <v>Espacio a Cargo de la Secretaría</v>
      </c>
      <c r="Y102" s="30" t="str">
        <f ca="1">IFERROR(__xludf.DUMMYFUNCTION("""COMPUTED_VALUE"""),"6")</f>
        <v>6</v>
      </c>
      <c r="Z102" s="30"/>
      <c r="AA102" s="30"/>
      <c r="AB102" s="30" t="b">
        <f ca="1">IFERROR(__xludf.DUMMYFUNCTION("""COMPUTED_VALUE"""),FALSE)</f>
        <v>0</v>
      </c>
      <c r="AC102" s="30"/>
      <c r="AD102" s="30" t="b">
        <f ca="1">IFERROR(__xludf.DUMMYFUNCTION("""COMPUTED_VALUE"""),FALSE)</f>
        <v>0</v>
      </c>
      <c r="AE102" s="30"/>
      <c r="AF102" s="30" t="b">
        <f ca="1">IFERROR(__xludf.DUMMYFUNCTION("""COMPUTED_VALUE"""),FALSE)</f>
        <v>0</v>
      </c>
      <c r="AG102" s="30"/>
      <c r="AH102" s="30" t="str">
        <f ca="1">IFERROR(__xludf.DUMMYFUNCTION("""COMPUTED_VALUE"""),"Sin costo")</f>
        <v>Sin costo</v>
      </c>
      <c r="AI102" s="30"/>
      <c r="AJ102" s="30"/>
      <c r="AK102" s="30"/>
      <c r="AL102" s="30" t="str">
        <f ca="1">IFERROR(__xludf.DUMMYFUNCTION("""COMPUTED_VALUE"""),"ccardonav@guanajuato.gob.mx")</f>
        <v>ccardonav@guanajuato.gob.mx</v>
      </c>
      <c r="AM102" s="30" t="str">
        <f ca="1">IFERROR(__xludf.DUMMYFUNCTION("""COMPUTED_VALUE"""),"Arraigo y empoderamiento cultural de comunidades.")</f>
        <v>Arraigo y empoderamiento cultural de comunidades.</v>
      </c>
      <c r="AN102" s="30" t="str">
        <f ca="1">IFERROR(__xludf.DUMMYFUNCTION("""COMPUTED_VALUE"""),"1 Tranquilidad")</f>
        <v>1 Tranquilidad</v>
      </c>
      <c r="AO102" s="30" t="str">
        <f ca="1">IFERROR(__xludf.DUMMYFUNCTION("""COMPUTED_VALUE"""),"1.2 Fortalecer prevención del delito")</f>
        <v>1.2 Fortalecer prevención del delito</v>
      </c>
      <c r="AP102" s="30" t="str">
        <f ca="1">IFERROR(__xludf.DUMMYFUNCTION("""COMPUTED_VALUE"""),"1.2.2 Fortalecimiento del tejido social")</f>
        <v>1.2.2 Fortalecimiento del tejido social</v>
      </c>
      <c r="AQ102" s="30" t="str">
        <f ca="1">IFERROR(__xludf.DUMMYFUNCTION("""COMPUTED_VALUE"""),"1.2.3.4 Promover una cultura de paz desde las expresiones artísticas y culturales")</f>
        <v>1.2.3.4 Promover una cultura de paz desde las expresiones artísticas y culturales</v>
      </c>
      <c r="AR102" s="30" t="str">
        <f ca="1">IFERROR(__xludf.DUMMYFUNCTION("""COMPUTED_VALUE"""),"Cooperación")</f>
        <v>Cooperación</v>
      </c>
      <c r="AS102" s="30"/>
      <c r="AT102" s="30" t="str">
        <f ca="1">IFERROR(__xludf.DUMMYFUNCTION("""COMPUTED_VALUE"""),"Fortalecimiento de la participación ciudadana y la mediación cultural")</f>
        <v>Fortalecimiento de la participación ciudadana y la mediación cultural</v>
      </c>
      <c r="AU102" s="30" t="str">
        <f ca="1">IFERROR(__xludf.DUMMYFUNCTION("""COMPUTED_VALUE"""),"Impulso a la ampliación de la oferta cultural en los territorios.")</f>
        <v>Impulso a la ampliación de la oferta cultural en los territorios.</v>
      </c>
      <c r="AV10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02" s="30" t="str">
        <f ca="1">IFERROR(__xludf.DUMMYFUNCTION("""COMPUTED_VALUE"""),"Incrementar en 25% la oferta cultural realizada en los municipios.")</f>
        <v>Incrementar en 25% la oferta cultural realizada en los municipios.</v>
      </c>
      <c r="AX102" s="30" t="str">
        <f ca="1">IFERROR(__xludf.DUMMYFUNCTION("""COMPUTED_VALUE"""),"Presentación artística")</f>
        <v>Presentación artística</v>
      </c>
      <c r="AY102" s="30" t="str">
        <f ca="1">IFERROR(__xludf.DUMMYFUNCTION("""COMPUTED_VALUE"""),"Formación")</f>
        <v>Formación</v>
      </c>
      <c r="AZ102" s="30" t="str">
        <f ca="1">IFERROR(__xludf.DUMMYFUNCTION("""COMPUTED_VALUE"""),"Profesionalización")</f>
        <v>Profesionalización</v>
      </c>
      <c r="BA102" s="30"/>
      <c r="BB102" s="30"/>
      <c r="BC102" s="30">
        <f ca="1">IFERROR(__xludf.DUMMYFUNCTION("""COMPUTED_VALUE"""),0)</f>
        <v>0</v>
      </c>
      <c r="BD102" s="30"/>
      <c r="BE102" s="30"/>
      <c r="BF102" s="30" t="b">
        <f ca="1">IFERROR(__xludf.DUMMYFUNCTION("""COMPUTED_VALUE"""),FALSE)</f>
        <v>0</v>
      </c>
      <c r="BG102" s="30"/>
      <c r="BH102" s="30"/>
      <c r="BI102" s="30"/>
      <c r="BJ102" s="30"/>
      <c r="BK102" s="30"/>
      <c r="BL102" s="30"/>
      <c r="BM102" s="30" t="str">
        <f ca="1">IFERROR(__xludf.DUMMYFUNCTION("""COMPUTED_VALUE"""),"No")</f>
        <v>No</v>
      </c>
      <c r="BN102" s="30"/>
      <c r="BO102" s="30" t="str">
        <f ca="1">IFERROR(__xludf.DUMMYFUNCTION("""COMPUTED_VALUE"""),"95b6639e")</f>
        <v>95b6639e</v>
      </c>
      <c r="BP102" s="29" t="str">
        <f ca="1">IFERROR(__xludf.DUMMYFUNCTION("""COMPUTED_VALUE"""),"Guanajuato")</f>
        <v>Guanajuato</v>
      </c>
      <c r="BQ102" s="30" t="str">
        <f ca="1">IFERROR(__xludf.DUMMYFUNCTION("""COMPUTED_VALUE"""),"Rural")</f>
        <v>Rural</v>
      </c>
      <c r="BR102" s="30"/>
      <c r="BS102" s="30"/>
      <c r="BT102" s="30" t="str">
        <f ca="1">IFERROR(__xludf.DUMMYFUNCTION("""COMPUTED_VALUE"""),"ZONA CENTRO")</f>
        <v>ZONA CENTRO</v>
      </c>
      <c r="BU102" s="30" t="str">
        <f ca="1">IFERROR(__xludf.DUMMYFUNCTION("""COMPUTED_VALUE"""),"No")</f>
        <v>No</v>
      </c>
      <c r="BV102" s="30" t="str">
        <f ca="1">IFERROR(__xludf.DUMMYFUNCTION("""COMPUTED_VALUE"""),"No")</f>
        <v>No</v>
      </c>
      <c r="BW102" s="30">
        <f ca="1">IFERROR(__xludf.DUMMYFUNCTION("""COMPUTED_VALUE"""),19)</f>
        <v>19</v>
      </c>
      <c r="BX102" s="30">
        <f ca="1">IFERROR(__xludf.DUMMYFUNCTION("""COMPUTED_VALUE"""),19)</f>
        <v>19</v>
      </c>
      <c r="BY102" s="30">
        <f ca="1">IFERROR(__xludf.DUMMYFUNCTION("""COMPUTED_VALUE"""),0)</f>
        <v>0</v>
      </c>
      <c r="BZ102" s="30" t="str">
        <f ca="1">IFERROR(__xludf.DUMMYFUNCTION("""COMPUTED_VALUE"""),"ZONA CENTRO")</f>
        <v>ZONA CENTRO</v>
      </c>
      <c r="CA102" s="30" t="str">
        <f ca="1">IFERROR(__xludf.DUMMYFUNCTION("""COMPUTED_VALUE"""),"No")</f>
        <v>No</v>
      </c>
      <c r="CB102" s="30" t="str">
        <f ca="1">IFERROR(__xludf.DUMMYFUNCTION("""COMPUTED_VALUE"""),"No")</f>
        <v>No</v>
      </c>
      <c r="CC102" s="30" t="str">
        <f ca="1">IFERROR(__xludf.DUMMYFUNCTION("""COMPUTED_VALUE"""),"0d225367")</f>
        <v>0d225367</v>
      </c>
      <c r="CD102" s="29" t="str">
        <f ca="1">IFERROR(__xludf.DUMMYFUNCTION("""COMPUTED_VALUE"""),"Jóvenes (18 a 29 años)")</f>
        <v>Jóvenes (18 a 29 años)</v>
      </c>
      <c r="CE102" s="30" t="str">
        <f ca="1">IFERROR(__xludf.DUMMYFUNCTION("""COMPUTED_VALUE"""),"Dato global")</f>
        <v>Dato global</v>
      </c>
      <c r="CF102" s="30" t="str">
        <f ca="1">IFERROR(__xludf.DUMMYFUNCTION("""COMPUTED_VALUE"""),"Ninguno (Población General)")</f>
        <v>Ninguno (Población General)</v>
      </c>
      <c r="CG102" s="30">
        <f ca="1">IFERROR(__xludf.DUMMYFUNCTION("""COMPUTED_VALUE"""),3)</f>
        <v>3</v>
      </c>
      <c r="CI102" s="30" t="str">
        <f ca="1">IFERROR(__xludf.DUMMYFUNCTION("""COMPUTED_VALUE"""),"7a5fa0a5")</f>
        <v>7a5fa0a5</v>
      </c>
      <c r="CJ102" s="29" t="str">
        <f ca="1">IFERROR(__xludf.DUMMYFUNCTION("""COMPUTED_VALUE"""),"Regitro_Evidencia_Files_/7a5fa0a5.Archivo_Evidencia.225036.09.pdf")</f>
        <v>Regitro_Evidencia_Files_/7a5fa0a5.Archivo_Evidencia.225036.09.pdf</v>
      </c>
      <c r="CK102" s="30" t="str">
        <f ca="1">IFERROR(__xludf.DUMMYFUNCTION("""COMPUTED_VALUE"""),"PDF")</f>
        <v>PDF</v>
      </c>
      <c r="CL102" s="30"/>
      <c r="CM102" s="30" t="str">
        <f ca="1">IFERROR(__xludf.DUMMYFUNCTION("""COMPUTED_VALUE"""),"Purísima del Rincón")</f>
        <v>Purísima del Rincón</v>
      </c>
      <c r="CN102" s="32" t="e">
        <f ca="1"/>
        <v>#NAME?</v>
      </c>
      <c r="CO102" s="32" t="e">
        <f ca="1"/>
        <v>#NAME?</v>
      </c>
      <c r="CP102" s="32" t="e">
        <f ca="1"/>
        <v>#NAME?</v>
      </c>
      <c r="CQ102" s="32" t="e">
        <f ca="1"/>
        <v>#NAME?</v>
      </c>
      <c r="CR102" s="30" t="e">
        <f ca="1"/>
        <v>#NAME?</v>
      </c>
      <c r="CS102" s="30" t="str">
        <f ca="1">IFERROR(__xludf.DUMMYFUNCTION("""COMPUTED_VALUE"""),"NNA (Niñas, Niños y Adolescentes)")</f>
        <v>NNA (Niñas, Niños y Adolescentes)</v>
      </c>
    </row>
    <row r="103" spans="1:97" ht="13">
      <c r="A103" s="29" t="str">
        <f ca="1">IFERROR(__xludf.DUMMYFUNCTION("""COMPUTED_VALUE"""),"ACT-SCDW48745")</f>
        <v>ACT-SCDW48745</v>
      </c>
      <c r="B103" s="30" t="str">
        <f ca="1">IFERROR(__xludf.DUMMYFUNCTION("""COMPUTED_VALUE"""),"SC-260623-101343")</f>
        <v>SC-260623-101343</v>
      </c>
      <c r="C103" s="62">
        <f ca="1">IFERROR(__xludf.DUMMYFUNCTION("""COMPUTED_VALUE"""),46196.4261921296)</f>
        <v>46196.426192129598</v>
      </c>
      <c r="D103" s="30">
        <f ca="1">IFERROR(__xludf.DUMMYFUNCTION("""COMPUTED_VALUE"""),92)</f>
        <v>92</v>
      </c>
      <c r="E103" s="30" t="str">
        <f ca="1">IFERROR(__xludf.DUMMYFUNCTION("""COMPUTED_VALUE"""),"PB3572")</f>
        <v>PB3572</v>
      </c>
      <c r="F10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3" s="30" t="str">
        <f ca="1">IFERROR(__xludf.DUMMYFUNCTION("""COMPUTED_VALUE"""),"SUBSECRETARÍA DE DESARROLLO Y PROMOCIÓN ARTÍSTICA Y CULTURAL")</f>
        <v>SUBSECRETARÍA DE DESARROLLO Y PROMOCIÓN ARTÍSTICA Y CULTURAL</v>
      </c>
      <c r="I103" s="34" t="str">
        <f ca="1">IFERROR(__xludf.DUMMYFUNCTION("""COMPUTED_VALUE"""),"DIRECCIÓN GENERAL DE MUSEOS, ARTES VISUALES Y EXPOSICIONES")</f>
        <v>DIRECCIÓN GENERAL DE MUSEOS, ARTES VISUALES Y EXPOSICIONES</v>
      </c>
      <c r="J103" s="30" t="str">
        <f ca="1">IFERROR(__xludf.DUMMYFUNCTION("""COMPUTED_VALUE"""),"Número de Actividades realizadas")</f>
        <v>Número de Actividades realizadas</v>
      </c>
      <c r="K103" s="30">
        <f ca="1">IFERROR(__xludf.DUMMYFUNCTION("""COMPUTED_VALUE"""),800)</f>
        <v>800</v>
      </c>
      <c r="L103" s="30" t="str">
        <f ca="1">IFERROR(__xludf.DUMMYFUNCTION("""COMPUTED_VALUE"""),"Artística")</f>
        <v>Artística</v>
      </c>
      <c r="M103" s="30" t="str">
        <f ca="1">IFERROR(__xludf.DUMMYFUNCTION("""COMPUTED_VALUE"""),"Taller de Flauta nativa")</f>
        <v>Taller de Flauta nativa</v>
      </c>
      <c r="N103" s="30" t="str">
        <f ca="1">IFERROR(__xludf.DUMMYFUNCTION("""COMPUTED_VALUE"""),"Taller de artesanía en donde las y los participantes aprenderán los aspectos básicos para realizar una flauta nativa de América del norte, así como sus aspectos musicales.")</f>
        <v>Taller de artesanía en donde las y los participantes aprenderán los aspectos básicos para realizar una flauta nativa de América del norte, así como sus aspectos musicales.</v>
      </c>
      <c r="O103" s="30" t="str">
        <f ca="1">IFERROR(__xludf.DUMMYFUNCTION("""COMPUTED_VALUE"""),"Única")</f>
        <v>Única</v>
      </c>
      <c r="P103" s="33">
        <f ca="1">IFERROR(__xludf.DUMMYFUNCTION("""COMPUTED_VALUE"""),46180)</f>
        <v>46180</v>
      </c>
      <c r="Q103" s="33">
        <f ca="1">IFERROR(__xludf.DUMMYFUNCTION("""COMPUTED_VALUE"""),46180)</f>
        <v>46180</v>
      </c>
      <c r="R103" s="30">
        <f ca="1">IFERROR(__xludf.DUMMYFUNCTION("""COMPUTED_VALUE"""),1)</f>
        <v>1</v>
      </c>
      <c r="S103" s="30" t="str">
        <f ca="1">IFERROR(__xludf.DUMMYFUNCTION("""COMPUTED_VALUE"""),"Música")</f>
        <v>Música</v>
      </c>
      <c r="T103" s="30" t="str">
        <f ca="1">IFERROR(__xludf.DUMMYFUNCTION("""COMPUTED_VALUE"""),"Música tradicional")</f>
        <v>Música tradicional</v>
      </c>
      <c r="U103" s="30" t="str">
        <f ca="1">IFERROR(__xludf.DUMMYFUNCTION("""COMPUTED_VALUE"""),"Taller")</f>
        <v>Taller</v>
      </c>
      <c r="V103" s="30" t="str">
        <f ca="1">IFERROR(__xludf.DUMMYFUNCTION("""COMPUTED_VALUE"""),"Ninguna")</f>
        <v>Ninguna</v>
      </c>
      <c r="W103" s="30" t="str">
        <f ca="1">IFERROR(__xludf.DUMMYFUNCTION("""COMPUTED_VALUE"""),"Presencial")</f>
        <v>Presencial</v>
      </c>
      <c r="X103" s="30" t="str">
        <f ca="1">IFERROR(__xludf.DUMMYFUNCTION("""COMPUTED_VALUE"""),"Espacio a Cargo de la Secretaría")</f>
        <v>Espacio a Cargo de la Secretaría</v>
      </c>
      <c r="Y103" s="30" t="str">
        <f ca="1">IFERROR(__xludf.DUMMYFUNCTION("""COMPUTED_VALUE"""),"2")</f>
        <v>2</v>
      </c>
      <c r="Z103" s="30"/>
      <c r="AA103" s="30"/>
      <c r="AB103" s="30" t="b">
        <f ca="1">IFERROR(__xludf.DUMMYFUNCTION("""COMPUTED_VALUE"""),FALSE)</f>
        <v>0</v>
      </c>
      <c r="AC103" s="30"/>
      <c r="AD103" s="30" t="b">
        <f ca="1">IFERROR(__xludf.DUMMYFUNCTION("""COMPUTED_VALUE"""),FALSE)</f>
        <v>0</v>
      </c>
      <c r="AE103" s="30"/>
      <c r="AF103" s="30" t="b">
        <f ca="1">IFERROR(__xludf.DUMMYFUNCTION("""COMPUTED_VALUE"""),FALSE)</f>
        <v>0</v>
      </c>
      <c r="AG103" s="30"/>
      <c r="AH103" s="30" t="str">
        <f ca="1">IFERROR(__xludf.DUMMYFUNCTION("""COMPUTED_VALUE"""),"Sin costo")</f>
        <v>Sin costo</v>
      </c>
      <c r="AI103" s="30"/>
      <c r="AJ103" s="30"/>
      <c r="AK103" s="30"/>
      <c r="AL103" s="30" t="str">
        <f ca="1">IFERROR(__xludf.DUMMYFUNCTION("""COMPUTED_VALUE"""),"ccardonav@guanajuato.gob.mx")</f>
        <v>ccardonav@guanajuato.gob.mx</v>
      </c>
      <c r="AM103" s="30" t="str">
        <f ca="1">IFERROR(__xludf.DUMMYFUNCTION("""COMPUTED_VALUE"""),"Arraigo y empoderamiento cultural de comunidades.")</f>
        <v>Arraigo y empoderamiento cultural de comunidades.</v>
      </c>
      <c r="AN103" s="30" t="str">
        <f ca="1">IFERROR(__xludf.DUMMYFUNCTION("""COMPUTED_VALUE"""),"1 Tranquilidad")</f>
        <v>1 Tranquilidad</v>
      </c>
      <c r="AO103" s="30" t="str">
        <f ca="1">IFERROR(__xludf.DUMMYFUNCTION("""COMPUTED_VALUE"""),"1.2 Fortalecer prevención del delito")</f>
        <v>1.2 Fortalecer prevención del delito</v>
      </c>
      <c r="AP103" s="30" t="str">
        <f ca="1">IFERROR(__xludf.DUMMYFUNCTION("""COMPUTED_VALUE"""),"1.2.2 Fortalecimiento del tejido social")</f>
        <v>1.2.2 Fortalecimiento del tejido social</v>
      </c>
      <c r="AQ103" s="30" t="str">
        <f ca="1">IFERROR(__xludf.DUMMYFUNCTION("""COMPUTED_VALUE"""),"1.2.3.4 Promover una cultura de paz desde las expresiones artísticas y culturales")</f>
        <v>1.2.3.4 Promover una cultura de paz desde las expresiones artísticas y culturales</v>
      </c>
      <c r="AR103" s="30" t="str">
        <f ca="1">IFERROR(__xludf.DUMMYFUNCTION("""COMPUTED_VALUE"""),"Cooperación")</f>
        <v>Cooperación</v>
      </c>
      <c r="AS103" s="30"/>
      <c r="AT103" s="30" t="str">
        <f ca="1">IFERROR(__xludf.DUMMYFUNCTION("""COMPUTED_VALUE"""),"Fortalecimiento de la participación ciudadana y la mediación cultural")</f>
        <v>Fortalecimiento de la participación ciudadana y la mediación cultural</v>
      </c>
      <c r="AU103" s="30" t="str">
        <f ca="1">IFERROR(__xludf.DUMMYFUNCTION("""COMPUTED_VALUE"""),"Impulso a la ampliación de la oferta cultural en los territorios.")</f>
        <v>Impulso a la ampliación de la oferta cultural en los territorios.</v>
      </c>
      <c r="AV10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03" s="30" t="str">
        <f ca="1">IFERROR(__xludf.DUMMYFUNCTION("""COMPUTED_VALUE"""),"Incrementar en 25% la oferta cultural realizada en los municipios.")</f>
        <v>Incrementar en 25% la oferta cultural realizada en los municipios.</v>
      </c>
      <c r="AX103" s="30" t="str">
        <f ca="1">IFERROR(__xludf.DUMMYFUNCTION("""COMPUTED_VALUE"""),"Taller")</f>
        <v>Taller</v>
      </c>
      <c r="AY103" s="30" t="str">
        <f ca="1">IFERROR(__xludf.DUMMYFUNCTION("""COMPUTED_VALUE"""),"Formación")</f>
        <v>Formación</v>
      </c>
      <c r="AZ103" s="30" t="str">
        <f ca="1">IFERROR(__xludf.DUMMYFUNCTION("""COMPUTED_VALUE"""),"Formación")</f>
        <v>Formación</v>
      </c>
      <c r="BA103" s="30"/>
      <c r="BB103" s="30"/>
      <c r="BC103" s="30">
        <f ca="1">IFERROR(__xludf.DUMMYFUNCTION("""COMPUTED_VALUE"""),0)</f>
        <v>0</v>
      </c>
      <c r="BD103" s="30"/>
      <c r="BE103" s="30"/>
      <c r="BF103" s="30" t="b">
        <f ca="1">IFERROR(__xludf.DUMMYFUNCTION("""COMPUTED_VALUE"""),FALSE)</f>
        <v>0</v>
      </c>
      <c r="BG103" s="30"/>
      <c r="BH103" s="30"/>
      <c r="BI103" s="30"/>
      <c r="BJ103" s="30"/>
      <c r="BK103" s="30"/>
      <c r="BL103" s="30"/>
      <c r="BM103" s="30" t="str">
        <f ca="1">IFERROR(__xludf.DUMMYFUNCTION("""COMPUTED_VALUE"""),"No")</f>
        <v>No</v>
      </c>
      <c r="BN103" s="30"/>
      <c r="BO103" s="30" t="str">
        <f ca="1">IFERROR(__xludf.DUMMYFUNCTION("""COMPUTED_VALUE"""),"afc08eaa")</f>
        <v>afc08eaa</v>
      </c>
      <c r="BP103" s="29" t="str">
        <f ca="1">IFERROR(__xludf.DUMMYFUNCTION("""COMPUTED_VALUE"""),"Guanajuato")</f>
        <v>Guanajuato</v>
      </c>
      <c r="BQ103" s="30" t="str">
        <f ca="1">IFERROR(__xludf.DUMMYFUNCTION("""COMPUTED_VALUE"""),"Urbano")</f>
        <v>Urbano</v>
      </c>
      <c r="BR103" s="30"/>
      <c r="BS103" s="30"/>
      <c r="BT103" s="30" t="str">
        <f ca="1">IFERROR(__xludf.DUMMYFUNCTION("""COMPUTED_VALUE"""),"ZONA CENTRO")</f>
        <v>ZONA CENTRO</v>
      </c>
      <c r="BU103" s="30" t="str">
        <f ca="1">IFERROR(__xludf.DUMMYFUNCTION("""COMPUTED_VALUE"""),"No")</f>
        <v>No</v>
      </c>
      <c r="BV103" s="30" t="str">
        <f ca="1">IFERROR(__xludf.DUMMYFUNCTION("""COMPUTED_VALUE"""),"No")</f>
        <v>No</v>
      </c>
      <c r="BW103" s="30">
        <f ca="1">IFERROR(__xludf.DUMMYFUNCTION("""COMPUTED_VALUE"""),103)</f>
        <v>103</v>
      </c>
      <c r="BX103" s="30"/>
      <c r="BY103" s="30">
        <f ca="1">IFERROR(__xludf.DUMMYFUNCTION("""COMPUTED_VALUE"""),103)</f>
        <v>103</v>
      </c>
      <c r="BZ103" s="30" t="str">
        <f ca="1">IFERROR(__xludf.DUMMYFUNCTION("""COMPUTED_VALUE"""),"ZONA CENTRO")</f>
        <v>ZONA CENTRO</v>
      </c>
      <c r="CA103" s="30" t="str">
        <f ca="1">IFERROR(__xludf.DUMMYFUNCTION("""COMPUTED_VALUE"""),"No")</f>
        <v>No</v>
      </c>
      <c r="CB103" s="30" t="str">
        <f ca="1">IFERROR(__xludf.DUMMYFUNCTION("""COMPUTED_VALUE"""),"No")</f>
        <v>No</v>
      </c>
      <c r="CC103" s="30" t="str">
        <f ca="1">IFERROR(__xludf.DUMMYFUNCTION("""COMPUTED_VALUE"""),"82856692")</f>
        <v>82856692</v>
      </c>
      <c r="CD103" s="29" t="str">
        <f ca="1">IFERROR(__xludf.DUMMYFUNCTION("""COMPUTED_VALUE"""),"Adultos (30 a 59 años)")</f>
        <v>Adultos (30 a 59 años)</v>
      </c>
      <c r="CE103" s="30" t="str">
        <f ca="1">IFERROR(__xludf.DUMMYFUNCTION("""COMPUTED_VALUE"""),"Dato global")</f>
        <v>Dato global</v>
      </c>
      <c r="CF103" s="30" t="str">
        <f ca="1">IFERROR(__xludf.DUMMYFUNCTION("""COMPUTED_VALUE"""),"Ninguno (Población General)")</f>
        <v>Ninguno (Población General)</v>
      </c>
      <c r="CG103" s="30">
        <f ca="1">IFERROR(__xludf.DUMMYFUNCTION("""COMPUTED_VALUE"""),2)</f>
        <v>2</v>
      </c>
      <c r="CI103" s="30" t="str">
        <f ca="1">IFERROR(__xludf.DUMMYFUNCTION("""COMPUTED_VALUE"""),"6a35ea24")</f>
        <v>6a35ea24</v>
      </c>
      <c r="CJ103" s="29" t="str">
        <f ca="1">IFERROR(__xludf.DUMMYFUNCTION("""COMPUTED_VALUE"""),"Regitro_Evidencia_Files_/6a35ea24.Archivo_Evidencia.230606.pptx")</f>
        <v>Regitro_Evidencia_Files_/6a35ea24.Archivo_Evidencia.230606.pptx</v>
      </c>
      <c r="CK103" s="30" t="str">
        <f ca="1">IFERROR(__xludf.DUMMYFUNCTION("""COMPUTED_VALUE"""),"Otro tipo de archivo ")</f>
        <v xml:space="preserve">Otro tipo de archivo </v>
      </c>
      <c r="CL103" s="30"/>
      <c r="CM103" s="30" t="str">
        <f ca="1">IFERROR(__xludf.DUMMYFUNCTION("""COMPUTED_VALUE"""),"Purísima del Rincón")</f>
        <v>Purísima del Rincón</v>
      </c>
      <c r="CN103" s="32" t="e">
        <f ca="1"/>
        <v>#NAME?</v>
      </c>
      <c r="CO103" s="32" t="e">
        <f ca="1"/>
        <v>#NAME?</v>
      </c>
      <c r="CP103" s="32" t="e">
        <f ca="1"/>
        <v>#NAME?</v>
      </c>
      <c r="CQ103" s="32" t="e">
        <f ca="1"/>
        <v>#NAME?</v>
      </c>
      <c r="CR103" s="30" t="e">
        <f ca="1"/>
        <v>#NAME?</v>
      </c>
      <c r="CS103"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104" spans="1:97" ht="13">
      <c r="A104" s="29" t="str">
        <f ca="1">IFERROR(__xludf.DUMMYFUNCTION("""COMPUTED_VALUE"""),"ACT-SCXA58208")</f>
        <v>ACT-SCXA58208</v>
      </c>
      <c r="B104" s="30" t="str">
        <f ca="1">IFERROR(__xludf.DUMMYFUNCTION("""COMPUTED_VALUE"""),"SC-260623-101758")</f>
        <v>SC-260623-101758</v>
      </c>
      <c r="C104" s="62">
        <f ca="1">IFERROR(__xludf.DUMMYFUNCTION("""COMPUTED_VALUE"""),46196.4291435185)</f>
        <v>46196.4291435185</v>
      </c>
      <c r="D104" s="30">
        <f ca="1">IFERROR(__xludf.DUMMYFUNCTION("""COMPUTED_VALUE"""),92)</f>
        <v>92</v>
      </c>
      <c r="E104" s="30" t="str">
        <f ca="1">IFERROR(__xludf.DUMMYFUNCTION("""COMPUTED_VALUE"""),"PB3572")</f>
        <v>PB3572</v>
      </c>
      <c r="F10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4" s="30" t="str">
        <f ca="1">IFERROR(__xludf.DUMMYFUNCTION("""COMPUTED_VALUE"""),"SUBSECRETARÍA DE DESARROLLO Y PROMOCIÓN ARTÍSTICA Y CULTURAL")</f>
        <v>SUBSECRETARÍA DE DESARROLLO Y PROMOCIÓN ARTÍSTICA Y CULTURAL</v>
      </c>
      <c r="I104" s="34" t="str">
        <f ca="1">IFERROR(__xludf.DUMMYFUNCTION("""COMPUTED_VALUE"""),"DIRECCIÓN GENERAL DE MUSEOS, ARTES VISUALES Y EXPOSICIONES")</f>
        <v>DIRECCIÓN GENERAL DE MUSEOS, ARTES VISUALES Y EXPOSICIONES</v>
      </c>
      <c r="J104" s="30" t="str">
        <f ca="1">IFERROR(__xludf.DUMMYFUNCTION("""COMPUTED_VALUE"""),"Número de Actividades realizadas")</f>
        <v>Número de Actividades realizadas</v>
      </c>
      <c r="K104" s="30">
        <f ca="1">IFERROR(__xludf.DUMMYFUNCTION("""COMPUTED_VALUE"""),800)</f>
        <v>800</v>
      </c>
      <c r="L104" s="30" t="str">
        <f ca="1">IFERROR(__xludf.DUMMYFUNCTION("""COMPUTED_VALUE"""),"Artística")</f>
        <v>Artística</v>
      </c>
      <c r="M104" s="30" t="str">
        <f ca="1">IFERROR(__xludf.DUMMYFUNCTION("""COMPUTED_VALUE"""),"Puesta en escena")</f>
        <v>Puesta en escena</v>
      </c>
      <c r="N104" s="30" t="str">
        <f ca="1">IFERROR(__xludf.DUMMYFUNCTION("""COMPUTED_VALUE"""),"Solicitud Préstamo de espacio, presentación de Artes escénicas")</f>
        <v>Solicitud Préstamo de espacio, presentación de Artes escénicas</v>
      </c>
      <c r="O104" s="30" t="str">
        <f ca="1">IFERROR(__xludf.DUMMYFUNCTION("""COMPUTED_VALUE"""),"Única")</f>
        <v>Única</v>
      </c>
      <c r="P104" s="33">
        <f ca="1">IFERROR(__xludf.DUMMYFUNCTION("""COMPUTED_VALUE"""),46182)</f>
        <v>46182</v>
      </c>
      <c r="Q104" s="33">
        <f ca="1">IFERROR(__xludf.DUMMYFUNCTION("""COMPUTED_VALUE"""),46182)</f>
        <v>46182</v>
      </c>
      <c r="R104" s="30">
        <f ca="1">IFERROR(__xludf.DUMMYFUNCTION("""COMPUTED_VALUE"""),1)</f>
        <v>1</v>
      </c>
      <c r="S104" s="30" t="str">
        <f ca="1">IFERROR(__xludf.DUMMYFUNCTION("""COMPUTED_VALUE"""),"Artes escénicas")</f>
        <v>Artes escénicas</v>
      </c>
      <c r="T104" s="30" t="str">
        <f ca="1">IFERROR(__xludf.DUMMYFUNCTION("""COMPUTED_VALUE"""),"Danza contemporánea")</f>
        <v>Danza contemporánea</v>
      </c>
      <c r="U104" s="30" t="str">
        <f ca="1">IFERROR(__xludf.DUMMYFUNCTION("""COMPUTED_VALUE"""),"Muestra artística")</f>
        <v>Muestra artística</v>
      </c>
      <c r="V104" s="30" t="str">
        <f ca="1">IFERROR(__xludf.DUMMYFUNCTION("""COMPUTED_VALUE"""),"Ninguna")</f>
        <v>Ninguna</v>
      </c>
      <c r="W104" s="30" t="str">
        <f ca="1">IFERROR(__xludf.DUMMYFUNCTION("""COMPUTED_VALUE"""),"Presencial")</f>
        <v>Presencial</v>
      </c>
      <c r="X104" s="30" t="str">
        <f ca="1">IFERROR(__xludf.DUMMYFUNCTION("""COMPUTED_VALUE"""),"Espacio a Cargo de la Secretaría")</f>
        <v>Espacio a Cargo de la Secretaría</v>
      </c>
      <c r="Y104" s="30" t="str">
        <f ca="1">IFERROR(__xludf.DUMMYFUNCTION("""COMPUTED_VALUE"""),"4")</f>
        <v>4</v>
      </c>
      <c r="Z104" s="30"/>
      <c r="AA104" s="30"/>
      <c r="AB104" s="30" t="b">
        <f ca="1">IFERROR(__xludf.DUMMYFUNCTION("""COMPUTED_VALUE"""),FALSE)</f>
        <v>0</v>
      </c>
      <c r="AC104" s="30"/>
      <c r="AD104" s="30" t="b">
        <f ca="1">IFERROR(__xludf.DUMMYFUNCTION("""COMPUTED_VALUE"""),FALSE)</f>
        <v>0</v>
      </c>
      <c r="AE104" s="30"/>
      <c r="AF104" s="30" t="b">
        <f ca="1">IFERROR(__xludf.DUMMYFUNCTION("""COMPUTED_VALUE"""),FALSE)</f>
        <v>0</v>
      </c>
      <c r="AG104" s="30"/>
      <c r="AH104" s="30" t="str">
        <f ca="1">IFERROR(__xludf.DUMMYFUNCTION("""COMPUTED_VALUE"""),"Sin costo")</f>
        <v>Sin costo</v>
      </c>
      <c r="AI104" s="30"/>
      <c r="AJ104" s="30"/>
      <c r="AK104" s="30"/>
      <c r="AL104" s="30" t="str">
        <f ca="1">IFERROR(__xludf.DUMMYFUNCTION("""COMPUTED_VALUE"""),"ccardonav@guanajuato.gob.mx")</f>
        <v>ccardonav@guanajuato.gob.mx</v>
      </c>
      <c r="AM104" s="30" t="str">
        <f ca="1">IFERROR(__xludf.DUMMYFUNCTION("""COMPUTED_VALUE"""),"Arraigo y empoderamiento cultural de comunidades.")</f>
        <v>Arraigo y empoderamiento cultural de comunidades.</v>
      </c>
      <c r="AN104" s="30" t="str">
        <f ca="1">IFERROR(__xludf.DUMMYFUNCTION("""COMPUTED_VALUE"""),"1 Tranquilidad")</f>
        <v>1 Tranquilidad</v>
      </c>
      <c r="AO104" s="30" t="str">
        <f ca="1">IFERROR(__xludf.DUMMYFUNCTION("""COMPUTED_VALUE"""),"1.2 Fortalecer prevención del delito")</f>
        <v>1.2 Fortalecer prevención del delito</v>
      </c>
      <c r="AP104" s="30" t="str">
        <f ca="1">IFERROR(__xludf.DUMMYFUNCTION("""COMPUTED_VALUE"""),"1.2.2 Fortalecimiento del tejido social")</f>
        <v>1.2.2 Fortalecimiento del tejido social</v>
      </c>
      <c r="AQ104" s="30" t="str">
        <f ca="1">IFERROR(__xludf.DUMMYFUNCTION("""COMPUTED_VALUE"""),"1.2.3.4 Promover una cultura de paz desde las expresiones artísticas y culturales")</f>
        <v>1.2.3.4 Promover una cultura de paz desde las expresiones artísticas y culturales</v>
      </c>
      <c r="AR104" s="30" t="str">
        <f ca="1">IFERROR(__xludf.DUMMYFUNCTION("""COMPUTED_VALUE"""),"Cooperación")</f>
        <v>Cooperación</v>
      </c>
      <c r="AS104" s="30"/>
      <c r="AT104" s="30" t="str">
        <f ca="1">IFERROR(__xludf.DUMMYFUNCTION("""COMPUTED_VALUE"""),"Fortalecimiento de la participación ciudadana y la mediación cultural")</f>
        <v>Fortalecimiento de la participación ciudadana y la mediación cultural</v>
      </c>
      <c r="AU104" s="30" t="str">
        <f ca="1">IFERROR(__xludf.DUMMYFUNCTION("""COMPUTED_VALUE"""),"Impulso a la ampliación de la oferta cultural en los territorios.")</f>
        <v>Impulso a la ampliación de la oferta cultural en los territorios.</v>
      </c>
      <c r="AV10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04" s="30" t="str">
        <f ca="1">IFERROR(__xludf.DUMMYFUNCTION("""COMPUTED_VALUE"""),"Incrementar en 25% la oferta cultural realizada en los municipios.")</f>
        <v>Incrementar en 25% la oferta cultural realizada en los municipios.</v>
      </c>
      <c r="AX104" s="30" t="str">
        <f ca="1">IFERROR(__xludf.DUMMYFUNCTION("""COMPUTED_VALUE"""),"Muestra artística")</f>
        <v>Muestra artística</v>
      </c>
      <c r="AY104" s="30" t="str">
        <f ca="1">IFERROR(__xludf.DUMMYFUNCTION("""COMPUTED_VALUE"""),"Formación")</f>
        <v>Formación</v>
      </c>
      <c r="AZ104" s="30" t="str">
        <f ca="1">IFERROR(__xludf.DUMMYFUNCTION("""COMPUTED_VALUE"""),"Formación")</f>
        <v>Formación</v>
      </c>
      <c r="BA104" s="30"/>
      <c r="BB104" s="30"/>
      <c r="BC104" s="30">
        <f ca="1">IFERROR(__xludf.DUMMYFUNCTION("""COMPUTED_VALUE"""),0)</f>
        <v>0</v>
      </c>
      <c r="BD104" s="30"/>
      <c r="BE104" s="30"/>
      <c r="BF104" s="30" t="b">
        <f ca="1">IFERROR(__xludf.DUMMYFUNCTION("""COMPUTED_VALUE"""),FALSE)</f>
        <v>0</v>
      </c>
      <c r="BG104" s="30"/>
      <c r="BH104" s="30"/>
      <c r="BI104" s="30"/>
      <c r="BJ104" s="30"/>
      <c r="BK104" s="30"/>
      <c r="BL104" s="30"/>
      <c r="BM104" s="30" t="str">
        <f ca="1">IFERROR(__xludf.DUMMYFUNCTION("""COMPUTED_VALUE"""),"No")</f>
        <v>No</v>
      </c>
      <c r="BN104" s="30"/>
      <c r="BO104" s="30" t="str">
        <f ca="1">IFERROR(__xludf.DUMMYFUNCTION("""COMPUTED_VALUE"""),"12882c4e")</f>
        <v>12882c4e</v>
      </c>
      <c r="BP104" s="29" t="str">
        <f ca="1">IFERROR(__xludf.DUMMYFUNCTION("""COMPUTED_VALUE"""),"Purísima del Rincón")</f>
        <v>Purísima del Rincón</v>
      </c>
      <c r="BQ104" s="30" t="str">
        <f ca="1">IFERROR(__xludf.DUMMYFUNCTION("""COMPUTED_VALUE"""),"Urbano")</f>
        <v>Urbano</v>
      </c>
      <c r="BR104" s="30">
        <f ca="1">IFERROR(__xludf.DUMMYFUNCTION("""COMPUTED_VALUE"""),171)</f>
        <v>171</v>
      </c>
      <c r="BS104" s="30" t="str">
        <f ca="1">IFERROR(__xludf.DUMMYFUNCTION("""COMPUTED_VALUE"""),"Purísima")</f>
        <v>Purísima</v>
      </c>
      <c r="BT104" s="30"/>
      <c r="BU104" s="30" t="str">
        <f ca="1">IFERROR(__xludf.DUMMYFUNCTION("""COMPUTED_VALUE"""),"Si")</f>
        <v>Si</v>
      </c>
      <c r="BV104" s="30" t="str">
        <f ca="1">IFERROR(__xludf.DUMMYFUNCTION("""COMPUTED_VALUE"""),"No")</f>
        <v>No</v>
      </c>
      <c r="BW104" s="30">
        <f ca="1">IFERROR(__xludf.DUMMYFUNCTION("""COMPUTED_VALUE"""),55)</f>
        <v>55</v>
      </c>
      <c r="BX104" s="30"/>
      <c r="BY104" s="30">
        <f ca="1">IFERROR(__xludf.DUMMYFUNCTION("""COMPUTED_VALUE"""),55)</f>
        <v>55</v>
      </c>
      <c r="BZ104" s="30" t="str">
        <f ca="1">IFERROR(__xludf.DUMMYFUNCTION("""COMPUTED_VALUE"""),"Purísima")</f>
        <v>Purísima</v>
      </c>
      <c r="CA104" s="30" t="str">
        <f ca="1">IFERROR(__xludf.DUMMYFUNCTION("""COMPUTED_VALUE"""),"No")</f>
        <v>No</v>
      </c>
      <c r="CB104" s="30" t="str">
        <f ca="1">IFERROR(__xludf.DUMMYFUNCTION("""COMPUTED_VALUE"""),"No")</f>
        <v>No</v>
      </c>
      <c r="CC104" s="30" t="str">
        <f ca="1">IFERROR(__xludf.DUMMYFUNCTION("""COMPUTED_VALUE"""),"6574ab89")</f>
        <v>6574ab89</v>
      </c>
      <c r="CD104" s="29" t="str">
        <f ca="1">IFERROR(__xludf.DUMMYFUNCTION("""COMPUTED_VALUE"""),"Adultos Mayores (60 años o más)")</f>
        <v>Adultos Mayores (60 años o más)</v>
      </c>
      <c r="CE104" s="30" t="str">
        <f ca="1">IFERROR(__xludf.DUMMYFUNCTION("""COMPUTED_VALUE"""),"Dato global")</f>
        <v>Dato global</v>
      </c>
      <c r="CF104" s="30" t="str">
        <f ca="1">IFERROR(__xludf.DUMMYFUNCTION("""COMPUTED_VALUE"""),"Ninguno (Población General)")</f>
        <v>Ninguno (Población General)</v>
      </c>
      <c r="CG104" s="30">
        <f ca="1">IFERROR(__xludf.DUMMYFUNCTION("""COMPUTED_VALUE"""),2)</f>
        <v>2</v>
      </c>
      <c r="CI104" s="30" t="str">
        <f ca="1">IFERROR(__xludf.DUMMYFUNCTION("""COMPUTED_VALUE"""),"4c580778")</f>
        <v>4c580778</v>
      </c>
      <c r="CJ104" s="29" t="str">
        <f ca="1">IFERROR(__xludf.DUMMYFUNCTION("""COMPUTED_VALUE"""),"Regitro_Evidencia_Files_/4c580778.Archivo_Evidencia.171725.pptx")</f>
        <v>Regitro_Evidencia_Files_/4c580778.Archivo_Evidencia.171725.pptx</v>
      </c>
      <c r="CK104" s="30" t="str">
        <f ca="1">IFERROR(__xludf.DUMMYFUNCTION("""COMPUTED_VALUE"""),"Otro tipo de archivo ")</f>
        <v xml:space="preserve">Otro tipo de archivo </v>
      </c>
      <c r="CL104" s="30"/>
      <c r="CM104" s="30" t="str">
        <f ca="1">IFERROR(__xludf.DUMMYFUNCTION("""COMPUTED_VALUE"""),"Purísima del Rincón")</f>
        <v>Purísima del Rincón</v>
      </c>
      <c r="CN104" s="32" t="e">
        <f ca="1"/>
        <v>#NAME?</v>
      </c>
      <c r="CO104" s="32" t="e">
        <f ca="1"/>
        <v>#NAME?</v>
      </c>
      <c r="CP104" s="32" t="e">
        <f ca="1"/>
        <v>#NAME?</v>
      </c>
      <c r="CQ104" s="32" t="e">
        <f ca="1"/>
        <v>#NAME?</v>
      </c>
      <c r="CR104" s="30" t="e">
        <f ca="1"/>
        <v>#NAME?</v>
      </c>
      <c r="CS104" s="30" t="str">
        <f ca="1">IFERROR(__xludf.DUMMYFUNCTION("""COMPUTED_VALUE"""),"NNA (Niñas, Niños y Adolescentes)")</f>
        <v>NNA (Niñas, Niños y Adolescentes)</v>
      </c>
    </row>
    <row r="105" spans="1:97" ht="13">
      <c r="A105" s="29" t="str">
        <f ca="1">IFERROR(__xludf.DUMMYFUNCTION("""COMPUTED_VALUE"""),"ACT-SCGA50478")</f>
        <v>ACT-SCGA50478</v>
      </c>
      <c r="B105" s="30" t="str">
        <f ca="1">IFERROR(__xludf.DUMMYFUNCTION("""COMPUTED_VALUE"""),"SC-260623-103829")</f>
        <v>SC-260623-103829</v>
      </c>
      <c r="C105" s="62">
        <f ca="1">IFERROR(__xludf.DUMMYFUNCTION("""COMPUTED_VALUE"""),46196.4433912037)</f>
        <v>46196.443391203698</v>
      </c>
      <c r="D105" s="30">
        <f ca="1">IFERROR(__xludf.DUMMYFUNCTION("""COMPUTED_VALUE"""),91)</f>
        <v>91</v>
      </c>
      <c r="E105" s="30" t="str">
        <f ca="1">IFERROR(__xludf.DUMMYFUNCTION("""COMPUTED_VALUE"""),"PB3572")</f>
        <v>PB3572</v>
      </c>
      <c r="F10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5"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05" s="30" t="str">
        <f ca="1">IFERROR(__xludf.DUMMYFUNCTION("""COMPUTED_VALUE"""),"SUBSECRETARÍA DE DESARROLLO Y PROMOCIÓN ARTÍSTICA Y CULTURAL")</f>
        <v>SUBSECRETARÍA DE DESARROLLO Y PROMOCIÓN ARTÍSTICA Y CULTURAL</v>
      </c>
      <c r="I105" s="34" t="str">
        <f ca="1">IFERROR(__xludf.DUMMYFUNCTION("""COMPUTED_VALUE"""),"DIRECCIÓN GENERAL DE MUSEOS, ARTES VISUALES Y EXPOSICIONES")</f>
        <v>DIRECCIÓN GENERAL DE MUSEOS, ARTES VISUALES Y EXPOSICIONES</v>
      </c>
      <c r="J105" s="30" t="str">
        <f ca="1">IFERROR(__xludf.DUMMYFUNCTION("""COMPUTED_VALUE"""),"Número de Exposiciones inauguradas")</f>
        <v>Número de Exposiciones inauguradas</v>
      </c>
      <c r="K105" s="30">
        <f ca="1">IFERROR(__xludf.DUMMYFUNCTION("""COMPUTED_VALUE"""),28)</f>
        <v>28</v>
      </c>
      <c r="L105" s="30" t="str">
        <f ca="1">IFERROR(__xludf.DUMMYFUNCTION("""COMPUTED_VALUE"""),"Artística")</f>
        <v>Artística</v>
      </c>
      <c r="M105" s="30" t="str">
        <f ca="1">IFERROR(__xludf.DUMMYFUNCTION("""COMPUTED_VALUE"""),"Inauguración exposición Eterno Femenino")</f>
        <v>Inauguración exposición Eterno Femenino</v>
      </c>
      <c r="N105" s="30" t="str">
        <f ca="1">IFERROR(__xludf.DUMMYFUNCTION("""COMPUTED_VALUE"""),"La presente exposición creada por el Archivo General del Estado de Guanajuato, aborda el perfil ideal que se esperaba de las mujeres en el mundo occidental durante la llamada Bella Época")</f>
        <v>La presente exposición creada por el Archivo General del Estado de Guanajuato, aborda el perfil ideal que se esperaba de las mujeres en el mundo occidental durante la llamada Bella Época</v>
      </c>
      <c r="O105" s="30" t="str">
        <f ca="1">IFERROR(__xludf.DUMMYFUNCTION("""COMPUTED_VALUE"""),"Única")</f>
        <v>Única</v>
      </c>
      <c r="P105" s="33">
        <f ca="1">IFERROR(__xludf.DUMMYFUNCTION("""COMPUTED_VALUE"""),46183)</f>
        <v>46183</v>
      </c>
      <c r="Q105" s="33">
        <f ca="1">IFERROR(__xludf.DUMMYFUNCTION("""COMPUTED_VALUE"""),46183)</f>
        <v>46183</v>
      </c>
      <c r="R105" s="30">
        <f ca="1">IFERROR(__xludf.DUMMYFUNCTION("""COMPUTED_VALUE"""),1)</f>
        <v>1</v>
      </c>
      <c r="S105" s="30" t="str">
        <f ca="1">IFERROR(__xludf.DUMMYFUNCTION("""COMPUTED_VALUE"""),"Cultura comunitaria")</f>
        <v>Cultura comunitaria</v>
      </c>
      <c r="T105" s="30" t="str">
        <f ca="1">IFERROR(__xludf.DUMMYFUNCTION("""COMPUTED_VALUE"""),"Formación comunitaria")</f>
        <v>Formación comunitaria</v>
      </c>
      <c r="U105" s="30" t="str">
        <f ca="1">IFERROR(__xludf.DUMMYFUNCTION("""COMPUTED_VALUE"""),"Exposición")</f>
        <v>Exposición</v>
      </c>
      <c r="V105" s="30" t="str">
        <f ca="1">IFERROR(__xludf.DUMMYFUNCTION("""COMPUTED_VALUE"""),"Ninguna")</f>
        <v>Ninguna</v>
      </c>
      <c r="W105" s="30" t="str">
        <f ca="1">IFERROR(__xludf.DUMMYFUNCTION("""COMPUTED_VALUE"""),"Presencial")</f>
        <v>Presencial</v>
      </c>
      <c r="X105" s="30" t="str">
        <f ca="1">IFERROR(__xludf.DUMMYFUNCTION("""COMPUTED_VALUE"""),"Espacio a Cargo de la Secretaría")</f>
        <v>Espacio a Cargo de la Secretaría</v>
      </c>
      <c r="Y105" s="30" t="str">
        <f ca="1">IFERROR(__xludf.DUMMYFUNCTION("""COMPUTED_VALUE"""),"5")</f>
        <v>5</v>
      </c>
      <c r="Z105" s="30"/>
      <c r="AA105" s="30"/>
      <c r="AB105" s="30" t="b">
        <f ca="1">IFERROR(__xludf.DUMMYFUNCTION("""COMPUTED_VALUE"""),FALSE)</f>
        <v>0</v>
      </c>
      <c r="AC105" s="30"/>
      <c r="AD105" s="30" t="b">
        <f ca="1">IFERROR(__xludf.DUMMYFUNCTION("""COMPUTED_VALUE"""),FALSE)</f>
        <v>0</v>
      </c>
      <c r="AE105" s="30"/>
      <c r="AF105" s="30" t="b">
        <f ca="1">IFERROR(__xludf.DUMMYFUNCTION("""COMPUTED_VALUE"""),FALSE)</f>
        <v>0</v>
      </c>
      <c r="AG105" s="30"/>
      <c r="AH105" s="30" t="str">
        <f ca="1">IFERROR(__xludf.DUMMYFUNCTION("""COMPUTED_VALUE"""),"Sin costo")</f>
        <v>Sin costo</v>
      </c>
      <c r="AI105" s="30"/>
      <c r="AJ105" s="30"/>
      <c r="AK105" s="30"/>
      <c r="AL105" s="30" t="str">
        <f ca="1">IFERROR(__xludf.DUMMYFUNCTION("""COMPUTED_VALUE"""),"ccardonav@guanajuato.gob.mx")</f>
        <v>ccardonav@guanajuato.gob.mx</v>
      </c>
      <c r="AM105" s="30" t="str">
        <f ca="1">IFERROR(__xludf.DUMMYFUNCTION("""COMPUTED_VALUE"""),"Creación de la Secretaría de Cultura, con una visión social de la política cultural.")</f>
        <v>Creación de la Secretaría de Cultura, con una visión social de la política cultural.</v>
      </c>
      <c r="AN105" s="30" t="str">
        <f ca="1">IFERROR(__xludf.DUMMYFUNCTION("""COMPUTED_VALUE"""),"1 Tranquilidad")</f>
        <v>1 Tranquilidad</v>
      </c>
      <c r="AO105" s="30" t="str">
        <f ca="1">IFERROR(__xludf.DUMMYFUNCTION("""COMPUTED_VALUE"""),"1.2 Fortalecer prevención del delito")</f>
        <v>1.2 Fortalecer prevención del delito</v>
      </c>
      <c r="AP105" s="30" t="str">
        <f ca="1">IFERROR(__xludf.DUMMYFUNCTION("""COMPUTED_VALUE"""),"1.2.2 Fortalecimiento del tejido social")</f>
        <v>1.2.2 Fortalecimiento del tejido social</v>
      </c>
      <c r="AQ105" s="30" t="str">
        <f ca="1">IFERROR(__xludf.DUMMYFUNCTION("""COMPUTED_VALUE"""),"1.2.3.4 Promover una cultura de paz desde las expresiones artísticas y culturales")</f>
        <v>1.2.3.4 Promover una cultura de paz desde las expresiones artísticas y culturales</v>
      </c>
      <c r="AR105" s="30" t="str">
        <f ca="1">IFERROR(__xludf.DUMMYFUNCTION("""COMPUTED_VALUE"""),"Cooperación")</f>
        <v>Cooperación</v>
      </c>
      <c r="AS105" s="30"/>
      <c r="AT105" s="30" t="str">
        <f ca="1">IFERROR(__xludf.DUMMYFUNCTION("""COMPUTED_VALUE"""),"Fortalecimiento de la participación ciudadana y la mediación cultural")</f>
        <v>Fortalecimiento de la participación ciudadana y la mediación cultural</v>
      </c>
      <c r="AU105" s="30" t="str">
        <f ca="1">IFERROR(__xludf.DUMMYFUNCTION("""COMPUTED_VALUE"""),"Impulso a la ampliación de la oferta cultural en los territorios.")</f>
        <v>Impulso a la ampliación de la oferta cultural en los territorios.</v>
      </c>
      <c r="AV10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05" s="30" t="str">
        <f ca="1">IFERROR(__xludf.DUMMYFUNCTION("""COMPUTED_VALUE"""),"Incrementar en 25% la oferta cultural realizada en los municipios.")</f>
        <v>Incrementar en 25% la oferta cultural realizada en los municipios.</v>
      </c>
      <c r="AX105" s="30" t="str">
        <f ca="1">IFERROR(__xludf.DUMMYFUNCTION("""COMPUTED_VALUE"""),"Exposición")</f>
        <v>Exposición</v>
      </c>
      <c r="AY105" s="30" t="str">
        <f ca="1">IFERROR(__xludf.DUMMYFUNCTION("""COMPUTED_VALUE"""),"Formación")</f>
        <v>Formación</v>
      </c>
      <c r="AZ105" s="30" t="str">
        <f ca="1">IFERROR(__xludf.DUMMYFUNCTION("""COMPUTED_VALUE"""),"Formación")</f>
        <v>Formación</v>
      </c>
      <c r="BA105" s="30"/>
      <c r="BB105" s="30"/>
      <c r="BC105" s="30">
        <f ca="1">IFERROR(__xludf.DUMMYFUNCTION("""COMPUTED_VALUE"""),0)</f>
        <v>0</v>
      </c>
      <c r="BD105" s="30"/>
      <c r="BE105" s="30"/>
      <c r="BF105" s="30" t="b">
        <f ca="1">IFERROR(__xludf.DUMMYFUNCTION("""COMPUTED_VALUE"""),FALSE)</f>
        <v>0</v>
      </c>
      <c r="BG105" s="30"/>
      <c r="BH105" s="30"/>
      <c r="BI105" s="30"/>
      <c r="BJ105" s="30"/>
      <c r="BK105" s="30"/>
      <c r="BL105" s="30" t="str">
        <f ca="1">IFERROR(__xludf.DUMMYFUNCTION("""COMPUTED_VALUE"""),"Vinculacion")</f>
        <v>Vinculacion</v>
      </c>
      <c r="BM105" s="30" t="str">
        <f ca="1">IFERROR(__xludf.DUMMYFUNCTION("""COMPUTED_VALUE"""),"Sí")</f>
        <v>Sí</v>
      </c>
      <c r="BN105" s="30"/>
      <c r="BO105" s="30" t="str">
        <f ca="1">IFERROR(__xludf.DUMMYFUNCTION("""COMPUTED_VALUE"""),"10e8cda5")</f>
        <v>10e8cda5</v>
      </c>
      <c r="BP105" s="29" t="str">
        <f ca="1">IFERROR(__xludf.DUMMYFUNCTION("""COMPUTED_VALUE"""),"Purísima del Rincón")</f>
        <v>Purísima del Rincón</v>
      </c>
      <c r="BQ105" s="30" t="str">
        <f ca="1">IFERROR(__xludf.DUMMYFUNCTION("""COMPUTED_VALUE"""),"Urbano")</f>
        <v>Urbano</v>
      </c>
      <c r="BR105" s="30">
        <f ca="1">IFERROR(__xludf.DUMMYFUNCTION("""COMPUTED_VALUE"""),171)</f>
        <v>171</v>
      </c>
      <c r="BS105" s="30" t="str">
        <f ca="1">IFERROR(__xludf.DUMMYFUNCTION("""COMPUTED_VALUE"""),"Purísima")</f>
        <v>Purísima</v>
      </c>
      <c r="BT105" s="30"/>
      <c r="BU105" s="30" t="str">
        <f ca="1">IFERROR(__xludf.DUMMYFUNCTION("""COMPUTED_VALUE"""),"Si")</f>
        <v>Si</v>
      </c>
      <c r="BV105" s="30" t="str">
        <f ca="1">IFERROR(__xludf.DUMMYFUNCTION("""COMPUTED_VALUE"""),"No")</f>
        <v>No</v>
      </c>
      <c r="BW105" s="30">
        <f ca="1">IFERROR(__xludf.DUMMYFUNCTION("""COMPUTED_VALUE"""),22)</f>
        <v>22</v>
      </c>
      <c r="BX105" s="30">
        <f ca="1">IFERROR(__xludf.DUMMYFUNCTION("""COMPUTED_VALUE"""),22)</f>
        <v>22</v>
      </c>
      <c r="BY105" s="30">
        <f ca="1">IFERROR(__xludf.DUMMYFUNCTION("""COMPUTED_VALUE"""),0)</f>
        <v>0</v>
      </c>
      <c r="BZ105" s="30" t="str">
        <f ca="1">IFERROR(__xludf.DUMMYFUNCTION("""COMPUTED_VALUE"""),"Purísima")</f>
        <v>Purísima</v>
      </c>
      <c r="CA105" s="30" t="str">
        <f ca="1">IFERROR(__xludf.DUMMYFUNCTION("""COMPUTED_VALUE"""),"No")</f>
        <v>No</v>
      </c>
      <c r="CB105" s="30" t="str">
        <f ca="1">IFERROR(__xludf.DUMMYFUNCTION("""COMPUTED_VALUE"""),"No")</f>
        <v>No</v>
      </c>
      <c r="CC105" s="30" t="str">
        <f ca="1">IFERROR(__xludf.DUMMYFUNCTION("""COMPUTED_VALUE"""),"df6401fd")</f>
        <v>df6401fd</v>
      </c>
      <c r="CD105" s="29" t="str">
        <f ca="1">IFERROR(__xludf.DUMMYFUNCTION("""COMPUTED_VALUE"""),"Jóvenes (18 a 29 años)")</f>
        <v>Jóvenes (18 a 29 años)</v>
      </c>
      <c r="CE105" s="30" t="str">
        <f ca="1">IFERROR(__xludf.DUMMYFUNCTION("""COMPUTED_VALUE"""),"Dato global")</f>
        <v>Dato global</v>
      </c>
      <c r="CF105" s="30" t="str">
        <f ca="1">IFERROR(__xludf.DUMMYFUNCTION("""COMPUTED_VALUE"""),"Ninguno (Población General)")</f>
        <v>Ninguno (Población General)</v>
      </c>
      <c r="CG105" s="30">
        <f ca="1">IFERROR(__xludf.DUMMYFUNCTION("""COMPUTED_VALUE"""),2)</f>
        <v>2</v>
      </c>
      <c r="CI105" s="30" t="str">
        <f ca="1">IFERROR(__xludf.DUMMYFUNCTION("""COMPUTED_VALUE"""),"ccb13e95")</f>
        <v>ccb13e95</v>
      </c>
      <c r="CJ105" s="29" t="str">
        <f ca="1">IFERROR(__xludf.DUMMYFUNCTION("""COMPUTED_VALUE"""),"Regitro_Evidencia_Files_/ccb13e95.Archivo_Evidencia.172923.pptx")</f>
        <v>Regitro_Evidencia_Files_/ccb13e95.Archivo_Evidencia.172923.pptx</v>
      </c>
      <c r="CK105" s="30" t="str">
        <f ca="1">IFERROR(__xludf.DUMMYFUNCTION("""COMPUTED_VALUE"""),"Otro tipo de archivo ")</f>
        <v xml:space="preserve">Otro tipo de archivo </v>
      </c>
      <c r="CL105" s="30"/>
      <c r="CM105" s="30" t="str">
        <f ca="1">IFERROR(__xludf.DUMMYFUNCTION("""COMPUTED_VALUE"""),"Purísima del Rincón")</f>
        <v>Purísima del Rincón</v>
      </c>
      <c r="CN105" s="32" t="e">
        <f ca="1"/>
        <v>#NAME?</v>
      </c>
      <c r="CO105" s="32" t="e">
        <f ca="1"/>
        <v>#NAME?</v>
      </c>
      <c r="CP105" s="32" t="e">
        <f ca="1"/>
        <v>#NAME?</v>
      </c>
      <c r="CQ105" s="32" t="e">
        <f ca="1"/>
        <v>#NAME?</v>
      </c>
      <c r="CR105" s="30" t="e">
        <f ca="1"/>
        <v>#NAME?</v>
      </c>
      <c r="CS105" s="30" t="str">
        <f ca="1">IFERROR(__xludf.DUMMYFUNCTION("""COMPUTED_VALUE"""),"NNA (Niñas, Niños y Adolescentes)")</f>
        <v>NNA (Niñas, Niños y Adolescentes)</v>
      </c>
    </row>
    <row r="106" spans="1:97" ht="13">
      <c r="A106" s="29" t="str">
        <f ca="1">IFERROR(__xludf.DUMMYFUNCTION("""COMPUTED_VALUE"""),"ACT-SCTP89307")</f>
        <v>ACT-SCTP89307</v>
      </c>
      <c r="B106" s="30" t="str">
        <f ca="1">IFERROR(__xludf.DUMMYFUNCTION("""COMPUTED_VALUE"""),"SC-260624-125759")</f>
        <v>SC-260624-125759</v>
      </c>
      <c r="C106" s="62">
        <f ca="1">IFERROR(__xludf.DUMMYFUNCTION("""COMPUTED_VALUE"""),46197.5402662037)</f>
        <v>46197.540266203701</v>
      </c>
      <c r="D106" s="30">
        <f ca="1">IFERROR(__xludf.DUMMYFUNCTION("""COMPUTED_VALUE"""),92)</f>
        <v>92</v>
      </c>
      <c r="E106" s="30" t="str">
        <f ca="1">IFERROR(__xludf.DUMMYFUNCTION("""COMPUTED_VALUE"""),"PB3572")</f>
        <v>PB3572</v>
      </c>
      <c r="F10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6" s="30" t="str">
        <f ca="1">IFERROR(__xludf.DUMMYFUNCTION("""COMPUTED_VALUE"""),"SUBSECRETARÍA DE DESARROLLO Y PROMOCIÓN ARTÍSTICA Y CULTURAL")</f>
        <v>SUBSECRETARÍA DE DESARROLLO Y PROMOCIÓN ARTÍSTICA Y CULTURAL</v>
      </c>
      <c r="I106" s="34" t="str">
        <f ca="1">IFERROR(__xludf.DUMMYFUNCTION("""COMPUTED_VALUE"""),"DIRECCIÓN GENERAL DE MUSEOS, ARTES VISUALES Y EXPOSICIONES")</f>
        <v>DIRECCIÓN GENERAL DE MUSEOS, ARTES VISUALES Y EXPOSICIONES</v>
      </c>
      <c r="J106" s="30" t="str">
        <f ca="1">IFERROR(__xludf.DUMMYFUNCTION("""COMPUTED_VALUE"""),"Número de Actividades realizadas")</f>
        <v>Número de Actividades realizadas</v>
      </c>
      <c r="K106" s="30">
        <f ca="1">IFERROR(__xludf.DUMMYFUNCTION("""COMPUTED_VALUE"""),800)</f>
        <v>800</v>
      </c>
      <c r="L106" s="30" t="str">
        <f ca="1">IFERROR(__xludf.DUMMYFUNCTION("""COMPUTED_VALUE"""),"Cultural")</f>
        <v>Cultural</v>
      </c>
      <c r="M106" s="30" t="str">
        <f ca="1">IFERROR(__xludf.DUMMYFUNCTION("""COMPUTED_VALUE"""),"Conversemos sobre arte")</f>
        <v>Conversemos sobre arte</v>
      </c>
      <c r="N106"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06" s="30" t="str">
        <f ca="1">IFERROR(__xludf.DUMMYFUNCTION("""COMPUTED_VALUE"""),"Semanal")</f>
        <v>Semanal</v>
      </c>
      <c r="P106" s="33">
        <f ca="1">IFERROR(__xludf.DUMMYFUNCTION("""COMPUTED_VALUE"""),46126)</f>
        <v>46126</v>
      </c>
      <c r="Q106" s="33">
        <f ca="1">IFERROR(__xludf.DUMMYFUNCTION("""COMPUTED_VALUE"""),46140)</f>
        <v>46140</v>
      </c>
      <c r="R106" s="30">
        <f ca="1">IFERROR(__xludf.DUMMYFUNCTION("""COMPUTED_VALUE"""),3)</f>
        <v>3</v>
      </c>
      <c r="S106" s="30" t="str">
        <f ca="1">IFERROR(__xludf.DUMMYFUNCTION("""COMPUTED_VALUE"""),"Cultura comunitaria")</f>
        <v>Cultura comunitaria</v>
      </c>
      <c r="T106" s="30" t="str">
        <f ca="1">IFERROR(__xludf.DUMMYFUNCTION("""COMPUTED_VALUE"""),"Mediación cultural")</f>
        <v>Mediación cultural</v>
      </c>
      <c r="U106" s="30" t="str">
        <f ca="1">IFERROR(__xludf.DUMMYFUNCTION("""COMPUTED_VALUE"""),"Taller")</f>
        <v>Taller</v>
      </c>
      <c r="V106" s="30" t="str">
        <f ca="1">IFERROR(__xludf.DUMMYFUNCTION("""COMPUTED_VALUE"""),"Ninguna")</f>
        <v>Ninguna</v>
      </c>
      <c r="W106" s="30" t="str">
        <f ca="1">IFERROR(__xludf.DUMMYFUNCTION("""COMPUTED_VALUE"""),"Presencial")</f>
        <v>Presencial</v>
      </c>
      <c r="X106" s="30" t="str">
        <f ca="1">IFERROR(__xludf.DUMMYFUNCTION("""COMPUTED_VALUE"""),"Espacio a Cargo de la Secretaría")</f>
        <v>Espacio a Cargo de la Secretaría</v>
      </c>
      <c r="Y106" s="30" t="str">
        <f ca="1">IFERROR(__xludf.DUMMYFUNCTION("""COMPUTED_VALUE"""),"9")</f>
        <v>9</v>
      </c>
      <c r="Z106" s="30"/>
      <c r="AA106" s="30"/>
      <c r="AB106" s="30" t="b">
        <f ca="1">IFERROR(__xludf.DUMMYFUNCTION("""COMPUTED_VALUE"""),FALSE)</f>
        <v>0</v>
      </c>
      <c r="AC106" s="30"/>
      <c r="AD106" s="30" t="b">
        <f ca="1">IFERROR(__xludf.DUMMYFUNCTION("""COMPUTED_VALUE"""),FALSE)</f>
        <v>0</v>
      </c>
      <c r="AE106" s="30"/>
      <c r="AF106" s="30" t="b">
        <f ca="1">IFERROR(__xludf.DUMMYFUNCTION("""COMPUTED_VALUE"""),FALSE)</f>
        <v>0</v>
      </c>
      <c r="AG106" s="30"/>
      <c r="AH106" s="30" t="str">
        <f ca="1">IFERROR(__xludf.DUMMYFUNCTION("""COMPUTED_VALUE"""),"Sin costo")</f>
        <v>Sin costo</v>
      </c>
      <c r="AI106" s="30"/>
      <c r="AJ106" s="30"/>
      <c r="AK106" s="30"/>
      <c r="AL106" s="30" t="str">
        <f ca="1">IFERROR(__xludf.DUMMYFUNCTION("""COMPUTED_VALUE"""),"ccardonav@guanajuato.gob.mx")</f>
        <v>ccardonav@guanajuato.gob.mx</v>
      </c>
      <c r="AM106" s="30" t="str">
        <f ca="1">IFERROR(__xludf.DUMMYFUNCTION("""COMPUTED_VALUE"""),"Arraigo y empoderamiento cultural de comunidades.")</f>
        <v>Arraigo y empoderamiento cultural de comunidades.</v>
      </c>
      <c r="AN106" s="30" t="str">
        <f ca="1">IFERROR(__xludf.DUMMYFUNCTION("""COMPUTED_VALUE"""),"1 Tranquilidad")</f>
        <v>1 Tranquilidad</v>
      </c>
      <c r="AO106" s="30" t="str">
        <f ca="1">IFERROR(__xludf.DUMMYFUNCTION("""COMPUTED_VALUE"""),"1.2 Fortalecer prevención del delito")</f>
        <v>1.2 Fortalecer prevención del delito</v>
      </c>
      <c r="AP106" s="30" t="str">
        <f ca="1">IFERROR(__xludf.DUMMYFUNCTION("""COMPUTED_VALUE"""),"1.2.2 Fortalecimiento del tejido social")</f>
        <v>1.2.2 Fortalecimiento del tejido social</v>
      </c>
      <c r="AQ106" s="30" t="str">
        <f ca="1">IFERROR(__xludf.DUMMYFUNCTION("""COMPUTED_VALUE"""),"1.2.3.4 Promover una cultura de paz desde las expresiones artísticas y culturales")</f>
        <v>1.2.3.4 Promover una cultura de paz desde las expresiones artísticas y culturales</v>
      </c>
      <c r="AR106" s="30" t="str">
        <f ca="1">IFERROR(__xludf.DUMMYFUNCTION("""COMPUTED_VALUE"""),"Cooperación")</f>
        <v>Cooperación</v>
      </c>
      <c r="AS106" s="30"/>
      <c r="AT106" s="30" t="str">
        <f ca="1">IFERROR(__xludf.DUMMYFUNCTION("""COMPUTED_VALUE"""),"Impulso a la educación artística y a la profesionalización del sector cultural")</f>
        <v>Impulso a la educación artística y a la profesionalización del sector cultural</v>
      </c>
      <c r="AU106" s="30" t="str">
        <f ca="1">IFERROR(__xludf.DUMMYFUNCTION("""COMPUTED_VALUE"""),"Fortalecimiento de las alianzas entre el sector cultural, educativo y productivo")</f>
        <v>Fortalecimiento de las alianzas entre el sector cultural, educativo y productivo</v>
      </c>
      <c r="AV106"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06"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06" s="30" t="str">
        <f ca="1">IFERROR(__xludf.DUMMYFUNCTION("""COMPUTED_VALUE"""),"Taller")</f>
        <v>Taller</v>
      </c>
      <c r="AY106" s="30" t="str">
        <f ca="1">IFERROR(__xludf.DUMMYFUNCTION("""COMPUTED_VALUE"""),"Mediación")</f>
        <v>Mediación</v>
      </c>
      <c r="AZ106" s="30"/>
      <c r="BA106" s="30"/>
      <c r="BB106" s="30"/>
      <c r="BC106" s="30">
        <f ca="1">IFERROR(__xludf.DUMMYFUNCTION("""COMPUTED_VALUE"""),0)</f>
        <v>0</v>
      </c>
      <c r="BD106" s="30"/>
      <c r="BE106" s="30"/>
      <c r="BF106" s="30" t="b">
        <f ca="1">IFERROR(__xludf.DUMMYFUNCTION("""COMPUTED_VALUE"""),FALSE)</f>
        <v>0</v>
      </c>
      <c r="BG106" s="30"/>
      <c r="BH106" s="30"/>
      <c r="BI106" s="30"/>
      <c r="BJ106" s="30"/>
      <c r="BK106" s="30"/>
      <c r="BL106" s="30"/>
      <c r="BM106" s="30" t="str">
        <f ca="1">IFERROR(__xludf.DUMMYFUNCTION("""COMPUTED_VALUE"""),"No")</f>
        <v>No</v>
      </c>
      <c r="BN106" s="30"/>
      <c r="BO106" s="30" t="str">
        <f ca="1">IFERROR(__xludf.DUMMYFUNCTION("""COMPUTED_VALUE"""),"1cd76cc8")</f>
        <v>1cd76cc8</v>
      </c>
      <c r="BP106" s="29" t="str">
        <f ca="1">IFERROR(__xludf.DUMMYFUNCTION("""COMPUTED_VALUE"""),"Purísima del Rincón")</f>
        <v>Purísima del Rincón</v>
      </c>
      <c r="BQ106" s="30" t="str">
        <f ca="1">IFERROR(__xludf.DUMMYFUNCTION("""COMPUTED_VALUE"""),"Urbano")</f>
        <v>Urbano</v>
      </c>
      <c r="BR106" s="30">
        <f ca="1">IFERROR(__xludf.DUMMYFUNCTION("""COMPUTED_VALUE"""),171)</f>
        <v>171</v>
      </c>
      <c r="BS106" s="30" t="str">
        <f ca="1">IFERROR(__xludf.DUMMYFUNCTION("""COMPUTED_VALUE"""),"Purísima")</f>
        <v>Purísima</v>
      </c>
      <c r="BT106" s="30"/>
      <c r="BU106" s="30" t="str">
        <f ca="1">IFERROR(__xludf.DUMMYFUNCTION("""COMPUTED_VALUE"""),"Si")</f>
        <v>Si</v>
      </c>
      <c r="BV106" s="30" t="str">
        <f ca="1">IFERROR(__xludf.DUMMYFUNCTION("""COMPUTED_VALUE"""),"No")</f>
        <v>No</v>
      </c>
      <c r="BW106" s="30">
        <f ca="1">IFERROR(__xludf.DUMMYFUNCTION("""COMPUTED_VALUE"""),159)</f>
        <v>159</v>
      </c>
      <c r="BX106" s="30"/>
      <c r="BY106" s="30">
        <f ca="1">IFERROR(__xludf.DUMMYFUNCTION("""COMPUTED_VALUE"""),159)</f>
        <v>159</v>
      </c>
      <c r="BZ106" s="30" t="str">
        <f ca="1">IFERROR(__xludf.DUMMYFUNCTION("""COMPUTED_VALUE"""),"Purísima")</f>
        <v>Purísima</v>
      </c>
      <c r="CA106" s="30" t="str">
        <f ca="1">IFERROR(__xludf.DUMMYFUNCTION("""COMPUTED_VALUE"""),"No")</f>
        <v>No</v>
      </c>
      <c r="CB106" s="30" t="str">
        <f ca="1">IFERROR(__xludf.DUMMYFUNCTION("""COMPUTED_VALUE"""),"No")</f>
        <v>No</v>
      </c>
      <c r="CC106" s="30" t="str">
        <f ca="1">IFERROR(__xludf.DUMMYFUNCTION("""COMPUTED_VALUE"""),"3663eae5")</f>
        <v>3663eae5</v>
      </c>
      <c r="CD106" s="29" t="str">
        <f ca="1">IFERROR(__xludf.DUMMYFUNCTION("""COMPUTED_VALUE"""),"Jóvenes (18 a 29 años)")</f>
        <v>Jóvenes (18 a 29 años)</v>
      </c>
      <c r="CE106" s="30" t="str">
        <f ca="1">IFERROR(__xludf.DUMMYFUNCTION("""COMPUTED_VALUE"""),"Dato global")</f>
        <v>Dato global</v>
      </c>
      <c r="CF106" s="30" t="str">
        <f ca="1">IFERROR(__xludf.DUMMYFUNCTION("""COMPUTED_VALUE"""),"Ninguno (Población General)")</f>
        <v>Ninguno (Población General)</v>
      </c>
      <c r="CG106" s="30">
        <f ca="1">IFERROR(__xludf.DUMMYFUNCTION("""COMPUTED_VALUE"""),2)</f>
        <v>2</v>
      </c>
      <c r="CI106" s="30" t="str">
        <f ca="1">IFERROR(__xludf.DUMMYFUNCTION("""COMPUTED_VALUE"""),"bfb1f593")</f>
        <v>bfb1f593</v>
      </c>
      <c r="CJ106" s="29" t="str">
        <f ca="1">IFERROR(__xludf.DUMMYFUNCTION("""COMPUTED_VALUE"""),"Regitro_Evidencia_Files_/bfb1f593.Archivo_Evidencia.172217.pptx")</f>
        <v>Regitro_Evidencia_Files_/bfb1f593.Archivo_Evidencia.172217.pptx</v>
      </c>
      <c r="CK106" s="30"/>
      <c r="CL106" s="30"/>
      <c r="CM106" s="30" t="str">
        <f ca="1">IFERROR(__xludf.DUMMYFUNCTION("""COMPUTED_VALUE"""),"Purísima del Rincón")</f>
        <v>Purísima del Rincón</v>
      </c>
      <c r="CN106" s="32" t="e">
        <f ca="1"/>
        <v>#NAME?</v>
      </c>
      <c r="CO106" s="32" t="e">
        <f ca="1"/>
        <v>#NAME?</v>
      </c>
      <c r="CP106" s="32" t="e">
        <f ca="1"/>
        <v>#NAME?</v>
      </c>
      <c r="CQ106" s="32" t="e">
        <f ca="1"/>
        <v>#NAME?</v>
      </c>
      <c r="CR106" s="30" t="e">
        <f ca="1"/>
        <v>#NAME?</v>
      </c>
      <c r="CS106" s="30" t="str">
        <f ca="1">IFERROR(__xludf.DUMMYFUNCTION("""COMPUTED_VALUE"""),"Ninguno (Población General)")</f>
        <v>Ninguno (Población General)</v>
      </c>
    </row>
    <row r="107" spans="1:97" ht="13">
      <c r="A107" s="29" t="str">
        <f ca="1">IFERROR(__xludf.DUMMYFUNCTION("""COMPUTED_VALUE"""),"ACT-SCGW11311")</f>
        <v>ACT-SCGW11311</v>
      </c>
      <c r="B107" s="30" t="str">
        <f ca="1">IFERROR(__xludf.DUMMYFUNCTION("""COMPUTED_VALUE"""),"SC-260624-130237")</f>
        <v>SC-260624-130237</v>
      </c>
      <c r="C107" s="62">
        <f ca="1">IFERROR(__xludf.DUMMYFUNCTION("""COMPUTED_VALUE"""),46197.5434837963)</f>
        <v>46197.543483796297</v>
      </c>
      <c r="D107" s="30">
        <f ca="1">IFERROR(__xludf.DUMMYFUNCTION("""COMPUTED_VALUE"""),92)</f>
        <v>92</v>
      </c>
      <c r="E107" s="30" t="str">
        <f ca="1">IFERROR(__xludf.DUMMYFUNCTION("""COMPUTED_VALUE"""),"PB3572")</f>
        <v>PB3572</v>
      </c>
      <c r="F10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7" s="30" t="str">
        <f ca="1">IFERROR(__xludf.DUMMYFUNCTION("""COMPUTED_VALUE"""),"SUBSECRETARÍA DE DESARROLLO Y PROMOCIÓN ARTÍSTICA Y CULTURAL")</f>
        <v>SUBSECRETARÍA DE DESARROLLO Y PROMOCIÓN ARTÍSTICA Y CULTURAL</v>
      </c>
      <c r="I107" s="34" t="str">
        <f ca="1">IFERROR(__xludf.DUMMYFUNCTION("""COMPUTED_VALUE"""),"DIRECCIÓN GENERAL DE MUSEOS, ARTES VISUALES Y EXPOSICIONES")</f>
        <v>DIRECCIÓN GENERAL DE MUSEOS, ARTES VISUALES Y EXPOSICIONES</v>
      </c>
      <c r="J107" s="30" t="str">
        <f ca="1">IFERROR(__xludf.DUMMYFUNCTION("""COMPUTED_VALUE"""),"Número de Actividades realizadas")</f>
        <v>Número de Actividades realizadas</v>
      </c>
      <c r="K107" s="30">
        <f ca="1">IFERROR(__xludf.DUMMYFUNCTION("""COMPUTED_VALUE"""),800)</f>
        <v>800</v>
      </c>
      <c r="L107" s="30" t="str">
        <f ca="1">IFERROR(__xludf.DUMMYFUNCTION("""COMPUTED_VALUE"""),"Cultural")</f>
        <v>Cultural</v>
      </c>
      <c r="M107" s="30" t="str">
        <f ca="1">IFERROR(__xludf.DUMMYFUNCTION("""COMPUTED_VALUE"""),"Noche misteriosa. Historias tenebrosas")</f>
        <v>Noche misteriosa. Historias tenebrosas</v>
      </c>
      <c r="N107" s="30" t="str">
        <f ca="1">IFERROR(__xludf.DUMMYFUNCTION("""COMPUTED_VALUE"""),"Celebra el día del niño en el Museo Hermenegildo Bustos, recorre sus pasillos y salas a través de diferentes actividades. Haremos un círculo de relatos verdaderos o ficticios que conozcas acerca del Museo y de la ciudad de Purísima del Rincón, al mismo ti"&amp;"empo que conocerás sus salas de pintura de retratos.")</f>
        <v>Celebra el día del niño en el Museo Hermenegildo Bustos, recorre sus pasillos y salas a través de diferentes actividades. Haremos un círculo de relatos verdaderos o ficticios que conozcas acerca del Museo y de la ciudad de Purísima del Rincón, al mismo tiempo que conocerás sus salas de pintura de retratos.</v>
      </c>
      <c r="O107" s="30" t="str">
        <f ca="1">IFERROR(__xludf.DUMMYFUNCTION("""COMPUTED_VALUE"""),"Única")</f>
        <v>Única</v>
      </c>
      <c r="P107" s="33">
        <f ca="1">IFERROR(__xludf.DUMMYFUNCTION("""COMPUTED_VALUE"""),46129)</f>
        <v>46129</v>
      </c>
      <c r="Q107" s="33">
        <f ca="1">IFERROR(__xludf.DUMMYFUNCTION("""COMPUTED_VALUE"""),46129)</f>
        <v>46129</v>
      </c>
      <c r="R107" s="30">
        <f ca="1">IFERROR(__xludf.DUMMYFUNCTION("""COMPUTED_VALUE"""),1)</f>
        <v>1</v>
      </c>
      <c r="S107" s="30" t="str">
        <f ca="1">IFERROR(__xludf.DUMMYFUNCTION("""COMPUTED_VALUE"""),"Cultura comunitaria")</f>
        <v>Cultura comunitaria</v>
      </c>
      <c r="T107" s="30" t="str">
        <f ca="1">IFERROR(__xludf.DUMMYFUNCTION("""COMPUTED_VALUE"""),"Procesos de memoria")</f>
        <v>Procesos de memoria</v>
      </c>
      <c r="U107" s="30" t="str">
        <f ca="1">IFERROR(__xludf.DUMMYFUNCTION("""COMPUTED_VALUE"""),"Conversatorio")</f>
        <v>Conversatorio</v>
      </c>
      <c r="V107" s="30" t="str">
        <f ca="1">IFERROR(__xludf.DUMMYFUNCTION("""COMPUTED_VALUE"""),"Ninguna")</f>
        <v>Ninguna</v>
      </c>
      <c r="W107" s="30" t="str">
        <f ca="1">IFERROR(__xludf.DUMMYFUNCTION("""COMPUTED_VALUE"""),"Presencial")</f>
        <v>Presencial</v>
      </c>
      <c r="X107" s="30" t="str">
        <f ca="1">IFERROR(__xludf.DUMMYFUNCTION("""COMPUTED_VALUE"""),"Espacio a Cargo de la Secretaría")</f>
        <v>Espacio a Cargo de la Secretaría</v>
      </c>
      <c r="Y107" s="30" t="str">
        <f ca="1">IFERROR(__xludf.DUMMYFUNCTION("""COMPUTED_VALUE"""),"9")</f>
        <v>9</v>
      </c>
      <c r="Z107" s="30"/>
      <c r="AA107" s="30"/>
      <c r="AB107" s="30" t="b">
        <f ca="1">IFERROR(__xludf.DUMMYFUNCTION("""COMPUTED_VALUE"""),FALSE)</f>
        <v>0</v>
      </c>
      <c r="AC107" s="30"/>
      <c r="AD107" s="30" t="b">
        <f ca="1">IFERROR(__xludf.DUMMYFUNCTION("""COMPUTED_VALUE"""),FALSE)</f>
        <v>0</v>
      </c>
      <c r="AE107" s="30"/>
      <c r="AF107" s="30" t="b">
        <f ca="1">IFERROR(__xludf.DUMMYFUNCTION("""COMPUTED_VALUE"""),FALSE)</f>
        <v>0</v>
      </c>
      <c r="AG107" s="30"/>
      <c r="AH107" s="30" t="str">
        <f ca="1">IFERROR(__xludf.DUMMYFUNCTION("""COMPUTED_VALUE"""),"Sin costo")</f>
        <v>Sin costo</v>
      </c>
      <c r="AI107" s="30"/>
      <c r="AJ107" s="30"/>
      <c r="AK107" s="30"/>
      <c r="AL107" s="30" t="str">
        <f ca="1">IFERROR(__xludf.DUMMYFUNCTION("""COMPUTED_VALUE"""),"ccardonav@guanajuato.gob.mx")</f>
        <v>ccardonav@guanajuato.gob.mx</v>
      </c>
      <c r="AM107" s="30" t="str">
        <f ca="1">IFERROR(__xludf.DUMMYFUNCTION("""COMPUTED_VALUE"""),"Arraigo y empoderamiento cultural de comunidades.")</f>
        <v>Arraigo y empoderamiento cultural de comunidades.</v>
      </c>
      <c r="AN107" s="30" t="str">
        <f ca="1">IFERROR(__xludf.DUMMYFUNCTION("""COMPUTED_VALUE"""),"2 Igualdad")</f>
        <v>2 Igualdad</v>
      </c>
      <c r="AO107" s="30" t="str">
        <f ca="1">IFERROR(__xludf.DUMMYFUNCTION("""COMPUTED_VALUE"""),"2.2 Fortalecer cohesión social")</f>
        <v>2.2 Fortalecer cohesión social</v>
      </c>
      <c r="AP107" s="30" t="str">
        <f ca="1">IFERROR(__xludf.DUMMYFUNCTION("""COMPUTED_VALUE"""),"2.2.1 Participación social comunitaria")</f>
        <v>2.2.1 Participación social comunitaria</v>
      </c>
      <c r="AQ107" s="30" t="str">
        <f ca="1">IFERROR(__xludf.DUMMYFUNCTION("""COMPUTED_VALUE"""),"2.2.1 Participación social comunitaria")</f>
        <v>2.2.1 Participación social comunitaria</v>
      </c>
      <c r="AR107" s="30" t="str">
        <f ca="1">IFERROR(__xludf.DUMMYFUNCTION("""COMPUTED_VALUE"""),"Cooperación")</f>
        <v>Cooperación</v>
      </c>
      <c r="AS107" s="30"/>
      <c r="AT107" s="30" t="str">
        <f ca="1">IFERROR(__xludf.DUMMYFUNCTION("""COMPUTED_VALUE"""),"Protección y dinamización del patrimonio, la memoria y los espacios culturales")</f>
        <v>Protección y dinamización del patrimonio, la memoria y los espacios culturales</v>
      </c>
      <c r="AU107" s="30" t="str">
        <f ca="1">IFERROR(__xludf.DUMMYFUNCTION("""COMPUTED_VALUE"""),"Fortalecimiento de los procesos de identificación, conservación, investigación, divulgación y promoción del patrimonio cultural material e inmaterial.")</f>
        <v>Fortalecimiento de los procesos de identificación, conservación, investigación, divulgación y promoción del patrimonio cultural material e inmaterial.</v>
      </c>
      <c r="AV107" s="30" t="str">
        <f ca="1">IFERROR(__xludf.DUMMYFUNCTION("""COMPUTED_VALUE"""),"Realizar procesos de memoria colaborativa con comunidades para reconocer su legado cultural en el patrimonio estatal.")</f>
        <v>Realizar procesos de memoria colaborativa con comunidades para reconocer su legado cultural en el patrimonio estatal.</v>
      </c>
      <c r="AW107" s="30" t="str">
        <f ca="1">IFERROR(__xludf.DUMMYFUNCTION("""COMPUTED_VALUE"""),"Lograr un incremento anual del 10% de población que participa en actividades comunitarias para el aprovechamiento de los espacios culturales y zonas patrimoniales.")</f>
        <v>Lograr un incremento anual del 10% de población que participa en actividades comunitarias para el aprovechamiento de los espacios culturales y zonas patrimoniales.</v>
      </c>
      <c r="AX107" s="30" t="str">
        <f ca="1">IFERROR(__xludf.DUMMYFUNCTION("""COMPUTED_VALUE"""),"Conversatorio")</f>
        <v>Conversatorio</v>
      </c>
      <c r="AY107" s="30" t="str">
        <f ca="1">IFERROR(__xludf.DUMMYFUNCTION("""COMPUTED_VALUE"""),"Mediación")</f>
        <v>Mediación</v>
      </c>
      <c r="AZ107" s="30"/>
      <c r="BA107" s="30"/>
      <c r="BB107" s="30"/>
      <c r="BC107" s="30">
        <f ca="1">IFERROR(__xludf.DUMMYFUNCTION("""COMPUTED_VALUE"""),0)</f>
        <v>0</v>
      </c>
      <c r="BD107" s="30"/>
      <c r="BE107" s="30"/>
      <c r="BF107" s="30" t="b">
        <f ca="1">IFERROR(__xludf.DUMMYFUNCTION("""COMPUTED_VALUE"""),FALSE)</f>
        <v>0</v>
      </c>
      <c r="BG107" s="30"/>
      <c r="BH107" s="30"/>
      <c r="BI107" s="30"/>
      <c r="BJ107" s="30"/>
      <c r="BK107" s="30"/>
      <c r="BL107" s="30"/>
      <c r="BM107" s="30" t="str">
        <f ca="1">IFERROR(__xludf.DUMMYFUNCTION("""COMPUTED_VALUE"""),"No")</f>
        <v>No</v>
      </c>
      <c r="BN107" s="30"/>
      <c r="BO107" s="30" t="str">
        <f ca="1">IFERROR(__xludf.DUMMYFUNCTION("""COMPUTED_VALUE"""),"b6f30544")</f>
        <v>b6f30544</v>
      </c>
      <c r="BP107" s="29" t="str">
        <f ca="1">IFERROR(__xludf.DUMMYFUNCTION("""COMPUTED_VALUE"""),"Purísima del Rincón")</f>
        <v>Purísima del Rincón</v>
      </c>
      <c r="BQ107" s="30" t="str">
        <f ca="1">IFERROR(__xludf.DUMMYFUNCTION("""COMPUTED_VALUE"""),"Urbano")</f>
        <v>Urbano</v>
      </c>
      <c r="BR107" s="30">
        <f ca="1">IFERROR(__xludf.DUMMYFUNCTION("""COMPUTED_VALUE"""),171)</f>
        <v>171</v>
      </c>
      <c r="BS107" s="30" t="str">
        <f ca="1">IFERROR(__xludf.DUMMYFUNCTION("""COMPUTED_VALUE"""),"Purísima")</f>
        <v>Purísima</v>
      </c>
      <c r="BT107" s="30"/>
      <c r="BU107" s="30" t="str">
        <f ca="1">IFERROR(__xludf.DUMMYFUNCTION("""COMPUTED_VALUE"""),"Si")</f>
        <v>Si</v>
      </c>
      <c r="BV107" s="30" t="str">
        <f ca="1">IFERROR(__xludf.DUMMYFUNCTION("""COMPUTED_VALUE"""),"No")</f>
        <v>No</v>
      </c>
      <c r="BW107" s="30">
        <f ca="1">IFERROR(__xludf.DUMMYFUNCTION("""COMPUTED_VALUE"""),32)</f>
        <v>32</v>
      </c>
      <c r="BX107" s="30">
        <f ca="1">IFERROR(__xludf.DUMMYFUNCTION("""COMPUTED_VALUE"""),32)</f>
        <v>32</v>
      </c>
      <c r="BY107" s="30">
        <f ca="1">IFERROR(__xludf.DUMMYFUNCTION("""COMPUTED_VALUE"""),0)</f>
        <v>0</v>
      </c>
      <c r="BZ107" s="30" t="str">
        <f ca="1">IFERROR(__xludf.DUMMYFUNCTION("""COMPUTED_VALUE"""),"Purísima")</f>
        <v>Purísima</v>
      </c>
      <c r="CA107" s="30" t="str">
        <f ca="1">IFERROR(__xludf.DUMMYFUNCTION("""COMPUTED_VALUE"""),"No")</f>
        <v>No</v>
      </c>
      <c r="CB107" s="30" t="str">
        <f ca="1">IFERROR(__xludf.DUMMYFUNCTION("""COMPUTED_VALUE"""),"No")</f>
        <v>No</v>
      </c>
      <c r="CC107" s="30" t="str">
        <f ca="1">IFERROR(__xludf.DUMMYFUNCTION("""COMPUTED_VALUE"""),"b01fa953")</f>
        <v>b01fa953</v>
      </c>
      <c r="CD107" s="29" t="str">
        <f ca="1">IFERROR(__xludf.DUMMYFUNCTION("""COMPUTED_VALUE"""),"Jóvenes (18 a 29 años)")</f>
        <v>Jóvenes (18 a 29 años)</v>
      </c>
      <c r="CE107" s="30" t="str">
        <f ca="1">IFERROR(__xludf.DUMMYFUNCTION("""COMPUTED_VALUE"""),"Dato global")</f>
        <v>Dato global</v>
      </c>
      <c r="CF107" s="30" t="str">
        <f ca="1">IFERROR(__xludf.DUMMYFUNCTION("""COMPUTED_VALUE"""),"Ninguno (Población General)")</f>
        <v>Ninguno (Población General)</v>
      </c>
      <c r="CG107" s="30">
        <f ca="1">IFERROR(__xludf.DUMMYFUNCTION("""COMPUTED_VALUE"""),2)</f>
        <v>2</v>
      </c>
      <c r="CI107" s="30" t="str">
        <f ca="1">IFERROR(__xludf.DUMMYFUNCTION("""COMPUTED_VALUE"""),"42518f35")</f>
        <v>42518f35</v>
      </c>
      <c r="CJ107" s="29" t="str">
        <f ca="1">IFERROR(__xludf.DUMMYFUNCTION("""COMPUTED_VALUE"""),"Regitro_Evidencia_Files_/42518f35.Archivo_Evidencia.174226.pptx")</f>
        <v>Regitro_Evidencia_Files_/42518f35.Archivo_Evidencia.174226.pptx</v>
      </c>
      <c r="CK107" s="30" t="str">
        <f ca="1">IFERROR(__xludf.DUMMYFUNCTION("""COMPUTED_VALUE"""),"Otro tipo de archivo ")</f>
        <v xml:space="preserve">Otro tipo de archivo </v>
      </c>
      <c r="CL107" s="30"/>
      <c r="CM107" s="30" t="str">
        <f ca="1">IFERROR(__xludf.DUMMYFUNCTION("""COMPUTED_VALUE"""),"Purísima del Rincón")</f>
        <v>Purísima del Rincón</v>
      </c>
      <c r="CN107" s="32" t="e">
        <f ca="1"/>
        <v>#NAME?</v>
      </c>
      <c r="CO107" s="32" t="e">
        <f ca="1"/>
        <v>#NAME?</v>
      </c>
      <c r="CP107" s="32" t="e">
        <f ca="1"/>
        <v>#NAME?</v>
      </c>
      <c r="CQ107" s="32" t="e">
        <f ca="1"/>
        <v>#NAME?</v>
      </c>
      <c r="CR107" s="30" t="e">
        <f ca="1"/>
        <v>#NAME?</v>
      </c>
      <c r="CS107"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108" spans="1:97" ht="13">
      <c r="A108" s="29" t="str">
        <f ca="1">IFERROR(__xludf.DUMMYFUNCTION("""COMPUTED_VALUE"""),"ACT-SCZD01303")</f>
        <v>ACT-SCZD01303</v>
      </c>
      <c r="B108" s="30" t="str">
        <f ca="1">IFERROR(__xludf.DUMMYFUNCTION("""COMPUTED_VALUE"""),"SC-260624-141223")</f>
        <v>SC-260624-141223</v>
      </c>
      <c r="C108" s="62">
        <f ca="1">IFERROR(__xludf.DUMMYFUNCTION("""COMPUTED_VALUE"""),46197.5919328703)</f>
        <v>46197.591932870302</v>
      </c>
      <c r="D108" s="30">
        <f ca="1">IFERROR(__xludf.DUMMYFUNCTION("""COMPUTED_VALUE"""),93)</f>
        <v>93</v>
      </c>
      <c r="E108" s="30" t="str">
        <f ca="1">IFERROR(__xludf.DUMMYFUNCTION("""COMPUTED_VALUE"""),"PB3572")</f>
        <v>PB3572</v>
      </c>
      <c r="F10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8" s="30" t="str">
        <f ca="1">IFERROR(__xludf.DUMMYFUNCTION("""COMPUTED_VALUE"""),"Participación de artistas en las actividades extramuros en municipios del Estado de Guanajuato")</f>
        <v>Participación de artistas en las actividades extramuros en municipios del Estado de Guanajuato</v>
      </c>
      <c r="H108" s="30" t="str">
        <f ca="1">IFERROR(__xludf.DUMMYFUNCTION("""COMPUTED_VALUE"""),"SUBSECRETARÍA DE DESARROLLO Y PROMOCIÓN ARTÍSTICA Y CULTURAL")</f>
        <v>SUBSECRETARÍA DE DESARROLLO Y PROMOCIÓN ARTÍSTICA Y CULTURAL</v>
      </c>
      <c r="I108" s="34" t="str">
        <f ca="1">IFERROR(__xludf.DUMMYFUNCTION("""COMPUTED_VALUE"""),"DIRECCIÓN GENERAL DE MUSEOS, ARTES VISUALES Y EXPOSICIONES")</f>
        <v>DIRECCIÓN GENERAL DE MUSEOS, ARTES VISUALES Y EXPOSICIONES</v>
      </c>
      <c r="J108" s="30" t="str">
        <f ca="1">IFERROR(__xludf.DUMMYFUNCTION("""COMPUTED_VALUE"""),"Número de Actividades realizadas")</f>
        <v>Número de Actividades realizadas</v>
      </c>
      <c r="K108" s="30">
        <f ca="1">IFERROR(__xludf.DUMMYFUNCTION("""COMPUTED_VALUE"""),10)</f>
        <v>10</v>
      </c>
      <c r="L108" s="30" t="str">
        <f ca="1">IFERROR(__xludf.DUMMYFUNCTION("""COMPUTED_VALUE"""),"Artística")</f>
        <v>Artística</v>
      </c>
      <c r="M108" s="30" t="str">
        <f ca="1">IFERROR(__xludf.DUMMYFUNCTION("""COMPUTED_VALUE"""),"Alma en movimiento, Muestra de danza")</f>
        <v>Alma en movimiento, Muestra de danza</v>
      </c>
      <c r="N108" s="30" t="str">
        <f ca="1">IFERROR(__xludf.DUMMYFUNCTION("""COMPUTED_VALUE"""),"Muestra de danza en el patio central del Museo Hermenegildo Bustos, en conmemoración del Día internacional de la danza que se celebra cada 29 de abril. I.Motion Dance Studio")</f>
        <v>Muestra de danza en el patio central del Museo Hermenegildo Bustos, en conmemoración del Día internacional de la danza que se celebra cada 29 de abril. I.Motion Dance Studio</v>
      </c>
      <c r="O108" s="30" t="str">
        <f ca="1">IFERROR(__xludf.DUMMYFUNCTION("""COMPUTED_VALUE"""),"Única")</f>
        <v>Única</v>
      </c>
      <c r="P108" s="33">
        <f ca="1">IFERROR(__xludf.DUMMYFUNCTION("""COMPUTED_VALUE"""),46137)</f>
        <v>46137</v>
      </c>
      <c r="Q108" s="33">
        <f ca="1">IFERROR(__xludf.DUMMYFUNCTION("""COMPUTED_VALUE"""),46137)</f>
        <v>46137</v>
      </c>
      <c r="R108" s="30">
        <f ca="1">IFERROR(__xludf.DUMMYFUNCTION("""COMPUTED_VALUE"""),1)</f>
        <v>1</v>
      </c>
      <c r="S108" s="30" t="str">
        <f ca="1">IFERROR(__xludf.DUMMYFUNCTION("""COMPUTED_VALUE"""),"Artes escénicas")</f>
        <v>Artes escénicas</v>
      </c>
      <c r="T108" s="30" t="str">
        <f ca="1">IFERROR(__xludf.DUMMYFUNCTION("""COMPUTED_VALUE"""),"Danza contemporánea")</f>
        <v>Danza contemporánea</v>
      </c>
      <c r="U108" s="30" t="str">
        <f ca="1">IFERROR(__xludf.DUMMYFUNCTION("""COMPUTED_VALUE"""),"Producción artística")</f>
        <v>Producción artística</v>
      </c>
      <c r="V108" s="30" t="str">
        <f ca="1">IFERROR(__xludf.DUMMYFUNCTION("""COMPUTED_VALUE"""),"Ninguna")</f>
        <v>Ninguna</v>
      </c>
      <c r="W108" s="30" t="str">
        <f ca="1">IFERROR(__xludf.DUMMYFUNCTION("""COMPUTED_VALUE"""),"Presencial")</f>
        <v>Presencial</v>
      </c>
      <c r="X108" s="30" t="str">
        <f ca="1">IFERROR(__xludf.DUMMYFUNCTION("""COMPUTED_VALUE"""),"Espacio a Cargo de la Secretaría")</f>
        <v>Espacio a Cargo de la Secretaría</v>
      </c>
      <c r="Y108" s="30" t="str">
        <f ca="1">IFERROR(__xludf.DUMMYFUNCTION("""COMPUTED_VALUE"""),"9")</f>
        <v>9</v>
      </c>
      <c r="Z108" s="30"/>
      <c r="AA108" s="30"/>
      <c r="AB108" s="30" t="b">
        <f ca="1">IFERROR(__xludf.DUMMYFUNCTION("""COMPUTED_VALUE"""),FALSE)</f>
        <v>0</v>
      </c>
      <c r="AC108" s="30"/>
      <c r="AD108" s="30" t="b">
        <f ca="1">IFERROR(__xludf.DUMMYFUNCTION("""COMPUTED_VALUE"""),FALSE)</f>
        <v>0</v>
      </c>
      <c r="AE108" s="30"/>
      <c r="AF108" s="30" t="b">
        <f ca="1">IFERROR(__xludf.DUMMYFUNCTION("""COMPUTED_VALUE"""),FALSE)</f>
        <v>0</v>
      </c>
      <c r="AG108" s="30"/>
      <c r="AH108" s="30" t="str">
        <f ca="1">IFERROR(__xludf.DUMMYFUNCTION("""COMPUTED_VALUE"""),"Sin costo")</f>
        <v>Sin costo</v>
      </c>
      <c r="AI108" s="30"/>
      <c r="AJ108" s="30"/>
      <c r="AK108" s="30"/>
      <c r="AL108" s="30" t="str">
        <f ca="1">IFERROR(__xludf.DUMMYFUNCTION("""COMPUTED_VALUE"""),"ccardonav@guanajuato.gob.mx")</f>
        <v>ccardonav@guanajuato.gob.mx</v>
      </c>
      <c r="AM108" s="30" t="str">
        <f ca="1">IFERROR(__xludf.DUMMYFUNCTION("""COMPUTED_VALUE"""),"Apoyos para artistas populares.")</f>
        <v>Apoyos para artistas populares.</v>
      </c>
      <c r="AN108" s="30" t="str">
        <f ca="1">IFERROR(__xludf.DUMMYFUNCTION("""COMPUTED_VALUE"""),"1 Tranquilidad")</f>
        <v>1 Tranquilidad</v>
      </c>
      <c r="AO108" s="30" t="str">
        <f ca="1">IFERROR(__xludf.DUMMYFUNCTION("""COMPUTED_VALUE"""),"1.2 Fortalecer prevención del delito")</f>
        <v>1.2 Fortalecer prevención del delito</v>
      </c>
      <c r="AP108" s="30" t="str">
        <f ca="1">IFERROR(__xludf.DUMMYFUNCTION("""COMPUTED_VALUE"""),"1.2.2 Fortalecimiento del tejido social")</f>
        <v>1.2.2 Fortalecimiento del tejido social</v>
      </c>
      <c r="AQ108" s="30" t="str">
        <f ca="1">IFERROR(__xludf.DUMMYFUNCTION("""COMPUTED_VALUE"""),"1.2.3.4 Promover una cultura de paz desde las expresiones artísticas y culturales")</f>
        <v>1.2.3.4 Promover una cultura de paz desde las expresiones artísticas y culturales</v>
      </c>
      <c r="AR108" s="30" t="str">
        <f ca="1">IFERROR(__xludf.DUMMYFUNCTION("""COMPUTED_VALUE"""),"Cooperación")</f>
        <v>Cooperación</v>
      </c>
      <c r="AS108" s="30"/>
      <c r="AT108" s="30" t="str">
        <f ca="1">IFERROR(__xludf.DUMMYFUNCTION("""COMPUTED_VALUE"""),"Impulso a la educación artística y a la profesionalización del sector cultural")</f>
        <v>Impulso a la educación artística y a la profesionalización del sector cultural</v>
      </c>
      <c r="AU108" s="30" t="str">
        <f ca="1">IFERROR(__xludf.DUMMYFUNCTION("""COMPUTED_VALUE"""),"Fortalecimiento de las alianzas entre el sector cultural, educativo y productivo")</f>
        <v>Fortalecimiento de las alianzas entre el sector cultural, educativo y productivo</v>
      </c>
      <c r="AV108"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08"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08" s="30" t="str">
        <f ca="1">IFERROR(__xludf.DUMMYFUNCTION("""COMPUTED_VALUE"""),"Presentación artística")</f>
        <v>Presentación artística</v>
      </c>
      <c r="AY108" s="30" t="str">
        <f ca="1">IFERROR(__xludf.DUMMYFUNCTION("""COMPUTED_VALUE"""),"Mediación")</f>
        <v>Mediación</v>
      </c>
      <c r="AZ108" s="30"/>
      <c r="BA108" s="30"/>
      <c r="BB108" s="30"/>
      <c r="BC108" s="30">
        <f ca="1">IFERROR(__xludf.DUMMYFUNCTION("""COMPUTED_VALUE"""),0)</f>
        <v>0</v>
      </c>
      <c r="BD108" s="30"/>
      <c r="BE108" s="30"/>
      <c r="BF108" s="30" t="b">
        <f ca="1">IFERROR(__xludf.DUMMYFUNCTION("""COMPUTED_VALUE"""),FALSE)</f>
        <v>0</v>
      </c>
      <c r="BG108" s="30"/>
      <c r="BH108" s="30"/>
      <c r="BI108" s="30"/>
      <c r="BJ108" s="30"/>
      <c r="BK108" s="30"/>
      <c r="BL108" s="30" t="str">
        <f ca="1">IFERROR(__xludf.DUMMYFUNCTION("""COMPUTED_VALUE"""),"Vinculacion")</f>
        <v>Vinculacion</v>
      </c>
      <c r="BM108" s="30" t="str">
        <f ca="1">IFERROR(__xludf.DUMMYFUNCTION("""COMPUTED_VALUE"""),"Sí")</f>
        <v>Sí</v>
      </c>
      <c r="BN108" s="30" t="str">
        <f ca="1">IFERROR(__xludf.DUMMYFUNCTION("""COMPUTED_VALUE"""),"Acompañamiento Técnico")</f>
        <v>Acompañamiento Técnico</v>
      </c>
      <c r="BO108" s="30" t="str">
        <f ca="1">IFERROR(__xludf.DUMMYFUNCTION("""COMPUTED_VALUE"""),"d7a91201")</f>
        <v>d7a91201</v>
      </c>
      <c r="BP108" s="29" t="str">
        <f ca="1">IFERROR(__xludf.DUMMYFUNCTION("""COMPUTED_VALUE"""),"Purísima del Rincón")</f>
        <v>Purísima del Rincón</v>
      </c>
      <c r="BQ108" s="30" t="str">
        <f ca="1">IFERROR(__xludf.DUMMYFUNCTION("""COMPUTED_VALUE"""),"Urbano")</f>
        <v>Urbano</v>
      </c>
      <c r="BR108" s="30">
        <f ca="1">IFERROR(__xludf.DUMMYFUNCTION("""COMPUTED_VALUE"""),171)</f>
        <v>171</v>
      </c>
      <c r="BS108" s="30" t="str">
        <f ca="1">IFERROR(__xludf.DUMMYFUNCTION("""COMPUTED_VALUE"""),"Purísima")</f>
        <v>Purísima</v>
      </c>
      <c r="BT108" s="30"/>
      <c r="BU108" s="30" t="str">
        <f ca="1">IFERROR(__xludf.DUMMYFUNCTION("""COMPUTED_VALUE"""),"Si")</f>
        <v>Si</v>
      </c>
      <c r="BV108" s="30" t="str">
        <f ca="1">IFERROR(__xludf.DUMMYFUNCTION("""COMPUTED_VALUE"""),"No")</f>
        <v>No</v>
      </c>
      <c r="BW108" s="30">
        <f ca="1">IFERROR(__xludf.DUMMYFUNCTION("""COMPUTED_VALUE"""),32)</f>
        <v>32</v>
      </c>
      <c r="BX108" s="30">
        <f ca="1">IFERROR(__xludf.DUMMYFUNCTION("""COMPUTED_VALUE"""),32)</f>
        <v>32</v>
      </c>
      <c r="BY108" s="30">
        <f ca="1">IFERROR(__xludf.DUMMYFUNCTION("""COMPUTED_VALUE"""),0)</f>
        <v>0</v>
      </c>
      <c r="BZ108" s="30" t="str">
        <f ca="1">IFERROR(__xludf.DUMMYFUNCTION("""COMPUTED_VALUE"""),"Purísima")</f>
        <v>Purísima</v>
      </c>
      <c r="CA108" s="30" t="str">
        <f ca="1">IFERROR(__xludf.DUMMYFUNCTION("""COMPUTED_VALUE"""),"No")</f>
        <v>No</v>
      </c>
      <c r="CB108" s="30" t="str">
        <f ca="1">IFERROR(__xludf.DUMMYFUNCTION("""COMPUTED_VALUE"""),"No")</f>
        <v>No</v>
      </c>
      <c r="CC108" s="30" t="str">
        <f ca="1">IFERROR(__xludf.DUMMYFUNCTION("""COMPUTED_VALUE"""),"f1758ac2")</f>
        <v>f1758ac2</v>
      </c>
      <c r="CD108" s="29" t="str">
        <f ca="1">IFERROR(__xludf.DUMMYFUNCTION("""COMPUTED_VALUE"""),"Adolescentes (13 a 17 años)")</f>
        <v>Adolescentes (13 a 17 años)</v>
      </c>
      <c r="CE108" s="30" t="str">
        <f ca="1">IFERROR(__xludf.DUMMYFUNCTION("""COMPUTED_VALUE"""),"Dato global")</f>
        <v>Dato global</v>
      </c>
      <c r="CF108" s="30" t="str">
        <f ca="1">IFERROR(__xludf.DUMMYFUNCTION("""COMPUTED_VALUE"""),"NNA (Niñas, Niños y Adolescentes)")</f>
        <v>NNA (Niñas, Niños y Adolescentes)</v>
      </c>
      <c r="CG108" s="30">
        <f ca="1">IFERROR(__xludf.DUMMYFUNCTION("""COMPUTED_VALUE"""),26)</f>
        <v>26</v>
      </c>
      <c r="CI108" s="30" t="str">
        <f ca="1">IFERROR(__xludf.DUMMYFUNCTION("""COMPUTED_VALUE"""),"efe7a53c")</f>
        <v>efe7a53c</v>
      </c>
      <c r="CJ108" s="29" t="str">
        <f ca="1">IFERROR(__xludf.DUMMYFUNCTION("""COMPUTED_VALUE"""),"Regitro_Evidencia_Files_/efe7a53c.Archivo_Evidencia.174823.pptx")</f>
        <v>Regitro_Evidencia_Files_/efe7a53c.Archivo_Evidencia.174823.pptx</v>
      </c>
      <c r="CK108" s="30" t="str">
        <f ca="1">IFERROR(__xludf.DUMMYFUNCTION("""COMPUTED_VALUE"""),"Otro tipo de archivo ")</f>
        <v xml:space="preserve">Otro tipo de archivo </v>
      </c>
      <c r="CL108" s="30"/>
      <c r="CM108" s="30" t="str">
        <f ca="1">IFERROR(__xludf.DUMMYFUNCTION("""COMPUTED_VALUE"""),"Purísima del Rincón")</f>
        <v>Purísima del Rincón</v>
      </c>
      <c r="CN108" s="32" t="e">
        <f ca="1"/>
        <v>#NAME?</v>
      </c>
      <c r="CO108" s="32" t="e">
        <f ca="1"/>
        <v>#NAME?</v>
      </c>
      <c r="CP108" s="32" t="e">
        <f ca="1"/>
        <v>#NAME?</v>
      </c>
      <c r="CQ108" s="32" t="e">
        <f ca="1"/>
        <v>#NAME?</v>
      </c>
      <c r="CR108" s="30" t="e">
        <f ca="1"/>
        <v>#NAME?</v>
      </c>
      <c r="CS108" s="30" t="str">
        <f ca="1">IFERROR(__xludf.DUMMYFUNCTION("""COMPUTED_VALUE"""),"NNA (Niñas, Niños y Adolescentes)")</f>
        <v>NNA (Niñas, Niños y Adolescentes)</v>
      </c>
    </row>
    <row r="109" spans="1:97" ht="13">
      <c r="A109" s="29" t="str">
        <f ca="1">IFERROR(__xludf.DUMMYFUNCTION("""COMPUTED_VALUE"""),"ACT-SCNQ95807")</f>
        <v>ACT-SCNQ95807</v>
      </c>
      <c r="B109" s="30" t="str">
        <f ca="1">IFERROR(__xludf.DUMMYFUNCTION("""COMPUTED_VALUE"""),"SC-260624-142000")</f>
        <v>SC-260624-142000</v>
      </c>
      <c r="C109" s="62">
        <f ca="1">IFERROR(__xludf.DUMMYFUNCTION("""COMPUTED_VALUE"""),46197.5972222222)</f>
        <v>46197.597222222197</v>
      </c>
      <c r="D109" s="30">
        <f ca="1">IFERROR(__xludf.DUMMYFUNCTION("""COMPUTED_VALUE"""),92)</f>
        <v>92</v>
      </c>
      <c r="E109" s="30" t="str">
        <f ca="1">IFERROR(__xludf.DUMMYFUNCTION("""COMPUTED_VALUE"""),"PB3572")</f>
        <v>PB3572</v>
      </c>
      <c r="F10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0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09" s="30" t="str">
        <f ca="1">IFERROR(__xludf.DUMMYFUNCTION("""COMPUTED_VALUE"""),"SUBSECRETARÍA DE DESARROLLO Y PROMOCIÓN ARTÍSTICA Y CULTURAL")</f>
        <v>SUBSECRETARÍA DE DESARROLLO Y PROMOCIÓN ARTÍSTICA Y CULTURAL</v>
      </c>
      <c r="I109" s="34" t="str">
        <f ca="1">IFERROR(__xludf.DUMMYFUNCTION("""COMPUTED_VALUE"""),"DIRECCIÓN GENERAL DE MUSEOS, ARTES VISUALES Y EXPOSICIONES")</f>
        <v>DIRECCIÓN GENERAL DE MUSEOS, ARTES VISUALES Y EXPOSICIONES</v>
      </c>
      <c r="J109" s="30" t="str">
        <f ca="1">IFERROR(__xludf.DUMMYFUNCTION("""COMPUTED_VALUE"""),"Número de Actividades realizadas")</f>
        <v>Número de Actividades realizadas</v>
      </c>
      <c r="K109" s="30">
        <f ca="1">IFERROR(__xludf.DUMMYFUNCTION("""COMPUTED_VALUE"""),800)</f>
        <v>800</v>
      </c>
      <c r="L109" s="30" t="str">
        <f ca="1">IFERROR(__xludf.DUMMYFUNCTION("""COMPUTED_VALUE"""),"Cultural")</f>
        <v>Cultural</v>
      </c>
      <c r="M109" s="30" t="str">
        <f ca="1">IFERROR(__xludf.DUMMYFUNCTION("""COMPUTED_VALUE"""),"Conversemos sobre arte")</f>
        <v>Conversemos sobre arte</v>
      </c>
      <c r="N109"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09" s="30" t="str">
        <f ca="1">IFERROR(__xludf.DUMMYFUNCTION("""COMPUTED_VALUE"""),"Única")</f>
        <v>Única</v>
      </c>
      <c r="P109" s="33">
        <f ca="1">IFERROR(__xludf.DUMMYFUNCTION("""COMPUTED_VALUE"""),46140)</f>
        <v>46140</v>
      </c>
      <c r="Q109" s="33">
        <f ca="1">IFERROR(__xludf.DUMMYFUNCTION("""COMPUTED_VALUE"""),46140)</f>
        <v>46140</v>
      </c>
      <c r="R109" s="30">
        <f ca="1">IFERROR(__xludf.DUMMYFUNCTION("""COMPUTED_VALUE"""),1)</f>
        <v>1</v>
      </c>
      <c r="S109" s="30" t="str">
        <f ca="1">IFERROR(__xludf.DUMMYFUNCTION("""COMPUTED_VALUE"""),"Cultura comunitaria")</f>
        <v>Cultura comunitaria</v>
      </c>
      <c r="T109" s="30" t="str">
        <f ca="1">IFERROR(__xludf.DUMMYFUNCTION("""COMPUTED_VALUE"""),"Mediación cultural")</f>
        <v>Mediación cultural</v>
      </c>
      <c r="U109" s="30" t="str">
        <f ca="1">IFERROR(__xludf.DUMMYFUNCTION("""COMPUTED_VALUE"""),"Visitas escolares")</f>
        <v>Visitas escolares</v>
      </c>
      <c r="V109" s="30" t="str">
        <f ca="1">IFERROR(__xludf.DUMMYFUNCTION("""COMPUTED_VALUE"""),"Ninguna")</f>
        <v>Ninguna</v>
      </c>
      <c r="W109" s="30" t="str">
        <f ca="1">IFERROR(__xludf.DUMMYFUNCTION("""COMPUTED_VALUE"""),"Presencial")</f>
        <v>Presencial</v>
      </c>
      <c r="X109" s="30" t="str">
        <f ca="1">IFERROR(__xludf.DUMMYFUNCTION("""COMPUTED_VALUE"""),"Espacio a Cargo de la Secretaría")</f>
        <v>Espacio a Cargo de la Secretaría</v>
      </c>
      <c r="Y109" s="30" t="str">
        <f ca="1">IFERROR(__xludf.DUMMYFUNCTION("""COMPUTED_VALUE"""),"9")</f>
        <v>9</v>
      </c>
      <c r="Z109" s="30"/>
      <c r="AA109" s="30"/>
      <c r="AB109" s="30" t="b">
        <f ca="1">IFERROR(__xludf.DUMMYFUNCTION("""COMPUTED_VALUE"""),FALSE)</f>
        <v>0</v>
      </c>
      <c r="AC109" s="30"/>
      <c r="AD109" s="30" t="b">
        <f ca="1">IFERROR(__xludf.DUMMYFUNCTION("""COMPUTED_VALUE"""),FALSE)</f>
        <v>0</v>
      </c>
      <c r="AE109" s="30"/>
      <c r="AF109" s="30" t="b">
        <f ca="1">IFERROR(__xludf.DUMMYFUNCTION("""COMPUTED_VALUE"""),FALSE)</f>
        <v>0</v>
      </c>
      <c r="AG109" s="30"/>
      <c r="AH109" s="30" t="str">
        <f ca="1">IFERROR(__xludf.DUMMYFUNCTION("""COMPUTED_VALUE"""),"Sin costo")</f>
        <v>Sin costo</v>
      </c>
      <c r="AI109" s="30"/>
      <c r="AJ109" s="30"/>
      <c r="AK109" s="30"/>
      <c r="AL109" s="30" t="str">
        <f ca="1">IFERROR(__xludf.DUMMYFUNCTION("""COMPUTED_VALUE"""),"ccardonav@guanajuato.gob.mx")</f>
        <v>ccardonav@guanajuato.gob.mx</v>
      </c>
      <c r="AM109" s="30" t="str">
        <f ca="1">IFERROR(__xludf.DUMMYFUNCTION("""COMPUTED_VALUE"""),"Arraigo y empoderamiento cultural de comunidades.")</f>
        <v>Arraigo y empoderamiento cultural de comunidades.</v>
      </c>
      <c r="AN109" s="30" t="str">
        <f ca="1">IFERROR(__xludf.DUMMYFUNCTION("""COMPUTED_VALUE"""),"2 Igualdad")</f>
        <v>2 Igualdad</v>
      </c>
      <c r="AO109" s="30" t="str">
        <f ca="1">IFERROR(__xludf.DUMMYFUNCTION("""COMPUTED_VALUE"""),"2.2 Fortalecer cohesión social")</f>
        <v>2.2 Fortalecer cohesión social</v>
      </c>
      <c r="AP109" s="30" t="str">
        <f ca="1">IFERROR(__xludf.DUMMYFUNCTION("""COMPUTED_VALUE"""),"2.2.1 Participación social comunitaria")</f>
        <v>2.2.1 Participación social comunitaria</v>
      </c>
      <c r="AQ109" s="30" t="str">
        <f ca="1">IFERROR(__xludf.DUMMYFUNCTION("""COMPUTED_VALUE"""),"2.2.1 Participación social comunitaria")</f>
        <v>2.2.1 Participación social comunitaria</v>
      </c>
      <c r="AR109" s="30" t="str">
        <f ca="1">IFERROR(__xludf.DUMMYFUNCTION("""COMPUTED_VALUE"""),"Cooperación")</f>
        <v>Cooperación</v>
      </c>
      <c r="AS109" s="30"/>
      <c r="AT109" s="30" t="str">
        <f ca="1">IFERROR(__xludf.DUMMYFUNCTION("""COMPUTED_VALUE"""),"Impulso a la educación artística y a la profesionalización del sector cultural")</f>
        <v>Impulso a la educación artística y a la profesionalización del sector cultural</v>
      </c>
      <c r="AU109" s="30" t="str">
        <f ca="1">IFERROR(__xludf.DUMMYFUNCTION("""COMPUTED_VALUE"""),"Fortalecimiento de las alianzas entre el sector cultural, educativo y productivo")</f>
        <v>Fortalecimiento de las alianzas entre el sector cultural, educativo y productivo</v>
      </c>
      <c r="AV109"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09"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09" s="30" t="str">
        <f ca="1">IFERROR(__xludf.DUMMYFUNCTION("""COMPUTED_VALUE"""),"Visitas escolares")</f>
        <v>Visitas escolares</v>
      </c>
      <c r="AY109" s="30" t="str">
        <f ca="1">IFERROR(__xludf.DUMMYFUNCTION("""COMPUTED_VALUE"""),"Mediación")</f>
        <v>Mediación</v>
      </c>
      <c r="AZ109" s="30"/>
      <c r="BA109" s="30"/>
      <c r="BB109" s="30"/>
      <c r="BC109" s="30">
        <f ca="1">IFERROR(__xludf.DUMMYFUNCTION("""COMPUTED_VALUE"""),0)</f>
        <v>0</v>
      </c>
      <c r="BD109" s="30"/>
      <c r="BE109" s="30"/>
      <c r="BF109" s="30" t="b">
        <f ca="1">IFERROR(__xludf.DUMMYFUNCTION("""COMPUTED_VALUE"""),FALSE)</f>
        <v>0</v>
      </c>
      <c r="BG109" s="30"/>
      <c r="BH109" s="30"/>
      <c r="BI109" s="30"/>
      <c r="BJ109" s="30"/>
      <c r="BK109" s="30"/>
      <c r="BL109" s="30"/>
      <c r="BM109" s="30" t="str">
        <f ca="1">IFERROR(__xludf.DUMMYFUNCTION("""COMPUTED_VALUE"""),"No")</f>
        <v>No</v>
      </c>
      <c r="BN109" s="30"/>
      <c r="BO109" s="30" t="str">
        <f ca="1">IFERROR(__xludf.DUMMYFUNCTION("""COMPUTED_VALUE"""),"c1c268b3")</f>
        <v>c1c268b3</v>
      </c>
      <c r="BP109" s="29" t="str">
        <f ca="1">IFERROR(__xludf.DUMMYFUNCTION("""COMPUTED_VALUE"""),"Purísima del Rincón")</f>
        <v>Purísima del Rincón</v>
      </c>
      <c r="BQ109" s="30" t="str">
        <f ca="1">IFERROR(__xludf.DUMMYFUNCTION("""COMPUTED_VALUE"""),"Urbano")</f>
        <v>Urbano</v>
      </c>
      <c r="BR109" s="30">
        <f ca="1">IFERROR(__xludf.DUMMYFUNCTION("""COMPUTED_VALUE"""),171)</f>
        <v>171</v>
      </c>
      <c r="BS109" s="30" t="str">
        <f ca="1">IFERROR(__xludf.DUMMYFUNCTION("""COMPUTED_VALUE"""),"Purísima")</f>
        <v>Purísima</v>
      </c>
      <c r="BT109" s="30"/>
      <c r="BU109" s="30" t="str">
        <f ca="1">IFERROR(__xludf.DUMMYFUNCTION("""COMPUTED_VALUE"""),"Si")</f>
        <v>Si</v>
      </c>
      <c r="BV109" s="30" t="str">
        <f ca="1">IFERROR(__xludf.DUMMYFUNCTION("""COMPUTED_VALUE"""),"No")</f>
        <v>No</v>
      </c>
      <c r="BW109" s="30">
        <f ca="1">IFERROR(__xludf.DUMMYFUNCTION("""COMPUTED_VALUE"""),15)</f>
        <v>15</v>
      </c>
      <c r="BX109" s="30">
        <f ca="1">IFERROR(__xludf.DUMMYFUNCTION("""COMPUTED_VALUE"""),15)</f>
        <v>15</v>
      </c>
      <c r="BY109" s="30">
        <f ca="1">IFERROR(__xludf.DUMMYFUNCTION("""COMPUTED_VALUE"""),0)</f>
        <v>0</v>
      </c>
      <c r="BZ109" s="30" t="str">
        <f ca="1">IFERROR(__xludf.DUMMYFUNCTION("""COMPUTED_VALUE"""),"Purísima")</f>
        <v>Purísima</v>
      </c>
      <c r="CA109" s="30" t="str">
        <f ca="1">IFERROR(__xludf.DUMMYFUNCTION("""COMPUTED_VALUE"""),"No")</f>
        <v>No</v>
      </c>
      <c r="CB109" s="30" t="str">
        <f ca="1">IFERROR(__xludf.DUMMYFUNCTION("""COMPUTED_VALUE"""),"No")</f>
        <v>No</v>
      </c>
      <c r="CC109" s="30" t="str">
        <f ca="1">IFERROR(__xludf.DUMMYFUNCTION("""COMPUTED_VALUE"""),"69e8e568")</f>
        <v>69e8e568</v>
      </c>
      <c r="CD109" s="29" t="str">
        <f ca="1">IFERROR(__xludf.DUMMYFUNCTION("""COMPUTED_VALUE"""),"Niñas y Niños (6 a 12 años)")</f>
        <v>Niñas y Niños (6 a 12 años)</v>
      </c>
      <c r="CE109" s="30" t="str">
        <f ca="1">IFERROR(__xludf.DUMMYFUNCTION("""COMPUTED_VALUE"""),"Dato global")</f>
        <v>Dato global</v>
      </c>
      <c r="CF109" s="30" t="str">
        <f ca="1">IFERROR(__xludf.DUMMYFUNCTION("""COMPUTED_VALUE"""),"NNA (Niñas, Niños y Adolescentes)")</f>
        <v>NNA (Niñas, Niños y Adolescentes)</v>
      </c>
      <c r="CG109" s="30">
        <f ca="1">IFERROR(__xludf.DUMMYFUNCTION("""COMPUTED_VALUE"""),17)</f>
        <v>17</v>
      </c>
      <c r="CI109" s="30" t="str">
        <f ca="1">IFERROR(__xludf.DUMMYFUNCTION("""COMPUTED_VALUE"""),"3deb93fd")</f>
        <v>3deb93fd</v>
      </c>
      <c r="CJ109" s="29" t="str">
        <f ca="1">IFERROR(__xludf.DUMMYFUNCTION("""COMPUTED_VALUE"""),"Regitro_Evidencia_Files_/3deb93fd.Archivo_Evidencia.175421.pptx")</f>
        <v>Regitro_Evidencia_Files_/3deb93fd.Archivo_Evidencia.175421.pptx</v>
      </c>
      <c r="CK109" s="30" t="str">
        <f ca="1">IFERROR(__xludf.DUMMYFUNCTION("""COMPUTED_VALUE"""),"Otro tipo de archivo ")</f>
        <v xml:space="preserve">Otro tipo de archivo </v>
      </c>
      <c r="CL109" s="30"/>
      <c r="CM109" s="30" t="str">
        <f ca="1">IFERROR(__xludf.DUMMYFUNCTION("""COMPUTED_VALUE"""),"Purísima del Rincón")</f>
        <v>Purísima del Rincón</v>
      </c>
      <c r="CN109" s="32" t="e">
        <f ca="1"/>
        <v>#NAME?</v>
      </c>
      <c r="CO109" s="32" t="e">
        <f ca="1"/>
        <v>#NAME?</v>
      </c>
      <c r="CP109" s="32" t="e">
        <f ca="1"/>
        <v>#NAME?</v>
      </c>
      <c r="CQ109" s="32" t="e">
        <f ca="1"/>
        <v>#NAME?</v>
      </c>
      <c r="CR109" s="30" t="e">
        <f ca="1"/>
        <v>#NAME?</v>
      </c>
      <c r="CS109" s="30" t="str">
        <f ca="1">IFERROR(__xludf.DUMMYFUNCTION("""COMPUTED_VALUE"""),"NNA (Niñas, Niños y Adolescentes), NNA (Niñas, Niños y Adolescentes)")</f>
        <v>NNA (Niñas, Niños y Adolescentes), NNA (Niñas, Niños y Adolescentes)</v>
      </c>
    </row>
    <row r="110" spans="1:97" ht="13">
      <c r="A110" s="29" t="str">
        <f ca="1">IFERROR(__xludf.DUMMYFUNCTION("""COMPUTED_VALUE"""),"ACT-SCAL57574")</f>
        <v>ACT-SCAL57574</v>
      </c>
      <c r="B110" s="30" t="str">
        <f ca="1">IFERROR(__xludf.DUMMYFUNCTION("""COMPUTED_VALUE"""),"SC-260624-142805")</f>
        <v>SC-260624-142805</v>
      </c>
      <c r="C110" s="62">
        <f ca="1">IFERROR(__xludf.DUMMYFUNCTION("""COMPUTED_VALUE"""),46197.6028356481)</f>
        <v>46197.602835648097</v>
      </c>
      <c r="D110" s="30">
        <f ca="1">IFERROR(__xludf.DUMMYFUNCTION("""COMPUTED_VALUE"""),92)</f>
        <v>92</v>
      </c>
      <c r="E110" s="30" t="str">
        <f ca="1">IFERROR(__xludf.DUMMYFUNCTION("""COMPUTED_VALUE"""),"PB3572")</f>
        <v>PB3572</v>
      </c>
      <c r="F11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0" s="30" t="str">
        <f ca="1">IFERROR(__xludf.DUMMYFUNCTION("""COMPUTED_VALUE"""),"SUBSECRETARÍA DE DESARROLLO Y PROMOCIÓN ARTÍSTICA Y CULTURAL")</f>
        <v>SUBSECRETARÍA DE DESARROLLO Y PROMOCIÓN ARTÍSTICA Y CULTURAL</v>
      </c>
      <c r="I110" s="34" t="str">
        <f ca="1">IFERROR(__xludf.DUMMYFUNCTION("""COMPUTED_VALUE"""),"DIRECCIÓN GENERAL DE MUSEOS, ARTES VISUALES Y EXPOSICIONES")</f>
        <v>DIRECCIÓN GENERAL DE MUSEOS, ARTES VISUALES Y EXPOSICIONES</v>
      </c>
      <c r="J110" s="30" t="str">
        <f ca="1">IFERROR(__xludf.DUMMYFUNCTION("""COMPUTED_VALUE"""),"Número de Actividades realizadas")</f>
        <v>Número de Actividades realizadas</v>
      </c>
      <c r="K110" s="30">
        <f ca="1">IFERROR(__xludf.DUMMYFUNCTION("""COMPUTED_VALUE"""),800)</f>
        <v>800</v>
      </c>
      <c r="L110" s="30" t="str">
        <f ca="1">IFERROR(__xludf.DUMMYFUNCTION("""COMPUTED_VALUE"""),"Cultural")</f>
        <v>Cultural</v>
      </c>
      <c r="M110" s="30" t="str">
        <f ca="1">IFERROR(__xludf.DUMMYFUNCTION("""COMPUTED_VALUE"""),"Conversemos sobre arte")</f>
        <v>Conversemos sobre arte</v>
      </c>
      <c r="N110"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10" s="30" t="str">
        <f ca="1">IFERROR(__xludf.DUMMYFUNCTION("""COMPUTED_VALUE"""),"Única")</f>
        <v>Única</v>
      </c>
      <c r="P110" s="33">
        <f ca="1">IFERROR(__xludf.DUMMYFUNCTION("""COMPUTED_VALUE"""),46154)</f>
        <v>46154</v>
      </c>
      <c r="Q110" s="33">
        <f ca="1">IFERROR(__xludf.DUMMYFUNCTION("""COMPUTED_VALUE"""),46154)</f>
        <v>46154</v>
      </c>
      <c r="R110" s="30">
        <f ca="1">IFERROR(__xludf.DUMMYFUNCTION("""COMPUTED_VALUE"""),1)</f>
        <v>1</v>
      </c>
      <c r="S110" s="30" t="str">
        <f ca="1">IFERROR(__xludf.DUMMYFUNCTION("""COMPUTED_VALUE"""),"Cultura comunitaria")</f>
        <v>Cultura comunitaria</v>
      </c>
      <c r="T110" s="30" t="str">
        <f ca="1">IFERROR(__xludf.DUMMYFUNCTION("""COMPUTED_VALUE"""),"Mediación cultural")</f>
        <v>Mediación cultural</v>
      </c>
      <c r="U110" s="30" t="str">
        <f ca="1">IFERROR(__xludf.DUMMYFUNCTION("""COMPUTED_VALUE"""),"Visitas escolares")</f>
        <v>Visitas escolares</v>
      </c>
      <c r="V110" s="30" t="str">
        <f ca="1">IFERROR(__xludf.DUMMYFUNCTION("""COMPUTED_VALUE"""),"Ninguna")</f>
        <v>Ninguna</v>
      </c>
      <c r="W110" s="30" t="str">
        <f ca="1">IFERROR(__xludf.DUMMYFUNCTION("""COMPUTED_VALUE"""),"Presencial")</f>
        <v>Presencial</v>
      </c>
      <c r="X110" s="30" t="str">
        <f ca="1">IFERROR(__xludf.DUMMYFUNCTION("""COMPUTED_VALUE"""),"Espacio a Cargo de la Secretaría")</f>
        <v>Espacio a Cargo de la Secretaría</v>
      </c>
      <c r="Y110" s="30" t="str">
        <f ca="1">IFERROR(__xludf.DUMMYFUNCTION("""COMPUTED_VALUE"""),"9")</f>
        <v>9</v>
      </c>
      <c r="Z110" s="30"/>
      <c r="AA110" s="30"/>
      <c r="AB110" s="30" t="b">
        <f ca="1">IFERROR(__xludf.DUMMYFUNCTION("""COMPUTED_VALUE"""),FALSE)</f>
        <v>0</v>
      </c>
      <c r="AC110" s="30"/>
      <c r="AD110" s="30" t="b">
        <f ca="1">IFERROR(__xludf.DUMMYFUNCTION("""COMPUTED_VALUE"""),FALSE)</f>
        <v>0</v>
      </c>
      <c r="AE110" s="30"/>
      <c r="AF110" s="30" t="b">
        <f ca="1">IFERROR(__xludf.DUMMYFUNCTION("""COMPUTED_VALUE"""),FALSE)</f>
        <v>0</v>
      </c>
      <c r="AG110" s="30"/>
      <c r="AH110" s="30" t="str">
        <f ca="1">IFERROR(__xludf.DUMMYFUNCTION("""COMPUTED_VALUE"""),"Sin costo")</f>
        <v>Sin costo</v>
      </c>
      <c r="AI110" s="30"/>
      <c r="AJ110" s="30"/>
      <c r="AK110" s="30"/>
      <c r="AL110" s="30" t="str">
        <f ca="1">IFERROR(__xludf.DUMMYFUNCTION("""COMPUTED_VALUE"""),"ccardonav@guanajuato.gob.mx")</f>
        <v>ccardonav@guanajuato.gob.mx</v>
      </c>
      <c r="AM110" s="30" t="str">
        <f ca="1">IFERROR(__xludf.DUMMYFUNCTION("""COMPUTED_VALUE"""),"Arraigo y empoderamiento cultural de comunidades.")</f>
        <v>Arraigo y empoderamiento cultural de comunidades.</v>
      </c>
      <c r="AN110" s="30" t="str">
        <f ca="1">IFERROR(__xludf.DUMMYFUNCTION("""COMPUTED_VALUE"""),"2 Igualdad")</f>
        <v>2 Igualdad</v>
      </c>
      <c r="AO110" s="30" t="str">
        <f ca="1">IFERROR(__xludf.DUMMYFUNCTION("""COMPUTED_VALUE"""),"2.2 Fortalecer cohesión social")</f>
        <v>2.2 Fortalecer cohesión social</v>
      </c>
      <c r="AP110" s="30" t="str">
        <f ca="1">IFERROR(__xludf.DUMMYFUNCTION("""COMPUTED_VALUE"""),"2.2.1 Participación social comunitaria")</f>
        <v>2.2.1 Participación social comunitaria</v>
      </c>
      <c r="AQ110" s="30" t="str">
        <f ca="1">IFERROR(__xludf.DUMMYFUNCTION("""COMPUTED_VALUE"""),"2.2.1 Participación social comunitaria")</f>
        <v>2.2.1 Participación social comunitaria</v>
      </c>
      <c r="AR110" s="30" t="str">
        <f ca="1">IFERROR(__xludf.DUMMYFUNCTION("""COMPUTED_VALUE"""),"Cooperación")</f>
        <v>Cooperación</v>
      </c>
      <c r="AS110" s="30"/>
      <c r="AT110" s="30" t="str">
        <f ca="1">IFERROR(__xludf.DUMMYFUNCTION("""COMPUTED_VALUE"""),"Impulso a la educación artística y a la profesionalización del sector cultural")</f>
        <v>Impulso a la educación artística y a la profesionalización del sector cultural</v>
      </c>
      <c r="AU110" s="30" t="str">
        <f ca="1">IFERROR(__xludf.DUMMYFUNCTION("""COMPUTED_VALUE"""),"Fortalecimiento de las alianzas entre el sector cultural, educativo y productivo")</f>
        <v>Fortalecimiento de las alianzas entre el sector cultural, educativo y productivo</v>
      </c>
      <c r="AV110"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0"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0" s="30" t="str">
        <f ca="1">IFERROR(__xludf.DUMMYFUNCTION("""COMPUTED_VALUE"""),"Taller")</f>
        <v>Taller</v>
      </c>
      <c r="AY110" s="30" t="str">
        <f ca="1">IFERROR(__xludf.DUMMYFUNCTION("""COMPUTED_VALUE"""),"Mediación")</f>
        <v>Mediación</v>
      </c>
      <c r="AZ110" s="30"/>
      <c r="BA110" s="30"/>
      <c r="BB110" s="30"/>
      <c r="BC110" s="30">
        <f ca="1">IFERROR(__xludf.DUMMYFUNCTION("""COMPUTED_VALUE"""),0)</f>
        <v>0</v>
      </c>
      <c r="BD110" s="30"/>
      <c r="BE110" s="30"/>
      <c r="BF110" s="30" t="b">
        <f ca="1">IFERROR(__xludf.DUMMYFUNCTION("""COMPUTED_VALUE"""),FALSE)</f>
        <v>0</v>
      </c>
      <c r="BG110" s="30"/>
      <c r="BH110" s="30"/>
      <c r="BI110" s="30"/>
      <c r="BJ110" s="30"/>
      <c r="BK110" s="30"/>
      <c r="BL110" s="30"/>
      <c r="BM110" s="30" t="str">
        <f ca="1">IFERROR(__xludf.DUMMYFUNCTION("""COMPUTED_VALUE"""),"No")</f>
        <v>No</v>
      </c>
      <c r="BN110" s="30"/>
      <c r="BO110" s="30" t="str">
        <f ca="1">IFERROR(__xludf.DUMMYFUNCTION("""COMPUTED_VALUE"""),"714bdf49")</f>
        <v>714bdf49</v>
      </c>
      <c r="BP110" s="29" t="str">
        <f ca="1">IFERROR(__xludf.DUMMYFUNCTION("""COMPUTED_VALUE"""),"Purísima del Rincón")</f>
        <v>Purísima del Rincón</v>
      </c>
      <c r="BQ110" s="30" t="str">
        <f ca="1">IFERROR(__xludf.DUMMYFUNCTION("""COMPUTED_VALUE"""),"Urbano")</f>
        <v>Urbano</v>
      </c>
      <c r="BR110" s="30">
        <f ca="1">IFERROR(__xludf.DUMMYFUNCTION("""COMPUTED_VALUE"""),171)</f>
        <v>171</v>
      </c>
      <c r="BS110" s="30" t="str">
        <f ca="1">IFERROR(__xludf.DUMMYFUNCTION("""COMPUTED_VALUE"""),"Purísima")</f>
        <v>Purísima</v>
      </c>
      <c r="BT110" s="30"/>
      <c r="BU110" s="30" t="str">
        <f ca="1">IFERROR(__xludf.DUMMYFUNCTION("""COMPUTED_VALUE"""),"Si")</f>
        <v>Si</v>
      </c>
      <c r="BV110" s="30" t="str">
        <f ca="1">IFERROR(__xludf.DUMMYFUNCTION("""COMPUTED_VALUE"""),"No")</f>
        <v>No</v>
      </c>
      <c r="BW110" s="30">
        <f ca="1">IFERROR(__xludf.DUMMYFUNCTION("""COMPUTED_VALUE"""),61)</f>
        <v>61</v>
      </c>
      <c r="BX110" s="30">
        <f ca="1">IFERROR(__xludf.DUMMYFUNCTION("""COMPUTED_VALUE"""),61)</f>
        <v>61</v>
      </c>
      <c r="BY110" s="30">
        <f ca="1">IFERROR(__xludf.DUMMYFUNCTION("""COMPUTED_VALUE"""),0)</f>
        <v>0</v>
      </c>
      <c r="BZ110" s="30" t="str">
        <f ca="1">IFERROR(__xludf.DUMMYFUNCTION("""COMPUTED_VALUE"""),"Purísima")</f>
        <v>Purísima</v>
      </c>
      <c r="CA110" s="30" t="str">
        <f ca="1">IFERROR(__xludf.DUMMYFUNCTION("""COMPUTED_VALUE"""),"No")</f>
        <v>No</v>
      </c>
      <c r="CB110" s="30" t="str">
        <f ca="1">IFERROR(__xludf.DUMMYFUNCTION("""COMPUTED_VALUE"""),"No")</f>
        <v>No</v>
      </c>
      <c r="CC110" s="30" t="str">
        <f ca="1">IFERROR(__xludf.DUMMYFUNCTION("""COMPUTED_VALUE"""),"0e5b38b6")</f>
        <v>0e5b38b6</v>
      </c>
      <c r="CD110" s="29" t="str">
        <f ca="1">IFERROR(__xludf.DUMMYFUNCTION("""COMPUTED_VALUE"""),"Jóvenes (18 a 29 años)")</f>
        <v>Jóvenes (18 a 29 años)</v>
      </c>
      <c r="CE110" s="30" t="str">
        <f ca="1">IFERROR(__xludf.DUMMYFUNCTION("""COMPUTED_VALUE"""),"Dato global")</f>
        <v>Dato global</v>
      </c>
      <c r="CF110" s="30" t="str">
        <f ca="1">IFERROR(__xludf.DUMMYFUNCTION("""COMPUTED_VALUE"""),"Ninguno (Población General)")</f>
        <v>Ninguno (Población General)</v>
      </c>
      <c r="CG110" s="30">
        <f ca="1">IFERROR(__xludf.DUMMYFUNCTION("""COMPUTED_VALUE"""),22)</f>
        <v>22</v>
      </c>
      <c r="CI110" s="30" t="str">
        <f ca="1">IFERROR(__xludf.DUMMYFUNCTION("""COMPUTED_VALUE"""),"3c38b768")</f>
        <v>3c38b768</v>
      </c>
      <c r="CJ110" s="29" t="str">
        <f ca="1">IFERROR(__xludf.DUMMYFUNCTION("""COMPUTED_VALUE"""),"Regitro_Evidencia_Files_/3c38b768.Archivo_Evidencia.183307.pptx")</f>
        <v>Regitro_Evidencia_Files_/3c38b768.Archivo_Evidencia.183307.pptx</v>
      </c>
      <c r="CK110" s="30" t="str">
        <f ca="1">IFERROR(__xludf.DUMMYFUNCTION("""COMPUTED_VALUE"""),"Otro tipo de archivo ")</f>
        <v xml:space="preserve">Otro tipo de archivo </v>
      </c>
      <c r="CL110" s="30"/>
      <c r="CM110" s="30" t="str">
        <f ca="1">IFERROR(__xludf.DUMMYFUNCTION("""COMPUTED_VALUE"""),"Purísima del Rincón")</f>
        <v>Purísima del Rincón</v>
      </c>
      <c r="CN110" s="32" t="e">
        <f ca="1"/>
        <v>#NAME?</v>
      </c>
      <c r="CO110" s="32" t="e">
        <f ca="1"/>
        <v>#NAME?</v>
      </c>
      <c r="CP110" s="32" t="e">
        <f ca="1"/>
        <v>#NAME?</v>
      </c>
      <c r="CQ110" s="32" t="e">
        <f ca="1"/>
        <v>#NAME?</v>
      </c>
      <c r="CR110" s="30" t="e">
        <f ca="1"/>
        <v>#NAME?</v>
      </c>
      <c r="CS110" s="30" t="str">
        <f ca="1">IFERROR(__xludf.DUMMYFUNCTION("""COMPUTED_VALUE"""),"Ninguno (Población General), Ninguno (Población General), Ninguno (Población General)")</f>
        <v>Ninguno (Población General), Ninguno (Población General), Ninguno (Población General)</v>
      </c>
    </row>
    <row r="111" spans="1:97" ht="13">
      <c r="A111" s="29" t="str">
        <f ca="1">IFERROR(__xludf.DUMMYFUNCTION("""COMPUTED_VALUE"""),"ACT-SCCA19851")</f>
        <v>ACT-SCCA19851</v>
      </c>
      <c r="B111" s="30" t="str">
        <f ca="1">IFERROR(__xludf.DUMMYFUNCTION("""COMPUTED_VALUE"""),"SC-260624-144609")</f>
        <v>SC-260624-144609</v>
      </c>
      <c r="C111" s="62">
        <f ca="1">IFERROR(__xludf.DUMMYFUNCTION("""COMPUTED_VALUE"""),46197.6153819444)</f>
        <v>46197.615381944401</v>
      </c>
      <c r="D111" s="30">
        <f ca="1">IFERROR(__xludf.DUMMYFUNCTION("""COMPUTED_VALUE"""),92)</f>
        <v>92</v>
      </c>
      <c r="E111" s="30" t="str">
        <f ca="1">IFERROR(__xludf.DUMMYFUNCTION("""COMPUTED_VALUE"""),"PB3572")</f>
        <v>PB3572</v>
      </c>
      <c r="F11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1" s="30" t="str">
        <f ca="1">IFERROR(__xludf.DUMMYFUNCTION("""COMPUTED_VALUE"""),"SUBSECRETARÍA DE DESARROLLO Y PROMOCIÓN ARTÍSTICA Y CULTURAL")</f>
        <v>SUBSECRETARÍA DE DESARROLLO Y PROMOCIÓN ARTÍSTICA Y CULTURAL</v>
      </c>
      <c r="I111" s="34" t="str">
        <f ca="1">IFERROR(__xludf.DUMMYFUNCTION("""COMPUTED_VALUE"""),"DIRECCIÓN GENERAL DE MUSEOS, ARTES VISUALES Y EXPOSICIONES")</f>
        <v>DIRECCIÓN GENERAL DE MUSEOS, ARTES VISUALES Y EXPOSICIONES</v>
      </c>
      <c r="J111" s="30" t="str">
        <f ca="1">IFERROR(__xludf.DUMMYFUNCTION("""COMPUTED_VALUE"""),"Número de Actividades realizadas")</f>
        <v>Número de Actividades realizadas</v>
      </c>
      <c r="K111" s="30">
        <f ca="1">IFERROR(__xludf.DUMMYFUNCTION("""COMPUTED_VALUE"""),800)</f>
        <v>800</v>
      </c>
      <c r="L111" s="30" t="str">
        <f ca="1">IFERROR(__xludf.DUMMYFUNCTION("""COMPUTED_VALUE"""),"Cultural")</f>
        <v>Cultural</v>
      </c>
      <c r="M111" s="30" t="str">
        <f ca="1">IFERROR(__xludf.DUMMYFUNCTION("""COMPUTED_VALUE"""),"Visita especial Universidad de León, facultad de arquitectura")</f>
        <v>Visita especial Universidad de León, facultad de arquitectura</v>
      </c>
      <c r="N111" s="30" t="str">
        <f ca="1">IFERROR(__xludf.DUMMYFUNCTION("""COMPUTED_VALUE"""),"Visita de la UDL para compartir y adquirir conocimientos arquitectonicos acerca del edificio del museo Hermenegildo Bustos y aprender de la colección de arte que este alberga.")</f>
        <v>Visita de la UDL para compartir y adquirir conocimientos arquitectonicos acerca del edificio del museo Hermenegildo Bustos y aprender de la colección de arte que este alberga.</v>
      </c>
      <c r="O111" s="30" t="str">
        <f ca="1">IFERROR(__xludf.DUMMYFUNCTION("""COMPUTED_VALUE"""),"Única")</f>
        <v>Única</v>
      </c>
      <c r="P111" s="33">
        <f ca="1">IFERROR(__xludf.DUMMYFUNCTION("""COMPUTED_VALUE"""),46163)</f>
        <v>46163</v>
      </c>
      <c r="Q111" s="33">
        <f ca="1">IFERROR(__xludf.DUMMYFUNCTION("""COMPUTED_VALUE"""),46163)</f>
        <v>46163</v>
      </c>
      <c r="R111" s="30">
        <f ca="1">IFERROR(__xludf.DUMMYFUNCTION("""COMPUTED_VALUE"""),1)</f>
        <v>1</v>
      </c>
      <c r="S111" s="30" t="str">
        <f ca="1">IFERROR(__xludf.DUMMYFUNCTION("""COMPUTED_VALUE"""),"Cultura comunitaria")</f>
        <v>Cultura comunitaria</v>
      </c>
      <c r="T111" s="30" t="str">
        <f ca="1">IFERROR(__xludf.DUMMYFUNCTION("""COMPUTED_VALUE"""),"Mediación cultural")</f>
        <v>Mediación cultural</v>
      </c>
      <c r="U111" s="30" t="str">
        <f ca="1">IFERROR(__xludf.DUMMYFUNCTION("""COMPUTED_VALUE"""),"Visitas escolares")</f>
        <v>Visitas escolares</v>
      </c>
      <c r="V111" s="30" t="str">
        <f ca="1">IFERROR(__xludf.DUMMYFUNCTION("""COMPUTED_VALUE"""),"Ninguna")</f>
        <v>Ninguna</v>
      </c>
      <c r="W111" s="30" t="str">
        <f ca="1">IFERROR(__xludf.DUMMYFUNCTION("""COMPUTED_VALUE"""),"Presencial")</f>
        <v>Presencial</v>
      </c>
      <c r="X111" s="30" t="str">
        <f ca="1">IFERROR(__xludf.DUMMYFUNCTION("""COMPUTED_VALUE"""),"Espacio a Cargo de la Secretaría")</f>
        <v>Espacio a Cargo de la Secretaría</v>
      </c>
      <c r="Y111" s="30" t="str">
        <f ca="1">IFERROR(__xludf.DUMMYFUNCTION("""COMPUTED_VALUE"""),"9")</f>
        <v>9</v>
      </c>
      <c r="Z111" s="30"/>
      <c r="AA111" s="30"/>
      <c r="AB111" s="30" t="b">
        <f ca="1">IFERROR(__xludf.DUMMYFUNCTION("""COMPUTED_VALUE"""),FALSE)</f>
        <v>0</v>
      </c>
      <c r="AC111" s="30"/>
      <c r="AD111" s="30" t="b">
        <f ca="1">IFERROR(__xludf.DUMMYFUNCTION("""COMPUTED_VALUE"""),FALSE)</f>
        <v>0</v>
      </c>
      <c r="AE111" s="30"/>
      <c r="AF111" s="30" t="b">
        <f ca="1">IFERROR(__xludf.DUMMYFUNCTION("""COMPUTED_VALUE"""),FALSE)</f>
        <v>0</v>
      </c>
      <c r="AG111" s="30"/>
      <c r="AH111" s="30" t="str">
        <f ca="1">IFERROR(__xludf.DUMMYFUNCTION("""COMPUTED_VALUE"""),"Sin costo")</f>
        <v>Sin costo</v>
      </c>
      <c r="AI111" s="30"/>
      <c r="AJ111" s="30"/>
      <c r="AK111" s="30"/>
      <c r="AL111" s="30" t="str">
        <f ca="1">IFERROR(__xludf.DUMMYFUNCTION("""COMPUTED_VALUE"""),"ccardonav@guanajuato.gob.mx")</f>
        <v>ccardonav@guanajuato.gob.mx</v>
      </c>
      <c r="AM111" s="30" t="str">
        <f ca="1">IFERROR(__xludf.DUMMYFUNCTION("""COMPUTED_VALUE"""),"Arraigo y empoderamiento cultural de comunidades.")</f>
        <v>Arraigo y empoderamiento cultural de comunidades.</v>
      </c>
      <c r="AN111" s="30" t="str">
        <f ca="1">IFERROR(__xludf.DUMMYFUNCTION("""COMPUTED_VALUE"""),"2 Igualdad")</f>
        <v>2 Igualdad</v>
      </c>
      <c r="AO111" s="30" t="str">
        <f ca="1">IFERROR(__xludf.DUMMYFUNCTION("""COMPUTED_VALUE"""),"2.2 Fortalecer cohesión social")</f>
        <v>2.2 Fortalecer cohesión social</v>
      </c>
      <c r="AP111" s="30" t="str">
        <f ca="1">IFERROR(__xludf.DUMMYFUNCTION("""COMPUTED_VALUE"""),"2.2.1 Participación social comunitaria")</f>
        <v>2.2.1 Participación social comunitaria</v>
      </c>
      <c r="AQ111" s="30" t="str">
        <f ca="1">IFERROR(__xludf.DUMMYFUNCTION("""COMPUTED_VALUE"""),"2.2.1 Participación social comunitaria")</f>
        <v>2.2.1 Participación social comunitaria</v>
      </c>
      <c r="AR111" s="30" t="str">
        <f ca="1">IFERROR(__xludf.DUMMYFUNCTION("""COMPUTED_VALUE"""),"Cooperación")</f>
        <v>Cooperación</v>
      </c>
      <c r="AS111" s="30"/>
      <c r="AT111" s="30" t="str">
        <f ca="1">IFERROR(__xludf.DUMMYFUNCTION("""COMPUTED_VALUE"""),"Impulso a la educación artística y a la profesionalización del sector cultural")</f>
        <v>Impulso a la educación artística y a la profesionalización del sector cultural</v>
      </c>
      <c r="AU111" s="30" t="str">
        <f ca="1">IFERROR(__xludf.DUMMYFUNCTION("""COMPUTED_VALUE"""),"Fortalecimiento de las alianzas entre el sector cultural, educativo y productivo")</f>
        <v>Fortalecimiento de las alianzas entre el sector cultural, educativo y productivo</v>
      </c>
      <c r="AV111"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1"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1" s="30" t="str">
        <f ca="1">IFERROR(__xludf.DUMMYFUNCTION("""COMPUTED_VALUE"""),"Taller")</f>
        <v>Taller</v>
      </c>
      <c r="AY111" s="30" t="str">
        <f ca="1">IFERROR(__xludf.DUMMYFUNCTION("""COMPUTED_VALUE"""),"Mediación")</f>
        <v>Mediación</v>
      </c>
      <c r="AZ111" s="30"/>
      <c r="BA111" s="30"/>
      <c r="BB111" s="30"/>
      <c r="BC111" s="30">
        <f ca="1">IFERROR(__xludf.DUMMYFUNCTION("""COMPUTED_VALUE"""),0)</f>
        <v>0</v>
      </c>
      <c r="BD111" s="30"/>
      <c r="BE111" s="30"/>
      <c r="BF111" s="30" t="b">
        <f ca="1">IFERROR(__xludf.DUMMYFUNCTION("""COMPUTED_VALUE"""),FALSE)</f>
        <v>0</v>
      </c>
      <c r="BG111" s="30"/>
      <c r="BH111" s="30"/>
      <c r="BI111" s="30"/>
      <c r="BJ111" s="30"/>
      <c r="BK111" s="30"/>
      <c r="BL111" s="30"/>
      <c r="BM111" s="30" t="str">
        <f ca="1">IFERROR(__xludf.DUMMYFUNCTION("""COMPUTED_VALUE"""),"No")</f>
        <v>No</v>
      </c>
      <c r="BN111" s="30"/>
      <c r="BO111" s="30" t="str">
        <f ca="1">IFERROR(__xludf.DUMMYFUNCTION("""COMPUTED_VALUE"""),"39e676a2")</f>
        <v>39e676a2</v>
      </c>
      <c r="BP111" s="29" t="str">
        <f ca="1">IFERROR(__xludf.DUMMYFUNCTION("""COMPUTED_VALUE"""),"Purísima del Rincón")</f>
        <v>Purísima del Rincón</v>
      </c>
      <c r="BQ111" s="30" t="str">
        <f ca="1">IFERROR(__xludf.DUMMYFUNCTION("""COMPUTED_VALUE"""),"Urbano")</f>
        <v>Urbano</v>
      </c>
      <c r="BR111" s="30">
        <f ca="1">IFERROR(__xludf.DUMMYFUNCTION("""COMPUTED_VALUE"""),171)</f>
        <v>171</v>
      </c>
      <c r="BS111" s="30" t="str">
        <f ca="1">IFERROR(__xludf.DUMMYFUNCTION("""COMPUTED_VALUE"""),"Purísima")</f>
        <v>Purísima</v>
      </c>
      <c r="BT111" s="30"/>
      <c r="BU111" s="30" t="str">
        <f ca="1">IFERROR(__xludf.DUMMYFUNCTION("""COMPUTED_VALUE"""),"Si")</f>
        <v>Si</v>
      </c>
      <c r="BV111" s="30" t="str">
        <f ca="1">IFERROR(__xludf.DUMMYFUNCTION("""COMPUTED_VALUE"""),"No")</f>
        <v>No</v>
      </c>
      <c r="BW111" s="30">
        <f ca="1">IFERROR(__xludf.DUMMYFUNCTION("""COMPUTED_VALUE"""),30)</f>
        <v>30</v>
      </c>
      <c r="BX111" s="30">
        <f ca="1">IFERROR(__xludf.DUMMYFUNCTION("""COMPUTED_VALUE"""),30)</f>
        <v>30</v>
      </c>
      <c r="BY111" s="30">
        <f ca="1">IFERROR(__xludf.DUMMYFUNCTION("""COMPUTED_VALUE"""),0)</f>
        <v>0</v>
      </c>
      <c r="BZ111" s="30" t="str">
        <f ca="1">IFERROR(__xludf.DUMMYFUNCTION("""COMPUTED_VALUE"""),"Purísima")</f>
        <v>Purísima</v>
      </c>
      <c r="CA111" s="30" t="str">
        <f ca="1">IFERROR(__xludf.DUMMYFUNCTION("""COMPUTED_VALUE"""),"No")</f>
        <v>No</v>
      </c>
      <c r="CB111" s="30" t="str">
        <f ca="1">IFERROR(__xludf.DUMMYFUNCTION("""COMPUTED_VALUE"""),"No")</f>
        <v>No</v>
      </c>
      <c r="CC111" s="30" t="str">
        <f ca="1">IFERROR(__xludf.DUMMYFUNCTION("""COMPUTED_VALUE"""),"845ef4aa")</f>
        <v>845ef4aa</v>
      </c>
      <c r="CD111" s="29" t="str">
        <f ca="1">IFERROR(__xludf.DUMMYFUNCTION("""COMPUTED_VALUE"""),"Niñas y Niños (6 a 12 años)")</f>
        <v>Niñas y Niños (6 a 12 años)</v>
      </c>
      <c r="CE111" s="30" t="str">
        <f ca="1">IFERROR(__xludf.DUMMYFUNCTION("""COMPUTED_VALUE"""),"Dato global")</f>
        <v>Dato global</v>
      </c>
      <c r="CF111" s="30" t="str">
        <f ca="1">IFERROR(__xludf.DUMMYFUNCTION("""COMPUTED_VALUE"""),"NNA (Niñas, Niños y Adolescentes)")</f>
        <v>NNA (Niñas, Niños y Adolescentes)</v>
      </c>
      <c r="CG111" s="30">
        <f ca="1">IFERROR(__xludf.DUMMYFUNCTION("""COMPUTED_VALUE"""),74)</f>
        <v>74</v>
      </c>
      <c r="CI111" s="30" t="str">
        <f ca="1">IFERROR(__xludf.DUMMYFUNCTION("""COMPUTED_VALUE"""),"c352d57e")</f>
        <v>c352d57e</v>
      </c>
      <c r="CJ111" s="29" t="str">
        <f ca="1">IFERROR(__xludf.DUMMYFUNCTION("""COMPUTED_VALUE"""),"Regitro_Evidencia_Files_/c352d57e.Archivo_Evidencia.183932.pptx")</f>
        <v>Regitro_Evidencia_Files_/c352d57e.Archivo_Evidencia.183932.pptx</v>
      </c>
      <c r="CK111" s="30" t="str">
        <f ca="1">IFERROR(__xludf.DUMMYFUNCTION("""COMPUTED_VALUE"""),"Otro tipo de archivo ")</f>
        <v xml:space="preserve">Otro tipo de archivo </v>
      </c>
      <c r="CL111" s="30"/>
      <c r="CM111" s="30" t="str">
        <f ca="1">IFERROR(__xludf.DUMMYFUNCTION("""COMPUTED_VALUE"""),"Purísima del Rincón")</f>
        <v>Purísima del Rincón</v>
      </c>
      <c r="CN111" s="32" t="e">
        <f ca="1"/>
        <v>#NAME?</v>
      </c>
      <c r="CO111" s="32" t="e">
        <f ca="1"/>
        <v>#NAME?</v>
      </c>
      <c r="CP111" s="32" t="e">
        <f ca="1"/>
        <v>#NAME?</v>
      </c>
      <c r="CQ111" s="32" t="e">
        <f ca="1"/>
        <v>#NAME?</v>
      </c>
      <c r="CR111" s="30" t="e">
        <f ca="1"/>
        <v>#NAME?</v>
      </c>
      <c r="CS111" s="30" t="str">
        <f ca="1">IFERROR(__xludf.DUMMYFUNCTION("""COMPUTED_VALUE"""),"NNA (Niñas, Niños y Adolescentes)")</f>
        <v>NNA (Niñas, Niños y Adolescentes)</v>
      </c>
    </row>
    <row r="112" spans="1:97" ht="13">
      <c r="A112" s="29" t="str">
        <f ca="1">IFERROR(__xludf.DUMMYFUNCTION("""COMPUTED_VALUE"""),"ACT-SCWV81142")</f>
        <v>ACT-SCWV81142</v>
      </c>
      <c r="B112" s="30" t="str">
        <f ca="1">IFERROR(__xludf.DUMMYFUNCTION("""COMPUTED_VALUE"""),"SC-260624-145125")</f>
        <v>SC-260624-145125</v>
      </c>
      <c r="C112" s="62">
        <f ca="1">IFERROR(__xludf.DUMMYFUNCTION("""COMPUTED_VALUE"""),46197.6190393518)</f>
        <v>46197.619039351797</v>
      </c>
      <c r="D112" s="30">
        <f ca="1">IFERROR(__xludf.DUMMYFUNCTION("""COMPUTED_VALUE"""),92)</f>
        <v>92</v>
      </c>
      <c r="E112" s="30" t="str">
        <f ca="1">IFERROR(__xludf.DUMMYFUNCTION("""COMPUTED_VALUE"""),"PB3572")</f>
        <v>PB3572</v>
      </c>
      <c r="F11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2" s="30" t="str">
        <f ca="1">IFERROR(__xludf.DUMMYFUNCTION("""COMPUTED_VALUE"""),"SUBSECRETARÍA DE DESARROLLO Y PROMOCIÓN ARTÍSTICA Y CULTURAL")</f>
        <v>SUBSECRETARÍA DE DESARROLLO Y PROMOCIÓN ARTÍSTICA Y CULTURAL</v>
      </c>
      <c r="I112" s="34" t="str">
        <f ca="1">IFERROR(__xludf.DUMMYFUNCTION("""COMPUTED_VALUE"""),"DIRECCIÓN GENERAL DE MUSEOS, ARTES VISUALES Y EXPOSICIONES")</f>
        <v>DIRECCIÓN GENERAL DE MUSEOS, ARTES VISUALES Y EXPOSICIONES</v>
      </c>
      <c r="J112" s="30" t="str">
        <f ca="1">IFERROR(__xludf.DUMMYFUNCTION("""COMPUTED_VALUE"""),"Número de Actividades realizadas")</f>
        <v>Número de Actividades realizadas</v>
      </c>
      <c r="K112" s="30">
        <f ca="1">IFERROR(__xludf.DUMMYFUNCTION("""COMPUTED_VALUE"""),800)</f>
        <v>800</v>
      </c>
      <c r="L112" s="30" t="str">
        <f ca="1">IFERROR(__xludf.DUMMYFUNCTION("""COMPUTED_VALUE"""),"Cultural")</f>
        <v>Cultural</v>
      </c>
      <c r="M112" s="30" t="str">
        <f ca="1">IFERROR(__xludf.DUMMYFUNCTION("""COMPUTED_VALUE"""),"Visita especial Club de Leones Convención")</f>
        <v>Visita especial Club de Leones Convención</v>
      </c>
      <c r="N112" s="30" t="str">
        <f ca="1">IFERROR(__xludf.DUMMYFUNCTION("""COMPUTED_VALUE"""),"Visita de miembros del Club de Leones de diferentes municipios para conocer acerca de la obra de Hermenegildo Bustos y la historia de Purísima del Rincón.")</f>
        <v>Visita de miembros del Club de Leones de diferentes municipios para conocer acerca de la obra de Hermenegildo Bustos y la historia de Purísima del Rincón.</v>
      </c>
      <c r="O112" s="30" t="str">
        <f ca="1">IFERROR(__xludf.DUMMYFUNCTION("""COMPUTED_VALUE"""),"Única")</f>
        <v>Única</v>
      </c>
      <c r="P112" s="33">
        <f ca="1">IFERROR(__xludf.DUMMYFUNCTION("""COMPUTED_VALUE"""),46165)</f>
        <v>46165</v>
      </c>
      <c r="Q112" s="33">
        <f ca="1">IFERROR(__xludf.DUMMYFUNCTION("""COMPUTED_VALUE"""),46165)</f>
        <v>46165</v>
      </c>
      <c r="R112" s="30">
        <f ca="1">IFERROR(__xludf.DUMMYFUNCTION("""COMPUTED_VALUE"""),1)</f>
        <v>1</v>
      </c>
      <c r="S112" s="30" t="str">
        <f ca="1">IFERROR(__xludf.DUMMYFUNCTION("""COMPUTED_VALUE"""),"Cultura comunitaria")</f>
        <v>Cultura comunitaria</v>
      </c>
      <c r="T112" s="30" t="str">
        <f ca="1">IFERROR(__xludf.DUMMYFUNCTION("""COMPUTED_VALUE"""),"Mediación cultural")</f>
        <v>Mediación cultural</v>
      </c>
      <c r="U112" s="30" t="str">
        <f ca="1">IFERROR(__xludf.DUMMYFUNCTION("""COMPUTED_VALUE"""),"Visitas guiadas")</f>
        <v>Visitas guiadas</v>
      </c>
      <c r="V112" s="30" t="str">
        <f ca="1">IFERROR(__xludf.DUMMYFUNCTION("""COMPUTED_VALUE"""),"Ninguna")</f>
        <v>Ninguna</v>
      </c>
      <c r="W112" s="30" t="str">
        <f ca="1">IFERROR(__xludf.DUMMYFUNCTION("""COMPUTED_VALUE"""),"Presencial")</f>
        <v>Presencial</v>
      </c>
      <c r="X112" s="30" t="str">
        <f ca="1">IFERROR(__xludf.DUMMYFUNCTION("""COMPUTED_VALUE"""),"Espacio a Cargo de la Secretaría")</f>
        <v>Espacio a Cargo de la Secretaría</v>
      </c>
      <c r="Y112" s="30" t="str">
        <f ca="1">IFERROR(__xludf.DUMMYFUNCTION("""COMPUTED_VALUE"""),"9")</f>
        <v>9</v>
      </c>
      <c r="Z112" s="30"/>
      <c r="AA112" s="30"/>
      <c r="AB112" s="30" t="b">
        <f ca="1">IFERROR(__xludf.DUMMYFUNCTION("""COMPUTED_VALUE"""),FALSE)</f>
        <v>0</v>
      </c>
      <c r="AC112" s="30"/>
      <c r="AD112" s="30" t="b">
        <f ca="1">IFERROR(__xludf.DUMMYFUNCTION("""COMPUTED_VALUE"""),FALSE)</f>
        <v>0</v>
      </c>
      <c r="AE112" s="30"/>
      <c r="AF112" s="30" t="b">
        <f ca="1">IFERROR(__xludf.DUMMYFUNCTION("""COMPUTED_VALUE"""),FALSE)</f>
        <v>0</v>
      </c>
      <c r="AG112" s="30"/>
      <c r="AH112" s="30" t="str">
        <f ca="1">IFERROR(__xludf.DUMMYFUNCTION("""COMPUTED_VALUE"""),"Sin costo")</f>
        <v>Sin costo</v>
      </c>
      <c r="AI112" s="30"/>
      <c r="AJ112" s="30"/>
      <c r="AK112" s="30"/>
      <c r="AL112" s="30" t="str">
        <f ca="1">IFERROR(__xludf.DUMMYFUNCTION("""COMPUTED_VALUE"""),"ccardonav@guanajuato.gob.mx")</f>
        <v>ccardonav@guanajuato.gob.mx</v>
      </c>
      <c r="AM112" s="30" t="str">
        <f ca="1">IFERROR(__xludf.DUMMYFUNCTION("""COMPUTED_VALUE"""),"Arraigo y empoderamiento cultural de comunidades.")</f>
        <v>Arraigo y empoderamiento cultural de comunidades.</v>
      </c>
      <c r="AN112" s="30" t="str">
        <f ca="1">IFERROR(__xludf.DUMMYFUNCTION("""COMPUTED_VALUE"""),"2 Igualdad")</f>
        <v>2 Igualdad</v>
      </c>
      <c r="AO112" s="30" t="str">
        <f ca="1">IFERROR(__xludf.DUMMYFUNCTION("""COMPUTED_VALUE"""),"2.2 Fortalecer cohesión social")</f>
        <v>2.2 Fortalecer cohesión social</v>
      </c>
      <c r="AP112" s="30" t="str">
        <f ca="1">IFERROR(__xludf.DUMMYFUNCTION("""COMPUTED_VALUE"""),"2.2.1 Participación social comunitaria")</f>
        <v>2.2.1 Participación social comunitaria</v>
      </c>
      <c r="AQ112" s="30" t="str">
        <f ca="1">IFERROR(__xludf.DUMMYFUNCTION("""COMPUTED_VALUE"""),"2.2.1 Participación social comunitaria")</f>
        <v>2.2.1 Participación social comunitaria</v>
      </c>
      <c r="AR112" s="30" t="str">
        <f ca="1">IFERROR(__xludf.DUMMYFUNCTION("""COMPUTED_VALUE"""),"Cooperación")</f>
        <v>Cooperación</v>
      </c>
      <c r="AS112" s="30"/>
      <c r="AT112" s="30" t="str">
        <f ca="1">IFERROR(__xludf.DUMMYFUNCTION("""COMPUTED_VALUE"""),"Impulso a la educación artística y a la profesionalización del sector cultural")</f>
        <v>Impulso a la educación artística y a la profesionalización del sector cultural</v>
      </c>
      <c r="AU112" s="30" t="str">
        <f ca="1">IFERROR(__xludf.DUMMYFUNCTION("""COMPUTED_VALUE"""),"Fortalecimiento de las alianzas entre el sector cultural, educativo y productivo")</f>
        <v>Fortalecimiento de las alianzas entre el sector cultural, educativo y productivo</v>
      </c>
      <c r="AV112"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2"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2" s="30" t="str">
        <f ca="1">IFERROR(__xludf.DUMMYFUNCTION("""COMPUTED_VALUE"""),"Visitas guiadas")</f>
        <v>Visitas guiadas</v>
      </c>
      <c r="AY112" s="30" t="str">
        <f ca="1">IFERROR(__xludf.DUMMYFUNCTION("""COMPUTED_VALUE"""),"Mediación")</f>
        <v>Mediación</v>
      </c>
      <c r="AZ112" s="30"/>
      <c r="BA112" s="30"/>
      <c r="BB112" s="30"/>
      <c r="BC112" s="30">
        <f ca="1">IFERROR(__xludf.DUMMYFUNCTION("""COMPUTED_VALUE"""),0)</f>
        <v>0</v>
      </c>
      <c r="BD112" s="30"/>
      <c r="BE112" s="30"/>
      <c r="BF112" s="30" t="b">
        <f ca="1">IFERROR(__xludf.DUMMYFUNCTION("""COMPUTED_VALUE"""),FALSE)</f>
        <v>0</v>
      </c>
      <c r="BG112" s="30"/>
      <c r="BH112" s="30"/>
      <c r="BI112" s="30"/>
      <c r="BJ112" s="30"/>
      <c r="BK112" s="30"/>
      <c r="BL112" s="30"/>
      <c r="BM112" s="30" t="str">
        <f ca="1">IFERROR(__xludf.DUMMYFUNCTION("""COMPUTED_VALUE"""),"No")</f>
        <v>No</v>
      </c>
      <c r="BN112" s="30"/>
      <c r="BO112" s="30" t="str">
        <f ca="1">IFERROR(__xludf.DUMMYFUNCTION("""COMPUTED_VALUE"""),"67f17129")</f>
        <v>67f17129</v>
      </c>
      <c r="BP112" s="29" t="str">
        <f ca="1">IFERROR(__xludf.DUMMYFUNCTION("""COMPUTED_VALUE"""),"Purísima del Rincón")</f>
        <v>Purísima del Rincón</v>
      </c>
      <c r="BQ112" s="30" t="str">
        <f ca="1">IFERROR(__xludf.DUMMYFUNCTION("""COMPUTED_VALUE"""),"Urbano")</f>
        <v>Urbano</v>
      </c>
      <c r="BR112" s="30">
        <f ca="1">IFERROR(__xludf.DUMMYFUNCTION("""COMPUTED_VALUE"""),171)</f>
        <v>171</v>
      </c>
      <c r="BS112" s="30" t="str">
        <f ca="1">IFERROR(__xludf.DUMMYFUNCTION("""COMPUTED_VALUE"""),"Purísima")</f>
        <v>Purísima</v>
      </c>
      <c r="BT112" s="30"/>
      <c r="BU112" s="30" t="str">
        <f ca="1">IFERROR(__xludf.DUMMYFUNCTION("""COMPUTED_VALUE"""),"Si")</f>
        <v>Si</v>
      </c>
      <c r="BV112" s="30" t="str">
        <f ca="1">IFERROR(__xludf.DUMMYFUNCTION("""COMPUTED_VALUE"""),"No")</f>
        <v>No</v>
      </c>
      <c r="BW112" s="30">
        <f ca="1">IFERROR(__xludf.DUMMYFUNCTION("""COMPUTED_VALUE"""),4)</f>
        <v>4</v>
      </c>
      <c r="BX112" s="30">
        <f ca="1">IFERROR(__xludf.DUMMYFUNCTION("""COMPUTED_VALUE"""),4)</f>
        <v>4</v>
      </c>
      <c r="BY112" s="30">
        <f ca="1">IFERROR(__xludf.DUMMYFUNCTION("""COMPUTED_VALUE"""),0)</f>
        <v>0</v>
      </c>
      <c r="BZ112" s="30" t="str">
        <f ca="1">IFERROR(__xludf.DUMMYFUNCTION("""COMPUTED_VALUE"""),"Purísima")</f>
        <v>Purísima</v>
      </c>
      <c r="CA112" s="30" t="str">
        <f ca="1">IFERROR(__xludf.DUMMYFUNCTION("""COMPUTED_VALUE"""),"No")</f>
        <v>No</v>
      </c>
      <c r="CB112" s="30" t="str">
        <f ca="1">IFERROR(__xludf.DUMMYFUNCTION("""COMPUTED_VALUE"""),"No")</f>
        <v>No</v>
      </c>
      <c r="CC112" s="30" t="str">
        <f ca="1">IFERROR(__xludf.DUMMYFUNCTION("""COMPUTED_VALUE"""),"c2212ace")</f>
        <v>c2212ace</v>
      </c>
      <c r="CD112" s="29" t="str">
        <f ca="1">IFERROR(__xludf.DUMMYFUNCTION("""COMPUTED_VALUE"""),"Adultos (30 a 59 años)")</f>
        <v>Adultos (30 a 59 años)</v>
      </c>
      <c r="CE112" s="30" t="str">
        <f ca="1">IFERROR(__xludf.DUMMYFUNCTION("""COMPUTED_VALUE"""),"Dato global")</f>
        <v>Dato global</v>
      </c>
      <c r="CF112" s="30" t="str">
        <f ca="1">IFERROR(__xludf.DUMMYFUNCTION("""COMPUTED_VALUE"""),"Ninguno (Población General)")</f>
        <v>Ninguno (Población General)</v>
      </c>
      <c r="CG112" s="30">
        <f ca="1">IFERROR(__xludf.DUMMYFUNCTION("""COMPUTED_VALUE"""),30)</f>
        <v>30</v>
      </c>
      <c r="CI112" s="30" t="str">
        <f ca="1">IFERROR(__xludf.DUMMYFUNCTION("""COMPUTED_VALUE"""),"62aca381")</f>
        <v>62aca381</v>
      </c>
      <c r="CJ112" s="29" t="str">
        <f ca="1">IFERROR(__xludf.DUMMYFUNCTION("""COMPUTED_VALUE"""),"Regitro_Evidencia_Files_/62aca381.Archivo_Evidencia.185708.pptx")</f>
        <v>Regitro_Evidencia_Files_/62aca381.Archivo_Evidencia.185708.pptx</v>
      </c>
      <c r="CK112" s="30" t="str">
        <f ca="1">IFERROR(__xludf.DUMMYFUNCTION("""COMPUTED_VALUE"""),"Otro tipo de archivo ")</f>
        <v xml:space="preserve">Otro tipo de archivo </v>
      </c>
      <c r="CL112" s="30"/>
      <c r="CM112" s="30" t="str">
        <f ca="1">IFERROR(__xludf.DUMMYFUNCTION("""COMPUTED_VALUE"""),"Purísima del Rincón")</f>
        <v>Purísima del Rincón</v>
      </c>
      <c r="CN112" s="32" t="e">
        <f ca="1"/>
        <v>#NAME?</v>
      </c>
      <c r="CO112" s="32" t="e">
        <f ca="1"/>
        <v>#NAME?</v>
      </c>
      <c r="CP112" s="32" t="e">
        <f ca="1"/>
        <v>#NAME?</v>
      </c>
      <c r="CQ112" s="32" t="e">
        <f ca="1"/>
        <v>#NAME?</v>
      </c>
      <c r="CR112" s="30" t="e">
        <f ca="1"/>
        <v>#NAME?</v>
      </c>
      <c r="CS112" s="30" t="str">
        <f ca="1">IFERROR(__xludf.DUMMYFUNCTION("""COMPUTED_VALUE"""),"NNA (Niñas, Niños y Adolescentes)")</f>
        <v>NNA (Niñas, Niños y Adolescentes)</v>
      </c>
    </row>
    <row r="113" spans="1:97" ht="13">
      <c r="A113" s="29" t="str">
        <f ca="1">IFERROR(__xludf.DUMMYFUNCTION("""COMPUTED_VALUE"""),"ACT-SCOL78465")</f>
        <v>ACT-SCOL78465</v>
      </c>
      <c r="B113" s="30" t="str">
        <f ca="1">IFERROR(__xludf.DUMMYFUNCTION("""COMPUTED_VALUE"""),"SC-260624-151619")</f>
        <v>SC-260624-151619</v>
      </c>
      <c r="C113" s="62">
        <f ca="1">IFERROR(__xludf.DUMMYFUNCTION("""COMPUTED_VALUE"""),46197.6363310185)</f>
        <v>46197.636331018497</v>
      </c>
      <c r="D113" s="30">
        <f ca="1">IFERROR(__xludf.DUMMYFUNCTION("""COMPUTED_VALUE"""),92)</f>
        <v>92</v>
      </c>
      <c r="E113" s="30" t="str">
        <f ca="1">IFERROR(__xludf.DUMMYFUNCTION("""COMPUTED_VALUE"""),"PB3572")</f>
        <v>PB3572</v>
      </c>
      <c r="F11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3" s="30" t="str">
        <f ca="1">IFERROR(__xludf.DUMMYFUNCTION("""COMPUTED_VALUE"""),"SUBSECRETARÍA DE DESARROLLO Y PROMOCIÓN ARTÍSTICA Y CULTURAL")</f>
        <v>SUBSECRETARÍA DE DESARROLLO Y PROMOCIÓN ARTÍSTICA Y CULTURAL</v>
      </c>
      <c r="I113" s="34" t="str">
        <f ca="1">IFERROR(__xludf.DUMMYFUNCTION("""COMPUTED_VALUE"""),"DIRECCIÓN GENERAL DE MUSEOS, ARTES VISUALES Y EXPOSICIONES")</f>
        <v>DIRECCIÓN GENERAL DE MUSEOS, ARTES VISUALES Y EXPOSICIONES</v>
      </c>
      <c r="J113" s="30" t="str">
        <f ca="1">IFERROR(__xludf.DUMMYFUNCTION("""COMPUTED_VALUE"""),"Número de Actividades realizadas")</f>
        <v>Número de Actividades realizadas</v>
      </c>
      <c r="K113" s="30">
        <f ca="1">IFERROR(__xludf.DUMMYFUNCTION("""COMPUTED_VALUE"""),800)</f>
        <v>800</v>
      </c>
      <c r="L113" s="30" t="str">
        <f ca="1">IFERROR(__xludf.DUMMYFUNCTION("""COMPUTED_VALUE"""),"Cultural")</f>
        <v>Cultural</v>
      </c>
      <c r="M113" s="30" t="str">
        <f ca="1">IFERROR(__xludf.DUMMYFUNCTION("""COMPUTED_VALUE"""),"Conversemos sobre arte")</f>
        <v>Conversemos sobre arte</v>
      </c>
      <c r="N113"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13" s="30" t="str">
        <f ca="1">IFERROR(__xludf.DUMMYFUNCTION("""COMPUTED_VALUE"""),"Única")</f>
        <v>Única</v>
      </c>
      <c r="P113" s="33">
        <f ca="1">IFERROR(__xludf.DUMMYFUNCTION("""COMPUTED_VALUE"""),46197)</f>
        <v>46197</v>
      </c>
      <c r="Q113" s="33">
        <f ca="1">IFERROR(__xludf.DUMMYFUNCTION("""COMPUTED_VALUE"""),46197)</f>
        <v>46197</v>
      </c>
      <c r="R113" s="30">
        <f ca="1">IFERROR(__xludf.DUMMYFUNCTION("""COMPUTED_VALUE"""),1)</f>
        <v>1</v>
      </c>
      <c r="S113" s="30" t="str">
        <f ca="1">IFERROR(__xludf.DUMMYFUNCTION("""COMPUTED_VALUE"""),"Cultura comunitaria")</f>
        <v>Cultura comunitaria</v>
      </c>
      <c r="T113" s="30" t="str">
        <f ca="1">IFERROR(__xludf.DUMMYFUNCTION("""COMPUTED_VALUE"""),"Mediación cultural")</f>
        <v>Mediación cultural</v>
      </c>
      <c r="U113" s="30" t="str">
        <f ca="1">IFERROR(__xludf.DUMMYFUNCTION("""COMPUTED_VALUE"""),"Visitas escolares")</f>
        <v>Visitas escolares</v>
      </c>
      <c r="V113" s="30" t="str">
        <f ca="1">IFERROR(__xludf.DUMMYFUNCTION("""COMPUTED_VALUE"""),"Ninguna")</f>
        <v>Ninguna</v>
      </c>
      <c r="W113" s="30" t="str">
        <f ca="1">IFERROR(__xludf.DUMMYFUNCTION("""COMPUTED_VALUE"""),"Presencial")</f>
        <v>Presencial</v>
      </c>
      <c r="X113" s="30" t="str">
        <f ca="1">IFERROR(__xludf.DUMMYFUNCTION("""COMPUTED_VALUE"""),"Espacio a Cargo de la Secretaría")</f>
        <v>Espacio a Cargo de la Secretaría</v>
      </c>
      <c r="Y113" s="30" t="str">
        <f ca="1">IFERROR(__xludf.DUMMYFUNCTION("""COMPUTED_VALUE"""),"9")</f>
        <v>9</v>
      </c>
      <c r="Z113" s="30"/>
      <c r="AA113" s="30"/>
      <c r="AB113" s="30" t="b">
        <f ca="1">IFERROR(__xludf.DUMMYFUNCTION("""COMPUTED_VALUE"""),FALSE)</f>
        <v>0</v>
      </c>
      <c r="AC113" s="30"/>
      <c r="AD113" s="30" t="b">
        <f ca="1">IFERROR(__xludf.DUMMYFUNCTION("""COMPUTED_VALUE"""),FALSE)</f>
        <v>0</v>
      </c>
      <c r="AE113" s="30"/>
      <c r="AF113" s="30" t="b">
        <f ca="1">IFERROR(__xludf.DUMMYFUNCTION("""COMPUTED_VALUE"""),FALSE)</f>
        <v>0</v>
      </c>
      <c r="AG113" s="30"/>
      <c r="AH113" s="30" t="str">
        <f ca="1">IFERROR(__xludf.DUMMYFUNCTION("""COMPUTED_VALUE"""),"Sin costo")</f>
        <v>Sin costo</v>
      </c>
      <c r="AI113" s="30"/>
      <c r="AJ113" s="30"/>
      <c r="AK113" s="30"/>
      <c r="AL113" s="30" t="str">
        <f ca="1">IFERROR(__xludf.DUMMYFUNCTION("""COMPUTED_VALUE"""),"ccardonav@guanajuato.gob.mx")</f>
        <v>ccardonav@guanajuato.gob.mx</v>
      </c>
      <c r="AM113" s="30" t="str">
        <f ca="1">IFERROR(__xludf.DUMMYFUNCTION("""COMPUTED_VALUE"""),"Arraigo y empoderamiento cultural de comunidades.")</f>
        <v>Arraigo y empoderamiento cultural de comunidades.</v>
      </c>
      <c r="AN113" s="30" t="str">
        <f ca="1">IFERROR(__xludf.DUMMYFUNCTION("""COMPUTED_VALUE"""),"2 Igualdad")</f>
        <v>2 Igualdad</v>
      </c>
      <c r="AO113" s="30" t="str">
        <f ca="1">IFERROR(__xludf.DUMMYFUNCTION("""COMPUTED_VALUE"""),"2.2 Fortalecer cohesión social")</f>
        <v>2.2 Fortalecer cohesión social</v>
      </c>
      <c r="AP113" s="30" t="str">
        <f ca="1">IFERROR(__xludf.DUMMYFUNCTION("""COMPUTED_VALUE"""),"2.2.1 Participación social comunitaria")</f>
        <v>2.2.1 Participación social comunitaria</v>
      </c>
      <c r="AQ113" s="30" t="str">
        <f ca="1">IFERROR(__xludf.DUMMYFUNCTION("""COMPUTED_VALUE"""),"2.2.1 Participación social comunitaria")</f>
        <v>2.2.1 Participación social comunitaria</v>
      </c>
      <c r="AR113" s="30" t="str">
        <f ca="1">IFERROR(__xludf.DUMMYFUNCTION("""COMPUTED_VALUE"""),"Cooperación")</f>
        <v>Cooperación</v>
      </c>
      <c r="AS113" s="30"/>
      <c r="AT113" s="30" t="str">
        <f ca="1">IFERROR(__xludf.DUMMYFUNCTION("""COMPUTED_VALUE"""),"Impulso a la educación artística y a la profesionalización del sector cultural")</f>
        <v>Impulso a la educación artística y a la profesionalización del sector cultural</v>
      </c>
      <c r="AU113" s="30" t="str">
        <f ca="1">IFERROR(__xludf.DUMMYFUNCTION("""COMPUTED_VALUE"""),"Fortalecimiento de las alianzas entre el sector cultural, educativo y productivo")</f>
        <v>Fortalecimiento de las alianzas entre el sector cultural, educativo y productivo</v>
      </c>
      <c r="AV113"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3"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3" s="30" t="str">
        <f ca="1">IFERROR(__xludf.DUMMYFUNCTION("""COMPUTED_VALUE"""),"Taller")</f>
        <v>Taller</v>
      </c>
      <c r="AY113" s="30" t="str">
        <f ca="1">IFERROR(__xludf.DUMMYFUNCTION("""COMPUTED_VALUE"""),"Mediación")</f>
        <v>Mediación</v>
      </c>
      <c r="AZ113" s="30"/>
      <c r="BA113" s="30"/>
      <c r="BB113" s="30"/>
      <c r="BC113" s="30">
        <f ca="1">IFERROR(__xludf.DUMMYFUNCTION("""COMPUTED_VALUE"""),0)</f>
        <v>0</v>
      </c>
      <c r="BD113" s="30"/>
      <c r="BE113" s="30"/>
      <c r="BF113" s="30" t="b">
        <f ca="1">IFERROR(__xludf.DUMMYFUNCTION("""COMPUTED_VALUE"""),FALSE)</f>
        <v>0</v>
      </c>
      <c r="BG113" s="30"/>
      <c r="BH113" s="30"/>
      <c r="BI113" s="30"/>
      <c r="BJ113" s="30"/>
      <c r="BK113" s="30"/>
      <c r="BL113" s="30"/>
      <c r="BM113" s="30" t="str">
        <f ca="1">IFERROR(__xludf.DUMMYFUNCTION("""COMPUTED_VALUE"""),"No")</f>
        <v>No</v>
      </c>
      <c r="BN113" s="30"/>
      <c r="BO113" s="30" t="str">
        <f ca="1">IFERROR(__xludf.DUMMYFUNCTION("""COMPUTED_VALUE"""),"ac9d9c08")</f>
        <v>ac9d9c08</v>
      </c>
      <c r="BP113" s="29" t="str">
        <f ca="1">IFERROR(__xludf.DUMMYFUNCTION("""COMPUTED_VALUE"""),"Purísima del Rincón")</f>
        <v>Purísima del Rincón</v>
      </c>
      <c r="BQ113" s="30" t="str">
        <f ca="1">IFERROR(__xludf.DUMMYFUNCTION("""COMPUTED_VALUE"""),"Urbano")</f>
        <v>Urbano</v>
      </c>
      <c r="BR113" s="30">
        <f ca="1">IFERROR(__xludf.DUMMYFUNCTION("""COMPUTED_VALUE"""),171)</f>
        <v>171</v>
      </c>
      <c r="BS113" s="30" t="str">
        <f ca="1">IFERROR(__xludf.DUMMYFUNCTION("""COMPUTED_VALUE"""),"Purísima")</f>
        <v>Purísima</v>
      </c>
      <c r="BT113" s="30"/>
      <c r="BU113" s="30" t="str">
        <f ca="1">IFERROR(__xludf.DUMMYFUNCTION("""COMPUTED_VALUE"""),"Si")</f>
        <v>Si</v>
      </c>
      <c r="BV113" s="30" t="str">
        <f ca="1">IFERROR(__xludf.DUMMYFUNCTION("""COMPUTED_VALUE"""),"No")</f>
        <v>No</v>
      </c>
      <c r="BW113" s="30">
        <f ca="1">IFERROR(__xludf.DUMMYFUNCTION("""COMPUTED_VALUE"""),15)</f>
        <v>15</v>
      </c>
      <c r="BX113" s="30"/>
      <c r="BY113" s="30">
        <f ca="1">IFERROR(__xludf.DUMMYFUNCTION("""COMPUTED_VALUE"""),15)</f>
        <v>15</v>
      </c>
      <c r="BZ113" s="30" t="str">
        <f ca="1">IFERROR(__xludf.DUMMYFUNCTION("""COMPUTED_VALUE"""),"Purísima")</f>
        <v>Purísima</v>
      </c>
      <c r="CA113" s="30" t="str">
        <f ca="1">IFERROR(__xludf.DUMMYFUNCTION("""COMPUTED_VALUE"""),"No")</f>
        <v>No</v>
      </c>
      <c r="CB113" s="30" t="str">
        <f ca="1">IFERROR(__xludf.DUMMYFUNCTION("""COMPUTED_VALUE"""),"No")</f>
        <v>No</v>
      </c>
      <c r="CC113" s="30" t="str">
        <f ca="1">IFERROR(__xludf.DUMMYFUNCTION("""COMPUTED_VALUE"""),"721a86b7")</f>
        <v>721a86b7</v>
      </c>
      <c r="CD113" s="29" t="str">
        <f ca="1">IFERROR(__xludf.DUMMYFUNCTION("""COMPUTED_VALUE"""),"Adultos Mayores (60 años o más)")</f>
        <v>Adultos Mayores (60 años o más)</v>
      </c>
      <c r="CE113" s="30" t="str">
        <f ca="1">IFERROR(__xludf.DUMMYFUNCTION("""COMPUTED_VALUE"""),"Dato global")</f>
        <v>Dato global</v>
      </c>
      <c r="CF113" s="30" t="str">
        <f ca="1">IFERROR(__xludf.DUMMYFUNCTION("""COMPUTED_VALUE"""),"Ninguno (Población General)")</f>
        <v>Ninguno (Población General)</v>
      </c>
      <c r="CG113" s="30">
        <f ca="1">IFERROR(__xludf.DUMMYFUNCTION("""COMPUTED_VALUE"""),35)</f>
        <v>35</v>
      </c>
      <c r="CI113" s="30" t="str">
        <f ca="1">IFERROR(__xludf.DUMMYFUNCTION("""COMPUTED_VALUE"""),"05cc9563")</f>
        <v>05cc9563</v>
      </c>
      <c r="CJ113" s="29" t="str">
        <f ca="1">IFERROR(__xludf.DUMMYFUNCTION("""COMPUTED_VALUE"""),"Regitro_Evidencia_Files_/05cc9563.Archivo_Evidencia.165350.pptx")</f>
        <v>Regitro_Evidencia_Files_/05cc9563.Archivo_Evidencia.165350.pptx</v>
      </c>
      <c r="CK113" s="30" t="str">
        <f ca="1">IFERROR(__xludf.DUMMYFUNCTION("""COMPUTED_VALUE"""),"Otro tipo de archivo ")</f>
        <v xml:space="preserve">Otro tipo de archivo </v>
      </c>
      <c r="CL113" s="30"/>
      <c r="CM113" s="30" t="str">
        <f ca="1">IFERROR(__xludf.DUMMYFUNCTION("""COMPUTED_VALUE"""),"Purísima del Rincón")</f>
        <v>Purísima del Rincón</v>
      </c>
      <c r="CN113" s="32" t="e">
        <f ca="1"/>
        <v>#NAME?</v>
      </c>
      <c r="CO113" s="32" t="e">
        <f ca="1"/>
        <v>#NAME?</v>
      </c>
      <c r="CP113" s="32" t="e">
        <f ca="1"/>
        <v>#NAME?</v>
      </c>
      <c r="CQ113" s="32" t="e">
        <f ca="1"/>
        <v>#NAME?</v>
      </c>
      <c r="CR113" s="30" t="e">
        <f ca="1"/>
        <v>#NAME?</v>
      </c>
      <c r="CS113" s="30" t="str">
        <f ca="1">IFERROR(__xludf.DUMMYFUNCTION("""COMPUTED_VALUE"""),"NNA (Niñas, Niños y Adolescentes)")</f>
        <v>NNA (Niñas, Niños y Adolescentes)</v>
      </c>
    </row>
    <row r="114" spans="1:97" ht="13">
      <c r="A114" s="29" t="str">
        <f ca="1">IFERROR(__xludf.DUMMYFUNCTION("""COMPUTED_VALUE"""),"ACT-SCBL86377")</f>
        <v>ACT-SCBL86377</v>
      </c>
      <c r="B114" s="30" t="str">
        <f ca="1">IFERROR(__xludf.DUMMYFUNCTION("""COMPUTED_VALUE"""),"SC-260624-161802")</f>
        <v>SC-260624-161802</v>
      </c>
      <c r="C114" s="62">
        <f ca="1">IFERROR(__xludf.DUMMYFUNCTION("""COMPUTED_VALUE"""),46197.6791898148)</f>
        <v>46197.6791898148</v>
      </c>
      <c r="D114" s="30">
        <f ca="1">IFERROR(__xludf.DUMMYFUNCTION("""COMPUTED_VALUE"""),92)</f>
        <v>92</v>
      </c>
      <c r="E114" s="30" t="str">
        <f ca="1">IFERROR(__xludf.DUMMYFUNCTION("""COMPUTED_VALUE"""),"PB3572")</f>
        <v>PB3572</v>
      </c>
      <c r="F11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4" s="30" t="str">
        <f ca="1">IFERROR(__xludf.DUMMYFUNCTION("""COMPUTED_VALUE"""),"SUBSECRETARÍA DE DESARROLLO Y PROMOCIÓN ARTÍSTICA Y CULTURAL")</f>
        <v>SUBSECRETARÍA DE DESARROLLO Y PROMOCIÓN ARTÍSTICA Y CULTURAL</v>
      </c>
      <c r="I114" s="34" t="str">
        <f ca="1">IFERROR(__xludf.DUMMYFUNCTION("""COMPUTED_VALUE"""),"DIRECCIÓN GENERAL DE MUSEOS, ARTES VISUALES Y EXPOSICIONES")</f>
        <v>DIRECCIÓN GENERAL DE MUSEOS, ARTES VISUALES Y EXPOSICIONES</v>
      </c>
      <c r="J114" s="30" t="str">
        <f ca="1">IFERROR(__xludf.DUMMYFUNCTION("""COMPUTED_VALUE"""),"Número de Actividades realizadas")</f>
        <v>Número de Actividades realizadas</v>
      </c>
      <c r="K114" s="30">
        <f ca="1">IFERROR(__xludf.DUMMYFUNCTION("""COMPUTED_VALUE"""),800)</f>
        <v>800</v>
      </c>
      <c r="L114" s="30" t="str">
        <f ca="1">IFERROR(__xludf.DUMMYFUNCTION("""COMPUTED_VALUE"""),"Cultural")</f>
        <v>Cultural</v>
      </c>
      <c r="M114" s="30" t="str">
        <f ca="1">IFERROR(__xludf.DUMMYFUNCTION("""COMPUTED_VALUE"""),"Viernes libre de clases")</f>
        <v>Viernes libre de clases</v>
      </c>
      <c r="N114" s="30" t="str">
        <f ca="1">IFERROR(__xludf.DUMMYFUNCTION("""COMPUTED_VALUE"""),"Taller orientado a niños de educación primaria cuyo viernes de consejo no tienen clases, este es impartido por personal de mediación utilizando diversos materiales artísticos para expandir el conocimiento y amor por el arte.")</f>
        <v>Taller orientado a niños de educación primaria cuyo viernes de consejo no tienen clases, este es impartido por personal de mediación utilizando diversos materiales artísticos para expandir el conocimiento y amor por el arte.</v>
      </c>
      <c r="O114" s="30" t="str">
        <f ca="1">IFERROR(__xludf.DUMMYFUNCTION("""COMPUTED_VALUE"""),"Única")</f>
        <v>Única</v>
      </c>
      <c r="P114" s="33">
        <f ca="1">IFERROR(__xludf.DUMMYFUNCTION("""COMPUTED_VALUE"""),46171)</f>
        <v>46171</v>
      </c>
      <c r="Q114" s="33">
        <f ca="1">IFERROR(__xludf.DUMMYFUNCTION("""COMPUTED_VALUE"""),46171)</f>
        <v>46171</v>
      </c>
      <c r="R114" s="30">
        <f ca="1">IFERROR(__xludf.DUMMYFUNCTION("""COMPUTED_VALUE"""),1)</f>
        <v>1</v>
      </c>
      <c r="S114" s="30" t="str">
        <f ca="1">IFERROR(__xludf.DUMMYFUNCTION("""COMPUTED_VALUE"""),"Cultura comunitaria")</f>
        <v>Cultura comunitaria</v>
      </c>
      <c r="T114" s="30" t="str">
        <f ca="1">IFERROR(__xludf.DUMMYFUNCTION("""COMPUTED_VALUE"""),"Mediación cultural")</f>
        <v>Mediación cultural</v>
      </c>
      <c r="U114" s="30" t="str">
        <f ca="1">IFERROR(__xludf.DUMMYFUNCTION("""COMPUTED_VALUE"""),"Taller")</f>
        <v>Taller</v>
      </c>
      <c r="V114" s="30" t="str">
        <f ca="1">IFERROR(__xludf.DUMMYFUNCTION("""COMPUTED_VALUE"""),"Ninguna")</f>
        <v>Ninguna</v>
      </c>
      <c r="W114" s="30" t="str">
        <f ca="1">IFERROR(__xludf.DUMMYFUNCTION("""COMPUTED_VALUE"""),"Presencial")</f>
        <v>Presencial</v>
      </c>
      <c r="X114" s="30" t="str">
        <f ca="1">IFERROR(__xludf.DUMMYFUNCTION("""COMPUTED_VALUE"""),"Espacio a Cargo de la Secretaría")</f>
        <v>Espacio a Cargo de la Secretaría</v>
      </c>
      <c r="Y114" s="30" t="str">
        <f ca="1">IFERROR(__xludf.DUMMYFUNCTION("""COMPUTED_VALUE"""),"9")</f>
        <v>9</v>
      </c>
      <c r="Z114" s="30"/>
      <c r="AA114" s="30"/>
      <c r="AB114" s="30" t="b">
        <f ca="1">IFERROR(__xludf.DUMMYFUNCTION("""COMPUTED_VALUE"""),FALSE)</f>
        <v>0</v>
      </c>
      <c r="AC114" s="30"/>
      <c r="AD114" s="30" t="b">
        <f ca="1">IFERROR(__xludf.DUMMYFUNCTION("""COMPUTED_VALUE"""),FALSE)</f>
        <v>0</v>
      </c>
      <c r="AE114" s="30"/>
      <c r="AF114" s="30" t="b">
        <f ca="1">IFERROR(__xludf.DUMMYFUNCTION("""COMPUTED_VALUE"""),FALSE)</f>
        <v>0</v>
      </c>
      <c r="AG114" s="30"/>
      <c r="AH114" s="30" t="str">
        <f ca="1">IFERROR(__xludf.DUMMYFUNCTION("""COMPUTED_VALUE"""),"Sin costo")</f>
        <v>Sin costo</v>
      </c>
      <c r="AI114" s="30"/>
      <c r="AJ114" s="30"/>
      <c r="AK114" s="30"/>
      <c r="AL114" s="30" t="str">
        <f ca="1">IFERROR(__xludf.DUMMYFUNCTION("""COMPUTED_VALUE"""),"ccardonav@guanajuato.gob.mx")</f>
        <v>ccardonav@guanajuato.gob.mx</v>
      </c>
      <c r="AM114" s="30" t="str">
        <f ca="1">IFERROR(__xludf.DUMMYFUNCTION("""COMPUTED_VALUE"""),"Arraigo y empoderamiento cultural de comunidades.")</f>
        <v>Arraigo y empoderamiento cultural de comunidades.</v>
      </c>
      <c r="AN114" s="30" t="str">
        <f ca="1">IFERROR(__xludf.DUMMYFUNCTION("""COMPUTED_VALUE"""),"2 Igualdad")</f>
        <v>2 Igualdad</v>
      </c>
      <c r="AO114" s="30" t="str">
        <f ca="1">IFERROR(__xludf.DUMMYFUNCTION("""COMPUTED_VALUE"""),"2.2 Fortalecer cohesión social")</f>
        <v>2.2 Fortalecer cohesión social</v>
      </c>
      <c r="AP114" s="30" t="str">
        <f ca="1">IFERROR(__xludf.DUMMYFUNCTION("""COMPUTED_VALUE"""),"2.2.1 Participación social comunitaria")</f>
        <v>2.2.1 Participación social comunitaria</v>
      </c>
      <c r="AQ114" s="30" t="str">
        <f ca="1">IFERROR(__xludf.DUMMYFUNCTION("""COMPUTED_VALUE"""),"2.2.1 Participación social comunitaria")</f>
        <v>2.2.1 Participación social comunitaria</v>
      </c>
      <c r="AR114" s="30" t="str">
        <f ca="1">IFERROR(__xludf.DUMMYFUNCTION("""COMPUTED_VALUE"""),"Cooperación")</f>
        <v>Cooperación</v>
      </c>
      <c r="AS114" s="30"/>
      <c r="AT114" s="30" t="str">
        <f ca="1">IFERROR(__xludf.DUMMYFUNCTION("""COMPUTED_VALUE"""),"Impulso a la educación artística y a la profesionalización del sector cultural")</f>
        <v>Impulso a la educación artística y a la profesionalización del sector cultural</v>
      </c>
      <c r="AU114" s="30" t="str">
        <f ca="1">IFERROR(__xludf.DUMMYFUNCTION("""COMPUTED_VALUE"""),"Adaptación de la oferta cultural a los territorios.")</f>
        <v>Adaptación de la oferta cultural a los territorios.</v>
      </c>
      <c r="AV114" s="30" t="str">
        <f ca="1">IFERROR(__xludf.DUMMYFUNCTION("""COMPUTED_VALUE"""),"Crear un sistema de inteligencia cultural.")</f>
        <v>Crear un sistema de inteligencia cultural.</v>
      </c>
      <c r="AW114" s="30" t="str">
        <f ca="1">IFERROR(__xludf.DUMMYFUNCTION("""COMPUTED_VALUE"""),"Incrementar un 25% la participación de grupos prioritarios en prácticas culturales al 2030.")</f>
        <v>Incrementar un 25% la participación de grupos prioritarios en prácticas culturales al 2030.</v>
      </c>
      <c r="AX114" s="30" t="str">
        <f ca="1">IFERROR(__xludf.DUMMYFUNCTION("""COMPUTED_VALUE"""),"Visitas escolares")</f>
        <v>Visitas escolares</v>
      </c>
      <c r="AY114" s="30" t="str">
        <f ca="1">IFERROR(__xludf.DUMMYFUNCTION("""COMPUTED_VALUE"""),"Mediación")</f>
        <v>Mediación</v>
      </c>
      <c r="AZ114" s="30"/>
      <c r="BA114" s="30"/>
      <c r="BB114" s="30"/>
      <c r="BC114" s="30">
        <f ca="1">IFERROR(__xludf.DUMMYFUNCTION("""COMPUTED_VALUE"""),0)</f>
        <v>0</v>
      </c>
      <c r="BD114" s="30"/>
      <c r="BE114" s="30"/>
      <c r="BF114" s="30" t="b">
        <f ca="1">IFERROR(__xludf.DUMMYFUNCTION("""COMPUTED_VALUE"""),FALSE)</f>
        <v>0</v>
      </c>
      <c r="BG114" s="30"/>
      <c r="BH114" s="30"/>
      <c r="BI114" s="30"/>
      <c r="BJ114" s="30"/>
      <c r="BK114" s="30"/>
      <c r="BL114" s="30"/>
      <c r="BM114" s="30" t="str">
        <f ca="1">IFERROR(__xludf.DUMMYFUNCTION("""COMPUTED_VALUE"""),"No")</f>
        <v>No</v>
      </c>
      <c r="BN114" s="30"/>
      <c r="BO114" s="30" t="str">
        <f ca="1">IFERROR(__xludf.DUMMYFUNCTION("""COMPUTED_VALUE"""),"ae752625")</f>
        <v>ae752625</v>
      </c>
      <c r="BP114" s="29" t="str">
        <f ca="1">IFERROR(__xludf.DUMMYFUNCTION("""COMPUTED_VALUE"""),"Purísima del Rincón")</f>
        <v>Purísima del Rincón</v>
      </c>
      <c r="BQ114" s="30" t="str">
        <f ca="1">IFERROR(__xludf.DUMMYFUNCTION("""COMPUTED_VALUE"""),"Urbano")</f>
        <v>Urbano</v>
      </c>
      <c r="BR114" s="30">
        <f ca="1">IFERROR(__xludf.DUMMYFUNCTION("""COMPUTED_VALUE"""),171)</f>
        <v>171</v>
      </c>
      <c r="BS114" s="30" t="str">
        <f ca="1">IFERROR(__xludf.DUMMYFUNCTION("""COMPUTED_VALUE"""),"Purísima")</f>
        <v>Purísima</v>
      </c>
      <c r="BT114" s="30"/>
      <c r="BU114" s="30" t="str">
        <f ca="1">IFERROR(__xludf.DUMMYFUNCTION("""COMPUTED_VALUE"""),"Si")</f>
        <v>Si</v>
      </c>
      <c r="BV114" s="30" t="str">
        <f ca="1">IFERROR(__xludf.DUMMYFUNCTION("""COMPUTED_VALUE"""),"No")</f>
        <v>No</v>
      </c>
      <c r="BW114" s="30">
        <f ca="1">IFERROR(__xludf.DUMMYFUNCTION("""COMPUTED_VALUE"""),27)</f>
        <v>27</v>
      </c>
      <c r="BX114" s="30">
        <f ca="1">IFERROR(__xludf.DUMMYFUNCTION("""COMPUTED_VALUE"""),27)</f>
        <v>27</v>
      </c>
      <c r="BY114" s="30">
        <f ca="1">IFERROR(__xludf.DUMMYFUNCTION("""COMPUTED_VALUE"""),0)</f>
        <v>0</v>
      </c>
      <c r="BZ114" s="30" t="str">
        <f ca="1">IFERROR(__xludf.DUMMYFUNCTION("""COMPUTED_VALUE"""),"Purísima")</f>
        <v>Purísima</v>
      </c>
      <c r="CA114" s="30" t="str">
        <f ca="1">IFERROR(__xludf.DUMMYFUNCTION("""COMPUTED_VALUE"""),"No")</f>
        <v>No</v>
      </c>
      <c r="CB114" s="30" t="str">
        <f ca="1">IFERROR(__xludf.DUMMYFUNCTION("""COMPUTED_VALUE"""),"No")</f>
        <v>No</v>
      </c>
      <c r="CC114" s="30" t="str">
        <f ca="1">IFERROR(__xludf.DUMMYFUNCTION("""COMPUTED_VALUE"""),"c4a4b9c8")</f>
        <v>c4a4b9c8</v>
      </c>
      <c r="CD114" s="29" t="str">
        <f ca="1">IFERROR(__xludf.DUMMYFUNCTION("""COMPUTED_VALUE"""),"Adultos (30 a 59 años)")</f>
        <v>Adultos (30 a 59 años)</v>
      </c>
      <c r="CE114" s="30" t="str">
        <f ca="1">IFERROR(__xludf.DUMMYFUNCTION("""COMPUTED_VALUE"""),"Dato global")</f>
        <v>Dato global</v>
      </c>
      <c r="CF114" s="30" t="str">
        <f ca="1">IFERROR(__xludf.DUMMYFUNCTION("""COMPUTED_VALUE"""),"Ninguno (Población General)")</f>
        <v>Ninguno (Población General)</v>
      </c>
      <c r="CG114" s="30">
        <f ca="1">IFERROR(__xludf.DUMMYFUNCTION("""COMPUTED_VALUE"""),8)</f>
        <v>8</v>
      </c>
      <c r="CI114" s="30" t="str">
        <f ca="1">IFERROR(__xludf.DUMMYFUNCTION("""COMPUTED_VALUE"""),"20361d2f")</f>
        <v>20361d2f</v>
      </c>
      <c r="CJ114" s="29" t="str">
        <f ca="1">IFERROR(__xludf.DUMMYFUNCTION("""COMPUTED_VALUE"""),"Regitro_Evidencia_Files_/20361d2f.Archivo_Evidencia.170135.pptx")</f>
        <v>Regitro_Evidencia_Files_/20361d2f.Archivo_Evidencia.170135.pptx</v>
      </c>
      <c r="CK114" s="30" t="str">
        <f ca="1">IFERROR(__xludf.DUMMYFUNCTION("""COMPUTED_VALUE"""),"Otro tipo de archivo ")</f>
        <v xml:space="preserve">Otro tipo de archivo </v>
      </c>
      <c r="CL114" s="30"/>
      <c r="CM114" s="30" t="str">
        <f ca="1">IFERROR(__xludf.DUMMYFUNCTION("""COMPUTED_VALUE"""),"Purísima del Rincón")</f>
        <v>Purísima del Rincón</v>
      </c>
      <c r="CN114" s="32" t="e">
        <f ca="1"/>
        <v>#NAME?</v>
      </c>
      <c r="CO114" s="32" t="e">
        <f ca="1"/>
        <v>#NAME?</v>
      </c>
      <c r="CP114" s="32" t="e">
        <f ca="1"/>
        <v>#NAME?</v>
      </c>
      <c r="CQ114" s="32" t="e">
        <f ca="1"/>
        <v>#NAME?</v>
      </c>
      <c r="CR114" s="30" t="e">
        <f ca="1"/>
        <v>#NAME?</v>
      </c>
      <c r="CS114" s="30" t="str">
        <f ca="1">IFERROR(__xludf.DUMMYFUNCTION("""COMPUTED_VALUE"""),"NNA (Niñas, Niños y Adolescentes)")</f>
        <v>NNA (Niñas, Niños y Adolescentes)</v>
      </c>
    </row>
    <row r="115" spans="1:97" ht="13">
      <c r="A115" s="29" t="str">
        <f ca="1">IFERROR(__xludf.DUMMYFUNCTION("""COMPUTED_VALUE"""),"ACT-SCKA45847")</f>
        <v>ACT-SCKA45847</v>
      </c>
      <c r="B115" s="30" t="str">
        <f ca="1">IFERROR(__xludf.DUMMYFUNCTION("""COMPUTED_VALUE"""),"SC-260624-162335")</f>
        <v>SC-260624-162335</v>
      </c>
      <c r="C115" s="62">
        <f ca="1">IFERROR(__xludf.DUMMYFUNCTION("""COMPUTED_VALUE"""),46197.6830439814)</f>
        <v>46197.6830439814</v>
      </c>
      <c r="D115" s="30">
        <f ca="1">IFERROR(__xludf.DUMMYFUNCTION("""COMPUTED_VALUE"""),92)</f>
        <v>92</v>
      </c>
      <c r="E115" s="30" t="str">
        <f ca="1">IFERROR(__xludf.DUMMYFUNCTION("""COMPUTED_VALUE"""),"PB3572")</f>
        <v>PB3572</v>
      </c>
      <c r="F11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5" s="30" t="str">
        <f ca="1">IFERROR(__xludf.DUMMYFUNCTION("""COMPUTED_VALUE"""),"SUBSECRETARÍA DE DESARROLLO Y PROMOCIÓN ARTÍSTICA Y CULTURAL")</f>
        <v>SUBSECRETARÍA DE DESARROLLO Y PROMOCIÓN ARTÍSTICA Y CULTURAL</v>
      </c>
      <c r="I115" s="34" t="str">
        <f ca="1">IFERROR(__xludf.DUMMYFUNCTION("""COMPUTED_VALUE"""),"DIRECCIÓN GENERAL DE MUSEOS, ARTES VISUALES Y EXPOSICIONES")</f>
        <v>DIRECCIÓN GENERAL DE MUSEOS, ARTES VISUALES Y EXPOSICIONES</v>
      </c>
      <c r="J115" s="30" t="str">
        <f ca="1">IFERROR(__xludf.DUMMYFUNCTION("""COMPUTED_VALUE"""),"Número de Actividades realizadas")</f>
        <v>Número de Actividades realizadas</v>
      </c>
      <c r="K115" s="30">
        <f ca="1">IFERROR(__xludf.DUMMYFUNCTION("""COMPUTED_VALUE"""),800)</f>
        <v>800</v>
      </c>
      <c r="L115" s="30" t="str">
        <f ca="1">IFERROR(__xludf.DUMMYFUNCTION("""COMPUTED_VALUE"""),"Cultural")</f>
        <v>Cultural</v>
      </c>
      <c r="M115" s="30" t="str">
        <f ca="1">IFERROR(__xludf.DUMMYFUNCTION("""COMPUTED_VALUE"""),"Conferencia retratos de lo efímero. La muerte en la infancia en el arte.")</f>
        <v>Conferencia retratos de lo efímero. La muerte en la infancia en el arte.</v>
      </c>
      <c r="N115" s="30" t="str">
        <f ca="1">IFERROR(__xludf.DUMMYFUNCTION("""COMPUTED_VALUE"""),"Conferencia retratos de lo efímero. La muerte en la infancia en el arte.")</f>
        <v>Conferencia retratos de lo efímero. La muerte en la infancia en el arte.</v>
      </c>
      <c r="O115" s="30" t="str">
        <f ca="1">IFERROR(__xludf.DUMMYFUNCTION("""COMPUTED_VALUE"""),"Única")</f>
        <v>Única</v>
      </c>
      <c r="P115" s="33">
        <f ca="1">IFERROR(__xludf.DUMMYFUNCTION("""COMPUTED_VALUE"""),46171)</f>
        <v>46171</v>
      </c>
      <c r="Q115" s="33">
        <f ca="1">IFERROR(__xludf.DUMMYFUNCTION("""COMPUTED_VALUE"""),46171)</f>
        <v>46171</v>
      </c>
      <c r="R115" s="30">
        <f ca="1">IFERROR(__xludf.DUMMYFUNCTION("""COMPUTED_VALUE"""),1)</f>
        <v>1</v>
      </c>
      <c r="S115" s="30" t="str">
        <f ca="1">IFERROR(__xludf.DUMMYFUNCTION("""COMPUTED_VALUE"""),"Cultura comunitaria")</f>
        <v>Cultura comunitaria</v>
      </c>
      <c r="T115" s="30" t="str">
        <f ca="1">IFERROR(__xludf.DUMMYFUNCTION("""COMPUTED_VALUE"""),"Mediación cultural")</f>
        <v>Mediación cultural</v>
      </c>
      <c r="U115" s="30" t="str">
        <f ca="1">IFERROR(__xludf.DUMMYFUNCTION("""COMPUTED_VALUE"""),"Conferencia")</f>
        <v>Conferencia</v>
      </c>
      <c r="V115" s="30" t="str">
        <f ca="1">IFERROR(__xludf.DUMMYFUNCTION("""COMPUTED_VALUE"""),"Ninguna")</f>
        <v>Ninguna</v>
      </c>
      <c r="W115" s="30" t="str">
        <f ca="1">IFERROR(__xludf.DUMMYFUNCTION("""COMPUTED_VALUE"""),"Presencial")</f>
        <v>Presencial</v>
      </c>
      <c r="X115" s="30" t="str">
        <f ca="1">IFERROR(__xludf.DUMMYFUNCTION("""COMPUTED_VALUE"""),"Espacio a Cargo de la Secretaría")</f>
        <v>Espacio a Cargo de la Secretaría</v>
      </c>
      <c r="Y115" s="30" t="str">
        <f ca="1">IFERROR(__xludf.DUMMYFUNCTION("""COMPUTED_VALUE"""),"9")</f>
        <v>9</v>
      </c>
      <c r="Z115" s="30"/>
      <c r="AA115" s="30"/>
      <c r="AB115" s="30" t="b">
        <f ca="1">IFERROR(__xludf.DUMMYFUNCTION("""COMPUTED_VALUE"""),FALSE)</f>
        <v>0</v>
      </c>
      <c r="AC115" s="30"/>
      <c r="AD115" s="30" t="b">
        <f ca="1">IFERROR(__xludf.DUMMYFUNCTION("""COMPUTED_VALUE"""),FALSE)</f>
        <v>0</v>
      </c>
      <c r="AE115" s="30"/>
      <c r="AF115" s="30" t="b">
        <f ca="1">IFERROR(__xludf.DUMMYFUNCTION("""COMPUTED_VALUE"""),FALSE)</f>
        <v>0</v>
      </c>
      <c r="AG115" s="30"/>
      <c r="AH115" s="30" t="str">
        <f ca="1">IFERROR(__xludf.DUMMYFUNCTION("""COMPUTED_VALUE"""),"Sin costo")</f>
        <v>Sin costo</v>
      </c>
      <c r="AI115" s="30"/>
      <c r="AJ115" s="30"/>
      <c r="AK115" s="30"/>
      <c r="AL115" s="30" t="str">
        <f ca="1">IFERROR(__xludf.DUMMYFUNCTION("""COMPUTED_VALUE"""),"ccardonav@guanajuato.gob.mx")</f>
        <v>ccardonav@guanajuato.gob.mx</v>
      </c>
      <c r="AM115" s="30" t="str">
        <f ca="1">IFERROR(__xludf.DUMMYFUNCTION("""COMPUTED_VALUE"""),"Apoyos para artistas populares.")</f>
        <v>Apoyos para artistas populares.</v>
      </c>
      <c r="AN115" s="30" t="str">
        <f ca="1">IFERROR(__xludf.DUMMYFUNCTION("""COMPUTED_VALUE"""),"2 Igualdad")</f>
        <v>2 Igualdad</v>
      </c>
      <c r="AO115" s="30" t="str">
        <f ca="1">IFERROR(__xludf.DUMMYFUNCTION("""COMPUTED_VALUE"""),"2.2 Fortalecer cohesión social")</f>
        <v>2.2 Fortalecer cohesión social</v>
      </c>
      <c r="AP115" s="30" t="str">
        <f ca="1">IFERROR(__xludf.DUMMYFUNCTION("""COMPUTED_VALUE"""),"2.2.1 Participación social comunitaria")</f>
        <v>2.2.1 Participación social comunitaria</v>
      </c>
      <c r="AQ115" s="30" t="str">
        <f ca="1">IFERROR(__xludf.DUMMYFUNCTION("""COMPUTED_VALUE"""),"2.2.1 Participación social comunitaria")</f>
        <v>2.2.1 Participación social comunitaria</v>
      </c>
      <c r="AR115" s="30" t="str">
        <f ca="1">IFERROR(__xludf.DUMMYFUNCTION("""COMPUTED_VALUE"""),"Cooperación")</f>
        <v>Cooperación</v>
      </c>
      <c r="AS115" s="30"/>
      <c r="AT115" s="30" t="str">
        <f ca="1">IFERROR(__xludf.DUMMYFUNCTION("""COMPUTED_VALUE"""),"Protección y dinamización del patrimonio, la memoria y los espacios culturales")</f>
        <v>Protección y dinamización del patrimonio, la memoria y los espacios culturales</v>
      </c>
      <c r="AU115"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15" s="30" t="str">
        <f ca="1">IFERROR(__xludf.DUMMYFUNCTION("""COMPUTED_VALUE"""),"Fortalecer la oferta cultura en espacios independientes")</f>
        <v>Fortalecer la oferta cultura en espacios independientes</v>
      </c>
      <c r="AW115"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15" s="30" t="str">
        <f ca="1">IFERROR(__xludf.DUMMYFUNCTION("""COMPUTED_VALUE"""),"Conferencia")</f>
        <v>Conferencia</v>
      </c>
      <c r="AY115" s="30" t="str">
        <f ca="1">IFERROR(__xludf.DUMMYFUNCTION("""COMPUTED_VALUE"""),"Mediación")</f>
        <v>Mediación</v>
      </c>
      <c r="AZ115" s="30"/>
      <c r="BA115" s="30"/>
      <c r="BB115" s="30"/>
      <c r="BC115" s="30">
        <f ca="1">IFERROR(__xludf.DUMMYFUNCTION("""COMPUTED_VALUE"""),0)</f>
        <v>0</v>
      </c>
      <c r="BD115" s="30"/>
      <c r="BE115" s="30"/>
      <c r="BF115" s="30" t="b">
        <f ca="1">IFERROR(__xludf.DUMMYFUNCTION("""COMPUTED_VALUE"""),FALSE)</f>
        <v>0</v>
      </c>
      <c r="BG115" s="30"/>
      <c r="BH115" s="30"/>
      <c r="BI115" s="30"/>
      <c r="BJ115" s="30"/>
      <c r="BK115" s="30"/>
      <c r="BL115" s="30"/>
      <c r="BM115" s="30" t="str">
        <f ca="1">IFERROR(__xludf.DUMMYFUNCTION("""COMPUTED_VALUE"""),"No")</f>
        <v>No</v>
      </c>
      <c r="BN115" s="30"/>
      <c r="BO115" s="30" t="str">
        <f ca="1">IFERROR(__xludf.DUMMYFUNCTION("""COMPUTED_VALUE"""),"6a66f295")</f>
        <v>6a66f295</v>
      </c>
      <c r="BP115" s="29" t="str">
        <f ca="1">IFERROR(__xludf.DUMMYFUNCTION("""COMPUTED_VALUE"""),"Purísima del Rincón")</f>
        <v>Purísima del Rincón</v>
      </c>
      <c r="BQ115" s="30" t="str">
        <f ca="1">IFERROR(__xludf.DUMMYFUNCTION("""COMPUTED_VALUE"""),"Urbano")</f>
        <v>Urbano</v>
      </c>
      <c r="BR115" s="30">
        <f ca="1">IFERROR(__xludf.DUMMYFUNCTION("""COMPUTED_VALUE"""),171)</f>
        <v>171</v>
      </c>
      <c r="BS115" s="30" t="str">
        <f ca="1">IFERROR(__xludf.DUMMYFUNCTION("""COMPUTED_VALUE"""),"Purísima")</f>
        <v>Purísima</v>
      </c>
      <c r="BT115" s="30"/>
      <c r="BU115" s="30" t="str">
        <f ca="1">IFERROR(__xludf.DUMMYFUNCTION("""COMPUTED_VALUE"""),"Si")</f>
        <v>Si</v>
      </c>
      <c r="BV115" s="30" t="str">
        <f ca="1">IFERROR(__xludf.DUMMYFUNCTION("""COMPUTED_VALUE"""),"No")</f>
        <v>No</v>
      </c>
      <c r="BW115" s="30">
        <f ca="1">IFERROR(__xludf.DUMMYFUNCTION("""COMPUTED_VALUE"""),54)</f>
        <v>54</v>
      </c>
      <c r="BX115" s="30">
        <f ca="1">IFERROR(__xludf.DUMMYFUNCTION("""COMPUTED_VALUE"""),54)</f>
        <v>54</v>
      </c>
      <c r="BY115" s="30">
        <f ca="1">IFERROR(__xludf.DUMMYFUNCTION("""COMPUTED_VALUE"""),0)</f>
        <v>0</v>
      </c>
      <c r="BZ115" s="30" t="str">
        <f ca="1">IFERROR(__xludf.DUMMYFUNCTION("""COMPUTED_VALUE"""),"Purísima")</f>
        <v>Purísima</v>
      </c>
      <c r="CA115" s="30" t="str">
        <f ca="1">IFERROR(__xludf.DUMMYFUNCTION("""COMPUTED_VALUE"""),"No")</f>
        <v>No</v>
      </c>
      <c r="CB115" s="30" t="str">
        <f ca="1">IFERROR(__xludf.DUMMYFUNCTION("""COMPUTED_VALUE"""),"No")</f>
        <v>No</v>
      </c>
      <c r="CC115" s="30" t="str">
        <f ca="1">IFERROR(__xludf.DUMMYFUNCTION("""COMPUTED_VALUE"""),"1501f4e7")</f>
        <v>1501f4e7</v>
      </c>
      <c r="CD115" s="29" t="str">
        <f ca="1">IFERROR(__xludf.DUMMYFUNCTION("""COMPUTED_VALUE"""),"Adultos (30 a 59 años)")</f>
        <v>Adultos (30 a 59 años)</v>
      </c>
      <c r="CE115" s="30" t="str">
        <f ca="1">IFERROR(__xludf.DUMMYFUNCTION("""COMPUTED_VALUE"""),"Dato global")</f>
        <v>Dato global</v>
      </c>
      <c r="CF115" s="30" t="str">
        <f ca="1">IFERROR(__xludf.DUMMYFUNCTION("""COMPUTED_VALUE"""),"Ninguno (Población General)")</f>
        <v>Ninguno (Población General)</v>
      </c>
      <c r="CG115" s="30">
        <f ca="1">IFERROR(__xludf.DUMMYFUNCTION("""COMPUTED_VALUE"""),12)</f>
        <v>12</v>
      </c>
      <c r="CI115" s="30" t="str">
        <f ca="1">IFERROR(__xludf.DUMMYFUNCTION("""COMPUTED_VALUE"""),"268b8f5f")</f>
        <v>268b8f5f</v>
      </c>
      <c r="CJ115" s="29" t="str">
        <f ca="1">IFERROR(__xludf.DUMMYFUNCTION("""COMPUTED_VALUE"""),"Regitro_Evidencia_Files_/268b8f5f.Archivo_Evidencia.180051.pptx")</f>
        <v>Regitro_Evidencia_Files_/268b8f5f.Archivo_Evidencia.180051.pptx</v>
      </c>
      <c r="CK115" s="30" t="str">
        <f ca="1">IFERROR(__xludf.DUMMYFUNCTION("""COMPUTED_VALUE"""),"Otro tipo de archivo ")</f>
        <v xml:space="preserve">Otro tipo de archivo </v>
      </c>
      <c r="CL115" s="30"/>
      <c r="CM115" s="30" t="str">
        <f ca="1">IFERROR(__xludf.DUMMYFUNCTION("""COMPUTED_VALUE"""),"Purísima del Rincón")</f>
        <v>Purísima del Rincón</v>
      </c>
      <c r="CN115" s="32" t="e">
        <f ca="1"/>
        <v>#NAME?</v>
      </c>
      <c r="CO115" s="32" t="e">
        <f ca="1"/>
        <v>#NAME?</v>
      </c>
      <c r="CP115" s="32" t="e">
        <f ca="1"/>
        <v>#NAME?</v>
      </c>
      <c r="CQ115" s="32" t="e">
        <f ca="1"/>
        <v>#NAME?</v>
      </c>
      <c r="CR115" s="30" t="e">
        <f ca="1"/>
        <v>#NAME?</v>
      </c>
      <c r="CS115" s="30" t="str">
        <f ca="1">IFERROR(__xludf.DUMMYFUNCTION("""COMPUTED_VALUE"""),"NNA (Niñas, Niños y Adolescentes)")</f>
        <v>NNA (Niñas, Niños y Adolescentes)</v>
      </c>
    </row>
    <row r="116" spans="1:97" ht="13">
      <c r="A116" s="29" t="str">
        <f ca="1">IFERROR(__xludf.DUMMYFUNCTION("""COMPUTED_VALUE"""),"ACT-SCFB65135")</f>
        <v>ACT-SCFB65135</v>
      </c>
      <c r="B116" s="30" t="str">
        <f ca="1">IFERROR(__xludf.DUMMYFUNCTION("""COMPUTED_VALUE"""),"SC-260624-163225")</f>
        <v>SC-260624-163225</v>
      </c>
      <c r="C116" s="62">
        <f ca="1">IFERROR(__xludf.DUMMYFUNCTION("""COMPUTED_VALUE"""),46197.6891782407)</f>
        <v>46197.689178240696</v>
      </c>
      <c r="D116" s="30">
        <f ca="1">IFERROR(__xludf.DUMMYFUNCTION("""COMPUTED_VALUE"""),92)</f>
        <v>92</v>
      </c>
      <c r="E116" s="30" t="str">
        <f ca="1">IFERROR(__xludf.DUMMYFUNCTION("""COMPUTED_VALUE"""),"PB3572")</f>
        <v>PB3572</v>
      </c>
      <c r="F11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6" s="30" t="str">
        <f ca="1">IFERROR(__xludf.DUMMYFUNCTION("""COMPUTED_VALUE"""),"SUBSECRETARÍA DE DESARROLLO Y PROMOCIÓN ARTÍSTICA Y CULTURAL")</f>
        <v>SUBSECRETARÍA DE DESARROLLO Y PROMOCIÓN ARTÍSTICA Y CULTURAL</v>
      </c>
      <c r="I116" s="34" t="str">
        <f ca="1">IFERROR(__xludf.DUMMYFUNCTION("""COMPUTED_VALUE"""),"DIRECCIÓN GENERAL DE MUSEOS, ARTES VISUALES Y EXPOSICIONES")</f>
        <v>DIRECCIÓN GENERAL DE MUSEOS, ARTES VISUALES Y EXPOSICIONES</v>
      </c>
      <c r="J116" s="30" t="str">
        <f ca="1">IFERROR(__xludf.DUMMYFUNCTION("""COMPUTED_VALUE"""),"Número de Actividades realizadas")</f>
        <v>Número de Actividades realizadas</v>
      </c>
      <c r="K116" s="30">
        <f ca="1">IFERROR(__xludf.DUMMYFUNCTION("""COMPUTED_VALUE"""),800)</f>
        <v>800</v>
      </c>
      <c r="L116" s="30" t="str">
        <f ca="1">IFERROR(__xludf.DUMMYFUNCTION("""COMPUTED_VALUE"""),"Cultural")</f>
        <v>Cultural</v>
      </c>
      <c r="M116" s="30" t="str">
        <f ca="1">IFERROR(__xludf.DUMMYFUNCTION("""COMPUTED_VALUE"""),"Conversemos sobre arte")</f>
        <v>Conversemos sobre arte</v>
      </c>
      <c r="N116"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16" s="30" t="str">
        <f ca="1">IFERROR(__xludf.DUMMYFUNCTION("""COMPUTED_VALUE"""),"Única")</f>
        <v>Única</v>
      </c>
      <c r="P116" s="33">
        <f ca="1">IFERROR(__xludf.DUMMYFUNCTION("""COMPUTED_VALUE"""),46175)</f>
        <v>46175</v>
      </c>
      <c r="Q116" s="33">
        <f ca="1">IFERROR(__xludf.DUMMYFUNCTION("""COMPUTED_VALUE"""),46175)</f>
        <v>46175</v>
      </c>
      <c r="R116" s="30">
        <f ca="1">IFERROR(__xludf.DUMMYFUNCTION("""COMPUTED_VALUE"""),1)</f>
        <v>1</v>
      </c>
      <c r="S116" s="30" t="str">
        <f ca="1">IFERROR(__xludf.DUMMYFUNCTION("""COMPUTED_VALUE"""),"Cultura comunitaria")</f>
        <v>Cultura comunitaria</v>
      </c>
      <c r="T116" s="30" t="str">
        <f ca="1">IFERROR(__xludf.DUMMYFUNCTION("""COMPUTED_VALUE"""),"Mediación cultural")</f>
        <v>Mediación cultural</v>
      </c>
      <c r="U116" s="30" t="str">
        <f ca="1">IFERROR(__xludf.DUMMYFUNCTION("""COMPUTED_VALUE"""),"Taller")</f>
        <v>Taller</v>
      </c>
      <c r="V116" s="30" t="str">
        <f ca="1">IFERROR(__xludf.DUMMYFUNCTION("""COMPUTED_VALUE"""),"Ninguna")</f>
        <v>Ninguna</v>
      </c>
      <c r="W116" s="30" t="str">
        <f ca="1">IFERROR(__xludf.DUMMYFUNCTION("""COMPUTED_VALUE"""),"Presencial")</f>
        <v>Presencial</v>
      </c>
      <c r="X116" s="30" t="str">
        <f ca="1">IFERROR(__xludf.DUMMYFUNCTION("""COMPUTED_VALUE"""),"Espacio a Cargo de la Secretaría")</f>
        <v>Espacio a Cargo de la Secretaría</v>
      </c>
      <c r="Y116" s="30" t="str">
        <f ca="1">IFERROR(__xludf.DUMMYFUNCTION("""COMPUTED_VALUE"""),"9")</f>
        <v>9</v>
      </c>
      <c r="Z116" s="30"/>
      <c r="AA116" s="30"/>
      <c r="AB116" s="30" t="b">
        <f ca="1">IFERROR(__xludf.DUMMYFUNCTION("""COMPUTED_VALUE"""),FALSE)</f>
        <v>0</v>
      </c>
      <c r="AC116" s="30"/>
      <c r="AD116" s="30" t="b">
        <f ca="1">IFERROR(__xludf.DUMMYFUNCTION("""COMPUTED_VALUE"""),FALSE)</f>
        <v>0</v>
      </c>
      <c r="AE116" s="30"/>
      <c r="AF116" s="30" t="b">
        <f ca="1">IFERROR(__xludf.DUMMYFUNCTION("""COMPUTED_VALUE"""),FALSE)</f>
        <v>0</v>
      </c>
      <c r="AG116" s="30"/>
      <c r="AH116" s="30" t="str">
        <f ca="1">IFERROR(__xludf.DUMMYFUNCTION("""COMPUTED_VALUE"""),"Sin costo")</f>
        <v>Sin costo</v>
      </c>
      <c r="AI116" s="30"/>
      <c r="AJ116" s="30"/>
      <c r="AK116" s="30"/>
      <c r="AL116" s="30" t="str">
        <f ca="1">IFERROR(__xludf.DUMMYFUNCTION("""COMPUTED_VALUE"""),"ccardonav@guanajuato.gob.mx")</f>
        <v>ccardonav@guanajuato.gob.mx</v>
      </c>
      <c r="AM116" s="30" t="str">
        <f ca="1">IFERROR(__xludf.DUMMYFUNCTION("""COMPUTED_VALUE"""),"Arraigo y empoderamiento cultural de comunidades.")</f>
        <v>Arraigo y empoderamiento cultural de comunidades.</v>
      </c>
      <c r="AN116" s="30" t="str">
        <f ca="1">IFERROR(__xludf.DUMMYFUNCTION("""COMPUTED_VALUE"""),"2 Igualdad")</f>
        <v>2 Igualdad</v>
      </c>
      <c r="AO116" s="30" t="str">
        <f ca="1">IFERROR(__xludf.DUMMYFUNCTION("""COMPUTED_VALUE"""),"2.2 Fortalecer cohesión social")</f>
        <v>2.2 Fortalecer cohesión social</v>
      </c>
      <c r="AP116" s="30" t="str">
        <f ca="1">IFERROR(__xludf.DUMMYFUNCTION("""COMPUTED_VALUE"""),"2.2.1 Participación social comunitaria")</f>
        <v>2.2.1 Participación social comunitaria</v>
      </c>
      <c r="AQ116" s="30" t="str">
        <f ca="1">IFERROR(__xludf.DUMMYFUNCTION("""COMPUTED_VALUE"""),"2.2.1 Participación social comunitaria")</f>
        <v>2.2.1 Participación social comunitaria</v>
      </c>
      <c r="AR116" s="30" t="str">
        <f ca="1">IFERROR(__xludf.DUMMYFUNCTION("""COMPUTED_VALUE"""),"Cooperación")</f>
        <v>Cooperación</v>
      </c>
      <c r="AS116" s="30"/>
      <c r="AT116" s="30" t="str">
        <f ca="1">IFERROR(__xludf.DUMMYFUNCTION("""COMPUTED_VALUE"""),"Impulso a la educación artística y a la profesionalización del sector cultural")</f>
        <v>Impulso a la educación artística y a la profesionalización del sector cultural</v>
      </c>
      <c r="AU116" s="30" t="str">
        <f ca="1">IFERROR(__xludf.DUMMYFUNCTION("""COMPUTED_VALUE"""),"Fortalecimiento de las alianzas entre el sector cultural, educativo y productivo")</f>
        <v>Fortalecimiento de las alianzas entre el sector cultural, educativo y productivo</v>
      </c>
      <c r="AV116"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6"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6" s="30" t="str">
        <f ca="1">IFERROR(__xludf.DUMMYFUNCTION("""COMPUTED_VALUE"""),"Visitas escolares")</f>
        <v>Visitas escolares</v>
      </c>
      <c r="AY116" s="30" t="str">
        <f ca="1">IFERROR(__xludf.DUMMYFUNCTION("""COMPUTED_VALUE"""),"Mediación")</f>
        <v>Mediación</v>
      </c>
      <c r="AZ116" s="30"/>
      <c r="BA116" s="30"/>
      <c r="BB116" s="30"/>
      <c r="BC116" s="30">
        <f ca="1">IFERROR(__xludf.DUMMYFUNCTION("""COMPUTED_VALUE"""),0)</f>
        <v>0</v>
      </c>
      <c r="BD116" s="30"/>
      <c r="BE116" s="30"/>
      <c r="BF116" s="30" t="b">
        <f ca="1">IFERROR(__xludf.DUMMYFUNCTION("""COMPUTED_VALUE"""),FALSE)</f>
        <v>0</v>
      </c>
      <c r="BG116" s="30"/>
      <c r="BH116" s="30"/>
      <c r="BI116" s="30"/>
      <c r="BJ116" s="30"/>
      <c r="BK116" s="30"/>
      <c r="BL116" s="30"/>
      <c r="BM116" s="30" t="str">
        <f ca="1">IFERROR(__xludf.DUMMYFUNCTION("""COMPUTED_VALUE"""),"No")</f>
        <v>No</v>
      </c>
      <c r="BN116" s="30"/>
      <c r="BO116" s="30" t="str">
        <f ca="1">IFERROR(__xludf.DUMMYFUNCTION("""COMPUTED_VALUE"""),"44fb5da6")</f>
        <v>44fb5da6</v>
      </c>
      <c r="BP116" s="29" t="str">
        <f ca="1">IFERROR(__xludf.DUMMYFUNCTION("""COMPUTED_VALUE"""),"Purísima del Rincón")</f>
        <v>Purísima del Rincón</v>
      </c>
      <c r="BQ116" s="30" t="str">
        <f ca="1">IFERROR(__xludf.DUMMYFUNCTION("""COMPUTED_VALUE"""),"Urbano")</f>
        <v>Urbano</v>
      </c>
      <c r="BR116" s="30">
        <f ca="1">IFERROR(__xludf.DUMMYFUNCTION("""COMPUTED_VALUE"""),171)</f>
        <v>171</v>
      </c>
      <c r="BS116" s="30" t="str">
        <f ca="1">IFERROR(__xludf.DUMMYFUNCTION("""COMPUTED_VALUE"""),"Purísima")</f>
        <v>Purísima</v>
      </c>
      <c r="BT116" s="30"/>
      <c r="BU116" s="30" t="str">
        <f ca="1">IFERROR(__xludf.DUMMYFUNCTION("""COMPUTED_VALUE"""),"Si")</f>
        <v>Si</v>
      </c>
      <c r="BV116" s="30" t="str">
        <f ca="1">IFERROR(__xludf.DUMMYFUNCTION("""COMPUTED_VALUE"""),"No")</f>
        <v>No</v>
      </c>
      <c r="BW116" s="30">
        <f ca="1">IFERROR(__xludf.DUMMYFUNCTION("""COMPUTED_VALUE"""),45)</f>
        <v>45</v>
      </c>
      <c r="BX116" s="30">
        <f ca="1">IFERROR(__xludf.DUMMYFUNCTION("""COMPUTED_VALUE"""),45)</f>
        <v>45</v>
      </c>
      <c r="BY116" s="30">
        <f ca="1">IFERROR(__xludf.DUMMYFUNCTION("""COMPUTED_VALUE"""),0)</f>
        <v>0</v>
      </c>
      <c r="BZ116" s="30" t="str">
        <f ca="1">IFERROR(__xludf.DUMMYFUNCTION("""COMPUTED_VALUE"""),"Purísima")</f>
        <v>Purísima</v>
      </c>
      <c r="CA116" s="30" t="str">
        <f ca="1">IFERROR(__xludf.DUMMYFUNCTION("""COMPUTED_VALUE"""),"No")</f>
        <v>No</v>
      </c>
      <c r="CB116" s="30" t="str">
        <f ca="1">IFERROR(__xludf.DUMMYFUNCTION("""COMPUTED_VALUE"""),"No")</f>
        <v>No</v>
      </c>
      <c r="CC116" s="30" t="str">
        <f ca="1">IFERROR(__xludf.DUMMYFUNCTION("""COMPUTED_VALUE"""),"8ec7252a")</f>
        <v>8ec7252a</v>
      </c>
      <c r="CD116" s="29" t="str">
        <f ca="1">IFERROR(__xludf.DUMMYFUNCTION("""COMPUTED_VALUE"""),"Jóvenes (18 a 29 años)")</f>
        <v>Jóvenes (18 a 29 años)</v>
      </c>
      <c r="CE116" s="30" t="str">
        <f ca="1">IFERROR(__xludf.DUMMYFUNCTION("""COMPUTED_VALUE"""),"Dato global")</f>
        <v>Dato global</v>
      </c>
      <c r="CF116" s="30" t="str">
        <f ca="1">IFERROR(__xludf.DUMMYFUNCTION("""COMPUTED_VALUE"""),"Ninguno (Población General)")</f>
        <v>Ninguno (Población General)</v>
      </c>
      <c r="CG116" s="30">
        <f ca="1">IFERROR(__xludf.DUMMYFUNCTION("""COMPUTED_VALUE"""),6)</f>
        <v>6</v>
      </c>
      <c r="CI116" s="30" t="str">
        <f ca="1">IFERROR(__xludf.DUMMYFUNCTION("""COMPUTED_VALUE"""),"8aa3b1e9")</f>
        <v>8aa3b1e9</v>
      </c>
      <c r="CJ116" s="29" t="str">
        <f ca="1">IFERROR(__xludf.DUMMYFUNCTION("""COMPUTED_VALUE"""),"Regitro_Evidencia_Files_/8aa3b1e9.Archivo_Evidencia.183849.pptx")</f>
        <v>Regitro_Evidencia_Files_/8aa3b1e9.Archivo_Evidencia.183849.pptx</v>
      </c>
      <c r="CK116" s="30" t="str">
        <f ca="1">IFERROR(__xludf.DUMMYFUNCTION("""COMPUTED_VALUE"""),"Otro tipo de archivo ")</f>
        <v xml:space="preserve">Otro tipo de archivo </v>
      </c>
      <c r="CL116" s="30"/>
      <c r="CM116" s="30" t="str">
        <f ca="1">IFERROR(__xludf.DUMMYFUNCTION("""COMPUTED_VALUE"""),"Purísima del Rincón")</f>
        <v>Purísima del Rincón</v>
      </c>
      <c r="CN116" s="32" t="e">
        <f ca="1"/>
        <v>#NAME?</v>
      </c>
      <c r="CO116" s="32" t="e">
        <f ca="1"/>
        <v>#NAME?</v>
      </c>
      <c r="CP116" s="32" t="e">
        <f ca="1"/>
        <v>#NAME?</v>
      </c>
      <c r="CQ116" s="32" t="e">
        <f ca="1"/>
        <v>#NAME?</v>
      </c>
      <c r="CR116" s="30" t="e">
        <f ca="1"/>
        <v>#NAME?</v>
      </c>
      <c r="CS116" s="30" t="str">
        <f ca="1">IFERROR(__xludf.DUMMYFUNCTION("""COMPUTED_VALUE"""),"NNA (Niñas, Niños y Adolescentes)")</f>
        <v>NNA (Niñas, Niños y Adolescentes)</v>
      </c>
    </row>
    <row r="117" spans="1:97" ht="13">
      <c r="A117" s="29" t="str">
        <f ca="1">IFERROR(__xludf.DUMMYFUNCTION("""COMPUTED_VALUE"""),"ACT-SCMK74426")</f>
        <v>ACT-SCMK74426</v>
      </c>
      <c r="B117" s="30" t="str">
        <f ca="1">IFERROR(__xludf.DUMMYFUNCTION("""COMPUTED_VALUE"""),"SC-260624-163633")</f>
        <v>SC-260624-163633</v>
      </c>
      <c r="C117" s="62">
        <f ca="1">IFERROR(__xludf.DUMMYFUNCTION("""COMPUTED_VALUE"""),46197.6920486111)</f>
        <v>46197.692048611098</v>
      </c>
      <c r="D117" s="30">
        <f ca="1">IFERROR(__xludf.DUMMYFUNCTION("""COMPUTED_VALUE"""),92)</f>
        <v>92</v>
      </c>
      <c r="E117" s="30" t="str">
        <f ca="1">IFERROR(__xludf.DUMMYFUNCTION("""COMPUTED_VALUE"""),"PB3572")</f>
        <v>PB3572</v>
      </c>
      <c r="F11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7" s="30" t="str">
        <f ca="1">IFERROR(__xludf.DUMMYFUNCTION("""COMPUTED_VALUE"""),"SUBSECRETARÍA DE DESARROLLO Y PROMOCIÓN ARTÍSTICA Y CULTURAL")</f>
        <v>SUBSECRETARÍA DE DESARROLLO Y PROMOCIÓN ARTÍSTICA Y CULTURAL</v>
      </c>
      <c r="I117" s="34" t="str">
        <f ca="1">IFERROR(__xludf.DUMMYFUNCTION("""COMPUTED_VALUE"""),"DIRECCIÓN GENERAL DE MUSEOS, ARTES VISUALES Y EXPOSICIONES")</f>
        <v>DIRECCIÓN GENERAL DE MUSEOS, ARTES VISUALES Y EXPOSICIONES</v>
      </c>
      <c r="J117" s="30" t="str">
        <f ca="1">IFERROR(__xludf.DUMMYFUNCTION("""COMPUTED_VALUE"""),"Número de Actividades realizadas")</f>
        <v>Número de Actividades realizadas</v>
      </c>
      <c r="K117" s="30">
        <f ca="1">IFERROR(__xludf.DUMMYFUNCTION("""COMPUTED_VALUE"""),800)</f>
        <v>800</v>
      </c>
      <c r="L117" s="30" t="str">
        <f ca="1">IFERROR(__xludf.DUMMYFUNCTION("""COMPUTED_VALUE"""),"Cultural")</f>
        <v>Cultural</v>
      </c>
      <c r="M117" s="30" t="str">
        <f ca="1">IFERROR(__xludf.DUMMYFUNCTION("""COMPUTED_VALUE"""),"Conversemos sobre arte")</f>
        <v>Conversemos sobre arte</v>
      </c>
      <c r="N117"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17" s="30" t="str">
        <f ca="1">IFERROR(__xludf.DUMMYFUNCTION("""COMPUTED_VALUE"""),"Única")</f>
        <v>Única</v>
      </c>
      <c r="P117" s="33">
        <f ca="1">IFERROR(__xludf.DUMMYFUNCTION("""COMPUTED_VALUE"""),46175)</f>
        <v>46175</v>
      </c>
      <c r="Q117" s="33">
        <f ca="1">IFERROR(__xludf.DUMMYFUNCTION("""COMPUTED_VALUE"""),46175)</f>
        <v>46175</v>
      </c>
      <c r="R117" s="30">
        <f ca="1">IFERROR(__xludf.DUMMYFUNCTION("""COMPUTED_VALUE"""),1)</f>
        <v>1</v>
      </c>
      <c r="S117" s="30" t="str">
        <f ca="1">IFERROR(__xludf.DUMMYFUNCTION("""COMPUTED_VALUE"""),"Cultura comunitaria")</f>
        <v>Cultura comunitaria</v>
      </c>
      <c r="T117" s="30" t="str">
        <f ca="1">IFERROR(__xludf.DUMMYFUNCTION("""COMPUTED_VALUE"""),"Mediación cultural")</f>
        <v>Mediación cultural</v>
      </c>
      <c r="U117" s="30" t="str">
        <f ca="1">IFERROR(__xludf.DUMMYFUNCTION("""COMPUTED_VALUE"""),"Taller")</f>
        <v>Taller</v>
      </c>
      <c r="V117" s="30" t="str">
        <f ca="1">IFERROR(__xludf.DUMMYFUNCTION("""COMPUTED_VALUE"""),"Ninguna")</f>
        <v>Ninguna</v>
      </c>
      <c r="W117" s="30" t="str">
        <f ca="1">IFERROR(__xludf.DUMMYFUNCTION("""COMPUTED_VALUE"""),"Presencial")</f>
        <v>Presencial</v>
      </c>
      <c r="X117" s="30" t="str">
        <f ca="1">IFERROR(__xludf.DUMMYFUNCTION("""COMPUTED_VALUE"""),"Espacio a Cargo de la Secretaría")</f>
        <v>Espacio a Cargo de la Secretaría</v>
      </c>
      <c r="Y117" s="30" t="str">
        <f ca="1">IFERROR(__xludf.DUMMYFUNCTION("""COMPUTED_VALUE"""),"9")</f>
        <v>9</v>
      </c>
      <c r="Z117" s="30"/>
      <c r="AA117" s="30"/>
      <c r="AB117" s="30" t="b">
        <f ca="1">IFERROR(__xludf.DUMMYFUNCTION("""COMPUTED_VALUE"""),FALSE)</f>
        <v>0</v>
      </c>
      <c r="AC117" s="30"/>
      <c r="AD117" s="30" t="b">
        <f ca="1">IFERROR(__xludf.DUMMYFUNCTION("""COMPUTED_VALUE"""),FALSE)</f>
        <v>0</v>
      </c>
      <c r="AE117" s="30"/>
      <c r="AF117" s="30" t="b">
        <f ca="1">IFERROR(__xludf.DUMMYFUNCTION("""COMPUTED_VALUE"""),FALSE)</f>
        <v>0</v>
      </c>
      <c r="AG117" s="30"/>
      <c r="AH117" s="30" t="str">
        <f ca="1">IFERROR(__xludf.DUMMYFUNCTION("""COMPUTED_VALUE"""),"Sin costo")</f>
        <v>Sin costo</v>
      </c>
      <c r="AI117" s="30"/>
      <c r="AJ117" s="30"/>
      <c r="AK117" s="30"/>
      <c r="AL117" s="30" t="str">
        <f ca="1">IFERROR(__xludf.DUMMYFUNCTION("""COMPUTED_VALUE"""),"ccardonav@guanajuato.gob.mx")</f>
        <v>ccardonav@guanajuato.gob.mx</v>
      </c>
      <c r="AM117" s="30" t="str">
        <f ca="1">IFERROR(__xludf.DUMMYFUNCTION("""COMPUTED_VALUE"""),"Arraigo y empoderamiento cultural de comunidades.")</f>
        <v>Arraigo y empoderamiento cultural de comunidades.</v>
      </c>
      <c r="AN117" s="30" t="str">
        <f ca="1">IFERROR(__xludf.DUMMYFUNCTION("""COMPUTED_VALUE"""),"2 Igualdad")</f>
        <v>2 Igualdad</v>
      </c>
      <c r="AO117" s="30" t="str">
        <f ca="1">IFERROR(__xludf.DUMMYFUNCTION("""COMPUTED_VALUE"""),"2.2 Fortalecer cohesión social")</f>
        <v>2.2 Fortalecer cohesión social</v>
      </c>
      <c r="AP117" s="30" t="str">
        <f ca="1">IFERROR(__xludf.DUMMYFUNCTION("""COMPUTED_VALUE"""),"2.2.1 Participación social comunitaria")</f>
        <v>2.2.1 Participación social comunitaria</v>
      </c>
      <c r="AQ117" s="30" t="str">
        <f ca="1">IFERROR(__xludf.DUMMYFUNCTION("""COMPUTED_VALUE"""),"2.2.1 Participación social comunitaria")</f>
        <v>2.2.1 Participación social comunitaria</v>
      </c>
      <c r="AR117" s="30" t="str">
        <f ca="1">IFERROR(__xludf.DUMMYFUNCTION("""COMPUTED_VALUE"""),"Cooperación")</f>
        <v>Cooperación</v>
      </c>
      <c r="AS117" s="30"/>
      <c r="AT117" s="30" t="str">
        <f ca="1">IFERROR(__xludf.DUMMYFUNCTION("""COMPUTED_VALUE"""),"Impulso a la educación artística y a la profesionalización del sector cultural")</f>
        <v>Impulso a la educación artística y a la profesionalización del sector cultural</v>
      </c>
      <c r="AU117" s="30" t="str">
        <f ca="1">IFERROR(__xludf.DUMMYFUNCTION("""COMPUTED_VALUE"""),"Fortalecimiento de las alianzas entre el sector cultural, educativo y productivo")</f>
        <v>Fortalecimiento de las alianzas entre el sector cultural, educativo y productivo</v>
      </c>
      <c r="AV117"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7"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7" s="30" t="str">
        <f ca="1">IFERROR(__xludf.DUMMYFUNCTION("""COMPUTED_VALUE"""),"Visitas escolares")</f>
        <v>Visitas escolares</v>
      </c>
      <c r="AY117" s="30" t="str">
        <f ca="1">IFERROR(__xludf.DUMMYFUNCTION("""COMPUTED_VALUE"""),"Mediación")</f>
        <v>Mediación</v>
      </c>
      <c r="AZ117" s="30"/>
      <c r="BA117" s="30"/>
      <c r="BB117" s="30"/>
      <c r="BC117" s="30">
        <f ca="1">IFERROR(__xludf.DUMMYFUNCTION("""COMPUTED_VALUE"""),0)</f>
        <v>0</v>
      </c>
      <c r="BD117" s="30"/>
      <c r="BE117" s="30"/>
      <c r="BF117" s="30" t="b">
        <f ca="1">IFERROR(__xludf.DUMMYFUNCTION("""COMPUTED_VALUE"""),FALSE)</f>
        <v>0</v>
      </c>
      <c r="BG117" s="30"/>
      <c r="BH117" s="30"/>
      <c r="BI117" s="30"/>
      <c r="BJ117" s="30"/>
      <c r="BK117" s="30"/>
      <c r="BL117" s="30"/>
      <c r="BM117" s="30" t="str">
        <f ca="1">IFERROR(__xludf.DUMMYFUNCTION("""COMPUTED_VALUE"""),"No")</f>
        <v>No</v>
      </c>
      <c r="BN117" s="30"/>
      <c r="BO117" s="30" t="str">
        <f ca="1">IFERROR(__xludf.DUMMYFUNCTION("""COMPUTED_VALUE"""),"fda7b47d")</f>
        <v>fda7b47d</v>
      </c>
      <c r="BP117" s="29" t="str">
        <f ca="1">IFERROR(__xludf.DUMMYFUNCTION("""COMPUTED_VALUE"""),"Purísima del Rincón")</f>
        <v>Purísima del Rincón</v>
      </c>
      <c r="BQ117" s="30" t="str">
        <f ca="1">IFERROR(__xludf.DUMMYFUNCTION("""COMPUTED_VALUE"""),"Urbano")</f>
        <v>Urbano</v>
      </c>
      <c r="BR117" s="30">
        <f ca="1">IFERROR(__xludf.DUMMYFUNCTION("""COMPUTED_VALUE"""),171)</f>
        <v>171</v>
      </c>
      <c r="BS117" s="30" t="str">
        <f ca="1">IFERROR(__xludf.DUMMYFUNCTION("""COMPUTED_VALUE"""),"Purísima")</f>
        <v>Purísima</v>
      </c>
      <c r="BT117" s="30"/>
      <c r="BU117" s="30" t="str">
        <f ca="1">IFERROR(__xludf.DUMMYFUNCTION("""COMPUTED_VALUE"""),"Si")</f>
        <v>Si</v>
      </c>
      <c r="BV117" s="30" t="str">
        <f ca="1">IFERROR(__xludf.DUMMYFUNCTION("""COMPUTED_VALUE"""),"No")</f>
        <v>No</v>
      </c>
      <c r="BW117" s="30">
        <f ca="1">IFERROR(__xludf.DUMMYFUNCTION("""COMPUTED_VALUE"""),30)</f>
        <v>30</v>
      </c>
      <c r="BX117" s="30">
        <f ca="1">IFERROR(__xludf.DUMMYFUNCTION("""COMPUTED_VALUE"""),30)</f>
        <v>30</v>
      </c>
      <c r="BY117" s="30">
        <f ca="1">IFERROR(__xludf.DUMMYFUNCTION("""COMPUTED_VALUE"""),0)</f>
        <v>0</v>
      </c>
      <c r="BZ117" s="30" t="str">
        <f ca="1">IFERROR(__xludf.DUMMYFUNCTION("""COMPUTED_VALUE"""),"Purísima")</f>
        <v>Purísima</v>
      </c>
      <c r="CA117" s="30" t="str">
        <f ca="1">IFERROR(__xludf.DUMMYFUNCTION("""COMPUTED_VALUE"""),"No")</f>
        <v>No</v>
      </c>
      <c r="CB117" s="30" t="str">
        <f ca="1">IFERROR(__xludf.DUMMYFUNCTION("""COMPUTED_VALUE"""),"No")</f>
        <v>No</v>
      </c>
      <c r="CC117" s="30" t="str">
        <f ca="1">IFERROR(__xludf.DUMMYFUNCTION("""COMPUTED_VALUE"""),"628d2503")</f>
        <v>628d2503</v>
      </c>
      <c r="CD117" s="29" t="str">
        <f ca="1">IFERROR(__xludf.DUMMYFUNCTION("""COMPUTED_VALUE"""),"Adultos (30 a 59 años)")</f>
        <v>Adultos (30 a 59 años)</v>
      </c>
      <c r="CE117" s="30" t="str">
        <f ca="1">IFERROR(__xludf.DUMMYFUNCTION("""COMPUTED_VALUE"""),"Dato global")</f>
        <v>Dato global</v>
      </c>
      <c r="CF117" s="30" t="str">
        <f ca="1">IFERROR(__xludf.DUMMYFUNCTION("""COMPUTED_VALUE"""),"Ninguno (Población General)")</f>
        <v>Ninguno (Población General)</v>
      </c>
      <c r="CG117" s="30">
        <f ca="1">IFERROR(__xludf.DUMMYFUNCTION("""COMPUTED_VALUE"""),7)</f>
        <v>7</v>
      </c>
      <c r="CI117" s="30" t="str">
        <f ca="1">IFERROR(__xludf.DUMMYFUNCTION("""COMPUTED_VALUE"""),"ea7850a0")</f>
        <v>ea7850a0</v>
      </c>
      <c r="CJ117" s="29" t="str">
        <f ca="1">IFERROR(__xludf.DUMMYFUNCTION("""COMPUTED_VALUE"""),"Regitro_Evidencia_Files_/ea7850a0.Archivo_Evidencia.184823.pptx")</f>
        <v>Regitro_Evidencia_Files_/ea7850a0.Archivo_Evidencia.184823.pptx</v>
      </c>
      <c r="CK117" s="30" t="str">
        <f ca="1">IFERROR(__xludf.DUMMYFUNCTION("""COMPUTED_VALUE"""),"Otro tipo de archivo ")</f>
        <v xml:space="preserve">Otro tipo de archivo </v>
      </c>
      <c r="CL117" s="30"/>
      <c r="CM117" s="30" t="str">
        <f ca="1">IFERROR(__xludf.DUMMYFUNCTION("""COMPUTED_VALUE"""),"Purísima del Rincón")</f>
        <v>Purísima del Rincón</v>
      </c>
      <c r="CN117" s="32" t="e">
        <f ca="1"/>
        <v>#NAME?</v>
      </c>
      <c r="CO117" s="32" t="e">
        <f ca="1"/>
        <v>#NAME?</v>
      </c>
      <c r="CP117" s="32" t="e">
        <f ca="1"/>
        <v>#NAME?</v>
      </c>
      <c r="CQ117" s="32" t="e">
        <f ca="1"/>
        <v>#NAME?</v>
      </c>
      <c r="CR117" s="30" t="e">
        <f ca="1"/>
        <v>#NAME?</v>
      </c>
      <c r="CS117" s="30" t="str">
        <f ca="1">IFERROR(__xludf.DUMMYFUNCTION("""COMPUTED_VALUE"""),"NNA (Niñas, Niños y Adolescentes)")</f>
        <v>NNA (Niñas, Niños y Adolescentes)</v>
      </c>
    </row>
    <row r="118" spans="1:97" ht="13">
      <c r="A118" s="29" t="str">
        <f ca="1">IFERROR(__xludf.DUMMYFUNCTION("""COMPUTED_VALUE"""),"ACT-SCTH69990")</f>
        <v>ACT-SCTH69990</v>
      </c>
      <c r="B118" s="30" t="str">
        <f ca="1">IFERROR(__xludf.DUMMYFUNCTION("""COMPUTED_VALUE"""),"SC-260624-164350")</f>
        <v>SC-260624-164350</v>
      </c>
      <c r="C118" s="62">
        <f ca="1">IFERROR(__xludf.DUMMYFUNCTION("""COMPUTED_VALUE"""),46197.6971064814)</f>
        <v>46197.697106481399</v>
      </c>
      <c r="D118" s="30">
        <f ca="1">IFERROR(__xludf.DUMMYFUNCTION("""COMPUTED_VALUE"""),92)</f>
        <v>92</v>
      </c>
      <c r="E118" s="30" t="str">
        <f ca="1">IFERROR(__xludf.DUMMYFUNCTION("""COMPUTED_VALUE"""),"PB3572")</f>
        <v>PB3572</v>
      </c>
      <c r="F11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8" s="30" t="str">
        <f ca="1">IFERROR(__xludf.DUMMYFUNCTION("""COMPUTED_VALUE"""),"SUBSECRETARÍA DE DESARROLLO Y PROMOCIÓN ARTÍSTICA Y CULTURAL")</f>
        <v>SUBSECRETARÍA DE DESARROLLO Y PROMOCIÓN ARTÍSTICA Y CULTURAL</v>
      </c>
      <c r="I118" s="34" t="str">
        <f ca="1">IFERROR(__xludf.DUMMYFUNCTION("""COMPUTED_VALUE"""),"DIRECCIÓN GENERAL DE MUSEOS, ARTES VISUALES Y EXPOSICIONES")</f>
        <v>DIRECCIÓN GENERAL DE MUSEOS, ARTES VISUALES Y EXPOSICIONES</v>
      </c>
      <c r="J118" s="30" t="str">
        <f ca="1">IFERROR(__xludf.DUMMYFUNCTION("""COMPUTED_VALUE"""),"Número de Actividades realizadas")</f>
        <v>Número de Actividades realizadas</v>
      </c>
      <c r="K118" s="30">
        <f ca="1">IFERROR(__xludf.DUMMYFUNCTION("""COMPUTED_VALUE"""),800)</f>
        <v>800</v>
      </c>
      <c r="L118" s="30" t="str">
        <f ca="1">IFERROR(__xludf.DUMMYFUNCTION("""COMPUTED_VALUE"""),"Cultural")</f>
        <v>Cultural</v>
      </c>
      <c r="M118" s="30" t="str">
        <f ca="1">IFERROR(__xludf.DUMMYFUNCTION("""COMPUTED_VALUE"""),"Conversemos sobre arte")</f>
        <v>Conversemos sobre arte</v>
      </c>
      <c r="N118"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18" s="30" t="str">
        <f ca="1">IFERROR(__xludf.DUMMYFUNCTION("""COMPUTED_VALUE"""),"Única")</f>
        <v>Única</v>
      </c>
      <c r="P118" s="33">
        <f ca="1">IFERROR(__xludf.DUMMYFUNCTION("""COMPUTED_VALUE"""),46175)</f>
        <v>46175</v>
      </c>
      <c r="Q118" s="33">
        <f ca="1">IFERROR(__xludf.DUMMYFUNCTION("""COMPUTED_VALUE"""),46175)</f>
        <v>46175</v>
      </c>
      <c r="R118" s="30">
        <f ca="1">IFERROR(__xludf.DUMMYFUNCTION("""COMPUTED_VALUE"""),1)</f>
        <v>1</v>
      </c>
      <c r="S118" s="30" t="str">
        <f ca="1">IFERROR(__xludf.DUMMYFUNCTION("""COMPUTED_VALUE"""),"Cultura comunitaria")</f>
        <v>Cultura comunitaria</v>
      </c>
      <c r="T118" s="30" t="str">
        <f ca="1">IFERROR(__xludf.DUMMYFUNCTION("""COMPUTED_VALUE"""),"Mediación cultural")</f>
        <v>Mediación cultural</v>
      </c>
      <c r="U118" s="30" t="str">
        <f ca="1">IFERROR(__xludf.DUMMYFUNCTION("""COMPUTED_VALUE"""),"Taller")</f>
        <v>Taller</v>
      </c>
      <c r="V118" s="30" t="str">
        <f ca="1">IFERROR(__xludf.DUMMYFUNCTION("""COMPUTED_VALUE"""),"Ninguna")</f>
        <v>Ninguna</v>
      </c>
      <c r="W118" s="30" t="str">
        <f ca="1">IFERROR(__xludf.DUMMYFUNCTION("""COMPUTED_VALUE"""),"Presencial")</f>
        <v>Presencial</v>
      </c>
      <c r="X118" s="30" t="str">
        <f ca="1">IFERROR(__xludf.DUMMYFUNCTION("""COMPUTED_VALUE"""),"Espacio a Cargo de la Secretaría")</f>
        <v>Espacio a Cargo de la Secretaría</v>
      </c>
      <c r="Y118" s="30" t="str">
        <f ca="1">IFERROR(__xludf.DUMMYFUNCTION("""COMPUTED_VALUE"""),"9")</f>
        <v>9</v>
      </c>
      <c r="Z118" s="30"/>
      <c r="AA118" s="30"/>
      <c r="AB118" s="30" t="b">
        <f ca="1">IFERROR(__xludf.DUMMYFUNCTION("""COMPUTED_VALUE"""),FALSE)</f>
        <v>0</v>
      </c>
      <c r="AC118" s="30"/>
      <c r="AD118" s="30" t="b">
        <f ca="1">IFERROR(__xludf.DUMMYFUNCTION("""COMPUTED_VALUE"""),FALSE)</f>
        <v>0</v>
      </c>
      <c r="AE118" s="30"/>
      <c r="AF118" s="30" t="b">
        <f ca="1">IFERROR(__xludf.DUMMYFUNCTION("""COMPUTED_VALUE"""),FALSE)</f>
        <v>0</v>
      </c>
      <c r="AG118" s="30"/>
      <c r="AH118" s="30" t="str">
        <f ca="1">IFERROR(__xludf.DUMMYFUNCTION("""COMPUTED_VALUE"""),"Sin costo")</f>
        <v>Sin costo</v>
      </c>
      <c r="AI118" s="30"/>
      <c r="AJ118" s="30"/>
      <c r="AK118" s="30"/>
      <c r="AL118" s="30" t="str">
        <f ca="1">IFERROR(__xludf.DUMMYFUNCTION("""COMPUTED_VALUE"""),"ccardonav@guanajuato.gob.mx")</f>
        <v>ccardonav@guanajuato.gob.mx</v>
      </c>
      <c r="AM118" s="30" t="str">
        <f ca="1">IFERROR(__xludf.DUMMYFUNCTION("""COMPUTED_VALUE"""),"Arraigo y empoderamiento cultural de comunidades.")</f>
        <v>Arraigo y empoderamiento cultural de comunidades.</v>
      </c>
      <c r="AN118" s="30" t="str">
        <f ca="1">IFERROR(__xludf.DUMMYFUNCTION("""COMPUTED_VALUE"""),"2 Igualdad")</f>
        <v>2 Igualdad</v>
      </c>
      <c r="AO118" s="30" t="str">
        <f ca="1">IFERROR(__xludf.DUMMYFUNCTION("""COMPUTED_VALUE"""),"2.2 Fortalecer cohesión social")</f>
        <v>2.2 Fortalecer cohesión social</v>
      </c>
      <c r="AP118" s="30" t="str">
        <f ca="1">IFERROR(__xludf.DUMMYFUNCTION("""COMPUTED_VALUE"""),"2.2.1 Participación social comunitaria")</f>
        <v>2.2.1 Participación social comunitaria</v>
      </c>
      <c r="AQ118" s="30" t="str">
        <f ca="1">IFERROR(__xludf.DUMMYFUNCTION("""COMPUTED_VALUE"""),"2.2.1 Participación social comunitaria")</f>
        <v>2.2.1 Participación social comunitaria</v>
      </c>
      <c r="AR118" s="30" t="str">
        <f ca="1">IFERROR(__xludf.DUMMYFUNCTION("""COMPUTED_VALUE"""),"Cooperación")</f>
        <v>Cooperación</v>
      </c>
      <c r="AS118" s="30"/>
      <c r="AT118" s="30" t="str">
        <f ca="1">IFERROR(__xludf.DUMMYFUNCTION("""COMPUTED_VALUE"""),"Impulso a la educación artística y a la profesionalización del sector cultural")</f>
        <v>Impulso a la educación artística y a la profesionalización del sector cultural</v>
      </c>
      <c r="AU118" s="30" t="str">
        <f ca="1">IFERROR(__xludf.DUMMYFUNCTION("""COMPUTED_VALUE"""),"Fortalecimiento de las alianzas entre el sector cultural, educativo y productivo")</f>
        <v>Fortalecimiento de las alianzas entre el sector cultural, educativo y productivo</v>
      </c>
      <c r="AV118"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8"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8" s="30" t="str">
        <f ca="1">IFERROR(__xludf.DUMMYFUNCTION("""COMPUTED_VALUE"""),"Visitas escolares")</f>
        <v>Visitas escolares</v>
      </c>
      <c r="AY118" s="30" t="str">
        <f ca="1">IFERROR(__xludf.DUMMYFUNCTION("""COMPUTED_VALUE"""),"Mediación")</f>
        <v>Mediación</v>
      </c>
      <c r="AZ118" s="30"/>
      <c r="BA118" s="30"/>
      <c r="BB118" s="30"/>
      <c r="BC118" s="30">
        <f ca="1">IFERROR(__xludf.DUMMYFUNCTION("""COMPUTED_VALUE"""),0)</f>
        <v>0</v>
      </c>
      <c r="BD118" s="30"/>
      <c r="BE118" s="30"/>
      <c r="BF118" s="30" t="b">
        <f ca="1">IFERROR(__xludf.DUMMYFUNCTION("""COMPUTED_VALUE"""),FALSE)</f>
        <v>0</v>
      </c>
      <c r="BG118" s="30"/>
      <c r="BH118" s="30"/>
      <c r="BI118" s="30"/>
      <c r="BJ118" s="30"/>
      <c r="BK118" s="30"/>
      <c r="BL118" s="30"/>
      <c r="BM118" s="30" t="str">
        <f ca="1">IFERROR(__xludf.DUMMYFUNCTION("""COMPUTED_VALUE"""),"No")</f>
        <v>No</v>
      </c>
      <c r="BN118" s="30"/>
      <c r="BO118" s="30" t="str">
        <f ca="1">IFERROR(__xludf.DUMMYFUNCTION("""COMPUTED_VALUE"""),"65e57eb0")</f>
        <v>65e57eb0</v>
      </c>
      <c r="BP118" s="29" t="str">
        <f ca="1">IFERROR(__xludf.DUMMYFUNCTION("""COMPUTED_VALUE"""),"Purísima del Rincón")</f>
        <v>Purísima del Rincón</v>
      </c>
      <c r="BQ118" s="30" t="str">
        <f ca="1">IFERROR(__xludf.DUMMYFUNCTION("""COMPUTED_VALUE"""),"Urbano")</f>
        <v>Urbano</v>
      </c>
      <c r="BR118" s="30">
        <f ca="1">IFERROR(__xludf.DUMMYFUNCTION("""COMPUTED_VALUE"""),171)</f>
        <v>171</v>
      </c>
      <c r="BS118" s="30" t="str">
        <f ca="1">IFERROR(__xludf.DUMMYFUNCTION("""COMPUTED_VALUE"""),"Purísima")</f>
        <v>Purísima</v>
      </c>
      <c r="BT118" s="30"/>
      <c r="BU118" s="30" t="str">
        <f ca="1">IFERROR(__xludf.DUMMYFUNCTION("""COMPUTED_VALUE"""),"Si")</f>
        <v>Si</v>
      </c>
      <c r="BV118" s="30" t="str">
        <f ca="1">IFERROR(__xludf.DUMMYFUNCTION("""COMPUTED_VALUE"""),"No")</f>
        <v>No</v>
      </c>
      <c r="BW118" s="30">
        <f ca="1">IFERROR(__xludf.DUMMYFUNCTION("""COMPUTED_VALUE"""),70)</f>
        <v>70</v>
      </c>
      <c r="BX118" s="30">
        <f ca="1">IFERROR(__xludf.DUMMYFUNCTION("""COMPUTED_VALUE"""),70)</f>
        <v>70</v>
      </c>
      <c r="BY118" s="30">
        <f ca="1">IFERROR(__xludf.DUMMYFUNCTION("""COMPUTED_VALUE"""),0)</f>
        <v>0</v>
      </c>
      <c r="BZ118" s="30" t="str">
        <f ca="1">IFERROR(__xludf.DUMMYFUNCTION("""COMPUTED_VALUE"""),"Purísima")</f>
        <v>Purísima</v>
      </c>
      <c r="CA118" s="30" t="str">
        <f ca="1">IFERROR(__xludf.DUMMYFUNCTION("""COMPUTED_VALUE"""),"No")</f>
        <v>No</v>
      </c>
      <c r="CB118" s="30" t="str">
        <f ca="1">IFERROR(__xludf.DUMMYFUNCTION("""COMPUTED_VALUE"""),"No")</f>
        <v>No</v>
      </c>
      <c r="CC118" s="30" t="str">
        <f ca="1">IFERROR(__xludf.DUMMYFUNCTION("""COMPUTED_VALUE"""),"833d0aa4")</f>
        <v>833d0aa4</v>
      </c>
      <c r="CD118" s="29" t="str">
        <f ca="1">IFERROR(__xludf.DUMMYFUNCTION("""COMPUTED_VALUE"""),"Adultos (30 a 59 años)")</f>
        <v>Adultos (30 a 59 años)</v>
      </c>
      <c r="CE118" s="30" t="str">
        <f ca="1">IFERROR(__xludf.DUMMYFUNCTION("""COMPUTED_VALUE"""),"Dato global")</f>
        <v>Dato global</v>
      </c>
      <c r="CF118" s="30" t="str">
        <f ca="1">IFERROR(__xludf.DUMMYFUNCTION("""COMPUTED_VALUE"""),"Ninguno (Población General)")</f>
        <v>Ninguno (Población General)</v>
      </c>
      <c r="CG118" s="30">
        <f ca="1">IFERROR(__xludf.DUMMYFUNCTION("""COMPUTED_VALUE"""),27)</f>
        <v>27</v>
      </c>
      <c r="CI118" s="30" t="str">
        <f ca="1">IFERROR(__xludf.DUMMYFUNCTION("""COMPUTED_VALUE"""),"b4fadd2e")</f>
        <v>b4fadd2e</v>
      </c>
      <c r="CJ118" s="29" t="str">
        <f ca="1">IFERROR(__xludf.DUMMYFUNCTION("""COMPUTED_VALUE"""),"Regitro_Evidencia_Files_/b4fadd2e.Archivo_Evidencia.213426.pptx")</f>
        <v>Regitro_Evidencia_Files_/b4fadd2e.Archivo_Evidencia.213426.pptx</v>
      </c>
      <c r="CK118" s="30" t="str">
        <f ca="1">IFERROR(__xludf.DUMMYFUNCTION("""COMPUTED_VALUE"""),"Otro tipo de archivo ")</f>
        <v xml:space="preserve">Otro tipo de archivo </v>
      </c>
      <c r="CL118" s="30"/>
      <c r="CM118" s="30" t="str">
        <f ca="1">IFERROR(__xludf.DUMMYFUNCTION("""COMPUTED_VALUE"""),"Purísima del Rincón")</f>
        <v>Purísima del Rincón</v>
      </c>
      <c r="CN118" s="32" t="e">
        <f ca="1"/>
        <v>#NAME?</v>
      </c>
      <c r="CO118" s="32" t="e">
        <f ca="1"/>
        <v>#NAME?</v>
      </c>
      <c r="CP118" s="32" t="e">
        <f ca="1"/>
        <v>#NAME?</v>
      </c>
      <c r="CQ118" s="32" t="e">
        <f ca="1"/>
        <v>#NAME?</v>
      </c>
      <c r="CR118" s="30" t="e">
        <f ca="1"/>
        <v>#NAME?</v>
      </c>
      <c r="CS118" s="30" t="str">
        <f ca="1">IFERROR(__xludf.DUMMYFUNCTION("""COMPUTED_VALUE"""),"NNA (Niñas, Niños y Adolescentes)")</f>
        <v>NNA (Niñas, Niños y Adolescentes)</v>
      </c>
    </row>
    <row r="119" spans="1:97" ht="13">
      <c r="A119" s="29" t="str">
        <f ca="1">IFERROR(__xludf.DUMMYFUNCTION("""COMPUTED_VALUE"""),"ACT-SCSH86841")</f>
        <v>ACT-SCSH86841</v>
      </c>
      <c r="B119" s="30" t="str">
        <f ca="1">IFERROR(__xludf.DUMMYFUNCTION("""COMPUTED_VALUE"""),"SC-260624-164829")</f>
        <v>SC-260624-164829</v>
      </c>
      <c r="C119" s="62">
        <f ca="1">IFERROR(__xludf.DUMMYFUNCTION("""COMPUTED_VALUE"""),46197.7003356481)</f>
        <v>46197.7003356481</v>
      </c>
      <c r="D119" s="30">
        <f ca="1">IFERROR(__xludf.DUMMYFUNCTION("""COMPUTED_VALUE"""),92)</f>
        <v>92</v>
      </c>
      <c r="E119" s="30" t="str">
        <f ca="1">IFERROR(__xludf.DUMMYFUNCTION("""COMPUTED_VALUE"""),"PB3572")</f>
        <v>PB3572</v>
      </c>
      <c r="F11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1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19" s="30" t="str">
        <f ca="1">IFERROR(__xludf.DUMMYFUNCTION("""COMPUTED_VALUE"""),"SUBSECRETARÍA DE DESARROLLO Y PROMOCIÓN ARTÍSTICA Y CULTURAL")</f>
        <v>SUBSECRETARÍA DE DESARROLLO Y PROMOCIÓN ARTÍSTICA Y CULTURAL</v>
      </c>
      <c r="I119" s="34" t="str">
        <f ca="1">IFERROR(__xludf.DUMMYFUNCTION("""COMPUTED_VALUE"""),"DIRECCIÓN GENERAL DE MUSEOS, ARTES VISUALES Y EXPOSICIONES")</f>
        <v>DIRECCIÓN GENERAL DE MUSEOS, ARTES VISUALES Y EXPOSICIONES</v>
      </c>
      <c r="J119" s="30" t="str">
        <f ca="1">IFERROR(__xludf.DUMMYFUNCTION("""COMPUTED_VALUE"""),"Número de Actividades realizadas")</f>
        <v>Número de Actividades realizadas</v>
      </c>
      <c r="K119" s="30">
        <f ca="1">IFERROR(__xludf.DUMMYFUNCTION("""COMPUTED_VALUE"""),800)</f>
        <v>800</v>
      </c>
      <c r="L119" s="30" t="str">
        <f ca="1">IFERROR(__xludf.DUMMYFUNCTION("""COMPUTED_VALUE"""),"Cultural")</f>
        <v>Cultural</v>
      </c>
      <c r="M119" s="30" t="str">
        <f ca="1">IFERROR(__xludf.DUMMYFUNCTION("""COMPUTED_VALUE"""),"Conversemos sobre arte")</f>
        <v>Conversemos sobre arte</v>
      </c>
      <c r="N119"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19" s="30" t="str">
        <f ca="1">IFERROR(__xludf.DUMMYFUNCTION("""COMPUTED_VALUE"""),"Única")</f>
        <v>Única</v>
      </c>
      <c r="P119" s="33">
        <f ca="1">IFERROR(__xludf.DUMMYFUNCTION("""COMPUTED_VALUE"""),46175)</f>
        <v>46175</v>
      </c>
      <c r="Q119" s="33">
        <f ca="1">IFERROR(__xludf.DUMMYFUNCTION("""COMPUTED_VALUE"""),46175)</f>
        <v>46175</v>
      </c>
      <c r="R119" s="30">
        <f ca="1">IFERROR(__xludf.DUMMYFUNCTION("""COMPUTED_VALUE"""),1)</f>
        <v>1</v>
      </c>
      <c r="S119" s="30" t="str">
        <f ca="1">IFERROR(__xludf.DUMMYFUNCTION("""COMPUTED_VALUE"""),"Cultura comunitaria")</f>
        <v>Cultura comunitaria</v>
      </c>
      <c r="T119" s="30" t="str">
        <f ca="1">IFERROR(__xludf.DUMMYFUNCTION("""COMPUTED_VALUE"""),"Mediación cultural")</f>
        <v>Mediación cultural</v>
      </c>
      <c r="U119" s="30" t="str">
        <f ca="1">IFERROR(__xludf.DUMMYFUNCTION("""COMPUTED_VALUE"""),"Taller")</f>
        <v>Taller</v>
      </c>
      <c r="V119" s="30" t="str">
        <f ca="1">IFERROR(__xludf.DUMMYFUNCTION("""COMPUTED_VALUE"""),"Ninguna")</f>
        <v>Ninguna</v>
      </c>
      <c r="W119" s="30" t="str">
        <f ca="1">IFERROR(__xludf.DUMMYFUNCTION("""COMPUTED_VALUE"""),"Presencial")</f>
        <v>Presencial</v>
      </c>
      <c r="X119" s="30" t="str">
        <f ca="1">IFERROR(__xludf.DUMMYFUNCTION("""COMPUTED_VALUE"""),"Espacio a Cargo de la Secretaría")</f>
        <v>Espacio a Cargo de la Secretaría</v>
      </c>
      <c r="Y119" s="30" t="str">
        <f ca="1">IFERROR(__xludf.DUMMYFUNCTION("""COMPUTED_VALUE"""),"9")</f>
        <v>9</v>
      </c>
      <c r="Z119" s="30"/>
      <c r="AA119" s="30"/>
      <c r="AB119" s="30" t="b">
        <f ca="1">IFERROR(__xludf.DUMMYFUNCTION("""COMPUTED_VALUE"""),FALSE)</f>
        <v>0</v>
      </c>
      <c r="AC119" s="30"/>
      <c r="AD119" s="30" t="b">
        <f ca="1">IFERROR(__xludf.DUMMYFUNCTION("""COMPUTED_VALUE"""),FALSE)</f>
        <v>0</v>
      </c>
      <c r="AE119" s="30"/>
      <c r="AF119" s="30" t="b">
        <f ca="1">IFERROR(__xludf.DUMMYFUNCTION("""COMPUTED_VALUE"""),FALSE)</f>
        <v>0</v>
      </c>
      <c r="AG119" s="30"/>
      <c r="AH119" s="30" t="str">
        <f ca="1">IFERROR(__xludf.DUMMYFUNCTION("""COMPUTED_VALUE"""),"Sin costo")</f>
        <v>Sin costo</v>
      </c>
      <c r="AI119" s="30"/>
      <c r="AJ119" s="30"/>
      <c r="AK119" s="30"/>
      <c r="AL119" s="30" t="str">
        <f ca="1">IFERROR(__xludf.DUMMYFUNCTION("""COMPUTED_VALUE"""),"ccardonav@guanajuato.gob.mx")</f>
        <v>ccardonav@guanajuato.gob.mx</v>
      </c>
      <c r="AM119" s="30" t="str">
        <f ca="1">IFERROR(__xludf.DUMMYFUNCTION("""COMPUTED_VALUE"""),"Arraigo y empoderamiento cultural de comunidades.")</f>
        <v>Arraigo y empoderamiento cultural de comunidades.</v>
      </c>
      <c r="AN119" s="30" t="str">
        <f ca="1">IFERROR(__xludf.DUMMYFUNCTION("""COMPUTED_VALUE"""),"2 Igualdad")</f>
        <v>2 Igualdad</v>
      </c>
      <c r="AO119" s="30" t="str">
        <f ca="1">IFERROR(__xludf.DUMMYFUNCTION("""COMPUTED_VALUE"""),"2.2 Fortalecer cohesión social")</f>
        <v>2.2 Fortalecer cohesión social</v>
      </c>
      <c r="AP119" s="30" t="str">
        <f ca="1">IFERROR(__xludf.DUMMYFUNCTION("""COMPUTED_VALUE"""),"2.2.1 Participación social comunitaria")</f>
        <v>2.2.1 Participación social comunitaria</v>
      </c>
      <c r="AQ119" s="30" t="str">
        <f ca="1">IFERROR(__xludf.DUMMYFUNCTION("""COMPUTED_VALUE"""),"2.2.1 Participación social comunitaria")</f>
        <v>2.2.1 Participación social comunitaria</v>
      </c>
      <c r="AR119" s="30" t="str">
        <f ca="1">IFERROR(__xludf.DUMMYFUNCTION("""COMPUTED_VALUE"""),"Cooperación")</f>
        <v>Cooperación</v>
      </c>
      <c r="AS119" s="30"/>
      <c r="AT119" s="30" t="str">
        <f ca="1">IFERROR(__xludf.DUMMYFUNCTION("""COMPUTED_VALUE"""),"Impulso a la educación artística y a la profesionalización del sector cultural")</f>
        <v>Impulso a la educación artística y a la profesionalización del sector cultural</v>
      </c>
      <c r="AU119" s="30" t="str">
        <f ca="1">IFERROR(__xludf.DUMMYFUNCTION("""COMPUTED_VALUE"""),"Fortalecimiento de las alianzas entre el sector cultural, educativo y productivo")</f>
        <v>Fortalecimiento de las alianzas entre el sector cultural, educativo y productivo</v>
      </c>
      <c r="AV119"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19"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19" s="30" t="str">
        <f ca="1">IFERROR(__xludf.DUMMYFUNCTION("""COMPUTED_VALUE"""),"Visitas escolares")</f>
        <v>Visitas escolares</v>
      </c>
      <c r="AY119" s="30" t="str">
        <f ca="1">IFERROR(__xludf.DUMMYFUNCTION("""COMPUTED_VALUE"""),"Mediación")</f>
        <v>Mediación</v>
      </c>
      <c r="AZ119" s="30"/>
      <c r="BA119" s="30"/>
      <c r="BB119" s="30"/>
      <c r="BC119" s="30">
        <f ca="1">IFERROR(__xludf.DUMMYFUNCTION("""COMPUTED_VALUE"""),0)</f>
        <v>0</v>
      </c>
      <c r="BD119" s="30"/>
      <c r="BE119" s="30"/>
      <c r="BF119" s="30" t="b">
        <f ca="1">IFERROR(__xludf.DUMMYFUNCTION("""COMPUTED_VALUE"""),FALSE)</f>
        <v>0</v>
      </c>
      <c r="BG119" s="30"/>
      <c r="BH119" s="30"/>
      <c r="BI119" s="30"/>
      <c r="BJ119" s="30"/>
      <c r="BK119" s="30"/>
      <c r="BL119" s="30"/>
      <c r="BM119" s="30" t="str">
        <f ca="1">IFERROR(__xludf.DUMMYFUNCTION("""COMPUTED_VALUE"""),"No")</f>
        <v>No</v>
      </c>
      <c r="BN119" s="30"/>
      <c r="BO119" s="30" t="str">
        <f ca="1">IFERROR(__xludf.DUMMYFUNCTION("""COMPUTED_VALUE"""),"1f4c7c70")</f>
        <v>1f4c7c70</v>
      </c>
      <c r="BP119" s="29" t="str">
        <f ca="1">IFERROR(__xludf.DUMMYFUNCTION("""COMPUTED_VALUE"""),"Purísima del Rincón")</f>
        <v>Purísima del Rincón</v>
      </c>
      <c r="BQ119" s="30" t="str">
        <f ca="1">IFERROR(__xludf.DUMMYFUNCTION("""COMPUTED_VALUE"""),"Urbano")</f>
        <v>Urbano</v>
      </c>
      <c r="BR119" s="30">
        <f ca="1">IFERROR(__xludf.DUMMYFUNCTION("""COMPUTED_VALUE"""),171)</f>
        <v>171</v>
      </c>
      <c r="BS119" s="30" t="str">
        <f ca="1">IFERROR(__xludf.DUMMYFUNCTION("""COMPUTED_VALUE"""),"Purísima")</f>
        <v>Purísima</v>
      </c>
      <c r="BT119" s="30"/>
      <c r="BU119" s="30" t="str">
        <f ca="1">IFERROR(__xludf.DUMMYFUNCTION("""COMPUTED_VALUE"""),"Si")</f>
        <v>Si</v>
      </c>
      <c r="BV119" s="30" t="str">
        <f ca="1">IFERROR(__xludf.DUMMYFUNCTION("""COMPUTED_VALUE"""),"No")</f>
        <v>No</v>
      </c>
      <c r="BW119" s="30">
        <f ca="1">IFERROR(__xludf.DUMMYFUNCTION("""COMPUTED_VALUE"""),43)</f>
        <v>43</v>
      </c>
      <c r="BX119" s="30">
        <f ca="1">IFERROR(__xludf.DUMMYFUNCTION("""COMPUTED_VALUE"""),43)</f>
        <v>43</v>
      </c>
      <c r="BY119" s="30">
        <f ca="1">IFERROR(__xludf.DUMMYFUNCTION("""COMPUTED_VALUE"""),0)</f>
        <v>0</v>
      </c>
      <c r="BZ119" s="30" t="str">
        <f ca="1">IFERROR(__xludf.DUMMYFUNCTION("""COMPUTED_VALUE"""),"Purísima")</f>
        <v>Purísima</v>
      </c>
      <c r="CA119" s="30" t="str">
        <f ca="1">IFERROR(__xludf.DUMMYFUNCTION("""COMPUTED_VALUE"""),"No")</f>
        <v>No</v>
      </c>
      <c r="CB119" s="30" t="str">
        <f ca="1">IFERROR(__xludf.DUMMYFUNCTION("""COMPUTED_VALUE"""),"No")</f>
        <v>No</v>
      </c>
      <c r="CC119" s="30" t="str">
        <f ca="1">IFERROR(__xludf.DUMMYFUNCTION("""COMPUTED_VALUE"""),"9a4d5271")</f>
        <v>9a4d5271</v>
      </c>
      <c r="CD119" s="29" t="str">
        <f ca="1">IFERROR(__xludf.DUMMYFUNCTION("""COMPUTED_VALUE"""),"Jóvenes (18 a 29 años)")</f>
        <v>Jóvenes (18 a 29 años)</v>
      </c>
      <c r="CE119" s="30" t="str">
        <f ca="1">IFERROR(__xludf.DUMMYFUNCTION("""COMPUTED_VALUE"""),"Dato global")</f>
        <v>Dato global</v>
      </c>
      <c r="CF119" s="30" t="str">
        <f ca="1">IFERROR(__xludf.DUMMYFUNCTION("""COMPUTED_VALUE"""),"Ninguno (Población General)")</f>
        <v>Ninguno (Población General)</v>
      </c>
      <c r="CG119" s="30">
        <f ca="1">IFERROR(__xludf.DUMMYFUNCTION("""COMPUTED_VALUE"""),9)</f>
        <v>9</v>
      </c>
      <c r="CI119" s="30" t="str">
        <f ca="1">IFERROR(__xludf.DUMMYFUNCTION("""COMPUTED_VALUE"""),"9831aad2")</f>
        <v>9831aad2</v>
      </c>
      <c r="CJ119" s="29" t="str">
        <f ca="1">IFERROR(__xludf.DUMMYFUNCTION("""COMPUTED_VALUE"""),"Regitro_Evidencia_Files_/9831aad2.Archivo_Evidencia.214939.pptx")</f>
        <v>Regitro_Evidencia_Files_/9831aad2.Archivo_Evidencia.214939.pptx</v>
      </c>
      <c r="CK119" s="30" t="str">
        <f ca="1">IFERROR(__xludf.DUMMYFUNCTION("""COMPUTED_VALUE"""),"Otro tipo de archivo ")</f>
        <v xml:space="preserve">Otro tipo de archivo </v>
      </c>
      <c r="CL119" s="30"/>
      <c r="CM119" s="30" t="str">
        <f ca="1">IFERROR(__xludf.DUMMYFUNCTION("""COMPUTED_VALUE"""),"Purísima del Rincón")</f>
        <v>Purísima del Rincón</v>
      </c>
      <c r="CN119" s="32" t="e">
        <f ca="1"/>
        <v>#NAME?</v>
      </c>
      <c r="CO119" s="32" t="e">
        <f ca="1"/>
        <v>#NAME?</v>
      </c>
      <c r="CP119" s="32" t="e">
        <f ca="1"/>
        <v>#NAME?</v>
      </c>
      <c r="CQ119" s="32" t="e">
        <f ca="1"/>
        <v>#NAME?</v>
      </c>
      <c r="CR119" s="30" t="e">
        <f ca="1"/>
        <v>#NAME?</v>
      </c>
      <c r="CS119" s="30" t="str">
        <f ca="1">IFERROR(__xludf.DUMMYFUNCTION("""COMPUTED_VALUE"""),"NNA (Niñas, Niños y Adolescentes)")</f>
        <v>NNA (Niñas, Niños y Adolescentes)</v>
      </c>
    </row>
    <row r="120" spans="1:97" ht="13">
      <c r="A120" s="29" t="str">
        <f ca="1">IFERROR(__xludf.DUMMYFUNCTION("""COMPUTED_VALUE"""),"ACT-SCJJ15015")</f>
        <v>ACT-SCJJ15015</v>
      </c>
      <c r="B120" s="30" t="str">
        <f ca="1">IFERROR(__xludf.DUMMYFUNCTION("""COMPUTED_VALUE"""),"SC-260624-165517")</f>
        <v>SC-260624-165517</v>
      </c>
      <c r="C120" s="62">
        <f ca="1">IFERROR(__xludf.DUMMYFUNCTION("""COMPUTED_VALUE"""),46197.7050578703)</f>
        <v>46197.705057870298</v>
      </c>
      <c r="D120" s="30">
        <f ca="1">IFERROR(__xludf.DUMMYFUNCTION("""COMPUTED_VALUE"""),92)</f>
        <v>92</v>
      </c>
      <c r="E120" s="30" t="str">
        <f ca="1">IFERROR(__xludf.DUMMYFUNCTION("""COMPUTED_VALUE"""),"PB3572")</f>
        <v>PB3572</v>
      </c>
      <c r="F12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0" s="30" t="str">
        <f ca="1">IFERROR(__xludf.DUMMYFUNCTION("""COMPUTED_VALUE"""),"SUBSECRETARÍA DE DESARROLLO Y PROMOCIÓN ARTÍSTICA Y CULTURAL")</f>
        <v>SUBSECRETARÍA DE DESARROLLO Y PROMOCIÓN ARTÍSTICA Y CULTURAL</v>
      </c>
      <c r="I120" s="34" t="str">
        <f ca="1">IFERROR(__xludf.DUMMYFUNCTION("""COMPUTED_VALUE"""),"DIRECCIÓN GENERAL DE MUSEOS, ARTES VISUALES Y EXPOSICIONES")</f>
        <v>DIRECCIÓN GENERAL DE MUSEOS, ARTES VISUALES Y EXPOSICIONES</v>
      </c>
      <c r="J120" s="30" t="str">
        <f ca="1">IFERROR(__xludf.DUMMYFUNCTION("""COMPUTED_VALUE"""),"Número de Actividades realizadas")</f>
        <v>Número de Actividades realizadas</v>
      </c>
      <c r="K120" s="30">
        <f ca="1">IFERROR(__xludf.DUMMYFUNCTION("""COMPUTED_VALUE"""),800)</f>
        <v>800</v>
      </c>
      <c r="L120" s="30" t="str">
        <f ca="1">IFERROR(__xludf.DUMMYFUNCTION("""COMPUTED_VALUE"""),"Cultural")</f>
        <v>Cultural</v>
      </c>
      <c r="M120" s="30" t="str">
        <f ca="1">IFERROR(__xludf.DUMMYFUNCTION("""COMPUTED_VALUE"""),"Conversemos sobre arte")</f>
        <v>Conversemos sobre arte</v>
      </c>
      <c r="N120"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20" s="30" t="str">
        <f ca="1">IFERROR(__xludf.DUMMYFUNCTION("""COMPUTED_VALUE"""),"Única")</f>
        <v>Única</v>
      </c>
      <c r="P120" s="33">
        <f ca="1">IFERROR(__xludf.DUMMYFUNCTION("""COMPUTED_VALUE"""),46176)</f>
        <v>46176</v>
      </c>
      <c r="Q120" s="33">
        <f ca="1">IFERROR(__xludf.DUMMYFUNCTION("""COMPUTED_VALUE"""),46176)</f>
        <v>46176</v>
      </c>
      <c r="R120" s="30">
        <f ca="1">IFERROR(__xludf.DUMMYFUNCTION("""COMPUTED_VALUE"""),1)</f>
        <v>1</v>
      </c>
      <c r="S120" s="30" t="str">
        <f ca="1">IFERROR(__xludf.DUMMYFUNCTION("""COMPUTED_VALUE"""),"Cultura comunitaria")</f>
        <v>Cultura comunitaria</v>
      </c>
      <c r="T120" s="30" t="str">
        <f ca="1">IFERROR(__xludf.DUMMYFUNCTION("""COMPUTED_VALUE"""),"Mediación cultural")</f>
        <v>Mediación cultural</v>
      </c>
      <c r="U120" s="30" t="str">
        <f ca="1">IFERROR(__xludf.DUMMYFUNCTION("""COMPUTED_VALUE"""),"Taller")</f>
        <v>Taller</v>
      </c>
      <c r="V120" s="30" t="str">
        <f ca="1">IFERROR(__xludf.DUMMYFUNCTION("""COMPUTED_VALUE"""),"Ninguna")</f>
        <v>Ninguna</v>
      </c>
      <c r="W120" s="30" t="str">
        <f ca="1">IFERROR(__xludf.DUMMYFUNCTION("""COMPUTED_VALUE"""),"Presencial")</f>
        <v>Presencial</v>
      </c>
      <c r="X120" s="30" t="str">
        <f ca="1">IFERROR(__xludf.DUMMYFUNCTION("""COMPUTED_VALUE"""),"Espacio a Cargo de la Secretaría")</f>
        <v>Espacio a Cargo de la Secretaría</v>
      </c>
      <c r="Y120" s="30" t="str">
        <f ca="1">IFERROR(__xludf.DUMMYFUNCTION("""COMPUTED_VALUE"""),"9")</f>
        <v>9</v>
      </c>
      <c r="Z120" s="30"/>
      <c r="AA120" s="30"/>
      <c r="AB120" s="30" t="b">
        <f ca="1">IFERROR(__xludf.DUMMYFUNCTION("""COMPUTED_VALUE"""),FALSE)</f>
        <v>0</v>
      </c>
      <c r="AC120" s="30"/>
      <c r="AD120" s="30" t="b">
        <f ca="1">IFERROR(__xludf.DUMMYFUNCTION("""COMPUTED_VALUE"""),FALSE)</f>
        <v>0</v>
      </c>
      <c r="AE120" s="30"/>
      <c r="AF120" s="30" t="b">
        <f ca="1">IFERROR(__xludf.DUMMYFUNCTION("""COMPUTED_VALUE"""),FALSE)</f>
        <v>0</v>
      </c>
      <c r="AG120" s="30"/>
      <c r="AH120" s="30" t="str">
        <f ca="1">IFERROR(__xludf.DUMMYFUNCTION("""COMPUTED_VALUE"""),"Sin costo")</f>
        <v>Sin costo</v>
      </c>
      <c r="AI120" s="30"/>
      <c r="AJ120" s="30"/>
      <c r="AK120" s="30"/>
      <c r="AL120" s="30" t="str">
        <f ca="1">IFERROR(__xludf.DUMMYFUNCTION("""COMPUTED_VALUE"""),"ccardonav@guanajuato.gob.mx")</f>
        <v>ccardonav@guanajuato.gob.mx</v>
      </c>
      <c r="AM120" s="30" t="str">
        <f ca="1">IFERROR(__xludf.DUMMYFUNCTION("""COMPUTED_VALUE"""),"Arraigo y empoderamiento cultural de comunidades.")</f>
        <v>Arraigo y empoderamiento cultural de comunidades.</v>
      </c>
      <c r="AN120" s="30" t="str">
        <f ca="1">IFERROR(__xludf.DUMMYFUNCTION("""COMPUTED_VALUE"""),"2 Igualdad")</f>
        <v>2 Igualdad</v>
      </c>
      <c r="AO120" s="30" t="str">
        <f ca="1">IFERROR(__xludf.DUMMYFUNCTION("""COMPUTED_VALUE"""),"2.2 Fortalecer cohesión social")</f>
        <v>2.2 Fortalecer cohesión social</v>
      </c>
      <c r="AP120" s="30" t="str">
        <f ca="1">IFERROR(__xludf.DUMMYFUNCTION("""COMPUTED_VALUE"""),"2.2.1 Participación social comunitaria")</f>
        <v>2.2.1 Participación social comunitaria</v>
      </c>
      <c r="AQ120" s="30" t="str">
        <f ca="1">IFERROR(__xludf.DUMMYFUNCTION("""COMPUTED_VALUE"""),"2.2.1 Participación social comunitaria")</f>
        <v>2.2.1 Participación social comunitaria</v>
      </c>
      <c r="AR120" s="30" t="str">
        <f ca="1">IFERROR(__xludf.DUMMYFUNCTION("""COMPUTED_VALUE"""),"Cooperación")</f>
        <v>Cooperación</v>
      </c>
      <c r="AS120" s="30"/>
      <c r="AT120" s="30" t="str">
        <f ca="1">IFERROR(__xludf.DUMMYFUNCTION("""COMPUTED_VALUE"""),"Impulso a la educación artística y a la profesionalización del sector cultural")</f>
        <v>Impulso a la educación artística y a la profesionalización del sector cultural</v>
      </c>
      <c r="AU120" s="30" t="str">
        <f ca="1">IFERROR(__xludf.DUMMYFUNCTION("""COMPUTED_VALUE"""),"Fortalecimiento de las alianzas entre el sector cultural, educativo y productivo")</f>
        <v>Fortalecimiento de las alianzas entre el sector cultural, educativo y productivo</v>
      </c>
      <c r="AV120"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20"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20" s="30" t="str">
        <f ca="1">IFERROR(__xludf.DUMMYFUNCTION("""COMPUTED_VALUE"""),"Visitas escolares")</f>
        <v>Visitas escolares</v>
      </c>
      <c r="AY120" s="30" t="str">
        <f ca="1">IFERROR(__xludf.DUMMYFUNCTION("""COMPUTED_VALUE"""),"Mediación")</f>
        <v>Mediación</v>
      </c>
      <c r="AZ120" s="30"/>
      <c r="BA120" s="30"/>
      <c r="BB120" s="30"/>
      <c r="BC120" s="30">
        <f ca="1">IFERROR(__xludf.DUMMYFUNCTION("""COMPUTED_VALUE"""),0)</f>
        <v>0</v>
      </c>
      <c r="BD120" s="30"/>
      <c r="BE120" s="30"/>
      <c r="BF120" s="30" t="b">
        <f ca="1">IFERROR(__xludf.DUMMYFUNCTION("""COMPUTED_VALUE"""),FALSE)</f>
        <v>0</v>
      </c>
      <c r="BG120" s="30"/>
      <c r="BH120" s="30"/>
      <c r="BI120" s="30"/>
      <c r="BJ120" s="30"/>
      <c r="BK120" s="30"/>
      <c r="BL120" s="30"/>
      <c r="BM120" s="30" t="str">
        <f ca="1">IFERROR(__xludf.DUMMYFUNCTION("""COMPUTED_VALUE"""),"No")</f>
        <v>No</v>
      </c>
      <c r="BN120" s="30"/>
      <c r="BO120" s="30" t="str">
        <f ca="1">IFERROR(__xludf.DUMMYFUNCTION("""COMPUTED_VALUE"""),"f4909de3")</f>
        <v>f4909de3</v>
      </c>
      <c r="BP120" s="29" t="str">
        <f ca="1">IFERROR(__xludf.DUMMYFUNCTION("""COMPUTED_VALUE"""),"Purísima del Rincón")</f>
        <v>Purísima del Rincón</v>
      </c>
      <c r="BQ120" s="30" t="str">
        <f ca="1">IFERROR(__xludf.DUMMYFUNCTION("""COMPUTED_VALUE"""),"Urbano")</f>
        <v>Urbano</v>
      </c>
      <c r="BR120" s="30">
        <f ca="1">IFERROR(__xludf.DUMMYFUNCTION("""COMPUTED_VALUE"""),171)</f>
        <v>171</v>
      </c>
      <c r="BS120" s="30" t="str">
        <f ca="1">IFERROR(__xludf.DUMMYFUNCTION("""COMPUTED_VALUE"""),"Purísima")</f>
        <v>Purísima</v>
      </c>
      <c r="BT120" s="30"/>
      <c r="BU120" s="30" t="str">
        <f ca="1">IFERROR(__xludf.DUMMYFUNCTION("""COMPUTED_VALUE"""),"Si")</f>
        <v>Si</v>
      </c>
      <c r="BV120" s="30" t="str">
        <f ca="1">IFERROR(__xludf.DUMMYFUNCTION("""COMPUTED_VALUE"""),"No")</f>
        <v>No</v>
      </c>
      <c r="BW120" s="30">
        <f ca="1">IFERROR(__xludf.DUMMYFUNCTION("""COMPUTED_VALUE"""),18)</f>
        <v>18</v>
      </c>
      <c r="BX120" s="30">
        <f ca="1">IFERROR(__xludf.DUMMYFUNCTION("""COMPUTED_VALUE"""),18)</f>
        <v>18</v>
      </c>
      <c r="BY120" s="30">
        <f ca="1">IFERROR(__xludf.DUMMYFUNCTION("""COMPUTED_VALUE"""),0)</f>
        <v>0</v>
      </c>
      <c r="BZ120" s="30" t="str">
        <f ca="1">IFERROR(__xludf.DUMMYFUNCTION("""COMPUTED_VALUE"""),"Purísima")</f>
        <v>Purísima</v>
      </c>
      <c r="CA120" s="30" t="str">
        <f ca="1">IFERROR(__xludf.DUMMYFUNCTION("""COMPUTED_VALUE"""),"No")</f>
        <v>No</v>
      </c>
      <c r="CB120" s="30" t="str">
        <f ca="1">IFERROR(__xludf.DUMMYFUNCTION("""COMPUTED_VALUE"""),"No")</f>
        <v>No</v>
      </c>
      <c r="CC120" s="30" t="str">
        <f ca="1">IFERROR(__xludf.DUMMYFUNCTION("""COMPUTED_VALUE"""),"94b20d71")</f>
        <v>94b20d71</v>
      </c>
      <c r="CD120" s="29" t="str">
        <f ca="1">IFERROR(__xludf.DUMMYFUNCTION("""COMPUTED_VALUE"""),"Adultos (30 a 59 años)")</f>
        <v>Adultos (30 a 59 años)</v>
      </c>
      <c r="CE120" s="30" t="str">
        <f ca="1">IFERROR(__xludf.DUMMYFUNCTION("""COMPUTED_VALUE"""),"Dato global")</f>
        <v>Dato global</v>
      </c>
      <c r="CF120" s="30" t="str">
        <f ca="1">IFERROR(__xludf.DUMMYFUNCTION("""COMPUTED_VALUE"""),"Ninguno (Población General)")</f>
        <v>Ninguno (Población General)</v>
      </c>
      <c r="CG120" s="30">
        <f ca="1">IFERROR(__xludf.DUMMYFUNCTION("""COMPUTED_VALUE"""),10)</f>
        <v>10</v>
      </c>
      <c r="CI120" s="30" t="str">
        <f ca="1">IFERROR(__xludf.DUMMYFUNCTION("""COMPUTED_VALUE"""),"52ac9423")</f>
        <v>52ac9423</v>
      </c>
      <c r="CJ120" s="29" t="str">
        <f ca="1">IFERROR(__xludf.DUMMYFUNCTION("""COMPUTED_VALUE"""),"Regitro_Evidencia_Files_/52ac9423.Archivo_Evidencia.221626.pptx")</f>
        <v>Regitro_Evidencia_Files_/52ac9423.Archivo_Evidencia.221626.pptx</v>
      </c>
      <c r="CK120" s="30" t="str">
        <f ca="1">IFERROR(__xludf.DUMMYFUNCTION("""COMPUTED_VALUE"""),"Otro tipo de archivo ")</f>
        <v xml:space="preserve">Otro tipo de archivo </v>
      </c>
      <c r="CL120" s="30"/>
      <c r="CM120" s="30" t="str">
        <f ca="1">IFERROR(__xludf.DUMMYFUNCTION("""COMPUTED_VALUE"""),"Purísima del Rincón")</f>
        <v>Purísima del Rincón</v>
      </c>
      <c r="CN120" s="32" t="e">
        <f ca="1"/>
        <v>#NAME?</v>
      </c>
      <c r="CO120" s="32" t="e">
        <f ca="1"/>
        <v>#NAME?</v>
      </c>
      <c r="CP120" s="32" t="e">
        <f ca="1"/>
        <v>#NAME?</v>
      </c>
      <c r="CQ120" s="32" t="e">
        <f ca="1"/>
        <v>#NAME?</v>
      </c>
      <c r="CR120" s="30" t="e">
        <f ca="1"/>
        <v>#NAME?</v>
      </c>
      <c r="CS120" s="30" t="str">
        <f ca="1">IFERROR(__xludf.DUMMYFUNCTION("""COMPUTED_VALUE"""),"NNA (Niñas, Niños y Adolescentes)")</f>
        <v>NNA (Niñas, Niños y Adolescentes)</v>
      </c>
    </row>
    <row r="121" spans="1:97" ht="13">
      <c r="A121" s="29" t="str">
        <f ca="1">IFERROR(__xludf.DUMMYFUNCTION("""COMPUTED_VALUE"""),"ACT-SCAE27878")</f>
        <v>ACT-SCAE27878</v>
      </c>
      <c r="B121" s="30" t="str">
        <f ca="1">IFERROR(__xludf.DUMMYFUNCTION("""COMPUTED_VALUE"""),"SC-260624-170228")</f>
        <v>SC-260624-170228</v>
      </c>
      <c r="C121" s="62">
        <f ca="1">IFERROR(__xludf.DUMMYFUNCTION("""COMPUTED_VALUE"""),46197.7100462963)</f>
        <v>46197.710046296299</v>
      </c>
      <c r="D121" s="30">
        <f ca="1">IFERROR(__xludf.DUMMYFUNCTION("""COMPUTED_VALUE"""),92)</f>
        <v>92</v>
      </c>
      <c r="E121" s="30" t="str">
        <f ca="1">IFERROR(__xludf.DUMMYFUNCTION("""COMPUTED_VALUE"""),"PB3572")</f>
        <v>PB3572</v>
      </c>
      <c r="F12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1" s="30" t="str">
        <f ca="1">IFERROR(__xludf.DUMMYFUNCTION("""COMPUTED_VALUE"""),"SUBSECRETARÍA DE DESARROLLO Y PROMOCIÓN ARTÍSTICA Y CULTURAL")</f>
        <v>SUBSECRETARÍA DE DESARROLLO Y PROMOCIÓN ARTÍSTICA Y CULTURAL</v>
      </c>
      <c r="I121" s="34" t="str">
        <f ca="1">IFERROR(__xludf.DUMMYFUNCTION("""COMPUTED_VALUE"""),"DIRECCIÓN GENERAL DE MUSEOS, ARTES VISUALES Y EXPOSICIONES")</f>
        <v>DIRECCIÓN GENERAL DE MUSEOS, ARTES VISUALES Y EXPOSICIONES</v>
      </c>
      <c r="J121" s="30" t="str">
        <f ca="1">IFERROR(__xludf.DUMMYFUNCTION("""COMPUTED_VALUE"""),"Número de Actividades realizadas")</f>
        <v>Número de Actividades realizadas</v>
      </c>
      <c r="K121" s="30">
        <f ca="1">IFERROR(__xludf.DUMMYFUNCTION("""COMPUTED_VALUE"""),800)</f>
        <v>800</v>
      </c>
      <c r="L121" s="30" t="str">
        <f ca="1">IFERROR(__xludf.DUMMYFUNCTION("""COMPUTED_VALUE"""),"Cultural")</f>
        <v>Cultural</v>
      </c>
      <c r="M121" s="30" t="str">
        <f ca="1">IFERROR(__xludf.DUMMYFUNCTION("""COMPUTED_VALUE"""),"Conversemos sobre arte")</f>
        <v>Conversemos sobre arte</v>
      </c>
      <c r="N121"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21" s="30" t="str">
        <f ca="1">IFERROR(__xludf.DUMMYFUNCTION("""COMPUTED_VALUE"""),"Única")</f>
        <v>Única</v>
      </c>
      <c r="P121" s="33">
        <f ca="1">IFERROR(__xludf.DUMMYFUNCTION("""COMPUTED_VALUE"""),46177)</f>
        <v>46177</v>
      </c>
      <c r="Q121" s="33">
        <f ca="1">IFERROR(__xludf.DUMMYFUNCTION("""COMPUTED_VALUE"""),46177)</f>
        <v>46177</v>
      </c>
      <c r="R121" s="30">
        <f ca="1">IFERROR(__xludf.DUMMYFUNCTION("""COMPUTED_VALUE"""),1)</f>
        <v>1</v>
      </c>
      <c r="S121" s="30" t="str">
        <f ca="1">IFERROR(__xludf.DUMMYFUNCTION("""COMPUTED_VALUE"""),"Cultura comunitaria")</f>
        <v>Cultura comunitaria</v>
      </c>
      <c r="T121" s="30" t="str">
        <f ca="1">IFERROR(__xludf.DUMMYFUNCTION("""COMPUTED_VALUE"""),"Mediación cultural")</f>
        <v>Mediación cultural</v>
      </c>
      <c r="U121" s="30" t="str">
        <f ca="1">IFERROR(__xludf.DUMMYFUNCTION("""COMPUTED_VALUE"""),"Taller")</f>
        <v>Taller</v>
      </c>
      <c r="V121" s="30" t="str">
        <f ca="1">IFERROR(__xludf.DUMMYFUNCTION("""COMPUTED_VALUE"""),"Ninguna")</f>
        <v>Ninguna</v>
      </c>
      <c r="W121" s="30" t="str">
        <f ca="1">IFERROR(__xludf.DUMMYFUNCTION("""COMPUTED_VALUE"""),"Presencial")</f>
        <v>Presencial</v>
      </c>
      <c r="X121" s="30" t="str">
        <f ca="1">IFERROR(__xludf.DUMMYFUNCTION("""COMPUTED_VALUE"""),"Espacio a Cargo de la Secretaría")</f>
        <v>Espacio a Cargo de la Secretaría</v>
      </c>
      <c r="Y121" s="30" t="str">
        <f ca="1">IFERROR(__xludf.DUMMYFUNCTION("""COMPUTED_VALUE"""),"9")</f>
        <v>9</v>
      </c>
      <c r="Z121" s="30"/>
      <c r="AA121" s="30"/>
      <c r="AB121" s="30" t="b">
        <f ca="1">IFERROR(__xludf.DUMMYFUNCTION("""COMPUTED_VALUE"""),FALSE)</f>
        <v>0</v>
      </c>
      <c r="AC121" s="30"/>
      <c r="AD121" s="30" t="b">
        <f ca="1">IFERROR(__xludf.DUMMYFUNCTION("""COMPUTED_VALUE"""),FALSE)</f>
        <v>0</v>
      </c>
      <c r="AE121" s="30"/>
      <c r="AF121" s="30" t="b">
        <f ca="1">IFERROR(__xludf.DUMMYFUNCTION("""COMPUTED_VALUE"""),FALSE)</f>
        <v>0</v>
      </c>
      <c r="AG121" s="30"/>
      <c r="AH121" s="30" t="str">
        <f ca="1">IFERROR(__xludf.DUMMYFUNCTION("""COMPUTED_VALUE"""),"Sin costo")</f>
        <v>Sin costo</v>
      </c>
      <c r="AI121" s="30"/>
      <c r="AJ121" s="30"/>
      <c r="AK121" s="30"/>
      <c r="AL121" s="30" t="str">
        <f ca="1">IFERROR(__xludf.DUMMYFUNCTION("""COMPUTED_VALUE"""),"ccardonav@guanajuato.gob.mx")</f>
        <v>ccardonav@guanajuato.gob.mx</v>
      </c>
      <c r="AM121" s="30" t="str">
        <f ca="1">IFERROR(__xludf.DUMMYFUNCTION("""COMPUTED_VALUE"""),"Arraigo y empoderamiento cultural de comunidades.")</f>
        <v>Arraigo y empoderamiento cultural de comunidades.</v>
      </c>
      <c r="AN121" s="30" t="str">
        <f ca="1">IFERROR(__xludf.DUMMYFUNCTION("""COMPUTED_VALUE"""),"2 Igualdad")</f>
        <v>2 Igualdad</v>
      </c>
      <c r="AO121" s="30" t="str">
        <f ca="1">IFERROR(__xludf.DUMMYFUNCTION("""COMPUTED_VALUE"""),"2.2 Fortalecer cohesión social")</f>
        <v>2.2 Fortalecer cohesión social</v>
      </c>
      <c r="AP121" s="30" t="str">
        <f ca="1">IFERROR(__xludf.DUMMYFUNCTION("""COMPUTED_VALUE"""),"2.2.1 Participación social comunitaria")</f>
        <v>2.2.1 Participación social comunitaria</v>
      </c>
      <c r="AQ121" s="30" t="str">
        <f ca="1">IFERROR(__xludf.DUMMYFUNCTION("""COMPUTED_VALUE"""),"2.2.1 Participación social comunitaria")</f>
        <v>2.2.1 Participación social comunitaria</v>
      </c>
      <c r="AR121" s="30" t="str">
        <f ca="1">IFERROR(__xludf.DUMMYFUNCTION("""COMPUTED_VALUE"""),"Cooperación")</f>
        <v>Cooperación</v>
      </c>
      <c r="AS121" s="30"/>
      <c r="AT121" s="30" t="str">
        <f ca="1">IFERROR(__xludf.DUMMYFUNCTION("""COMPUTED_VALUE"""),"Impulso a la educación artística y a la profesionalización del sector cultural")</f>
        <v>Impulso a la educación artística y a la profesionalización del sector cultural</v>
      </c>
      <c r="AU121" s="30" t="str">
        <f ca="1">IFERROR(__xludf.DUMMYFUNCTION("""COMPUTED_VALUE"""),"Fortalecimiento de las alianzas entre el sector cultural, educativo y productivo")</f>
        <v>Fortalecimiento de las alianzas entre el sector cultural, educativo y productivo</v>
      </c>
      <c r="AV121"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21"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21" s="30" t="str">
        <f ca="1">IFERROR(__xludf.DUMMYFUNCTION("""COMPUTED_VALUE"""),"Visitas escolares")</f>
        <v>Visitas escolares</v>
      </c>
      <c r="AY121" s="30" t="str">
        <f ca="1">IFERROR(__xludf.DUMMYFUNCTION("""COMPUTED_VALUE"""),"Mediación")</f>
        <v>Mediación</v>
      </c>
      <c r="AZ121" s="30"/>
      <c r="BA121" s="30"/>
      <c r="BB121" s="30"/>
      <c r="BC121" s="30">
        <f ca="1">IFERROR(__xludf.DUMMYFUNCTION("""COMPUTED_VALUE"""),0)</f>
        <v>0</v>
      </c>
      <c r="BD121" s="30"/>
      <c r="BE121" s="30"/>
      <c r="BF121" s="30" t="b">
        <f ca="1">IFERROR(__xludf.DUMMYFUNCTION("""COMPUTED_VALUE"""),FALSE)</f>
        <v>0</v>
      </c>
      <c r="BG121" s="30"/>
      <c r="BH121" s="30"/>
      <c r="BI121" s="30"/>
      <c r="BJ121" s="30"/>
      <c r="BK121" s="30"/>
      <c r="BL121" s="30"/>
      <c r="BM121" s="30" t="str">
        <f ca="1">IFERROR(__xludf.DUMMYFUNCTION("""COMPUTED_VALUE"""),"No")</f>
        <v>No</v>
      </c>
      <c r="BN121" s="30"/>
      <c r="BO121" s="30" t="str">
        <f ca="1">IFERROR(__xludf.DUMMYFUNCTION("""COMPUTED_VALUE"""),"b98b2b6d")</f>
        <v>b98b2b6d</v>
      </c>
      <c r="BP121" s="29" t="str">
        <f ca="1">IFERROR(__xludf.DUMMYFUNCTION("""COMPUTED_VALUE"""),"Purísima del Rincón")</f>
        <v>Purísima del Rincón</v>
      </c>
      <c r="BQ121" s="30" t="str">
        <f ca="1">IFERROR(__xludf.DUMMYFUNCTION("""COMPUTED_VALUE"""),"Urbano")</f>
        <v>Urbano</v>
      </c>
      <c r="BR121" s="30">
        <f ca="1">IFERROR(__xludf.DUMMYFUNCTION("""COMPUTED_VALUE"""),171)</f>
        <v>171</v>
      </c>
      <c r="BS121" s="30" t="str">
        <f ca="1">IFERROR(__xludf.DUMMYFUNCTION("""COMPUTED_VALUE"""),"Purísima")</f>
        <v>Purísima</v>
      </c>
      <c r="BT121" s="30"/>
      <c r="BU121" s="30" t="str">
        <f ca="1">IFERROR(__xludf.DUMMYFUNCTION("""COMPUTED_VALUE"""),"Si")</f>
        <v>Si</v>
      </c>
      <c r="BV121" s="30" t="str">
        <f ca="1">IFERROR(__xludf.DUMMYFUNCTION("""COMPUTED_VALUE"""),"No")</f>
        <v>No</v>
      </c>
      <c r="BW121" s="30">
        <f ca="1">IFERROR(__xludf.DUMMYFUNCTION("""COMPUTED_VALUE"""),29)</f>
        <v>29</v>
      </c>
      <c r="BX121" s="30">
        <f ca="1">IFERROR(__xludf.DUMMYFUNCTION("""COMPUTED_VALUE"""),29)</f>
        <v>29</v>
      </c>
      <c r="BY121" s="30">
        <f ca="1">IFERROR(__xludf.DUMMYFUNCTION("""COMPUTED_VALUE"""),0)</f>
        <v>0</v>
      </c>
      <c r="BZ121" s="30" t="str">
        <f ca="1">IFERROR(__xludf.DUMMYFUNCTION("""COMPUTED_VALUE"""),"Purísima")</f>
        <v>Purísima</v>
      </c>
      <c r="CA121" s="30" t="str">
        <f ca="1">IFERROR(__xludf.DUMMYFUNCTION("""COMPUTED_VALUE"""),"No")</f>
        <v>No</v>
      </c>
      <c r="CB121" s="30" t="str">
        <f ca="1">IFERROR(__xludf.DUMMYFUNCTION("""COMPUTED_VALUE"""),"No")</f>
        <v>No</v>
      </c>
      <c r="CC121" s="30" t="str">
        <f ca="1">IFERROR(__xludf.DUMMYFUNCTION("""COMPUTED_VALUE"""),"26090c7c")</f>
        <v>26090c7c</v>
      </c>
      <c r="CD121" s="29" t="str">
        <f ca="1">IFERROR(__xludf.DUMMYFUNCTION("""COMPUTED_VALUE"""),"Jóvenes (18 a 29 años)")</f>
        <v>Jóvenes (18 a 29 años)</v>
      </c>
      <c r="CE121" s="30" t="str">
        <f ca="1">IFERROR(__xludf.DUMMYFUNCTION("""COMPUTED_VALUE"""),"Dato global")</f>
        <v>Dato global</v>
      </c>
      <c r="CF121" s="30" t="str">
        <f ca="1">IFERROR(__xludf.DUMMYFUNCTION("""COMPUTED_VALUE"""),"Ninguno (Población General)")</f>
        <v>Ninguno (Población General)</v>
      </c>
      <c r="CG121" s="30">
        <f ca="1">IFERROR(__xludf.DUMMYFUNCTION("""COMPUTED_VALUE"""),7)</f>
        <v>7</v>
      </c>
      <c r="CI121" s="30" t="str">
        <f ca="1">IFERROR(__xludf.DUMMYFUNCTION("""COMPUTED_VALUE"""),"b204161b")</f>
        <v>b204161b</v>
      </c>
      <c r="CJ121" s="29" t="str">
        <f ca="1">IFERROR(__xludf.DUMMYFUNCTION("""COMPUTED_VALUE"""),"Regitro_Evidencia_Files_/b204161b.Archivo_Evidencia.165411.pptx")</f>
        <v>Regitro_Evidencia_Files_/b204161b.Archivo_Evidencia.165411.pptx</v>
      </c>
      <c r="CK121" s="30"/>
      <c r="CL121" s="30"/>
      <c r="CM121" s="30" t="str">
        <f ca="1">IFERROR(__xludf.DUMMYFUNCTION("""COMPUTED_VALUE"""),"Purísima del Rincón")</f>
        <v>Purísima del Rincón</v>
      </c>
      <c r="CN121" s="32" t="e">
        <f ca="1"/>
        <v>#NAME?</v>
      </c>
      <c r="CO121" s="32" t="e">
        <f ca="1"/>
        <v>#NAME?</v>
      </c>
      <c r="CP121" s="32" t="e">
        <f ca="1"/>
        <v>#NAME?</v>
      </c>
      <c r="CQ121" s="32" t="e">
        <f ca="1"/>
        <v>#NAME?</v>
      </c>
      <c r="CR121" s="30" t="e">
        <f ca="1"/>
        <v>#NAME?</v>
      </c>
      <c r="CS121" s="30" t="str">
        <f ca="1">IFERROR(__xludf.DUMMYFUNCTION("""COMPUTED_VALUE"""),"Ninguno (Población General), Ninguno (Población General)")</f>
        <v>Ninguno (Población General), Ninguno (Población General)</v>
      </c>
    </row>
    <row r="122" spans="1:97" ht="13">
      <c r="A122" s="29" t="str">
        <f ca="1">IFERROR(__xludf.DUMMYFUNCTION("""COMPUTED_VALUE"""),"ACT-SCGU37117")</f>
        <v>ACT-SCGU37117</v>
      </c>
      <c r="B122" s="30" t="str">
        <f ca="1">IFERROR(__xludf.DUMMYFUNCTION("""COMPUTED_VALUE"""),"SC-260625-093337")</f>
        <v>SC-260625-093337</v>
      </c>
      <c r="C122" s="62">
        <f ca="1">IFERROR(__xludf.DUMMYFUNCTION("""COMPUTED_VALUE"""),46198.3983449074)</f>
        <v>46198.3983449074</v>
      </c>
      <c r="D122" s="30">
        <f ca="1">IFERROR(__xludf.DUMMYFUNCTION("""COMPUTED_VALUE"""),92)</f>
        <v>92</v>
      </c>
      <c r="E122" s="30" t="str">
        <f ca="1">IFERROR(__xludf.DUMMYFUNCTION("""COMPUTED_VALUE"""),"PB3572")</f>
        <v>PB3572</v>
      </c>
      <c r="F12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2" s="30" t="str">
        <f ca="1">IFERROR(__xludf.DUMMYFUNCTION("""COMPUTED_VALUE"""),"SUBSECRETARÍA DE DESARROLLO Y PROMOCIÓN ARTÍSTICA Y CULTURAL")</f>
        <v>SUBSECRETARÍA DE DESARROLLO Y PROMOCIÓN ARTÍSTICA Y CULTURAL</v>
      </c>
      <c r="I122" s="34" t="str">
        <f ca="1">IFERROR(__xludf.DUMMYFUNCTION("""COMPUTED_VALUE"""),"DIRECCIÓN GENERAL DE MUSEOS, ARTES VISUALES Y EXPOSICIONES")</f>
        <v>DIRECCIÓN GENERAL DE MUSEOS, ARTES VISUALES Y EXPOSICIONES</v>
      </c>
      <c r="J122" s="30" t="str">
        <f ca="1">IFERROR(__xludf.DUMMYFUNCTION("""COMPUTED_VALUE"""),"Número de Actividades realizadas")</f>
        <v>Número de Actividades realizadas</v>
      </c>
      <c r="K122" s="30">
        <f ca="1">IFERROR(__xludf.DUMMYFUNCTION("""COMPUTED_VALUE"""),800)</f>
        <v>800</v>
      </c>
      <c r="L122" s="30" t="str">
        <f ca="1">IFERROR(__xludf.DUMMYFUNCTION("""COMPUTED_VALUE"""),"Cultural")</f>
        <v>Cultural</v>
      </c>
      <c r="M122" s="30" t="str">
        <f ca="1">IFERROR(__xludf.DUMMYFUNCTION("""COMPUTED_VALUE"""),"Conversemos sobre arte")</f>
        <v>Conversemos sobre arte</v>
      </c>
      <c r="N122"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22" s="30" t="str">
        <f ca="1">IFERROR(__xludf.DUMMYFUNCTION("""COMPUTED_VALUE"""),"Única")</f>
        <v>Única</v>
      </c>
      <c r="P122" s="33">
        <f ca="1">IFERROR(__xludf.DUMMYFUNCTION("""COMPUTED_VALUE"""),46198)</f>
        <v>46198</v>
      </c>
      <c r="Q122" s="33">
        <f ca="1">IFERROR(__xludf.DUMMYFUNCTION("""COMPUTED_VALUE"""),46198)</f>
        <v>46198</v>
      </c>
      <c r="R122" s="30">
        <f ca="1">IFERROR(__xludf.DUMMYFUNCTION("""COMPUTED_VALUE"""),1)</f>
        <v>1</v>
      </c>
      <c r="S122" s="30" t="str">
        <f ca="1">IFERROR(__xludf.DUMMYFUNCTION("""COMPUTED_VALUE"""),"Cultura comunitaria")</f>
        <v>Cultura comunitaria</v>
      </c>
      <c r="T122" s="30" t="str">
        <f ca="1">IFERROR(__xludf.DUMMYFUNCTION("""COMPUTED_VALUE"""),"Mediación cultural")</f>
        <v>Mediación cultural</v>
      </c>
      <c r="U122" s="30" t="str">
        <f ca="1">IFERROR(__xludf.DUMMYFUNCTION("""COMPUTED_VALUE"""),"Taller")</f>
        <v>Taller</v>
      </c>
      <c r="V122" s="30" t="str">
        <f ca="1">IFERROR(__xludf.DUMMYFUNCTION("""COMPUTED_VALUE"""),"Ninguna")</f>
        <v>Ninguna</v>
      </c>
      <c r="W122" s="30" t="str">
        <f ca="1">IFERROR(__xludf.DUMMYFUNCTION("""COMPUTED_VALUE"""),"Presencial")</f>
        <v>Presencial</v>
      </c>
      <c r="X122" s="30" t="str">
        <f ca="1">IFERROR(__xludf.DUMMYFUNCTION("""COMPUTED_VALUE"""),"Espacio a Cargo de la Secretaría")</f>
        <v>Espacio a Cargo de la Secretaría</v>
      </c>
      <c r="Y122" s="30" t="str">
        <f ca="1">IFERROR(__xludf.DUMMYFUNCTION("""COMPUTED_VALUE"""),"9")</f>
        <v>9</v>
      </c>
      <c r="Z122" s="30"/>
      <c r="AA122" s="30"/>
      <c r="AB122" s="30" t="b">
        <f ca="1">IFERROR(__xludf.DUMMYFUNCTION("""COMPUTED_VALUE"""),FALSE)</f>
        <v>0</v>
      </c>
      <c r="AC122" s="30"/>
      <c r="AD122" s="30" t="b">
        <f ca="1">IFERROR(__xludf.DUMMYFUNCTION("""COMPUTED_VALUE"""),FALSE)</f>
        <v>0</v>
      </c>
      <c r="AE122" s="30"/>
      <c r="AF122" s="30" t="b">
        <f ca="1">IFERROR(__xludf.DUMMYFUNCTION("""COMPUTED_VALUE"""),FALSE)</f>
        <v>0</v>
      </c>
      <c r="AG122" s="30"/>
      <c r="AH122" s="30" t="str">
        <f ca="1">IFERROR(__xludf.DUMMYFUNCTION("""COMPUTED_VALUE"""),"Sin costo")</f>
        <v>Sin costo</v>
      </c>
      <c r="AI122" s="30"/>
      <c r="AJ122" s="30"/>
      <c r="AK122" s="30"/>
      <c r="AL122" s="30" t="str">
        <f ca="1">IFERROR(__xludf.DUMMYFUNCTION("""COMPUTED_VALUE"""),"ccardonav@guanajuato.gob.mx")</f>
        <v>ccardonav@guanajuato.gob.mx</v>
      </c>
      <c r="AM122" s="30" t="str">
        <f ca="1">IFERROR(__xludf.DUMMYFUNCTION("""COMPUTED_VALUE"""),"Arraigo y empoderamiento cultural de comunidades.")</f>
        <v>Arraigo y empoderamiento cultural de comunidades.</v>
      </c>
      <c r="AN122" s="30" t="str">
        <f ca="1">IFERROR(__xludf.DUMMYFUNCTION("""COMPUTED_VALUE"""),"2 Igualdad")</f>
        <v>2 Igualdad</v>
      </c>
      <c r="AO122" s="30" t="str">
        <f ca="1">IFERROR(__xludf.DUMMYFUNCTION("""COMPUTED_VALUE"""),"2.2 Fortalecer cohesión social")</f>
        <v>2.2 Fortalecer cohesión social</v>
      </c>
      <c r="AP122" s="30" t="str">
        <f ca="1">IFERROR(__xludf.DUMMYFUNCTION("""COMPUTED_VALUE"""),"2.2.1 Participación social comunitaria")</f>
        <v>2.2.1 Participación social comunitaria</v>
      </c>
      <c r="AQ122" s="30" t="str">
        <f ca="1">IFERROR(__xludf.DUMMYFUNCTION("""COMPUTED_VALUE"""),"2.2.1 Participación social comunitaria")</f>
        <v>2.2.1 Participación social comunitaria</v>
      </c>
      <c r="AR122" s="30" t="str">
        <f ca="1">IFERROR(__xludf.DUMMYFUNCTION("""COMPUTED_VALUE"""),"Cooperación")</f>
        <v>Cooperación</v>
      </c>
      <c r="AS122" s="30"/>
      <c r="AT122" s="30" t="str">
        <f ca="1">IFERROR(__xludf.DUMMYFUNCTION("""COMPUTED_VALUE"""),"Impulso a la educación artística y a la profesionalización del sector cultural")</f>
        <v>Impulso a la educación artística y a la profesionalización del sector cultural</v>
      </c>
      <c r="AU122" s="30" t="str">
        <f ca="1">IFERROR(__xludf.DUMMYFUNCTION("""COMPUTED_VALUE"""),"Fortalecimiento de las alianzas entre el sector cultural, educativo y productivo")</f>
        <v>Fortalecimiento de las alianzas entre el sector cultural, educativo y productivo</v>
      </c>
      <c r="AV122"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22"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22" s="30" t="str">
        <f ca="1">IFERROR(__xludf.DUMMYFUNCTION("""COMPUTED_VALUE"""),"Visitas escolares")</f>
        <v>Visitas escolares</v>
      </c>
      <c r="AY122" s="30" t="str">
        <f ca="1">IFERROR(__xludf.DUMMYFUNCTION("""COMPUTED_VALUE"""),"Mediación")</f>
        <v>Mediación</v>
      </c>
      <c r="AZ122" s="30"/>
      <c r="BA122" s="30"/>
      <c r="BB122" s="30"/>
      <c r="BC122" s="30">
        <f ca="1">IFERROR(__xludf.DUMMYFUNCTION("""COMPUTED_VALUE"""),0)</f>
        <v>0</v>
      </c>
      <c r="BD122" s="30"/>
      <c r="BE122" s="30"/>
      <c r="BF122" s="30" t="b">
        <f ca="1">IFERROR(__xludf.DUMMYFUNCTION("""COMPUTED_VALUE"""),FALSE)</f>
        <v>0</v>
      </c>
      <c r="BG122" s="30"/>
      <c r="BH122" s="30"/>
      <c r="BI122" s="30"/>
      <c r="BJ122" s="30"/>
      <c r="BK122" s="30"/>
      <c r="BL122" s="30"/>
      <c r="BM122" s="30" t="str">
        <f ca="1">IFERROR(__xludf.DUMMYFUNCTION("""COMPUTED_VALUE"""),"No")</f>
        <v>No</v>
      </c>
      <c r="BN122" s="30"/>
      <c r="BO122" s="30" t="str">
        <f ca="1">IFERROR(__xludf.DUMMYFUNCTION("""COMPUTED_VALUE"""),"dc84feee")</f>
        <v>dc84feee</v>
      </c>
      <c r="BP122" s="29" t="str">
        <f ca="1">IFERROR(__xludf.DUMMYFUNCTION("""COMPUTED_VALUE"""),"Purísima del Rincón")</f>
        <v>Purísima del Rincón</v>
      </c>
      <c r="BQ122" s="30" t="str">
        <f ca="1">IFERROR(__xludf.DUMMYFUNCTION("""COMPUTED_VALUE"""),"Urbano")</f>
        <v>Urbano</v>
      </c>
      <c r="BR122" s="30">
        <f ca="1">IFERROR(__xludf.DUMMYFUNCTION("""COMPUTED_VALUE"""),171)</f>
        <v>171</v>
      </c>
      <c r="BS122" s="30" t="str">
        <f ca="1">IFERROR(__xludf.DUMMYFUNCTION("""COMPUTED_VALUE"""),"Purísima")</f>
        <v>Purísima</v>
      </c>
      <c r="BT122" s="30"/>
      <c r="BU122" s="30" t="str">
        <f ca="1">IFERROR(__xludf.DUMMYFUNCTION("""COMPUTED_VALUE"""),"Si")</f>
        <v>Si</v>
      </c>
      <c r="BV122" s="30" t="str">
        <f ca="1">IFERROR(__xludf.DUMMYFUNCTION("""COMPUTED_VALUE"""),"No")</f>
        <v>No</v>
      </c>
      <c r="BW122" s="30">
        <f ca="1">IFERROR(__xludf.DUMMYFUNCTION("""COMPUTED_VALUE"""),14)</f>
        <v>14</v>
      </c>
      <c r="BX122" s="30">
        <f ca="1">IFERROR(__xludf.DUMMYFUNCTION("""COMPUTED_VALUE"""),14)</f>
        <v>14</v>
      </c>
      <c r="BY122" s="30">
        <f ca="1">IFERROR(__xludf.DUMMYFUNCTION("""COMPUTED_VALUE"""),0)</f>
        <v>0</v>
      </c>
      <c r="BZ122" s="30" t="str">
        <f ca="1">IFERROR(__xludf.DUMMYFUNCTION("""COMPUTED_VALUE"""),"Purísima")</f>
        <v>Purísima</v>
      </c>
      <c r="CA122" s="30" t="str">
        <f ca="1">IFERROR(__xludf.DUMMYFUNCTION("""COMPUTED_VALUE"""),"No")</f>
        <v>No</v>
      </c>
      <c r="CB122" s="30" t="str">
        <f ca="1">IFERROR(__xludf.DUMMYFUNCTION("""COMPUTED_VALUE"""),"No")</f>
        <v>No</v>
      </c>
      <c r="CC122" s="30" t="str">
        <f ca="1">IFERROR(__xludf.DUMMYFUNCTION("""COMPUTED_VALUE"""),"849e0bf1")</f>
        <v>849e0bf1</v>
      </c>
      <c r="CD122" s="29" t="str">
        <f ca="1">IFERROR(__xludf.DUMMYFUNCTION("""COMPUTED_VALUE"""),"Jóvenes (18 a 29 años)")</f>
        <v>Jóvenes (18 a 29 años)</v>
      </c>
      <c r="CE122" s="30" t="str">
        <f ca="1">IFERROR(__xludf.DUMMYFUNCTION("""COMPUTED_VALUE"""),"Dato global")</f>
        <v>Dato global</v>
      </c>
      <c r="CF122" s="30" t="str">
        <f ca="1">IFERROR(__xludf.DUMMYFUNCTION("""COMPUTED_VALUE"""),"Ninguno (Población General)")</f>
        <v>Ninguno (Población General)</v>
      </c>
      <c r="CG122" s="30">
        <f ca="1">IFERROR(__xludf.DUMMYFUNCTION("""COMPUTED_VALUE"""),19)</f>
        <v>19</v>
      </c>
      <c r="CI122" s="30" t="str">
        <f ca="1">IFERROR(__xludf.DUMMYFUNCTION("""COMPUTED_VALUE"""),"ea2aee05")</f>
        <v>ea2aee05</v>
      </c>
      <c r="CJ122" s="29" t="str">
        <f ca="1">IFERROR(__xludf.DUMMYFUNCTION("""COMPUTED_VALUE"""),"Regitro_Evidencia_Files_/ea2aee05.Archivo_Evidencia.171647.pptx")</f>
        <v>Regitro_Evidencia_Files_/ea2aee05.Archivo_Evidencia.171647.pptx</v>
      </c>
      <c r="CK122" s="30"/>
      <c r="CL122" s="30"/>
      <c r="CM122" s="30" t="str">
        <f ca="1">IFERROR(__xludf.DUMMYFUNCTION("""COMPUTED_VALUE"""),"Purísima del Rincón")</f>
        <v>Purísima del Rincón</v>
      </c>
      <c r="CN122" s="32" t="e">
        <f ca="1"/>
        <v>#NAME?</v>
      </c>
      <c r="CO122" s="32" t="e">
        <f ca="1"/>
        <v>#NAME?</v>
      </c>
      <c r="CP122" s="32" t="e">
        <f ca="1"/>
        <v>#NAME?</v>
      </c>
      <c r="CQ122" s="32" t="e">
        <f ca="1"/>
        <v>#NAME?</v>
      </c>
      <c r="CR122" s="30" t="e">
        <f ca="1"/>
        <v>#NAME?</v>
      </c>
      <c r="CS122" s="30" t="str">
        <f ca="1">IFERROR(__xludf.DUMMYFUNCTION("""COMPUTED_VALUE"""),"NNA (Niñas, Niños y Adolescentes), Ninguno (Población General), Ninguno (Población General), Ninguno (Población General)")</f>
        <v>NNA (Niñas, Niños y Adolescentes), Ninguno (Población General), Ninguno (Población General), Ninguno (Población General)</v>
      </c>
    </row>
    <row r="123" spans="1:97" ht="13">
      <c r="A123" s="29" t="str">
        <f ca="1">IFERROR(__xludf.DUMMYFUNCTION("""COMPUTED_VALUE"""),"ACT-SCNM90733")</f>
        <v>ACT-SCNM90733</v>
      </c>
      <c r="B123" s="30" t="str">
        <f ca="1">IFERROR(__xludf.DUMMYFUNCTION("""COMPUTED_VALUE"""),"SC-260625-093809")</f>
        <v>SC-260625-093809</v>
      </c>
      <c r="C123" s="62">
        <f ca="1">IFERROR(__xludf.DUMMYFUNCTION("""COMPUTED_VALUE"""),46198.4014930555)</f>
        <v>46198.401493055499</v>
      </c>
      <c r="D123" s="30">
        <f ca="1">IFERROR(__xludf.DUMMYFUNCTION("""COMPUTED_VALUE"""),92)</f>
        <v>92</v>
      </c>
      <c r="E123" s="30" t="str">
        <f ca="1">IFERROR(__xludf.DUMMYFUNCTION("""COMPUTED_VALUE"""),"PB3572")</f>
        <v>PB3572</v>
      </c>
      <c r="F12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3" s="30" t="str">
        <f ca="1">IFERROR(__xludf.DUMMYFUNCTION("""COMPUTED_VALUE"""),"SUBSECRETARÍA DE DESARROLLO Y PROMOCIÓN ARTÍSTICA Y CULTURAL")</f>
        <v>SUBSECRETARÍA DE DESARROLLO Y PROMOCIÓN ARTÍSTICA Y CULTURAL</v>
      </c>
      <c r="I123" s="34" t="str">
        <f ca="1">IFERROR(__xludf.DUMMYFUNCTION("""COMPUTED_VALUE"""),"DIRECCIÓN GENERAL DE MUSEOS, ARTES VISUALES Y EXPOSICIONES")</f>
        <v>DIRECCIÓN GENERAL DE MUSEOS, ARTES VISUALES Y EXPOSICIONES</v>
      </c>
      <c r="J123" s="30" t="str">
        <f ca="1">IFERROR(__xludf.DUMMYFUNCTION("""COMPUTED_VALUE"""),"Número de Actividades realizadas")</f>
        <v>Número de Actividades realizadas</v>
      </c>
      <c r="K123" s="30">
        <f ca="1">IFERROR(__xludf.DUMMYFUNCTION("""COMPUTED_VALUE"""),800)</f>
        <v>800</v>
      </c>
      <c r="L123" s="30" t="str">
        <f ca="1">IFERROR(__xludf.DUMMYFUNCTION("""COMPUTED_VALUE"""),"Cultural")</f>
        <v>Cultural</v>
      </c>
      <c r="M123" s="30" t="str">
        <f ca="1">IFERROR(__xludf.DUMMYFUNCTION("""COMPUTED_VALUE"""),"Conversemos sobre arte")</f>
        <v>Conversemos sobre arte</v>
      </c>
      <c r="N123"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23" s="30" t="str">
        <f ca="1">IFERROR(__xludf.DUMMYFUNCTION("""COMPUTED_VALUE"""),"Única")</f>
        <v>Única</v>
      </c>
      <c r="P123" s="33">
        <f ca="1">IFERROR(__xludf.DUMMYFUNCTION("""COMPUTED_VALUE"""),46178)</f>
        <v>46178</v>
      </c>
      <c r="Q123" s="33">
        <f ca="1">IFERROR(__xludf.DUMMYFUNCTION("""COMPUTED_VALUE"""),46178)</f>
        <v>46178</v>
      </c>
      <c r="R123" s="30">
        <f ca="1">IFERROR(__xludf.DUMMYFUNCTION("""COMPUTED_VALUE"""),1)</f>
        <v>1</v>
      </c>
      <c r="S123" s="30" t="str">
        <f ca="1">IFERROR(__xludf.DUMMYFUNCTION("""COMPUTED_VALUE"""),"Cultura comunitaria")</f>
        <v>Cultura comunitaria</v>
      </c>
      <c r="T123" s="30" t="str">
        <f ca="1">IFERROR(__xludf.DUMMYFUNCTION("""COMPUTED_VALUE"""),"Mediación cultural")</f>
        <v>Mediación cultural</v>
      </c>
      <c r="U123" s="30" t="str">
        <f ca="1">IFERROR(__xludf.DUMMYFUNCTION("""COMPUTED_VALUE"""),"Taller")</f>
        <v>Taller</v>
      </c>
      <c r="V123" s="30" t="str">
        <f ca="1">IFERROR(__xludf.DUMMYFUNCTION("""COMPUTED_VALUE"""),"Ninguna")</f>
        <v>Ninguna</v>
      </c>
      <c r="W123" s="30" t="str">
        <f ca="1">IFERROR(__xludf.DUMMYFUNCTION("""COMPUTED_VALUE"""),"Presencial")</f>
        <v>Presencial</v>
      </c>
      <c r="X123" s="30" t="str">
        <f ca="1">IFERROR(__xludf.DUMMYFUNCTION("""COMPUTED_VALUE"""),"Espacio a Cargo de la Secretaría")</f>
        <v>Espacio a Cargo de la Secretaría</v>
      </c>
      <c r="Y123" s="30" t="str">
        <f ca="1">IFERROR(__xludf.DUMMYFUNCTION("""COMPUTED_VALUE"""),"9")</f>
        <v>9</v>
      </c>
      <c r="Z123" s="30"/>
      <c r="AA123" s="30"/>
      <c r="AB123" s="30" t="b">
        <f ca="1">IFERROR(__xludf.DUMMYFUNCTION("""COMPUTED_VALUE"""),FALSE)</f>
        <v>0</v>
      </c>
      <c r="AC123" s="30"/>
      <c r="AD123" s="30" t="b">
        <f ca="1">IFERROR(__xludf.DUMMYFUNCTION("""COMPUTED_VALUE"""),FALSE)</f>
        <v>0</v>
      </c>
      <c r="AE123" s="30"/>
      <c r="AF123" s="30" t="b">
        <f ca="1">IFERROR(__xludf.DUMMYFUNCTION("""COMPUTED_VALUE"""),FALSE)</f>
        <v>0</v>
      </c>
      <c r="AG123" s="30"/>
      <c r="AH123" s="30" t="str">
        <f ca="1">IFERROR(__xludf.DUMMYFUNCTION("""COMPUTED_VALUE"""),"Sin costo")</f>
        <v>Sin costo</v>
      </c>
      <c r="AI123" s="30"/>
      <c r="AJ123" s="30"/>
      <c r="AK123" s="30"/>
      <c r="AL123" s="30" t="str">
        <f ca="1">IFERROR(__xludf.DUMMYFUNCTION("""COMPUTED_VALUE"""),"ccardonav@guanajuato.gob.mx")</f>
        <v>ccardonav@guanajuato.gob.mx</v>
      </c>
      <c r="AM123" s="30" t="str">
        <f ca="1">IFERROR(__xludf.DUMMYFUNCTION("""COMPUTED_VALUE"""),"Arraigo y empoderamiento cultural de comunidades.")</f>
        <v>Arraigo y empoderamiento cultural de comunidades.</v>
      </c>
      <c r="AN123" s="30" t="str">
        <f ca="1">IFERROR(__xludf.DUMMYFUNCTION("""COMPUTED_VALUE"""),"2 Igualdad")</f>
        <v>2 Igualdad</v>
      </c>
      <c r="AO123" s="30" t="str">
        <f ca="1">IFERROR(__xludf.DUMMYFUNCTION("""COMPUTED_VALUE"""),"2.2 Fortalecer cohesión social")</f>
        <v>2.2 Fortalecer cohesión social</v>
      </c>
      <c r="AP123" s="30" t="str">
        <f ca="1">IFERROR(__xludf.DUMMYFUNCTION("""COMPUTED_VALUE"""),"2.2.1 Participación social comunitaria")</f>
        <v>2.2.1 Participación social comunitaria</v>
      </c>
      <c r="AQ123" s="30" t="str">
        <f ca="1">IFERROR(__xludf.DUMMYFUNCTION("""COMPUTED_VALUE"""),"2.2.1 Participación social comunitaria")</f>
        <v>2.2.1 Participación social comunitaria</v>
      </c>
      <c r="AR123" s="30" t="str">
        <f ca="1">IFERROR(__xludf.DUMMYFUNCTION("""COMPUTED_VALUE"""),"Cooperación")</f>
        <v>Cooperación</v>
      </c>
      <c r="AS123" s="30"/>
      <c r="AT123" s="30" t="str">
        <f ca="1">IFERROR(__xludf.DUMMYFUNCTION("""COMPUTED_VALUE"""),"Impulso a la educación artística y a la profesionalización del sector cultural")</f>
        <v>Impulso a la educación artística y a la profesionalización del sector cultural</v>
      </c>
      <c r="AU123" s="30" t="str">
        <f ca="1">IFERROR(__xludf.DUMMYFUNCTION("""COMPUTED_VALUE"""),"Fortalecimiento de las alianzas entre el sector cultural, educativo y productivo")</f>
        <v>Fortalecimiento de las alianzas entre el sector cultural, educativo y productivo</v>
      </c>
      <c r="AV123"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23"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23" s="30" t="str">
        <f ca="1">IFERROR(__xludf.DUMMYFUNCTION("""COMPUTED_VALUE"""),"Visitas escolares")</f>
        <v>Visitas escolares</v>
      </c>
      <c r="AY123" s="30" t="str">
        <f ca="1">IFERROR(__xludf.DUMMYFUNCTION("""COMPUTED_VALUE"""),"Mediación")</f>
        <v>Mediación</v>
      </c>
      <c r="AZ123" s="30"/>
      <c r="BA123" s="30"/>
      <c r="BB123" s="30"/>
      <c r="BC123" s="30">
        <f ca="1">IFERROR(__xludf.DUMMYFUNCTION("""COMPUTED_VALUE"""),0)</f>
        <v>0</v>
      </c>
      <c r="BD123" s="30"/>
      <c r="BE123" s="30"/>
      <c r="BF123" s="30" t="b">
        <f ca="1">IFERROR(__xludf.DUMMYFUNCTION("""COMPUTED_VALUE"""),FALSE)</f>
        <v>0</v>
      </c>
      <c r="BG123" s="30"/>
      <c r="BH123" s="30"/>
      <c r="BI123" s="30"/>
      <c r="BJ123" s="30"/>
      <c r="BK123" s="30"/>
      <c r="BL123" s="30"/>
      <c r="BM123" s="30" t="str">
        <f ca="1">IFERROR(__xludf.DUMMYFUNCTION("""COMPUTED_VALUE"""),"No")</f>
        <v>No</v>
      </c>
      <c r="BN123" s="30"/>
      <c r="BO123" s="30" t="str">
        <f ca="1">IFERROR(__xludf.DUMMYFUNCTION("""COMPUTED_VALUE"""),"adcab8cb")</f>
        <v>adcab8cb</v>
      </c>
      <c r="BP123" s="29" t="str">
        <f ca="1">IFERROR(__xludf.DUMMYFUNCTION("""COMPUTED_VALUE"""),"Purísima del Rincón")</f>
        <v>Purísima del Rincón</v>
      </c>
      <c r="BQ123" s="30" t="str">
        <f ca="1">IFERROR(__xludf.DUMMYFUNCTION("""COMPUTED_VALUE"""),"Urbano")</f>
        <v>Urbano</v>
      </c>
      <c r="BR123" s="30">
        <f ca="1">IFERROR(__xludf.DUMMYFUNCTION("""COMPUTED_VALUE"""),171)</f>
        <v>171</v>
      </c>
      <c r="BS123" s="30" t="str">
        <f ca="1">IFERROR(__xludf.DUMMYFUNCTION("""COMPUTED_VALUE"""),"Purísima")</f>
        <v>Purísima</v>
      </c>
      <c r="BT123" s="30"/>
      <c r="BU123" s="30" t="str">
        <f ca="1">IFERROR(__xludf.DUMMYFUNCTION("""COMPUTED_VALUE"""),"Si")</f>
        <v>Si</v>
      </c>
      <c r="BV123" s="30" t="str">
        <f ca="1">IFERROR(__xludf.DUMMYFUNCTION("""COMPUTED_VALUE"""),"No")</f>
        <v>No</v>
      </c>
      <c r="BW123" s="30">
        <f ca="1">IFERROR(__xludf.DUMMYFUNCTION("""COMPUTED_VALUE"""),67)</f>
        <v>67</v>
      </c>
      <c r="BX123" s="30">
        <f ca="1">IFERROR(__xludf.DUMMYFUNCTION("""COMPUTED_VALUE"""),67)</f>
        <v>67</v>
      </c>
      <c r="BY123" s="30">
        <f ca="1">IFERROR(__xludf.DUMMYFUNCTION("""COMPUTED_VALUE"""),0)</f>
        <v>0</v>
      </c>
      <c r="BZ123" s="30" t="str">
        <f ca="1">IFERROR(__xludf.DUMMYFUNCTION("""COMPUTED_VALUE"""),"Purísima")</f>
        <v>Purísima</v>
      </c>
      <c r="CA123" s="30" t="str">
        <f ca="1">IFERROR(__xludf.DUMMYFUNCTION("""COMPUTED_VALUE"""),"No")</f>
        <v>No</v>
      </c>
      <c r="CB123" s="30" t="str">
        <f ca="1">IFERROR(__xludf.DUMMYFUNCTION("""COMPUTED_VALUE"""),"No")</f>
        <v>No</v>
      </c>
      <c r="CC123" s="30" t="str">
        <f ca="1">IFERROR(__xludf.DUMMYFUNCTION("""COMPUTED_VALUE"""),"2c31a49e")</f>
        <v>2c31a49e</v>
      </c>
      <c r="CD123" s="29" t="str">
        <f ca="1">IFERROR(__xludf.DUMMYFUNCTION("""COMPUTED_VALUE"""),"Jóvenes (18 a 29 años)")</f>
        <v>Jóvenes (18 a 29 años)</v>
      </c>
      <c r="CE123" s="30" t="str">
        <f ca="1">IFERROR(__xludf.DUMMYFUNCTION("""COMPUTED_VALUE"""),"Dato global")</f>
        <v>Dato global</v>
      </c>
      <c r="CF123" s="30" t="str">
        <f ca="1">IFERROR(__xludf.DUMMYFUNCTION("""COMPUTED_VALUE"""),"Ninguno (Población General)")</f>
        <v>Ninguno (Población General)</v>
      </c>
      <c r="CG123" s="30">
        <f ca="1">IFERROR(__xludf.DUMMYFUNCTION("""COMPUTED_VALUE"""),50)</f>
        <v>50</v>
      </c>
      <c r="CI123" s="30" t="str">
        <f ca="1">IFERROR(__xludf.DUMMYFUNCTION("""COMPUTED_VALUE"""),"0b0f3bd2")</f>
        <v>0b0f3bd2</v>
      </c>
      <c r="CJ123" s="29" t="str">
        <f ca="1">IFERROR(__xludf.DUMMYFUNCTION("""COMPUTED_VALUE"""),"Regitro_Evidencia_Files_/0b0f3bd2.Archivo_Evidencia.181557.pptx")</f>
        <v>Regitro_Evidencia_Files_/0b0f3bd2.Archivo_Evidencia.181557.pptx</v>
      </c>
      <c r="CK123" s="30" t="str">
        <f ca="1">IFERROR(__xludf.DUMMYFUNCTION("""COMPUTED_VALUE"""),"Otro tipo de archivo ")</f>
        <v xml:space="preserve">Otro tipo de archivo </v>
      </c>
      <c r="CL123" s="30"/>
      <c r="CM123" s="30" t="str">
        <f ca="1">IFERROR(__xludf.DUMMYFUNCTION("""COMPUTED_VALUE"""),"Purísima del Rincón")</f>
        <v>Purísima del Rincón</v>
      </c>
      <c r="CN123" s="32" t="e">
        <f ca="1"/>
        <v>#NAME?</v>
      </c>
      <c r="CO123" s="32" t="e">
        <f ca="1"/>
        <v>#NAME?</v>
      </c>
      <c r="CP123" s="32" t="e">
        <f ca="1"/>
        <v>#NAME?</v>
      </c>
      <c r="CQ123" s="32" t="e">
        <f ca="1"/>
        <v>#NAME?</v>
      </c>
      <c r="CR123" s="30" t="e">
        <f ca="1"/>
        <v>#NAME?</v>
      </c>
      <c r="CS123" s="30" t="str">
        <f ca="1">IFERROR(__xludf.DUMMYFUNCTION("""COMPUTED_VALUE"""),"NNA (Niñas, Niños y Adolescentes)")</f>
        <v>NNA (Niñas, Niños y Adolescentes)</v>
      </c>
    </row>
    <row r="124" spans="1:97" ht="13">
      <c r="A124" s="29" t="str">
        <f ca="1">IFERROR(__xludf.DUMMYFUNCTION("""COMPUTED_VALUE"""),"ACT-SCEK01502")</f>
        <v>ACT-SCEK01502</v>
      </c>
      <c r="B124" s="30" t="str">
        <f ca="1">IFERROR(__xludf.DUMMYFUNCTION("""COMPUTED_VALUE"""),"SC-260625-094331")</f>
        <v>SC-260625-094331</v>
      </c>
      <c r="C124" s="62">
        <f ca="1">IFERROR(__xludf.DUMMYFUNCTION("""COMPUTED_VALUE"""),46198.4052199074)</f>
        <v>46198.405219907399</v>
      </c>
      <c r="D124" s="30">
        <f ca="1">IFERROR(__xludf.DUMMYFUNCTION("""COMPUTED_VALUE"""),92)</f>
        <v>92</v>
      </c>
      <c r="E124" s="30" t="str">
        <f ca="1">IFERROR(__xludf.DUMMYFUNCTION("""COMPUTED_VALUE"""),"PB3572")</f>
        <v>PB3572</v>
      </c>
      <c r="F12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4" s="30" t="str">
        <f ca="1">IFERROR(__xludf.DUMMYFUNCTION("""COMPUTED_VALUE"""),"SUBSECRETARÍA DE DESARROLLO Y PROMOCIÓN ARTÍSTICA Y CULTURAL")</f>
        <v>SUBSECRETARÍA DE DESARROLLO Y PROMOCIÓN ARTÍSTICA Y CULTURAL</v>
      </c>
      <c r="I124" s="34" t="str">
        <f ca="1">IFERROR(__xludf.DUMMYFUNCTION("""COMPUTED_VALUE"""),"DIRECCIÓN GENERAL DE MUSEOS, ARTES VISUALES Y EXPOSICIONES")</f>
        <v>DIRECCIÓN GENERAL DE MUSEOS, ARTES VISUALES Y EXPOSICIONES</v>
      </c>
      <c r="J124" s="30" t="str">
        <f ca="1">IFERROR(__xludf.DUMMYFUNCTION("""COMPUTED_VALUE"""),"Número de Actividades realizadas")</f>
        <v>Número de Actividades realizadas</v>
      </c>
      <c r="K124" s="30">
        <f ca="1">IFERROR(__xludf.DUMMYFUNCTION("""COMPUTED_VALUE"""),800)</f>
        <v>800</v>
      </c>
      <c r="L124" s="30" t="str">
        <f ca="1">IFERROR(__xludf.DUMMYFUNCTION("""COMPUTED_VALUE"""),"Cultural")</f>
        <v>Cultural</v>
      </c>
      <c r="M124" s="30" t="str">
        <f ca="1">IFERROR(__xludf.DUMMYFUNCTION("""COMPUTED_VALUE"""),"Conversemos sobre arte")</f>
        <v>Conversemos sobre arte</v>
      </c>
      <c r="N124"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24" s="30" t="str">
        <f ca="1">IFERROR(__xludf.DUMMYFUNCTION("""COMPUTED_VALUE"""),"Única")</f>
        <v>Única</v>
      </c>
      <c r="P124" s="33">
        <f ca="1">IFERROR(__xludf.DUMMYFUNCTION("""COMPUTED_VALUE"""),46178)</f>
        <v>46178</v>
      </c>
      <c r="Q124" s="33">
        <f ca="1">IFERROR(__xludf.DUMMYFUNCTION("""COMPUTED_VALUE"""),46178)</f>
        <v>46178</v>
      </c>
      <c r="R124" s="30">
        <f ca="1">IFERROR(__xludf.DUMMYFUNCTION("""COMPUTED_VALUE"""),1)</f>
        <v>1</v>
      </c>
      <c r="S124" s="30" t="str">
        <f ca="1">IFERROR(__xludf.DUMMYFUNCTION("""COMPUTED_VALUE"""),"Cultura comunitaria")</f>
        <v>Cultura comunitaria</v>
      </c>
      <c r="T124" s="30" t="str">
        <f ca="1">IFERROR(__xludf.DUMMYFUNCTION("""COMPUTED_VALUE"""),"Mediación cultural")</f>
        <v>Mediación cultural</v>
      </c>
      <c r="U124" s="30" t="str">
        <f ca="1">IFERROR(__xludf.DUMMYFUNCTION("""COMPUTED_VALUE"""),"Taller")</f>
        <v>Taller</v>
      </c>
      <c r="V124" s="30" t="str">
        <f ca="1">IFERROR(__xludf.DUMMYFUNCTION("""COMPUTED_VALUE"""),"Ninguna")</f>
        <v>Ninguna</v>
      </c>
      <c r="W124" s="30" t="str">
        <f ca="1">IFERROR(__xludf.DUMMYFUNCTION("""COMPUTED_VALUE"""),"Presencial")</f>
        <v>Presencial</v>
      </c>
      <c r="X124" s="30" t="str">
        <f ca="1">IFERROR(__xludf.DUMMYFUNCTION("""COMPUTED_VALUE"""),"Espacio a Cargo de la Secretaría")</f>
        <v>Espacio a Cargo de la Secretaría</v>
      </c>
      <c r="Y124" s="30" t="str">
        <f ca="1">IFERROR(__xludf.DUMMYFUNCTION("""COMPUTED_VALUE"""),"9")</f>
        <v>9</v>
      </c>
      <c r="Z124" s="30"/>
      <c r="AA124" s="30"/>
      <c r="AB124" s="30" t="b">
        <f ca="1">IFERROR(__xludf.DUMMYFUNCTION("""COMPUTED_VALUE"""),FALSE)</f>
        <v>0</v>
      </c>
      <c r="AC124" s="30"/>
      <c r="AD124" s="30" t="b">
        <f ca="1">IFERROR(__xludf.DUMMYFUNCTION("""COMPUTED_VALUE"""),FALSE)</f>
        <v>0</v>
      </c>
      <c r="AE124" s="30"/>
      <c r="AF124" s="30" t="b">
        <f ca="1">IFERROR(__xludf.DUMMYFUNCTION("""COMPUTED_VALUE"""),FALSE)</f>
        <v>0</v>
      </c>
      <c r="AG124" s="30"/>
      <c r="AH124" s="30" t="str">
        <f ca="1">IFERROR(__xludf.DUMMYFUNCTION("""COMPUTED_VALUE"""),"Sin costo")</f>
        <v>Sin costo</v>
      </c>
      <c r="AI124" s="30"/>
      <c r="AJ124" s="30"/>
      <c r="AK124" s="30"/>
      <c r="AL124" s="30" t="str">
        <f ca="1">IFERROR(__xludf.DUMMYFUNCTION("""COMPUTED_VALUE"""),"ccardonav@guanajuato.gob.mx")</f>
        <v>ccardonav@guanajuato.gob.mx</v>
      </c>
      <c r="AM124" s="30" t="str">
        <f ca="1">IFERROR(__xludf.DUMMYFUNCTION("""COMPUTED_VALUE"""),"Arraigo y empoderamiento cultural de comunidades.")</f>
        <v>Arraigo y empoderamiento cultural de comunidades.</v>
      </c>
      <c r="AN124" s="30" t="str">
        <f ca="1">IFERROR(__xludf.DUMMYFUNCTION("""COMPUTED_VALUE"""),"2 Igualdad")</f>
        <v>2 Igualdad</v>
      </c>
      <c r="AO124" s="30" t="str">
        <f ca="1">IFERROR(__xludf.DUMMYFUNCTION("""COMPUTED_VALUE"""),"2.2 Fortalecer cohesión social")</f>
        <v>2.2 Fortalecer cohesión social</v>
      </c>
      <c r="AP124" s="30" t="str">
        <f ca="1">IFERROR(__xludf.DUMMYFUNCTION("""COMPUTED_VALUE"""),"2.2.1 Participación social comunitaria")</f>
        <v>2.2.1 Participación social comunitaria</v>
      </c>
      <c r="AQ124" s="30" t="str">
        <f ca="1">IFERROR(__xludf.DUMMYFUNCTION("""COMPUTED_VALUE"""),"2.2.1 Participación social comunitaria")</f>
        <v>2.2.1 Participación social comunitaria</v>
      </c>
      <c r="AR124" s="30" t="str">
        <f ca="1">IFERROR(__xludf.DUMMYFUNCTION("""COMPUTED_VALUE"""),"Cooperación")</f>
        <v>Cooperación</v>
      </c>
      <c r="AS124" s="30"/>
      <c r="AT124" s="30" t="str">
        <f ca="1">IFERROR(__xludf.DUMMYFUNCTION("""COMPUTED_VALUE"""),"Impulso a la educación artística y a la profesionalización del sector cultural")</f>
        <v>Impulso a la educación artística y a la profesionalización del sector cultural</v>
      </c>
      <c r="AU124" s="30" t="str">
        <f ca="1">IFERROR(__xludf.DUMMYFUNCTION("""COMPUTED_VALUE"""),"Fortalecimiento de las alianzas entre el sector cultural, educativo y productivo")</f>
        <v>Fortalecimiento de las alianzas entre el sector cultural, educativo y productivo</v>
      </c>
      <c r="AV124"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24"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24" s="30" t="str">
        <f ca="1">IFERROR(__xludf.DUMMYFUNCTION("""COMPUTED_VALUE"""),"Visitas escolares")</f>
        <v>Visitas escolares</v>
      </c>
      <c r="AY124" s="30" t="str">
        <f ca="1">IFERROR(__xludf.DUMMYFUNCTION("""COMPUTED_VALUE"""),"Mediación")</f>
        <v>Mediación</v>
      </c>
      <c r="AZ124" s="30"/>
      <c r="BA124" s="30"/>
      <c r="BB124" s="30"/>
      <c r="BC124" s="30">
        <f ca="1">IFERROR(__xludf.DUMMYFUNCTION("""COMPUTED_VALUE"""),0)</f>
        <v>0</v>
      </c>
      <c r="BD124" s="30"/>
      <c r="BE124" s="30"/>
      <c r="BF124" s="30" t="b">
        <f ca="1">IFERROR(__xludf.DUMMYFUNCTION("""COMPUTED_VALUE"""),FALSE)</f>
        <v>0</v>
      </c>
      <c r="BG124" s="30"/>
      <c r="BH124" s="30"/>
      <c r="BI124" s="30"/>
      <c r="BJ124" s="30"/>
      <c r="BK124" s="30"/>
      <c r="BL124" s="30"/>
      <c r="BM124" s="30" t="str">
        <f ca="1">IFERROR(__xludf.DUMMYFUNCTION("""COMPUTED_VALUE"""),"No")</f>
        <v>No</v>
      </c>
      <c r="BN124" s="30"/>
      <c r="BO124" s="30" t="str">
        <f ca="1">IFERROR(__xludf.DUMMYFUNCTION("""COMPUTED_VALUE"""),"cd916466")</f>
        <v>cd916466</v>
      </c>
      <c r="BP124" s="29" t="str">
        <f ca="1">IFERROR(__xludf.DUMMYFUNCTION("""COMPUTED_VALUE"""),"Purísima del Rincón")</f>
        <v>Purísima del Rincón</v>
      </c>
      <c r="BQ124" s="30" t="str">
        <f ca="1">IFERROR(__xludf.DUMMYFUNCTION("""COMPUTED_VALUE"""),"Urbano")</f>
        <v>Urbano</v>
      </c>
      <c r="BR124" s="30">
        <f ca="1">IFERROR(__xludf.DUMMYFUNCTION("""COMPUTED_VALUE"""),171)</f>
        <v>171</v>
      </c>
      <c r="BS124" s="30" t="str">
        <f ca="1">IFERROR(__xludf.DUMMYFUNCTION("""COMPUTED_VALUE"""),"Purísima")</f>
        <v>Purísima</v>
      </c>
      <c r="BT124" s="30"/>
      <c r="BU124" s="30" t="str">
        <f ca="1">IFERROR(__xludf.DUMMYFUNCTION("""COMPUTED_VALUE"""),"Si")</f>
        <v>Si</v>
      </c>
      <c r="BV124" s="30" t="str">
        <f ca="1">IFERROR(__xludf.DUMMYFUNCTION("""COMPUTED_VALUE"""),"No")</f>
        <v>No</v>
      </c>
      <c r="BW124" s="30">
        <f ca="1">IFERROR(__xludf.DUMMYFUNCTION("""COMPUTED_VALUE"""),19)</f>
        <v>19</v>
      </c>
      <c r="BX124" s="30">
        <f ca="1">IFERROR(__xludf.DUMMYFUNCTION("""COMPUTED_VALUE"""),19)</f>
        <v>19</v>
      </c>
      <c r="BY124" s="30">
        <f ca="1">IFERROR(__xludf.DUMMYFUNCTION("""COMPUTED_VALUE"""),0)</f>
        <v>0</v>
      </c>
      <c r="BZ124" s="30" t="str">
        <f ca="1">IFERROR(__xludf.DUMMYFUNCTION("""COMPUTED_VALUE"""),"Purísima")</f>
        <v>Purísima</v>
      </c>
      <c r="CA124" s="30" t="str">
        <f ca="1">IFERROR(__xludf.DUMMYFUNCTION("""COMPUTED_VALUE"""),"No")</f>
        <v>No</v>
      </c>
      <c r="CB124" s="30" t="str">
        <f ca="1">IFERROR(__xludf.DUMMYFUNCTION("""COMPUTED_VALUE"""),"No")</f>
        <v>No</v>
      </c>
      <c r="CC124" s="30" t="str">
        <f ca="1">IFERROR(__xludf.DUMMYFUNCTION("""COMPUTED_VALUE"""),"87f75cac")</f>
        <v>87f75cac</v>
      </c>
      <c r="CD124" s="29" t="str">
        <f ca="1">IFERROR(__xludf.DUMMYFUNCTION("""COMPUTED_VALUE"""),"Adultos (30 a 59 años)")</f>
        <v>Adultos (30 a 59 años)</v>
      </c>
      <c r="CE124" s="30" t="str">
        <f ca="1">IFERROR(__xludf.DUMMYFUNCTION("""COMPUTED_VALUE"""),"Dato global")</f>
        <v>Dato global</v>
      </c>
      <c r="CF124" s="30" t="str">
        <f ca="1">IFERROR(__xludf.DUMMYFUNCTION("""COMPUTED_VALUE"""),"Ninguno (Población General)")</f>
        <v>Ninguno (Población General)</v>
      </c>
      <c r="CG124" s="30">
        <f ca="1">IFERROR(__xludf.DUMMYFUNCTION("""COMPUTED_VALUE"""),53)</f>
        <v>53</v>
      </c>
      <c r="CI124" s="30" t="str">
        <f ca="1">IFERROR(__xludf.DUMMYFUNCTION("""COMPUTED_VALUE"""),"bff79ed5")</f>
        <v>bff79ed5</v>
      </c>
      <c r="CJ124" s="29" t="str">
        <f ca="1">IFERROR(__xludf.DUMMYFUNCTION("""COMPUTED_VALUE"""),"Regitro_Evidencia_Files_/bff79ed5.Archivo_Evidencia.182009.pptx")</f>
        <v>Regitro_Evidencia_Files_/bff79ed5.Archivo_Evidencia.182009.pptx</v>
      </c>
      <c r="CK124" s="30" t="str">
        <f ca="1">IFERROR(__xludf.DUMMYFUNCTION("""COMPUTED_VALUE"""),"Otro tipo de archivo ")</f>
        <v xml:space="preserve">Otro tipo de archivo </v>
      </c>
      <c r="CL124" s="30"/>
      <c r="CM124" s="30" t="str">
        <f ca="1">IFERROR(__xludf.DUMMYFUNCTION("""COMPUTED_VALUE"""),"Tierra Blanca")</f>
        <v>Tierra Blanca</v>
      </c>
      <c r="CN124" s="32" t="e">
        <f ca="1"/>
        <v>#NAME?</v>
      </c>
      <c r="CO124" s="32" t="e">
        <f ca="1"/>
        <v>#NAME?</v>
      </c>
      <c r="CP124" s="32" t="e">
        <f ca="1"/>
        <v>#NAME?</v>
      </c>
      <c r="CQ124" s="32" t="e">
        <f ca="1"/>
        <v>#NAME?</v>
      </c>
      <c r="CR124" s="30" t="e">
        <f ca="1"/>
        <v>#NAME?</v>
      </c>
      <c r="CS124" s="30" t="str">
        <f ca="1">IFERROR(__xludf.DUMMYFUNCTION("""COMPUTED_VALUE"""),"NNA (Niñas, Niños y Adolescentes), NNA (Niñas, Niños y Adolescentes), Ninguno (Población General), Ninguno (Población General), Ninguno (Población General)")</f>
        <v>NNA (Niñas, Niños y Adolescentes), NNA (Niñas, Niños y Adolescentes), Ninguno (Población General), Ninguno (Población General), Ninguno (Población General)</v>
      </c>
    </row>
    <row r="125" spans="1:97" ht="13">
      <c r="A125" s="29" t="str">
        <f ca="1">IFERROR(__xludf.DUMMYFUNCTION("""COMPUTED_VALUE"""),"ACT-SCAQ65320")</f>
        <v>ACT-SCAQ65320</v>
      </c>
      <c r="B125" s="30" t="str">
        <f ca="1">IFERROR(__xludf.DUMMYFUNCTION("""COMPUTED_VALUE"""),"SC-260625-101239")</f>
        <v>SC-260625-101239</v>
      </c>
      <c r="C125" s="62">
        <f ca="1">IFERROR(__xludf.DUMMYFUNCTION("""COMPUTED_VALUE"""),46198.4254513888)</f>
        <v>46198.425451388801</v>
      </c>
      <c r="D125" s="30">
        <f ca="1">IFERROR(__xludf.DUMMYFUNCTION("""COMPUTED_VALUE"""),92)</f>
        <v>92</v>
      </c>
      <c r="E125" s="30" t="str">
        <f ca="1">IFERROR(__xludf.DUMMYFUNCTION("""COMPUTED_VALUE"""),"PB3572")</f>
        <v>PB3572</v>
      </c>
      <c r="F12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5" s="30" t="str">
        <f ca="1">IFERROR(__xludf.DUMMYFUNCTION("""COMPUTED_VALUE"""),"SUBSECRETARÍA DE DESARROLLO Y PROMOCIÓN ARTÍSTICA Y CULTURAL")</f>
        <v>SUBSECRETARÍA DE DESARROLLO Y PROMOCIÓN ARTÍSTICA Y CULTURAL</v>
      </c>
      <c r="I125" s="34" t="str">
        <f ca="1">IFERROR(__xludf.DUMMYFUNCTION("""COMPUTED_VALUE"""),"DIRECCIÓN GENERAL DE MUSEOS, ARTES VISUALES Y EXPOSICIONES")</f>
        <v>DIRECCIÓN GENERAL DE MUSEOS, ARTES VISUALES Y EXPOSICIONES</v>
      </c>
      <c r="J125" s="30" t="str">
        <f ca="1">IFERROR(__xludf.DUMMYFUNCTION("""COMPUTED_VALUE"""),"Número de Actividades realizadas")</f>
        <v>Número de Actividades realizadas</v>
      </c>
      <c r="K125" s="30">
        <f ca="1">IFERROR(__xludf.DUMMYFUNCTION("""COMPUTED_VALUE"""),800)</f>
        <v>800</v>
      </c>
      <c r="L125" s="30" t="str">
        <f ca="1">IFERROR(__xludf.DUMMYFUNCTION("""COMPUTED_VALUE"""),"Cultural")</f>
        <v>Cultural</v>
      </c>
      <c r="M125" s="30" t="str">
        <f ca="1">IFERROR(__xludf.DUMMYFUNCTION("""COMPUTED_VALUE"""),"Conversemos sobre arte")</f>
        <v>Conversemos sobre arte</v>
      </c>
      <c r="N125"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25" s="30" t="str">
        <f ca="1">IFERROR(__xludf.DUMMYFUNCTION("""COMPUTED_VALUE"""),"Única")</f>
        <v>Única</v>
      </c>
      <c r="P125" s="33">
        <f ca="1">IFERROR(__xludf.DUMMYFUNCTION("""COMPUTED_VALUE"""),46178)</f>
        <v>46178</v>
      </c>
      <c r="Q125" s="33">
        <f ca="1">IFERROR(__xludf.DUMMYFUNCTION("""COMPUTED_VALUE"""),46178)</f>
        <v>46178</v>
      </c>
      <c r="R125" s="30">
        <f ca="1">IFERROR(__xludf.DUMMYFUNCTION("""COMPUTED_VALUE"""),1)</f>
        <v>1</v>
      </c>
      <c r="S125" s="30" t="str">
        <f ca="1">IFERROR(__xludf.DUMMYFUNCTION("""COMPUTED_VALUE"""),"Cultura comunitaria")</f>
        <v>Cultura comunitaria</v>
      </c>
      <c r="T125" s="30" t="str">
        <f ca="1">IFERROR(__xludf.DUMMYFUNCTION("""COMPUTED_VALUE"""),"Mediación cultural")</f>
        <v>Mediación cultural</v>
      </c>
      <c r="U125" s="30" t="str">
        <f ca="1">IFERROR(__xludf.DUMMYFUNCTION("""COMPUTED_VALUE"""),"Taller")</f>
        <v>Taller</v>
      </c>
      <c r="V125" s="30" t="str">
        <f ca="1">IFERROR(__xludf.DUMMYFUNCTION("""COMPUTED_VALUE"""),"Ninguna")</f>
        <v>Ninguna</v>
      </c>
      <c r="W125" s="30" t="str">
        <f ca="1">IFERROR(__xludf.DUMMYFUNCTION("""COMPUTED_VALUE"""),"Presencial")</f>
        <v>Presencial</v>
      </c>
      <c r="X125" s="30" t="str">
        <f ca="1">IFERROR(__xludf.DUMMYFUNCTION("""COMPUTED_VALUE"""),"Espacio a Cargo de la Secretaría")</f>
        <v>Espacio a Cargo de la Secretaría</v>
      </c>
      <c r="Y125" s="30" t="str">
        <f ca="1">IFERROR(__xludf.DUMMYFUNCTION("""COMPUTED_VALUE"""),"9")</f>
        <v>9</v>
      </c>
      <c r="Z125" s="30"/>
      <c r="AA125" s="30"/>
      <c r="AB125" s="30" t="b">
        <f ca="1">IFERROR(__xludf.DUMMYFUNCTION("""COMPUTED_VALUE"""),FALSE)</f>
        <v>0</v>
      </c>
      <c r="AC125" s="30"/>
      <c r="AD125" s="30" t="b">
        <f ca="1">IFERROR(__xludf.DUMMYFUNCTION("""COMPUTED_VALUE"""),FALSE)</f>
        <v>0</v>
      </c>
      <c r="AE125" s="30"/>
      <c r="AF125" s="30" t="b">
        <f ca="1">IFERROR(__xludf.DUMMYFUNCTION("""COMPUTED_VALUE"""),FALSE)</f>
        <v>0</v>
      </c>
      <c r="AG125" s="30"/>
      <c r="AH125" s="30" t="str">
        <f ca="1">IFERROR(__xludf.DUMMYFUNCTION("""COMPUTED_VALUE"""),"Sin costo")</f>
        <v>Sin costo</v>
      </c>
      <c r="AI125" s="30"/>
      <c r="AJ125" s="30"/>
      <c r="AK125" s="30"/>
      <c r="AL125" s="30" t="str">
        <f ca="1">IFERROR(__xludf.DUMMYFUNCTION("""COMPUTED_VALUE"""),"ccardonav@guanajuato.gob.mx")</f>
        <v>ccardonav@guanajuato.gob.mx</v>
      </c>
      <c r="AM125" s="30" t="str">
        <f ca="1">IFERROR(__xludf.DUMMYFUNCTION("""COMPUTED_VALUE"""),"Arraigo y empoderamiento cultural de comunidades.")</f>
        <v>Arraigo y empoderamiento cultural de comunidades.</v>
      </c>
      <c r="AN125" s="30" t="str">
        <f ca="1">IFERROR(__xludf.DUMMYFUNCTION("""COMPUTED_VALUE"""),"2 Igualdad")</f>
        <v>2 Igualdad</v>
      </c>
      <c r="AO125" s="30" t="str">
        <f ca="1">IFERROR(__xludf.DUMMYFUNCTION("""COMPUTED_VALUE"""),"2.2 Fortalecer cohesión social")</f>
        <v>2.2 Fortalecer cohesión social</v>
      </c>
      <c r="AP125" s="30" t="str">
        <f ca="1">IFERROR(__xludf.DUMMYFUNCTION("""COMPUTED_VALUE"""),"2.2.1 Participación social comunitaria")</f>
        <v>2.2.1 Participación social comunitaria</v>
      </c>
      <c r="AQ125" s="30" t="str">
        <f ca="1">IFERROR(__xludf.DUMMYFUNCTION("""COMPUTED_VALUE"""),"2.2.1 Participación social comunitaria")</f>
        <v>2.2.1 Participación social comunitaria</v>
      </c>
      <c r="AR125" s="30" t="str">
        <f ca="1">IFERROR(__xludf.DUMMYFUNCTION("""COMPUTED_VALUE"""),"Cooperación")</f>
        <v>Cooperación</v>
      </c>
      <c r="AS125" s="30"/>
      <c r="AT125" s="30" t="str">
        <f ca="1">IFERROR(__xludf.DUMMYFUNCTION("""COMPUTED_VALUE"""),"Impulso a la educación artística y a la profesionalización del sector cultural")</f>
        <v>Impulso a la educación artística y a la profesionalización del sector cultural</v>
      </c>
      <c r="AU125" s="30" t="str">
        <f ca="1">IFERROR(__xludf.DUMMYFUNCTION("""COMPUTED_VALUE"""),"Fortalecimiento de las alianzas entre el sector cultural, educativo y productivo")</f>
        <v>Fortalecimiento de las alianzas entre el sector cultural, educativo y productivo</v>
      </c>
      <c r="AV125"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25"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25" s="30" t="str">
        <f ca="1">IFERROR(__xludf.DUMMYFUNCTION("""COMPUTED_VALUE"""),"Visitas guiadas")</f>
        <v>Visitas guiadas</v>
      </c>
      <c r="AY125" s="30" t="str">
        <f ca="1">IFERROR(__xludf.DUMMYFUNCTION("""COMPUTED_VALUE"""),"Mediación")</f>
        <v>Mediación</v>
      </c>
      <c r="AZ125" s="30"/>
      <c r="BA125" s="30"/>
      <c r="BB125" s="30"/>
      <c r="BC125" s="30">
        <f ca="1">IFERROR(__xludf.DUMMYFUNCTION("""COMPUTED_VALUE"""),0)</f>
        <v>0</v>
      </c>
      <c r="BD125" s="30"/>
      <c r="BE125" s="30"/>
      <c r="BF125" s="30" t="b">
        <f ca="1">IFERROR(__xludf.DUMMYFUNCTION("""COMPUTED_VALUE"""),FALSE)</f>
        <v>0</v>
      </c>
      <c r="BG125" s="30"/>
      <c r="BH125" s="30"/>
      <c r="BI125" s="30"/>
      <c r="BJ125" s="30"/>
      <c r="BK125" s="30"/>
      <c r="BL125" s="30"/>
      <c r="BM125" s="30" t="str">
        <f ca="1">IFERROR(__xludf.DUMMYFUNCTION("""COMPUTED_VALUE"""),"No")</f>
        <v>No</v>
      </c>
      <c r="BN125" s="30"/>
      <c r="BO125" s="30" t="str">
        <f ca="1">IFERROR(__xludf.DUMMYFUNCTION("""COMPUTED_VALUE"""),"60ee583a")</f>
        <v>60ee583a</v>
      </c>
      <c r="BP125" s="29" t="str">
        <f ca="1">IFERROR(__xludf.DUMMYFUNCTION("""COMPUTED_VALUE"""),"Purísima del Rincón")</f>
        <v>Purísima del Rincón</v>
      </c>
      <c r="BQ125" s="30" t="str">
        <f ca="1">IFERROR(__xludf.DUMMYFUNCTION("""COMPUTED_VALUE"""),"Urbano")</f>
        <v>Urbano</v>
      </c>
      <c r="BR125" s="30">
        <f ca="1">IFERROR(__xludf.DUMMYFUNCTION("""COMPUTED_VALUE"""),171)</f>
        <v>171</v>
      </c>
      <c r="BS125" s="30" t="str">
        <f ca="1">IFERROR(__xludf.DUMMYFUNCTION("""COMPUTED_VALUE"""),"Purísima")</f>
        <v>Purísima</v>
      </c>
      <c r="BT125" s="30"/>
      <c r="BU125" s="30" t="str">
        <f ca="1">IFERROR(__xludf.DUMMYFUNCTION("""COMPUTED_VALUE"""),"Si")</f>
        <v>Si</v>
      </c>
      <c r="BV125" s="30" t="str">
        <f ca="1">IFERROR(__xludf.DUMMYFUNCTION("""COMPUTED_VALUE"""),"No")</f>
        <v>No</v>
      </c>
      <c r="BW125" s="30">
        <f ca="1">IFERROR(__xludf.DUMMYFUNCTION("""COMPUTED_VALUE"""),78)</f>
        <v>78</v>
      </c>
      <c r="BX125" s="30"/>
      <c r="BY125" s="30">
        <f ca="1">IFERROR(__xludf.DUMMYFUNCTION("""COMPUTED_VALUE"""),78)</f>
        <v>78</v>
      </c>
      <c r="BZ125" s="30" t="str">
        <f ca="1">IFERROR(__xludf.DUMMYFUNCTION("""COMPUTED_VALUE"""),"Purísima")</f>
        <v>Purísima</v>
      </c>
      <c r="CA125" s="30" t="str">
        <f ca="1">IFERROR(__xludf.DUMMYFUNCTION("""COMPUTED_VALUE"""),"No")</f>
        <v>No</v>
      </c>
      <c r="CB125" s="30" t="str">
        <f ca="1">IFERROR(__xludf.DUMMYFUNCTION("""COMPUTED_VALUE"""),"No")</f>
        <v>No</v>
      </c>
      <c r="CC125" s="30" t="str">
        <f ca="1">IFERROR(__xludf.DUMMYFUNCTION("""COMPUTED_VALUE"""),"71e0d69d")</f>
        <v>71e0d69d</v>
      </c>
      <c r="CD125" s="29" t="str">
        <f ca="1">IFERROR(__xludf.DUMMYFUNCTION("""COMPUTED_VALUE"""),"Niñas y Niños (6 a 12 años)")</f>
        <v>Niñas y Niños (6 a 12 años)</v>
      </c>
      <c r="CE125" s="30" t="str">
        <f ca="1">IFERROR(__xludf.DUMMYFUNCTION("""COMPUTED_VALUE"""),"Dato global")</f>
        <v>Dato global</v>
      </c>
      <c r="CF125" s="30" t="str">
        <f ca="1">IFERROR(__xludf.DUMMYFUNCTION("""COMPUTED_VALUE"""),"NNA (Niñas, Niños y Adolescentes)")</f>
        <v>NNA (Niñas, Niños y Adolescentes)</v>
      </c>
      <c r="CG125" s="30">
        <f ca="1">IFERROR(__xludf.DUMMYFUNCTION("""COMPUTED_VALUE"""),55)</f>
        <v>55</v>
      </c>
      <c r="CI125" s="30" t="str">
        <f ca="1">IFERROR(__xludf.DUMMYFUNCTION("""COMPUTED_VALUE"""),"f46388e3")</f>
        <v>f46388e3</v>
      </c>
      <c r="CJ125" s="29" t="str">
        <f ca="1">IFERROR(__xludf.DUMMYFUNCTION("""COMPUTED_VALUE"""),"Regitro_Evidencia_Files_/f46388e3.Archivo_Evidencia.182330.pptx")</f>
        <v>Regitro_Evidencia_Files_/f46388e3.Archivo_Evidencia.182330.pptx</v>
      </c>
      <c r="CK125" s="30" t="str">
        <f ca="1">IFERROR(__xludf.DUMMYFUNCTION("""COMPUTED_VALUE"""),"Otro tipo de archivo ")</f>
        <v xml:space="preserve">Otro tipo de archivo </v>
      </c>
      <c r="CL125" s="30"/>
      <c r="CM125" s="30" t="str">
        <f ca="1">IFERROR(__xludf.DUMMYFUNCTION("""COMPUTED_VALUE"""),"San Luis de la Paz")</f>
        <v>San Luis de la Paz</v>
      </c>
      <c r="CN125" s="32" t="e">
        <f ca="1"/>
        <v>#NAME?</v>
      </c>
      <c r="CO125" s="32" t="e">
        <f ca="1"/>
        <v>#NAME?</v>
      </c>
      <c r="CP125" s="32" t="e">
        <f ca="1"/>
        <v>#NAME?</v>
      </c>
      <c r="CQ125" s="32" t="e">
        <f ca="1"/>
        <v>#NAME?</v>
      </c>
      <c r="CR125" s="30" t="e">
        <f ca="1"/>
        <v>#NAME?</v>
      </c>
      <c r="CS125" s="30" t="str">
        <f ca="1">IFERROR(__xludf.DUMMYFUNCTION("""COMPUTED_VALUE"""),"Ninguno (Población General), NNA (Niñas, Niños y Adolescentes), Ninguno (Población General), Ninguno (Población General), Ninguno (Población General)")</f>
        <v>Ninguno (Población General), NNA (Niñas, Niños y Adolescentes), Ninguno (Población General), Ninguno (Población General), Ninguno (Población General)</v>
      </c>
    </row>
    <row r="126" spans="1:97" ht="13">
      <c r="A126" s="29" t="str">
        <f ca="1">IFERROR(__xludf.DUMMYFUNCTION("""COMPUTED_VALUE"""),"ACT-SCUZ08441")</f>
        <v>ACT-SCUZ08441</v>
      </c>
      <c r="B126" s="30" t="str">
        <f ca="1">IFERROR(__xludf.DUMMYFUNCTION("""COMPUTED_VALUE"""),"SC-260625-103725")</f>
        <v>SC-260625-103725</v>
      </c>
      <c r="C126" s="62">
        <f ca="1">IFERROR(__xludf.DUMMYFUNCTION("""COMPUTED_VALUE"""),46198.4426504629)</f>
        <v>46198.442650462901</v>
      </c>
      <c r="D126" s="30">
        <f ca="1">IFERROR(__xludf.DUMMYFUNCTION("""COMPUTED_VALUE"""),93)</f>
        <v>93</v>
      </c>
      <c r="E126" s="30" t="str">
        <f ca="1">IFERROR(__xludf.DUMMYFUNCTION("""COMPUTED_VALUE"""),"PB3572")</f>
        <v>PB3572</v>
      </c>
      <c r="F12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6" s="30" t="str">
        <f ca="1">IFERROR(__xludf.DUMMYFUNCTION("""COMPUTED_VALUE"""),"Participación de artistas en las actividades extramuros en municipios del Estado de Guanajuato")</f>
        <v>Participación de artistas en las actividades extramuros en municipios del Estado de Guanajuato</v>
      </c>
      <c r="H126" s="30" t="str">
        <f ca="1">IFERROR(__xludf.DUMMYFUNCTION("""COMPUTED_VALUE"""),"SUBSECRETARÍA DE DESARROLLO Y PROMOCIÓN ARTÍSTICA Y CULTURAL")</f>
        <v>SUBSECRETARÍA DE DESARROLLO Y PROMOCIÓN ARTÍSTICA Y CULTURAL</v>
      </c>
      <c r="I126" s="34" t="str">
        <f ca="1">IFERROR(__xludf.DUMMYFUNCTION("""COMPUTED_VALUE"""),"DIRECCIÓN GENERAL DE MUSEOS, ARTES VISUALES Y EXPOSICIONES")</f>
        <v>DIRECCIÓN GENERAL DE MUSEOS, ARTES VISUALES Y EXPOSICIONES</v>
      </c>
      <c r="J126" s="30" t="str">
        <f ca="1">IFERROR(__xludf.DUMMYFUNCTION("""COMPUTED_VALUE"""),"Número de Actividades realizadas")</f>
        <v>Número de Actividades realizadas</v>
      </c>
      <c r="K126" s="30">
        <f ca="1">IFERROR(__xludf.DUMMYFUNCTION("""COMPUTED_VALUE"""),10)</f>
        <v>10</v>
      </c>
      <c r="L126" s="30" t="str">
        <f ca="1">IFERROR(__xludf.DUMMYFUNCTION("""COMPUTED_VALUE"""),"Artística")</f>
        <v>Artística</v>
      </c>
      <c r="M126" s="30" t="str">
        <f ca="1">IFERROR(__xludf.DUMMYFUNCTION("""COMPUTED_VALUE"""),"Espacios incidentales: Escenas al vuelo. Nxuni el bailar del mio Cid")</f>
        <v>Espacios incidentales: Escenas al vuelo. Nxuni el bailar del mio Cid</v>
      </c>
      <c r="N126" s="30" t="str">
        <f ca="1">IFERROR(__xludf.DUMMYFUNCTION("""COMPUTED_VALUE"""),"Monólogo de la compañía Escenas al vuelo. Obra que sigue los pasos de Tino, un jóven arriero que emprende un viaje místico por la geografía, la música y la nostalgia de México para encontrar el camino de su propio espíritu.")</f>
        <v>Monólogo de la compañía Escenas al vuelo. Obra que sigue los pasos de Tino, un jóven arriero que emprende un viaje místico por la geografía, la música y la nostalgia de México para encontrar el camino de su propio espíritu.</v>
      </c>
      <c r="O126" s="30" t="str">
        <f ca="1">IFERROR(__xludf.DUMMYFUNCTION("""COMPUTED_VALUE"""),"Única")</f>
        <v>Única</v>
      </c>
      <c r="P126" s="33">
        <f ca="1">IFERROR(__xludf.DUMMYFUNCTION("""COMPUTED_VALUE"""),46179)</f>
        <v>46179</v>
      </c>
      <c r="Q126" s="33">
        <f ca="1">IFERROR(__xludf.DUMMYFUNCTION("""COMPUTED_VALUE"""),46179)</f>
        <v>46179</v>
      </c>
      <c r="R126" s="30">
        <f ca="1">IFERROR(__xludf.DUMMYFUNCTION("""COMPUTED_VALUE"""),1)</f>
        <v>1</v>
      </c>
      <c r="S126" s="30" t="str">
        <f ca="1">IFERROR(__xludf.DUMMYFUNCTION("""COMPUTED_VALUE"""),"Literatura")</f>
        <v>Literatura</v>
      </c>
      <c r="T126" s="30" t="str">
        <f ca="1">IFERROR(__xludf.DUMMYFUNCTION("""COMPUTED_VALUE"""),"Narrativa")</f>
        <v>Narrativa</v>
      </c>
      <c r="U126" s="30" t="str">
        <f ca="1">IFERROR(__xludf.DUMMYFUNCTION("""COMPUTED_VALUE"""),"Activación cultural comunitaria")</f>
        <v>Activación cultural comunitaria</v>
      </c>
      <c r="V126" s="30" t="str">
        <f ca="1">IFERROR(__xludf.DUMMYFUNCTION("""COMPUTED_VALUE"""),"Ninguna")</f>
        <v>Ninguna</v>
      </c>
      <c r="W126" s="30" t="str">
        <f ca="1">IFERROR(__xludf.DUMMYFUNCTION("""COMPUTED_VALUE"""),"Presencial")</f>
        <v>Presencial</v>
      </c>
      <c r="X126" s="30" t="str">
        <f ca="1">IFERROR(__xludf.DUMMYFUNCTION("""COMPUTED_VALUE"""),"Espacio a Cargo de la Secretaría")</f>
        <v>Espacio a Cargo de la Secretaría</v>
      </c>
      <c r="Y126" s="30" t="str">
        <f ca="1">IFERROR(__xludf.DUMMYFUNCTION("""COMPUTED_VALUE"""),"9")</f>
        <v>9</v>
      </c>
      <c r="Z126" s="30"/>
      <c r="AA126" s="30"/>
      <c r="AB126" s="30" t="b">
        <f ca="1">IFERROR(__xludf.DUMMYFUNCTION("""COMPUTED_VALUE"""),FALSE)</f>
        <v>0</v>
      </c>
      <c r="AC126" s="30"/>
      <c r="AD126" s="30" t="b">
        <f ca="1">IFERROR(__xludf.DUMMYFUNCTION("""COMPUTED_VALUE"""),FALSE)</f>
        <v>0</v>
      </c>
      <c r="AE126" s="30"/>
      <c r="AF126" s="30" t="b">
        <f ca="1">IFERROR(__xludf.DUMMYFUNCTION("""COMPUTED_VALUE"""),FALSE)</f>
        <v>0</v>
      </c>
      <c r="AG126" s="30"/>
      <c r="AH126" s="30" t="str">
        <f ca="1">IFERROR(__xludf.DUMMYFUNCTION("""COMPUTED_VALUE"""),"Sin costo")</f>
        <v>Sin costo</v>
      </c>
      <c r="AI126" s="30"/>
      <c r="AJ126" s="30"/>
      <c r="AK126" s="30"/>
      <c r="AL126" s="30" t="str">
        <f ca="1">IFERROR(__xludf.DUMMYFUNCTION("""COMPUTED_VALUE"""),"ccardonav@guanajuato.gob.mx")</f>
        <v>ccardonav@guanajuato.gob.mx</v>
      </c>
      <c r="AM126" s="30" t="str">
        <f ca="1">IFERROR(__xludf.DUMMYFUNCTION("""COMPUTED_VALUE"""),"Fortalecer la vinculación y el trabajo con casas de cultura y centros culturales municipales.")</f>
        <v>Fortalecer la vinculación y el trabajo con casas de cultura y centros culturales municipales.</v>
      </c>
      <c r="AN126" s="30" t="str">
        <f ca="1">IFERROR(__xludf.DUMMYFUNCTION("""COMPUTED_VALUE"""),"2 Igualdad")</f>
        <v>2 Igualdad</v>
      </c>
      <c r="AO126" s="30" t="str">
        <f ca="1">IFERROR(__xludf.DUMMYFUNCTION("""COMPUTED_VALUE"""),"2.4 Reducir brechas de desigualdad")</f>
        <v>2.4 Reducir brechas de desigualdad</v>
      </c>
      <c r="AP126" s="30" t="str">
        <f ca="1">IFERROR(__xludf.DUMMYFUNCTION("""COMPUTED_VALUE"""),"2.4.3 Descentralización de la oferta cultural")</f>
        <v>2.4.3 Descentralización de la oferta cultural</v>
      </c>
      <c r="AQ126" s="30" t="str">
        <f ca="1">IFERROR(__xludf.DUMMYFUNCTION("""COMPUTED_VALUE"""),"2.4.3.3 Incidir en el involucramiento de las personas con el ecosistema cultural")</f>
        <v>2.4.3.3 Incidir en el involucramiento de las personas con el ecosistema cultural</v>
      </c>
      <c r="AR126" s="30" t="str">
        <f ca="1">IFERROR(__xludf.DUMMYFUNCTION("""COMPUTED_VALUE"""),"Cooperación")</f>
        <v>Cooperación</v>
      </c>
      <c r="AS126" s="30"/>
      <c r="AT126" s="30" t="str">
        <f ca="1">IFERROR(__xludf.DUMMYFUNCTION("""COMPUTED_VALUE"""),"Protección y dinamización del patrimonio, la memoria y los espacios culturales")</f>
        <v>Protección y dinamización del patrimonio, la memoria y los espacios culturales</v>
      </c>
      <c r="AU126" s="30" t="str">
        <f ca="1">IFERROR(__xludf.DUMMYFUNCTION("""COMPUTED_VALUE"""),"Fortalecimiento de los procesos de identificación, conservación, investigación, divulgación y promoción del patrimonio cultural material e inmaterial.")</f>
        <v>Fortalecimiento de los procesos de identificación, conservación, investigación, divulgación y promoción del patrimonio cultural material e inmaterial.</v>
      </c>
      <c r="AV126" s="30" t="str">
        <f ca="1">IFERROR(__xludf.DUMMYFUNCTION("""COMPUTED_VALUE"""),"Vinculación interinstitucional para incorporar elementos culturales en el desarrollo de productos turísticos identitarios en los destinos, así como en la promoción y difusión de la actividad turística.")</f>
        <v>Vinculación interinstitucional para incorporar elementos culturales en el desarrollo de productos turísticos identitarios en los destinos, así como en la promoción y difusión de la actividad turística.</v>
      </c>
      <c r="AW126" s="30" t="str">
        <f ca="1">IFERROR(__xludf.DUMMYFUNCTION("""COMPUTED_VALUE"""),"Lograr un incremento anual del 10% de población que participa en actividades comunitarias para el aprovechamiento de los espacios culturales y zonas patrimoniales.")</f>
        <v>Lograr un incremento anual del 10% de población que participa en actividades comunitarias para el aprovechamiento de los espacios culturales y zonas patrimoniales.</v>
      </c>
      <c r="AX126" s="30" t="str">
        <f ca="1">IFERROR(__xludf.DUMMYFUNCTION("""COMPUTED_VALUE"""),"Activación cultural comunitaria")</f>
        <v>Activación cultural comunitaria</v>
      </c>
      <c r="AY126" s="30" t="str">
        <f ca="1">IFERROR(__xludf.DUMMYFUNCTION("""COMPUTED_VALUE"""),"Mediación")</f>
        <v>Mediación</v>
      </c>
      <c r="AZ126" s="30"/>
      <c r="BA126" s="30"/>
      <c r="BB126" s="30"/>
      <c r="BC126" s="30">
        <f ca="1">IFERROR(__xludf.DUMMYFUNCTION("""COMPUTED_VALUE"""),0)</f>
        <v>0</v>
      </c>
      <c r="BD126" s="30"/>
      <c r="BE126" s="30"/>
      <c r="BF126" s="30" t="b">
        <f ca="1">IFERROR(__xludf.DUMMYFUNCTION("""COMPUTED_VALUE"""),FALSE)</f>
        <v>0</v>
      </c>
      <c r="BG126" s="30"/>
      <c r="BH126" s="30"/>
      <c r="BI126" s="30"/>
      <c r="BJ126" s="30"/>
      <c r="BK126" s="30"/>
      <c r="BL126" s="30" t="str">
        <f ca="1">IFERROR(__xludf.DUMMYFUNCTION("""COMPUTED_VALUE"""),"Vinculacion")</f>
        <v>Vinculacion</v>
      </c>
      <c r="BM126" s="30" t="str">
        <f ca="1">IFERROR(__xludf.DUMMYFUNCTION("""COMPUTED_VALUE"""),"Sí")</f>
        <v>Sí</v>
      </c>
      <c r="BN126" s="30" t="str">
        <f ca="1">IFERROR(__xludf.DUMMYFUNCTION("""COMPUTED_VALUE"""),"Acompañamiento Técnico")</f>
        <v>Acompañamiento Técnico</v>
      </c>
      <c r="BO126" s="30" t="str">
        <f ca="1">IFERROR(__xludf.DUMMYFUNCTION("""COMPUTED_VALUE"""),"4a3dd377")</f>
        <v>4a3dd377</v>
      </c>
      <c r="BP126" s="29" t="str">
        <f ca="1">IFERROR(__xludf.DUMMYFUNCTION("""COMPUTED_VALUE"""),"Purísima del Rincón")</f>
        <v>Purísima del Rincón</v>
      </c>
      <c r="BQ126" s="30" t="str">
        <f ca="1">IFERROR(__xludf.DUMMYFUNCTION("""COMPUTED_VALUE"""),"Urbano")</f>
        <v>Urbano</v>
      </c>
      <c r="BR126" s="30">
        <f ca="1">IFERROR(__xludf.DUMMYFUNCTION("""COMPUTED_VALUE"""),171)</f>
        <v>171</v>
      </c>
      <c r="BS126" s="30" t="str">
        <f ca="1">IFERROR(__xludf.DUMMYFUNCTION("""COMPUTED_VALUE"""),"Purísima")</f>
        <v>Purísima</v>
      </c>
      <c r="BT126" s="30"/>
      <c r="BU126" s="30" t="str">
        <f ca="1">IFERROR(__xludf.DUMMYFUNCTION("""COMPUTED_VALUE"""),"Si")</f>
        <v>Si</v>
      </c>
      <c r="BV126" s="30" t="str">
        <f ca="1">IFERROR(__xludf.DUMMYFUNCTION("""COMPUTED_VALUE"""),"No")</f>
        <v>No</v>
      </c>
      <c r="BW126" s="30">
        <f ca="1">IFERROR(__xludf.DUMMYFUNCTION("""COMPUTED_VALUE"""),54)</f>
        <v>54</v>
      </c>
      <c r="BX126" s="30">
        <f ca="1">IFERROR(__xludf.DUMMYFUNCTION("""COMPUTED_VALUE"""),54)</f>
        <v>54</v>
      </c>
      <c r="BY126" s="30">
        <f ca="1">IFERROR(__xludf.DUMMYFUNCTION("""COMPUTED_VALUE"""),0)</f>
        <v>0</v>
      </c>
      <c r="BZ126" s="30" t="str">
        <f ca="1">IFERROR(__xludf.DUMMYFUNCTION("""COMPUTED_VALUE"""),"Purísima")</f>
        <v>Purísima</v>
      </c>
      <c r="CA126" s="30" t="str">
        <f ca="1">IFERROR(__xludf.DUMMYFUNCTION("""COMPUTED_VALUE"""),"No")</f>
        <v>No</v>
      </c>
      <c r="CB126" s="30" t="str">
        <f ca="1">IFERROR(__xludf.DUMMYFUNCTION("""COMPUTED_VALUE"""),"No")</f>
        <v>No</v>
      </c>
      <c r="CC126" s="30" t="str">
        <f ca="1">IFERROR(__xludf.DUMMYFUNCTION("""COMPUTED_VALUE"""),"09a62db6")</f>
        <v>09a62db6</v>
      </c>
      <c r="CD126" s="29" t="str">
        <f ca="1">IFERROR(__xludf.DUMMYFUNCTION("""COMPUTED_VALUE"""),"Niñas y Niños (6 a 12 años)")</f>
        <v>Niñas y Niños (6 a 12 años)</v>
      </c>
      <c r="CE126" s="30" t="str">
        <f ca="1">IFERROR(__xludf.DUMMYFUNCTION("""COMPUTED_VALUE"""),"Dato global")</f>
        <v>Dato global</v>
      </c>
      <c r="CF126" s="30" t="str">
        <f ca="1">IFERROR(__xludf.DUMMYFUNCTION("""COMPUTED_VALUE"""),"NNA (Niñas, Niños y Adolescentes)")</f>
        <v>NNA (Niñas, Niños y Adolescentes)</v>
      </c>
      <c r="CG126" s="30">
        <f ca="1">IFERROR(__xludf.DUMMYFUNCTION("""COMPUTED_VALUE"""),22)</f>
        <v>22</v>
      </c>
      <c r="CI126" s="30" t="str">
        <f ca="1">IFERROR(__xludf.DUMMYFUNCTION("""COMPUTED_VALUE"""),"e5e6b1b0")</f>
        <v>e5e6b1b0</v>
      </c>
      <c r="CJ126" s="29" t="str">
        <f ca="1">IFERROR(__xludf.DUMMYFUNCTION("""COMPUTED_VALUE"""),"Regitro_Evidencia_Files_/e5e6b1b0.Archivo_Evidencia.183451.pptx")</f>
        <v>Regitro_Evidencia_Files_/e5e6b1b0.Archivo_Evidencia.183451.pptx</v>
      </c>
      <c r="CK126" s="30" t="str">
        <f ca="1">IFERROR(__xludf.DUMMYFUNCTION("""COMPUTED_VALUE"""),"Otro tipo de archivo ")</f>
        <v xml:space="preserve">Otro tipo de archivo </v>
      </c>
      <c r="CL126" s="30"/>
      <c r="CM126" s="30" t="str">
        <f ca="1">IFERROR(__xludf.DUMMYFUNCTION("""COMPUTED_VALUE"""),"Purísima del Rincón")</f>
        <v>Purísima del Rincón</v>
      </c>
      <c r="CN126" s="32" t="e">
        <f ca="1"/>
        <v>#NAME?</v>
      </c>
      <c r="CO126" s="32" t="e">
        <f ca="1"/>
        <v>#NAME?</v>
      </c>
      <c r="CP126" s="32" t="e">
        <f ca="1"/>
        <v>#NAME?</v>
      </c>
      <c r="CQ126" s="32" t="e">
        <f ca="1"/>
        <v>#NAME?</v>
      </c>
      <c r="CR126" s="30" t="e">
        <f ca="1"/>
        <v>#NAME?</v>
      </c>
      <c r="CS126" s="30" t="str">
        <f ca="1">IFERROR(__xludf.DUMMYFUNCTION("""COMPUTED_VALUE"""),"Ninguno (Población General)")</f>
        <v>Ninguno (Población General)</v>
      </c>
    </row>
    <row r="127" spans="1:97" ht="13">
      <c r="A127" s="29" t="str">
        <f ca="1">IFERROR(__xludf.DUMMYFUNCTION("""COMPUTED_VALUE"""),"ACT-SCLW02149")</f>
        <v>ACT-SCLW02149</v>
      </c>
      <c r="B127" s="30" t="str">
        <f ca="1">IFERROR(__xludf.DUMMYFUNCTION("""COMPUTED_VALUE"""),"SC-260625-105648")</f>
        <v>SC-260625-105648</v>
      </c>
      <c r="C127" s="62">
        <f ca="1">IFERROR(__xludf.DUMMYFUNCTION("""COMPUTED_VALUE"""),46198.4561111111)</f>
        <v>46198.456111111103</v>
      </c>
      <c r="D127" s="30">
        <f ca="1">IFERROR(__xludf.DUMMYFUNCTION("""COMPUTED_VALUE"""),92)</f>
        <v>92</v>
      </c>
      <c r="E127" s="30" t="str">
        <f ca="1">IFERROR(__xludf.DUMMYFUNCTION("""COMPUTED_VALUE"""),"PB3572")</f>
        <v>PB3572</v>
      </c>
      <c r="F12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7" s="30" t="str">
        <f ca="1">IFERROR(__xludf.DUMMYFUNCTION("""COMPUTED_VALUE"""),"SUBSECRETARÍA DE DESARROLLO Y PROMOCIÓN ARTÍSTICA Y CULTURAL")</f>
        <v>SUBSECRETARÍA DE DESARROLLO Y PROMOCIÓN ARTÍSTICA Y CULTURAL</v>
      </c>
      <c r="I127" s="34" t="str">
        <f ca="1">IFERROR(__xludf.DUMMYFUNCTION("""COMPUTED_VALUE"""),"DIRECCIÓN GENERAL DE MUSEOS, ARTES VISUALES Y EXPOSICIONES")</f>
        <v>DIRECCIÓN GENERAL DE MUSEOS, ARTES VISUALES Y EXPOSICIONES</v>
      </c>
      <c r="J127" s="30" t="str">
        <f ca="1">IFERROR(__xludf.DUMMYFUNCTION("""COMPUTED_VALUE"""),"Número de Actividades realizadas")</f>
        <v>Número de Actividades realizadas</v>
      </c>
      <c r="K127" s="30">
        <f ca="1">IFERROR(__xludf.DUMMYFUNCTION("""COMPUTED_VALUE"""),800)</f>
        <v>800</v>
      </c>
      <c r="L127" s="30" t="str">
        <f ca="1">IFERROR(__xludf.DUMMYFUNCTION("""COMPUTED_VALUE"""),"Cultural")</f>
        <v>Cultural</v>
      </c>
      <c r="M127" s="30" t="str">
        <f ca="1">IFERROR(__xludf.DUMMYFUNCTION("""COMPUTED_VALUE"""),"Inauguración de exposición: Angelitos.")</f>
        <v>Inauguración de exposición: Angelitos.</v>
      </c>
      <c r="N127" s="30" t="str">
        <f ca="1">IFERROR(__xludf.DUMMYFUNCTION("""COMPUTED_VALUE"""),"Inauguración de exposición: Angelitos, la vida y muerte niña en México.")</f>
        <v>Inauguración de exposición: Angelitos, la vida y muerte niña en México.</v>
      </c>
      <c r="O127" s="30" t="str">
        <f ca="1">IFERROR(__xludf.DUMMYFUNCTION("""COMPUTED_VALUE"""),"Única")</f>
        <v>Única</v>
      </c>
      <c r="P127" s="33">
        <f ca="1">IFERROR(__xludf.DUMMYFUNCTION("""COMPUTED_VALUE"""),46186)</f>
        <v>46186</v>
      </c>
      <c r="Q127" s="33">
        <f ca="1">IFERROR(__xludf.DUMMYFUNCTION("""COMPUTED_VALUE"""),46186)</f>
        <v>46186</v>
      </c>
      <c r="R127" s="30">
        <f ca="1">IFERROR(__xludf.DUMMYFUNCTION("""COMPUTED_VALUE"""),1)</f>
        <v>1</v>
      </c>
      <c r="S127" s="30" t="str">
        <f ca="1">IFERROR(__xludf.DUMMYFUNCTION("""COMPUTED_VALUE"""),"Artes visuales")</f>
        <v>Artes visuales</v>
      </c>
      <c r="T127" s="30" t="str">
        <f ca="1">IFERROR(__xludf.DUMMYFUNCTION("""COMPUTED_VALUE"""),"Pintura")</f>
        <v>Pintura</v>
      </c>
      <c r="U127" s="30" t="str">
        <f ca="1">IFERROR(__xludf.DUMMYFUNCTION("""COMPUTED_VALUE"""),"Exposición")</f>
        <v>Exposición</v>
      </c>
      <c r="V127" s="30" t="str">
        <f ca="1">IFERROR(__xludf.DUMMYFUNCTION("""COMPUTED_VALUE"""),"Ninguna")</f>
        <v>Ninguna</v>
      </c>
      <c r="W127" s="30" t="str">
        <f ca="1">IFERROR(__xludf.DUMMYFUNCTION("""COMPUTED_VALUE"""),"Presencial")</f>
        <v>Presencial</v>
      </c>
      <c r="X127" s="30" t="str">
        <f ca="1">IFERROR(__xludf.DUMMYFUNCTION("""COMPUTED_VALUE"""),"Espacio a Cargo de la Secretaría")</f>
        <v>Espacio a Cargo de la Secretaría</v>
      </c>
      <c r="Y127" s="30" t="str">
        <f ca="1">IFERROR(__xludf.DUMMYFUNCTION("""COMPUTED_VALUE"""),"9")</f>
        <v>9</v>
      </c>
      <c r="Z127" s="30"/>
      <c r="AA127" s="30"/>
      <c r="AB127" s="30" t="b">
        <f ca="1">IFERROR(__xludf.DUMMYFUNCTION("""COMPUTED_VALUE"""),FALSE)</f>
        <v>0</v>
      </c>
      <c r="AC127" s="30"/>
      <c r="AD127" s="30" t="b">
        <f ca="1">IFERROR(__xludf.DUMMYFUNCTION("""COMPUTED_VALUE"""),FALSE)</f>
        <v>0</v>
      </c>
      <c r="AE127" s="30"/>
      <c r="AF127" s="30" t="b">
        <f ca="1">IFERROR(__xludf.DUMMYFUNCTION("""COMPUTED_VALUE"""),FALSE)</f>
        <v>0</v>
      </c>
      <c r="AG127" s="30"/>
      <c r="AH127" s="30" t="str">
        <f ca="1">IFERROR(__xludf.DUMMYFUNCTION("""COMPUTED_VALUE"""),"Sin costo")</f>
        <v>Sin costo</v>
      </c>
      <c r="AI127" s="30"/>
      <c r="AJ127" s="30"/>
      <c r="AK127" s="30"/>
      <c r="AL127" s="30" t="str">
        <f ca="1">IFERROR(__xludf.DUMMYFUNCTION("""COMPUTED_VALUE"""),"ccardonav@guanajuato.gob.mx")</f>
        <v>ccardonav@guanajuato.gob.mx</v>
      </c>
      <c r="AM127" s="30" t="str">
        <f ca="1">IFERROR(__xludf.DUMMYFUNCTION("""COMPUTED_VALUE"""),"Creación de la Secretaría de Cultura, con una visión social de la política cultural.")</f>
        <v>Creación de la Secretaría de Cultura, con una visión social de la política cultural.</v>
      </c>
      <c r="AN127" s="30" t="str">
        <f ca="1">IFERROR(__xludf.DUMMYFUNCTION("""COMPUTED_VALUE"""),"2 Igualdad")</f>
        <v>2 Igualdad</v>
      </c>
      <c r="AO127" s="30" t="str">
        <f ca="1">IFERROR(__xludf.DUMMYFUNCTION("""COMPUTED_VALUE"""),"2.4 Reducir brechas de desigualdad")</f>
        <v>2.4 Reducir brechas de desigualdad</v>
      </c>
      <c r="AP127" s="30" t="str">
        <f ca="1">IFERROR(__xludf.DUMMYFUNCTION("""COMPUTED_VALUE"""),"2.4.3 Descentralización de la oferta cultural")</f>
        <v>2.4.3 Descentralización de la oferta cultural</v>
      </c>
      <c r="AQ127" s="30" t="str">
        <f ca="1">IFERROR(__xludf.DUMMYFUNCTION("""COMPUTED_VALUE"""),"2.4.3.3 Incidir en el involucramiento de las personas con el ecosistema cultural")</f>
        <v>2.4.3.3 Incidir en el involucramiento de las personas con el ecosistema cultural</v>
      </c>
      <c r="AR127" s="30" t="str">
        <f ca="1">IFERROR(__xludf.DUMMYFUNCTION("""COMPUTED_VALUE"""),"Cooperación")</f>
        <v>Cooperación</v>
      </c>
      <c r="AS127" s="30"/>
      <c r="AT127" s="30" t="str">
        <f ca="1">IFERROR(__xludf.DUMMYFUNCTION("""COMPUTED_VALUE"""),"Protección y dinamización del patrimonio, la memoria y los espacios culturales")</f>
        <v>Protección y dinamización del patrimonio, la memoria y los espacios culturales</v>
      </c>
      <c r="AU127"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27" s="30" t="str">
        <f ca="1">IFERROR(__xludf.DUMMYFUNCTION("""COMPUTED_VALUE"""),"Fortalecer la oferta cultura en espacios independientes")</f>
        <v>Fortalecer la oferta cultura en espacios independientes</v>
      </c>
      <c r="AW127"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27" s="30" t="str">
        <f ca="1">IFERROR(__xludf.DUMMYFUNCTION("""COMPUTED_VALUE"""),"Exposición")</f>
        <v>Exposición</v>
      </c>
      <c r="AY127" s="30" t="str">
        <f ca="1">IFERROR(__xludf.DUMMYFUNCTION("""COMPUTED_VALUE"""),"Circulación / Exhibición")</f>
        <v>Circulación / Exhibición</v>
      </c>
      <c r="AZ127" s="30"/>
      <c r="BA127" s="30"/>
      <c r="BB127" s="30"/>
      <c r="BC127" s="30">
        <f ca="1">IFERROR(__xludf.DUMMYFUNCTION("""COMPUTED_VALUE"""),0)</f>
        <v>0</v>
      </c>
      <c r="BD127" s="30"/>
      <c r="BE127" s="30"/>
      <c r="BF127" s="30" t="b">
        <f ca="1">IFERROR(__xludf.DUMMYFUNCTION("""COMPUTED_VALUE"""),FALSE)</f>
        <v>0</v>
      </c>
      <c r="BG127" s="30"/>
      <c r="BH127" s="30"/>
      <c r="BI127" s="30"/>
      <c r="BJ127" s="30"/>
      <c r="BK127" s="30"/>
      <c r="BL127" s="30"/>
      <c r="BM127" s="30" t="str">
        <f ca="1">IFERROR(__xludf.DUMMYFUNCTION("""COMPUTED_VALUE"""),"No")</f>
        <v>No</v>
      </c>
      <c r="BN127" s="30"/>
      <c r="BO127" s="30" t="str">
        <f ca="1">IFERROR(__xludf.DUMMYFUNCTION("""COMPUTED_VALUE"""),"c0e9390d")</f>
        <v>c0e9390d</v>
      </c>
      <c r="BP127" s="29" t="str">
        <f ca="1">IFERROR(__xludf.DUMMYFUNCTION("""COMPUTED_VALUE"""),"Tierra Blanca")</f>
        <v>Tierra Blanca</v>
      </c>
      <c r="BQ127" s="30" t="str">
        <f ca="1">IFERROR(__xludf.DUMMYFUNCTION("""COMPUTED_VALUE"""),"Urbano")</f>
        <v>Urbano</v>
      </c>
      <c r="BR127" s="30">
        <f ca="1">IFERROR(__xludf.DUMMYFUNCTION("""COMPUTED_VALUE"""),223)</f>
        <v>223</v>
      </c>
      <c r="BS127" s="30" t="str">
        <f ca="1">IFERROR(__xludf.DUMMYFUNCTION("""COMPUTED_VALUE"""),"Tierra Blanca")</f>
        <v>Tierra Blanca</v>
      </c>
      <c r="BT127" s="30"/>
      <c r="BU127" s="30" t="str">
        <f ca="1">IFERROR(__xludf.DUMMYFUNCTION("""COMPUTED_VALUE"""),"Si")</f>
        <v>Si</v>
      </c>
      <c r="BV127" s="30" t="str">
        <f ca="1">IFERROR(__xludf.DUMMYFUNCTION("""COMPUTED_VALUE"""),"No")</f>
        <v>No</v>
      </c>
      <c r="BW127" s="30">
        <f ca="1">IFERROR(__xludf.DUMMYFUNCTION("""COMPUTED_VALUE"""),10900)</f>
        <v>10900</v>
      </c>
      <c r="BX127" s="30"/>
      <c r="BY127" s="30">
        <f ca="1">IFERROR(__xludf.DUMMYFUNCTION("""COMPUTED_VALUE"""),10900)</f>
        <v>10900</v>
      </c>
      <c r="BZ127" s="30" t="str">
        <f ca="1">IFERROR(__xludf.DUMMYFUNCTION("""COMPUTED_VALUE"""),"Tierra Blanca")</f>
        <v>Tierra Blanca</v>
      </c>
      <c r="CA127" s="30" t="str">
        <f ca="1">IFERROR(__xludf.DUMMYFUNCTION("""COMPUTED_VALUE"""),"No")</f>
        <v>No</v>
      </c>
      <c r="CB127" s="30" t="str">
        <f ca="1">IFERROR(__xludf.DUMMYFUNCTION("""COMPUTED_VALUE"""),"No")</f>
        <v>No</v>
      </c>
      <c r="CC127" s="30" t="str">
        <f ca="1">IFERROR(__xludf.DUMMYFUNCTION("""COMPUTED_VALUE"""),"da11eed2")</f>
        <v>da11eed2</v>
      </c>
      <c r="CD127" s="29" t="str">
        <f ca="1">IFERROR(__xludf.DUMMYFUNCTION("""COMPUTED_VALUE"""),"Niñas y Niños (6 a 12 años)")</f>
        <v>Niñas y Niños (6 a 12 años)</v>
      </c>
      <c r="CE127" s="30" t="str">
        <f ca="1">IFERROR(__xludf.DUMMYFUNCTION("""COMPUTED_VALUE"""),"Dato global")</f>
        <v>Dato global</v>
      </c>
      <c r="CF127" s="30" t="str">
        <f ca="1">IFERROR(__xludf.DUMMYFUNCTION("""COMPUTED_VALUE"""),"Ninguno (Población General)")</f>
        <v>Ninguno (Población General)</v>
      </c>
      <c r="CG127" s="30">
        <f ca="1">IFERROR(__xludf.DUMMYFUNCTION("""COMPUTED_VALUE"""),9)</f>
        <v>9</v>
      </c>
      <c r="CI127" s="30" t="str">
        <f ca="1">IFERROR(__xludf.DUMMYFUNCTION("""COMPUTED_VALUE"""),"951b5814")</f>
        <v>951b5814</v>
      </c>
      <c r="CJ127" s="29" t="str">
        <f ca="1">IFERROR(__xludf.DUMMYFUNCTION("""COMPUTED_VALUE"""),"Regitro_Evidencia_Files_/951b5814.Archivo_Evidencia.203152.pptx")</f>
        <v>Regitro_Evidencia_Files_/951b5814.Archivo_Evidencia.203152.pptx</v>
      </c>
      <c r="CK127" s="30" t="str">
        <f ca="1">IFERROR(__xludf.DUMMYFUNCTION("""COMPUTED_VALUE"""),"Otro tipo de archivo ")</f>
        <v xml:space="preserve">Otro tipo de archivo </v>
      </c>
      <c r="CL127" s="30"/>
      <c r="CM127" s="30" t="str">
        <f ca="1">IFERROR(__xludf.DUMMYFUNCTION("""COMPUTED_VALUE"""),"Purísima del Rincón")</f>
        <v>Purísima del Rincón</v>
      </c>
      <c r="CN127" s="32" t="e">
        <f ca="1"/>
        <v>#NAME?</v>
      </c>
      <c r="CO127" s="32" t="e">
        <f ca="1"/>
        <v>#NAME?</v>
      </c>
      <c r="CP127" s="32" t="e">
        <f ca="1"/>
        <v>#NAME?</v>
      </c>
      <c r="CQ127" s="32" t="e">
        <f ca="1"/>
        <v>#NAME?</v>
      </c>
      <c r="CR127" s="30" t="e">
        <f ca="1"/>
        <v>#NAME?</v>
      </c>
      <c r="CS127" s="30" t="str">
        <f ca="1">IFERROR(__xludf.DUMMYFUNCTION("""COMPUTED_VALUE"""),"Comunidad LGBTIQ+, Comunidad LGBTIQ+, Comunidad LGBTIQ+")</f>
        <v>Comunidad LGBTIQ+, Comunidad LGBTIQ+, Comunidad LGBTIQ+</v>
      </c>
    </row>
    <row r="128" spans="1:97" ht="13">
      <c r="A128" s="29" t="str">
        <f ca="1">IFERROR(__xludf.DUMMYFUNCTION("""COMPUTED_VALUE"""),"ACT-SCOX41959")</f>
        <v>ACT-SCOX41959</v>
      </c>
      <c r="B128" s="30" t="str">
        <f ca="1">IFERROR(__xludf.DUMMYFUNCTION("""COMPUTED_VALUE"""),"SC-260625-123657")</f>
        <v>SC-260625-123657</v>
      </c>
      <c r="C128" s="62">
        <f ca="1">IFERROR(__xludf.DUMMYFUNCTION("""COMPUTED_VALUE"""),46198.5256597222)</f>
        <v>46198.525659722203</v>
      </c>
      <c r="D128" s="30">
        <f ca="1">IFERROR(__xludf.DUMMYFUNCTION("""COMPUTED_VALUE"""),92)</f>
        <v>92</v>
      </c>
      <c r="E128" s="30" t="str">
        <f ca="1">IFERROR(__xludf.DUMMYFUNCTION("""COMPUTED_VALUE"""),"PB3572")</f>
        <v>PB3572</v>
      </c>
      <c r="F12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28" s="30" t="str">
        <f ca="1">IFERROR(__xludf.DUMMYFUNCTION("""COMPUTED_VALUE"""),"SUBSECRETARÍA DE DESARROLLO Y PROMOCIÓN ARTÍSTICA Y CULTURAL")</f>
        <v>SUBSECRETARÍA DE DESARROLLO Y PROMOCIÓN ARTÍSTICA Y CULTURAL</v>
      </c>
      <c r="I128" s="34" t="str">
        <f ca="1">IFERROR(__xludf.DUMMYFUNCTION("""COMPUTED_VALUE"""),"DIRECCIÓN GENERAL DE MUSEOS, ARTES VISUALES Y EXPOSICIONES")</f>
        <v>DIRECCIÓN GENERAL DE MUSEOS, ARTES VISUALES Y EXPOSICIONES</v>
      </c>
      <c r="J128" s="30" t="str">
        <f ca="1">IFERROR(__xludf.DUMMYFUNCTION("""COMPUTED_VALUE"""),"Número de Actividades realizadas")</f>
        <v>Número de Actividades realizadas</v>
      </c>
      <c r="K128" s="30">
        <f ca="1">IFERROR(__xludf.DUMMYFUNCTION("""COMPUTED_VALUE"""),800)</f>
        <v>800</v>
      </c>
      <c r="L128" s="30" t="str">
        <f ca="1">IFERROR(__xludf.DUMMYFUNCTION("""COMPUTED_VALUE"""),"Cultural")</f>
        <v>Cultural</v>
      </c>
      <c r="M128" s="30" t="str">
        <f ca="1">IFERROR(__xludf.DUMMYFUNCTION("""COMPUTED_VALUE"""),"Conversemos sobre arte")</f>
        <v>Conversemos sobre arte</v>
      </c>
      <c r="N128" s="30" t="str">
        <f ca="1">IFERROR(__xludf.DUMMYFUNCTION("""COMPUTED_VALUE"""),"Participa con tu escuela en recorridos mediados a través de las exposiciones permanentes y temporales del Museo Hermenegildo Bustos; posteriormente y con la ayuda del equipo de mediación  lleva a cabo un taller con diferentes técnicas artísticas y  refuer"&amp;"za tu aprendizaje.")</f>
        <v>Participa con tu escuela en recorridos mediados a través de las exposiciones permanentes y temporales del Museo Hermenegildo Bustos; posteriormente y con la ayuda del equipo de mediación  lleva a cabo un taller con diferentes técnicas artísticas y  refuerza tu aprendizaje.</v>
      </c>
      <c r="O128" s="30" t="str">
        <f ca="1">IFERROR(__xludf.DUMMYFUNCTION("""COMPUTED_VALUE"""),"Única")</f>
        <v>Única</v>
      </c>
      <c r="P128" s="33">
        <f ca="1">IFERROR(__xludf.DUMMYFUNCTION("""COMPUTED_VALUE"""),46192)</f>
        <v>46192</v>
      </c>
      <c r="Q128" s="33">
        <f ca="1">IFERROR(__xludf.DUMMYFUNCTION("""COMPUTED_VALUE"""),46192)</f>
        <v>46192</v>
      </c>
      <c r="R128" s="30">
        <f ca="1">IFERROR(__xludf.DUMMYFUNCTION("""COMPUTED_VALUE"""),1)</f>
        <v>1</v>
      </c>
      <c r="S128" s="30" t="str">
        <f ca="1">IFERROR(__xludf.DUMMYFUNCTION("""COMPUTED_VALUE"""),"Cultura comunitaria")</f>
        <v>Cultura comunitaria</v>
      </c>
      <c r="T128" s="30" t="str">
        <f ca="1">IFERROR(__xludf.DUMMYFUNCTION("""COMPUTED_VALUE"""),"Mediación cultural")</f>
        <v>Mediación cultural</v>
      </c>
      <c r="U128" s="30" t="str">
        <f ca="1">IFERROR(__xludf.DUMMYFUNCTION("""COMPUTED_VALUE"""),"Taller")</f>
        <v>Taller</v>
      </c>
      <c r="V128" s="30" t="str">
        <f ca="1">IFERROR(__xludf.DUMMYFUNCTION("""COMPUTED_VALUE"""),"Ninguna")</f>
        <v>Ninguna</v>
      </c>
      <c r="W128" s="30" t="str">
        <f ca="1">IFERROR(__xludf.DUMMYFUNCTION("""COMPUTED_VALUE"""),"Presencial")</f>
        <v>Presencial</v>
      </c>
      <c r="X128" s="30" t="str">
        <f ca="1">IFERROR(__xludf.DUMMYFUNCTION("""COMPUTED_VALUE"""),"Espacio a Cargo de la Secretaría")</f>
        <v>Espacio a Cargo de la Secretaría</v>
      </c>
      <c r="Y128" s="30" t="str">
        <f ca="1">IFERROR(__xludf.DUMMYFUNCTION("""COMPUTED_VALUE"""),"9")</f>
        <v>9</v>
      </c>
      <c r="Z128" s="30"/>
      <c r="AA128" s="30"/>
      <c r="AB128" s="30" t="b">
        <f ca="1">IFERROR(__xludf.DUMMYFUNCTION("""COMPUTED_VALUE"""),FALSE)</f>
        <v>0</v>
      </c>
      <c r="AC128" s="30"/>
      <c r="AD128" s="30" t="b">
        <f ca="1">IFERROR(__xludf.DUMMYFUNCTION("""COMPUTED_VALUE"""),FALSE)</f>
        <v>0</v>
      </c>
      <c r="AE128" s="30"/>
      <c r="AF128" s="30" t="b">
        <f ca="1">IFERROR(__xludf.DUMMYFUNCTION("""COMPUTED_VALUE"""),FALSE)</f>
        <v>0</v>
      </c>
      <c r="AG128" s="30"/>
      <c r="AH128" s="30" t="str">
        <f ca="1">IFERROR(__xludf.DUMMYFUNCTION("""COMPUTED_VALUE"""),"Sin costo")</f>
        <v>Sin costo</v>
      </c>
      <c r="AI128" s="30"/>
      <c r="AJ128" s="30"/>
      <c r="AK128" s="30"/>
      <c r="AL128" s="30" t="str">
        <f ca="1">IFERROR(__xludf.DUMMYFUNCTION("""COMPUTED_VALUE"""),"ccardonav@guanajuato.gob.mx")</f>
        <v>ccardonav@guanajuato.gob.mx</v>
      </c>
      <c r="AM128" s="30" t="str">
        <f ca="1">IFERROR(__xludf.DUMMYFUNCTION("""COMPUTED_VALUE"""),"Arraigo y empoderamiento cultural de comunidades.")</f>
        <v>Arraigo y empoderamiento cultural de comunidades.</v>
      </c>
      <c r="AN128" s="30" t="str">
        <f ca="1">IFERROR(__xludf.DUMMYFUNCTION("""COMPUTED_VALUE"""),"2 Igualdad")</f>
        <v>2 Igualdad</v>
      </c>
      <c r="AO128" s="30" t="str">
        <f ca="1">IFERROR(__xludf.DUMMYFUNCTION("""COMPUTED_VALUE"""),"2.2 Fortalecer cohesión social")</f>
        <v>2.2 Fortalecer cohesión social</v>
      </c>
      <c r="AP128" s="30" t="str">
        <f ca="1">IFERROR(__xludf.DUMMYFUNCTION("""COMPUTED_VALUE"""),"2.2.1 Participación social comunitaria")</f>
        <v>2.2.1 Participación social comunitaria</v>
      </c>
      <c r="AQ128" s="30" t="str">
        <f ca="1">IFERROR(__xludf.DUMMYFUNCTION("""COMPUTED_VALUE"""),"2.2.1 Participación social comunitaria")</f>
        <v>2.2.1 Participación social comunitaria</v>
      </c>
      <c r="AR128" s="30" t="str">
        <f ca="1">IFERROR(__xludf.DUMMYFUNCTION("""COMPUTED_VALUE"""),"Cooperación")</f>
        <v>Cooperación</v>
      </c>
      <c r="AS128" s="30"/>
      <c r="AT128" s="30" t="str">
        <f ca="1">IFERROR(__xludf.DUMMYFUNCTION("""COMPUTED_VALUE"""),"Impulso a la educación artística y a la profesionalización del sector cultural")</f>
        <v>Impulso a la educación artística y a la profesionalización del sector cultural</v>
      </c>
      <c r="AU128" s="30" t="str">
        <f ca="1">IFERROR(__xludf.DUMMYFUNCTION("""COMPUTED_VALUE"""),"Fortalecimiento de las alianzas entre el sector cultural, educativo y productivo")</f>
        <v>Fortalecimiento de las alianzas entre el sector cultural, educativo y productivo</v>
      </c>
      <c r="AV128"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128"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128" s="30" t="str">
        <f ca="1">IFERROR(__xludf.DUMMYFUNCTION("""COMPUTED_VALUE"""),"Visitas escolares")</f>
        <v>Visitas escolares</v>
      </c>
      <c r="AY128" s="30" t="str">
        <f ca="1">IFERROR(__xludf.DUMMYFUNCTION("""COMPUTED_VALUE"""),"Mediación")</f>
        <v>Mediación</v>
      </c>
      <c r="AZ128" s="30"/>
      <c r="BA128" s="30"/>
      <c r="BB128" s="30"/>
      <c r="BC128" s="30">
        <f ca="1">IFERROR(__xludf.DUMMYFUNCTION("""COMPUTED_VALUE"""),0)</f>
        <v>0</v>
      </c>
      <c r="BD128" s="30"/>
      <c r="BE128" s="30"/>
      <c r="BF128" s="30" t="b">
        <f ca="1">IFERROR(__xludf.DUMMYFUNCTION("""COMPUTED_VALUE"""),FALSE)</f>
        <v>0</v>
      </c>
      <c r="BG128" s="30"/>
      <c r="BH128" s="30"/>
      <c r="BI128" s="30"/>
      <c r="BJ128" s="30"/>
      <c r="BK128" s="30"/>
      <c r="BL128" s="30"/>
      <c r="BM128" s="30" t="str">
        <f ca="1">IFERROR(__xludf.DUMMYFUNCTION("""COMPUTED_VALUE"""),"No")</f>
        <v>No</v>
      </c>
      <c r="BN128" s="30"/>
      <c r="BO128" s="30" t="str">
        <f ca="1">IFERROR(__xludf.DUMMYFUNCTION("""COMPUTED_VALUE"""),"32395642")</f>
        <v>32395642</v>
      </c>
      <c r="BP128" s="29" t="str">
        <f ca="1">IFERROR(__xludf.DUMMYFUNCTION("""COMPUTED_VALUE"""),"San Luis de la Paz")</f>
        <v>San Luis de la Paz</v>
      </c>
      <c r="BQ128" s="30" t="str">
        <f ca="1">IFERROR(__xludf.DUMMYFUNCTION("""COMPUTED_VALUE"""),"Urbano")</f>
        <v>Urbano</v>
      </c>
      <c r="BR128" s="30">
        <f ca="1">IFERROR(__xludf.DUMMYFUNCTION("""COMPUTED_VALUE"""),201)</f>
        <v>201</v>
      </c>
      <c r="BS128" s="30" t="str">
        <f ca="1">IFERROR(__xludf.DUMMYFUNCTION("""COMPUTED_VALUE"""),"San Luis de la Paz")</f>
        <v>San Luis de la Paz</v>
      </c>
      <c r="BT128" s="30"/>
      <c r="BU128" s="30" t="str">
        <f ca="1">IFERROR(__xludf.DUMMYFUNCTION("""COMPUTED_VALUE"""),"Si")</f>
        <v>Si</v>
      </c>
      <c r="BV128" s="30" t="str">
        <f ca="1">IFERROR(__xludf.DUMMYFUNCTION("""COMPUTED_VALUE"""),"Si")</f>
        <v>Si</v>
      </c>
      <c r="BW128" s="30">
        <f ca="1">IFERROR(__xludf.DUMMYFUNCTION("""COMPUTED_VALUE"""),61000)</f>
        <v>61000</v>
      </c>
      <c r="BX128" s="30"/>
      <c r="BY128" s="30">
        <f ca="1">IFERROR(__xludf.DUMMYFUNCTION("""COMPUTED_VALUE"""),61000)</f>
        <v>61000</v>
      </c>
      <c r="BZ128" s="30" t="str">
        <f ca="1">IFERROR(__xludf.DUMMYFUNCTION("""COMPUTED_VALUE"""),"San Luis de la Paz")</f>
        <v>San Luis de la Paz</v>
      </c>
      <c r="CA128" s="30" t="str">
        <f ca="1">IFERROR(__xludf.DUMMYFUNCTION("""COMPUTED_VALUE"""),"No")</f>
        <v>No</v>
      </c>
      <c r="CB128" s="30" t="str">
        <f ca="1">IFERROR(__xludf.DUMMYFUNCTION("""COMPUTED_VALUE"""),"No")</f>
        <v>No</v>
      </c>
      <c r="CC128" s="30" t="str">
        <f ca="1">IFERROR(__xludf.DUMMYFUNCTION("""COMPUTED_VALUE"""),"69c973ab")</f>
        <v>69c973ab</v>
      </c>
      <c r="CD128" s="29" t="str">
        <f ca="1">IFERROR(__xludf.DUMMYFUNCTION("""COMPUTED_VALUE"""),"Jóvenes (18 a 29 años)")</f>
        <v>Jóvenes (18 a 29 años)</v>
      </c>
      <c r="CE128" s="30" t="str">
        <f ca="1">IFERROR(__xludf.DUMMYFUNCTION("""COMPUTED_VALUE"""),"Dato global")</f>
        <v>Dato global</v>
      </c>
      <c r="CF128" s="30" t="str">
        <f ca="1">IFERROR(__xludf.DUMMYFUNCTION("""COMPUTED_VALUE"""),"Ninguno (Población General)")</f>
        <v>Ninguno (Población General)</v>
      </c>
      <c r="CG128" s="30">
        <f ca="1">IFERROR(__xludf.DUMMYFUNCTION("""COMPUTED_VALUE"""),50)</f>
        <v>50</v>
      </c>
      <c r="CI128" s="30" t="str">
        <f ca="1">IFERROR(__xludf.DUMMYFUNCTION("""COMPUTED_VALUE"""),"9d5aefa0")</f>
        <v>9d5aefa0</v>
      </c>
      <c r="CJ128" s="29" t="str">
        <f ca="1">IFERROR(__xludf.DUMMYFUNCTION("""COMPUTED_VALUE"""),"Regitro_Evidencia_Files_/9d5aefa0.Archivo_Evidencia.205020.pptx")</f>
        <v>Regitro_Evidencia_Files_/9d5aefa0.Archivo_Evidencia.205020.pptx</v>
      </c>
      <c r="CK128" s="30" t="str">
        <f ca="1">IFERROR(__xludf.DUMMYFUNCTION("""COMPUTED_VALUE"""),"Otro tipo de archivo ")</f>
        <v xml:space="preserve">Otro tipo de archivo </v>
      </c>
      <c r="CL128" s="30"/>
      <c r="CM128" s="30" t="str">
        <f ca="1">IFERROR(__xludf.DUMMYFUNCTION("""COMPUTED_VALUE"""),"Purísima del Rincón")</f>
        <v>Purísima del Rincón</v>
      </c>
      <c r="CN128" s="32" t="e">
        <f ca="1"/>
        <v>#NAME?</v>
      </c>
      <c r="CO128" s="32" t="e">
        <f ca="1"/>
        <v>#NAME?</v>
      </c>
      <c r="CP128" s="32" t="e">
        <f ca="1"/>
        <v>#NAME?</v>
      </c>
      <c r="CQ128" s="32" t="e">
        <f ca="1"/>
        <v>#NAME?</v>
      </c>
      <c r="CR128" s="30" t="e">
        <f ca="1"/>
        <v>#NAME?</v>
      </c>
      <c r="CS128" s="30" t="str">
        <f ca="1">IFERROR(__xludf.DUMMYFUNCTION("""COMPUTED_VALUE"""),"NNA (Niñas, Niños y Adolescentes), NNA (Niñas, Niños y Adolescentes), Ninguno (Población General)")</f>
        <v>NNA (Niñas, Niños y Adolescentes), NNA (Niñas, Niños y Adolescentes), Ninguno (Población General)</v>
      </c>
    </row>
    <row r="129" spans="1:97" ht="13">
      <c r="A129" s="29" t="str">
        <f ca="1">IFERROR(__xludf.DUMMYFUNCTION("""COMPUTED_VALUE"""),"ACT-SCSI98628")</f>
        <v>ACT-SCSI98628</v>
      </c>
      <c r="B129" s="30" t="str">
        <f ca="1">IFERROR(__xludf.DUMMYFUNCTION("""COMPUTED_VALUE"""),"SC-260625-143346")</f>
        <v>SC-260625-143346</v>
      </c>
      <c r="C129" s="62">
        <f ca="1">IFERROR(__xludf.DUMMYFUNCTION("""COMPUTED_VALUE"""),46198.6067824074)</f>
        <v>46198.606782407398</v>
      </c>
      <c r="D129" s="30">
        <f ca="1">IFERROR(__xludf.DUMMYFUNCTION("""COMPUTED_VALUE"""),91)</f>
        <v>91</v>
      </c>
      <c r="E129" s="30" t="str">
        <f ca="1">IFERROR(__xludf.DUMMYFUNCTION("""COMPUTED_VALUE"""),"PB3572")</f>
        <v>PB3572</v>
      </c>
      <c r="F12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29"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29" s="30" t="str">
        <f ca="1">IFERROR(__xludf.DUMMYFUNCTION("""COMPUTED_VALUE"""),"SUBSECRETARÍA DE DESARROLLO Y PROMOCIÓN ARTÍSTICA Y CULTURAL")</f>
        <v>SUBSECRETARÍA DE DESARROLLO Y PROMOCIÓN ARTÍSTICA Y CULTURAL</v>
      </c>
      <c r="I129" s="34" t="str">
        <f ca="1">IFERROR(__xludf.DUMMYFUNCTION("""COMPUTED_VALUE"""),"DIRECCIÓN GENERAL DE MUSEOS, ARTES VISUALES Y EXPOSICIONES")</f>
        <v>DIRECCIÓN GENERAL DE MUSEOS, ARTES VISUALES Y EXPOSICIONES</v>
      </c>
      <c r="J129" s="30" t="str">
        <f ca="1">IFERROR(__xludf.DUMMYFUNCTION("""COMPUTED_VALUE"""),"Número de Exposiciones inauguradas")</f>
        <v>Número de Exposiciones inauguradas</v>
      </c>
      <c r="K129" s="30">
        <f ca="1">IFERROR(__xludf.DUMMYFUNCTION("""COMPUTED_VALUE"""),28)</f>
        <v>28</v>
      </c>
      <c r="L129" s="30" t="str">
        <f ca="1">IFERROR(__xludf.DUMMYFUNCTION("""COMPUTED_VALUE"""),"Artística")</f>
        <v>Artística</v>
      </c>
      <c r="M129" s="30" t="str">
        <f ca="1">IFERROR(__xludf.DUMMYFUNCTION("""COMPUTED_VALUE"""),"Exposicion ""Fragmentos y complicidades""")</f>
        <v>Exposicion "Fragmentos y complicidades"</v>
      </c>
      <c r="N129" s="30" t="str">
        <f ca="1">IFERROR(__xludf.DUMMYFUNCTION("""COMPUTED_VALUE"""),"Exposicion en el municipio de Tierra Blanca Gto, como parte del programa Arte en tu Plaza.")</f>
        <v>Exposicion en el municipio de Tierra Blanca Gto, como parte del programa Arte en tu Plaza.</v>
      </c>
      <c r="O129" s="30" t="str">
        <f ca="1">IFERROR(__xludf.DUMMYFUNCTION("""COMPUTED_VALUE"""),"Otras")</f>
        <v>Otras</v>
      </c>
      <c r="P129" s="33">
        <f ca="1">IFERROR(__xludf.DUMMYFUNCTION("""COMPUTED_VALUE"""),46157)</f>
        <v>46157</v>
      </c>
      <c r="Q129" s="33">
        <f ca="1">IFERROR(__xludf.DUMMYFUNCTION("""COMPUTED_VALUE"""),46184)</f>
        <v>46184</v>
      </c>
      <c r="R129" s="30">
        <f ca="1">IFERROR(__xludf.DUMMYFUNCTION("""COMPUTED_VALUE"""),1)</f>
        <v>1</v>
      </c>
      <c r="S129" s="30" t="str">
        <f ca="1">IFERROR(__xludf.DUMMYFUNCTION("""COMPUTED_VALUE"""),"Artes visuales")</f>
        <v>Artes visuales</v>
      </c>
      <c r="T129" s="30" t="str">
        <f ca="1">IFERROR(__xludf.DUMMYFUNCTION("""COMPUTED_VALUE"""),"Arte urbano")</f>
        <v>Arte urbano</v>
      </c>
      <c r="U129" s="30" t="str">
        <f ca="1">IFERROR(__xludf.DUMMYFUNCTION("""COMPUTED_VALUE"""),"Muestra artística")</f>
        <v>Muestra artística</v>
      </c>
      <c r="V129" s="30" t="str">
        <f ca="1">IFERROR(__xludf.DUMMYFUNCTION("""COMPUTED_VALUE"""),"Ninguna")</f>
        <v>Ninguna</v>
      </c>
      <c r="W129" s="30" t="str">
        <f ca="1">IFERROR(__xludf.DUMMYFUNCTION("""COMPUTED_VALUE"""),"Presencial")</f>
        <v>Presencial</v>
      </c>
      <c r="X129" s="30" t="str">
        <f ca="1">IFERROR(__xludf.DUMMYFUNCTION("""COMPUTED_VALUE"""),"Espacio Público")</f>
        <v>Espacio Público</v>
      </c>
      <c r="Y129" s="30"/>
      <c r="Z129" s="30" t="str">
        <f ca="1">IFERROR(__xludf.DUMMYFUNCTION("""COMPUTED_VALUE"""),"Plaza Pública Tierra Blanca Gto.")</f>
        <v>Plaza Pública Tierra Blanca Gto.</v>
      </c>
      <c r="AA129" s="30"/>
      <c r="AB129" s="30" t="b">
        <f ca="1">IFERROR(__xludf.DUMMYFUNCTION("""COMPUTED_VALUE"""),FALSE)</f>
        <v>0</v>
      </c>
      <c r="AC129" s="30"/>
      <c r="AD129" s="30" t="b">
        <f ca="1">IFERROR(__xludf.DUMMYFUNCTION("""COMPUTED_VALUE"""),TRUE)</f>
        <v>1</v>
      </c>
      <c r="AE129" s="30">
        <f ca="1">IFERROR(__xludf.DUMMYFUNCTION("""COMPUTED_VALUE"""),1)</f>
        <v>1</v>
      </c>
      <c r="AF129" s="30" t="b">
        <f ca="1">IFERROR(__xludf.DUMMYFUNCTION("""COMPUTED_VALUE"""),FALSE)</f>
        <v>0</v>
      </c>
      <c r="AG129" s="30"/>
      <c r="AH129" s="30" t="str">
        <f ca="1">IFERROR(__xludf.DUMMYFUNCTION("""COMPUTED_VALUE"""),"Sin costo")</f>
        <v>Sin costo</v>
      </c>
      <c r="AI129" s="30"/>
      <c r="AJ129" s="30"/>
      <c r="AK129" s="30"/>
      <c r="AL129" s="30" t="str">
        <f ca="1">IFERROR(__xludf.DUMMYFUNCTION("""COMPUTED_VALUE"""),"ccardonav@guanajuato.gob.mx")</f>
        <v>ccardonav@guanajuato.gob.mx</v>
      </c>
      <c r="AM129"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29" s="30" t="str">
        <f ca="1">IFERROR(__xludf.DUMMYFUNCTION("""COMPUTED_VALUE"""),"2 Igualdad")</f>
        <v>2 Igualdad</v>
      </c>
      <c r="AO129" s="30" t="str">
        <f ca="1">IFERROR(__xludf.DUMMYFUNCTION("""COMPUTED_VALUE"""),"2.4 Reducir brechas de desigualdad")</f>
        <v>2.4 Reducir brechas de desigualdad</v>
      </c>
      <c r="AP129" s="30" t="str">
        <f ca="1">IFERROR(__xludf.DUMMYFUNCTION("""COMPUTED_VALUE"""),"2.4.3 Descentralización de la oferta cultural")</f>
        <v>2.4.3 Descentralización de la oferta cultural</v>
      </c>
      <c r="AQ129" s="30" t="str">
        <f ca="1">IFERROR(__xludf.DUMMYFUNCTION("""COMPUTED_VALUE"""),"2.4.3.3 Incidir en el involucramiento de las personas con el ecosistema cultural")</f>
        <v>2.4.3.3 Incidir en el involucramiento de las personas con el ecosistema cultural</v>
      </c>
      <c r="AR129" s="30" t="str">
        <f ca="1">IFERROR(__xludf.DUMMYFUNCTION("""COMPUTED_VALUE"""),"Cooperación")</f>
        <v>Cooperación</v>
      </c>
      <c r="AS129" s="30"/>
      <c r="AT129" s="30" t="str">
        <f ca="1">IFERROR(__xludf.DUMMYFUNCTION("""COMPUTED_VALUE"""),"Fortalecimiento de la participación ciudadana y la mediación cultural")</f>
        <v>Fortalecimiento de la participación ciudadana y la mediación cultural</v>
      </c>
      <c r="AU129" s="30" t="str">
        <f ca="1">IFERROR(__xludf.DUMMYFUNCTION("""COMPUTED_VALUE"""),"Impulso a la ampliación de la oferta cultural en los territorios.")</f>
        <v>Impulso a la ampliación de la oferta cultural en los territorios.</v>
      </c>
      <c r="AV129" s="30" t="str">
        <f ca="1">IFERROR(__xludf.DUMMYFUNCTION("""COMPUTED_VALUE"""),"Impulsar los proyectos culturales itinerantes.")</f>
        <v>Impulsar los proyectos culturales itinerantes.</v>
      </c>
      <c r="AW129" s="30" t="str">
        <f ca="1">IFERROR(__xludf.DUMMYFUNCTION("""COMPUTED_VALUE"""),"Incrementar en 25% la oferta cultural realizada en los municipios.")</f>
        <v>Incrementar en 25% la oferta cultural realizada en los municipios.</v>
      </c>
      <c r="AX129" s="30" t="str">
        <f ca="1">IFERROR(__xludf.DUMMYFUNCTION("""COMPUTED_VALUE"""),"Muestra artística")</f>
        <v>Muestra artística</v>
      </c>
      <c r="AY129" s="30" t="str">
        <f ca="1">IFERROR(__xludf.DUMMYFUNCTION("""COMPUTED_VALUE"""),"Circulación / Exhibición")</f>
        <v>Circulación / Exhibición</v>
      </c>
      <c r="AZ129" s="30"/>
      <c r="BA129" s="30"/>
      <c r="BB129" s="30"/>
      <c r="BC129" s="30">
        <f ca="1">IFERROR(__xludf.DUMMYFUNCTION("""COMPUTED_VALUE"""),0)</f>
        <v>0</v>
      </c>
      <c r="BD129" s="30"/>
      <c r="BE129" s="30"/>
      <c r="BF129" s="30" t="b">
        <f ca="1">IFERROR(__xludf.DUMMYFUNCTION("""COMPUTED_VALUE"""),FALSE)</f>
        <v>0</v>
      </c>
      <c r="BG129" s="30"/>
      <c r="BH129" s="30"/>
      <c r="BI129" s="30"/>
      <c r="BJ129" s="30"/>
      <c r="BK129" s="30"/>
      <c r="BL129" s="30"/>
      <c r="BM129" s="30" t="str">
        <f ca="1">IFERROR(__xludf.DUMMYFUNCTION("""COMPUTED_VALUE"""),"No")</f>
        <v>No</v>
      </c>
      <c r="BN129" s="30"/>
      <c r="BO129" s="30" t="str">
        <f ca="1">IFERROR(__xludf.DUMMYFUNCTION("""COMPUTED_VALUE"""),"73b9b9af")</f>
        <v>73b9b9af</v>
      </c>
      <c r="BP129" s="29" t="str">
        <f ca="1">IFERROR(__xludf.DUMMYFUNCTION("""COMPUTED_VALUE"""),"Purísima del Rincón")</f>
        <v>Purísima del Rincón</v>
      </c>
      <c r="BQ129" s="30" t="str">
        <f ca="1">IFERROR(__xludf.DUMMYFUNCTION("""COMPUTED_VALUE"""),"Urbano")</f>
        <v>Urbano</v>
      </c>
      <c r="BR129" s="30">
        <f ca="1">IFERROR(__xludf.DUMMYFUNCTION("""COMPUTED_VALUE"""),171)</f>
        <v>171</v>
      </c>
      <c r="BS129" s="30" t="str">
        <f ca="1">IFERROR(__xludf.DUMMYFUNCTION("""COMPUTED_VALUE"""),"Purísima")</f>
        <v>Purísima</v>
      </c>
      <c r="BT129" s="30"/>
      <c r="BU129" s="30" t="str">
        <f ca="1">IFERROR(__xludf.DUMMYFUNCTION("""COMPUTED_VALUE"""),"Si")</f>
        <v>Si</v>
      </c>
      <c r="BV129" s="30" t="str">
        <f ca="1">IFERROR(__xludf.DUMMYFUNCTION("""COMPUTED_VALUE"""),"No")</f>
        <v>No</v>
      </c>
      <c r="BW129" s="30">
        <f ca="1">IFERROR(__xludf.DUMMYFUNCTION("""COMPUTED_VALUE"""),2)</f>
        <v>2</v>
      </c>
      <c r="BX129" s="30">
        <f ca="1">IFERROR(__xludf.DUMMYFUNCTION("""COMPUTED_VALUE"""),2)</f>
        <v>2</v>
      </c>
      <c r="BY129" s="30">
        <f ca="1">IFERROR(__xludf.DUMMYFUNCTION("""COMPUTED_VALUE"""),0)</f>
        <v>0</v>
      </c>
      <c r="BZ129" s="30" t="str">
        <f ca="1">IFERROR(__xludf.DUMMYFUNCTION("""COMPUTED_VALUE"""),"Purísima")</f>
        <v>Purísima</v>
      </c>
      <c r="CA129" s="30" t="str">
        <f ca="1">IFERROR(__xludf.DUMMYFUNCTION("""COMPUTED_VALUE"""),"No")</f>
        <v>No</v>
      </c>
      <c r="CB129" s="30" t="str">
        <f ca="1">IFERROR(__xludf.DUMMYFUNCTION("""COMPUTED_VALUE"""),"No")</f>
        <v>No</v>
      </c>
      <c r="CC129" s="30" t="str">
        <f ca="1">IFERROR(__xludf.DUMMYFUNCTION("""COMPUTED_VALUE"""),"9c8e6fef")</f>
        <v>9c8e6fef</v>
      </c>
      <c r="CD129" s="29" t="str">
        <f ca="1">IFERROR(__xludf.DUMMYFUNCTION("""COMPUTED_VALUE"""),"Adultos (30 a 59 años)")</f>
        <v>Adultos (30 a 59 años)</v>
      </c>
      <c r="CE129" s="30" t="str">
        <f ca="1">IFERROR(__xludf.DUMMYFUNCTION("""COMPUTED_VALUE"""),"Dato global")</f>
        <v>Dato global</v>
      </c>
      <c r="CF129" s="30" t="str">
        <f ca="1">IFERROR(__xludf.DUMMYFUNCTION("""COMPUTED_VALUE"""),"Ninguno (Población General)")</f>
        <v>Ninguno (Población General)</v>
      </c>
      <c r="CG129" s="30">
        <f ca="1">IFERROR(__xludf.DUMMYFUNCTION("""COMPUTED_VALUE"""),50)</f>
        <v>50</v>
      </c>
      <c r="CI129" s="30" t="str">
        <f ca="1">IFERROR(__xludf.DUMMYFUNCTION("""COMPUTED_VALUE"""),"f700967e")</f>
        <v>f700967e</v>
      </c>
      <c r="CJ129" s="29" t="str">
        <f ca="1">IFERROR(__xludf.DUMMYFUNCTION("""COMPUTED_VALUE"""),"Regitro_Evidencia_Files_/f700967e.Archivo_Evidencia.205919.pptx")</f>
        <v>Regitro_Evidencia_Files_/f700967e.Archivo_Evidencia.205919.pptx</v>
      </c>
      <c r="CK129" s="30" t="str">
        <f ca="1">IFERROR(__xludf.DUMMYFUNCTION("""COMPUTED_VALUE"""),"Otro tipo de archivo ")</f>
        <v xml:space="preserve">Otro tipo de archivo </v>
      </c>
      <c r="CL129" s="30"/>
      <c r="CM129" s="30" t="str">
        <f ca="1">IFERROR(__xludf.DUMMYFUNCTION("""COMPUTED_VALUE"""),"")</f>
        <v/>
      </c>
      <c r="CN129" s="32" t="e">
        <f ca="1"/>
        <v>#NAME?</v>
      </c>
      <c r="CO129" s="32" t="e">
        <f ca="1"/>
        <v>#NAME?</v>
      </c>
      <c r="CP129" s="32" t="e">
        <f ca="1"/>
        <v>#NAME?</v>
      </c>
      <c r="CQ129" s="32" t="e">
        <f ca="1"/>
        <v>#NAME?</v>
      </c>
      <c r="CR129" s="30" t="e">
        <f ca="1"/>
        <v>#NAME?</v>
      </c>
      <c r="CS129" s="30" t="str">
        <f ca="1">IFERROR(__xludf.DUMMYFUNCTION("""COMPUTED_VALUE"""),"Ninguno (Población General)")</f>
        <v>Ninguno (Población General)</v>
      </c>
    </row>
    <row r="130" spans="1:97" ht="13">
      <c r="A130" s="29" t="str">
        <f ca="1">IFERROR(__xludf.DUMMYFUNCTION("""COMPUTED_VALUE"""),"ACT-SCRP99464")</f>
        <v>ACT-SCRP99464</v>
      </c>
      <c r="B130" s="30" t="str">
        <f ca="1">IFERROR(__xludf.DUMMYFUNCTION("""COMPUTED_VALUE"""),"SC-260625-152824")</f>
        <v>SC-260625-152824</v>
      </c>
      <c r="C130" s="62">
        <f ca="1">IFERROR(__xludf.DUMMYFUNCTION("""COMPUTED_VALUE"""),46198.6447222222)</f>
        <v>46198.644722222198</v>
      </c>
      <c r="D130" s="30">
        <f ca="1">IFERROR(__xludf.DUMMYFUNCTION("""COMPUTED_VALUE"""),91)</f>
        <v>91</v>
      </c>
      <c r="E130" s="30" t="str">
        <f ca="1">IFERROR(__xludf.DUMMYFUNCTION("""COMPUTED_VALUE"""),"PB3572")</f>
        <v>PB3572</v>
      </c>
      <c r="F13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0"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30" s="30" t="str">
        <f ca="1">IFERROR(__xludf.DUMMYFUNCTION("""COMPUTED_VALUE"""),"SUBSECRETARÍA DE DESARROLLO Y PROMOCIÓN ARTÍSTICA Y CULTURAL")</f>
        <v>SUBSECRETARÍA DE DESARROLLO Y PROMOCIÓN ARTÍSTICA Y CULTURAL</v>
      </c>
      <c r="I130" s="34" t="str">
        <f ca="1">IFERROR(__xludf.DUMMYFUNCTION("""COMPUTED_VALUE"""),"DIRECCIÓN GENERAL DE MUSEOS, ARTES VISUALES Y EXPOSICIONES")</f>
        <v>DIRECCIÓN GENERAL DE MUSEOS, ARTES VISUALES Y EXPOSICIONES</v>
      </c>
      <c r="J130" s="30" t="str">
        <f ca="1">IFERROR(__xludf.DUMMYFUNCTION("""COMPUTED_VALUE"""),"Número de Exposiciones inauguradas")</f>
        <v>Número de Exposiciones inauguradas</v>
      </c>
      <c r="K130" s="30">
        <f ca="1">IFERROR(__xludf.DUMMYFUNCTION("""COMPUTED_VALUE"""),28)</f>
        <v>28</v>
      </c>
      <c r="L130" s="30" t="str">
        <f ca="1">IFERROR(__xludf.DUMMYFUNCTION("""COMPUTED_VALUE"""),"Artística")</f>
        <v>Artística</v>
      </c>
      <c r="M130" s="30" t="str">
        <f ca="1">IFERROR(__xludf.DUMMYFUNCTION("""COMPUTED_VALUE"""),"Exposicion ""Homo videns""")</f>
        <v>Exposicion "Homo videns"</v>
      </c>
      <c r="N130" s="30" t="str">
        <f ca="1">IFERROR(__xludf.DUMMYFUNCTION("""COMPUTED_VALUE"""),"Exposición en el municipio de San Luis de la Paz, como parte del programa Arte en tu Plaza")</f>
        <v>Exposición en el municipio de San Luis de la Paz, como parte del programa Arte en tu Plaza</v>
      </c>
      <c r="O130" s="30" t="str">
        <f ca="1">IFERROR(__xludf.DUMMYFUNCTION("""COMPUTED_VALUE"""),"Otras")</f>
        <v>Otras</v>
      </c>
      <c r="P130" s="33">
        <f ca="1">IFERROR(__xludf.DUMMYFUNCTION("""COMPUTED_VALUE"""),46157)</f>
        <v>46157</v>
      </c>
      <c r="Q130" s="33">
        <f ca="1">IFERROR(__xludf.DUMMYFUNCTION("""COMPUTED_VALUE"""),46184)</f>
        <v>46184</v>
      </c>
      <c r="R130" s="30">
        <f ca="1">IFERROR(__xludf.DUMMYFUNCTION("""COMPUTED_VALUE"""),1)</f>
        <v>1</v>
      </c>
      <c r="S130" s="30" t="str">
        <f ca="1">IFERROR(__xludf.DUMMYFUNCTION("""COMPUTED_VALUE"""),"Artes visuales")</f>
        <v>Artes visuales</v>
      </c>
      <c r="T130" s="30" t="str">
        <f ca="1">IFERROR(__xludf.DUMMYFUNCTION("""COMPUTED_VALUE"""),"Arte urbano")</f>
        <v>Arte urbano</v>
      </c>
      <c r="U130" s="30" t="str">
        <f ca="1">IFERROR(__xludf.DUMMYFUNCTION("""COMPUTED_VALUE"""),"Muestra artística")</f>
        <v>Muestra artística</v>
      </c>
      <c r="V130" s="30" t="str">
        <f ca="1">IFERROR(__xludf.DUMMYFUNCTION("""COMPUTED_VALUE"""),"Ninguna")</f>
        <v>Ninguna</v>
      </c>
      <c r="W130" s="30" t="str">
        <f ca="1">IFERROR(__xludf.DUMMYFUNCTION("""COMPUTED_VALUE"""),"Presencial")</f>
        <v>Presencial</v>
      </c>
      <c r="X130" s="30" t="str">
        <f ca="1">IFERROR(__xludf.DUMMYFUNCTION("""COMPUTED_VALUE"""),"Espacio Público")</f>
        <v>Espacio Público</v>
      </c>
      <c r="Y130" s="30"/>
      <c r="Z130" s="30" t="str">
        <f ca="1">IFERROR(__xludf.DUMMYFUNCTION("""COMPUTED_VALUE"""),"Plaza pública de San Luis de la Paz")</f>
        <v>Plaza pública de San Luis de la Paz</v>
      </c>
      <c r="AA130" s="30"/>
      <c r="AB130" s="30" t="b">
        <f ca="1">IFERROR(__xludf.DUMMYFUNCTION("""COMPUTED_VALUE"""),FALSE)</f>
        <v>0</v>
      </c>
      <c r="AC130" s="30"/>
      <c r="AD130" s="30" t="b">
        <f ca="1">IFERROR(__xludf.DUMMYFUNCTION("""COMPUTED_VALUE"""),TRUE)</f>
        <v>1</v>
      </c>
      <c r="AE130" s="30">
        <f ca="1">IFERROR(__xludf.DUMMYFUNCTION("""COMPUTED_VALUE"""),1)</f>
        <v>1</v>
      </c>
      <c r="AF130" s="30" t="b">
        <f ca="1">IFERROR(__xludf.DUMMYFUNCTION("""COMPUTED_VALUE"""),FALSE)</f>
        <v>0</v>
      </c>
      <c r="AG130" s="30"/>
      <c r="AH130" s="30" t="str">
        <f ca="1">IFERROR(__xludf.DUMMYFUNCTION("""COMPUTED_VALUE"""),"Sin costo")</f>
        <v>Sin costo</v>
      </c>
      <c r="AI130" s="30"/>
      <c r="AJ130" s="30"/>
      <c r="AK130" s="30"/>
      <c r="AL130" s="30" t="str">
        <f ca="1">IFERROR(__xludf.DUMMYFUNCTION("""COMPUTED_VALUE"""),"ccardonav@guanajuato.gob.mx")</f>
        <v>ccardonav@guanajuato.gob.mx</v>
      </c>
      <c r="AM130"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30" s="30" t="str">
        <f ca="1">IFERROR(__xludf.DUMMYFUNCTION("""COMPUTED_VALUE"""),"2 Igualdad")</f>
        <v>2 Igualdad</v>
      </c>
      <c r="AO130" s="30" t="str">
        <f ca="1">IFERROR(__xludf.DUMMYFUNCTION("""COMPUTED_VALUE"""),"2.4 Reducir brechas de desigualdad")</f>
        <v>2.4 Reducir brechas de desigualdad</v>
      </c>
      <c r="AP130" s="30" t="str">
        <f ca="1">IFERROR(__xludf.DUMMYFUNCTION("""COMPUTED_VALUE"""),"2.4.3 Descentralización de la oferta cultural")</f>
        <v>2.4.3 Descentralización de la oferta cultural</v>
      </c>
      <c r="AQ130" s="30" t="str">
        <f ca="1">IFERROR(__xludf.DUMMYFUNCTION("""COMPUTED_VALUE"""),"2.4.3.3 Incidir en el involucramiento de las personas con el ecosistema cultural")</f>
        <v>2.4.3.3 Incidir en el involucramiento de las personas con el ecosistema cultural</v>
      </c>
      <c r="AR130" s="30" t="str">
        <f ca="1">IFERROR(__xludf.DUMMYFUNCTION("""COMPUTED_VALUE"""),"Cooperación")</f>
        <v>Cooperación</v>
      </c>
      <c r="AS130" s="30"/>
      <c r="AT130" s="30" t="str">
        <f ca="1">IFERROR(__xludf.DUMMYFUNCTION("""COMPUTED_VALUE"""),"Fortalecimiento de la participación ciudadana y la mediación cultural")</f>
        <v>Fortalecimiento de la participación ciudadana y la mediación cultural</v>
      </c>
      <c r="AU130" s="30" t="str">
        <f ca="1">IFERROR(__xludf.DUMMYFUNCTION("""COMPUTED_VALUE"""),"Impulso a la ampliación de la oferta cultural en los territorios.")</f>
        <v>Impulso a la ampliación de la oferta cultural en los territorios.</v>
      </c>
      <c r="AV130" s="30" t="str">
        <f ca="1">IFERROR(__xludf.DUMMYFUNCTION("""COMPUTED_VALUE"""),"Impulsar los proyectos culturales itinerantes.")</f>
        <v>Impulsar los proyectos culturales itinerantes.</v>
      </c>
      <c r="AW130" s="30" t="str">
        <f ca="1">IFERROR(__xludf.DUMMYFUNCTION("""COMPUTED_VALUE"""),"Incrementar en 25% la oferta cultural realizada en los municipios.")</f>
        <v>Incrementar en 25% la oferta cultural realizada en los municipios.</v>
      </c>
      <c r="AX130" s="30" t="str">
        <f ca="1">IFERROR(__xludf.DUMMYFUNCTION("""COMPUTED_VALUE"""),"Muestra artística")</f>
        <v>Muestra artística</v>
      </c>
      <c r="AY130" s="30" t="str">
        <f ca="1">IFERROR(__xludf.DUMMYFUNCTION("""COMPUTED_VALUE"""),"Circulación / Exhibición")</f>
        <v>Circulación / Exhibición</v>
      </c>
      <c r="AZ130" s="30"/>
      <c r="BA130" s="30"/>
      <c r="BB130" s="30"/>
      <c r="BC130" s="30">
        <f ca="1">IFERROR(__xludf.DUMMYFUNCTION("""COMPUTED_VALUE"""),0)</f>
        <v>0</v>
      </c>
      <c r="BD130" s="30"/>
      <c r="BE130" s="30"/>
      <c r="BF130" s="30" t="b">
        <f ca="1">IFERROR(__xludf.DUMMYFUNCTION("""COMPUTED_VALUE"""),FALSE)</f>
        <v>0</v>
      </c>
      <c r="BG130" s="30"/>
      <c r="BH130" s="30"/>
      <c r="BI130" s="30"/>
      <c r="BJ130" s="30"/>
      <c r="BK130" s="30"/>
      <c r="BL130" s="30"/>
      <c r="BM130" s="30" t="str">
        <f ca="1">IFERROR(__xludf.DUMMYFUNCTION("""COMPUTED_VALUE"""),"No")</f>
        <v>No</v>
      </c>
      <c r="BN130" s="30"/>
      <c r="BO130" s="30" t="str">
        <f ca="1">IFERROR(__xludf.DUMMYFUNCTION("""COMPUTED_VALUE"""),"894063ee")</f>
        <v>894063ee</v>
      </c>
      <c r="BP130" s="29" t="str">
        <f ca="1">IFERROR(__xludf.DUMMYFUNCTION("""COMPUTED_VALUE"""),"Purísima del Rincón")</f>
        <v>Purísima del Rincón</v>
      </c>
      <c r="BQ130" s="30" t="str">
        <f ca="1">IFERROR(__xludf.DUMMYFUNCTION("""COMPUTED_VALUE"""),"Urbano")</f>
        <v>Urbano</v>
      </c>
      <c r="BR130" s="30">
        <f ca="1">IFERROR(__xludf.DUMMYFUNCTION("""COMPUTED_VALUE"""),171)</f>
        <v>171</v>
      </c>
      <c r="BS130" s="30" t="str">
        <f ca="1">IFERROR(__xludf.DUMMYFUNCTION("""COMPUTED_VALUE"""),"Purísima")</f>
        <v>Purísima</v>
      </c>
      <c r="BT130" s="30"/>
      <c r="BU130" s="30" t="str">
        <f ca="1">IFERROR(__xludf.DUMMYFUNCTION("""COMPUTED_VALUE"""),"Si")</f>
        <v>Si</v>
      </c>
      <c r="BV130" s="30" t="str">
        <f ca="1">IFERROR(__xludf.DUMMYFUNCTION("""COMPUTED_VALUE"""),"No")</f>
        <v>No</v>
      </c>
      <c r="BW130" s="30">
        <f ca="1">IFERROR(__xludf.DUMMYFUNCTION("""COMPUTED_VALUE"""),23)</f>
        <v>23</v>
      </c>
      <c r="BX130" s="30"/>
      <c r="BY130" s="30">
        <f ca="1">IFERROR(__xludf.DUMMYFUNCTION("""COMPUTED_VALUE"""),23)</f>
        <v>23</v>
      </c>
      <c r="BZ130" s="30" t="str">
        <f ca="1">IFERROR(__xludf.DUMMYFUNCTION("""COMPUTED_VALUE"""),"Purísima")</f>
        <v>Purísima</v>
      </c>
      <c r="CA130" s="30" t="str">
        <f ca="1">IFERROR(__xludf.DUMMYFUNCTION("""COMPUTED_VALUE"""),"No")</f>
        <v>No</v>
      </c>
      <c r="CB130" s="30" t="str">
        <f ca="1">IFERROR(__xludf.DUMMYFUNCTION("""COMPUTED_VALUE"""),"No")</f>
        <v>No</v>
      </c>
      <c r="CC130" s="30" t="str">
        <f ca="1">IFERROR(__xludf.DUMMYFUNCTION("""COMPUTED_VALUE"""),"094e577a")</f>
        <v>094e577a</v>
      </c>
      <c r="CD130" s="29" t="str">
        <f ca="1">IFERROR(__xludf.DUMMYFUNCTION("""COMPUTED_VALUE"""),"Adultos Mayores (60 años o más)")</f>
        <v>Adultos Mayores (60 años o más)</v>
      </c>
      <c r="CE130" s="30" t="str">
        <f ca="1">IFERROR(__xludf.DUMMYFUNCTION("""COMPUTED_VALUE"""),"Dato global")</f>
        <v>Dato global</v>
      </c>
      <c r="CF130" s="30" t="str">
        <f ca="1">IFERROR(__xludf.DUMMYFUNCTION("""COMPUTED_VALUE"""),"Ninguno (Población General)")</f>
        <v>Ninguno (Población General)</v>
      </c>
      <c r="CG130" s="30">
        <f ca="1">IFERROR(__xludf.DUMMYFUNCTION("""COMPUTED_VALUE"""),50)</f>
        <v>50</v>
      </c>
      <c r="CI130" s="30" t="str">
        <f ca="1">IFERROR(__xludf.DUMMYFUNCTION("""COMPUTED_VALUE"""),"f24fce7a")</f>
        <v>f24fce7a</v>
      </c>
      <c r="CJ130" s="29" t="str">
        <f ca="1">IFERROR(__xludf.DUMMYFUNCTION("""COMPUTED_VALUE"""),"Regitro_Evidencia_Files_/f24fce7a.Archivo_Evidencia.211414.pptx")</f>
        <v>Regitro_Evidencia_Files_/f24fce7a.Archivo_Evidencia.211414.pptx</v>
      </c>
      <c r="CK130" s="30"/>
      <c r="CL130" s="30"/>
      <c r="CM130" s="30" t="str">
        <f ca="1">IFERROR(__xludf.DUMMYFUNCTION("""COMPUTED_VALUE"""),"Guanajuato")</f>
        <v>Guanajuato</v>
      </c>
      <c r="CN130" s="32" t="e">
        <f ca="1"/>
        <v>#NAME?</v>
      </c>
      <c r="CO130" s="32" t="e">
        <f ca="1"/>
        <v>#NAME?</v>
      </c>
      <c r="CP130" s="32" t="e">
        <f ca="1"/>
        <v>#NAME?</v>
      </c>
      <c r="CQ130" s="32" t="e">
        <f ca="1"/>
        <v>#NAME?</v>
      </c>
      <c r="CR130" s="30" t="e">
        <f ca="1"/>
        <v>#NAME?</v>
      </c>
      <c r="CS130" s="30" t="str">
        <f ca="1">IFERROR(__xludf.DUMMYFUNCTION("""COMPUTED_VALUE"""),"Ninguno (Población General)")</f>
        <v>Ninguno (Población General)</v>
      </c>
    </row>
    <row r="131" spans="1:97" ht="13">
      <c r="A131" s="29" t="str">
        <f ca="1">IFERROR(__xludf.DUMMYFUNCTION("""COMPUTED_VALUE"""),"ACT-SCBT53042")</f>
        <v>ACT-SCBT53042</v>
      </c>
      <c r="B131" s="30" t="str">
        <f ca="1">IFERROR(__xludf.DUMMYFUNCTION("""COMPUTED_VALUE"""),"SC-260629-130952")</f>
        <v>SC-260629-130952</v>
      </c>
      <c r="C131" s="62">
        <f ca="1">IFERROR(__xludf.DUMMYFUNCTION("""COMPUTED_VALUE"""),46202.5485185185)</f>
        <v>46202.548518518503</v>
      </c>
      <c r="D131" s="30">
        <f ca="1">IFERROR(__xludf.DUMMYFUNCTION("""COMPUTED_VALUE"""),92)</f>
        <v>92</v>
      </c>
      <c r="E131" s="30" t="str">
        <f ca="1">IFERROR(__xludf.DUMMYFUNCTION("""COMPUTED_VALUE"""),"PB3572")</f>
        <v>PB3572</v>
      </c>
      <c r="F13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31" s="30" t="str">
        <f ca="1">IFERROR(__xludf.DUMMYFUNCTION("""COMPUTED_VALUE"""),"SUBSECRETARÍA DE DESARROLLO Y PROMOCIÓN ARTÍSTICA Y CULTURAL")</f>
        <v>SUBSECRETARÍA DE DESARROLLO Y PROMOCIÓN ARTÍSTICA Y CULTURAL</v>
      </c>
      <c r="I131" s="34" t="str">
        <f ca="1">IFERROR(__xludf.DUMMYFUNCTION("""COMPUTED_VALUE"""),"DIRECCIÓN GENERAL DE MUSEOS, ARTES VISUALES Y EXPOSICIONES")</f>
        <v>DIRECCIÓN GENERAL DE MUSEOS, ARTES VISUALES Y EXPOSICIONES</v>
      </c>
      <c r="J131" s="30" t="str">
        <f ca="1">IFERROR(__xludf.DUMMYFUNCTION("""COMPUTED_VALUE"""),"Número de Actividades realizadas")</f>
        <v>Número de Actividades realizadas</v>
      </c>
      <c r="K131" s="30">
        <f ca="1">IFERROR(__xludf.DUMMYFUNCTION("""COMPUTED_VALUE"""),800)</f>
        <v>800</v>
      </c>
      <c r="L131" s="30" t="str">
        <f ca="1">IFERROR(__xludf.DUMMYFUNCTION("""COMPUTED_VALUE"""),"Cultural")</f>
        <v>Cultural</v>
      </c>
      <c r="M131" s="30" t="str">
        <f ca="1">IFERROR(__xludf.DUMMYFUNCTION("""COMPUTED_VALUE"""),"Noche de Museos")</f>
        <v>Noche de Museos</v>
      </c>
      <c r="N131" s="30" t="str">
        <f ca="1">IFERROR(__xludf.DUMMYFUNCTION("""COMPUTED_VALUE"""),"Participa en el recorrido que se realiza al caer la tarde en el Museo Hermenegildo Bustos conociendo las diversas exposiciones que se encuentran en el recinto.")</f>
        <v>Participa en el recorrido que se realiza al caer la tarde en el Museo Hermenegildo Bustos conociendo las diversas exposiciones que se encuentran en el recinto.</v>
      </c>
      <c r="O131" s="30" t="str">
        <f ca="1">IFERROR(__xludf.DUMMYFUNCTION("""COMPUTED_VALUE"""),"Única")</f>
        <v>Única</v>
      </c>
      <c r="P131" s="33">
        <f ca="1">IFERROR(__xludf.DUMMYFUNCTION("""COMPUTED_VALUE"""),46197)</f>
        <v>46197</v>
      </c>
      <c r="Q131" s="33">
        <f ca="1">IFERROR(__xludf.DUMMYFUNCTION("""COMPUTED_VALUE"""),46197)</f>
        <v>46197</v>
      </c>
      <c r="R131" s="30">
        <f ca="1">IFERROR(__xludf.DUMMYFUNCTION("""COMPUTED_VALUE"""),1)</f>
        <v>1</v>
      </c>
      <c r="S131" s="30" t="str">
        <f ca="1">IFERROR(__xludf.DUMMYFUNCTION("""COMPUTED_VALUE"""),"Cultura comunitaria")</f>
        <v>Cultura comunitaria</v>
      </c>
      <c r="T131" s="30" t="str">
        <f ca="1">IFERROR(__xludf.DUMMYFUNCTION("""COMPUTED_VALUE"""),"Mediación cultural")</f>
        <v>Mediación cultural</v>
      </c>
      <c r="U131" s="30" t="str">
        <f ca="1">IFERROR(__xludf.DUMMYFUNCTION("""COMPUTED_VALUE"""),"Visitas guiadas")</f>
        <v>Visitas guiadas</v>
      </c>
      <c r="V131" s="30" t="str">
        <f ca="1">IFERROR(__xludf.DUMMYFUNCTION("""COMPUTED_VALUE"""),"Ninguna")</f>
        <v>Ninguna</v>
      </c>
      <c r="W131" s="30" t="str">
        <f ca="1">IFERROR(__xludf.DUMMYFUNCTION("""COMPUTED_VALUE"""),"Presencial")</f>
        <v>Presencial</v>
      </c>
      <c r="X131" s="30" t="str">
        <f ca="1">IFERROR(__xludf.DUMMYFUNCTION("""COMPUTED_VALUE"""),"Espacio a Cargo de la Secretaría")</f>
        <v>Espacio a Cargo de la Secretaría</v>
      </c>
      <c r="Y131" s="30" t="str">
        <f ca="1">IFERROR(__xludf.DUMMYFUNCTION("""COMPUTED_VALUE"""),"9")</f>
        <v>9</v>
      </c>
      <c r="Z131" s="30"/>
      <c r="AA131" s="30"/>
      <c r="AB131" s="30" t="b">
        <f ca="1">IFERROR(__xludf.DUMMYFUNCTION("""COMPUTED_VALUE"""),FALSE)</f>
        <v>0</v>
      </c>
      <c r="AC131" s="30"/>
      <c r="AD131" s="30" t="b">
        <f ca="1">IFERROR(__xludf.DUMMYFUNCTION("""COMPUTED_VALUE"""),FALSE)</f>
        <v>0</v>
      </c>
      <c r="AE131" s="30"/>
      <c r="AF131" s="30" t="b">
        <f ca="1">IFERROR(__xludf.DUMMYFUNCTION("""COMPUTED_VALUE"""),FALSE)</f>
        <v>0</v>
      </c>
      <c r="AG131" s="30"/>
      <c r="AH131" s="30" t="str">
        <f ca="1">IFERROR(__xludf.DUMMYFUNCTION("""COMPUTED_VALUE"""),"Sin costo")</f>
        <v>Sin costo</v>
      </c>
      <c r="AI131" s="30"/>
      <c r="AJ131" s="30"/>
      <c r="AK131" s="30"/>
      <c r="AL131" s="30" t="str">
        <f ca="1">IFERROR(__xludf.DUMMYFUNCTION("""COMPUTED_VALUE"""),"ccardonav@guanajuato.gob.mx")</f>
        <v>ccardonav@guanajuato.gob.mx</v>
      </c>
      <c r="AM131" s="30" t="str">
        <f ca="1">IFERROR(__xludf.DUMMYFUNCTION("""COMPUTED_VALUE"""),"Arraigo y empoderamiento cultural de comunidades.")</f>
        <v>Arraigo y empoderamiento cultural de comunidades.</v>
      </c>
      <c r="AN131" s="30" t="str">
        <f ca="1">IFERROR(__xludf.DUMMYFUNCTION("""COMPUTED_VALUE"""),"2 Igualdad")</f>
        <v>2 Igualdad</v>
      </c>
      <c r="AO131" s="30" t="str">
        <f ca="1">IFERROR(__xludf.DUMMYFUNCTION("""COMPUTED_VALUE"""),"2.2 Fortalecer cohesión social")</f>
        <v>2.2 Fortalecer cohesión social</v>
      </c>
      <c r="AP131" s="30" t="str">
        <f ca="1">IFERROR(__xludf.DUMMYFUNCTION("""COMPUTED_VALUE"""),"2.2.1 Participación social comunitaria")</f>
        <v>2.2.1 Participación social comunitaria</v>
      </c>
      <c r="AQ131" s="30" t="str">
        <f ca="1">IFERROR(__xludf.DUMMYFUNCTION("""COMPUTED_VALUE"""),"2.2.1 Participación social comunitaria")</f>
        <v>2.2.1 Participación social comunitaria</v>
      </c>
      <c r="AR131" s="30" t="str">
        <f ca="1">IFERROR(__xludf.DUMMYFUNCTION("""COMPUTED_VALUE"""),"Cooperación")</f>
        <v>Cooperación</v>
      </c>
      <c r="AS131" s="30"/>
      <c r="AT131" s="30" t="str">
        <f ca="1">IFERROR(__xludf.DUMMYFUNCTION("""COMPUTED_VALUE"""),"Fortalecimiento de la participación ciudadana y la mediación cultural")</f>
        <v>Fortalecimiento de la participación ciudadana y la mediación cultural</v>
      </c>
      <c r="AU131" s="30" t="str">
        <f ca="1">IFERROR(__xludf.DUMMYFUNCTION("""COMPUTED_VALUE"""),"Impulso a la ampliación de la oferta cultural en los territorios.")</f>
        <v>Impulso a la ampliación de la oferta cultural en los territorios.</v>
      </c>
      <c r="AV13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1" s="30" t="str">
        <f ca="1">IFERROR(__xludf.DUMMYFUNCTION("""COMPUTED_VALUE"""),"Incrementar en 25% la oferta cultural realizada en los municipios.")</f>
        <v>Incrementar en 25% la oferta cultural realizada en los municipios.</v>
      </c>
      <c r="AX131" s="30" t="str">
        <f ca="1">IFERROR(__xludf.DUMMYFUNCTION("""COMPUTED_VALUE"""),"Visitas guiadas")</f>
        <v>Visitas guiadas</v>
      </c>
      <c r="AY131" s="30" t="str">
        <f ca="1">IFERROR(__xludf.DUMMYFUNCTION("""COMPUTED_VALUE"""),"Mediación")</f>
        <v>Mediación</v>
      </c>
      <c r="AZ131" s="30"/>
      <c r="BA131" s="30"/>
      <c r="BB131" s="30"/>
      <c r="BC131" s="30">
        <f ca="1">IFERROR(__xludf.DUMMYFUNCTION("""COMPUTED_VALUE"""),0)</f>
        <v>0</v>
      </c>
      <c r="BD131" s="30"/>
      <c r="BE131" s="30"/>
      <c r="BF131" s="30" t="b">
        <f ca="1">IFERROR(__xludf.DUMMYFUNCTION("""COMPUTED_VALUE"""),FALSE)</f>
        <v>0</v>
      </c>
      <c r="BG131" s="30"/>
      <c r="BH131" s="30"/>
      <c r="BI131" s="30"/>
      <c r="BJ131" s="30"/>
      <c r="BK131" s="30"/>
      <c r="BL131" s="30"/>
      <c r="BM131" s="30" t="str">
        <f ca="1">IFERROR(__xludf.DUMMYFUNCTION("""COMPUTED_VALUE"""),"No")</f>
        <v>No</v>
      </c>
      <c r="BN131" s="30"/>
      <c r="BO131" s="30" t="str">
        <f ca="1">IFERROR(__xludf.DUMMYFUNCTION("""COMPUTED_VALUE"""),"7691a6e9")</f>
        <v>7691a6e9</v>
      </c>
      <c r="BP131" s="29" t="str">
        <f ca="1">IFERROR(__xludf.DUMMYFUNCTION("""COMPUTED_VALUE"""),"Purísima del Rincón")</f>
        <v>Purísima del Rincón</v>
      </c>
      <c r="BQ131" s="30" t="str">
        <f ca="1">IFERROR(__xludf.DUMMYFUNCTION("""COMPUTED_VALUE"""),"Urbano")</f>
        <v>Urbano</v>
      </c>
      <c r="BR131" s="30">
        <f ca="1">IFERROR(__xludf.DUMMYFUNCTION("""COMPUTED_VALUE"""),171)</f>
        <v>171</v>
      </c>
      <c r="BS131" s="30" t="str">
        <f ca="1">IFERROR(__xludf.DUMMYFUNCTION("""COMPUTED_VALUE"""),"Purísima")</f>
        <v>Purísima</v>
      </c>
      <c r="BT131" s="30"/>
      <c r="BU131" s="30" t="str">
        <f ca="1">IFERROR(__xludf.DUMMYFUNCTION("""COMPUTED_VALUE"""),"Si")</f>
        <v>Si</v>
      </c>
      <c r="BV131" s="30" t="str">
        <f ca="1">IFERROR(__xludf.DUMMYFUNCTION("""COMPUTED_VALUE"""),"No")</f>
        <v>No</v>
      </c>
      <c r="BW131" s="30">
        <f ca="1">IFERROR(__xludf.DUMMYFUNCTION("""COMPUTED_VALUE"""),4)</f>
        <v>4</v>
      </c>
      <c r="BX131" s="30">
        <f ca="1">IFERROR(__xludf.DUMMYFUNCTION("""COMPUTED_VALUE"""),4)</f>
        <v>4</v>
      </c>
      <c r="BY131" s="30">
        <f ca="1">IFERROR(__xludf.DUMMYFUNCTION("""COMPUTED_VALUE"""),0)</f>
        <v>0</v>
      </c>
      <c r="BZ131" s="30" t="str">
        <f ca="1">IFERROR(__xludf.DUMMYFUNCTION("""COMPUTED_VALUE"""),"Purísima")</f>
        <v>Purísima</v>
      </c>
      <c r="CA131" s="30" t="str">
        <f ca="1">IFERROR(__xludf.DUMMYFUNCTION("""COMPUTED_VALUE"""),"No")</f>
        <v>No</v>
      </c>
      <c r="CB131" s="30" t="str">
        <f ca="1">IFERROR(__xludf.DUMMYFUNCTION("""COMPUTED_VALUE"""),"No")</f>
        <v>No</v>
      </c>
      <c r="CC131" s="30" t="str">
        <f ca="1">IFERROR(__xludf.DUMMYFUNCTION("""COMPUTED_VALUE"""),"6a390b16")</f>
        <v>6a390b16</v>
      </c>
      <c r="CD131" s="29" t="str">
        <f ca="1">IFERROR(__xludf.DUMMYFUNCTION("""COMPUTED_VALUE"""),"Niñas y Niños (6 a 12 años)")</f>
        <v>Niñas y Niños (6 a 12 años)</v>
      </c>
      <c r="CE131" s="30" t="str">
        <f ca="1">IFERROR(__xludf.DUMMYFUNCTION("""COMPUTED_VALUE"""),"Dato global")</f>
        <v>Dato global</v>
      </c>
      <c r="CF131" s="30" t="str">
        <f ca="1">IFERROR(__xludf.DUMMYFUNCTION("""COMPUTED_VALUE"""),"NNA (Niñas, Niños y Adolescentes)")</f>
        <v>NNA (Niñas, Niños y Adolescentes)</v>
      </c>
      <c r="CG131" s="30">
        <f ca="1">IFERROR(__xludf.DUMMYFUNCTION("""COMPUTED_VALUE"""),32)</f>
        <v>32</v>
      </c>
      <c r="CI131" s="30" t="str">
        <f ca="1">IFERROR(__xludf.DUMMYFUNCTION("""COMPUTED_VALUE"""),"3a0a5e4c")</f>
        <v>3a0a5e4c</v>
      </c>
      <c r="CJ131" s="29" t="str">
        <f ca="1">IFERROR(__xludf.DUMMYFUNCTION("""COMPUTED_VALUE"""),"Regitro_Evidencia_Files_/3a0a5e4c.Archivo_Evidencia.222536.pdf")</f>
        <v>Regitro_Evidencia_Files_/3a0a5e4c.Archivo_Evidencia.222536.pdf</v>
      </c>
      <c r="CK131" s="30" t="str">
        <f ca="1">IFERROR(__xludf.DUMMYFUNCTION("""COMPUTED_VALUE"""),"PDF")</f>
        <v>PDF</v>
      </c>
      <c r="CL131" s="30"/>
      <c r="CM131" s="30" t="str">
        <f ca="1">IFERROR(__xludf.DUMMYFUNCTION("""COMPUTED_VALUE"""),"Guanajuato")</f>
        <v>Guanajuato</v>
      </c>
      <c r="CN131" s="32" t="e">
        <f ca="1"/>
        <v>#NAME?</v>
      </c>
      <c r="CO131" s="32" t="e">
        <f ca="1"/>
        <v>#NAME?</v>
      </c>
      <c r="CP131" s="32" t="e">
        <f ca="1"/>
        <v>#NAME?</v>
      </c>
      <c r="CQ131" s="32" t="e">
        <f ca="1"/>
        <v>#NAME?</v>
      </c>
      <c r="CR131" s="30" t="e">
        <f ca="1"/>
        <v>#NAME?</v>
      </c>
      <c r="CS131" s="30" t="str">
        <f ca="1">IFERROR(__xludf.DUMMYFUNCTION("""COMPUTED_VALUE"""),"Ninguno (Población General)")</f>
        <v>Ninguno (Población General)</v>
      </c>
    </row>
    <row r="132" spans="1:97" ht="13">
      <c r="A132" s="29" t="str">
        <f ca="1">IFERROR(__xludf.DUMMYFUNCTION("""COMPUTED_VALUE"""),"ACT-SCLF06356")</f>
        <v>ACT-SCLF06356</v>
      </c>
      <c r="B132" s="30" t="str">
        <f ca="1">IFERROR(__xludf.DUMMYFUNCTION("""COMPUTED_VALUE"""),"SC-260629-131753")</f>
        <v>SC-260629-131753</v>
      </c>
      <c r="C132" s="62">
        <f ca="1">IFERROR(__xludf.DUMMYFUNCTION("""COMPUTED_VALUE"""),46202.5540856481)</f>
        <v>46202.554085648102</v>
      </c>
      <c r="D132" s="30">
        <f ca="1">IFERROR(__xludf.DUMMYFUNCTION("""COMPUTED_VALUE"""),92)</f>
        <v>92</v>
      </c>
      <c r="E132" s="30" t="str">
        <f ca="1">IFERROR(__xludf.DUMMYFUNCTION("""COMPUTED_VALUE"""),"PB3572")</f>
        <v>PB3572</v>
      </c>
      <c r="F13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32" s="30" t="str">
        <f ca="1">IFERROR(__xludf.DUMMYFUNCTION("""COMPUTED_VALUE"""),"SUBSECRETARÍA DE DESARROLLO Y PROMOCIÓN ARTÍSTICA Y CULTURAL")</f>
        <v>SUBSECRETARÍA DE DESARROLLO Y PROMOCIÓN ARTÍSTICA Y CULTURAL</v>
      </c>
      <c r="I132" s="34" t="str">
        <f ca="1">IFERROR(__xludf.DUMMYFUNCTION("""COMPUTED_VALUE"""),"DIRECCIÓN GENERAL DE MUSEOS, ARTES VISUALES Y EXPOSICIONES")</f>
        <v>DIRECCIÓN GENERAL DE MUSEOS, ARTES VISUALES Y EXPOSICIONES</v>
      </c>
      <c r="J132" s="30" t="str">
        <f ca="1">IFERROR(__xludf.DUMMYFUNCTION("""COMPUTED_VALUE"""),"Número de Actividades realizadas")</f>
        <v>Número de Actividades realizadas</v>
      </c>
      <c r="K132" s="30">
        <f ca="1">IFERROR(__xludf.DUMMYFUNCTION("""COMPUTED_VALUE"""),800)</f>
        <v>800</v>
      </c>
      <c r="L132" s="30" t="str">
        <f ca="1">IFERROR(__xludf.DUMMYFUNCTION("""COMPUTED_VALUE"""),"Cultural")</f>
        <v>Cultural</v>
      </c>
      <c r="M132" s="30" t="str">
        <f ca="1">IFERROR(__xludf.DUMMYFUNCTION("""COMPUTED_VALUE"""),"Conferencia: Metamorfosis del alma.")</f>
        <v>Conferencia: Metamorfosis del alma.</v>
      </c>
      <c r="N132" s="30" t="str">
        <f ca="1">IFERROR(__xludf.DUMMYFUNCTION("""COMPUTED_VALUE"""),"Conferencia con proyección de cortometraje con referencia a la población LGBTQ+")</f>
        <v>Conferencia con proyección de cortometraje con referencia a la población LGBTQ+</v>
      </c>
      <c r="O132" s="30" t="str">
        <f ca="1">IFERROR(__xludf.DUMMYFUNCTION("""COMPUTED_VALUE"""),"Única")</f>
        <v>Única</v>
      </c>
      <c r="P132" s="33">
        <f ca="1">IFERROR(__xludf.DUMMYFUNCTION("""COMPUTED_VALUE"""),46198)</f>
        <v>46198</v>
      </c>
      <c r="Q132" s="33">
        <f ca="1">IFERROR(__xludf.DUMMYFUNCTION("""COMPUTED_VALUE"""),46198)</f>
        <v>46198</v>
      </c>
      <c r="R132" s="30">
        <f ca="1">IFERROR(__xludf.DUMMYFUNCTION("""COMPUTED_VALUE"""),1)</f>
        <v>1</v>
      </c>
      <c r="S132" s="30" t="str">
        <f ca="1">IFERROR(__xludf.DUMMYFUNCTION("""COMPUTED_VALUE"""),"Cultura comunitaria")</f>
        <v>Cultura comunitaria</v>
      </c>
      <c r="T132" s="30" t="str">
        <f ca="1">IFERROR(__xludf.DUMMYFUNCTION("""COMPUTED_VALUE"""),"Mediación cultural")</f>
        <v>Mediación cultural</v>
      </c>
      <c r="U132" s="30" t="str">
        <f ca="1">IFERROR(__xludf.DUMMYFUNCTION("""COMPUTED_VALUE"""),"Conferencia")</f>
        <v>Conferencia</v>
      </c>
      <c r="V132" s="30" t="str">
        <f ca="1">IFERROR(__xludf.DUMMYFUNCTION("""COMPUTED_VALUE"""),"Ninguna")</f>
        <v>Ninguna</v>
      </c>
      <c r="W132" s="30" t="str">
        <f ca="1">IFERROR(__xludf.DUMMYFUNCTION("""COMPUTED_VALUE"""),"Presencial")</f>
        <v>Presencial</v>
      </c>
      <c r="X132" s="30" t="str">
        <f ca="1">IFERROR(__xludf.DUMMYFUNCTION("""COMPUTED_VALUE"""),"Espacio a Cargo de la Secretaría")</f>
        <v>Espacio a Cargo de la Secretaría</v>
      </c>
      <c r="Y132" s="30" t="str">
        <f ca="1">IFERROR(__xludf.DUMMYFUNCTION("""COMPUTED_VALUE"""),"9")</f>
        <v>9</v>
      </c>
      <c r="Z132" s="30"/>
      <c r="AA132" s="30"/>
      <c r="AB132" s="30" t="b">
        <f ca="1">IFERROR(__xludf.DUMMYFUNCTION("""COMPUTED_VALUE"""),FALSE)</f>
        <v>0</v>
      </c>
      <c r="AC132" s="30"/>
      <c r="AD132" s="30" t="b">
        <f ca="1">IFERROR(__xludf.DUMMYFUNCTION("""COMPUTED_VALUE"""),FALSE)</f>
        <v>0</v>
      </c>
      <c r="AE132" s="30"/>
      <c r="AF132" s="30" t="b">
        <f ca="1">IFERROR(__xludf.DUMMYFUNCTION("""COMPUTED_VALUE"""),FALSE)</f>
        <v>0</v>
      </c>
      <c r="AG132" s="30"/>
      <c r="AH132" s="30" t="str">
        <f ca="1">IFERROR(__xludf.DUMMYFUNCTION("""COMPUTED_VALUE"""),"Sin costo")</f>
        <v>Sin costo</v>
      </c>
      <c r="AI132" s="30"/>
      <c r="AJ132" s="30"/>
      <c r="AK132" s="30"/>
      <c r="AL132" s="30" t="str">
        <f ca="1">IFERROR(__xludf.DUMMYFUNCTION("""COMPUTED_VALUE"""),"ccardonav@guanajuato.gob.mx")</f>
        <v>ccardonav@guanajuato.gob.mx</v>
      </c>
      <c r="AM132" s="30" t="str">
        <f ca="1">IFERROR(__xludf.DUMMYFUNCTION("""COMPUTED_VALUE"""),"Arraigo y empoderamiento cultural de comunidades.")</f>
        <v>Arraigo y empoderamiento cultural de comunidades.</v>
      </c>
      <c r="AN132" s="30" t="str">
        <f ca="1">IFERROR(__xludf.DUMMYFUNCTION("""COMPUTED_VALUE"""),"1 Tranquilidad")</f>
        <v>1 Tranquilidad</v>
      </c>
      <c r="AO132" s="30" t="str">
        <f ca="1">IFERROR(__xludf.DUMMYFUNCTION("""COMPUTED_VALUE"""),"1.2 Fortalecer prevención del delito")</f>
        <v>1.2 Fortalecer prevención del delito</v>
      </c>
      <c r="AP132" s="30" t="str">
        <f ca="1">IFERROR(__xludf.DUMMYFUNCTION("""COMPUTED_VALUE"""),"1.2.2 Fortalecimiento del tejido social")</f>
        <v>1.2.2 Fortalecimiento del tejido social</v>
      </c>
      <c r="AQ132" s="30" t="str">
        <f ca="1">IFERROR(__xludf.DUMMYFUNCTION("""COMPUTED_VALUE"""),"1.2.3.4 Promover una cultura de paz desde las expresiones artísticas y culturales")</f>
        <v>1.2.3.4 Promover una cultura de paz desde las expresiones artísticas y culturales</v>
      </c>
      <c r="AR132" s="30" t="str">
        <f ca="1">IFERROR(__xludf.DUMMYFUNCTION("""COMPUTED_VALUE"""),"Inclusión")</f>
        <v>Inclusión</v>
      </c>
      <c r="AS132" s="30" t="str">
        <f ca="1">IFERROR(__xludf.DUMMYFUNCTION("""COMPUTED_VALUE"""),"Comunidad LGBTIQ+")</f>
        <v>Comunidad LGBTIQ+</v>
      </c>
      <c r="AT132" s="30" t="str">
        <f ca="1">IFERROR(__xludf.DUMMYFUNCTION("""COMPUTED_VALUE"""),"Fortalecimiento de la participación ciudadana y la mediación cultural")</f>
        <v>Fortalecimiento de la participación ciudadana y la mediación cultural</v>
      </c>
      <c r="AU132" s="30" t="str">
        <f ca="1">IFERROR(__xludf.DUMMYFUNCTION("""COMPUTED_VALUE"""),"Impulso a la ampliación de la oferta cultural en los territorios.")</f>
        <v>Impulso a la ampliación de la oferta cultural en los territorios.</v>
      </c>
      <c r="AV13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2" s="30" t="str">
        <f ca="1">IFERROR(__xludf.DUMMYFUNCTION("""COMPUTED_VALUE"""),"Incrementar en 25% la oferta cultural realizada en los municipios.")</f>
        <v>Incrementar en 25% la oferta cultural realizada en los municipios.</v>
      </c>
      <c r="AX132" s="30" t="str">
        <f ca="1">IFERROR(__xludf.DUMMYFUNCTION("""COMPUTED_VALUE"""),"Conferencia")</f>
        <v>Conferencia</v>
      </c>
      <c r="AY132" s="30" t="str">
        <f ca="1">IFERROR(__xludf.DUMMYFUNCTION("""COMPUTED_VALUE"""),"Mediación")</f>
        <v>Mediación</v>
      </c>
      <c r="AZ132" s="30"/>
      <c r="BA132" s="30"/>
      <c r="BB132" s="30"/>
      <c r="BC132" s="30">
        <f ca="1">IFERROR(__xludf.DUMMYFUNCTION("""COMPUTED_VALUE"""),0)</f>
        <v>0</v>
      </c>
      <c r="BD132" s="30"/>
      <c r="BE132" s="30"/>
      <c r="BF132" s="30" t="b">
        <f ca="1">IFERROR(__xludf.DUMMYFUNCTION("""COMPUTED_VALUE"""),FALSE)</f>
        <v>0</v>
      </c>
      <c r="BG132" s="30"/>
      <c r="BH132" s="30"/>
      <c r="BI132" s="30"/>
      <c r="BJ132" s="30"/>
      <c r="BK132" s="30"/>
      <c r="BL132" s="30" t="str">
        <f ca="1">IFERROR(__xludf.DUMMYFUNCTION("""COMPUTED_VALUE"""),"Vinculación")</f>
        <v>Vinculación</v>
      </c>
      <c r="BM132" s="30" t="str">
        <f ca="1">IFERROR(__xludf.DUMMYFUNCTION("""COMPUTED_VALUE"""),"Sí")</f>
        <v>Sí</v>
      </c>
      <c r="BN132" s="30" t="str">
        <f ca="1">IFERROR(__xludf.DUMMYFUNCTION("""COMPUTED_VALUE"""),"Acompañamiento Técnico")</f>
        <v>Acompañamiento Técnico</v>
      </c>
      <c r="BO132" s="30" t="str">
        <f ca="1">IFERROR(__xludf.DUMMYFUNCTION("""COMPUTED_VALUE"""),"0ddbbd0c")</f>
        <v>0ddbbd0c</v>
      </c>
      <c r="BP132" s="29" t="str">
        <f ca="1">IFERROR(__xludf.DUMMYFUNCTION("""COMPUTED_VALUE"""),"Guanajuato")</f>
        <v>Guanajuato</v>
      </c>
      <c r="BQ132" s="30" t="str">
        <f ca="1">IFERROR(__xludf.DUMMYFUNCTION("""COMPUTED_VALUE"""),"Urbano")</f>
        <v>Urbano</v>
      </c>
      <c r="BR132" s="30">
        <f ca="1">IFERROR(__xludf.DUMMYFUNCTION("""COMPUTED_VALUE"""),49)</f>
        <v>49</v>
      </c>
      <c r="BS132" s="30" t="str">
        <f ca="1">IFERROR(__xludf.DUMMYFUNCTION("""COMPUTED_VALUE"""),"Guanajuato")</f>
        <v>Guanajuato</v>
      </c>
      <c r="BT132" s="30"/>
      <c r="BU132" s="30" t="str">
        <f ca="1">IFERROR(__xludf.DUMMYFUNCTION("""COMPUTED_VALUE"""),"Si")</f>
        <v>Si</v>
      </c>
      <c r="BV132" s="30" t="str">
        <f ca="1">IFERROR(__xludf.DUMMYFUNCTION("""COMPUTED_VALUE"""),"Si")</f>
        <v>Si</v>
      </c>
      <c r="BW132" s="30">
        <f ca="1">IFERROR(__xludf.DUMMYFUNCTION("""COMPUTED_VALUE"""),2180)</f>
        <v>2180</v>
      </c>
      <c r="BX132" s="30"/>
      <c r="BY132" s="30">
        <f ca="1">IFERROR(__xludf.DUMMYFUNCTION("""COMPUTED_VALUE"""),2180)</f>
        <v>2180</v>
      </c>
      <c r="BZ132" s="30" t="str">
        <f ca="1">IFERROR(__xludf.DUMMYFUNCTION("""COMPUTED_VALUE"""),"Guanajuato")</f>
        <v>Guanajuato</v>
      </c>
      <c r="CA132" s="30" t="str">
        <f ca="1">IFERROR(__xludf.DUMMYFUNCTION("""COMPUTED_VALUE"""),"No")</f>
        <v>No</v>
      </c>
      <c r="CB132" s="30" t="str">
        <f ca="1">IFERROR(__xludf.DUMMYFUNCTION("""COMPUTED_VALUE"""),"No")</f>
        <v>No</v>
      </c>
      <c r="CC132" s="30" t="str">
        <f ca="1">IFERROR(__xludf.DUMMYFUNCTION("""COMPUTED_VALUE"""),"ba51404c")</f>
        <v>ba51404c</v>
      </c>
      <c r="CD132" s="29" t="str">
        <f ca="1">IFERROR(__xludf.DUMMYFUNCTION("""COMPUTED_VALUE"""),"Niñas y Niños (6 a 12 años)")</f>
        <v>Niñas y Niños (6 a 12 años)</v>
      </c>
      <c r="CE132" s="30" t="str">
        <f ca="1">IFERROR(__xludf.DUMMYFUNCTION("""COMPUTED_VALUE"""),"Dato global")</f>
        <v>Dato global</v>
      </c>
      <c r="CF132" s="30" t="str">
        <f ca="1">IFERROR(__xludf.DUMMYFUNCTION("""COMPUTED_VALUE"""),"NNA (Niñas, Niños y Adolescentes)")</f>
        <v>NNA (Niñas, Niños y Adolescentes)</v>
      </c>
      <c r="CG132" s="30">
        <f ca="1">IFERROR(__xludf.DUMMYFUNCTION("""COMPUTED_VALUE"""),32)</f>
        <v>32</v>
      </c>
      <c r="CI132" s="30" t="str">
        <f ca="1">IFERROR(__xludf.DUMMYFUNCTION("""COMPUTED_VALUE"""),"e35f7a43")</f>
        <v>e35f7a43</v>
      </c>
      <c r="CJ132" s="29" t="str">
        <f ca="1">IFERROR(__xludf.DUMMYFUNCTION("""COMPUTED_VALUE"""),"Regitro_Evidencia_Files_/e35f7a43.Archivo_Evidencia.231148.jpg (1).pdf")</f>
        <v>Regitro_Evidencia_Files_/e35f7a43.Archivo_Evidencia.231148.jpg (1).pdf</v>
      </c>
      <c r="CK132" s="30" t="str">
        <f ca="1">IFERROR(__xludf.DUMMYFUNCTION("""COMPUTED_VALUE"""),"PDF")</f>
        <v>PDF</v>
      </c>
      <c r="CL132" s="30"/>
      <c r="CM132" s="30" t="str">
        <f ca="1">IFERROR(__xludf.DUMMYFUNCTION("""COMPUTED_VALUE"""),"Guanajuato")</f>
        <v>Guanajuato</v>
      </c>
      <c r="CN132" s="32" t="e">
        <f ca="1"/>
        <v>#NAME?</v>
      </c>
      <c r="CO132" s="32" t="e">
        <f ca="1"/>
        <v>#NAME?</v>
      </c>
      <c r="CP132" s="32" t="e">
        <f ca="1"/>
        <v>#NAME?</v>
      </c>
      <c r="CQ132" s="32" t="e">
        <f ca="1"/>
        <v>#NAME?</v>
      </c>
      <c r="CR132" s="30" t="e">
        <f ca="1"/>
        <v>#NAME?</v>
      </c>
      <c r="CS132" s="30" t="str">
        <f ca="1">IFERROR(__xludf.DUMMYFUNCTION("""COMPUTED_VALUE"""),"Mujeres en situación de vulnerabilidad")</f>
        <v>Mujeres en situación de vulnerabilidad</v>
      </c>
    </row>
    <row r="133" spans="1:97" ht="13">
      <c r="A133" s="29" t="str">
        <f ca="1">IFERROR(__xludf.DUMMYFUNCTION("""COMPUTED_VALUE"""),"ACT-SCOF92079")</f>
        <v>ACT-SCOF92079</v>
      </c>
      <c r="B133" s="30" t="str">
        <f ca="1">IFERROR(__xludf.DUMMYFUNCTION("""COMPUTED_VALUE"""),"SC-260629-134521")</f>
        <v>SC-260629-134521</v>
      </c>
      <c r="C133" s="62">
        <f ca="1">IFERROR(__xludf.DUMMYFUNCTION("""COMPUTED_VALUE"""),46202.5731597222)</f>
        <v>46202.573159722197</v>
      </c>
      <c r="D133" s="30">
        <f ca="1">IFERROR(__xludf.DUMMYFUNCTION("""COMPUTED_VALUE"""),92)</f>
        <v>92</v>
      </c>
      <c r="E133" s="30" t="str">
        <f ca="1">IFERROR(__xludf.DUMMYFUNCTION("""COMPUTED_VALUE"""),"PB3572")</f>
        <v>PB3572</v>
      </c>
      <c r="F13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33" s="30" t="str">
        <f ca="1">IFERROR(__xludf.DUMMYFUNCTION("""COMPUTED_VALUE"""),"SUBSECRETARÍA DE DESARROLLO Y PROMOCIÓN ARTÍSTICA Y CULTURAL")</f>
        <v>SUBSECRETARÍA DE DESARROLLO Y PROMOCIÓN ARTÍSTICA Y CULTURAL</v>
      </c>
      <c r="I133" s="34" t="str">
        <f ca="1">IFERROR(__xludf.DUMMYFUNCTION("""COMPUTED_VALUE"""),"DIRECCIÓN GENERAL DE MUSEOS, ARTES VISUALES Y EXPOSICIONES")</f>
        <v>DIRECCIÓN GENERAL DE MUSEOS, ARTES VISUALES Y EXPOSICIONES</v>
      </c>
      <c r="J133" s="30" t="str">
        <f ca="1">IFERROR(__xludf.DUMMYFUNCTION("""COMPUTED_VALUE"""),"Número de Actividades realizadas")</f>
        <v>Número de Actividades realizadas</v>
      </c>
      <c r="K133" s="30">
        <f ca="1">IFERROR(__xludf.DUMMYFUNCTION("""COMPUTED_VALUE"""),800)</f>
        <v>800</v>
      </c>
      <c r="L133" s="30" t="str">
        <f ca="1">IFERROR(__xludf.DUMMYFUNCTION("""COMPUTED_VALUE"""),"Cultural")</f>
        <v>Cultural</v>
      </c>
      <c r="M133" s="30" t="str">
        <f ca="1">IFERROR(__xludf.DUMMYFUNCTION("""COMPUTED_VALUE"""),"Viernes libre de clases")</f>
        <v>Viernes libre de clases</v>
      </c>
      <c r="N133" s="30" t="str">
        <f ca="1">IFERROR(__xludf.DUMMYFUNCTION("""COMPUTED_VALUE"""),"Taller orientado a niños de educación primaria cuyo viernes de consejo no tienen clases, este es impartido por personal de mediación utilizando diversos materiales artísticos para expandir el conocimiento y amor por el arte.")</f>
        <v>Taller orientado a niños de educación primaria cuyo viernes de consejo no tienen clases, este es impartido por personal de mediación utilizando diversos materiales artísticos para expandir el conocimiento y amor por el arte.</v>
      </c>
      <c r="O133" s="30" t="str">
        <f ca="1">IFERROR(__xludf.DUMMYFUNCTION("""COMPUTED_VALUE"""),"Única")</f>
        <v>Única</v>
      </c>
      <c r="P133" s="33">
        <f ca="1">IFERROR(__xludf.DUMMYFUNCTION("""COMPUTED_VALUE"""),46199)</f>
        <v>46199</v>
      </c>
      <c r="Q133" s="33">
        <f ca="1">IFERROR(__xludf.DUMMYFUNCTION("""COMPUTED_VALUE"""),46199)</f>
        <v>46199</v>
      </c>
      <c r="R133" s="30">
        <f ca="1">IFERROR(__xludf.DUMMYFUNCTION("""COMPUTED_VALUE"""),1)</f>
        <v>1</v>
      </c>
      <c r="S133" s="30" t="str">
        <f ca="1">IFERROR(__xludf.DUMMYFUNCTION("""COMPUTED_VALUE"""),"Cultura comunitaria")</f>
        <v>Cultura comunitaria</v>
      </c>
      <c r="T133" s="30" t="str">
        <f ca="1">IFERROR(__xludf.DUMMYFUNCTION("""COMPUTED_VALUE"""),"Mediación cultural")</f>
        <v>Mediación cultural</v>
      </c>
      <c r="U133" s="30" t="str">
        <f ca="1">IFERROR(__xludf.DUMMYFUNCTION("""COMPUTED_VALUE"""),"Taller")</f>
        <v>Taller</v>
      </c>
      <c r="V133" s="30" t="str">
        <f ca="1">IFERROR(__xludf.DUMMYFUNCTION("""COMPUTED_VALUE"""),"Ninguna")</f>
        <v>Ninguna</v>
      </c>
      <c r="W133" s="30" t="str">
        <f ca="1">IFERROR(__xludf.DUMMYFUNCTION("""COMPUTED_VALUE"""),"Presencial")</f>
        <v>Presencial</v>
      </c>
      <c r="X133" s="30" t="str">
        <f ca="1">IFERROR(__xludf.DUMMYFUNCTION("""COMPUTED_VALUE"""),"Espacio a Cargo de la Secretaría")</f>
        <v>Espacio a Cargo de la Secretaría</v>
      </c>
      <c r="Y133" s="30" t="str">
        <f ca="1">IFERROR(__xludf.DUMMYFUNCTION("""COMPUTED_VALUE"""),"9")</f>
        <v>9</v>
      </c>
      <c r="Z133" s="30"/>
      <c r="AA133" s="30"/>
      <c r="AB133" s="30" t="b">
        <f ca="1">IFERROR(__xludf.DUMMYFUNCTION("""COMPUTED_VALUE"""),FALSE)</f>
        <v>0</v>
      </c>
      <c r="AC133" s="30"/>
      <c r="AD133" s="30" t="b">
        <f ca="1">IFERROR(__xludf.DUMMYFUNCTION("""COMPUTED_VALUE"""),FALSE)</f>
        <v>0</v>
      </c>
      <c r="AE133" s="30"/>
      <c r="AF133" s="30" t="b">
        <f ca="1">IFERROR(__xludf.DUMMYFUNCTION("""COMPUTED_VALUE"""),FALSE)</f>
        <v>0</v>
      </c>
      <c r="AG133" s="30"/>
      <c r="AH133" s="30" t="str">
        <f ca="1">IFERROR(__xludf.DUMMYFUNCTION("""COMPUTED_VALUE"""),"Sin costo")</f>
        <v>Sin costo</v>
      </c>
      <c r="AI133" s="30"/>
      <c r="AJ133" s="30"/>
      <c r="AK133" s="30"/>
      <c r="AL133" s="30" t="str">
        <f ca="1">IFERROR(__xludf.DUMMYFUNCTION("""COMPUTED_VALUE"""),"ccardonav@guanajuato.gob.mx")</f>
        <v>ccardonav@guanajuato.gob.mx</v>
      </c>
      <c r="AM133" s="30" t="str">
        <f ca="1">IFERROR(__xludf.DUMMYFUNCTION("""COMPUTED_VALUE"""),"Arraigo y empoderamiento cultural de comunidades.")</f>
        <v>Arraigo y empoderamiento cultural de comunidades.</v>
      </c>
      <c r="AN133" s="30" t="str">
        <f ca="1">IFERROR(__xludf.DUMMYFUNCTION("""COMPUTED_VALUE"""),"2 Igualdad")</f>
        <v>2 Igualdad</v>
      </c>
      <c r="AO133" s="30" t="str">
        <f ca="1">IFERROR(__xludf.DUMMYFUNCTION("""COMPUTED_VALUE"""),"2.2 Fortalecer cohesión social")</f>
        <v>2.2 Fortalecer cohesión social</v>
      </c>
      <c r="AP133" s="30" t="str">
        <f ca="1">IFERROR(__xludf.DUMMYFUNCTION("""COMPUTED_VALUE"""),"2.2.1 Participación social comunitaria")</f>
        <v>2.2.1 Participación social comunitaria</v>
      </c>
      <c r="AQ133" s="30" t="str">
        <f ca="1">IFERROR(__xludf.DUMMYFUNCTION("""COMPUTED_VALUE"""),"2.2.1 Participación social comunitaria")</f>
        <v>2.2.1 Participación social comunitaria</v>
      </c>
      <c r="AR133" s="30" t="str">
        <f ca="1">IFERROR(__xludf.DUMMYFUNCTION("""COMPUTED_VALUE"""),"Cooperación")</f>
        <v>Cooperación</v>
      </c>
      <c r="AS133" s="30"/>
      <c r="AT133" s="30" t="str">
        <f ca="1">IFERROR(__xludf.DUMMYFUNCTION("""COMPUTED_VALUE"""),"Impulso a la educación artística y a la profesionalización del sector cultural")</f>
        <v>Impulso a la educación artística y a la profesionalización del sector cultural</v>
      </c>
      <c r="AU133" s="30" t="str">
        <f ca="1">IFERROR(__xludf.DUMMYFUNCTION("""COMPUTED_VALUE"""),"Adaptación de la oferta cultural a los territorios.")</f>
        <v>Adaptación de la oferta cultural a los territorios.</v>
      </c>
      <c r="AV133" s="30" t="str">
        <f ca="1">IFERROR(__xludf.DUMMYFUNCTION("""COMPUTED_VALUE"""),"Crear un sistema de inteligencia cultural.")</f>
        <v>Crear un sistema de inteligencia cultural.</v>
      </c>
      <c r="AW133" s="30" t="str">
        <f ca="1">IFERROR(__xludf.DUMMYFUNCTION("""COMPUTED_VALUE"""),"Incrementar un 25% la participación de grupos prioritarios en prácticas culturales al 2030.")</f>
        <v>Incrementar un 25% la participación de grupos prioritarios en prácticas culturales al 2030.</v>
      </c>
      <c r="AX133" s="30" t="str">
        <f ca="1">IFERROR(__xludf.DUMMYFUNCTION("""COMPUTED_VALUE"""),"Taller")</f>
        <v>Taller</v>
      </c>
      <c r="AY133" s="30" t="str">
        <f ca="1">IFERROR(__xludf.DUMMYFUNCTION("""COMPUTED_VALUE"""),"Mediación")</f>
        <v>Mediación</v>
      </c>
      <c r="AZ133" s="30"/>
      <c r="BA133" s="30"/>
      <c r="BB133" s="30"/>
      <c r="BC133" s="30">
        <f ca="1">IFERROR(__xludf.DUMMYFUNCTION("""COMPUTED_VALUE"""),0)</f>
        <v>0</v>
      </c>
      <c r="BD133" s="30"/>
      <c r="BE133" s="30"/>
      <c r="BF133" s="30" t="b">
        <f ca="1">IFERROR(__xludf.DUMMYFUNCTION("""COMPUTED_VALUE"""),FALSE)</f>
        <v>0</v>
      </c>
      <c r="BG133" s="30"/>
      <c r="BH133" s="30"/>
      <c r="BI133" s="30"/>
      <c r="BJ133" s="30"/>
      <c r="BK133" s="30"/>
      <c r="BL133" s="30"/>
      <c r="BM133" s="30" t="str">
        <f ca="1">IFERROR(__xludf.DUMMYFUNCTION("""COMPUTED_VALUE"""),"No")</f>
        <v>No</v>
      </c>
      <c r="BN133" s="30"/>
      <c r="BO133" s="30" t="str">
        <f ca="1">IFERROR(__xludf.DUMMYFUNCTION("""COMPUTED_VALUE"""),"839d049a")</f>
        <v>839d049a</v>
      </c>
      <c r="BP133" s="29" t="str">
        <f ca="1">IFERROR(__xludf.DUMMYFUNCTION("""COMPUTED_VALUE"""),"Guanajuato")</f>
        <v>Guanajuato</v>
      </c>
      <c r="BQ133" s="30" t="str">
        <f ca="1">IFERROR(__xludf.DUMMYFUNCTION("""COMPUTED_VALUE"""),"Urbano")</f>
        <v>Urbano</v>
      </c>
      <c r="BR133" s="30">
        <f ca="1">IFERROR(__xludf.DUMMYFUNCTION("""COMPUTED_VALUE"""),49)</f>
        <v>49</v>
      </c>
      <c r="BS133" s="30" t="str">
        <f ca="1">IFERROR(__xludf.DUMMYFUNCTION("""COMPUTED_VALUE"""),"Guanajuato")</f>
        <v>Guanajuato</v>
      </c>
      <c r="BT133" s="30"/>
      <c r="BU133" s="30" t="str">
        <f ca="1">IFERROR(__xludf.DUMMYFUNCTION("""COMPUTED_VALUE"""),"Si")</f>
        <v>Si</v>
      </c>
      <c r="BV133" s="30" t="str">
        <f ca="1">IFERROR(__xludf.DUMMYFUNCTION("""COMPUTED_VALUE"""),"Si")</f>
        <v>Si</v>
      </c>
      <c r="BW133" s="30">
        <f ca="1">IFERROR(__xludf.DUMMYFUNCTION("""COMPUTED_VALUE"""),2180)</f>
        <v>2180</v>
      </c>
      <c r="BX133" s="30"/>
      <c r="BY133" s="30">
        <f ca="1">IFERROR(__xludf.DUMMYFUNCTION("""COMPUTED_VALUE"""),2180)</f>
        <v>2180</v>
      </c>
      <c r="BZ133" s="30" t="str">
        <f ca="1">IFERROR(__xludf.DUMMYFUNCTION("""COMPUTED_VALUE"""),"Guanajuato")</f>
        <v>Guanajuato</v>
      </c>
      <c r="CA133" s="30" t="str">
        <f ca="1">IFERROR(__xludf.DUMMYFUNCTION("""COMPUTED_VALUE"""),"No")</f>
        <v>No</v>
      </c>
      <c r="CB133" s="30" t="str">
        <f ca="1">IFERROR(__xludf.DUMMYFUNCTION("""COMPUTED_VALUE"""),"No")</f>
        <v>No</v>
      </c>
      <c r="CC133" s="30" t="str">
        <f ca="1">IFERROR(__xludf.DUMMYFUNCTION("""COMPUTED_VALUE"""),"28e77bd9")</f>
        <v>28e77bd9</v>
      </c>
      <c r="CD133" s="29" t="str">
        <f ca="1">IFERROR(__xludf.DUMMYFUNCTION("""COMPUTED_VALUE"""),"Jóvenes (18 a 29 años)")</f>
        <v>Jóvenes (18 a 29 años)</v>
      </c>
      <c r="CE133" s="30" t="str">
        <f ca="1">IFERROR(__xludf.DUMMYFUNCTION("""COMPUTED_VALUE"""),"Dato global")</f>
        <v>Dato global</v>
      </c>
      <c r="CF133" s="30" t="str">
        <f ca="1">IFERROR(__xludf.DUMMYFUNCTION("""COMPUTED_VALUE"""),"Ninguno (Población General)")</f>
        <v>Ninguno (Población General)</v>
      </c>
      <c r="CG133" s="30">
        <f ca="1">IFERROR(__xludf.DUMMYFUNCTION("""COMPUTED_VALUE"""),15)</f>
        <v>15</v>
      </c>
      <c r="CI133" s="30" t="str">
        <f ca="1">IFERROR(__xludf.DUMMYFUNCTION("""COMPUTED_VALUE"""),"174f6634")</f>
        <v>174f6634</v>
      </c>
      <c r="CJ133" s="29" t="str">
        <f ca="1">IFERROR(__xludf.DUMMYFUNCTION("""COMPUTED_VALUE"""),"Regitro_Evidencia_Files_/174f6634.Archivo_Evidencia.165749.06 (3) (1).pdf")</f>
        <v>Regitro_Evidencia_Files_/174f6634.Archivo_Evidencia.165749.06 (3) (1).pdf</v>
      </c>
      <c r="CK133" s="30" t="str">
        <f ca="1">IFERROR(__xludf.DUMMYFUNCTION("""COMPUTED_VALUE"""),"PDF")</f>
        <v>PDF</v>
      </c>
      <c r="CL133" s="30"/>
      <c r="CM133" s="30" t="str">
        <f ca="1">IFERROR(__xludf.DUMMYFUNCTION("""COMPUTED_VALUE"""),"Guanajuato")</f>
        <v>Guanajuato</v>
      </c>
      <c r="CN133" s="32" t="e">
        <f ca="1"/>
        <v>#NAME?</v>
      </c>
      <c r="CO133" s="32" t="e">
        <f ca="1"/>
        <v>#NAME?</v>
      </c>
      <c r="CP133" s="32" t="e">
        <f ca="1"/>
        <v>#NAME?</v>
      </c>
      <c r="CQ133" s="32" t="e">
        <f ca="1"/>
        <v>#NAME?</v>
      </c>
      <c r="CR133" s="30" t="e">
        <f ca="1"/>
        <v>#NAME?</v>
      </c>
      <c r="CS133" s="30" t="str">
        <f ca="1">IFERROR(__xludf.DUMMYFUNCTION("""COMPUTED_VALUE"""),"Ninguno (Población General)")</f>
        <v>Ninguno (Población General)</v>
      </c>
    </row>
    <row r="134" spans="1:97" ht="13">
      <c r="A134" s="29" t="str">
        <f ca="1">IFERROR(__xludf.DUMMYFUNCTION("""COMPUTED_VALUE"""),"ACT-SCNO25177")</f>
        <v>ACT-SCNO25177</v>
      </c>
      <c r="B134" s="30" t="str">
        <f ca="1">IFERROR(__xludf.DUMMYFUNCTION("""COMPUTED_VALUE"""),"SC-260630-135620")</f>
        <v>SC-260630-135620</v>
      </c>
      <c r="C134" s="62">
        <f ca="1">IFERROR(__xludf.DUMMYFUNCTION("""COMPUTED_VALUE"""),46203.580787037)</f>
        <v>46203.580787036997</v>
      </c>
      <c r="D134" s="30">
        <f ca="1">IFERROR(__xludf.DUMMYFUNCTION("""COMPUTED_VALUE"""),91)</f>
        <v>91</v>
      </c>
      <c r="E134" s="30" t="str">
        <f ca="1">IFERROR(__xludf.DUMMYFUNCTION("""COMPUTED_VALUE"""),"PB3572")</f>
        <v>PB3572</v>
      </c>
      <c r="F13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4"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34" s="30" t="str">
        <f ca="1">IFERROR(__xludf.DUMMYFUNCTION("""COMPUTED_VALUE"""),"SUBSECRETARÍA DE DESARROLLO Y PROMOCIÓN ARTÍSTICA Y CULTURAL")</f>
        <v>SUBSECRETARÍA DE DESARROLLO Y PROMOCIÓN ARTÍSTICA Y CULTURAL</v>
      </c>
      <c r="I134" s="34" t="str">
        <f ca="1">IFERROR(__xludf.DUMMYFUNCTION("""COMPUTED_VALUE"""),"DIRECCIÓN GENERAL DE MUSEOS, ARTES VISUALES Y EXPOSICIONES")</f>
        <v>DIRECCIÓN GENERAL DE MUSEOS, ARTES VISUALES Y EXPOSICIONES</v>
      </c>
      <c r="J134" s="30" t="str">
        <f ca="1">IFERROR(__xludf.DUMMYFUNCTION("""COMPUTED_VALUE"""),"Número de Exposiciones inauguradas")</f>
        <v>Número de Exposiciones inauguradas</v>
      </c>
      <c r="K134" s="30">
        <f ca="1">IFERROR(__xludf.DUMMYFUNCTION("""COMPUTED_VALUE"""),28)</f>
        <v>28</v>
      </c>
      <c r="L134" s="30" t="str">
        <f ca="1">IFERROR(__xludf.DUMMYFUNCTION("""COMPUTED_VALUE"""),"Artística")</f>
        <v>Artística</v>
      </c>
      <c r="M134" s="30" t="str">
        <f ca="1">IFERROR(__xludf.DUMMYFUNCTION("""COMPUTED_VALUE"""),"Inauguracion de la Exposición:  Mujeres en el territorio: encuentros situados")</f>
        <v>Inauguracion de la Exposición:  Mujeres en el territorio: encuentros situados</v>
      </c>
      <c r="N134" s="30" t="str">
        <f ca="1">IFERROR(__xludf.DUMMYFUNCTION("""COMPUTED_VALUE"""),"Esta exposición parte del territorio como una construcción viva donde se cruzan cuerpo, espacio y memoria. El territorio no es neutro: se habita, se disputa y se resignifica. La mujer aparece aquí como sujeto activo que genera encuentro, produce contexto "&amp;"y transforma el espacio; desde esta premisa, la muestra propone un punto de encuentro: un espacio donde las experiencias de las mujeres dialogan entre sí. El territorio se entiende como una construcción múltiple que incluye el cuerpo, el espacio doméstico"&amp;", la ciudad y la tierra; lugares donde se inscriben relaciones de poder, memoria y resistencia. La muestra propone un recorrido crítico que visibiliza cómo las mujeres configuran y reconfiguran el territorio desde lo íntimo hasta lo colectivo.")</f>
        <v>Esta exposición parte del territorio como una construcción viva donde se cruzan cuerpo, espacio y memoria. El territorio no es neutro: se habita, se disputa y se resignifica. La mujer aparece aquí como sujeto activo que genera encuentro, produce contexto y transforma el espacio; desde esta premisa, la muestra propone un punto de encuentro: un espacio donde las experiencias de las mujeres dialogan entre sí. El territorio se entiende como una construcción múltiple que incluye el cuerpo, el espacio doméstico, la ciudad y la tierra; lugares donde se inscriben relaciones de poder, memoria y resistencia. La muestra propone un recorrido crítico que visibiliza cómo las mujeres configuran y reconfiguran el territorio desde lo íntimo hasta lo colectivo.</v>
      </c>
      <c r="O134" s="30" t="str">
        <f ca="1">IFERROR(__xludf.DUMMYFUNCTION("""COMPUTED_VALUE"""),"Única")</f>
        <v>Única</v>
      </c>
      <c r="P134" s="33">
        <f ca="1">IFERROR(__xludf.DUMMYFUNCTION("""COMPUTED_VALUE"""),46095)</f>
        <v>46095</v>
      </c>
      <c r="Q134" s="33">
        <f ca="1">IFERROR(__xludf.DUMMYFUNCTION("""COMPUTED_VALUE"""),46095)</f>
        <v>46095</v>
      </c>
      <c r="R134" s="30">
        <f ca="1">IFERROR(__xludf.DUMMYFUNCTION("""COMPUTED_VALUE"""),1)</f>
        <v>1</v>
      </c>
      <c r="S134" s="30" t="str">
        <f ca="1">IFERROR(__xludf.DUMMYFUNCTION("""COMPUTED_VALUE"""),"Cultura comunitaria")</f>
        <v>Cultura comunitaria</v>
      </c>
      <c r="T134" s="30" t="str">
        <f ca="1">IFERROR(__xludf.DUMMYFUNCTION("""COMPUTED_VALUE"""),"Gestión cultural")</f>
        <v>Gestión cultural</v>
      </c>
      <c r="U134" s="30" t="str">
        <f ca="1">IFERROR(__xludf.DUMMYFUNCTION("""COMPUTED_VALUE"""),"Exposición")</f>
        <v>Exposición</v>
      </c>
      <c r="V134" s="30" t="str">
        <f ca="1">IFERROR(__xludf.DUMMYFUNCTION("""COMPUTED_VALUE"""),"Ninguna")</f>
        <v>Ninguna</v>
      </c>
      <c r="W134" s="30" t="str">
        <f ca="1">IFERROR(__xludf.DUMMYFUNCTION("""COMPUTED_VALUE"""),"Presencial")</f>
        <v>Presencial</v>
      </c>
      <c r="X134" s="30" t="str">
        <f ca="1">IFERROR(__xludf.DUMMYFUNCTION("""COMPUTED_VALUE"""),"Espacio a Cargo de la Secretaría")</f>
        <v>Espacio a Cargo de la Secretaría</v>
      </c>
      <c r="Y134" s="30" t="str">
        <f ca="1">IFERROR(__xludf.DUMMYFUNCTION("""COMPUTED_VALUE"""),"1")</f>
        <v>1</v>
      </c>
      <c r="Z134" s="30"/>
      <c r="AA134" s="30"/>
      <c r="AB134" s="30" t="b">
        <f ca="1">IFERROR(__xludf.DUMMYFUNCTION("""COMPUTED_VALUE"""),FALSE)</f>
        <v>0</v>
      </c>
      <c r="AC134" s="30"/>
      <c r="AD134" s="30" t="b">
        <f ca="1">IFERROR(__xludf.DUMMYFUNCTION("""COMPUTED_VALUE"""),TRUE)</f>
        <v>1</v>
      </c>
      <c r="AE134" s="30">
        <f ca="1">IFERROR(__xludf.DUMMYFUNCTION("""COMPUTED_VALUE"""),15)</f>
        <v>15</v>
      </c>
      <c r="AF134" s="30" t="b">
        <f ca="1">IFERROR(__xludf.DUMMYFUNCTION("""COMPUTED_VALUE"""),FALSE)</f>
        <v>0</v>
      </c>
      <c r="AG134" s="30"/>
      <c r="AH134" s="30" t="str">
        <f ca="1">IFERROR(__xludf.DUMMYFUNCTION("""COMPUTED_VALUE"""),"Sin costo")</f>
        <v>Sin costo</v>
      </c>
      <c r="AI134" s="30"/>
      <c r="AJ134" s="30"/>
      <c r="AK134" s="30"/>
      <c r="AL134" s="30" t="str">
        <f ca="1">IFERROR(__xludf.DUMMYFUNCTION("""COMPUTED_VALUE"""),"ccardonav@guanajuato.gob.mx")</f>
        <v>ccardonav@guanajuato.gob.mx</v>
      </c>
      <c r="AM134" s="30" t="str">
        <f ca="1">IFERROR(__xludf.DUMMYFUNCTION("""COMPUTED_VALUE"""),"Creación de la Secretaría de Cultura, con una visión social de la política cultural.")</f>
        <v>Creación de la Secretaría de Cultura, con una visión social de la política cultural.</v>
      </c>
      <c r="AN134" s="30" t="str">
        <f ca="1">IFERROR(__xludf.DUMMYFUNCTION("""COMPUTED_VALUE"""),"2 Igualdad")</f>
        <v>2 Igualdad</v>
      </c>
      <c r="AO134" s="30" t="str">
        <f ca="1">IFERROR(__xludf.DUMMYFUNCTION("""COMPUTED_VALUE"""),"2.4 Reducir brechas de desigualdad")</f>
        <v>2.4 Reducir brechas de desigualdad</v>
      </c>
      <c r="AP134" s="30" t="str">
        <f ca="1">IFERROR(__xludf.DUMMYFUNCTION("""COMPUTED_VALUE"""),"2.4.3 Descentralización de la oferta cultural")</f>
        <v>2.4.3 Descentralización de la oferta cultural</v>
      </c>
      <c r="AQ134" s="30" t="str">
        <f ca="1">IFERROR(__xludf.DUMMYFUNCTION("""COMPUTED_VALUE"""),"2.4.3.3 Incidir en el involucramiento de las personas con el ecosistema cultural")</f>
        <v>2.4.3.3 Incidir en el involucramiento de las personas con el ecosistema cultural</v>
      </c>
      <c r="AR134" s="30" t="str">
        <f ca="1">IFERROR(__xludf.DUMMYFUNCTION("""COMPUTED_VALUE"""),"Inclusión")</f>
        <v>Inclusión</v>
      </c>
      <c r="AS134" s="30" t="str">
        <f ca="1">IFERROR(__xludf.DUMMYFUNCTION("""COMPUTED_VALUE"""),"Ninguno (Población General)")</f>
        <v>Ninguno (Población General)</v>
      </c>
      <c r="AT134" s="30" t="str">
        <f ca="1">IFERROR(__xludf.DUMMYFUNCTION("""COMPUTED_VALUE"""),"Fortalecimiento de la participación ciudadana y la mediación cultural")</f>
        <v>Fortalecimiento de la participación ciudadana y la mediación cultural</v>
      </c>
      <c r="AU134" s="30" t="str">
        <f ca="1">IFERROR(__xludf.DUMMYFUNCTION("""COMPUTED_VALUE"""),"Impulso a la ampliación de la oferta cultural en los territorios.")</f>
        <v>Impulso a la ampliación de la oferta cultural en los territorios.</v>
      </c>
      <c r="AV13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4" s="30" t="str">
        <f ca="1">IFERROR(__xludf.DUMMYFUNCTION("""COMPUTED_VALUE"""),"Incrementar en 25% la oferta cultural realizada en los municipios.")</f>
        <v>Incrementar en 25% la oferta cultural realizada en los municipios.</v>
      </c>
      <c r="AX134" s="30" t="str">
        <f ca="1">IFERROR(__xludf.DUMMYFUNCTION("""COMPUTED_VALUE"""),"Exposición")</f>
        <v>Exposición</v>
      </c>
      <c r="AY134" s="30" t="str">
        <f ca="1">IFERROR(__xludf.DUMMYFUNCTION("""COMPUTED_VALUE"""),"Circulación / Exhibición")</f>
        <v>Circulación / Exhibición</v>
      </c>
      <c r="AZ134" s="30"/>
      <c r="BA134" s="30"/>
      <c r="BB134" s="30"/>
      <c r="BC134" s="30">
        <f ca="1">IFERROR(__xludf.DUMMYFUNCTION("""COMPUTED_VALUE"""),0)</f>
        <v>0</v>
      </c>
      <c r="BD134" s="30"/>
      <c r="BE134" s="30"/>
      <c r="BF134" s="30" t="b">
        <f ca="1">IFERROR(__xludf.DUMMYFUNCTION("""COMPUTED_VALUE"""),FALSE)</f>
        <v>0</v>
      </c>
      <c r="BG134" s="30"/>
      <c r="BH134" s="30"/>
      <c r="BI134" s="30"/>
      <c r="BJ134" s="30"/>
      <c r="BK134" s="30"/>
      <c r="BL134" s="30"/>
      <c r="BM134" s="30" t="str">
        <f ca="1">IFERROR(__xludf.DUMMYFUNCTION("""COMPUTED_VALUE"""),"No")</f>
        <v>No</v>
      </c>
      <c r="BN134" s="30"/>
      <c r="BO134" s="30" t="str">
        <f ca="1">IFERROR(__xludf.DUMMYFUNCTION("""COMPUTED_VALUE"""),"e620ece0")</f>
        <v>e620ece0</v>
      </c>
      <c r="BP134" s="29" t="str">
        <f ca="1">IFERROR(__xludf.DUMMYFUNCTION("""COMPUTED_VALUE"""),"Guanajuato")</f>
        <v>Guanajuato</v>
      </c>
      <c r="BQ134" s="30" t="str">
        <f ca="1">IFERROR(__xludf.DUMMYFUNCTION("""COMPUTED_VALUE"""),"Urbano")</f>
        <v>Urbano</v>
      </c>
      <c r="BR134" s="30">
        <f ca="1">IFERROR(__xludf.DUMMYFUNCTION("""COMPUTED_VALUE"""),49)</f>
        <v>49</v>
      </c>
      <c r="BS134" s="30" t="str">
        <f ca="1">IFERROR(__xludf.DUMMYFUNCTION("""COMPUTED_VALUE"""),"Guanajuato")</f>
        <v>Guanajuato</v>
      </c>
      <c r="BT134" s="30"/>
      <c r="BU134" s="30" t="str">
        <f ca="1">IFERROR(__xludf.DUMMYFUNCTION("""COMPUTED_VALUE"""),"Si")</f>
        <v>Si</v>
      </c>
      <c r="BV134" s="30" t="str">
        <f ca="1">IFERROR(__xludf.DUMMYFUNCTION("""COMPUTED_VALUE"""),"Si")</f>
        <v>Si</v>
      </c>
      <c r="BW134" s="30">
        <f ca="1">IFERROR(__xludf.DUMMYFUNCTION("""COMPUTED_VALUE"""),150)</f>
        <v>150</v>
      </c>
      <c r="BX134" s="30"/>
      <c r="BY134" s="30">
        <f ca="1">IFERROR(__xludf.DUMMYFUNCTION("""COMPUTED_VALUE"""),150)</f>
        <v>150</v>
      </c>
      <c r="BZ134" s="30" t="str">
        <f ca="1">IFERROR(__xludf.DUMMYFUNCTION("""COMPUTED_VALUE"""),"Guanajuato")</f>
        <v>Guanajuato</v>
      </c>
      <c r="CA134" s="30" t="str">
        <f ca="1">IFERROR(__xludf.DUMMYFUNCTION("""COMPUTED_VALUE"""),"No")</f>
        <v>No</v>
      </c>
      <c r="CB134" s="30" t="str">
        <f ca="1">IFERROR(__xludf.DUMMYFUNCTION("""COMPUTED_VALUE"""),"No")</f>
        <v>No</v>
      </c>
      <c r="CC134" s="30" t="str">
        <f ca="1">IFERROR(__xludf.DUMMYFUNCTION("""COMPUTED_VALUE"""),"84b9e856")</f>
        <v>84b9e856</v>
      </c>
      <c r="CD134" s="29" t="str">
        <f ca="1">IFERROR(__xludf.DUMMYFUNCTION("""COMPUTED_VALUE"""),"Adultos Mayores (60 años o más)")</f>
        <v>Adultos Mayores (60 años o más)</v>
      </c>
      <c r="CE134" s="30" t="str">
        <f ca="1">IFERROR(__xludf.DUMMYFUNCTION("""COMPUTED_VALUE"""),"Dato global")</f>
        <v>Dato global</v>
      </c>
      <c r="CF134" s="30" t="str">
        <f ca="1">IFERROR(__xludf.DUMMYFUNCTION("""COMPUTED_VALUE"""),"Ninguno (Población General)")</f>
        <v>Ninguno (Población General)</v>
      </c>
      <c r="CG134" s="30">
        <f ca="1">IFERROR(__xludf.DUMMYFUNCTION("""COMPUTED_VALUE"""),3)</f>
        <v>3</v>
      </c>
      <c r="CI134" s="30" t="str">
        <f ca="1">IFERROR(__xludf.DUMMYFUNCTION("""COMPUTED_VALUE"""),"538b003b")</f>
        <v>538b003b</v>
      </c>
      <c r="CJ134" s="29" t="str">
        <f ca="1">IFERROR(__xludf.DUMMYFUNCTION("""COMPUTED_VALUE"""),"Regitro_Evidencia_Files_/538b003b.Archivo_Evidencia.172958.pdf")</f>
        <v>Regitro_Evidencia_Files_/538b003b.Archivo_Evidencia.172958.pdf</v>
      </c>
      <c r="CK134" s="30" t="str">
        <f ca="1">IFERROR(__xludf.DUMMYFUNCTION("""COMPUTED_VALUE"""),"PDF")</f>
        <v>PDF</v>
      </c>
      <c r="CL134" s="30"/>
      <c r="CM134" s="30" t="str">
        <f ca="1">IFERROR(__xludf.DUMMYFUNCTION("""COMPUTED_VALUE"""),"Guanajuato")</f>
        <v>Guanajuato</v>
      </c>
      <c r="CN134" s="32" t="e">
        <f ca="1"/>
        <v>#NAME?</v>
      </c>
      <c r="CO134" s="32" t="e">
        <f ca="1"/>
        <v>#NAME?</v>
      </c>
      <c r="CP134" s="32" t="e">
        <f ca="1"/>
        <v>#NAME?</v>
      </c>
      <c r="CQ134" s="32" t="e">
        <f ca="1"/>
        <v>#NAME?</v>
      </c>
      <c r="CR134" s="30" t="e">
        <f ca="1"/>
        <v>#NAME?</v>
      </c>
      <c r="CS134" s="30" t="str">
        <f ca="1">IFERROR(__xludf.DUMMYFUNCTION("""COMPUTED_VALUE"""),"Ninguno (Población General)")</f>
        <v>Ninguno (Población General)</v>
      </c>
    </row>
    <row r="135" spans="1:97" ht="13">
      <c r="A135" s="29" t="str">
        <f ca="1">IFERROR(__xludf.DUMMYFUNCTION("""COMPUTED_VALUE"""),"ACT-SCGN01852")</f>
        <v>ACT-SCGN01852</v>
      </c>
      <c r="B135" s="30" t="str">
        <f ca="1">IFERROR(__xludf.DUMMYFUNCTION("""COMPUTED_VALUE"""),"SC-260630-140936")</f>
        <v>SC-260630-140936</v>
      </c>
      <c r="C135" s="62">
        <f ca="1">IFERROR(__xludf.DUMMYFUNCTION("""COMPUTED_VALUE"""),46203.59)</f>
        <v>46203.59</v>
      </c>
      <c r="D135" s="30">
        <f ca="1">IFERROR(__xludf.DUMMYFUNCTION("""COMPUTED_VALUE"""),91)</f>
        <v>91</v>
      </c>
      <c r="E135" s="30" t="str">
        <f ca="1">IFERROR(__xludf.DUMMYFUNCTION("""COMPUTED_VALUE"""),"PB3572")</f>
        <v>PB3572</v>
      </c>
      <c r="F13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5"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35" s="30" t="str">
        <f ca="1">IFERROR(__xludf.DUMMYFUNCTION("""COMPUTED_VALUE"""),"SUBSECRETARÍA DE DESARROLLO Y PROMOCIÓN ARTÍSTICA Y CULTURAL")</f>
        <v>SUBSECRETARÍA DE DESARROLLO Y PROMOCIÓN ARTÍSTICA Y CULTURAL</v>
      </c>
      <c r="I135" s="34" t="str">
        <f ca="1">IFERROR(__xludf.DUMMYFUNCTION("""COMPUTED_VALUE"""),"DIRECCIÓN GENERAL DE MUSEOS, ARTES VISUALES Y EXPOSICIONES")</f>
        <v>DIRECCIÓN GENERAL DE MUSEOS, ARTES VISUALES Y EXPOSICIONES</v>
      </c>
      <c r="J135" s="30" t="str">
        <f ca="1">IFERROR(__xludf.DUMMYFUNCTION("""COMPUTED_VALUE"""),"Número de Exposiciones inauguradas")</f>
        <v>Número de Exposiciones inauguradas</v>
      </c>
      <c r="K135" s="30">
        <f ca="1">IFERROR(__xludf.DUMMYFUNCTION("""COMPUTED_VALUE"""),28)</f>
        <v>28</v>
      </c>
      <c r="L135" s="30" t="str">
        <f ca="1">IFERROR(__xludf.DUMMYFUNCTION("""COMPUTED_VALUE"""),"Cultural")</f>
        <v>Cultural</v>
      </c>
      <c r="M135" s="30" t="str">
        <f ca="1">IFERROR(__xludf.DUMMYFUNCTION("""COMPUTED_VALUE"""),"Inauguracion Exposición: Altar de Dolores 2026")</f>
        <v>Inauguracion Exposición: Altar de Dolores 2026</v>
      </c>
      <c r="N135" s="30" t="str">
        <f ca="1">IFERROR(__xludf.DUMMYFUNCTION("""COMPUTED_VALUE"""),"El viernes previo a la Semana Santa se dedican altares a la Virgen de los Dolores, tradición que llegó a la Nueva España en el siglo XVI y que pervive hasta la actualidad. Los altares tienen una carga simbólica, como punto central se coloca una imagen de "&amp;"la Dolorosa")</f>
        <v>El viernes previo a la Semana Santa se dedican altares a la Virgen de los Dolores, tradición que llegó a la Nueva España en el siglo XVI y que pervive hasta la actualidad. Los altares tienen una carga simbólica, como punto central se coloca una imagen de la Dolorosa</v>
      </c>
      <c r="O135" s="30" t="str">
        <f ca="1">IFERROR(__xludf.DUMMYFUNCTION("""COMPUTED_VALUE"""),"Única")</f>
        <v>Única</v>
      </c>
      <c r="P135" s="33">
        <f ca="1">IFERROR(__xludf.DUMMYFUNCTION("""COMPUTED_VALUE"""),46106)</f>
        <v>46106</v>
      </c>
      <c r="Q135" s="33">
        <f ca="1">IFERROR(__xludf.DUMMYFUNCTION("""COMPUTED_VALUE"""),46106)</f>
        <v>46106</v>
      </c>
      <c r="R135" s="30">
        <f ca="1">IFERROR(__xludf.DUMMYFUNCTION("""COMPUTED_VALUE"""),1)</f>
        <v>1</v>
      </c>
      <c r="S135" s="30" t="str">
        <f ca="1">IFERROR(__xludf.DUMMYFUNCTION("""COMPUTED_VALUE"""),"Patrimonio cultural")</f>
        <v>Patrimonio cultural</v>
      </c>
      <c r="T135" s="30" t="str">
        <f ca="1">IFERROR(__xludf.DUMMYFUNCTION("""COMPUTED_VALUE"""),"Patrimonio inmaterial")</f>
        <v>Patrimonio inmaterial</v>
      </c>
      <c r="U135" s="30" t="str">
        <f ca="1">IFERROR(__xludf.DUMMYFUNCTION("""COMPUTED_VALUE"""),"Exposición")</f>
        <v>Exposición</v>
      </c>
      <c r="V135" s="30" t="str">
        <f ca="1">IFERROR(__xludf.DUMMYFUNCTION("""COMPUTED_VALUE"""),"Ninguna")</f>
        <v>Ninguna</v>
      </c>
      <c r="W135" s="30" t="str">
        <f ca="1">IFERROR(__xludf.DUMMYFUNCTION("""COMPUTED_VALUE"""),"Presencial")</f>
        <v>Presencial</v>
      </c>
      <c r="X135" s="30" t="str">
        <f ca="1">IFERROR(__xludf.DUMMYFUNCTION("""COMPUTED_VALUE"""),"Espacio a Cargo de la Secretaría")</f>
        <v>Espacio a Cargo de la Secretaría</v>
      </c>
      <c r="Y135" s="30" t="str">
        <f ca="1">IFERROR(__xludf.DUMMYFUNCTION("""COMPUTED_VALUE"""),"6")</f>
        <v>6</v>
      </c>
      <c r="Z135" s="30"/>
      <c r="AA135" s="30"/>
      <c r="AB135" s="30" t="b">
        <f ca="1">IFERROR(__xludf.DUMMYFUNCTION("""COMPUTED_VALUE"""),FALSE)</f>
        <v>0</v>
      </c>
      <c r="AC135" s="30"/>
      <c r="AD135" s="30" t="b">
        <f ca="1">IFERROR(__xludf.DUMMYFUNCTION("""COMPUTED_VALUE"""),FALSE)</f>
        <v>0</v>
      </c>
      <c r="AE135" s="30"/>
      <c r="AF135" s="30" t="b">
        <f ca="1">IFERROR(__xludf.DUMMYFUNCTION("""COMPUTED_VALUE"""),FALSE)</f>
        <v>0</v>
      </c>
      <c r="AG135" s="30"/>
      <c r="AH135" s="30" t="str">
        <f ca="1">IFERROR(__xludf.DUMMYFUNCTION("""COMPUTED_VALUE"""),"Sin costo")</f>
        <v>Sin costo</v>
      </c>
      <c r="AI135" s="30"/>
      <c r="AJ135" s="30"/>
      <c r="AK135" s="30"/>
      <c r="AL135" s="30" t="str">
        <f ca="1">IFERROR(__xludf.DUMMYFUNCTION("""COMPUTED_VALUE"""),"ccardonav@guanajuato.gob.mx")</f>
        <v>ccardonav@guanajuato.gob.mx</v>
      </c>
      <c r="AM135" s="30" t="str">
        <f ca="1">IFERROR(__xludf.DUMMYFUNCTION("""COMPUTED_VALUE"""),"Creación de la Secretaría de Cultura, con una visión social de la política cultural.")</f>
        <v>Creación de la Secretaría de Cultura, con una visión social de la política cultural.</v>
      </c>
      <c r="AN135" s="30" t="str">
        <f ca="1">IFERROR(__xludf.DUMMYFUNCTION("""COMPUTED_VALUE"""),"2 Igualdad")</f>
        <v>2 Igualdad</v>
      </c>
      <c r="AO135" s="30" t="str">
        <f ca="1">IFERROR(__xludf.DUMMYFUNCTION("""COMPUTED_VALUE"""),"2.4 Reducir brechas de desigualdad")</f>
        <v>2.4 Reducir brechas de desigualdad</v>
      </c>
      <c r="AP135" s="30" t="str">
        <f ca="1">IFERROR(__xludf.DUMMYFUNCTION("""COMPUTED_VALUE"""),"2.4.3 Descentralización de la oferta cultural")</f>
        <v>2.4.3 Descentralización de la oferta cultural</v>
      </c>
      <c r="AQ135" s="30" t="str">
        <f ca="1">IFERROR(__xludf.DUMMYFUNCTION("""COMPUTED_VALUE"""),"2.4.3.3 Incidir en el involucramiento de las personas con el ecosistema cultural")</f>
        <v>2.4.3.3 Incidir en el involucramiento de las personas con el ecosistema cultural</v>
      </c>
      <c r="AR135" s="30" t="str">
        <f ca="1">IFERROR(__xludf.DUMMYFUNCTION("""COMPUTED_VALUE"""),"Ninguno")</f>
        <v>Ninguno</v>
      </c>
      <c r="AS135" s="30"/>
      <c r="AT135" s="30" t="str">
        <f ca="1">IFERROR(__xludf.DUMMYFUNCTION("""COMPUTED_VALUE"""),"Fortalecimiento de la participación ciudadana y la mediación cultural")</f>
        <v>Fortalecimiento de la participación ciudadana y la mediación cultural</v>
      </c>
      <c r="AU135" s="30" t="str">
        <f ca="1">IFERROR(__xludf.DUMMYFUNCTION("""COMPUTED_VALUE"""),"Impulso a la ampliación de la oferta cultural en los territorios.")</f>
        <v>Impulso a la ampliación de la oferta cultural en los territorios.</v>
      </c>
      <c r="AV13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5" s="30" t="str">
        <f ca="1">IFERROR(__xludf.DUMMYFUNCTION("""COMPUTED_VALUE"""),"Incrementar en 25% la oferta cultural realizada en los municipios.")</f>
        <v>Incrementar en 25% la oferta cultural realizada en los municipios.</v>
      </c>
      <c r="AX135" s="30" t="str">
        <f ca="1">IFERROR(__xludf.DUMMYFUNCTION("""COMPUTED_VALUE"""),"Exposición")</f>
        <v>Exposición</v>
      </c>
      <c r="AY135" s="30" t="str">
        <f ca="1">IFERROR(__xludf.DUMMYFUNCTION("""COMPUTED_VALUE"""),"Circulación / Exhibición")</f>
        <v>Circulación / Exhibición</v>
      </c>
      <c r="AZ135" s="30"/>
      <c r="BA135" s="30"/>
      <c r="BB135" s="30"/>
      <c r="BC135" s="30">
        <f ca="1">IFERROR(__xludf.DUMMYFUNCTION("""COMPUTED_VALUE"""),0)</f>
        <v>0</v>
      </c>
      <c r="BD135" s="30"/>
      <c r="BE135" s="30"/>
      <c r="BF135" s="30" t="b">
        <f ca="1">IFERROR(__xludf.DUMMYFUNCTION("""COMPUTED_VALUE"""),FALSE)</f>
        <v>0</v>
      </c>
      <c r="BG135" s="30"/>
      <c r="BH135" s="30"/>
      <c r="BI135" s="30"/>
      <c r="BJ135" s="30"/>
      <c r="BK135" s="30"/>
      <c r="BL135" s="30"/>
      <c r="BM135" s="30" t="str">
        <f ca="1">IFERROR(__xludf.DUMMYFUNCTION("""COMPUTED_VALUE"""),"No")</f>
        <v>No</v>
      </c>
      <c r="BN135" s="30"/>
      <c r="BO135" s="30" t="str">
        <f ca="1">IFERROR(__xludf.DUMMYFUNCTION("""COMPUTED_VALUE"""),"0b7d49ed")</f>
        <v>0b7d49ed</v>
      </c>
      <c r="BP135" s="29" t="str">
        <f ca="1">IFERROR(__xludf.DUMMYFUNCTION("""COMPUTED_VALUE"""),"Guanajuato")</f>
        <v>Guanajuato</v>
      </c>
      <c r="BQ135" s="30" t="str">
        <f ca="1">IFERROR(__xludf.DUMMYFUNCTION("""COMPUTED_VALUE"""),"Urbano")</f>
        <v>Urbano</v>
      </c>
      <c r="BR135" s="30"/>
      <c r="BS135" s="30"/>
      <c r="BT135" s="30" t="str">
        <f ca="1">IFERROR(__xludf.DUMMYFUNCTION("""COMPUTED_VALUE"""),"ZONA CENTRO")</f>
        <v>ZONA CENTRO</v>
      </c>
      <c r="BU135" s="30" t="str">
        <f ca="1">IFERROR(__xludf.DUMMYFUNCTION("""COMPUTED_VALUE"""),"No")</f>
        <v>No</v>
      </c>
      <c r="BV135" s="30" t="str">
        <f ca="1">IFERROR(__xludf.DUMMYFUNCTION("""COMPUTED_VALUE"""),"No")</f>
        <v>No</v>
      </c>
      <c r="BW135" s="30">
        <f ca="1">IFERROR(__xludf.DUMMYFUNCTION("""COMPUTED_VALUE"""),100)</f>
        <v>100</v>
      </c>
      <c r="BX135" s="30"/>
      <c r="BY135" s="30">
        <f ca="1">IFERROR(__xludf.DUMMYFUNCTION("""COMPUTED_VALUE"""),100)</f>
        <v>100</v>
      </c>
      <c r="BZ135" s="30" t="str">
        <f ca="1">IFERROR(__xludf.DUMMYFUNCTION("""COMPUTED_VALUE"""),"ZONA CENTRO")</f>
        <v>ZONA CENTRO</v>
      </c>
      <c r="CA135" s="30" t="str">
        <f ca="1">IFERROR(__xludf.DUMMYFUNCTION("""COMPUTED_VALUE"""),"No")</f>
        <v>No</v>
      </c>
      <c r="CB135" s="30" t="str">
        <f ca="1">IFERROR(__xludf.DUMMYFUNCTION("""COMPUTED_VALUE"""),"No")</f>
        <v>No</v>
      </c>
      <c r="CC135" s="30" t="str">
        <f ca="1">IFERROR(__xludf.DUMMYFUNCTION("""COMPUTED_VALUE"""),"d8c8b8fc")</f>
        <v>d8c8b8fc</v>
      </c>
      <c r="CD135" s="29" t="str">
        <f ca="1">IFERROR(__xludf.DUMMYFUNCTION("""COMPUTED_VALUE"""),"Niñas y Niños (6 a 12 años)")</f>
        <v>Niñas y Niños (6 a 12 años)</v>
      </c>
      <c r="CE135" s="30" t="str">
        <f ca="1">IFERROR(__xludf.DUMMYFUNCTION("""COMPUTED_VALUE"""),"Dato global")</f>
        <v>Dato global</v>
      </c>
      <c r="CF135" s="30" t="str">
        <f ca="1">IFERROR(__xludf.DUMMYFUNCTION("""COMPUTED_VALUE"""),"Ninguno (Población General)")</f>
        <v>Ninguno (Población General)</v>
      </c>
      <c r="CG135" s="30">
        <f ca="1">IFERROR(__xludf.DUMMYFUNCTION("""COMPUTED_VALUE"""),21)</f>
        <v>21</v>
      </c>
      <c r="CI135" s="30" t="str">
        <f ca="1">IFERROR(__xludf.DUMMYFUNCTION("""COMPUTED_VALUE"""),"eb63d470")</f>
        <v>eb63d470</v>
      </c>
      <c r="CJ135" s="29" t="str">
        <f ca="1">IFERROR(__xludf.DUMMYFUNCTION("""COMPUTED_VALUE"""),"Regitro_Evidencia_Files_/eb63d470.Archivo_Evidencia.173632.pdf")</f>
        <v>Regitro_Evidencia_Files_/eb63d470.Archivo_Evidencia.173632.pdf</v>
      </c>
      <c r="CK135" s="30" t="str">
        <f ca="1">IFERROR(__xludf.DUMMYFUNCTION("""COMPUTED_VALUE"""),"PDF")</f>
        <v>PDF</v>
      </c>
      <c r="CL135" s="30"/>
      <c r="CM135" s="30" t="str">
        <f ca="1">IFERROR(__xludf.DUMMYFUNCTION("""COMPUTED_VALUE"""),"Guanajuato")</f>
        <v>Guanajuato</v>
      </c>
      <c r="CN135" s="32" t="e">
        <f ca="1"/>
        <v>#NAME?</v>
      </c>
      <c r="CO135" s="32" t="e">
        <f ca="1"/>
        <v>#NAME?</v>
      </c>
      <c r="CP135" s="32" t="e">
        <f ca="1"/>
        <v>#NAME?</v>
      </c>
      <c r="CQ135" s="32" t="e">
        <f ca="1"/>
        <v>#NAME?</v>
      </c>
      <c r="CR135" s="30" t="e">
        <f ca="1"/>
        <v>#NAME?</v>
      </c>
      <c r="CS135" s="30" t="str">
        <f ca="1">IFERROR(__xludf.DUMMYFUNCTION("""COMPUTED_VALUE"""),"Ninguno (Población General)")</f>
        <v>Ninguno (Población General)</v>
      </c>
    </row>
    <row r="136" spans="1:97" ht="13">
      <c r="A136" s="29" t="str">
        <f ca="1">IFERROR(__xludf.DUMMYFUNCTION("""COMPUTED_VALUE"""),"ACT-SCFU00828")</f>
        <v>ACT-SCFU00828</v>
      </c>
      <c r="B136" s="30" t="str">
        <f ca="1">IFERROR(__xludf.DUMMYFUNCTION("""COMPUTED_VALUE"""),"SC-260630-143348")</f>
        <v>SC-260630-143348</v>
      </c>
      <c r="C136" s="62">
        <f ca="1">IFERROR(__xludf.DUMMYFUNCTION("""COMPUTED_VALUE"""),46203.6068055555)</f>
        <v>46203.606805555501</v>
      </c>
      <c r="D136" s="30">
        <f ca="1">IFERROR(__xludf.DUMMYFUNCTION("""COMPUTED_VALUE"""),91)</f>
        <v>91</v>
      </c>
      <c r="E136" s="30" t="str">
        <f ca="1">IFERROR(__xludf.DUMMYFUNCTION("""COMPUTED_VALUE"""),"PB3572")</f>
        <v>PB3572</v>
      </c>
      <c r="F13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6"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36" s="30" t="str">
        <f ca="1">IFERROR(__xludf.DUMMYFUNCTION("""COMPUTED_VALUE"""),"SUBSECRETARÍA DE DESARROLLO Y PROMOCIÓN ARTÍSTICA Y CULTURAL")</f>
        <v>SUBSECRETARÍA DE DESARROLLO Y PROMOCIÓN ARTÍSTICA Y CULTURAL</v>
      </c>
      <c r="I136" s="34" t="str">
        <f ca="1">IFERROR(__xludf.DUMMYFUNCTION("""COMPUTED_VALUE"""),"DIRECCIÓN GENERAL DE MUSEOS, ARTES VISUALES Y EXPOSICIONES")</f>
        <v>DIRECCIÓN GENERAL DE MUSEOS, ARTES VISUALES Y EXPOSICIONES</v>
      </c>
      <c r="J136" s="30" t="str">
        <f ca="1">IFERROR(__xludf.DUMMYFUNCTION("""COMPUTED_VALUE"""),"Número de Exposiciones inauguradas")</f>
        <v>Número de Exposiciones inauguradas</v>
      </c>
      <c r="K136" s="30">
        <f ca="1">IFERROR(__xludf.DUMMYFUNCTION("""COMPUTED_VALUE"""),28)</f>
        <v>28</v>
      </c>
      <c r="L136" s="30" t="str">
        <f ca="1">IFERROR(__xludf.DUMMYFUNCTION("""COMPUTED_VALUE"""),"Cultural")</f>
        <v>Cultural</v>
      </c>
      <c r="M136" s="30" t="str">
        <f ca="1">IFERROR(__xludf.DUMMYFUNCTION("""COMPUTED_VALUE"""),"Inauguracion Exposición: Altar de Dolores 2026")</f>
        <v>Inauguracion Exposición: Altar de Dolores 2026</v>
      </c>
      <c r="N136" s="30" t="str">
        <f ca="1">IFERROR(__xludf.DUMMYFUNCTION("""COMPUTED_VALUE"""),"El viernes previo a la Semana Santa se dedican altares a la Virgen de los Dolores, tradición que llegó a la Nueva España en el siglo XVI y que pervive hasta la actualidad. Los altares tienen una carga simbólica, como punto central se coloca una imagen de "&amp;"la Dolorosa. Además, le acompañan; flores, que representan vida y belleza; velas; esferas de vidrio, en alusión las lágrimas de María, a semejanza de las aguas frescas; naranjas, que refieren al amargo dolor de la Virgen, a estos frutos se les clavan band"&amp;"eras en correspondencia con el triunfo de Jesús y su resurrección; semillas y germinados, como pan de vida en que se convirtió el cuerpo de Cristo; trigo, como símbolo de la hostia; monograma de María; corazón atravesado por siete espadas, en relación a l"&amp;"os siete dolores de la Virgen y los elementos asociados con la pasión de Cristo: clavos, escalera, corona de espinas, entre otros.")</f>
        <v>El viernes previo a la Semana Santa se dedican altares a la Virgen de los Dolores, tradición que llegó a la Nueva España en el siglo XVI y que pervive hasta la actualidad. Los altares tienen una carga simbólica, como punto central se coloca una imagen de la Dolorosa. Además, le acompañan; flores, que representan vida y belleza; velas; esferas de vidrio, en alusión las lágrimas de María, a semejanza de las aguas frescas; naranjas, que refieren al amargo dolor de la Virgen, a estos frutos se les clavan banderas en correspondencia con el triunfo de Jesús y su resurrección; semillas y germinados, como pan de vida en que se convirtió el cuerpo de Cristo; trigo, como símbolo de la hostia; monograma de María; corazón atravesado por siete espadas, en relación a los siete dolores de la Virgen y los elementos asociados con la pasión de Cristo: clavos, escalera, corona de espinas, entre otros.</v>
      </c>
      <c r="O136" s="30" t="str">
        <f ca="1">IFERROR(__xludf.DUMMYFUNCTION("""COMPUTED_VALUE"""),"Única")</f>
        <v>Única</v>
      </c>
      <c r="P136" s="33">
        <f ca="1">IFERROR(__xludf.DUMMYFUNCTION("""COMPUTED_VALUE"""),46203)</f>
        <v>46203</v>
      </c>
      <c r="Q136" s="33">
        <f ca="1">IFERROR(__xludf.DUMMYFUNCTION("""COMPUTED_VALUE"""),46203)</f>
        <v>46203</v>
      </c>
      <c r="R136" s="30">
        <f ca="1">IFERROR(__xludf.DUMMYFUNCTION("""COMPUTED_VALUE"""),1)</f>
        <v>1</v>
      </c>
      <c r="S136" s="30" t="str">
        <f ca="1">IFERROR(__xludf.DUMMYFUNCTION("""COMPUTED_VALUE"""),"Patrimonio cultural")</f>
        <v>Patrimonio cultural</v>
      </c>
      <c r="T136" s="30" t="str">
        <f ca="1">IFERROR(__xludf.DUMMYFUNCTION("""COMPUTED_VALUE"""),"Patrimonio inmaterial")</f>
        <v>Patrimonio inmaterial</v>
      </c>
      <c r="U136" s="30" t="str">
        <f ca="1">IFERROR(__xludf.DUMMYFUNCTION("""COMPUTED_VALUE"""),"Exposición")</f>
        <v>Exposición</v>
      </c>
      <c r="V136" s="30" t="str">
        <f ca="1">IFERROR(__xludf.DUMMYFUNCTION("""COMPUTED_VALUE"""),"Ninguna")</f>
        <v>Ninguna</v>
      </c>
      <c r="W136" s="30" t="str">
        <f ca="1">IFERROR(__xludf.DUMMYFUNCTION("""COMPUTED_VALUE"""),"Presencial")</f>
        <v>Presencial</v>
      </c>
      <c r="X136" s="30" t="str">
        <f ca="1">IFERROR(__xludf.DUMMYFUNCTION("""COMPUTED_VALUE"""),"Espacio a Cargo de la Secretaría")</f>
        <v>Espacio a Cargo de la Secretaría</v>
      </c>
      <c r="Y136" s="30" t="str">
        <f ca="1">IFERROR(__xludf.DUMMYFUNCTION("""COMPUTED_VALUE"""),"2")</f>
        <v>2</v>
      </c>
      <c r="Z136" s="30"/>
      <c r="AA136" s="30"/>
      <c r="AB136" s="30" t="b">
        <f ca="1">IFERROR(__xludf.DUMMYFUNCTION("""COMPUTED_VALUE"""),FALSE)</f>
        <v>0</v>
      </c>
      <c r="AC136" s="30"/>
      <c r="AD136" s="30" t="b">
        <f ca="1">IFERROR(__xludf.DUMMYFUNCTION("""COMPUTED_VALUE"""),FALSE)</f>
        <v>0</v>
      </c>
      <c r="AE136" s="30"/>
      <c r="AF136" s="30" t="b">
        <f ca="1">IFERROR(__xludf.DUMMYFUNCTION("""COMPUTED_VALUE"""),FALSE)</f>
        <v>0</v>
      </c>
      <c r="AG136" s="30"/>
      <c r="AH136" s="30" t="str">
        <f ca="1">IFERROR(__xludf.DUMMYFUNCTION("""COMPUTED_VALUE"""),"Sin costo")</f>
        <v>Sin costo</v>
      </c>
      <c r="AI136" s="30"/>
      <c r="AJ136" s="30"/>
      <c r="AK136" s="30"/>
      <c r="AL136" s="30" t="str">
        <f ca="1">IFERROR(__xludf.DUMMYFUNCTION("""COMPUTED_VALUE"""),"ccardonav@guanajuato.gob.mx")</f>
        <v>ccardonav@guanajuato.gob.mx</v>
      </c>
      <c r="AM136" s="30" t="str">
        <f ca="1">IFERROR(__xludf.DUMMYFUNCTION("""COMPUTED_VALUE"""),"Creación de la Secretaría de Cultura, con una visión social de la política cultural.")</f>
        <v>Creación de la Secretaría de Cultura, con una visión social de la política cultural.</v>
      </c>
      <c r="AN136" s="30" t="str">
        <f ca="1">IFERROR(__xludf.DUMMYFUNCTION("""COMPUTED_VALUE"""),"2 Igualdad")</f>
        <v>2 Igualdad</v>
      </c>
      <c r="AO136" s="30" t="str">
        <f ca="1">IFERROR(__xludf.DUMMYFUNCTION("""COMPUTED_VALUE"""),"2.4 Reducir brechas de desigualdad")</f>
        <v>2.4 Reducir brechas de desigualdad</v>
      </c>
      <c r="AP136" s="30" t="str">
        <f ca="1">IFERROR(__xludf.DUMMYFUNCTION("""COMPUTED_VALUE"""),"2.4.3 Descentralización de la oferta cultural")</f>
        <v>2.4.3 Descentralización de la oferta cultural</v>
      </c>
      <c r="AQ136" s="30" t="str">
        <f ca="1">IFERROR(__xludf.DUMMYFUNCTION("""COMPUTED_VALUE"""),"2.4.3.3 Incidir en el involucramiento de las personas con el ecosistema cultural")</f>
        <v>2.4.3.3 Incidir en el involucramiento de las personas con el ecosistema cultural</v>
      </c>
      <c r="AR136" s="30" t="str">
        <f ca="1">IFERROR(__xludf.DUMMYFUNCTION("""COMPUTED_VALUE"""),"Ninguno")</f>
        <v>Ninguno</v>
      </c>
      <c r="AS136" s="30"/>
      <c r="AT136" s="30" t="str">
        <f ca="1">IFERROR(__xludf.DUMMYFUNCTION("""COMPUTED_VALUE"""),"Fortalecimiento de la participación ciudadana y la mediación cultural")</f>
        <v>Fortalecimiento de la participación ciudadana y la mediación cultural</v>
      </c>
      <c r="AU136" s="30" t="str">
        <f ca="1">IFERROR(__xludf.DUMMYFUNCTION("""COMPUTED_VALUE"""),"Impulso a la ampliación de la oferta cultural en los territorios.")</f>
        <v>Impulso a la ampliación de la oferta cultural en los territorios.</v>
      </c>
      <c r="AV13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6" s="30" t="str">
        <f ca="1">IFERROR(__xludf.DUMMYFUNCTION("""COMPUTED_VALUE"""),"Incrementar en 25% la oferta cultural realizada en los municipios.")</f>
        <v>Incrementar en 25% la oferta cultural realizada en los municipios.</v>
      </c>
      <c r="AX136" s="30" t="str">
        <f ca="1">IFERROR(__xludf.DUMMYFUNCTION("""COMPUTED_VALUE"""),"Exposición")</f>
        <v>Exposición</v>
      </c>
      <c r="AY136" s="30" t="str">
        <f ca="1">IFERROR(__xludf.DUMMYFUNCTION("""COMPUTED_VALUE"""),"Circulación / Exhibición")</f>
        <v>Circulación / Exhibición</v>
      </c>
      <c r="AZ136" s="30"/>
      <c r="BA136" s="30"/>
      <c r="BB136" s="30"/>
      <c r="BC136" s="30">
        <f ca="1">IFERROR(__xludf.DUMMYFUNCTION("""COMPUTED_VALUE"""),0)</f>
        <v>0</v>
      </c>
      <c r="BD136" s="30"/>
      <c r="BE136" s="30"/>
      <c r="BF136" s="30" t="b">
        <f ca="1">IFERROR(__xludf.DUMMYFUNCTION("""COMPUTED_VALUE"""),FALSE)</f>
        <v>0</v>
      </c>
      <c r="BG136" s="30"/>
      <c r="BH136" s="30"/>
      <c r="BI136" s="30"/>
      <c r="BJ136" s="30"/>
      <c r="BK136" s="30"/>
      <c r="BL136" s="30"/>
      <c r="BM136" s="30" t="str">
        <f ca="1">IFERROR(__xludf.DUMMYFUNCTION("""COMPUTED_VALUE"""),"No")</f>
        <v>No</v>
      </c>
      <c r="BN136" s="30"/>
      <c r="BO136" s="30" t="str">
        <f ca="1">IFERROR(__xludf.DUMMYFUNCTION("""COMPUTED_VALUE"""),"43e1d354")</f>
        <v>43e1d354</v>
      </c>
      <c r="BP136" s="29" t="str">
        <f ca="1">IFERROR(__xludf.DUMMYFUNCTION("""COMPUTED_VALUE"""),"Guanajuato")</f>
        <v>Guanajuato</v>
      </c>
      <c r="BQ136" s="30" t="str">
        <f ca="1">IFERROR(__xludf.DUMMYFUNCTION("""COMPUTED_VALUE"""),"Urbano")</f>
        <v>Urbano</v>
      </c>
      <c r="BR136" s="30">
        <f ca="1">IFERROR(__xludf.DUMMYFUNCTION("""COMPUTED_VALUE"""),49)</f>
        <v>49</v>
      </c>
      <c r="BS136" s="30" t="str">
        <f ca="1">IFERROR(__xludf.DUMMYFUNCTION("""COMPUTED_VALUE"""),"Guanajuato")</f>
        <v>Guanajuato</v>
      </c>
      <c r="BT136" s="30"/>
      <c r="BU136" s="30" t="str">
        <f ca="1">IFERROR(__xludf.DUMMYFUNCTION("""COMPUTED_VALUE"""),"Si")</f>
        <v>Si</v>
      </c>
      <c r="BV136" s="30" t="str">
        <f ca="1">IFERROR(__xludf.DUMMYFUNCTION("""COMPUTED_VALUE"""),"Si")</f>
        <v>Si</v>
      </c>
      <c r="BW136" s="30">
        <f ca="1">IFERROR(__xludf.DUMMYFUNCTION("""COMPUTED_VALUE"""),2180)</f>
        <v>2180</v>
      </c>
      <c r="BX136" s="30"/>
      <c r="BY136" s="30">
        <f ca="1">IFERROR(__xludf.DUMMYFUNCTION("""COMPUTED_VALUE"""),2180)</f>
        <v>2180</v>
      </c>
      <c r="BZ136" s="30" t="str">
        <f ca="1">IFERROR(__xludf.DUMMYFUNCTION("""COMPUTED_VALUE"""),"Guanajuato")</f>
        <v>Guanajuato</v>
      </c>
      <c r="CA136" s="30" t="str">
        <f ca="1">IFERROR(__xludf.DUMMYFUNCTION("""COMPUTED_VALUE"""),"No")</f>
        <v>No</v>
      </c>
      <c r="CB136" s="30" t="str">
        <f ca="1">IFERROR(__xludf.DUMMYFUNCTION("""COMPUTED_VALUE"""),"No")</f>
        <v>No</v>
      </c>
      <c r="CC136" s="30" t="str">
        <f ca="1">IFERROR(__xludf.DUMMYFUNCTION("""COMPUTED_VALUE"""),"ce5fa2eb")</f>
        <v>ce5fa2eb</v>
      </c>
      <c r="CD136" s="29" t="str">
        <f ca="1">IFERROR(__xludf.DUMMYFUNCTION("""COMPUTED_VALUE"""),"Adolescentes (13 a 17 años)")</f>
        <v>Adolescentes (13 a 17 años)</v>
      </c>
      <c r="CE136" s="30" t="str">
        <f ca="1">IFERROR(__xludf.DUMMYFUNCTION("""COMPUTED_VALUE"""),"Dato global")</f>
        <v>Dato global</v>
      </c>
      <c r="CF136" s="30" t="str">
        <f ca="1">IFERROR(__xludf.DUMMYFUNCTION("""COMPUTED_VALUE"""),"Ninguno (Población General)")</f>
        <v>Ninguno (Población General)</v>
      </c>
      <c r="CG136" s="30">
        <f ca="1">IFERROR(__xludf.DUMMYFUNCTION("""COMPUTED_VALUE"""),15)</f>
        <v>15</v>
      </c>
      <c r="CI136" s="30" t="str">
        <f ca="1">IFERROR(__xludf.DUMMYFUNCTION("""COMPUTED_VALUE"""),"dcbfc418")</f>
        <v>dcbfc418</v>
      </c>
      <c r="CJ136" s="29" t="str">
        <f ca="1">IFERROR(__xludf.DUMMYFUNCTION("""COMPUTED_VALUE"""),"Regitro_Evidencia_Files_/dcbfc418.Archivo_Evidencia.183811.pptx")</f>
        <v>Regitro_Evidencia_Files_/dcbfc418.Archivo_Evidencia.183811.pptx</v>
      </c>
      <c r="CK136" s="30" t="str">
        <f ca="1">IFERROR(__xludf.DUMMYFUNCTION("""COMPUTED_VALUE"""),"Otro tipo de archivo ")</f>
        <v xml:space="preserve">Otro tipo de archivo </v>
      </c>
      <c r="CL136" s="30"/>
      <c r="CM136" s="30" t="str">
        <f ca="1">IFERROR(__xludf.DUMMYFUNCTION("""COMPUTED_VALUE"""),"Guanajuato")</f>
        <v>Guanajuato</v>
      </c>
      <c r="CN136" s="32" t="e">
        <f ca="1"/>
        <v>#NAME?</v>
      </c>
      <c r="CO136" s="32" t="e">
        <f ca="1"/>
        <v>#NAME?</v>
      </c>
      <c r="CP136" s="32" t="e">
        <f ca="1"/>
        <v>#NAME?</v>
      </c>
      <c r="CQ136" s="32" t="e">
        <f ca="1"/>
        <v>#NAME?</v>
      </c>
      <c r="CR136" s="30" t="e">
        <f ca="1"/>
        <v>#NAME?</v>
      </c>
      <c r="CS136" s="30" t="str">
        <f ca="1">IFERROR(__xludf.DUMMYFUNCTION("""COMPUTED_VALUE"""),"Ninguno (Población General), Ninguno (Población General)")</f>
        <v>Ninguno (Población General), Ninguno (Población General)</v>
      </c>
    </row>
    <row r="137" spans="1:97" ht="13">
      <c r="A137" s="29" t="str">
        <f ca="1">IFERROR(__xludf.DUMMYFUNCTION("""COMPUTED_VALUE"""),"ACT-SCMA89737")</f>
        <v>ACT-SCMA89737</v>
      </c>
      <c r="B137" s="30" t="str">
        <f ca="1">IFERROR(__xludf.DUMMYFUNCTION("""COMPUTED_VALUE"""),"SC-260630-144916")</f>
        <v>SC-260630-144916</v>
      </c>
      <c r="C137" s="62">
        <f ca="1">IFERROR(__xludf.DUMMYFUNCTION("""COMPUTED_VALUE"""),46203.6175462963)</f>
        <v>46203.6175462963</v>
      </c>
      <c r="D137" s="30">
        <f ca="1">IFERROR(__xludf.DUMMYFUNCTION("""COMPUTED_VALUE"""),91)</f>
        <v>91</v>
      </c>
      <c r="E137" s="30" t="str">
        <f ca="1">IFERROR(__xludf.DUMMYFUNCTION("""COMPUTED_VALUE"""),"PB3572")</f>
        <v>PB3572</v>
      </c>
      <c r="F13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7"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37" s="30" t="str">
        <f ca="1">IFERROR(__xludf.DUMMYFUNCTION("""COMPUTED_VALUE"""),"SUBSECRETARÍA DE DESARROLLO Y PROMOCIÓN ARTÍSTICA Y CULTURAL")</f>
        <v>SUBSECRETARÍA DE DESARROLLO Y PROMOCIÓN ARTÍSTICA Y CULTURAL</v>
      </c>
      <c r="I137" s="34" t="str">
        <f ca="1">IFERROR(__xludf.DUMMYFUNCTION("""COMPUTED_VALUE"""),"DIRECCIÓN GENERAL DE MUSEOS, ARTES VISUALES Y EXPOSICIONES")</f>
        <v>DIRECCIÓN GENERAL DE MUSEOS, ARTES VISUALES Y EXPOSICIONES</v>
      </c>
      <c r="J137" s="30" t="str">
        <f ca="1">IFERROR(__xludf.DUMMYFUNCTION("""COMPUTED_VALUE"""),"Número de Exposiciones inauguradas")</f>
        <v>Número de Exposiciones inauguradas</v>
      </c>
      <c r="K137" s="30">
        <f ca="1">IFERROR(__xludf.DUMMYFUNCTION("""COMPUTED_VALUE"""),28)</f>
        <v>28</v>
      </c>
      <c r="L137" s="30" t="str">
        <f ca="1">IFERROR(__xludf.DUMMYFUNCTION("""COMPUTED_VALUE"""),"Artística")</f>
        <v>Artística</v>
      </c>
      <c r="M137" s="30" t="str">
        <f ca="1">IFERROR(__xludf.DUMMYFUNCTION("""COMPUTED_VALUE"""),"Inauguracion Exposición:  Mujeres en el territorio: encuentros situados")</f>
        <v>Inauguracion Exposición:  Mujeres en el territorio: encuentros situados</v>
      </c>
      <c r="N137" s="30" t="str">
        <f ca="1">IFERROR(__xludf.DUMMYFUNCTION("""COMPUTED_VALUE"""),"Esta exposición parte del territorio como una construcción viva donde se cruzan cuerpo, espacio y memoria. El territorio no es neutro: se habita, se disputa y se resignifica. La mujer aparece aquí como sujeto activo que genera encuentro, produce contexto "&amp;"y transforma el espacio; desde esta premisa, la muestra propone un punto de encuentro: un espacio donde las experiencias de las mujeres dialogan entre sí. El territorio se entiende como una construcción múltiple que incluye el cuerpo, el espacio doméstico"&amp;", la ciudad y la tierra; lugares donde se inscriben relaciones de poder, memoria y resistencia. La muestra propone un recorrido crítico que visibiliza cómo las mujeres configuran y reconfiguran el territorio desde lo íntimo hasta lo colectivo.")</f>
        <v>Esta exposición parte del territorio como una construcción viva donde se cruzan cuerpo, espacio y memoria. El territorio no es neutro: se habita, se disputa y se resignifica. La mujer aparece aquí como sujeto activo que genera encuentro, produce contexto y transforma el espacio; desde esta premisa, la muestra propone un punto de encuentro: un espacio donde las experiencias de las mujeres dialogan entre sí. El territorio se entiende como una construcción múltiple que incluye el cuerpo, el espacio doméstico, la ciudad y la tierra; lugares donde se inscriben relaciones de poder, memoria y resistencia. La muestra propone un recorrido crítico que visibiliza cómo las mujeres configuran y reconfiguran el territorio desde lo íntimo hasta lo colectivo.</v>
      </c>
      <c r="O137" s="30" t="str">
        <f ca="1">IFERROR(__xludf.DUMMYFUNCTION("""COMPUTED_VALUE"""),"Única")</f>
        <v>Única</v>
      </c>
      <c r="P137" s="33">
        <f ca="1">IFERROR(__xludf.DUMMYFUNCTION("""COMPUTED_VALUE"""),46095)</f>
        <v>46095</v>
      </c>
      <c r="Q137" s="33">
        <f ca="1">IFERROR(__xludf.DUMMYFUNCTION("""COMPUTED_VALUE"""),46095)</f>
        <v>46095</v>
      </c>
      <c r="R137" s="30">
        <f ca="1">IFERROR(__xludf.DUMMYFUNCTION("""COMPUTED_VALUE"""),1)</f>
        <v>1</v>
      </c>
      <c r="S137" s="30" t="str">
        <f ca="1">IFERROR(__xludf.DUMMYFUNCTION("""COMPUTED_VALUE"""),"Cultura comunitaria")</f>
        <v>Cultura comunitaria</v>
      </c>
      <c r="T137" s="30" t="str">
        <f ca="1">IFERROR(__xludf.DUMMYFUNCTION("""COMPUTED_VALUE"""),"Gestión cultural")</f>
        <v>Gestión cultural</v>
      </c>
      <c r="U137" s="30" t="str">
        <f ca="1">IFERROR(__xludf.DUMMYFUNCTION("""COMPUTED_VALUE"""),"Exposición")</f>
        <v>Exposición</v>
      </c>
      <c r="V137" s="30" t="str">
        <f ca="1">IFERROR(__xludf.DUMMYFUNCTION("""COMPUTED_VALUE"""),"Ninguna")</f>
        <v>Ninguna</v>
      </c>
      <c r="W137" s="30" t="str">
        <f ca="1">IFERROR(__xludf.DUMMYFUNCTION("""COMPUTED_VALUE"""),"Presencial")</f>
        <v>Presencial</v>
      </c>
      <c r="X137" s="30" t="str">
        <f ca="1">IFERROR(__xludf.DUMMYFUNCTION("""COMPUTED_VALUE"""),"Espacio a Cargo de la Secretaría")</f>
        <v>Espacio a Cargo de la Secretaría</v>
      </c>
      <c r="Y137" s="30" t="str">
        <f ca="1">IFERROR(__xludf.DUMMYFUNCTION("""COMPUTED_VALUE"""),"1")</f>
        <v>1</v>
      </c>
      <c r="Z137" s="30"/>
      <c r="AA137" s="30"/>
      <c r="AB137" s="30" t="b">
        <f ca="1">IFERROR(__xludf.DUMMYFUNCTION("""COMPUTED_VALUE"""),FALSE)</f>
        <v>0</v>
      </c>
      <c r="AC137" s="30"/>
      <c r="AD137" s="30" t="b">
        <f ca="1">IFERROR(__xludf.DUMMYFUNCTION("""COMPUTED_VALUE"""),TRUE)</f>
        <v>1</v>
      </c>
      <c r="AE137" s="30">
        <f ca="1">IFERROR(__xludf.DUMMYFUNCTION("""COMPUTED_VALUE"""),15)</f>
        <v>15</v>
      </c>
      <c r="AF137" s="30" t="b">
        <f ca="1">IFERROR(__xludf.DUMMYFUNCTION("""COMPUTED_VALUE"""),FALSE)</f>
        <v>0</v>
      </c>
      <c r="AG137" s="30"/>
      <c r="AH137" s="30" t="str">
        <f ca="1">IFERROR(__xludf.DUMMYFUNCTION("""COMPUTED_VALUE"""),"Sin costo")</f>
        <v>Sin costo</v>
      </c>
      <c r="AI137" s="30"/>
      <c r="AJ137" s="30"/>
      <c r="AK137" s="30"/>
      <c r="AL137" s="30" t="str">
        <f ca="1">IFERROR(__xludf.DUMMYFUNCTION("""COMPUTED_VALUE"""),"ccardonav@guanajuato.gob.mx")</f>
        <v>ccardonav@guanajuato.gob.mx</v>
      </c>
      <c r="AM137" s="30" t="str">
        <f ca="1">IFERROR(__xludf.DUMMYFUNCTION("""COMPUTED_VALUE"""),"Creación de la Secretaría de Cultura, con una visión social de la política cultural.")</f>
        <v>Creación de la Secretaría de Cultura, con una visión social de la política cultural.</v>
      </c>
      <c r="AN137" s="30" t="str">
        <f ca="1">IFERROR(__xludf.DUMMYFUNCTION("""COMPUTED_VALUE"""),"2 Igualdad")</f>
        <v>2 Igualdad</v>
      </c>
      <c r="AO137" s="30" t="str">
        <f ca="1">IFERROR(__xludf.DUMMYFUNCTION("""COMPUTED_VALUE"""),"2.4 Reducir brechas de desigualdad")</f>
        <v>2.4 Reducir brechas de desigualdad</v>
      </c>
      <c r="AP137" s="30" t="str">
        <f ca="1">IFERROR(__xludf.DUMMYFUNCTION("""COMPUTED_VALUE"""),"2.4.3 Descentralización de la oferta cultural")</f>
        <v>2.4.3 Descentralización de la oferta cultural</v>
      </c>
      <c r="AQ137" s="30" t="str">
        <f ca="1">IFERROR(__xludf.DUMMYFUNCTION("""COMPUTED_VALUE"""),"2.4.3.3 Incidir en el involucramiento de las personas con el ecosistema cultural")</f>
        <v>2.4.3.3 Incidir en el involucramiento de las personas con el ecosistema cultural</v>
      </c>
      <c r="AR137" s="30" t="str">
        <f ca="1">IFERROR(__xludf.DUMMYFUNCTION("""COMPUTED_VALUE"""),"Inclusión")</f>
        <v>Inclusión</v>
      </c>
      <c r="AS137" s="30" t="str">
        <f ca="1">IFERROR(__xludf.DUMMYFUNCTION("""COMPUTED_VALUE"""),"Mujeres en situación de vulnerabilidad")</f>
        <v>Mujeres en situación de vulnerabilidad</v>
      </c>
      <c r="AT137" s="30" t="str">
        <f ca="1">IFERROR(__xludf.DUMMYFUNCTION("""COMPUTED_VALUE"""),"Fortalecimiento de la participación ciudadana y la mediación cultural")</f>
        <v>Fortalecimiento de la participación ciudadana y la mediación cultural</v>
      </c>
      <c r="AU137" s="30" t="str">
        <f ca="1">IFERROR(__xludf.DUMMYFUNCTION("""COMPUTED_VALUE"""),"Impulso a la ampliación de la oferta cultural en los territorios.")</f>
        <v>Impulso a la ampliación de la oferta cultural en los territorios.</v>
      </c>
      <c r="AV13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7" s="30" t="str">
        <f ca="1">IFERROR(__xludf.DUMMYFUNCTION("""COMPUTED_VALUE"""),"Incrementar en 25% la oferta cultural realizada en los municipios.")</f>
        <v>Incrementar en 25% la oferta cultural realizada en los municipios.</v>
      </c>
      <c r="AX137" s="30" t="str">
        <f ca="1">IFERROR(__xludf.DUMMYFUNCTION("""COMPUTED_VALUE"""),"Exposición")</f>
        <v>Exposición</v>
      </c>
      <c r="AY137" s="30" t="str">
        <f ca="1">IFERROR(__xludf.DUMMYFUNCTION("""COMPUTED_VALUE"""),"Circulación / Exhibición")</f>
        <v>Circulación / Exhibición</v>
      </c>
      <c r="AZ137" s="30"/>
      <c r="BA137" s="30"/>
      <c r="BB137" s="30"/>
      <c r="BC137" s="30">
        <f ca="1">IFERROR(__xludf.DUMMYFUNCTION("""COMPUTED_VALUE"""),0)</f>
        <v>0</v>
      </c>
      <c r="BD137" s="30"/>
      <c r="BE137" s="30"/>
      <c r="BF137" s="30" t="b">
        <f ca="1">IFERROR(__xludf.DUMMYFUNCTION("""COMPUTED_VALUE"""),FALSE)</f>
        <v>0</v>
      </c>
      <c r="BG137" s="30"/>
      <c r="BH137" s="30"/>
      <c r="BI137" s="30"/>
      <c r="BJ137" s="30"/>
      <c r="BK137" s="30"/>
      <c r="BL137" s="30"/>
      <c r="BM137" s="30" t="str">
        <f ca="1">IFERROR(__xludf.DUMMYFUNCTION("""COMPUTED_VALUE"""),"No")</f>
        <v>No</v>
      </c>
      <c r="BN137" s="30"/>
      <c r="BO137" s="30" t="str">
        <f ca="1">IFERROR(__xludf.DUMMYFUNCTION("""COMPUTED_VALUE"""),"08c4a117")</f>
        <v>08c4a117</v>
      </c>
      <c r="BP137" s="29" t="str">
        <f ca="1">IFERROR(__xludf.DUMMYFUNCTION("""COMPUTED_VALUE"""),"Guanajuato")</f>
        <v>Guanajuato</v>
      </c>
      <c r="BQ137" s="30" t="str">
        <f ca="1">IFERROR(__xludf.DUMMYFUNCTION("""COMPUTED_VALUE"""),"Urbano")</f>
        <v>Urbano</v>
      </c>
      <c r="BR137" s="30">
        <f ca="1">IFERROR(__xludf.DUMMYFUNCTION("""COMPUTED_VALUE"""),49)</f>
        <v>49</v>
      </c>
      <c r="BS137" s="30" t="str">
        <f ca="1">IFERROR(__xludf.DUMMYFUNCTION("""COMPUTED_VALUE"""),"Guanajuato")</f>
        <v>Guanajuato</v>
      </c>
      <c r="BT137" s="30"/>
      <c r="BU137" s="30" t="str">
        <f ca="1">IFERROR(__xludf.DUMMYFUNCTION("""COMPUTED_VALUE"""),"Si")</f>
        <v>Si</v>
      </c>
      <c r="BV137" s="30" t="str">
        <f ca="1">IFERROR(__xludf.DUMMYFUNCTION("""COMPUTED_VALUE"""),"Si")</f>
        <v>Si</v>
      </c>
      <c r="BW137" s="30">
        <f ca="1">IFERROR(__xludf.DUMMYFUNCTION("""COMPUTED_VALUE"""),2180)</f>
        <v>2180</v>
      </c>
      <c r="BX137" s="30"/>
      <c r="BY137" s="30">
        <f ca="1">IFERROR(__xludf.DUMMYFUNCTION("""COMPUTED_VALUE"""),2180)</f>
        <v>2180</v>
      </c>
      <c r="BZ137" s="30" t="str">
        <f ca="1">IFERROR(__xludf.DUMMYFUNCTION("""COMPUTED_VALUE"""),"Guanajuato")</f>
        <v>Guanajuato</v>
      </c>
      <c r="CA137" s="30" t="str">
        <f ca="1">IFERROR(__xludf.DUMMYFUNCTION("""COMPUTED_VALUE"""),"No")</f>
        <v>No</v>
      </c>
      <c r="CB137" s="30" t="str">
        <f ca="1">IFERROR(__xludf.DUMMYFUNCTION("""COMPUTED_VALUE"""),"No")</f>
        <v>No</v>
      </c>
      <c r="CC137" s="30" t="str">
        <f ca="1">IFERROR(__xludf.DUMMYFUNCTION("""COMPUTED_VALUE"""),"f1ca7b9f")</f>
        <v>f1ca7b9f</v>
      </c>
      <c r="CD137" s="29" t="str">
        <f ca="1">IFERROR(__xludf.DUMMYFUNCTION("""COMPUTED_VALUE"""),"Jóvenes (18 a 29 años)")</f>
        <v>Jóvenes (18 a 29 años)</v>
      </c>
      <c r="CE137" s="30" t="str">
        <f ca="1">IFERROR(__xludf.DUMMYFUNCTION("""COMPUTED_VALUE"""),"Dato global")</f>
        <v>Dato global</v>
      </c>
      <c r="CF137" s="30" t="str">
        <f ca="1">IFERROR(__xludf.DUMMYFUNCTION("""COMPUTED_VALUE"""),"Ninguno (Población General)")</f>
        <v>Ninguno (Población General)</v>
      </c>
      <c r="CG137" s="30">
        <f ca="1">IFERROR(__xludf.DUMMYFUNCTION("""COMPUTED_VALUE"""),22)</f>
        <v>22</v>
      </c>
      <c r="CI137" s="30" t="str">
        <f ca="1">IFERROR(__xludf.DUMMYFUNCTION("""COMPUTED_VALUE"""),"efaa0aaf")</f>
        <v>efaa0aaf</v>
      </c>
      <c r="CJ137" s="29" t="str">
        <f ca="1">IFERROR(__xludf.DUMMYFUNCTION("""COMPUTED_VALUE"""),"Regitro_Evidencia_Files_/efaa0aaf.Archivo_Evidencia.213513.pptx")</f>
        <v>Regitro_Evidencia_Files_/efaa0aaf.Archivo_Evidencia.213513.pptx</v>
      </c>
      <c r="CK137" s="30" t="str">
        <f ca="1">IFERROR(__xludf.DUMMYFUNCTION("""COMPUTED_VALUE"""),"Otro tipo de archivo ")</f>
        <v xml:space="preserve">Otro tipo de archivo </v>
      </c>
      <c r="CL137" s="30"/>
      <c r="CM137" s="30" t="str">
        <f ca="1">IFERROR(__xludf.DUMMYFUNCTION("""COMPUTED_VALUE"""),"Guanajuato")</f>
        <v>Guanajuato</v>
      </c>
      <c r="CN137" s="32" t="e">
        <f ca="1"/>
        <v>#NAME?</v>
      </c>
      <c r="CO137" s="32" t="e">
        <f ca="1"/>
        <v>#NAME?</v>
      </c>
      <c r="CP137" s="32" t="e">
        <f ca="1"/>
        <v>#NAME?</v>
      </c>
      <c r="CQ137" s="32" t="e">
        <f ca="1"/>
        <v>#NAME?</v>
      </c>
      <c r="CR137" s="30" t="e">
        <f ca="1"/>
        <v>#NAME?</v>
      </c>
      <c r="CS137" s="30" t="str">
        <f ca="1">IFERROR(__xludf.DUMMYFUNCTION("""COMPUTED_VALUE"""),"Ninguno (Población General)")</f>
        <v>Ninguno (Población General)</v>
      </c>
    </row>
    <row r="138" spans="1:97" ht="13">
      <c r="A138" s="29" t="str">
        <f ca="1">IFERROR(__xludf.DUMMYFUNCTION("""COMPUTED_VALUE"""),"ACT-SCGD31598")</f>
        <v>ACT-SCGD31598</v>
      </c>
      <c r="B138" s="30" t="str">
        <f ca="1">IFERROR(__xludf.DUMMYFUNCTION("""COMPUTED_VALUE"""),"SC-260630-145538")</f>
        <v>SC-260630-145538</v>
      </c>
      <c r="C138" s="62">
        <f ca="1">IFERROR(__xludf.DUMMYFUNCTION("""COMPUTED_VALUE"""),46203.6219675926)</f>
        <v>46203.621967592597</v>
      </c>
      <c r="D138" s="30">
        <f ca="1">IFERROR(__xludf.DUMMYFUNCTION("""COMPUTED_VALUE"""),91)</f>
        <v>91</v>
      </c>
      <c r="E138" s="30" t="str">
        <f ca="1">IFERROR(__xludf.DUMMYFUNCTION("""COMPUTED_VALUE"""),"PB3572")</f>
        <v>PB3572</v>
      </c>
      <c r="F13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8"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38" s="30" t="str">
        <f ca="1">IFERROR(__xludf.DUMMYFUNCTION("""COMPUTED_VALUE"""),"SUBSECRETARÍA DE DESARROLLO Y PROMOCIÓN ARTÍSTICA Y CULTURAL")</f>
        <v>SUBSECRETARÍA DE DESARROLLO Y PROMOCIÓN ARTÍSTICA Y CULTURAL</v>
      </c>
      <c r="I138" s="34" t="str">
        <f ca="1">IFERROR(__xludf.DUMMYFUNCTION("""COMPUTED_VALUE"""),"DIRECCIÓN GENERAL DE MUSEOS, ARTES VISUALES Y EXPOSICIONES")</f>
        <v>DIRECCIÓN GENERAL DE MUSEOS, ARTES VISUALES Y EXPOSICIONES</v>
      </c>
      <c r="J138" s="30" t="str">
        <f ca="1">IFERROR(__xludf.DUMMYFUNCTION("""COMPUTED_VALUE"""),"Número de Exposiciones inauguradas")</f>
        <v>Número de Exposiciones inauguradas</v>
      </c>
      <c r="K138" s="30">
        <f ca="1">IFERROR(__xludf.DUMMYFUNCTION("""COMPUTED_VALUE"""),28)</f>
        <v>28</v>
      </c>
      <c r="L138" s="30" t="str">
        <f ca="1">IFERROR(__xludf.DUMMYFUNCTION("""COMPUTED_VALUE"""),"Artística")</f>
        <v>Artística</v>
      </c>
      <c r="M138" s="30" t="str">
        <f ca="1">IFERROR(__xludf.DUMMYFUNCTION("""COMPUTED_VALUE"""),"Exposición:  La Sangre de Ella. Altar de Dolores por Ana Karen Gómez")</f>
        <v>Exposición:  La Sangre de Ella. Altar de Dolores por Ana Karen Gómez</v>
      </c>
      <c r="N138" s="30" t="str">
        <f ca="1">IFERROR(__xludf.DUMMYFUNCTION("""COMPUTED_VALUE"""),"El viernes de Dolores es un día dedicado a venerar a la Virgen de los Dolores en recuerdo de los sufrimientos que padeció la madre de Cristo. En Guanajuato, el culto a la imagen de María en su advocación de esta Virgen se lleva a cabo desde épocas colonia"&amp;"les. Como parte de la tradición celebrada en este día en la Ciudad de Guanajuato se presenta este altar como instalación de la artista guanajuatense Ana Karen Gómez, a quien le interesa revisar la tradición haciendo uso de los distintos objetos que son ut"&amp;"ilizados para rendir culto.")</f>
        <v>El viernes de Dolores es un día dedicado a venerar a la Virgen de los Dolores en recuerdo de los sufrimientos que padeció la madre de Cristo. En Guanajuato, el culto a la imagen de María en su advocación de esta Virgen se lleva a cabo desde épocas coloniales. Como parte de la tradición celebrada en este día en la Ciudad de Guanajuato se presenta este altar como instalación de la artista guanajuatense Ana Karen Gómez, a quien le interesa revisar la tradición haciendo uso de los distintos objetos que son utilizados para rendir culto.</v>
      </c>
      <c r="O138" s="30" t="str">
        <f ca="1">IFERROR(__xludf.DUMMYFUNCTION("""COMPUTED_VALUE"""),"Única")</f>
        <v>Única</v>
      </c>
      <c r="P138" s="33">
        <f ca="1">IFERROR(__xludf.DUMMYFUNCTION("""COMPUTED_VALUE"""),46106)</f>
        <v>46106</v>
      </c>
      <c r="Q138" s="33">
        <f ca="1">IFERROR(__xludf.DUMMYFUNCTION("""COMPUTED_VALUE"""),46106)</f>
        <v>46106</v>
      </c>
      <c r="R138" s="30">
        <f ca="1">IFERROR(__xludf.DUMMYFUNCTION("""COMPUTED_VALUE"""),1)</f>
        <v>1</v>
      </c>
      <c r="S138" s="30" t="str">
        <f ca="1">IFERROR(__xludf.DUMMYFUNCTION("""COMPUTED_VALUE"""),"Artes visuales")</f>
        <v>Artes visuales</v>
      </c>
      <c r="T138" s="30" t="str">
        <f ca="1">IFERROR(__xludf.DUMMYFUNCTION("""COMPUTED_VALUE"""),"Instalación")</f>
        <v>Instalación</v>
      </c>
      <c r="U138" s="30" t="str">
        <f ca="1">IFERROR(__xludf.DUMMYFUNCTION("""COMPUTED_VALUE"""),"Exposición")</f>
        <v>Exposición</v>
      </c>
      <c r="V138" s="30" t="str">
        <f ca="1">IFERROR(__xludf.DUMMYFUNCTION("""COMPUTED_VALUE"""),"Ninguna")</f>
        <v>Ninguna</v>
      </c>
      <c r="W138" s="30" t="str">
        <f ca="1">IFERROR(__xludf.DUMMYFUNCTION("""COMPUTED_VALUE"""),"Presencial")</f>
        <v>Presencial</v>
      </c>
      <c r="X138" s="30" t="str">
        <f ca="1">IFERROR(__xludf.DUMMYFUNCTION("""COMPUTED_VALUE"""),"Espacio a Cargo de la Secretaría")</f>
        <v>Espacio a Cargo de la Secretaría</v>
      </c>
      <c r="Y138" s="30" t="str">
        <f ca="1">IFERROR(__xludf.DUMMYFUNCTION("""COMPUTED_VALUE"""),"4")</f>
        <v>4</v>
      </c>
      <c r="Z138" s="30"/>
      <c r="AA138" s="30"/>
      <c r="AB138" s="30" t="b">
        <f ca="1">IFERROR(__xludf.DUMMYFUNCTION("""COMPUTED_VALUE"""),FALSE)</f>
        <v>0</v>
      </c>
      <c r="AC138" s="30"/>
      <c r="AD138" s="30" t="b">
        <f ca="1">IFERROR(__xludf.DUMMYFUNCTION("""COMPUTED_VALUE"""),FALSE)</f>
        <v>0</v>
      </c>
      <c r="AE138" s="30"/>
      <c r="AF138" s="30" t="b">
        <f ca="1">IFERROR(__xludf.DUMMYFUNCTION("""COMPUTED_VALUE"""),FALSE)</f>
        <v>0</v>
      </c>
      <c r="AG138" s="30"/>
      <c r="AH138" s="30" t="str">
        <f ca="1">IFERROR(__xludf.DUMMYFUNCTION("""COMPUTED_VALUE"""),"Sin costo")</f>
        <v>Sin costo</v>
      </c>
      <c r="AI138" s="30"/>
      <c r="AJ138" s="30"/>
      <c r="AK138" s="30"/>
      <c r="AL138" s="30" t="str">
        <f ca="1">IFERROR(__xludf.DUMMYFUNCTION("""COMPUTED_VALUE"""),"ccardonav@guanajuato.gob.mx")</f>
        <v>ccardonav@guanajuato.gob.mx</v>
      </c>
      <c r="AM138" s="30" t="str">
        <f ca="1">IFERROR(__xludf.DUMMYFUNCTION("""COMPUTED_VALUE"""),"Creación de la Secretaría de Cultura, con una visión social de la política cultural.")</f>
        <v>Creación de la Secretaría de Cultura, con una visión social de la política cultural.</v>
      </c>
      <c r="AN138" s="30" t="str">
        <f ca="1">IFERROR(__xludf.DUMMYFUNCTION("""COMPUTED_VALUE"""),"2 Igualdad")</f>
        <v>2 Igualdad</v>
      </c>
      <c r="AO138" s="30" t="str">
        <f ca="1">IFERROR(__xludf.DUMMYFUNCTION("""COMPUTED_VALUE"""),"2.4 Reducir brechas de desigualdad")</f>
        <v>2.4 Reducir brechas de desigualdad</v>
      </c>
      <c r="AP138" s="30" t="str">
        <f ca="1">IFERROR(__xludf.DUMMYFUNCTION("""COMPUTED_VALUE"""),"2.4.3 Descentralización de la oferta cultural")</f>
        <v>2.4.3 Descentralización de la oferta cultural</v>
      </c>
      <c r="AQ138" s="30" t="str">
        <f ca="1">IFERROR(__xludf.DUMMYFUNCTION("""COMPUTED_VALUE"""),"2.4.3.3 Incidir en el involucramiento de las personas con el ecosistema cultural")</f>
        <v>2.4.3.3 Incidir en el involucramiento de las personas con el ecosistema cultural</v>
      </c>
      <c r="AR138" s="30" t="str">
        <f ca="1">IFERROR(__xludf.DUMMYFUNCTION("""COMPUTED_VALUE"""),"Ninguno")</f>
        <v>Ninguno</v>
      </c>
      <c r="AS138" s="30"/>
      <c r="AT138" s="30" t="str">
        <f ca="1">IFERROR(__xludf.DUMMYFUNCTION("""COMPUTED_VALUE"""),"Fortalecimiento de la participación ciudadana y la mediación cultural")</f>
        <v>Fortalecimiento de la participación ciudadana y la mediación cultural</v>
      </c>
      <c r="AU138" s="30" t="str">
        <f ca="1">IFERROR(__xludf.DUMMYFUNCTION("""COMPUTED_VALUE"""),"Impulso a la ampliación de la oferta cultural en los territorios.")</f>
        <v>Impulso a la ampliación de la oferta cultural en los territorios.</v>
      </c>
      <c r="AV13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8" s="30" t="str">
        <f ca="1">IFERROR(__xludf.DUMMYFUNCTION("""COMPUTED_VALUE"""),"Incrementar en 25% la oferta cultural realizada en los municipios.")</f>
        <v>Incrementar en 25% la oferta cultural realizada en los municipios.</v>
      </c>
      <c r="AX138" s="30" t="str">
        <f ca="1">IFERROR(__xludf.DUMMYFUNCTION("""COMPUTED_VALUE"""),"Exposición")</f>
        <v>Exposición</v>
      </c>
      <c r="AY138" s="30" t="str">
        <f ca="1">IFERROR(__xludf.DUMMYFUNCTION("""COMPUTED_VALUE"""),"Circulación / Exhibición")</f>
        <v>Circulación / Exhibición</v>
      </c>
      <c r="AZ138" s="30"/>
      <c r="BA138" s="30"/>
      <c r="BB138" s="30"/>
      <c r="BC138" s="30">
        <f ca="1">IFERROR(__xludf.DUMMYFUNCTION("""COMPUTED_VALUE"""),0)</f>
        <v>0</v>
      </c>
      <c r="BD138" s="30"/>
      <c r="BE138" s="30"/>
      <c r="BF138" s="30" t="b">
        <f ca="1">IFERROR(__xludf.DUMMYFUNCTION("""COMPUTED_VALUE"""),FALSE)</f>
        <v>0</v>
      </c>
      <c r="BG138" s="30"/>
      <c r="BH138" s="30"/>
      <c r="BI138" s="30"/>
      <c r="BJ138" s="30"/>
      <c r="BK138" s="30"/>
      <c r="BL138" s="30"/>
      <c r="BM138" s="30" t="str">
        <f ca="1">IFERROR(__xludf.DUMMYFUNCTION("""COMPUTED_VALUE"""),"No")</f>
        <v>No</v>
      </c>
      <c r="BN138" s="30"/>
      <c r="BO138" s="30" t="str">
        <f ca="1">IFERROR(__xludf.DUMMYFUNCTION("""COMPUTED_VALUE"""),"a38c33f5")</f>
        <v>a38c33f5</v>
      </c>
      <c r="BP138" s="29" t="str">
        <f ca="1">IFERROR(__xludf.DUMMYFUNCTION("""COMPUTED_VALUE"""),"Guanajuato")</f>
        <v>Guanajuato</v>
      </c>
      <c r="BQ138" s="30" t="str">
        <f ca="1">IFERROR(__xludf.DUMMYFUNCTION("""COMPUTED_VALUE"""),"Urbano")</f>
        <v>Urbano</v>
      </c>
      <c r="BR138" s="30">
        <f ca="1">IFERROR(__xludf.DUMMYFUNCTION("""COMPUTED_VALUE"""),49)</f>
        <v>49</v>
      </c>
      <c r="BS138" s="30" t="str">
        <f ca="1">IFERROR(__xludf.DUMMYFUNCTION("""COMPUTED_VALUE"""),"Guanajuato")</f>
        <v>Guanajuato</v>
      </c>
      <c r="BT138" s="30"/>
      <c r="BU138" s="30" t="str">
        <f ca="1">IFERROR(__xludf.DUMMYFUNCTION("""COMPUTED_VALUE"""),"Si")</f>
        <v>Si</v>
      </c>
      <c r="BV138" s="30" t="str">
        <f ca="1">IFERROR(__xludf.DUMMYFUNCTION("""COMPUTED_VALUE"""),"Si")</f>
        <v>Si</v>
      </c>
      <c r="BW138" s="30">
        <f ca="1">IFERROR(__xludf.DUMMYFUNCTION("""COMPUTED_VALUE"""),78)</f>
        <v>78</v>
      </c>
      <c r="BX138" s="30"/>
      <c r="BY138" s="30">
        <f ca="1">IFERROR(__xludf.DUMMYFUNCTION("""COMPUTED_VALUE"""),78)</f>
        <v>78</v>
      </c>
      <c r="BZ138" s="30" t="str">
        <f ca="1">IFERROR(__xludf.DUMMYFUNCTION("""COMPUTED_VALUE"""),"Guanajuato")</f>
        <v>Guanajuato</v>
      </c>
      <c r="CA138" s="30" t="str">
        <f ca="1">IFERROR(__xludf.DUMMYFUNCTION("""COMPUTED_VALUE"""),"No")</f>
        <v>No</v>
      </c>
      <c r="CB138" s="30" t="str">
        <f ca="1">IFERROR(__xludf.DUMMYFUNCTION("""COMPUTED_VALUE"""),"No")</f>
        <v>No</v>
      </c>
      <c r="CC138" s="30" t="str">
        <f ca="1">IFERROR(__xludf.DUMMYFUNCTION("""COMPUTED_VALUE"""),"4fbc699d")</f>
        <v>4fbc699d</v>
      </c>
      <c r="CD138" s="29" t="str">
        <f ca="1">IFERROR(__xludf.DUMMYFUNCTION("""COMPUTED_VALUE"""),"Niñas y Niños (6 a 12 años)")</f>
        <v>Niñas y Niños (6 a 12 años)</v>
      </c>
      <c r="CE138" s="30" t="str">
        <f ca="1">IFERROR(__xludf.DUMMYFUNCTION("""COMPUTED_VALUE"""),"Dato global")</f>
        <v>Dato global</v>
      </c>
      <c r="CF138" s="30" t="str">
        <f ca="1">IFERROR(__xludf.DUMMYFUNCTION("""COMPUTED_VALUE"""),"NNA (Niñas, Niños y Adolescentes)")</f>
        <v>NNA (Niñas, Niños y Adolescentes)</v>
      </c>
      <c r="CG138" s="30">
        <f ca="1">IFERROR(__xludf.DUMMYFUNCTION("""COMPUTED_VALUE"""),30)</f>
        <v>30</v>
      </c>
      <c r="CI138" s="30" t="str">
        <f ca="1">IFERROR(__xludf.DUMMYFUNCTION("""COMPUTED_VALUE"""),"e5d659e6")</f>
        <v>e5d659e6</v>
      </c>
      <c r="CJ138" s="29" t="str">
        <f ca="1">IFERROR(__xludf.DUMMYFUNCTION("""COMPUTED_VALUE"""),"Regitro_Evidencia_Files_/e5d659e6.Archivo_Evidencia.214251.pptx")</f>
        <v>Regitro_Evidencia_Files_/e5d659e6.Archivo_Evidencia.214251.pptx</v>
      </c>
      <c r="CK138" s="30" t="str">
        <f ca="1">IFERROR(__xludf.DUMMYFUNCTION("""COMPUTED_VALUE"""),"Otro tipo de archivo ")</f>
        <v xml:space="preserve">Otro tipo de archivo </v>
      </c>
      <c r="CL138" s="30"/>
      <c r="CM138" s="30" t="str">
        <f ca="1">IFERROR(__xludf.DUMMYFUNCTION("""COMPUTED_VALUE"""),"Guanajuato")</f>
        <v>Guanajuato</v>
      </c>
      <c r="CN138" s="32" t="e">
        <f ca="1"/>
        <v>#NAME?</v>
      </c>
      <c r="CO138" s="32" t="e">
        <f ca="1"/>
        <v>#NAME?</v>
      </c>
      <c r="CP138" s="32" t="e">
        <f ca="1"/>
        <v>#NAME?</v>
      </c>
      <c r="CQ138" s="32" t="e">
        <f ca="1"/>
        <v>#NAME?</v>
      </c>
      <c r="CR138" s="30" t="e">
        <f ca="1"/>
        <v>#NAME?</v>
      </c>
      <c r="CS138" s="30" t="str">
        <f ca="1">IFERROR(__xludf.DUMMYFUNCTION("""COMPUTED_VALUE"""),"Ninguno (Población General), Ninguno (Población General)")</f>
        <v>Ninguno (Población General), Ninguno (Población General)</v>
      </c>
    </row>
    <row r="139" spans="1:97" ht="13">
      <c r="A139" s="29" t="str">
        <f ca="1">IFERROR(__xludf.DUMMYFUNCTION("""COMPUTED_VALUE"""),"ACT-SCCM74525")</f>
        <v>ACT-SCCM74525</v>
      </c>
      <c r="B139" s="30" t="str">
        <f ca="1">IFERROR(__xludf.DUMMYFUNCTION("""COMPUTED_VALUE"""),"SC-260630-151657")</f>
        <v>SC-260630-151657</v>
      </c>
      <c r="C139" s="62">
        <f ca="1">IFERROR(__xludf.DUMMYFUNCTION("""COMPUTED_VALUE"""),46203.6367708333)</f>
        <v>46203.636770833298</v>
      </c>
      <c r="D139" s="30">
        <f ca="1">IFERROR(__xludf.DUMMYFUNCTION("""COMPUTED_VALUE"""),91)</f>
        <v>91</v>
      </c>
      <c r="E139" s="30" t="str">
        <f ca="1">IFERROR(__xludf.DUMMYFUNCTION("""COMPUTED_VALUE"""),"PB3572")</f>
        <v>PB3572</v>
      </c>
      <c r="F13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39"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39" s="30" t="str">
        <f ca="1">IFERROR(__xludf.DUMMYFUNCTION("""COMPUTED_VALUE"""),"SUBSECRETARÍA DE DESARROLLO Y PROMOCIÓN ARTÍSTICA Y CULTURAL")</f>
        <v>SUBSECRETARÍA DE DESARROLLO Y PROMOCIÓN ARTÍSTICA Y CULTURAL</v>
      </c>
      <c r="I139" s="34" t="str">
        <f ca="1">IFERROR(__xludf.DUMMYFUNCTION("""COMPUTED_VALUE"""),"DIRECCIÓN GENERAL DE MUSEOS, ARTES VISUALES Y EXPOSICIONES")</f>
        <v>DIRECCIÓN GENERAL DE MUSEOS, ARTES VISUALES Y EXPOSICIONES</v>
      </c>
      <c r="J139" s="30" t="str">
        <f ca="1">IFERROR(__xludf.DUMMYFUNCTION("""COMPUTED_VALUE"""),"Número de Exposiciones inauguradas")</f>
        <v>Número de Exposiciones inauguradas</v>
      </c>
      <c r="K139" s="30">
        <f ca="1">IFERROR(__xludf.DUMMYFUNCTION("""COMPUTED_VALUE"""),28)</f>
        <v>28</v>
      </c>
      <c r="L139" s="30" t="str">
        <f ca="1">IFERROR(__xludf.DUMMYFUNCTION("""COMPUTED_VALUE"""),"Cultural")</f>
        <v>Cultural</v>
      </c>
      <c r="M139" s="30" t="str">
        <f ca="1">IFERROR(__xludf.DUMMYFUNCTION("""COMPUTED_VALUE"""),"Inauguracion Exposición: Altar de Dolores 2026")</f>
        <v>Inauguracion Exposición: Altar de Dolores 2026</v>
      </c>
      <c r="N139" s="30" t="str">
        <f ca="1">IFERROR(__xludf.DUMMYFUNCTION("""COMPUTED_VALUE"""),"El viernes previo a la Semana Santa se dedican altares a la Virgen de los Dolores, tradición que llegó a la Nueva España en el siglo XVI y que pervive hasta la actualidad. Los altares tienen una carga simbólica, como punto central se coloca una imagen de "&amp;"la Dolorosa.")</f>
        <v>El viernes previo a la Semana Santa se dedican altares a la Virgen de los Dolores, tradición que llegó a la Nueva España en el siglo XVI y que pervive hasta la actualidad. Los altares tienen una carga simbólica, como punto central se coloca una imagen de la Dolorosa.</v>
      </c>
      <c r="O139" s="30" t="str">
        <f ca="1">IFERROR(__xludf.DUMMYFUNCTION("""COMPUTED_VALUE"""),"Única")</f>
        <v>Única</v>
      </c>
      <c r="P139" s="33">
        <f ca="1">IFERROR(__xludf.DUMMYFUNCTION("""COMPUTED_VALUE"""),46106)</f>
        <v>46106</v>
      </c>
      <c r="Q139" s="33">
        <f ca="1">IFERROR(__xludf.DUMMYFUNCTION("""COMPUTED_VALUE"""),46106)</f>
        <v>46106</v>
      </c>
      <c r="R139" s="30">
        <f ca="1">IFERROR(__xludf.DUMMYFUNCTION("""COMPUTED_VALUE"""),1)</f>
        <v>1</v>
      </c>
      <c r="S139" s="30" t="str">
        <f ca="1">IFERROR(__xludf.DUMMYFUNCTION("""COMPUTED_VALUE"""),"Patrimonio cultural")</f>
        <v>Patrimonio cultural</v>
      </c>
      <c r="T139" s="30" t="str">
        <f ca="1">IFERROR(__xludf.DUMMYFUNCTION("""COMPUTED_VALUE"""),"Patrimonio inmaterial")</f>
        <v>Patrimonio inmaterial</v>
      </c>
      <c r="U139" s="30" t="str">
        <f ca="1">IFERROR(__xludf.DUMMYFUNCTION("""COMPUTED_VALUE"""),"Exposición")</f>
        <v>Exposición</v>
      </c>
      <c r="V139" s="30" t="str">
        <f ca="1">IFERROR(__xludf.DUMMYFUNCTION("""COMPUTED_VALUE"""),"Ninguna")</f>
        <v>Ninguna</v>
      </c>
      <c r="W139" s="30" t="str">
        <f ca="1">IFERROR(__xludf.DUMMYFUNCTION("""COMPUTED_VALUE"""),"Presencial")</f>
        <v>Presencial</v>
      </c>
      <c r="X139" s="30" t="str">
        <f ca="1">IFERROR(__xludf.DUMMYFUNCTION("""COMPUTED_VALUE"""),"Espacio a Cargo de la Secretaría")</f>
        <v>Espacio a Cargo de la Secretaría</v>
      </c>
      <c r="Y139" s="30" t="str">
        <f ca="1">IFERROR(__xludf.DUMMYFUNCTION("""COMPUTED_VALUE"""),"5")</f>
        <v>5</v>
      </c>
      <c r="Z139" s="30"/>
      <c r="AA139" s="30"/>
      <c r="AB139" s="30" t="b">
        <f ca="1">IFERROR(__xludf.DUMMYFUNCTION("""COMPUTED_VALUE"""),FALSE)</f>
        <v>0</v>
      </c>
      <c r="AC139" s="30"/>
      <c r="AD139" s="30" t="b">
        <f ca="1">IFERROR(__xludf.DUMMYFUNCTION("""COMPUTED_VALUE"""),FALSE)</f>
        <v>0</v>
      </c>
      <c r="AE139" s="30"/>
      <c r="AF139" s="30" t="b">
        <f ca="1">IFERROR(__xludf.DUMMYFUNCTION("""COMPUTED_VALUE"""),FALSE)</f>
        <v>0</v>
      </c>
      <c r="AG139" s="30"/>
      <c r="AH139" s="30" t="str">
        <f ca="1">IFERROR(__xludf.DUMMYFUNCTION("""COMPUTED_VALUE"""),"Sin costo")</f>
        <v>Sin costo</v>
      </c>
      <c r="AI139" s="30"/>
      <c r="AJ139" s="30"/>
      <c r="AK139" s="30"/>
      <c r="AL139" s="30" t="str">
        <f ca="1">IFERROR(__xludf.DUMMYFUNCTION("""COMPUTED_VALUE"""),"ccardonav@guanajuato.gob.mx")</f>
        <v>ccardonav@guanajuato.gob.mx</v>
      </c>
      <c r="AM139" s="30" t="str">
        <f ca="1">IFERROR(__xludf.DUMMYFUNCTION("""COMPUTED_VALUE"""),"Creación de la Secretaría de Cultura, con una visión social de la política cultural.")</f>
        <v>Creación de la Secretaría de Cultura, con una visión social de la política cultural.</v>
      </c>
      <c r="AN139" s="30" t="str">
        <f ca="1">IFERROR(__xludf.DUMMYFUNCTION("""COMPUTED_VALUE"""),"2 Igualdad")</f>
        <v>2 Igualdad</v>
      </c>
      <c r="AO139" s="30" t="str">
        <f ca="1">IFERROR(__xludf.DUMMYFUNCTION("""COMPUTED_VALUE"""),"2.4 Reducir brechas de desigualdad")</f>
        <v>2.4 Reducir brechas de desigualdad</v>
      </c>
      <c r="AP139" s="30" t="str">
        <f ca="1">IFERROR(__xludf.DUMMYFUNCTION("""COMPUTED_VALUE"""),"2.4.3 Descentralización de la oferta cultural")</f>
        <v>2.4.3 Descentralización de la oferta cultural</v>
      </c>
      <c r="AQ139" s="30" t="str">
        <f ca="1">IFERROR(__xludf.DUMMYFUNCTION("""COMPUTED_VALUE"""),"2.4.3.3 Incidir en el involucramiento de las personas con el ecosistema cultural")</f>
        <v>2.4.3.3 Incidir en el involucramiento de las personas con el ecosistema cultural</v>
      </c>
      <c r="AR139" s="30" t="str">
        <f ca="1">IFERROR(__xludf.DUMMYFUNCTION("""COMPUTED_VALUE"""),"Ninguno")</f>
        <v>Ninguno</v>
      </c>
      <c r="AS139" s="30"/>
      <c r="AT139" s="30" t="str">
        <f ca="1">IFERROR(__xludf.DUMMYFUNCTION("""COMPUTED_VALUE"""),"Fortalecimiento de la participación ciudadana y la mediación cultural")</f>
        <v>Fortalecimiento de la participación ciudadana y la mediación cultural</v>
      </c>
      <c r="AU139" s="30" t="str">
        <f ca="1">IFERROR(__xludf.DUMMYFUNCTION("""COMPUTED_VALUE"""),"Impulso a la ampliación de la oferta cultural en los territorios.")</f>
        <v>Impulso a la ampliación de la oferta cultural en los territorios.</v>
      </c>
      <c r="AV13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39" s="30" t="str">
        <f ca="1">IFERROR(__xludf.DUMMYFUNCTION("""COMPUTED_VALUE"""),"Incrementar en 25% la oferta cultural realizada en los municipios.")</f>
        <v>Incrementar en 25% la oferta cultural realizada en los municipios.</v>
      </c>
      <c r="AX139" s="30" t="str">
        <f ca="1">IFERROR(__xludf.DUMMYFUNCTION("""COMPUTED_VALUE"""),"Exposición")</f>
        <v>Exposición</v>
      </c>
      <c r="AY139" s="30" t="str">
        <f ca="1">IFERROR(__xludf.DUMMYFUNCTION("""COMPUTED_VALUE"""),"Circulación / Exhibición")</f>
        <v>Circulación / Exhibición</v>
      </c>
      <c r="AZ139" s="30"/>
      <c r="BA139" s="30"/>
      <c r="BB139" s="30"/>
      <c r="BC139" s="30">
        <f ca="1">IFERROR(__xludf.DUMMYFUNCTION("""COMPUTED_VALUE"""),0)</f>
        <v>0</v>
      </c>
      <c r="BD139" s="30"/>
      <c r="BE139" s="30"/>
      <c r="BF139" s="30" t="b">
        <f ca="1">IFERROR(__xludf.DUMMYFUNCTION("""COMPUTED_VALUE"""),FALSE)</f>
        <v>0</v>
      </c>
      <c r="BG139" s="30"/>
      <c r="BH139" s="30"/>
      <c r="BI139" s="30"/>
      <c r="BJ139" s="30"/>
      <c r="BK139" s="30"/>
      <c r="BL139" s="30"/>
      <c r="BM139" s="30" t="str">
        <f ca="1">IFERROR(__xludf.DUMMYFUNCTION("""COMPUTED_VALUE"""),"No")</f>
        <v>No</v>
      </c>
      <c r="BN139" s="30"/>
      <c r="BO139" s="30" t="str">
        <f ca="1">IFERROR(__xludf.DUMMYFUNCTION("""COMPUTED_VALUE"""),"0c51bad6")</f>
        <v>0c51bad6</v>
      </c>
      <c r="BP139" s="29" t="str">
        <f ca="1">IFERROR(__xludf.DUMMYFUNCTION("""COMPUTED_VALUE"""),"Guanajuato")</f>
        <v>Guanajuato</v>
      </c>
      <c r="BQ139" s="30" t="str">
        <f ca="1">IFERROR(__xludf.DUMMYFUNCTION("""COMPUTED_VALUE"""),"Urbano")</f>
        <v>Urbano</v>
      </c>
      <c r="BR139" s="30"/>
      <c r="BS139" s="30"/>
      <c r="BT139" s="30" t="str">
        <f ca="1">IFERROR(__xludf.DUMMYFUNCTION("""COMPUTED_VALUE"""),"GUANAJUATO CENTRO")</f>
        <v>GUANAJUATO CENTRO</v>
      </c>
      <c r="BU139" s="30" t="str">
        <f ca="1">IFERROR(__xludf.DUMMYFUNCTION("""COMPUTED_VALUE"""),"No")</f>
        <v>No</v>
      </c>
      <c r="BV139" s="30" t="str">
        <f ca="1">IFERROR(__xludf.DUMMYFUNCTION("""COMPUTED_VALUE"""),"No")</f>
        <v>No</v>
      </c>
      <c r="BW139" s="30">
        <f ca="1">IFERROR(__xludf.DUMMYFUNCTION("""COMPUTED_VALUE"""),40)</f>
        <v>40</v>
      </c>
      <c r="BX139" s="30"/>
      <c r="BY139" s="30">
        <f ca="1">IFERROR(__xludf.DUMMYFUNCTION("""COMPUTED_VALUE"""),40)</f>
        <v>40</v>
      </c>
      <c r="BZ139" s="30" t="str">
        <f ca="1">IFERROR(__xludf.DUMMYFUNCTION("""COMPUTED_VALUE"""),"GUANAJUATO CENTRO")</f>
        <v>GUANAJUATO CENTRO</v>
      </c>
      <c r="CA139" s="30" t="str">
        <f ca="1">IFERROR(__xludf.DUMMYFUNCTION("""COMPUTED_VALUE"""),"No")</f>
        <v>No</v>
      </c>
      <c r="CB139" s="30" t="str">
        <f ca="1">IFERROR(__xludf.DUMMYFUNCTION("""COMPUTED_VALUE"""),"No")</f>
        <v>No</v>
      </c>
      <c r="CC139" s="30" t="str">
        <f ca="1">IFERROR(__xludf.DUMMYFUNCTION("""COMPUTED_VALUE"""),"5da8967d")</f>
        <v>5da8967d</v>
      </c>
      <c r="CD139" s="29" t="str">
        <f ca="1">IFERROR(__xludf.DUMMYFUNCTION("""COMPUTED_VALUE"""),"Niñas y Niños (6 a 12 años)")</f>
        <v>Niñas y Niños (6 a 12 años)</v>
      </c>
      <c r="CE139" s="30" t="str">
        <f ca="1">IFERROR(__xludf.DUMMYFUNCTION("""COMPUTED_VALUE"""),"Dato global")</f>
        <v>Dato global</v>
      </c>
      <c r="CF139" s="30" t="str">
        <f ca="1">IFERROR(__xludf.DUMMYFUNCTION("""COMPUTED_VALUE"""),"NNA (Niñas, Niños y Adolescentes)")</f>
        <v>NNA (Niñas, Niños y Adolescentes)</v>
      </c>
      <c r="CG139" s="30">
        <f ca="1">IFERROR(__xludf.DUMMYFUNCTION("""COMPUTED_VALUE"""),2)</f>
        <v>2</v>
      </c>
      <c r="CI139" s="30" t="str">
        <f ca="1">IFERROR(__xludf.DUMMYFUNCTION("""COMPUTED_VALUE"""),"c5dbfd2e")</f>
        <v>c5dbfd2e</v>
      </c>
      <c r="CJ139" s="29" t="str">
        <f ca="1">IFERROR(__xludf.DUMMYFUNCTION("""COMPUTED_VALUE"""),"Regitro_Evidencia_Files_/c5dbfd2e.Archivo_Evidencia.214626.pptx")</f>
        <v>Regitro_Evidencia_Files_/c5dbfd2e.Archivo_Evidencia.214626.pptx</v>
      </c>
      <c r="CK139" s="30" t="str">
        <f ca="1">IFERROR(__xludf.DUMMYFUNCTION("""COMPUTED_VALUE"""),"Otro tipo de archivo ")</f>
        <v xml:space="preserve">Otro tipo de archivo </v>
      </c>
      <c r="CL139" s="30"/>
      <c r="CM139" s="30" t="str">
        <f ca="1">IFERROR(__xludf.DUMMYFUNCTION("""COMPUTED_VALUE"""),"Guanajuato")</f>
        <v>Guanajuato</v>
      </c>
      <c r="CN139" s="32" t="e">
        <f ca="1"/>
        <v>#NAME?</v>
      </c>
      <c r="CO139" s="32" t="e">
        <f ca="1"/>
        <v>#NAME?</v>
      </c>
      <c r="CP139" s="32" t="e">
        <f ca="1"/>
        <v>#NAME?</v>
      </c>
      <c r="CQ139" s="32" t="e">
        <f ca="1"/>
        <v>#NAME?</v>
      </c>
      <c r="CR139" s="30" t="e">
        <f ca="1"/>
        <v>#NAME?</v>
      </c>
      <c r="CS139" s="30" t="str">
        <f ca="1">IFERROR(__xludf.DUMMYFUNCTION("""COMPUTED_VALUE"""),"Ninguno (Población General)")</f>
        <v>Ninguno (Población General)</v>
      </c>
    </row>
    <row r="140" spans="1:97" ht="13">
      <c r="A140" s="29" t="str">
        <f ca="1">IFERROR(__xludf.DUMMYFUNCTION("""COMPUTED_VALUE"""),"ACT-SCQU60313")</f>
        <v>ACT-SCQU60313</v>
      </c>
      <c r="B140" s="30" t="str">
        <f ca="1">IFERROR(__xludf.DUMMYFUNCTION("""COMPUTED_VALUE"""),"SC-260630-153603")</f>
        <v>SC-260630-153603</v>
      </c>
      <c r="C140" s="62">
        <f ca="1">IFERROR(__xludf.DUMMYFUNCTION("""COMPUTED_VALUE"""),46203.6500347222)</f>
        <v>46203.650034722203</v>
      </c>
      <c r="D140" s="30">
        <f ca="1">IFERROR(__xludf.DUMMYFUNCTION("""COMPUTED_VALUE"""),91)</f>
        <v>91</v>
      </c>
      <c r="E140" s="30" t="str">
        <f ca="1">IFERROR(__xludf.DUMMYFUNCTION("""COMPUTED_VALUE"""),"PB3572")</f>
        <v>PB3572</v>
      </c>
      <c r="F14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0"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40" s="30" t="str">
        <f ca="1">IFERROR(__xludf.DUMMYFUNCTION("""COMPUTED_VALUE"""),"SUBSECRETARÍA DE DESARROLLO Y PROMOCIÓN ARTÍSTICA Y CULTURAL")</f>
        <v>SUBSECRETARÍA DE DESARROLLO Y PROMOCIÓN ARTÍSTICA Y CULTURAL</v>
      </c>
      <c r="I140" s="34" t="str">
        <f ca="1">IFERROR(__xludf.DUMMYFUNCTION("""COMPUTED_VALUE"""),"DIRECCIÓN GENERAL DE MUSEOS, ARTES VISUALES Y EXPOSICIONES")</f>
        <v>DIRECCIÓN GENERAL DE MUSEOS, ARTES VISUALES Y EXPOSICIONES</v>
      </c>
      <c r="J140" s="30" t="str">
        <f ca="1">IFERROR(__xludf.DUMMYFUNCTION("""COMPUTED_VALUE"""),"Número de Exposiciones inauguradas")</f>
        <v>Número de Exposiciones inauguradas</v>
      </c>
      <c r="K140" s="30">
        <f ca="1">IFERROR(__xludf.DUMMYFUNCTION("""COMPUTED_VALUE"""),28)</f>
        <v>28</v>
      </c>
      <c r="L140" s="30" t="str">
        <f ca="1">IFERROR(__xludf.DUMMYFUNCTION("""COMPUTED_VALUE"""),"Cultural")</f>
        <v>Cultural</v>
      </c>
      <c r="M140" s="30" t="str">
        <f ca="1">IFERROR(__xludf.DUMMYFUNCTION("""COMPUTED_VALUE"""),"Inauguracion Exposición: Altar de Dolores 2026")</f>
        <v>Inauguracion Exposición: Altar de Dolores 2026</v>
      </c>
      <c r="N140" s="30" t="str">
        <f ca="1">IFERROR(__xludf.DUMMYFUNCTION("""COMPUTED_VALUE"""),"El viernes previo a la Semana Santa se dedican altares a la Virgen de los Dolores, tradición que llegó a la Nueva España en el siglo XVI y que pervive hasta la actualidad. Los altares tienen una carga simbólica, como punto central se coloca una imagen de "&amp;"la Dolorosa. Además, le acompañan; flores, que representan vida y belleza; velas; esferas de vidrio, en alusión las lágrimas de María, a semejanza de las aguas frescas; naranjas, que refieren al amargo dolor de la Virgen, a estos frutos se les clavan band"&amp;"eras en correspondencia con el triunfo de Jesús y su resurrección; semillas y germinados, como pan de vida en que se convirtió el cuerpo de Cristo; trigo, como símbolo de la hostia; monograma de María; corazón atravesado por siete espadas, en relación a l"&amp;"os siete dolores de la Virgen y los elementos asociados con la pasión de Cristo: clavos, escalera, corona de espinas, entre otros.")</f>
        <v>El viernes previo a la Semana Santa se dedican altares a la Virgen de los Dolores, tradición que llegó a la Nueva España en el siglo XVI y que pervive hasta la actualidad. Los altares tienen una carga simbólica, como punto central se coloca una imagen de la Dolorosa. Además, le acompañan; flores, que representan vida y belleza; velas; esferas de vidrio, en alusión las lágrimas de María, a semejanza de las aguas frescas; naranjas, que refieren al amargo dolor de la Virgen, a estos frutos se les clavan banderas en correspondencia con el triunfo de Jesús y su resurrección; semillas y germinados, como pan de vida en que se convirtió el cuerpo de Cristo; trigo, como símbolo de la hostia; monograma de María; corazón atravesado por siete espadas, en relación a los siete dolores de la Virgen y los elementos asociados con la pasión de Cristo: clavos, escalera, corona de espinas, entre otros.</v>
      </c>
      <c r="O140" s="30" t="str">
        <f ca="1">IFERROR(__xludf.DUMMYFUNCTION("""COMPUTED_VALUE"""),"Única")</f>
        <v>Única</v>
      </c>
      <c r="P140" s="33">
        <f ca="1">IFERROR(__xludf.DUMMYFUNCTION("""COMPUTED_VALUE"""),46106)</f>
        <v>46106</v>
      </c>
      <c r="Q140" s="33">
        <f ca="1">IFERROR(__xludf.DUMMYFUNCTION("""COMPUTED_VALUE"""),46106)</f>
        <v>46106</v>
      </c>
      <c r="R140" s="30">
        <f ca="1">IFERROR(__xludf.DUMMYFUNCTION("""COMPUTED_VALUE"""),1)</f>
        <v>1</v>
      </c>
      <c r="S140" s="30" t="str">
        <f ca="1">IFERROR(__xludf.DUMMYFUNCTION("""COMPUTED_VALUE"""),"Patrimonio cultural")</f>
        <v>Patrimonio cultural</v>
      </c>
      <c r="T140" s="30" t="str">
        <f ca="1">IFERROR(__xludf.DUMMYFUNCTION("""COMPUTED_VALUE"""),"Patrimonio inmaterial")</f>
        <v>Patrimonio inmaterial</v>
      </c>
      <c r="U140" s="30" t="str">
        <f ca="1">IFERROR(__xludf.DUMMYFUNCTION("""COMPUTED_VALUE"""),"Exposición")</f>
        <v>Exposición</v>
      </c>
      <c r="V140" s="30" t="str">
        <f ca="1">IFERROR(__xludf.DUMMYFUNCTION("""COMPUTED_VALUE"""),"Ninguna")</f>
        <v>Ninguna</v>
      </c>
      <c r="W140" s="30" t="str">
        <f ca="1">IFERROR(__xludf.DUMMYFUNCTION("""COMPUTED_VALUE"""),"Presencial")</f>
        <v>Presencial</v>
      </c>
      <c r="X140" s="30" t="str">
        <f ca="1">IFERROR(__xludf.DUMMYFUNCTION("""COMPUTED_VALUE"""),"Espacio a Cargo de la Secretaría")</f>
        <v>Espacio a Cargo de la Secretaría</v>
      </c>
      <c r="Y140" s="30" t="str">
        <f ca="1">IFERROR(__xludf.DUMMYFUNCTION("""COMPUTED_VALUE"""),"1")</f>
        <v>1</v>
      </c>
      <c r="Z140" s="30"/>
      <c r="AA140" s="30"/>
      <c r="AB140" s="30" t="b">
        <f ca="1">IFERROR(__xludf.DUMMYFUNCTION("""COMPUTED_VALUE"""),FALSE)</f>
        <v>0</v>
      </c>
      <c r="AC140" s="30"/>
      <c r="AD140" s="30" t="b">
        <f ca="1">IFERROR(__xludf.DUMMYFUNCTION("""COMPUTED_VALUE"""),FALSE)</f>
        <v>0</v>
      </c>
      <c r="AE140" s="30"/>
      <c r="AF140" s="30" t="b">
        <f ca="1">IFERROR(__xludf.DUMMYFUNCTION("""COMPUTED_VALUE"""),FALSE)</f>
        <v>0</v>
      </c>
      <c r="AG140" s="30"/>
      <c r="AH140" s="30" t="str">
        <f ca="1">IFERROR(__xludf.DUMMYFUNCTION("""COMPUTED_VALUE"""),"Sin costo")</f>
        <v>Sin costo</v>
      </c>
      <c r="AI140" s="30"/>
      <c r="AJ140" s="30"/>
      <c r="AK140" s="30"/>
      <c r="AL140" s="30" t="str">
        <f ca="1">IFERROR(__xludf.DUMMYFUNCTION("""COMPUTED_VALUE"""),"ccardonav@guanajuato.gob.mx")</f>
        <v>ccardonav@guanajuato.gob.mx</v>
      </c>
      <c r="AM140" s="30" t="str">
        <f ca="1">IFERROR(__xludf.DUMMYFUNCTION("""COMPUTED_VALUE"""),"Creación de la Secretaría de Cultura, con una visión social de la política cultural.")</f>
        <v>Creación de la Secretaría de Cultura, con una visión social de la política cultural.</v>
      </c>
      <c r="AN140" s="30" t="str">
        <f ca="1">IFERROR(__xludf.DUMMYFUNCTION("""COMPUTED_VALUE"""),"2 Igualdad")</f>
        <v>2 Igualdad</v>
      </c>
      <c r="AO140" s="30" t="str">
        <f ca="1">IFERROR(__xludf.DUMMYFUNCTION("""COMPUTED_VALUE"""),"2.4 Reducir brechas de desigualdad")</f>
        <v>2.4 Reducir brechas de desigualdad</v>
      </c>
      <c r="AP140" s="30" t="str">
        <f ca="1">IFERROR(__xludf.DUMMYFUNCTION("""COMPUTED_VALUE"""),"2.4.3 Descentralización de la oferta cultural")</f>
        <v>2.4.3 Descentralización de la oferta cultural</v>
      </c>
      <c r="AQ140" s="30" t="str">
        <f ca="1">IFERROR(__xludf.DUMMYFUNCTION("""COMPUTED_VALUE"""),"2.4.3.3 Incidir en el involucramiento de las personas con el ecosistema cultural")</f>
        <v>2.4.3.3 Incidir en el involucramiento de las personas con el ecosistema cultural</v>
      </c>
      <c r="AR140" s="30" t="str">
        <f ca="1">IFERROR(__xludf.DUMMYFUNCTION("""COMPUTED_VALUE"""),"Ninguno")</f>
        <v>Ninguno</v>
      </c>
      <c r="AS140" s="30"/>
      <c r="AT140" s="30" t="str">
        <f ca="1">IFERROR(__xludf.DUMMYFUNCTION("""COMPUTED_VALUE"""),"Fortalecimiento de la participación ciudadana y la mediación cultural")</f>
        <v>Fortalecimiento de la participación ciudadana y la mediación cultural</v>
      </c>
      <c r="AU140" s="30" t="str">
        <f ca="1">IFERROR(__xludf.DUMMYFUNCTION("""COMPUTED_VALUE"""),"Impulso a la ampliación de la oferta cultural en los territorios.")</f>
        <v>Impulso a la ampliación de la oferta cultural en los territorios.</v>
      </c>
      <c r="AV14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40" s="30" t="str">
        <f ca="1">IFERROR(__xludf.DUMMYFUNCTION("""COMPUTED_VALUE"""),"Incrementar en 25% la oferta cultural realizada en los municipios.")</f>
        <v>Incrementar en 25% la oferta cultural realizada en los municipios.</v>
      </c>
      <c r="AX140" s="30" t="str">
        <f ca="1">IFERROR(__xludf.DUMMYFUNCTION("""COMPUTED_VALUE"""),"Exposición")</f>
        <v>Exposición</v>
      </c>
      <c r="AY140" s="30" t="str">
        <f ca="1">IFERROR(__xludf.DUMMYFUNCTION("""COMPUTED_VALUE"""),"Circulación / Exhibición")</f>
        <v>Circulación / Exhibición</v>
      </c>
      <c r="AZ140" s="30"/>
      <c r="BA140" s="30"/>
      <c r="BB140" s="30"/>
      <c r="BC140" s="30">
        <f ca="1">IFERROR(__xludf.DUMMYFUNCTION("""COMPUTED_VALUE"""),0)</f>
        <v>0</v>
      </c>
      <c r="BD140" s="30"/>
      <c r="BE140" s="30"/>
      <c r="BF140" s="30" t="b">
        <f ca="1">IFERROR(__xludf.DUMMYFUNCTION("""COMPUTED_VALUE"""),FALSE)</f>
        <v>0</v>
      </c>
      <c r="BG140" s="30"/>
      <c r="BH140" s="30"/>
      <c r="BI140" s="30"/>
      <c r="BJ140" s="30"/>
      <c r="BK140" s="30"/>
      <c r="BL140" s="30"/>
      <c r="BM140" s="30" t="str">
        <f ca="1">IFERROR(__xludf.DUMMYFUNCTION("""COMPUTED_VALUE"""),"No")</f>
        <v>No</v>
      </c>
      <c r="BN140" s="30"/>
      <c r="BO140" s="30" t="str">
        <f ca="1">IFERROR(__xludf.DUMMYFUNCTION("""COMPUTED_VALUE"""),"e6f444c3")</f>
        <v>e6f444c3</v>
      </c>
      <c r="BP140" s="29" t="str">
        <f ca="1">IFERROR(__xludf.DUMMYFUNCTION("""COMPUTED_VALUE"""),"Guanajuato")</f>
        <v>Guanajuato</v>
      </c>
      <c r="BQ140" s="30" t="str">
        <f ca="1">IFERROR(__xludf.DUMMYFUNCTION("""COMPUTED_VALUE"""),"Urbano")</f>
        <v>Urbano</v>
      </c>
      <c r="BR140" s="30">
        <f ca="1">IFERROR(__xludf.DUMMYFUNCTION("""COMPUTED_VALUE"""),49)</f>
        <v>49</v>
      </c>
      <c r="BS140" s="30" t="str">
        <f ca="1">IFERROR(__xludf.DUMMYFUNCTION("""COMPUTED_VALUE"""),"Guanajuato")</f>
        <v>Guanajuato</v>
      </c>
      <c r="BT140" s="30"/>
      <c r="BU140" s="30" t="str">
        <f ca="1">IFERROR(__xludf.DUMMYFUNCTION("""COMPUTED_VALUE"""),"Si")</f>
        <v>Si</v>
      </c>
      <c r="BV140" s="30" t="str">
        <f ca="1">IFERROR(__xludf.DUMMYFUNCTION("""COMPUTED_VALUE"""),"Si")</f>
        <v>Si</v>
      </c>
      <c r="BW140" s="30">
        <f ca="1">IFERROR(__xludf.DUMMYFUNCTION("""COMPUTED_VALUE"""),268)</f>
        <v>268</v>
      </c>
      <c r="BX140" s="30"/>
      <c r="BY140" s="30">
        <f ca="1">IFERROR(__xludf.DUMMYFUNCTION("""COMPUTED_VALUE"""),268)</f>
        <v>268</v>
      </c>
      <c r="BZ140" s="30" t="str">
        <f ca="1">IFERROR(__xludf.DUMMYFUNCTION("""COMPUTED_VALUE"""),"Guanajuato")</f>
        <v>Guanajuato</v>
      </c>
      <c r="CA140" s="30" t="str">
        <f ca="1">IFERROR(__xludf.DUMMYFUNCTION("""COMPUTED_VALUE"""),"No")</f>
        <v>No</v>
      </c>
      <c r="CB140" s="30" t="str">
        <f ca="1">IFERROR(__xludf.DUMMYFUNCTION("""COMPUTED_VALUE"""),"No")</f>
        <v>No</v>
      </c>
      <c r="CC140" s="30" t="str">
        <f ca="1">IFERROR(__xludf.DUMMYFUNCTION("""COMPUTED_VALUE"""),"c85b8116")</f>
        <v>c85b8116</v>
      </c>
      <c r="CD140" s="29" t="str">
        <f ca="1">IFERROR(__xludf.DUMMYFUNCTION("""COMPUTED_VALUE"""),"Adolescentes (13 a 17 años)")</f>
        <v>Adolescentes (13 a 17 años)</v>
      </c>
      <c r="CE140" s="30" t="str">
        <f ca="1">IFERROR(__xludf.DUMMYFUNCTION("""COMPUTED_VALUE"""),"Dato global")</f>
        <v>Dato global</v>
      </c>
      <c r="CF140" s="30" t="str">
        <f ca="1">IFERROR(__xludf.DUMMYFUNCTION("""COMPUTED_VALUE"""),"NNA (Niñas, Niños y Adolescentes)")</f>
        <v>NNA (Niñas, Niños y Adolescentes)</v>
      </c>
      <c r="CG140" s="30">
        <f ca="1">IFERROR(__xludf.DUMMYFUNCTION("""COMPUTED_VALUE"""),2)</f>
        <v>2</v>
      </c>
      <c r="CI140" s="30" t="str">
        <f ca="1">IFERROR(__xludf.DUMMYFUNCTION("""COMPUTED_VALUE"""),"aa959a9e")</f>
        <v>aa959a9e</v>
      </c>
      <c r="CJ140" s="29" t="str">
        <f ca="1">IFERROR(__xludf.DUMMYFUNCTION("""COMPUTED_VALUE"""),"Regitro_Evidencia_Files_/aa959a9e.Archivo_Evidencia.214957.pptx")</f>
        <v>Regitro_Evidencia_Files_/aa959a9e.Archivo_Evidencia.214957.pptx</v>
      </c>
      <c r="CK140" s="30" t="str">
        <f ca="1">IFERROR(__xludf.DUMMYFUNCTION("""COMPUTED_VALUE"""),"Otro tipo de archivo ")</f>
        <v xml:space="preserve">Otro tipo de archivo </v>
      </c>
      <c r="CL140" s="30"/>
      <c r="CM140" s="30" t="str">
        <f ca="1">IFERROR(__xludf.DUMMYFUNCTION("""COMPUTED_VALUE"""),"Purísima del Rincón")</f>
        <v>Purísima del Rincón</v>
      </c>
      <c r="CN140" s="32" t="e">
        <f ca="1"/>
        <v>#NAME?</v>
      </c>
      <c r="CO140" s="32" t="e">
        <f ca="1"/>
        <v>#NAME?</v>
      </c>
      <c r="CP140" s="32" t="e">
        <f ca="1"/>
        <v>#NAME?</v>
      </c>
      <c r="CQ140" s="32" t="e">
        <f ca="1"/>
        <v>#NAME?</v>
      </c>
      <c r="CR140" s="30" t="e">
        <f ca="1"/>
        <v>#NAME?</v>
      </c>
      <c r="CS140" s="30" t="str">
        <f ca="1">IFERROR(__xludf.DUMMYFUNCTION("""COMPUTED_VALUE"""),"Ninguno (Población General), Ninguno (Población General), Ninguno (Población General)")</f>
        <v>Ninguno (Población General), Ninguno (Población General), Ninguno (Población General)</v>
      </c>
    </row>
    <row r="141" spans="1:97" ht="13">
      <c r="A141" s="29" t="str">
        <f ca="1">IFERROR(__xludf.DUMMYFUNCTION("""COMPUTED_VALUE"""),"ACT-SCEV02279")</f>
        <v>ACT-SCEV02279</v>
      </c>
      <c r="B141" s="30" t="str">
        <f ca="1">IFERROR(__xludf.DUMMYFUNCTION("""COMPUTED_VALUE"""),"SC-260630-154328")</f>
        <v>SC-260630-154328</v>
      </c>
      <c r="C141" s="62">
        <f ca="1">IFERROR(__xludf.DUMMYFUNCTION("""COMPUTED_VALUE"""),46203.6551851851)</f>
        <v>46203.655185185104</v>
      </c>
      <c r="D141" s="30">
        <f ca="1">IFERROR(__xludf.DUMMYFUNCTION("""COMPUTED_VALUE"""),91)</f>
        <v>91</v>
      </c>
      <c r="E141" s="30" t="str">
        <f ca="1">IFERROR(__xludf.DUMMYFUNCTION("""COMPUTED_VALUE"""),"PB3572")</f>
        <v>PB3572</v>
      </c>
      <c r="F14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1"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41" s="30" t="str">
        <f ca="1">IFERROR(__xludf.DUMMYFUNCTION("""COMPUTED_VALUE"""),"SUBSECRETARÍA DE DESARROLLO Y PROMOCIÓN ARTÍSTICA Y CULTURAL")</f>
        <v>SUBSECRETARÍA DE DESARROLLO Y PROMOCIÓN ARTÍSTICA Y CULTURAL</v>
      </c>
      <c r="I141" s="34" t="str">
        <f ca="1">IFERROR(__xludf.DUMMYFUNCTION("""COMPUTED_VALUE"""),"DIRECCIÓN GENERAL DE MUSEOS, ARTES VISUALES Y EXPOSICIONES")</f>
        <v>DIRECCIÓN GENERAL DE MUSEOS, ARTES VISUALES Y EXPOSICIONES</v>
      </c>
      <c r="J141" s="30" t="str">
        <f ca="1">IFERROR(__xludf.DUMMYFUNCTION("""COMPUTED_VALUE"""),"Número de Exposiciones inauguradas")</f>
        <v>Número de Exposiciones inauguradas</v>
      </c>
      <c r="K141" s="30">
        <f ca="1">IFERROR(__xludf.DUMMYFUNCTION("""COMPUTED_VALUE"""),28)</f>
        <v>28</v>
      </c>
      <c r="L141" s="30" t="str">
        <f ca="1">IFERROR(__xludf.DUMMYFUNCTION("""COMPUTED_VALUE"""),"Artística")</f>
        <v>Artística</v>
      </c>
      <c r="M141" s="30" t="str">
        <f ca="1">IFERROR(__xludf.DUMMYFUNCTION("""COMPUTED_VALUE"""),"Inauguracion de la Exposición:  Poética del paisaje")</f>
        <v>Inauguracion de la Exposición:  Poética del paisaje</v>
      </c>
      <c r="N141" s="30" t="str">
        <f ca="1">IFERROR(__xludf.DUMMYFUNCTION("""COMPUTED_VALUE"""),"Apelando al poema del maestro Carlos Pellicer Cámara, la exposición Poética del Paisaje, vuelve a reunir a los ciudadanos tabasqueños con el acervo que resguarda el Museo Nacional de Arte, perteneciente a la red de museos del Instituto Nacional de Bellas "&amp;"Artes y Literatura.")</f>
        <v>Apelando al poema del maestro Carlos Pellicer Cámara, la exposición Poética del Paisaje, vuelve a reunir a los ciudadanos tabasqueños con el acervo que resguarda el Museo Nacional de Arte, perteneciente a la red de museos del Instituto Nacional de Bellas Artes y Literatura.</v>
      </c>
      <c r="O141" s="30" t="str">
        <f ca="1">IFERROR(__xludf.DUMMYFUNCTION("""COMPUTED_VALUE"""),"Única")</f>
        <v>Única</v>
      </c>
      <c r="P141" s="33">
        <f ca="1">IFERROR(__xludf.DUMMYFUNCTION("""COMPUTED_VALUE"""),46135)</f>
        <v>46135</v>
      </c>
      <c r="Q141" s="33">
        <f ca="1">IFERROR(__xludf.DUMMYFUNCTION("""COMPUTED_VALUE"""),46135)</f>
        <v>46135</v>
      </c>
      <c r="R141" s="30">
        <f ca="1">IFERROR(__xludf.DUMMYFUNCTION("""COMPUTED_VALUE"""),1)</f>
        <v>1</v>
      </c>
      <c r="S141" s="30" t="str">
        <f ca="1">IFERROR(__xludf.DUMMYFUNCTION("""COMPUTED_VALUE"""),"Artes visuales")</f>
        <v>Artes visuales</v>
      </c>
      <c r="T141" s="30" t="str">
        <f ca="1">IFERROR(__xludf.DUMMYFUNCTION("""COMPUTED_VALUE"""),"Pintura")</f>
        <v>Pintura</v>
      </c>
      <c r="U141" s="30" t="str">
        <f ca="1">IFERROR(__xludf.DUMMYFUNCTION("""COMPUTED_VALUE"""),"Exposición")</f>
        <v>Exposición</v>
      </c>
      <c r="V141" s="30" t="str">
        <f ca="1">IFERROR(__xludf.DUMMYFUNCTION("""COMPUTED_VALUE"""),"Ninguna")</f>
        <v>Ninguna</v>
      </c>
      <c r="W141" s="30" t="str">
        <f ca="1">IFERROR(__xludf.DUMMYFUNCTION("""COMPUTED_VALUE"""),"Presencial")</f>
        <v>Presencial</v>
      </c>
      <c r="X141" s="30" t="str">
        <f ca="1">IFERROR(__xludf.DUMMYFUNCTION("""COMPUTED_VALUE"""),"Espacio a Cargo de la Secretaría")</f>
        <v>Espacio a Cargo de la Secretaría</v>
      </c>
      <c r="Y141" s="30" t="str">
        <f ca="1">IFERROR(__xludf.DUMMYFUNCTION("""COMPUTED_VALUE"""),"6")</f>
        <v>6</v>
      </c>
      <c r="Z141" s="30"/>
      <c r="AA141" s="30"/>
      <c r="AB141" s="30" t="b">
        <f ca="1">IFERROR(__xludf.DUMMYFUNCTION("""COMPUTED_VALUE"""),FALSE)</f>
        <v>0</v>
      </c>
      <c r="AC141" s="30"/>
      <c r="AD141" s="30" t="b">
        <f ca="1">IFERROR(__xludf.DUMMYFUNCTION("""COMPUTED_VALUE"""),TRUE)</f>
        <v>1</v>
      </c>
      <c r="AE141" s="30">
        <f ca="1">IFERROR(__xludf.DUMMYFUNCTION("""COMPUTED_VALUE"""),2)</f>
        <v>2</v>
      </c>
      <c r="AF141" s="30" t="b">
        <f ca="1">IFERROR(__xludf.DUMMYFUNCTION("""COMPUTED_VALUE"""),FALSE)</f>
        <v>0</v>
      </c>
      <c r="AG141" s="30"/>
      <c r="AH141" s="30" t="str">
        <f ca="1">IFERROR(__xludf.DUMMYFUNCTION("""COMPUTED_VALUE"""),"Sin costo")</f>
        <v>Sin costo</v>
      </c>
      <c r="AI141" s="30"/>
      <c r="AJ141" s="30"/>
      <c r="AK141" s="30"/>
      <c r="AL141" s="30" t="str">
        <f ca="1">IFERROR(__xludf.DUMMYFUNCTION("""COMPUTED_VALUE"""),"ccardonav@guanajuato.gob.mx")</f>
        <v>ccardonav@guanajuato.gob.mx</v>
      </c>
      <c r="AM141" s="30" t="str">
        <f ca="1">IFERROR(__xludf.DUMMYFUNCTION("""COMPUTED_VALUE"""),"Creación de la Secretaría de Cultura, con una visión social de la política cultural.")</f>
        <v>Creación de la Secretaría de Cultura, con una visión social de la política cultural.</v>
      </c>
      <c r="AN141" s="30" t="str">
        <f ca="1">IFERROR(__xludf.DUMMYFUNCTION("""COMPUTED_VALUE"""),"2 Igualdad")</f>
        <v>2 Igualdad</v>
      </c>
      <c r="AO141" s="30" t="str">
        <f ca="1">IFERROR(__xludf.DUMMYFUNCTION("""COMPUTED_VALUE"""),"2.4 Reducir brechas de desigualdad")</f>
        <v>2.4 Reducir brechas de desigualdad</v>
      </c>
      <c r="AP141" s="30" t="str">
        <f ca="1">IFERROR(__xludf.DUMMYFUNCTION("""COMPUTED_VALUE"""),"2.4.3 Descentralización de la oferta cultural")</f>
        <v>2.4.3 Descentralización de la oferta cultural</v>
      </c>
      <c r="AQ141" s="30" t="str">
        <f ca="1">IFERROR(__xludf.DUMMYFUNCTION("""COMPUTED_VALUE"""),"2.4.3.3 Incidir en el involucramiento de las personas con el ecosistema cultural")</f>
        <v>2.4.3.3 Incidir en el involucramiento de las personas con el ecosistema cultural</v>
      </c>
      <c r="AR141" s="30" t="str">
        <f ca="1">IFERROR(__xludf.DUMMYFUNCTION("""COMPUTED_VALUE"""),"Ninguno")</f>
        <v>Ninguno</v>
      </c>
      <c r="AS141" s="30"/>
      <c r="AT141" s="30" t="str">
        <f ca="1">IFERROR(__xludf.DUMMYFUNCTION("""COMPUTED_VALUE"""),"Fortalecimiento de la participación ciudadana y la mediación cultural")</f>
        <v>Fortalecimiento de la participación ciudadana y la mediación cultural</v>
      </c>
      <c r="AU141" s="30" t="str">
        <f ca="1">IFERROR(__xludf.DUMMYFUNCTION("""COMPUTED_VALUE"""),"Impulso a la ampliación de la oferta cultural en los territorios.")</f>
        <v>Impulso a la ampliación de la oferta cultural en los territorios.</v>
      </c>
      <c r="AV14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41" s="30" t="str">
        <f ca="1">IFERROR(__xludf.DUMMYFUNCTION("""COMPUTED_VALUE"""),"Incrementar en 25% la oferta cultural realizada en los municipios.")</f>
        <v>Incrementar en 25% la oferta cultural realizada en los municipios.</v>
      </c>
      <c r="AX141" s="30" t="str">
        <f ca="1">IFERROR(__xludf.DUMMYFUNCTION("""COMPUTED_VALUE"""),"Exposición")</f>
        <v>Exposición</v>
      </c>
      <c r="AY141" s="30" t="str">
        <f ca="1">IFERROR(__xludf.DUMMYFUNCTION("""COMPUTED_VALUE"""),"Circulación / Exhibición")</f>
        <v>Circulación / Exhibición</v>
      </c>
      <c r="AZ141" s="30"/>
      <c r="BA141" s="30"/>
      <c r="BB141" s="30"/>
      <c r="BC141" s="30">
        <f ca="1">IFERROR(__xludf.DUMMYFUNCTION("""COMPUTED_VALUE"""),0)</f>
        <v>0</v>
      </c>
      <c r="BD141" s="30"/>
      <c r="BE141" s="30"/>
      <c r="BF141" s="30" t="b">
        <f ca="1">IFERROR(__xludf.DUMMYFUNCTION("""COMPUTED_VALUE"""),FALSE)</f>
        <v>0</v>
      </c>
      <c r="BG141" s="30"/>
      <c r="BH141" s="30"/>
      <c r="BI141" s="30"/>
      <c r="BJ141" s="30"/>
      <c r="BK141" s="30"/>
      <c r="BL141" s="30" t="str">
        <f ca="1">IFERROR(__xludf.DUMMYFUNCTION("""COMPUTED_VALUE"""),"Colaboración con el Museo Nacional de Arte")</f>
        <v>Colaboración con el Museo Nacional de Arte</v>
      </c>
      <c r="BM141" s="30" t="str">
        <f ca="1">IFERROR(__xludf.DUMMYFUNCTION("""COMPUTED_VALUE"""),"Sí")</f>
        <v>Sí</v>
      </c>
      <c r="BN141" s="30" t="str">
        <f ca="1">IFERROR(__xludf.DUMMYFUNCTION("""COMPUTED_VALUE"""),"Acompañamiento Técnico")</f>
        <v>Acompañamiento Técnico</v>
      </c>
      <c r="BO141" s="30" t="str">
        <f ca="1">IFERROR(__xludf.DUMMYFUNCTION("""COMPUTED_VALUE"""),"bc79c9f4")</f>
        <v>bc79c9f4</v>
      </c>
      <c r="BP141" s="29" t="str">
        <f ca="1">IFERROR(__xludf.DUMMYFUNCTION("""COMPUTED_VALUE"""),"Guanajuato")</f>
        <v>Guanajuato</v>
      </c>
      <c r="BQ141" s="30" t="str">
        <f ca="1">IFERROR(__xludf.DUMMYFUNCTION("""COMPUTED_VALUE"""),"Urbano")</f>
        <v>Urbano</v>
      </c>
      <c r="BR141" s="30"/>
      <c r="BS141" s="30"/>
      <c r="BT141" s="30"/>
      <c r="BU141" s="30" t="str">
        <f ca="1">IFERROR(__xludf.DUMMYFUNCTION("""COMPUTED_VALUE"""),"No")</f>
        <v>No</v>
      </c>
      <c r="BV141" s="30" t="str">
        <f ca="1">IFERROR(__xludf.DUMMYFUNCTION("""COMPUTED_VALUE"""),"No")</f>
        <v>No</v>
      </c>
      <c r="BW141" s="30">
        <f ca="1">IFERROR(__xludf.DUMMYFUNCTION("""COMPUTED_VALUE"""),103)</f>
        <v>103</v>
      </c>
      <c r="BX141" s="30"/>
      <c r="BY141" s="30">
        <f ca="1">IFERROR(__xludf.DUMMYFUNCTION("""COMPUTED_VALUE"""),103)</f>
        <v>103</v>
      </c>
      <c r="BZ141" s="30"/>
      <c r="CA141" s="30" t="str">
        <f ca="1">IFERROR(__xludf.DUMMYFUNCTION("""COMPUTED_VALUE"""),"No")</f>
        <v>No</v>
      </c>
      <c r="CB141" s="30" t="str">
        <f ca="1">IFERROR(__xludf.DUMMYFUNCTION("""COMPUTED_VALUE"""),"No")</f>
        <v>No</v>
      </c>
      <c r="CC141" s="30" t="str">
        <f ca="1">IFERROR(__xludf.DUMMYFUNCTION("""COMPUTED_VALUE"""),"20978b65")</f>
        <v>20978b65</v>
      </c>
      <c r="CD141" s="29" t="str">
        <f ca="1">IFERROR(__xludf.DUMMYFUNCTION("""COMPUTED_VALUE"""),"Adultos (30 a 59 años)")</f>
        <v>Adultos (30 a 59 años)</v>
      </c>
      <c r="CE141" s="30" t="str">
        <f ca="1">IFERROR(__xludf.DUMMYFUNCTION("""COMPUTED_VALUE"""),"Dato global")</f>
        <v>Dato global</v>
      </c>
      <c r="CF141" s="30" t="str">
        <f ca="1">IFERROR(__xludf.DUMMYFUNCTION("""COMPUTED_VALUE"""),"Ninguno (Población General)")</f>
        <v>Ninguno (Población General)</v>
      </c>
      <c r="CG141" s="30">
        <f ca="1">IFERROR(__xludf.DUMMYFUNCTION("""COMPUTED_VALUE"""),6)</f>
        <v>6</v>
      </c>
      <c r="CI141" s="30" t="str">
        <f ca="1">IFERROR(__xludf.DUMMYFUNCTION("""COMPUTED_VALUE"""),"fe90b4f6")</f>
        <v>fe90b4f6</v>
      </c>
      <c r="CJ141" s="29" t="str">
        <f ca="1">IFERROR(__xludf.DUMMYFUNCTION("""COMPUTED_VALUE"""),"Regitro_Evidencia_Files_/fe90b4f6.Archivo_Evidencia.215413.pptx")</f>
        <v>Regitro_Evidencia_Files_/fe90b4f6.Archivo_Evidencia.215413.pptx</v>
      </c>
      <c r="CK141" s="30" t="str">
        <f ca="1">IFERROR(__xludf.DUMMYFUNCTION("""COMPUTED_VALUE"""),"Otro tipo de archivo ")</f>
        <v xml:space="preserve">Otro tipo de archivo </v>
      </c>
      <c r="CL141" s="30"/>
      <c r="CM141" s="30" t="str">
        <f ca="1">IFERROR(__xludf.DUMMYFUNCTION("""COMPUTED_VALUE"""),"Guanajuato")</f>
        <v>Guanajuato</v>
      </c>
      <c r="CN141" s="32" t="e">
        <f ca="1"/>
        <v>#NAME?</v>
      </c>
      <c r="CO141" s="32" t="e">
        <f ca="1"/>
        <v>#NAME?</v>
      </c>
      <c r="CP141" s="32" t="e">
        <f ca="1"/>
        <v>#NAME?</v>
      </c>
      <c r="CQ141" s="32" t="e">
        <f ca="1"/>
        <v>#NAME?</v>
      </c>
      <c r="CR141" s="30" t="e">
        <f ca="1"/>
        <v>#NAME?</v>
      </c>
      <c r="CS141" s="30" t="str">
        <f ca="1">IFERROR(__xludf.DUMMYFUNCTION("""COMPUTED_VALUE"""),"Ninguno (Población General), Ninguno (Población General)")</f>
        <v>Ninguno (Población General), Ninguno (Población General)</v>
      </c>
    </row>
    <row r="142" spans="1:97" ht="13">
      <c r="A142" s="29" t="str">
        <f ca="1">IFERROR(__xludf.DUMMYFUNCTION("""COMPUTED_VALUE"""),"ACT-SCVU78547")</f>
        <v>ACT-SCVU78547</v>
      </c>
      <c r="B142" s="30" t="str">
        <f ca="1">IFERROR(__xludf.DUMMYFUNCTION("""COMPUTED_VALUE"""),"SC-260630-155410")</f>
        <v>SC-260630-155410</v>
      </c>
      <c r="C142" s="62">
        <f ca="1">IFERROR(__xludf.DUMMYFUNCTION("""COMPUTED_VALUE"""),46203.6626157407)</f>
        <v>46203.662615740701</v>
      </c>
      <c r="D142" s="30">
        <f ca="1">IFERROR(__xludf.DUMMYFUNCTION("""COMPUTED_VALUE"""),91)</f>
        <v>91</v>
      </c>
      <c r="E142" s="30" t="str">
        <f ca="1">IFERROR(__xludf.DUMMYFUNCTION("""COMPUTED_VALUE"""),"PB3572")</f>
        <v>PB3572</v>
      </c>
      <c r="F14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2"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42" s="30" t="str">
        <f ca="1">IFERROR(__xludf.DUMMYFUNCTION("""COMPUTED_VALUE"""),"SUBSECRETARÍA DE DESARROLLO Y PROMOCIÓN ARTÍSTICA Y CULTURAL")</f>
        <v>SUBSECRETARÍA DE DESARROLLO Y PROMOCIÓN ARTÍSTICA Y CULTURAL</v>
      </c>
      <c r="I142" s="34" t="str">
        <f ca="1">IFERROR(__xludf.DUMMYFUNCTION("""COMPUTED_VALUE"""),"DIRECCIÓN GENERAL DE MUSEOS, ARTES VISUALES Y EXPOSICIONES")</f>
        <v>DIRECCIÓN GENERAL DE MUSEOS, ARTES VISUALES Y EXPOSICIONES</v>
      </c>
      <c r="J142" s="30" t="str">
        <f ca="1">IFERROR(__xludf.DUMMYFUNCTION("""COMPUTED_VALUE"""),"Número de Exposiciones inauguradas")</f>
        <v>Número de Exposiciones inauguradas</v>
      </c>
      <c r="K142" s="30">
        <f ca="1">IFERROR(__xludf.DUMMYFUNCTION("""COMPUTED_VALUE"""),28)</f>
        <v>28</v>
      </c>
      <c r="L142" s="30" t="str">
        <f ca="1">IFERROR(__xludf.DUMMYFUNCTION("""COMPUTED_VALUE"""),"Artística")</f>
        <v>Artística</v>
      </c>
      <c r="M142" s="30" t="str">
        <f ca="1">IFERROR(__xludf.DUMMYFUNCTION("""COMPUTED_VALUE"""),"Inauguracion de la Exposición: Manuel Álvarez Bravo, los años decisivos")</f>
        <v>Inauguracion de la Exposición: Manuel Álvarez Bravo, los años decisivos</v>
      </c>
      <c r="N142" s="30" t="str">
        <f ca="1">IFERROR(__xludf.DUMMYFUNCTION("""COMPUTED_VALUE"""),"Manuel Álvarez Bravo (CDMX, 1902-2002), uno de los fundadores de la fotografía moderna mundial, es considerado de los máximos representantes de la fotografía latinoamericana del siglo XX. Su obra se extiende de finales de la década de 1920 a la de los nov"&amp;"entas. Álvarez Bravo es una figura emblemática del periodo posterior a la Revolución Mexicana conocido como Renacimiento Mexicano. Fue aquel un periodo cuya riqueza se debe a la feliz, aunque no siempre serena, coexistencia de un afán de modernización y d"&amp;"e la búsqueda de una identidad con raíces propias en que la arqueología, la historia y la etnología desempeñaron un papel relevante, de modo paralelo a las artes. Álvarez Bravo encarna ambas tendencias en el terreno de las artes plásticas.")</f>
        <v>Manuel Álvarez Bravo (CDMX, 1902-2002), uno de los fundadores de la fotografía moderna mundial, es considerado de los máximos representantes de la fotografía latinoamericana del siglo XX. Su obra se extiende de finales de la década de 1920 a la de los noventas. Álvarez Bravo es una figura emblemática del periodo posterior a la Revolución Mexicana conocido como Renacimiento Mexicano. Fue aquel un periodo cuya riqueza se debe a la feliz, aunque no siempre serena, coexistencia de un afán de modernización y de la búsqueda de una identidad con raíces propias en que la arqueología, la historia y la etnología desempeñaron un papel relevante, de modo paralelo a las artes. Álvarez Bravo encarna ambas tendencias en el terreno de las artes plásticas.</v>
      </c>
      <c r="O142" s="30" t="str">
        <f ca="1">IFERROR(__xludf.DUMMYFUNCTION("""COMPUTED_VALUE"""),"Única")</f>
        <v>Única</v>
      </c>
      <c r="P142" s="33">
        <f ca="1">IFERROR(__xludf.DUMMYFUNCTION("""COMPUTED_VALUE"""),46142)</f>
        <v>46142</v>
      </c>
      <c r="Q142" s="33">
        <f ca="1">IFERROR(__xludf.DUMMYFUNCTION("""COMPUTED_VALUE"""),46142)</f>
        <v>46142</v>
      </c>
      <c r="R142" s="30">
        <f ca="1">IFERROR(__xludf.DUMMYFUNCTION("""COMPUTED_VALUE"""),1)</f>
        <v>1</v>
      </c>
      <c r="S142" s="30" t="str">
        <f ca="1">IFERROR(__xludf.DUMMYFUNCTION("""COMPUTED_VALUE"""),"Patrimonio cultural")</f>
        <v>Patrimonio cultural</v>
      </c>
      <c r="T142" s="30" t="str">
        <f ca="1">IFERROR(__xludf.DUMMYFUNCTION("""COMPUTED_VALUE"""),"Patrimonio documental")</f>
        <v>Patrimonio documental</v>
      </c>
      <c r="U142" s="30" t="str">
        <f ca="1">IFERROR(__xludf.DUMMYFUNCTION("""COMPUTED_VALUE"""),"Exposición")</f>
        <v>Exposición</v>
      </c>
      <c r="V142" s="30" t="str">
        <f ca="1">IFERROR(__xludf.DUMMYFUNCTION("""COMPUTED_VALUE"""),"Ninguna")</f>
        <v>Ninguna</v>
      </c>
      <c r="W142" s="30" t="str">
        <f ca="1">IFERROR(__xludf.DUMMYFUNCTION("""COMPUTED_VALUE"""),"Presencial")</f>
        <v>Presencial</v>
      </c>
      <c r="X142" s="30" t="str">
        <f ca="1">IFERROR(__xludf.DUMMYFUNCTION("""COMPUTED_VALUE"""),"Espacio a Cargo de la Secretaría")</f>
        <v>Espacio a Cargo de la Secretaría</v>
      </c>
      <c r="Y142" s="30" t="str">
        <f ca="1">IFERROR(__xludf.DUMMYFUNCTION("""COMPUTED_VALUE"""),"6")</f>
        <v>6</v>
      </c>
      <c r="Z142" s="30"/>
      <c r="AA142" s="30"/>
      <c r="AB142" s="30" t="b">
        <f ca="1">IFERROR(__xludf.DUMMYFUNCTION("""COMPUTED_VALUE"""),FALSE)</f>
        <v>0</v>
      </c>
      <c r="AC142" s="30"/>
      <c r="AD142" s="30" t="b">
        <f ca="1">IFERROR(__xludf.DUMMYFUNCTION("""COMPUTED_VALUE"""),TRUE)</f>
        <v>1</v>
      </c>
      <c r="AE142" s="30">
        <f ca="1">IFERROR(__xludf.DUMMYFUNCTION("""COMPUTED_VALUE"""),2)</f>
        <v>2</v>
      </c>
      <c r="AF142" s="30" t="b">
        <f ca="1">IFERROR(__xludf.DUMMYFUNCTION("""COMPUTED_VALUE"""),FALSE)</f>
        <v>0</v>
      </c>
      <c r="AG142" s="30"/>
      <c r="AH142" s="30" t="str">
        <f ca="1">IFERROR(__xludf.DUMMYFUNCTION("""COMPUTED_VALUE"""),"Sin costo")</f>
        <v>Sin costo</v>
      </c>
      <c r="AI142" s="30"/>
      <c r="AJ142" s="30"/>
      <c r="AK142" s="30"/>
      <c r="AL142" s="30" t="str">
        <f ca="1">IFERROR(__xludf.DUMMYFUNCTION("""COMPUTED_VALUE"""),"ccardonav@guanajuato.gob.mx")</f>
        <v>ccardonav@guanajuato.gob.mx</v>
      </c>
      <c r="AM142" s="30" t="str">
        <f ca="1">IFERROR(__xludf.DUMMYFUNCTION("""COMPUTED_VALUE"""),"Creación de la Secretaría de Cultura, con una visión social de la política cultural.")</f>
        <v>Creación de la Secretaría de Cultura, con una visión social de la política cultural.</v>
      </c>
      <c r="AN142" s="30" t="str">
        <f ca="1">IFERROR(__xludf.DUMMYFUNCTION("""COMPUTED_VALUE"""),"2 Igualdad")</f>
        <v>2 Igualdad</v>
      </c>
      <c r="AO142" s="30" t="str">
        <f ca="1">IFERROR(__xludf.DUMMYFUNCTION("""COMPUTED_VALUE"""),"2.4 Reducir brechas de desigualdad")</f>
        <v>2.4 Reducir brechas de desigualdad</v>
      </c>
      <c r="AP142" s="30" t="str">
        <f ca="1">IFERROR(__xludf.DUMMYFUNCTION("""COMPUTED_VALUE"""),"2.4.3 Descentralización de la oferta cultural")</f>
        <v>2.4.3 Descentralización de la oferta cultural</v>
      </c>
      <c r="AQ142" s="30" t="str">
        <f ca="1">IFERROR(__xludf.DUMMYFUNCTION("""COMPUTED_VALUE"""),"2.4.3.3 Incidir en el involucramiento de las personas con el ecosistema cultural")</f>
        <v>2.4.3.3 Incidir en el involucramiento de las personas con el ecosistema cultural</v>
      </c>
      <c r="AR142" s="30" t="str">
        <f ca="1">IFERROR(__xludf.DUMMYFUNCTION("""COMPUTED_VALUE"""),"Ninguno")</f>
        <v>Ninguno</v>
      </c>
      <c r="AS142" s="30"/>
      <c r="AT142" s="30" t="str">
        <f ca="1">IFERROR(__xludf.DUMMYFUNCTION("""COMPUTED_VALUE"""),"Fortalecimiento de la participación ciudadana y la mediación cultural")</f>
        <v>Fortalecimiento de la participación ciudadana y la mediación cultural</v>
      </c>
      <c r="AU142" s="30" t="str">
        <f ca="1">IFERROR(__xludf.DUMMYFUNCTION("""COMPUTED_VALUE"""),"Impulso a la ampliación de la oferta cultural en los territorios.")</f>
        <v>Impulso a la ampliación de la oferta cultural en los territorios.</v>
      </c>
      <c r="AV14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42" s="30" t="str">
        <f ca="1">IFERROR(__xludf.DUMMYFUNCTION("""COMPUTED_VALUE"""),"Incrementar en 25% la oferta cultural realizada en los municipios.")</f>
        <v>Incrementar en 25% la oferta cultural realizada en los municipios.</v>
      </c>
      <c r="AX142" s="30" t="str">
        <f ca="1">IFERROR(__xludf.DUMMYFUNCTION("""COMPUTED_VALUE"""),"Exposición")</f>
        <v>Exposición</v>
      </c>
      <c r="AY142" s="30" t="str">
        <f ca="1">IFERROR(__xludf.DUMMYFUNCTION("""COMPUTED_VALUE"""),"Circulación / Exhibición")</f>
        <v>Circulación / Exhibición</v>
      </c>
      <c r="AZ142" s="30"/>
      <c r="BA142" s="30"/>
      <c r="BB142" s="30"/>
      <c r="BC142" s="30">
        <f ca="1">IFERROR(__xludf.DUMMYFUNCTION("""COMPUTED_VALUE"""),0)</f>
        <v>0</v>
      </c>
      <c r="BD142" s="30"/>
      <c r="BE142" s="30"/>
      <c r="BF142" s="30" t="b">
        <f ca="1">IFERROR(__xludf.DUMMYFUNCTION("""COMPUTED_VALUE"""),FALSE)</f>
        <v>0</v>
      </c>
      <c r="BG142" s="30"/>
      <c r="BH142" s="30"/>
      <c r="BI142" s="30"/>
      <c r="BJ142" s="30"/>
      <c r="BK142" s="30"/>
      <c r="BL142" s="30" t="str">
        <f ca="1">IFERROR(__xludf.DUMMYFUNCTION("""COMPUTED_VALUE"""),"Colaboración con el Archivo Manuel Álvarez Bravo")</f>
        <v>Colaboración con el Archivo Manuel Álvarez Bravo</v>
      </c>
      <c r="BM142" s="30" t="str">
        <f ca="1">IFERROR(__xludf.DUMMYFUNCTION("""COMPUTED_VALUE"""),"Sí")</f>
        <v>Sí</v>
      </c>
      <c r="BN142" s="30" t="str">
        <f ca="1">IFERROR(__xludf.DUMMYFUNCTION("""COMPUTED_VALUE"""),"Acompañamiento Técnico")</f>
        <v>Acompañamiento Técnico</v>
      </c>
      <c r="BO142" s="30" t="str">
        <f ca="1">IFERROR(__xludf.DUMMYFUNCTION("""COMPUTED_VALUE"""),"edafee0a")</f>
        <v>edafee0a</v>
      </c>
      <c r="BP142" s="29" t="str">
        <f ca="1">IFERROR(__xludf.DUMMYFUNCTION("""COMPUTED_VALUE"""),"Purísima del Rincón")</f>
        <v>Purísima del Rincón</v>
      </c>
      <c r="BQ142" s="30" t="str">
        <f ca="1">IFERROR(__xludf.DUMMYFUNCTION("""COMPUTED_VALUE"""),"Urbano")</f>
        <v>Urbano</v>
      </c>
      <c r="BR142" s="30">
        <f ca="1">IFERROR(__xludf.DUMMYFUNCTION("""COMPUTED_VALUE"""),171)</f>
        <v>171</v>
      </c>
      <c r="BS142" s="30" t="str">
        <f ca="1">IFERROR(__xludf.DUMMYFUNCTION("""COMPUTED_VALUE"""),"Purísima")</f>
        <v>Purísima</v>
      </c>
      <c r="BT142" s="30"/>
      <c r="BU142" s="30" t="str">
        <f ca="1">IFERROR(__xludf.DUMMYFUNCTION("""COMPUTED_VALUE"""),"Si")</f>
        <v>Si</v>
      </c>
      <c r="BV142" s="30" t="str">
        <f ca="1">IFERROR(__xludf.DUMMYFUNCTION("""COMPUTED_VALUE"""),"No")</f>
        <v>No</v>
      </c>
      <c r="BW142" s="30">
        <f ca="1">IFERROR(__xludf.DUMMYFUNCTION("""COMPUTED_VALUE"""),23)</f>
        <v>23</v>
      </c>
      <c r="BX142" s="30">
        <f ca="1">IFERROR(__xludf.DUMMYFUNCTION("""COMPUTED_VALUE"""),23)</f>
        <v>23</v>
      </c>
      <c r="BY142" s="30">
        <f ca="1">IFERROR(__xludf.DUMMYFUNCTION("""COMPUTED_VALUE"""),0)</f>
        <v>0</v>
      </c>
      <c r="BZ142" s="30" t="str">
        <f ca="1">IFERROR(__xludf.DUMMYFUNCTION("""COMPUTED_VALUE"""),"Purísima")</f>
        <v>Purísima</v>
      </c>
      <c r="CA142" s="30" t="str">
        <f ca="1">IFERROR(__xludf.DUMMYFUNCTION("""COMPUTED_VALUE"""),"No")</f>
        <v>No</v>
      </c>
      <c r="CB142" s="30" t="str">
        <f ca="1">IFERROR(__xludf.DUMMYFUNCTION("""COMPUTED_VALUE"""),"No")</f>
        <v>No</v>
      </c>
      <c r="CC142" s="30" t="str">
        <f ca="1">IFERROR(__xludf.DUMMYFUNCTION("""COMPUTED_VALUE"""),"a03a9722")</f>
        <v>a03a9722</v>
      </c>
      <c r="CD142" s="29" t="str">
        <f ca="1">IFERROR(__xludf.DUMMYFUNCTION("""COMPUTED_VALUE"""),"Adultos Mayores (60 años o más)")</f>
        <v>Adultos Mayores (60 años o más)</v>
      </c>
      <c r="CE142" s="30" t="str">
        <f ca="1">IFERROR(__xludf.DUMMYFUNCTION("""COMPUTED_VALUE"""),"Dato global")</f>
        <v>Dato global</v>
      </c>
      <c r="CF142" s="30" t="str">
        <f ca="1">IFERROR(__xludf.DUMMYFUNCTION("""COMPUTED_VALUE"""),"Ninguno (Población General)")</f>
        <v>Ninguno (Población General)</v>
      </c>
      <c r="CG142" s="30">
        <f ca="1">IFERROR(__xludf.DUMMYFUNCTION("""COMPUTED_VALUE"""),4)</f>
        <v>4</v>
      </c>
      <c r="CI142" s="30" t="str">
        <f ca="1">IFERROR(__xludf.DUMMYFUNCTION("""COMPUTED_VALUE"""),"33f2fecc")</f>
        <v>33f2fecc</v>
      </c>
      <c r="CJ142" s="29" t="str">
        <f ca="1">IFERROR(__xludf.DUMMYFUNCTION("""COMPUTED_VALUE"""),"Regitro_Evidencia_Files_/33f2fecc.Archivo_Evidencia.215901.pptx")</f>
        <v>Regitro_Evidencia_Files_/33f2fecc.Archivo_Evidencia.215901.pptx</v>
      </c>
      <c r="CK142" s="30" t="str">
        <f ca="1">IFERROR(__xludf.DUMMYFUNCTION("""COMPUTED_VALUE"""),"Otro tipo de archivo ")</f>
        <v xml:space="preserve">Otro tipo de archivo </v>
      </c>
      <c r="CL142" s="30"/>
      <c r="CM142" s="30" t="str">
        <f ca="1">IFERROR(__xludf.DUMMYFUNCTION("""COMPUTED_VALUE"""),"León")</f>
        <v>León</v>
      </c>
      <c r="CN142" s="32" t="e">
        <f ca="1"/>
        <v>#NAME?</v>
      </c>
      <c r="CO142" s="32" t="e">
        <f ca="1"/>
        <v>#NAME?</v>
      </c>
      <c r="CP142" s="32" t="e">
        <f ca="1"/>
        <v>#NAME?</v>
      </c>
      <c r="CQ142" s="32" t="e">
        <f ca="1"/>
        <v>#NAME?</v>
      </c>
      <c r="CR142" s="30" t="e">
        <f ca="1"/>
        <v>#NAME?</v>
      </c>
      <c r="CS142" s="30" t="str">
        <f ca="1">IFERROR(__xludf.DUMMYFUNCTION("""COMPUTED_VALUE"""),"Comunidad LGBTIQ+")</f>
        <v>Comunidad LGBTIQ+</v>
      </c>
    </row>
    <row r="143" spans="1:97" ht="13">
      <c r="A143" s="29" t="str">
        <f ca="1">IFERROR(__xludf.DUMMYFUNCTION("""COMPUTED_VALUE"""),"ACT-SCIE43011")</f>
        <v>ACT-SCIE43011</v>
      </c>
      <c r="B143" s="30" t="str">
        <f ca="1">IFERROR(__xludf.DUMMYFUNCTION("""COMPUTED_VALUE"""),"SC-260630-161617")</f>
        <v>SC-260630-161617</v>
      </c>
      <c r="C143" s="62">
        <f ca="1">IFERROR(__xludf.DUMMYFUNCTION("""COMPUTED_VALUE"""),46203.677974537)</f>
        <v>46203.677974537</v>
      </c>
      <c r="D143" s="30">
        <f ca="1">IFERROR(__xludf.DUMMYFUNCTION("""COMPUTED_VALUE"""),91)</f>
        <v>91</v>
      </c>
      <c r="E143" s="30" t="str">
        <f ca="1">IFERROR(__xludf.DUMMYFUNCTION("""COMPUTED_VALUE"""),"PB3572")</f>
        <v>PB3572</v>
      </c>
      <c r="F14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3"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43" s="30" t="str">
        <f ca="1">IFERROR(__xludf.DUMMYFUNCTION("""COMPUTED_VALUE"""),"SUBSECRETARÍA DE DESARROLLO Y PROMOCIÓN ARTÍSTICA Y CULTURAL")</f>
        <v>SUBSECRETARÍA DE DESARROLLO Y PROMOCIÓN ARTÍSTICA Y CULTURAL</v>
      </c>
      <c r="I143" s="34" t="str">
        <f ca="1">IFERROR(__xludf.DUMMYFUNCTION("""COMPUTED_VALUE"""),"DIRECCIÓN GENERAL DE MUSEOS, ARTES VISUALES Y EXPOSICIONES")</f>
        <v>DIRECCIÓN GENERAL DE MUSEOS, ARTES VISUALES Y EXPOSICIONES</v>
      </c>
      <c r="J143" s="30" t="str">
        <f ca="1">IFERROR(__xludf.DUMMYFUNCTION("""COMPUTED_VALUE"""),"Número de Exposiciones inauguradas")</f>
        <v>Número de Exposiciones inauguradas</v>
      </c>
      <c r="K143" s="30">
        <f ca="1">IFERROR(__xludf.DUMMYFUNCTION("""COMPUTED_VALUE"""),28)</f>
        <v>28</v>
      </c>
      <c r="L143" s="30" t="str">
        <f ca="1">IFERROR(__xludf.DUMMYFUNCTION("""COMPUTED_VALUE"""),"Artística")</f>
        <v>Artística</v>
      </c>
      <c r="M143" s="30" t="str">
        <f ca="1">IFERROR(__xludf.DUMMYFUNCTION("""COMPUTED_VALUE"""),"Inauguracion de la Exposición: ¡Moda hoy! Diseño latinoamericanx y latinx contemporáneo")</f>
        <v>Inauguracion de la Exposición: ¡Moda hoy! Diseño latinoamericanx y latinx contemporáneo</v>
      </c>
      <c r="N143" s="30" t="str">
        <f ca="1">IFERROR(__xludf.DUMMYFUNCTION("""COMPUTED_VALUE"""),"¡Moda hoy! Diseño Latinoamericanx y latinx contemporáneo, es una exposición que reúne el talento de diseñadorxs latinxs que han marcado a la industria global con propuestas audaces, identitarias y llenas de historia. Creada por el Fashion Institute of Tec"&amp;"hnology (FIT) y en colaboración con el Museo Franz Mayer y la Secretaría de Cultura del Estado de Guanajuato, esta muestra explora la moda como herramienta de expresión, resistencia y afirmación cultural. Conformada por piezas emblemáticas y narrativas co"&amp;"ntemporáneas, como ejemplo de la creatividad latinoamericana que sigue expandiendo sus fronteras.")</f>
        <v>¡Moda hoy! Diseño Latinoamericanx y latinx contemporáneo, es una exposición que reúne el talento de diseñadorxs latinxs que han marcado a la industria global con propuestas audaces, identitarias y llenas de historia. Creada por el Fashion Institute of Technology (FIT) y en colaboración con el Museo Franz Mayer y la Secretaría de Cultura del Estado de Guanajuato, esta muestra explora la moda como herramienta de expresión, resistencia y afirmación cultural. Conformada por piezas emblemáticas y narrativas contemporáneas, como ejemplo de la creatividad latinoamericana que sigue expandiendo sus fronteras.</v>
      </c>
      <c r="O143" s="30" t="str">
        <f ca="1">IFERROR(__xludf.DUMMYFUNCTION("""COMPUTED_VALUE"""),"Única")</f>
        <v>Única</v>
      </c>
      <c r="P143" s="33">
        <f ca="1">IFERROR(__xludf.DUMMYFUNCTION("""COMPUTED_VALUE"""),46163)</f>
        <v>46163</v>
      </c>
      <c r="Q143" s="33">
        <f ca="1">IFERROR(__xludf.DUMMYFUNCTION("""COMPUTED_VALUE"""),46163)</f>
        <v>46163</v>
      </c>
      <c r="R143" s="30">
        <f ca="1">IFERROR(__xludf.DUMMYFUNCTION("""COMPUTED_VALUE"""),1)</f>
        <v>1</v>
      </c>
      <c r="S143" s="30" t="str">
        <f ca="1">IFERROR(__xludf.DUMMYFUNCTION("""COMPUTED_VALUE"""),"Economía creativa")</f>
        <v>Economía creativa</v>
      </c>
      <c r="T143" s="30" t="str">
        <f ca="1">IFERROR(__xludf.DUMMYFUNCTION("""COMPUTED_VALUE"""),"Moda")</f>
        <v>Moda</v>
      </c>
      <c r="U143" s="30" t="str">
        <f ca="1">IFERROR(__xludf.DUMMYFUNCTION("""COMPUTED_VALUE"""),"Exposición")</f>
        <v>Exposición</v>
      </c>
      <c r="V143" s="30" t="str">
        <f ca="1">IFERROR(__xludf.DUMMYFUNCTION("""COMPUTED_VALUE"""),"Ninguna")</f>
        <v>Ninguna</v>
      </c>
      <c r="W143" s="30" t="str">
        <f ca="1">IFERROR(__xludf.DUMMYFUNCTION("""COMPUTED_VALUE"""),"Presencial")</f>
        <v>Presencial</v>
      </c>
      <c r="X143" s="30" t="str">
        <f ca="1">IFERROR(__xludf.DUMMYFUNCTION("""COMPUTED_VALUE"""),"Espacio a Cargo de la Secretaría")</f>
        <v>Espacio a Cargo de la Secretaría</v>
      </c>
      <c r="Y143" s="30" t="str">
        <f ca="1">IFERROR(__xludf.DUMMYFUNCTION("""COMPUTED_VALUE"""),"2")</f>
        <v>2</v>
      </c>
      <c r="Z143" s="30"/>
      <c r="AA143" s="30"/>
      <c r="AB143" s="30" t="b">
        <f ca="1">IFERROR(__xludf.DUMMYFUNCTION("""COMPUTED_VALUE"""),FALSE)</f>
        <v>0</v>
      </c>
      <c r="AC143" s="30"/>
      <c r="AD143" s="30" t="b">
        <f ca="1">IFERROR(__xludf.DUMMYFUNCTION("""COMPUTED_VALUE"""),TRUE)</f>
        <v>1</v>
      </c>
      <c r="AE143" s="30">
        <f ca="1">IFERROR(__xludf.DUMMYFUNCTION("""COMPUTED_VALUE"""),39)</f>
        <v>39</v>
      </c>
      <c r="AF143" s="30" t="b">
        <f ca="1">IFERROR(__xludf.DUMMYFUNCTION("""COMPUTED_VALUE"""),FALSE)</f>
        <v>0</v>
      </c>
      <c r="AG143" s="30"/>
      <c r="AH143" s="30" t="str">
        <f ca="1">IFERROR(__xludf.DUMMYFUNCTION("""COMPUTED_VALUE"""),"Sin costo")</f>
        <v>Sin costo</v>
      </c>
      <c r="AI143" s="30"/>
      <c r="AJ143" s="30"/>
      <c r="AK143" s="30"/>
      <c r="AL143" s="30" t="str">
        <f ca="1">IFERROR(__xludf.DUMMYFUNCTION("""COMPUTED_VALUE"""),"ccardonav@guanajuato.gob.mx")</f>
        <v>ccardonav@guanajuato.gob.mx</v>
      </c>
      <c r="AM143" s="30" t="str">
        <f ca="1">IFERROR(__xludf.DUMMYFUNCTION("""COMPUTED_VALUE"""),"Creación de la Secretaría de Cultura, con una visión social de la política cultural.")</f>
        <v>Creación de la Secretaría de Cultura, con una visión social de la política cultural.</v>
      </c>
      <c r="AN143" s="30" t="str">
        <f ca="1">IFERROR(__xludf.DUMMYFUNCTION("""COMPUTED_VALUE"""),"2 Igualdad")</f>
        <v>2 Igualdad</v>
      </c>
      <c r="AO143" s="30" t="str">
        <f ca="1">IFERROR(__xludf.DUMMYFUNCTION("""COMPUTED_VALUE"""),"2.4 Reducir brechas de desigualdad")</f>
        <v>2.4 Reducir brechas de desigualdad</v>
      </c>
      <c r="AP143" s="30" t="str">
        <f ca="1">IFERROR(__xludf.DUMMYFUNCTION("""COMPUTED_VALUE"""),"2.4.3 Descentralización de la oferta cultural")</f>
        <v>2.4.3 Descentralización de la oferta cultural</v>
      </c>
      <c r="AQ143" s="30" t="str">
        <f ca="1">IFERROR(__xludf.DUMMYFUNCTION("""COMPUTED_VALUE"""),"2.4.3.3 Incidir en el involucramiento de las personas con el ecosistema cultural")</f>
        <v>2.4.3.3 Incidir en el involucramiento de las personas con el ecosistema cultural</v>
      </c>
      <c r="AR143" s="30" t="str">
        <f ca="1">IFERROR(__xludf.DUMMYFUNCTION("""COMPUTED_VALUE"""),"Ninguno")</f>
        <v>Ninguno</v>
      </c>
      <c r="AS143" s="30"/>
      <c r="AT143" s="30" t="str">
        <f ca="1">IFERROR(__xludf.DUMMYFUNCTION("""COMPUTED_VALUE"""),"Fortalecimiento de la participación ciudadana y la mediación cultural")</f>
        <v>Fortalecimiento de la participación ciudadana y la mediación cultural</v>
      </c>
      <c r="AU143" s="30" t="str">
        <f ca="1">IFERROR(__xludf.DUMMYFUNCTION("""COMPUTED_VALUE"""),"Impulso a la ampliación de la oferta cultural en los territorios.")</f>
        <v>Impulso a la ampliación de la oferta cultural en los territorios.</v>
      </c>
      <c r="AV14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43" s="30" t="str">
        <f ca="1">IFERROR(__xludf.DUMMYFUNCTION("""COMPUTED_VALUE"""),"Incrementar en 25% la oferta cultural realizada en los municipios.")</f>
        <v>Incrementar en 25% la oferta cultural realizada en los municipios.</v>
      </c>
      <c r="AX143" s="30" t="str">
        <f ca="1">IFERROR(__xludf.DUMMYFUNCTION("""COMPUTED_VALUE"""),"Exposición")</f>
        <v>Exposición</v>
      </c>
      <c r="AY143" s="30" t="str">
        <f ca="1">IFERROR(__xludf.DUMMYFUNCTION("""COMPUTED_VALUE"""),"Circulación / Exhibición")</f>
        <v>Circulación / Exhibición</v>
      </c>
      <c r="AZ143" s="30"/>
      <c r="BA143" s="30"/>
      <c r="BB143" s="30"/>
      <c r="BC143" s="30">
        <f ca="1">IFERROR(__xludf.DUMMYFUNCTION("""COMPUTED_VALUE"""),0)</f>
        <v>0</v>
      </c>
      <c r="BD143" s="30"/>
      <c r="BE143" s="30"/>
      <c r="BF143" s="30" t="b">
        <f ca="1">IFERROR(__xludf.DUMMYFUNCTION("""COMPUTED_VALUE"""),FALSE)</f>
        <v>0</v>
      </c>
      <c r="BG143" s="30"/>
      <c r="BH143" s="30"/>
      <c r="BI143" s="30"/>
      <c r="BJ143" s="30"/>
      <c r="BK143" s="30"/>
      <c r="BL143" s="30" t="str">
        <f ca="1">IFERROR(__xludf.DUMMYFUNCTION("""COMPUTED_VALUE"""),"Museo del Instituto Tecnológico de la Moda de Nueva York, Museo Franz Mayer")</f>
        <v>Museo del Instituto Tecnológico de la Moda de Nueva York, Museo Franz Mayer</v>
      </c>
      <c r="BM143" s="30" t="str">
        <f ca="1">IFERROR(__xludf.DUMMYFUNCTION("""COMPUTED_VALUE"""),"Sí")</f>
        <v>Sí</v>
      </c>
      <c r="BN143" s="30" t="str">
        <f ca="1">IFERROR(__xludf.DUMMYFUNCTION("""COMPUTED_VALUE"""),"Acompañamiento Técnico")</f>
        <v>Acompañamiento Técnico</v>
      </c>
      <c r="BO143" s="30" t="str">
        <f ca="1">IFERROR(__xludf.DUMMYFUNCTION("""COMPUTED_VALUE"""),"32300ea8")</f>
        <v>32300ea8</v>
      </c>
      <c r="BP143" s="29" t="str">
        <f ca="1">IFERROR(__xludf.DUMMYFUNCTION("""COMPUTED_VALUE"""),"Guanajuato")</f>
        <v>Guanajuato</v>
      </c>
      <c r="BQ143" s="30" t="str">
        <f ca="1">IFERROR(__xludf.DUMMYFUNCTION("""COMPUTED_VALUE"""),"Urbano")</f>
        <v>Urbano</v>
      </c>
      <c r="BR143" s="30">
        <f ca="1">IFERROR(__xludf.DUMMYFUNCTION("""COMPUTED_VALUE"""),49)</f>
        <v>49</v>
      </c>
      <c r="BS143" s="30" t="str">
        <f ca="1">IFERROR(__xludf.DUMMYFUNCTION("""COMPUTED_VALUE"""),"Guanajuato")</f>
        <v>Guanajuato</v>
      </c>
      <c r="BT143" s="30"/>
      <c r="BU143" s="30" t="str">
        <f ca="1">IFERROR(__xludf.DUMMYFUNCTION("""COMPUTED_VALUE"""),"Si")</f>
        <v>Si</v>
      </c>
      <c r="BV143" s="30" t="str">
        <f ca="1">IFERROR(__xludf.DUMMYFUNCTION("""COMPUTED_VALUE"""),"Si")</f>
        <v>Si</v>
      </c>
      <c r="BW143" s="30">
        <f ca="1">IFERROR(__xludf.DUMMYFUNCTION("""COMPUTED_VALUE"""),60)</f>
        <v>60</v>
      </c>
      <c r="BX143" s="30"/>
      <c r="BY143" s="30">
        <f ca="1">IFERROR(__xludf.DUMMYFUNCTION("""COMPUTED_VALUE"""),60)</f>
        <v>60</v>
      </c>
      <c r="BZ143" s="30" t="str">
        <f ca="1">IFERROR(__xludf.DUMMYFUNCTION("""COMPUTED_VALUE"""),"Guanajuato")</f>
        <v>Guanajuato</v>
      </c>
      <c r="CA143" s="30" t="str">
        <f ca="1">IFERROR(__xludf.DUMMYFUNCTION("""COMPUTED_VALUE"""),"No")</f>
        <v>No</v>
      </c>
      <c r="CB143" s="30" t="str">
        <f ca="1">IFERROR(__xludf.DUMMYFUNCTION("""COMPUTED_VALUE"""),"No")</f>
        <v>No</v>
      </c>
      <c r="CC143" s="30" t="str">
        <f ca="1">IFERROR(__xludf.DUMMYFUNCTION("""COMPUTED_VALUE"""),"082b7a12")</f>
        <v>082b7a12</v>
      </c>
      <c r="CD143" s="29" t="str">
        <f ca="1">IFERROR(__xludf.DUMMYFUNCTION("""COMPUTED_VALUE"""),"Jóvenes (18 a 29 años)")</f>
        <v>Jóvenes (18 a 29 años)</v>
      </c>
      <c r="CE143" s="30" t="str">
        <f ca="1">IFERROR(__xludf.DUMMYFUNCTION("""COMPUTED_VALUE"""),"Dato global")</f>
        <v>Dato global</v>
      </c>
      <c r="CF143" s="30" t="str">
        <f ca="1">IFERROR(__xludf.DUMMYFUNCTION("""COMPUTED_VALUE"""),"Ninguno (Población General)")</f>
        <v>Ninguno (Población General)</v>
      </c>
      <c r="CG143" s="30">
        <f ca="1">IFERROR(__xludf.DUMMYFUNCTION("""COMPUTED_VALUE"""),5)</f>
        <v>5</v>
      </c>
      <c r="CI143" s="30" t="str">
        <f ca="1">IFERROR(__xludf.DUMMYFUNCTION("""COMPUTED_VALUE"""),"77832eed")</f>
        <v>77832eed</v>
      </c>
      <c r="CJ143" s="29" t="str">
        <f ca="1">IFERROR(__xludf.DUMMYFUNCTION("""COMPUTED_VALUE"""),"Regitro_Evidencia_Files_/77832eed.Archivo_Evidencia.220243.pptx")</f>
        <v>Regitro_Evidencia_Files_/77832eed.Archivo_Evidencia.220243.pptx</v>
      </c>
      <c r="CK143" s="30" t="str">
        <f ca="1">IFERROR(__xludf.DUMMYFUNCTION("""COMPUTED_VALUE"""),"Otro tipo de archivo ")</f>
        <v xml:space="preserve">Otro tipo de archivo </v>
      </c>
      <c r="CL143" s="30"/>
      <c r="CM143" s="30" t="str">
        <f ca="1">IFERROR(__xludf.DUMMYFUNCTION("""COMPUTED_VALUE"""),"León")</f>
        <v>León</v>
      </c>
      <c r="CN143" s="32" t="e">
        <f ca="1"/>
        <v>#NAME?</v>
      </c>
      <c r="CO143" s="32" t="e">
        <f ca="1"/>
        <v>#NAME?</v>
      </c>
      <c r="CP143" s="32" t="e">
        <f ca="1"/>
        <v>#NAME?</v>
      </c>
      <c r="CQ143" s="32" t="e">
        <f ca="1"/>
        <v>#NAME?</v>
      </c>
      <c r="CR143" s="30" t="e">
        <f ca="1"/>
        <v>#NAME?</v>
      </c>
      <c r="CS143" s="30" t="str">
        <f ca="1">IFERROR(__xludf.DUMMYFUNCTION("""COMPUTED_VALUE"""),"Comunidad LGBTIQ+")</f>
        <v>Comunidad LGBTIQ+</v>
      </c>
    </row>
    <row r="144" spans="1:97" ht="13">
      <c r="A144" s="29" t="str">
        <f ca="1">IFERROR(__xludf.DUMMYFUNCTION("""COMPUTED_VALUE"""),"ACT-SCSC42201")</f>
        <v>ACT-SCSC42201</v>
      </c>
      <c r="B144" s="30" t="str">
        <f ca="1">IFERROR(__xludf.DUMMYFUNCTION("""COMPUTED_VALUE"""),"SC-260630-165433")</f>
        <v>SC-260630-165433</v>
      </c>
      <c r="C144" s="62">
        <f ca="1">IFERROR(__xludf.DUMMYFUNCTION("""COMPUTED_VALUE"""),46203.7045486111)</f>
        <v>46203.704548611102</v>
      </c>
      <c r="D144" s="30">
        <f ca="1">IFERROR(__xludf.DUMMYFUNCTION("""COMPUTED_VALUE"""),91)</f>
        <v>91</v>
      </c>
      <c r="E144" s="30" t="str">
        <f ca="1">IFERROR(__xludf.DUMMYFUNCTION("""COMPUTED_VALUE"""),"PB3572")</f>
        <v>PB3572</v>
      </c>
      <c r="F14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4"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44" s="30" t="str">
        <f ca="1">IFERROR(__xludf.DUMMYFUNCTION("""COMPUTED_VALUE"""),"SUBSECRETARÍA DE DESARROLLO Y PROMOCIÓN ARTÍSTICA Y CULTURAL")</f>
        <v>SUBSECRETARÍA DE DESARROLLO Y PROMOCIÓN ARTÍSTICA Y CULTURAL</v>
      </c>
      <c r="I144" s="34" t="str">
        <f ca="1">IFERROR(__xludf.DUMMYFUNCTION("""COMPUTED_VALUE"""),"DIRECCIÓN GENERAL DE MUSEOS, ARTES VISUALES Y EXPOSICIONES")</f>
        <v>DIRECCIÓN GENERAL DE MUSEOS, ARTES VISUALES Y EXPOSICIONES</v>
      </c>
      <c r="J144" s="30" t="str">
        <f ca="1">IFERROR(__xludf.DUMMYFUNCTION("""COMPUTED_VALUE"""),"Número de Exposiciones inauguradas")</f>
        <v>Número de Exposiciones inauguradas</v>
      </c>
      <c r="K144" s="30">
        <f ca="1">IFERROR(__xludf.DUMMYFUNCTION("""COMPUTED_VALUE"""),28)</f>
        <v>28</v>
      </c>
      <c r="L144" s="30" t="str">
        <f ca="1">IFERROR(__xludf.DUMMYFUNCTION("""COMPUTED_VALUE"""),"Cultural")</f>
        <v>Cultural</v>
      </c>
      <c r="M144" s="30" t="str">
        <f ca="1">IFERROR(__xludf.DUMMYFUNCTION("""COMPUTED_VALUE"""),"Inauguracion de la Exposición: Eterno femenino. El ser mujer en la Bella Época")</f>
        <v>Inauguracion de la Exposición: Eterno femenino. El ser mujer en la Bella Época</v>
      </c>
      <c r="N144" s="30" t="str">
        <f ca="1">IFERROR(__xludf.DUMMYFUNCTION("""COMPUTED_VALUE"""),"La presente exposición creada por el Archivo General del Estado de Guanajuato, aborda el perfil ideal que se esperaba de las mujeres en el mundo occidental durante la llamada Bella Época, que abarca un período que va de 1870 a 1914 aproximadamente y fue c"&amp;"onstruida a partir de tomar diversas imágenes y textos de artículos de prensa que fueron publicados en dos revistas, que aunque eran de origen español, fueron leídas y tuvieron gran influencia en el público lector mexicano, sobre todo el femenino, pertene"&amp;"ciente en su mayoría a las clases media y alta de la sociedad de ese tiempo y que fueron “La Ilustración Ibérica” y “La Ilustración Artística”, los grabados y sus artículos, junto con algunos objetos de época que les dan contexto, nos permitirán con esta "&amp;"muestra saber un poco más acerca de quiénes eran las mujeres de ese entonces y descubrir que parte de la esencia de su ser pervive en cada uno de nosotros hoy en día.")</f>
        <v>La presente exposición creada por el Archivo General del Estado de Guanajuato, aborda el perfil ideal que se esperaba de las mujeres en el mundo occidental durante la llamada Bella Época, que abarca un período que va de 1870 a 1914 aproximadamente y fue construida a partir de tomar diversas imágenes y textos de artículos de prensa que fueron publicados en dos revistas, que aunque eran de origen español, fueron leídas y tuvieron gran influencia en el público lector mexicano, sobre todo el femenino, perteneciente en su mayoría a las clases media y alta de la sociedad de ese tiempo y que fueron “La Ilustración Ibérica” y “La Ilustración Artística”, los grabados y sus artículos, junto con algunos objetos de época que les dan contexto, nos permitirán con esta muestra saber un poco más acerca de quiénes eran las mujeres de ese entonces y descubrir que parte de la esencia de su ser pervive en cada uno de nosotros hoy en día.</v>
      </c>
      <c r="O144" s="30" t="str">
        <f ca="1">IFERROR(__xludf.DUMMYFUNCTION("""COMPUTED_VALUE"""),"Única")</f>
        <v>Única</v>
      </c>
      <c r="P144" s="33">
        <f ca="1">IFERROR(__xludf.DUMMYFUNCTION("""COMPUTED_VALUE"""),46183)</f>
        <v>46183</v>
      </c>
      <c r="Q144" s="33">
        <f ca="1">IFERROR(__xludf.DUMMYFUNCTION("""COMPUTED_VALUE"""),46183)</f>
        <v>46183</v>
      </c>
      <c r="R144" s="30">
        <f ca="1">IFERROR(__xludf.DUMMYFUNCTION("""COMPUTED_VALUE"""),1)</f>
        <v>1</v>
      </c>
      <c r="S144" s="30" t="str">
        <f ca="1">IFERROR(__xludf.DUMMYFUNCTION("""COMPUTED_VALUE"""),"Multidisciplinario")</f>
        <v>Multidisciplinario</v>
      </c>
      <c r="T144" s="30" t="str">
        <f ca="1">IFERROR(__xludf.DUMMYFUNCTION("""COMPUTED_VALUE"""),"Investigación cultural")</f>
        <v>Investigación cultural</v>
      </c>
      <c r="U144" s="30" t="str">
        <f ca="1">IFERROR(__xludf.DUMMYFUNCTION("""COMPUTED_VALUE"""),"Exposición")</f>
        <v>Exposición</v>
      </c>
      <c r="V144" s="30" t="str">
        <f ca="1">IFERROR(__xludf.DUMMYFUNCTION("""COMPUTED_VALUE"""),"Ninguna")</f>
        <v>Ninguna</v>
      </c>
      <c r="W144" s="30" t="str">
        <f ca="1">IFERROR(__xludf.DUMMYFUNCTION("""COMPUTED_VALUE"""),"Presencial")</f>
        <v>Presencial</v>
      </c>
      <c r="X144" s="30" t="str">
        <f ca="1">IFERROR(__xludf.DUMMYFUNCTION("""COMPUTED_VALUE"""),"Espacio a Cargo de la Secretaría")</f>
        <v>Espacio a Cargo de la Secretaría</v>
      </c>
      <c r="Y144" s="30" t="str">
        <f ca="1">IFERROR(__xludf.DUMMYFUNCTION("""COMPUTED_VALUE"""),"5")</f>
        <v>5</v>
      </c>
      <c r="Z144" s="30"/>
      <c r="AA144" s="30"/>
      <c r="AB144" s="30" t="b">
        <f ca="1">IFERROR(__xludf.DUMMYFUNCTION("""COMPUTED_VALUE"""),FALSE)</f>
        <v>0</v>
      </c>
      <c r="AC144" s="30"/>
      <c r="AD144" s="30" t="b">
        <f ca="1">IFERROR(__xludf.DUMMYFUNCTION("""COMPUTED_VALUE"""),FALSE)</f>
        <v>0</v>
      </c>
      <c r="AE144" s="30"/>
      <c r="AF144" s="30" t="b">
        <f ca="1">IFERROR(__xludf.DUMMYFUNCTION("""COMPUTED_VALUE"""),FALSE)</f>
        <v>0</v>
      </c>
      <c r="AG144" s="30"/>
      <c r="AH144" s="30" t="str">
        <f ca="1">IFERROR(__xludf.DUMMYFUNCTION("""COMPUTED_VALUE"""),"Sin costo")</f>
        <v>Sin costo</v>
      </c>
      <c r="AI144" s="30"/>
      <c r="AJ144" s="30"/>
      <c r="AK144" s="30"/>
      <c r="AL144" s="30" t="str">
        <f ca="1">IFERROR(__xludf.DUMMYFUNCTION("""COMPUTED_VALUE"""),"ccardonav@guanajuato.gob.mx")</f>
        <v>ccardonav@guanajuato.gob.mx</v>
      </c>
      <c r="AM144" s="30" t="str">
        <f ca="1">IFERROR(__xludf.DUMMYFUNCTION("""COMPUTED_VALUE"""),"Creación de la Secretaría de Cultura, con una visión social de la política cultural.")</f>
        <v>Creación de la Secretaría de Cultura, con una visión social de la política cultural.</v>
      </c>
      <c r="AN144" s="30" t="str">
        <f ca="1">IFERROR(__xludf.DUMMYFUNCTION("""COMPUTED_VALUE"""),"2 Igualdad")</f>
        <v>2 Igualdad</v>
      </c>
      <c r="AO144" s="30" t="str">
        <f ca="1">IFERROR(__xludf.DUMMYFUNCTION("""COMPUTED_VALUE"""),"2.4 Reducir brechas de desigualdad")</f>
        <v>2.4 Reducir brechas de desigualdad</v>
      </c>
      <c r="AP144" s="30" t="str">
        <f ca="1">IFERROR(__xludf.DUMMYFUNCTION("""COMPUTED_VALUE"""),"2.4.3 Descentralización de la oferta cultural")</f>
        <v>2.4.3 Descentralización de la oferta cultural</v>
      </c>
      <c r="AQ144" s="30" t="str">
        <f ca="1">IFERROR(__xludf.DUMMYFUNCTION("""COMPUTED_VALUE"""),"2.4.3.3 Incidir en el involucramiento de las personas con el ecosistema cultural")</f>
        <v>2.4.3.3 Incidir en el involucramiento de las personas con el ecosistema cultural</v>
      </c>
      <c r="AR144" s="30" t="str">
        <f ca="1">IFERROR(__xludf.DUMMYFUNCTION("""COMPUTED_VALUE"""),"Ninguno")</f>
        <v>Ninguno</v>
      </c>
      <c r="AS144" s="30"/>
      <c r="AT144" s="30" t="str">
        <f ca="1">IFERROR(__xludf.DUMMYFUNCTION("""COMPUTED_VALUE"""),"Fortalecimiento de la participación ciudadana y la mediación cultural")</f>
        <v>Fortalecimiento de la participación ciudadana y la mediación cultural</v>
      </c>
      <c r="AU144" s="30" t="str">
        <f ca="1">IFERROR(__xludf.DUMMYFUNCTION("""COMPUTED_VALUE"""),"Impulso a la ampliación de la oferta cultural en los territorios.")</f>
        <v>Impulso a la ampliación de la oferta cultural en los territorios.</v>
      </c>
      <c r="AV14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44" s="30" t="str">
        <f ca="1">IFERROR(__xludf.DUMMYFUNCTION("""COMPUTED_VALUE"""),"Incrementar en 25% la oferta cultural realizada en los municipios.")</f>
        <v>Incrementar en 25% la oferta cultural realizada en los municipios.</v>
      </c>
      <c r="AX144" s="30" t="str">
        <f ca="1">IFERROR(__xludf.DUMMYFUNCTION("""COMPUTED_VALUE"""),"Exposición")</f>
        <v>Exposición</v>
      </c>
      <c r="AY144" s="30" t="str">
        <f ca="1">IFERROR(__xludf.DUMMYFUNCTION("""COMPUTED_VALUE"""),"Circulación / Exhibición")</f>
        <v>Circulación / Exhibición</v>
      </c>
      <c r="AZ144" s="30"/>
      <c r="BA144" s="30"/>
      <c r="BB144" s="30"/>
      <c r="BC144" s="30">
        <f ca="1">IFERROR(__xludf.DUMMYFUNCTION("""COMPUTED_VALUE"""),0)</f>
        <v>0</v>
      </c>
      <c r="BD144" s="30"/>
      <c r="BE144" s="30"/>
      <c r="BF144" s="30" t="b">
        <f ca="1">IFERROR(__xludf.DUMMYFUNCTION("""COMPUTED_VALUE"""),FALSE)</f>
        <v>0</v>
      </c>
      <c r="BG144" s="30"/>
      <c r="BH144" s="30"/>
      <c r="BI144" s="30"/>
      <c r="BJ144" s="30"/>
      <c r="BK144" s="30"/>
      <c r="BL144" s="30" t="str">
        <f ca="1">IFERROR(__xludf.DUMMYFUNCTION("""COMPUTED_VALUE"""),"Colaboración con el Archivo General del Estado de Guanajuato")</f>
        <v>Colaboración con el Archivo General del Estado de Guanajuato</v>
      </c>
      <c r="BM144" s="30" t="str">
        <f ca="1">IFERROR(__xludf.DUMMYFUNCTION("""COMPUTED_VALUE"""),"Sí")</f>
        <v>Sí</v>
      </c>
      <c r="BN144" s="30" t="str">
        <f ca="1">IFERROR(__xludf.DUMMYFUNCTION("""COMPUTED_VALUE"""),"Acompañamiento Técnico")</f>
        <v>Acompañamiento Técnico</v>
      </c>
      <c r="BO144" s="30" t="str">
        <f ca="1">IFERROR(__xludf.DUMMYFUNCTION("""COMPUTED_VALUE"""),"d25c5b3f")</f>
        <v>d25c5b3f</v>
      </c>
      <c r="BP144" s="29" t="str">
        <f ca="1">IFERROR(__xludf.DUMMYFUNCTION("""COMPUTED_VALUE"""),"León")</f>
        <v>León</v>
      </c>
      <c r="BQ144" s="30" t="str">
        <f ca="1">IFERROR(__xludf.DUMMYFUNCTION("""COMPUTED_VALUE"""),"Urbano")</f>
        <v>Urbano</v>
      </c>
      <c r="BR144" s="30"/>
      <c r="BS144" s="30"/>
      <c r="BT144" s="30" t="str">
        <f ca="1">IFERROR(__xludf.DUMMYFUNCTION("""COMPUTED_VALUE"""),"La Martinica")</f>
        <v>La Martinica</v>
      </c>
      <c r="BU144" s="30" t="str">
        <f ca="1">IFERROR(__xludf.DUMMYFUNCTION("""COMPUTED_VALUE"""),"No")</f>
        <v>No</v>
      </c>
      <c r="BV144" s="30" t="str">
        <f ca="1">IFERROR(__xludf.DUMMYFUNCTION("""COMPUTED_VALUE"""),"No")</f>
        <v>No</v>
      </c>
      <c r="BW144" s="30">
        <f ca="1">IFERROR(__xludf.DUMMYFUNCTION("""COMPUTED_VALUE"""),24)</f>
        <v>24</v>
      </c>
      <c r="BX144" s="30"/>
      <c r="BY144" s="30">
        <f ca="1">IFERROR(__xludf.DUMMYFUNCTION("""COMPUTED_VALUE"""),24)</f>
        <v>24</v>
      </c>
      <c r="BZ144" s="30" t="str">
        <f ca="1">IFERROR(__xludf.DUMMYFUNCTION("""COMPUTED_VALUE"""),"La Martinica")</f>
        <v>La Martinica</v>
      </c>
      <c r="CA144" s="30" t="str">
        <f ca="1">IFERROR(__xludf.DUMMYFUNCTION("""COMPUTED_VALUE"""),"No")</f>
        <v>No</v>
      </c>
      <c r="CB144" s="30" t="str">
        <f ca="1">IFERROR(__xludf.DUMMYFUNCTION("""COMPUTED_VALUE"""),"No")</f>
        <v>No</v>
      </c>
      <c r="CC144" s="30" t="str">
        <f ca="1">IFERROR(__xludf.DUMMYFUNCTION("""COMPUTED_VALUE"""),"e83bcc19")</f>
        <v>e83bcc19</v>
      </c>
      <c r="CD144" s="29" t="str">
        <f ca="1">IFERROR(__xludf.DUMMYFUNCTION("""COMPUTED_VALUE"""),"Niñas y Niños (6 a 12 años)")</f>
        <v>Niñas y Niños (6 a 12 años)</v>
      </c>
      <c r="CE144" s="30" t="str">
        <f ca="1">IFERROR(__xludf.DUMMYFUNCTION("""COMPUTED_VALUE"""),"Dato global")</f>
        <v>Dato global</v>
      </c>
      <c r="CF144" s="30" t="str">
        <f ca="1">IFERROR(__xludf.DUMMYFUNCTION("""COMPUTED_VALUE"""),"NNA (Niñas, Niños y Adolescentes)")</f>
        <v>NNA (Niñas, Niños y Adolescentes)</v>
      </c>
      <c r="CG144" s="30">
        <f ca="1">IFERROR(__xludf.DUMMYFUNCTION("""COMPUTED_VALUE"""),27)</f>
        <v>27</v>
      </c>
      <c r="CI144" s="30" t="str">
        <f ca="1">IFERROR(__xludf.DUMMYFUNCTION("""COMPUTED_VALUE"""),"bd9952c4")</f>
        <v>bd9952c4</v>
      </c>
      <c r="CJ144" s="29" t="str">
        <f ca="1">IFERROR(__xludf.DUMMYFUNCTION("""COMPUTED_VALUE"""),"Regitro_Evidencia_Files_/bd9952c4.Archivo_Evidencia.220624.pptx")</f>
        <v>Regitro_Evidencia_Files_/bd9952c4.Archivo_Evidencia.220624.pptx</v>
      </c>
      <c r="CK144" s="30" t="str">
        <f ca="1">IFERROR(__xludf.DUMMYFUNCTION("""COMPUTED_VALUE"""),"Otro tipo de archivo ")</f>
        <v xml:space="preserve">Otro tipo de archivo </v>
      </c>
      <c r="CL144" s="30"/>
      <c r="CM144" s="30" t="str">
        <f ca="1">IFERROR(__xludf.DUMMYFUNCTION("""COMPUTED_VALUE"""),"León")</f>
        <v>León</v>
      </c>
      <c r="CN144" s="32" t="e">
        <f ca="1"/>
        <v>#NAME?</v>
      </c>
      <c r="CO144" s="32" t="e">
        <f ca="1"/>
        <v>#NAME?</v>
      </c>
      <c r="CP144" s="32" t="e">
        <f ca="1"/>
        <v>#NAME?</v>
      </c>
      <c r="CQ144" s="32" t="e">
        <f ca="1"/>
        <v>#NAME?</v>
      </c>
      <c r="CR144" s="30" t="e">
        <f ca="1"/>
        <v>#NAME?</v>
      </c>
      <c r="CS144" s="30" t="str">
        <f ca="1">IFERROR(__xludf.DUMMYFUNCTION("""COMPUTED_VALUE"""),"Ninguno (Población General), Ninguno (Población General), Ninguno (Población General)")</f>
        <v>Ninguno (Población General), Ninguno (Población General), Ninguno (Población General)</v>
      </c>
    </row>
    <row r="145" spans="1:97" ht="13">
      <c r="A145" s="29" t="str">
        <f ca="1">IFERROR(__xludf.DUMMYFUNCTION("""COMPUTED_VALUE"""),"ACT-SCZJ59182")</f>
        <v>ACT-SCZJ59182</v>
      </c>
      <c r="B145" s="30" t="str">
        <f ca="1">IFERROR(__xludf.DUMMYFUNCTION("""COMPUTED_VALUE"""),"SC-260701-150517")</f>
        <v>SC-260701-150517</v>
      </c>
      <c r="C145" s="62">
        <f ca="1">IFERROR(__xludf.DUMMYFUNCTION("""COMPUTED_VALUE"""),46204.6286689814)</f>
        <v>46204.628668981401</v>
      </c>
      <c r="D145" s="30">
        <f ca="1">IFERROR(__xludf.DUMMYFUNCTION("""COMPUTED_VALUE"""),92)</f>
        <v>92</v>
      </c>
      <c r="E145" s="30" t="str">
        <f ca="1">IFERROR(__xludf.DUMMYFUNCTION("""COMPUTED_VALUE"""),"PB3572")</f>
        <v>PB3572</v>
      </c>
      <c r="F14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45" s="30" t="str">
        <f ca="1">IFERROR(__xludf.DUMMYFUNCTION("""COMPUTED_VALUE"""),"SUBSECRETARÍA DE DESARROLLO Y PROMOCIÓN ARTÍSTICA Y CULTURAL")</f>
        <v>SUBSECRETARÍA DE DESARROLLO Y PROMOCIÓN ARTÍSTICA Y CULTURAL</v>
      </c>
      <c r="I145" s="34" t="str">
        <f ca="1">IFERROR(__xludf.DUMMYFUNCTION("""COMPUTED_VALUE"""),"DIRECCIÓN GENERAL DE MUSEOS, ARTES VISUALES Y EXPOSICIONES")</f>
        <v>DIRECCIÓN GENERAL DE MUSEOS, ARTES VISUALES Y EXPOSICIONES</v>
      </c>
      <c r="J145" s="30" t="str">
        <f ca="1">IFERROR(__xludf.DUMMYFUNCTION("""COMPUTED_VALUE"""),"Número de Actividades realizadas")</f>
        <v>Número de Actividades realizadas</v>
      </c>
      <c r="K145" s="30">
        <f ca="1">IFERROR(__xludf.DUMMYFUNCTION("""COMPUTED_VALUE"""),800)</f>
        <v>800</v>
      </c>
      <c r="L145" s="30" t="str">
        <f ca="1">IFERROR(__xludf.DUMMYFUNCTION("""COMPUTED_VALUE"""),"Cultural")</f>
        <v>Cultural</v>
      </c>
      <c r="M145" s="30" t="str">
        <f ca="1">IFERROR(__xludf.DUMMYFUNCTION("""COMPUTED_VALUE"""),"Capacitación de guías turísticos")</f>
        <v>Capacitación de guías turísticos</v>
      </c>
      <c r="N145" s="30" t="str">
        <f ca="1">IFERROR(__xludf.DUMMYFUNCTION("""COMPUTED_VALUE"""),"Capacitación de la dependencia de turismo municipal enfocado en la preparación de guías turísticos para el desarrollo del ofrecimiento cultural y turístico del municipio de Purísima del Rincón")</f>
        <v>Capacitación de la dependencia de turismo municipal enfocado en la preparación de guías turísticos para el desarrollo del ofrecimiento cultural y turístico del municipio de Purísima del Rincón</v>
      </c>
      <c r="O145" s="30" t="str">
        <f ca="1">IFERROR(__xludf.DUMMYFUNCTION("""COMPUTED_VALUE"""),"Otras")</f>
        <v>Otras</v>
      </c>
      <c r="P145" s="33">
        <f ca="1">IFERROR(__xludf.DUMMYFUNCTION("""COMPUTED_VALUE"""),46232)</f>
        <v>46232</v>
      </c>
      <c r="Q145" s="33">
        <f ca="1">IFERROR(__xludf.DUMMYFUNCTION("""COMPUTED_VALUE"""),46233)</f>
        <v>46233</v>
      </c>
      <c r="R145" s="30">
        <f ca="1">IFERROR(__xludf.DUMMYFUNCTION("""COMPUTED_VALUE"""),2)</f>
        <v>2</v>
      </c>
      <c r="S145" s="30" t="str">
        <f ca="1">IFERROR(__xludf.DUMMYFUNCTION("""COMPUTED_VALUE"""),"Cultura comunitaria")</f>
        <v>Cultura comunitaria</v>
      </c>
      <c r="T145" s="30" t="str">
        <f ca="1">IFERROR(__xludf.DUMMYFUNCTION("""COMPUTED_VALUE"""),"Formación comunitaria")</f>
        <v>Formación comunitaria</v>
      </c>
      <c r="U145" s="30" t="str">
        <f ca="1">IFERROR(__xludf.DUMMYFUNCTION("""COMPUTED_VALUE"""),"Curso")</f>
        <v>Curso</v>
      </c>
      <c r="V145" s="30" t="str">
        <f ca="1">IFERROR(__xludf.DUMMYFUNCTION("""COMPUTED_VALUE"""),"Ninguna")</f>
        <v>Ninguna</v>
      </c>
      <c r="W145" s="30" t="str">
        <f ca="1">IFERROR(__xludf.DUMMYFUNCTION("""COMPUTED_VALUE"""),"Presencial")</f>
        <v>Presencial</v>
      </c>
      <c r="X145" s="30" t="str">
        <f ca="1">IFERROR(__xludf.DUMMYFUNCTION("""COMPUTED_VALUE"""),"Espacio a Cargo de la Secretaría")</f>
        <v>Espacio a Cargo de la Secretaría</v>
      </c>
      <c r="Y145" s="30" t="str">
        <f ca="1">IFERROR(__xludf.DUMMYFUNCTION("""COMPUTED_VALUE"""),"9")</f>
        <v>9</v>
      </c>
      <c r="Z145" s="30"/>
      <c r="AA145" s="30"/>
      <c r="AB145" s="30" t="b">
        <f ca="1">IFERROR(__xludf.DUMMYFUNCTION("""COMPUTED_VALUE"""),FALSE)</f>
        <v>0</v>
      </c>
      <c r="AC145" s="30"/>
      <c r="AD145" s="30" t="b">
        <f ca="1">IFERROR(__xludf.DUMMYFUNCTION("""COMPUTED_VALUE"""),FALSE)</f>
        <v>0</v>
      </c>
      <c r="AE145" s="30"/>
      <c r="AF145" s="30" t="b">
        <f ca="1">IFERROR(__xludf.DUMMYFUNCTION("""COMPUTED_VALUE"""),FALSE)</f>
        <v>0</v>
      </c>
      <c r="AG145" s="30"/>
      <c r="AH145" s="30" t="str">
        <f ca="1">IFERROR(__xludf.DUMMYFUNCTION("""COMPUTED_VALUE"""),"Sin costo")</f>
        <v>Sin costo</v>
      </c>
      <c r="AI145" s="30"/>
      <c r="AJ145" s="30"/>
      <c r="AK145" s="30"/>
      <c r="AL145" s="30" t="str">
        <f ca="1">IFERROR(__xludf.DUMMYFUNCTION("""COMPUTED_VALUE"""),"ccardonav@guanajuato.gob.mx")</f>
        <v>ccardonav@guanajuato.gob.mx</v>
      </c>
      <c r="AM145" s="30" t="str">
        <f ca="1">IFERROR(__xludf.DUMMYFUNCTION("""COMPUTED_VALUE"""),"Arraigo y empoderamiento cultural de comunidades.")</f>
        <v>Arraigo y empoderamiento cultural de comunidades.</v>
      </c>
      <c r="AN145" s="30" t="str">
        <f ca="1">IFERROR(__xludf.DUMMYFUNCTION("""COMPUTED_VALUE"""),"2 Igualdad")</f>
        <v>2 Igualdad</v>
      </c>
      <c r="AO145" s="30" t="str">
        <f ca="1">IFERROR(__xludf.DUMMYFUNCTION("""COMPUTED_VALUE"""),"2.4 Reducir brechas de desigualdad")</f>
        <v>2.4 Reducir brechas de desigualdad</v>
      </c>
      <c r="AP145" s="30" t="str">
        <f ca="1">IFERROR(__xludf.DUMMYFUNCTION("""COMPUTED_VALUE"""),"2.4.3 Descentralización de la oferta cultural")</f>
        <v>2.4.3 Descentralización de la oferta cultural</v>
      </c>
      <c r="AQ145" s="30" t="str">
        <f ca="1">IFERROR(__xludf.DUMMYFUNCTION("""COMPUTED_VALUE"""),"2.4.3.3 Incidir en el involucramiento de las personas con el ecosistema cultural")</f>
        <v>2.4.3.3 Incidir en el involucramiento de las personas con el ecosistema cultural</v>
      </c>
      <c r="AR145" s="30" t="str">
        <f ca="1">IFERROR(__xludf.DUMMYFUNCTION("""COMPUTED_VALUE"""),"Cooperación")</f>
        <v>Cooperación</v>
      </c>
      <c r="AS145" s="30"/>
      <c r="AT145" s="30" t="str">
        <f ca="1">IFERROR(__xludf.DUMMYFUNCTION("""COMPUTED_VALUE"""),"Impulso a la educación artística y a la profesionalización del sector cultural")</f>
        <v>Impulso a la educación artística y a la profesionalización del sector cultural</v>
      </c>
      <c r="AU145" s="30" t="str">
        <f ca="1">IFERROR(__xludf.DUMMYFUNCTION("""COMPUTED_VALUE"""),"Impulso a programas de formación y profesionalización para agentes culturales.")</f>
        <v>Impulso a programas de formación y profesionalización para agentes culturales.</v>
      </c>
      <c r="AV145" s="30" t="str">
        <f ca="1">IFERROR(__xludf.DUMMYFUNCTION("""COMPUTED_VALUE"""),"Diseñar programas de formación y profesionalización modulares y flexibles.")</f>
        <v>Diseñar programas de formación y profesionalización modulares y flexibles.</v>
      </c>
      <c r="AW145" s="30" t="str">
        <f ca="1">IFERROR(__xludf.DUMMYFUNCTION("""COMPUTED_VALUE"""),"Incrementar un 30% la oferta de formación y profesionalización para agentes culturales.")</f>
        <v>Incrementar un 30% la oferta de formación y profesionalización para agentes culturales.</v>
      </c>
      <c r="AX145" s="30" t="str">
        <f ca="1">IFERROR(__xludf.DUMMYFUNCTION("""COMPUTED_VALUE"""),"Taller")</f>
        <v>Taller</v>
      </c>
      <c r="AY145" s="30" t="str">
        <f ca="1">IFERROR(__xludf.DUMMYFUNCTION("""COMPUTED_VALUE"""),"Formación")</f>
        <v>Formación</v>
      </c>
      <c r="AZ145" s="30" t="str">
        <f ca="1">IFERROR(__xludf.DUMMYFUNCTION("""COMPUTED_VALUE"""),"Profesionalización")</f>
        <v>Profesionalización</v>
      </c>
      <c r="BA145" s="30"/>
      <c r="BB145" s="30"/>
      <c r="BC145" s="30">
        <f ca="1">IFERROR(__xludf.DUMMYFUNCTION("""COMPUTED_VALUE"""),0)</f>
        <v>0</v>
      </c>
      <c r="BD145" s="30"/>
      <c r="BE145" s="30"/>
      <c r="BF145" s="30" t="b">
        <f ca="1">IFERROR(__xludf.DUMMYFUNCTION("""COMPUTED_VALUE"""),FALSE)</f>
        <v>0</v>
      </c>
      <c r="BG145" s="30"/>
      <c r="BH145" s="30"/>
      <c r="BI145" s="30"/>
      <c r="BJ145" s="30"/>
      <c r="BK145" s="30"/>
      <c r="BL145" s="30" t="str">
        <f ca="1">IFERROR(__xludf.DUMMYFUNCTION("""COMPUTED_VALUE"""),"VINCULACION")</f>
        <v>VINCULACION</v>
      </c>
      <c r="BM145" s="30" t="str">
        <f ca="1">IFERROR(__xludf.DUMMYFUNCTION("""COMPUTED_VALUE"""),"Sí")</f>
        <v>Sí</v>
      </c>
      <c r="BN145" s="30" t="str">
        <f ca="1">IFERROR(__xludf.DUMMYFUNCTION("""COMPUTED_VALUE"""),"Acompañamiento Técnico")</f>
        <v>Acompañamiento Técnico</v>
      </c>
      <c r="BO145" s="30" t="str">
        <f ca="1">IFERROR(__xludf.DUMMYFUNCTION("""COMPUTED_VALUE"""),"b0c86ee3")</f>
        <v>b0c86ee3</v>
      </c>
      <c r="BP145" s="29" t="str">
        <f ca="1">IFERROR(__xludf.DUMMYFUNCTION("""COMPUTED_VALUE"""),"León")</f>
        <v>León</v>
      </c>
      <c r="BQ145" s="30" t="str">
        <f ca="1">IFERROR(__xludf.DUMMYFUNCTION("""COMPUTED_VALUE"""),"Urbano")</f>
        <v>Urbano</v>
      </c>
      <c r="BR145" s="30"/>
      <c r="BS145" s="30"/>
      <c r="BT145" s="30" t="str">
        <f ca="1">IFERROR(__xludf.DUMMYFUNCTION("""COMPUTED_VALUE"""),"La Martinica")</f>
        <v>La Martinica</v>
      </c>
      <c r="BU145" s="30" t="str">
        <f ca="1">IFERROR(__xludf.DUMMYFUNCTION("""COMPUTED_VALUE"""),"No")</f>
        <v>No</v>
      </c>
      <c r="BV145" s="30" t="str">
        <f ca="1">IFERROR(__xludf.DUMMYFUNCTION("""COMPUTED_VALUE"""),"No")</f>
        <v>No</v>
      </c>
      <c r="BW145" s="30">
        <f ca="1">IFERROR(__xludf.DUMMYFUNCTION("""COMPUTED_VALUE"""),8)</f>
        <v>8</v>
      </c>
      <c r="BX145" s="30"/>
      <c r="BY145" s="30">
        <f ca="1">IFERROR(__xludf.DUMMYFUNCTION("""COMPUTED_VALUE"""),8)</f>
        <v>8</v>
      </c>
      <c r="BZ145" s="30" t="str">
        <f ca="1">IFERROR(__xludf.DUMMYFUNCTION("""COMPUTED_VALUE"""),"La Martinica")</f>
        <v>La Martinica</v>
      </c>
      <c r="CA145" s="30" t="str">
        <f ca="1">IFERROR(__xludf.DUMMYFUNCTION("""COMPUTED_VALUE"""),"No")</f>
        <v>No</v>
      </c>
      <c r="CB145" s="30" t="str">
        <f ca="1">IFERROR(__xludf.DUMMYFUNCTION("""COMPUTED_VALUE"""),"No")</f>
        <v>No</v>
      </c>
      <c r="CC145" s="30" t="str">
        <f ca="1">IFERROR(__xludf.DUMMYFUNCTION("""COMPUTED_VALUE"""),"f8770d58")</f>
        <v>f8770d58</v>
      </c>
      <c r="CD145" s="29" t="str">
        <f ca="1">IFERROR(__xludf.DUMMYFUNCTION("""COMPUTED_VALUE"""),"Niñas y Niños (6 a 12 años)")</f>
        <v>Niñas y Niños (6 a 12 años)</v>
      </c>
      <c r="CE145" s="30" t="str">
        <f ca="1">IFERROR(__xludf.DUMMYFUNCTION("""COMPUTED_VALUE"""),"Dato global")</f>
        <v>Dato global</v>
      </c>
      <c r="CF145" s="30" t="str">
        <f ca="1">IFERROR(__xludf.DUMMYFUNCTION("""COMPUTED_VALUE"""),"NNA (Niñas, Niños y Adolescentes)")</f>
        <v>NNA (Niñas, Niños y Adolescentes)</v>
      </c>
      <c r="CG145" s="30">
        <f ca="1">IFERROR(__xludf.DUMMYFUNCTION("""COMPUTED_VALUE"""),54)</f>
        <v>54</v>
      </c>
      <c r="CI145" s="30" t="str">
        <f ca="1">IFERROR(__xludf.DUMMYFUNCTION("""COMPUTED_VALUE"""),"9ffcd199")</f>
        <v>9ffcd199</v>
      </c>
      <c r="CJ145" s="29" t="str">
        <f ca="1">IFERROR(__xludf.DUMMYFUNCTION("""COMPUTED_VALUE"""),"Regitro_Evidencia_Files_/9ffcd199.Archivo_Evidencia.221049.pptx")</f>
        <v>Regitro_Evidencia_Files_/9ffcd199.Archivo_Evidencia.221049.pptx</v>
      </c>
      <c r="CK145" s="30" t="str">
        <f ca="1">IFERROR(__xludf.DUMMYFUNCTION("""COMPUTED_VALUE"""),"Otro tipo de archivo ")</f>
        <v xml:space="preserve">Otro tipo de archivo </v>
      </c>
      <c r="CL145" s="30"/>
      <c r="CM145" s="30" t="str">
        <f ca="1">IFERROR(__xludf.DUMMYFUNCTION("""COMPUTED_VALUE"""),"León")</f>
        <v>León</v>
      </c>
      <c r="CN145" s="32" t="e">
        <f ca="1"/>
        <v>#NAME?</v>
      </c>
      <c r="CO145" s="32" t="e">
        <f ca="1"/>
        <v>#NAME?</v>
      </c>
      <c r="CP145" s="32" t="e">
        <f ca="1"/>
        <v>#NAME?</v>
      </c>
      <c r="CQ145" s="32" t="e">
        <f ca="1"/>
        <v>#NAME?</v>
      </c>
      <c r="CR145" s="30" t="e">
        <f ca="1"/>
        <v>#NAME?</v>
      </c>
      <c r="CS145" s="30" t="str">
        <f ca="1">IFERROR(__xludf.DUMMYFUNCTION("""COMPUTED_VALUE"""),"Comunidad LGBTIQ+")</f>
        <v>Comunidad LGBTIQ+</v>
      </c>
    </row>
    <row r="146" spans="1:97" ht="13">
      <c r="A146" s="29" t="str">
        <f ca="1">IFERROR(__xludf.DUMMYFUNCTION("""COMPUTED_VALUE"""),"ACT-SCIN28718")</f>
        <v>ACT-SCIN28718</v>
      </c>
      <c r="B146" s="30" t="str">
        <f ca="1">IFERROR(__xludf.DUMMYFUNCTION("""COMPUTED_VALUE"""),"SC-260701-151531")</f>
        <v>SC-260701-151531</v>
      </c>
      <c r="C146" s="62">
        <f ca="1">IFERROR(__xludf.DUMMYFUNCTION("""COMPUTED_VALUE"""),46204.6357754629)</f>
        <v>46204.635775462899</v>
      </c>
      <c r="D146" s="30">
        <f ca="1">IFERROR(__xludf.DUMMYFUNCTION("""COMPUTED_VALUE"""),91)</f>
        <v>91</v>
      </c>
      <c r="E146" s="30" t="str">
        <f ca="1">IFERROR(__xludf.DUMMYFUNCTION("""COMPUTED_VALUE"""),"PB3572")</f>
        <v>PB3572</v>
      </c>
      <c r="F14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6"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146" s="30" t="str">
        <f ca="1">IFERROR(__xludf.DUMMYFUNCTION("""COMPUTED_VALUE"""),"SUBSECRETARÍA DE DESARROLLO Y PROMOCIÓN ARTÍSTICA Y CULTURAL")</f>
        <v>SUBSECRETARÍA DE DESARROLLO Y PROMOCIÓN ARTÍSTICA Y CULTURAL</v>
      </c>
      <c r="I146" s="34" t="str">
        <f ca="1">IFERROR(__xludf.DUMMYFUNCTION("""COMPUTED_VALUE"""),"DIRECCIÓN GENERAL DE MUSEOS, ARTES VISUALES Y EXPOSICIONES")</f>
        <v>DIRECCIÓN GENERAL DE MUSEOS, ARTES VISUALES Y EXPOSICIONES</v>
      </c>
      <c r="J146" s="30" t="str">
        <f ca="1">IFERROR(__xludf.DUMMYFUNCTION("""COMPUTED_VALUE"""),"Número de Exposiciones inauguradas")</f>
        <v>Número de Exposiciones inauguradas</v>
      </c>
      <c r="K146" s="30">
        <f ca="1">IFERROR(__xludf.DUMMYFUNCTION("""COMPUTED_VALUE"""),28)</f>
        <v>28</v>
      </c>
      <c r="L146" s="30" t="str">
        <f ca="1">IFERROR(__xludf.DUMMYFUNCTION("""COMPUTED_VALUE"""),"Artística")</f>
        <v>Artística</v>
      </c>
      <c r="M146" s="30" t="str">
        <f ca="1">IFERROR(__xludf.DUMMYFUNCTION("""COMPUTED_VALUE"""),"Inauguracion de la Exposición: De Japón a Antequera. Gráfica de Maestros Japoneses en Oaxaca")</f>
        <v>Inauguracion de la Exposición: De Japón a Antequera. Gráfica de Maestros Japoneses en Oaxaca</v>
      </c>
      <c r="N146" s="30" t="str">
        <f ca="1">IFERROR(__xludf.DUMMYFUNCTION("""COMPUTED_VALUE"""),"Esta exposición presenta cincuenta piezas realizadas por distintos artistas japoneses en torno al trabajo y legado del gran maestro Shinzaburo Takeda. En tres núcleos temáticos: Evocaciones istmeñas, Animales mágicos y fantásticos, y Rostros, los públicos"&amp;" encontrarán un recorrido visual desde la gráfica japonesa sobre las tradiciones, usos y costumbres oaxaqueños.")</f>
        <v>Esta exposición presenta cincuenta piezas realizadas por distintos artistas japoneses en torno al trabajo y legado del gran maestro Shinzaburo Takeda. En tres núcleos temáticos: Evocaciones istmeñas, Animales mágicos y fantásticos, y Rostros, los públicos encontrarán un recorrido visual desde la gráfica japonesa sobre las tradiciones, usos y costumbres oaxaqueños.</v>
      </c>
      <c r="O146" s="30" t="str">
        <f ca="1">IFERROR(__xludf.DUMMYFUNCTION("""COMPUTED_VALUE"""),"Única")</f>
        <v>Única</v>
      </c>
      <c r="P146" s="33">
        <f ca="1">IFERROR(__xludf.DUMMYFUNCTION("""COMPUTED_VALUE"""),46221)</f>
        <v>46221</v>
      </c>
      <c r="Q146" s="33">
        <f ca="1">IFERROR(__xludf.DUMMYFUNCTION("""COMPUTED_VALUE"""),46221)</f>
        <v>46221</v>
      </c>
      <c r="R146" s="30">
        <f ca="1">IFERROR(__xludf.DUMMYFUNCTION("""COMPUTED_VALUE"""),1)</f>
        <v>1</v>
      </c>
      <c r="S146" s="30" t="str">
        <f ca="1">IFERROR(__xludf.DUMMYFUNCTION("""COMPUTED_VALUE"""),"Artes visuales")</f>
        <v>Artes visuales</v>
      </c>
      <c r="T146" s="30" t="str">
        <f ca="1">IFERROR(__xludf.DUMMYFUNCTION("""COMPUTED_VALUE"""),"Grabado")</f>
        <v>Grabado</v>
      </c>
      <c r="U146" s="30" t="str">
        <f ca="1">IFERROR(__xludf.DUMMYFUNCTION("""COMPUTED_VALUE"""),"Exposición")</f>
        <v>Exposición</v>
      </c>
      <c r="V146" s="30" t="str">
        <f ca="1">IFERROR(__xludf.DUMMYFUNCTION("""COMPUTED_VALUE"""),"Ninguna")</f>
        <v>Ninguna</v>
      </c>
      <c r="W146" s="30" t="str">
        <f ca="1">IFERROR(__xludf.DUMMYFUNCTION("""COMPUTED_VALUE"""),"Presencial")</f>
        <v>Presencial</v>
      </c>
      <c r="X146" s="30" t="str">
        <f ca="1">IFERROR(__xludf.DUMMYFUNCTION("""COMPUTED_VALUE"""),"Espacio a Cargo de la Secretaría")</f>
        <v>Espacio a Cargo de la Secretaría</v>
      </c>
      <c r="Y146" s="30" t="str">
        <f ca="1">IFERROR(__xludf.DUMMYFUNCTION("""COMPUTED_VALUE"""),"4")</f>
        <v>4</v>
      </c>
      <c r="Z146" s="30"/>
      <c r="AA146" s="30"/>
      <c r="AB146" s="30" t="b">
        <f ca="1">IFERROR(__xludf.DUMMYFUNCTION("""COMPUTED_VALUE"""),FALSE)</f>
        <v>0</v>
      </c>
      <c r="AC146" s="30"/>
      <c r="AD146" s="30" t="b">
        <f ca="1">IFERROR(__xludf.DUMMYFUNCTION("""COMPUTED_VALUE"""),TRUE)</f>
        <v>1</v>
      </c>
      <c r="AE146" s="30">
        <f ca="1">IFERROR(__xludf.DUMMYFUNCTION("""COMPUTED_VALUE"""),1)</f>
        <v>1</v>
      </c>
      <c r="AF146" s="30" t="b">
        <f ca="1">IFERROR(__xludf.DUMMYFUNCTION("""COMPUTED_VALUE"""),FALSE)</f>
        <v>0</v>
      </c>
      <c r="AG146" s="30"/>
      <c r="AH146" s="30" t="str">
        <f ca="1">IFERROR(__xludf.DUMMYFUNCTION("""COMPUTED_VALUE"""),"Sin costo")</f>
        <v>Sin costo</v>
      </c>
      <c r="AI146" s="30"/>
      <c r="AJ146" s="30"/>
      <c r="AK146" s="30"/>
      <c r="AL146" s="30" t="str">
        <f ca="1">IFERROR(__xludf.DUMMYFUNCTION("""COMPUTED_VALUE"""),"ccardonav@guanajuato.gob.mx")</f>
        <v>ccardonav@guanajuato.gob.mx</v>
      </c>
      <c r="AM146" s="30" t="str">
        <f ca="1">IFERROR(__xludf.DUMMYFUNCTION("""COMPUTED_VALUE"""),"Creación de la Secretaría de Cultura, con una visión social de la política cultural.")</f>
        <v>Creación de la Secretaría de Cultura, con una visión social de la política cultural.</v>
      </c>
      <c r="AN146" s="30" t="str">
        <f ca="1">IFERROR(__xludf.DUMMYFUNCTION("""COMPUTED_VALUE"""),"2 Igualdad")</f>
        <v>2 Igualdad</v>
      </c>
      <c r="AO146" s="30" t="str">
        <f ca="1">IFERROR(__xludf.DUMMYFUNCTION("""COMPUTED_VALUE"""),"2.4 Reducir brechas de desigualdad")</f>
        <v>2.4 Reducir brechas de desigualdad</v>
      </c>
      <c r="AP146" s="30" t="str">
        <f ca="1">IFERROR(__xludf.DUMMYFUNCTION("""COMPUTED_VALUE"""),"2.4.3 Descentralización de la oferta cultural")</f>
        <v>2.4.3 Descentralización de la oferta cultural</v>
      </c>
      <c r="AQ146" s="30" t="str">
        <f ca="1">IFERROR(__xludf.DUMMYFUNCTION("""COMPUTED_VALUE"""),"2.4.3.3 Incidir en el involucramiento de las personas con el ecosistema cultural")</f>
        <v>2.4.3.3 Incidir en el involucramiento de las personas con el ecosistema cultural</v>
      </c>
      <c r="AR146" s="30" t="str">
        <f ca="1">IFERROR(__xludf.DUMMYFUNCTION("""COMPUTED_VALUE"""),"Ninguno")</f>
        <v>Ninguno</v>
      </c>
      <c r="AS146" s="30"/>
      <c r="AT146" s="30" t="str">
        <f ca="1">IFERROR(__xludf.DUMMYFUNCTION("""COMPUTED_VALUE"""),"Fortalecimiento de la participación ciudadana y la mediación cultural")</f>
        <v>Fortalecimiento de la participación ciudadana y la mediación cultural</v>
      </c>
      <c r="AU146" s="30" t="str">
        <f ca="1">IFERROR(__xludf.DUMMYFUNCTION("""COMPUTED_VALUE"""),"Impulso a la ampliación de la oferta cultural en los territorios.")</f>
        <v>Impulso a la ampliación de la oferta cultural en los territorios.</v>
      </c>
      <c r="AV14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46" s="30" t="str">
        <f ca="1">IFERROR(__xludf.DUMMYFUNCTION("""COMPUTED_VALUE"""),"Incrementar en 25% la oferta cultural realizada en los municipios.")</f>
        <v>Incrementar en 25% la oferta cultural realizada en los municipios.</v>
      </c>
      <c r="AX146" s="30" t="str">
        <f ca="1">IFERROR(__xludf.DUMMYFUNCTION("""COMPUTED_VALUE"""),"Exposición")</f>
        <v>Exposición</v>
      </c>
      <c r="AY146" s="30" t="str">
        <f ca="1">IFERROR(__xludf.DUMMYFUNCTION("""COMPUTED_VALUE"""),"Circulación / Exhibición")</f>
        <v>Circulación / Exhibición</v>
      </c>
      <c r="AZ146" s="30"/>
      <c r="BA146" s="30"/>
      <c r="BB146" s="30"/>
      <c r="BC146" s="30">
        <f ca="1">IFERROR(__xludf.DUMMYFUNCTION("""COMPUTED_VALUE"""),0)</f>
        <v>0</v>
      </c>
      <c r="BD146" s="30"/>
      <c r="BE146" s="30"/>
      <c r="BF146" s="30" t="b">
        <f ca="1">IFERROR(__xludf.DUMMYFUNCTION("""COMPUTED_VALUE"""),FALSE)</f>
        <v>0</v>
      </c>
      <c r="BG146" s="30"/>
      <c r="BH146" s="30"/>
      <c r="BI146" s="30"/>
      <c r="BJ146" s="30"/>
      <c r="BK146" s="30"/>
      <c r="BL146" s="30" t="str">
        <f ca="1">IFERROR(__xludf.DUMMYFUNCTION("""COMPUTED_VALUE"""),"Fundación Shinzaburo Takeda")</f>
        <v>Fundación Shinzaburo Takeda</v>
      </c>
      <c r="BM146" s="30" t="str">
        <f ca="1">IFERROR(__xludf.DUMMYFUNCTION("""COMPUTED_VALUE"""),"Sí")</f>
        <v>Sí</v>
      </c>
      <c r="BN146" s="30" t="str">
        <f ca="1">IFERROR(__xludf.DUMMYFUNCTION("""COMPUTED_VALUE"""),"Acompañamiento Técnico")</f>
        <v>Acompañamiento Técnico</v>
      </c>
      <c r="BO146" s="30" t="str">
        <f ca="1">IFERROR(__xludf.DUMMYFUNCTION("""COMPUTED_VALUE"""),"0f0ae30d")</f>
        <v>0f0ae30d</v>
      </c>
      <c r="BP146" s="29" t="str">
        <f ca="1">IFERROR(__xludf.DUMMYFUNCTION("""COMPUTED_VALUE"""),"León")</f>
        <v>León</v>
      </c>
      <c r="BQ146" s="30" t="str">
        <f ca="1">IFERROR(__xludf.DUMMYFUNCTION("""COMPUTED_VALUE"""),"Urbano")</f>
        <v>Urbano</v>
      </c>
      <c r="BR146" s="30"/>
      <c r="BS146" s="30"/>
      <c r="BT146" s="30" t="str">
        <f ca="1">IFERROR(__xludf.DUMMYFUNCTION("""COMPUTED_VALUE"""),"La Martinica")</f>
        <v>La Martinica</v>
      </c>
      <c r="BU146" s="30" t="str">
        <f ca="1">IFERROR(__xludf.DUMMYFUNCTION("""COMPUTED_VALUE"""),"No")</f>
        <v>No</v>
      </c>
      <c r="BV146" s="30" t="str">
        <f ca="1">IFERROR(__xludf.DUMMYFUNCTION("""COMPUTED_VALUE"""),"No")</f>
        <v>No</v>
      </c>
      <c r="BW146" s="30">
        <f ca="1">IFERROR(__xludf.DUMMYFUNCTION("""COMPUTED_VALUE"""),34)</f>
        <v>34</v>
      </c>
      <c r="BX146" s="30"/>
      <c r="BY146" s="30">
        <f ca="1">IFERROR(__xludf.DUMMYFUNCTION("""COMPUTED_VALUE"""),34)</f>
        <v>34</v>
      </c>
      <c r="BZ146" s="30" t="str">
        <f ca="1">IFERROR(__xludf.DUMMYFUNCTION("""COMPUTED_VALUE"""),"La Martinica")</f>
        <v>La Martinica</v>
      </c>
      <c r="CA146" s="30" t="str">
        <f ca="1">IFERROR(__xludf.DUMMYFUNCTION("""COMPUTED_VALUE"""),"No")</f>
        <v>No</v>
      </c>
      <c r="CB146" s="30" t="str">
        <f ca="1">IFERROR(__xludf.DUMMYFUNCTION("""COMPUTED_VALUE"""),"No")</f>
        <v>No</v>
      </c>
      <c r="CC146" s="30" t="str">
        <f ca="1">IFERROR(__xludf.DUMMYFUNCTION("""COMPUTED_VALUE"""),"8654274c")</f>
        <v>8654274c</v>
      </c>
      <c r="CD146" s="29" t="str">
        <f ca="1">IFERROR(__xludf.DUMMYFUNCTION("""COMPUTED_VALUE"""),"Niñas y Niños (6 a 12 años)")</f>
        <v>Niñas y Niños (6 a 12 años)</v>
      </c>
      <c r="CE146" s="30" t="str">
        <f ca="1">IFERROR(__xludf.DUMMYFUNCTION("""COMPUTED_VALUE"""),"Dato global")</f>
        <v>Dato global</v>
      </c>
      <c r="CF146" s="30" t="str">
        <f ca="1">IFERROR(__xludf.DUMMYFUNCTION("""COMPUTED_VALUE"""),"NNA (Niñas, Niños y Adolescentes)")</f>
        <v>NNA (Niñas, Niños y Adolescentes)</v>
      </c>
      <c r="CG146" s="30">
        <f ca="1">IFERROR(__xludf.DUMMYFUNCTION("""COMPUTED_VALUE"""),45)</f>
        <v>45</v>
      </c>
      <c r="CI146" s="30" t="str">
        <f ca="1">IFERROR(__xludf.DUMMYFUNCTION("""COMPUTED_VALUE"""),"3cf9d34f")</f>
        <v>3cf9d34f</v>
      </c>
      <c r="CJ146" s="29" t="str">
        <f ca="1">IFERROR(__xludf.DUMMYFUNCTION("""COMPUTED_VALUE"""),"Regitro_Evidencia_Files_/3cf9d34f.Archivo_Evidencia.223150.pptx")</f>
        <v>Regitro_Evidencia_Files_/3cf9d34f.Archivo_Evidencia.223150.pptx</v>
      </c>
      <c r="CK146" s="30" t="str">
        <f ca="1">IFERROR(__xludf.DUMMYFUNCTION("""COMPUTED_VALUE"""),"Otro tipo de archivo ")</f>
        <v xml:space="preserve">Otro tipo de archivo </v>
      </c>
      <c r="CL146" s="30"/>
      <c r="CM146" s="30" t="str">
        <f ca="1">IFERROR(__xludf.DUMMYFUNCTION("""COMPUTED_VALUE"""),"León")</f>
        <v>León</v>
      </c>
      <c r="CN146" s="32" t="e">
        <f ca="1"/>
        <v>#NAME?</v>
      </c>
      <c r="CO146" s="32" t="e">
        <f ca="1"/>
        <v>#NAME?</v>
      </c>
      <c r="CP146" s="32" t="e">
        <f ca="1"/>
        <v>#NAME?</v>
      </c>
      <c r="CQ146" s="32" t="e">
        <f ca="1"/>
        <v>#NAME?</v>
      </c>
      <c r="CR146" s="30" t="e">
        <f ca="1"/>
        <v>#NAME?</v>
      </c>
      <c r="CS146" s="30" t="str">
        <f ca="1">IFERROR(__xludf.DUMMYFUNCTION("""COMPUTED_VALUE"""),"Ninguno (Población General), Ninguno (Población General), Ninguno (Población General)")</f>
        <v>Ninguno (Población General), Ninguno (Población General), Ninguno (Población General)</v>
      </c>
    </row>
    <row r="147" spans="1:97" ht="13">
      <c r="A147" s="29" t="str">
        <f ca="1">IFERROR(__xludf.DUMMYFUNCTION("""COMPUTED_VALUE"""),"ACT-SCSM43229")</f>
        <v>ACT-SCSM43229</v>
      </c>
      <c r="B147" s="30" t="str">
        <f ca="1">IFERROR(__xludf.DUMMYFUNCTION("""COMPUTED_VALUE"""),"SC-260702-120744")</f>
        <v>SC-260702-120744</v>
      </c>
      <c r="C147" s="62">
        <f ca="1">IFERROR(__xludf.DUMMYFUNCTION("""COMPUTED_VALUE"""),46205.5053703703)</f>
        <v>46205.505370370302</v>
      </c>
      <c r="D147" s="30">
        <f ca="1">IFERROR(__xludf.DUMMYFUNCTION("""COMPUTED_VALUE"""),92)</f>
        <v>92</v>
      </c>
      <c r="E147" s="30" t="str">
        <f ca="1">IFERROR(__xludf.DUMMYFUNCTION("""COMPUTED_VALUE"""),"PB3572")</f>
        <v>PB3572</v>
      </c>
      <c r="F14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47" s="30" t="str">
        <f ca="1">IFERROR(__xludf.DUMMYFUNCTION("""COMPUTED_VALUE"""),"SUBSECRETARÍA DE DESARROLLO Y PROMOCIÓN ARTÍSTICA Y CULTURAL")</f>
        <v>SUBSECRETARÍA DE DESARROLLO Y PROMOCIÓN ARTÍSTICA Y CULTURAL</v>
      </c>
      <c r="I147" s="34" t="str">
        <f ca="1">IFERROR(__xludf.DUMMYFUNCTION("""COMPUTED_VALUE"""),"DIRECCIÓN GENERAL DE MUSEOS, ARTES VISUALES Y EXPOSICIONES")</f>
        <v>DIRECCIÓN GENERAL DE MUSEOS, ARTES VISUALES Y EXPOSICIONES</v>
      </c>
      <c r="J147" s="30" t="str">
        <f ca="1">IFERROR(__xludf.DUMMYFUNCTION("""COMPUTED_VALUE"""),"Número de Actividades realizadas")</f>
        <v>Número de Actividades realizadas</v>
      </c>
      <c r="K147" s="30">
        <f ca="1">IFERROR(__xludf.DUMMYFUNCTION("""COMPUTED_VALUE"""),800)</f>
        <v>800</v>
      </c>
      <c r="L147" s="30" t="str">
        <f ca="1">IFERROR(__xludf.DUMMYFUNCTION("""COMPUTED_VALUE"""),"Cultural")</f>
        <v>Cultural</v>
      </c>
      <c r="M147" s="30" t="str">
        <f ca="1">IFERROR(__xludf.DUMMYFUNCTION("""COMPUTED_VALUE"""),"Mago Melchor: Arte, magia, esoterismo y disidencia sexual.")</f>
        <v>Mago Melchor: Arte, magia, esoterismo y disidencia sexual.</v>
      </c>
      <c r="N147" s="30" t="str">
        <f ca="1">IFERROR(__xludf.DUMMYFUNCTION("""COMPUTED_VALUE"""),"Conoce esta investigación sobre Mago Melchor, modelo retratado por José Raúl Pérez en su serie ""Tarot Chilango"" como el personaje de “Arcano XIII o la Muerte”, pieza que podemos conocer en la exposición temporal Bajo el Signo de Saturno. Adivinación en "&amp;"el Arte. Imparte: Lechedevirgen")</f>
        <v>Conoce esta investigación sobre Mago Melchor, modelo retratado por José Raúl Pérez en su serie "Tarot Chilango" como el personaje de “Arcano XIII o la Muerte”, pieza que podemos conocer en la exposición temporal Bajo el Signo de Saturno. Adivinación en el Arte. Imparte: Lechedevirgen</v>
      </c>
      <c r="O147" s="30" t="str">
        <f ca="1">IFERROR(__xludf.DUMMYFUNCTION("""COMPUTED_VALUE"""),"Única")</f>
        <v>Única</v>
      </c>
      <c r="P147" s="33">
        <f ca="1">IFERROR(__xludf.DUMMYFUNCTION("""COMPUTED_VALUE"""),46185)</f>
        <v>46185</v>
      </c>
      <c r="Q147" s="33">
        <f ca="1">IFERROR(__xludf.DUMMYFUNCTION("""COMPUTED_VALUE"""),46185)</f>
        <v>46185</v>
      </c>
      <c r="R147" s="30">
        <f ca="1">IFERROR(__xludf.DUMMYFUNCTION("""COMPUTED_VALUE"""),1)</f>
        <v>1</v>
      </c>
      <c r="S147" s="30" t="str">
        <f ca="1">IFERROR(__xludf.DUMMYFUNCTION("""COMPUTED_VALUE"""),"Artes visuales")</f>
        <v>Artes visuales</v>
      </c>
      <c r="T147" s="30" t="str">
        <f ca="1">IFERROR(__xludf.DUMMYFUNCTION("""COMPUTED_VALUE"""),"Fotografía")</f>
        <v>Fotografía</v>
      </c>
      <c r="U147" s="30" t="str">
        <f ca="1">IFERROR(__xludf.DUMMYFUNCTION("""COMPUTED_VALUE"""),"Charla")</f>
        <v>Charla</v>
      </c>
      <c r="V147" s="30" t="str">
        <f ca="1">IFERROR(__xludf.DUMMYFUNCTION("""COMPUTED_VALUE"""),"Ninguna")</f>
        <v>Ninguna</v>
      </c>
      <c r="W147" s="30" t="str">
        <f ca="1">IFERROR(__xludf.DUMMYFUNCTION("""COMPUTED_VALUE"""),"Presencial")</f>
        <v>Presencial</v>
      </c>
      <c r="X147" s="30" t="str">
        <f ca="1">IFERROR(__xludf.DUMMYFUNCTION("""COMPUTED_VALUE"""),"Espacio a Cargo de la Secretaría")</f>
        <v>Espacio a Cargo de la Secretaría</v>
      </c>
      <c r="Y147" s="30" t="str">
        <f ca="1">IFERROR(__xludf.DUMMYFUNCTION("""COMPUTED_VALUE"""),"8")</f>
        <v>8</v>
      </c>
      <c r="Z147" s="30"/>
      <c r="AA147" s="30"/>
      <c r="AB147" s="30" t="b">
        <f ca="1">IFERROR(__xludf.DUMMYFUNCTION("""COMPUTED_VALUE"""),FALSE)</f>
        <v>0</v>
      </c>
      <c r="AC147" s="30"/>
      <c r="AD147" s="30" t="b">
        <f ca="1">IFERROR(__xludf.DUMMYFUNCTION("""COMPUTED_VALUE"""),FALSE)</f>
        <v>0</v>
      </c>
      <c r="AE147" s="30"/>
      <c r="AF147" s="30" t="b">
        <f ca="1">IFERROR(__xludf.DUMMYFUNCTION("""COMPUTED_VALUE"""),FALSE)</f>
        <v>0</v>
      </c>
      <c r="AG147" s="30"/>
      <c r="AH147" s="30" t="str">
        <f ca="1">IFERROR(__xludf.DUMMYFUNCTION("""COMPUTED_VALUE"""),"Sin costo")</f>
        <v>Sin costo</v>
      </c>
      <c r="AI147" s="30"/>
      <c r="AJ147" s="30"/>
      <c r="AK147" s="30"/>
      <c r="AL147" s="30" t="str">
        <f ca="1">IFERROR(__xludf.DUMMYFUNCTION("""COMPUTED_VALUE"""),"ccardonav@guanajuato.gob.mx")</f>
        <v>ccardonav@guanajuato.gob.mx</v>
      </c>
      <c r="AM147"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147" s="30" t="str">
        <f ca="1">IFERROR(__xludf.DUMMYFUNCTION("""COMPUTED_VALUE"""),"1 Tranquilidad")</f>
        <v>1 Tranquilidad</v>
      </c>
      <c r="AO147" s="30" t="str">
        <f ca="1">IFERROR(__xludf.DUMMYFUNCTION("""COMPUTED_VALUE"""),"1.2 Fortalecer prevención del delito")</f>
        <v>1.2 Fortalecer prevención del delito</v>
      </c>
      <c r="AP147" s="30" t="str">
        <f ca="1">IFERROR(__xludf.DUMMYFUNCTION("""COMPUTED_VALUE"""),"1.2.2 Fortalecimiento del tejido social")</f>
        <v>1.2.2 Fortalecimiento del tejido social</v>
      </c>
      <c r="AQ147" s="30" t="str">
        <f ca="1">IFERROR(__xludf.DUMMYFUNCTION("""COMPUTED_VALUE"""),"1.2.3.4 Promover una cultura de paz desde las expresiones artísticas y culturales")</f>
        <v>1.2.3.4 Promover una cultura de paz desde las expresiones artísticas y culturales</v>
      </c>
      <c r="AR147" s="30" t="str">
        <f ca="1">IFERROR(__xludf.DUMMYFUNCTION("""COMPUTED_VALUE"""),"Inclusión")</f>
        <v>Inclusión</v>
      </c>
      <c r="AS147" s="30" t="str">
        <f ca="1">IFERROR(__xludf.DUMMYFUNCTION("""COMPUTED_VALUE"""),"Comunidad LGBTIQ+")</f>
        <v>Comunidad LGBTIQ+</v>
      </c>
      <c r="AT147" s="30" t="str">
        <f ca="1">IFERROR(__xludf.DUMMYFUNCTION("""COMPUTED_VALUE"""),"Fomento a la creación y circulación cultural.")</f>
        <v>Fomento a la creación y circulación cultural.</v>
      </c>
      <c r="AU147" s="30" t="str">
        <f ca="1">IFERROR(__xludf.DUMMYFUNCTION("""COMPUTED_VALUE"""),"Incentivar la creación y producción artística y cultural de agentes locales.")</f>
        <v>Incentivar la creación y producción artística y cultural de agentes locales.</v>
      </c>
      <c r="AV147" s="30" t="str">
        <f ca="1">IFERROR(__xludf.DUMMYFUNCTION("""COMPUTED_VALUE"""),"Diseñar e implementar un sistema de reconocimiento público a las comunidades culturales.")</f>
        <v>Diseñar e implementar un sistema de reconocimiento público a las comunidades culturales.</v>
      </c>
      <c r="AW147" s="30" t="str">
        <f ca="1">IFERROR(__xludf.DUMMYFUNCTION("""COMPUTED_VALUE"""),"Incrementar nuevas producciones, obras y proyectos culturales en un 15% anual.")</f>
        <v>Incrementar nuevas producciones, obras y proyectos culturales en un 15% anual.</v>
      </c>
      <c r="AX147" s="30" t="str">
        <f ca="1">IFERROR(__xludf.DUMMYFUNCTION("""COMPUTED_VALUE"""),"Charla")</f>
        <v>Charla</v>
      </c>
      <c r="AY147" s="30" t="str">
        <f ca="1">IFERROR(__xludf.DUMMYFUNCTION("""COMPUTED_VALUE"""),"Formación")</f>
        <v>Formación</v>
      </c>
      <c r="AZ147" s="30" t="str">
        <f ca="1">IFERROR(__xludf.DUMMYFUNCTION("""COMPUTED_VALUE"""),"Formación")</f>
        <v>Formación</v>
      </c>
      <c r="BA147" s="30"/>
      <c r="BB147" s="30"/>
      <c r="BC147" s="30">
        <f ca="1">IFERROR(__xludf.DUMMYFUNCTION("""COMPUTED_VALUE"""),0)</f>
        <v>0</v>
      </c>
      <c r="BD147" s="30"/>
      <c r="BE147" s="30"/>
      <c r="BF147" s="30" t="b">
        <f ca="1">IFERROR(__xludf.DUMMYFUNCTION("""COMPUTED_VALUE"""),FALSE)</f>
        <v>0</v>
      </c>
      <c r="BG147" s="30"/>
      <c r="BH147" s="30"/>
      <c r="BI147" s="30"/>
      <c r="BJ147" s="30"/>
      <c r="BK147" s="30"/>
      <c r="BL147" s="30"/>
      <c r="BM147" s="30" t="str">
        <f ca="1">IFERROR(__xludf.DUMMYFUNCTION("""COMPUTED_VALUE"""),"No")</f>
        <v>No</v>
      </c>
      <c r="BN147" s="30"/>
      <c r="BO147" s="30" t="str">
        <f ca="1">IFERROR(__xludf.DUMMYFUNCTION("""COMPUTED_VALUE"""),"0d7a02e2")</f>
        <v>0d7a02e2</v>
      </c>
      <c r="BP147" s="29" t="str">
        <f ca="1">IFERROR(__xludf.DUMMYFUNCTION("""COMPUTED_VALUE"""),"León")</f>
        <v>León</v>
      </c>
      <c r="BQ147" s="30" t="str">
        <f ca="1">IFERROR(__xludf.DUMMYFUNCTION("""COMPUTED_VALUE"""),"Urbano")</f>
        <v>Urbano</v>
      </c>
      <c r="BR147" s="30"/>
      <c r="BS147" s="30"/>
      <c r="BT147" s="30" t="str">
        <f ca="1">IFERROR(__xludf.DUMMYFUNCTION("""COMPUTED_VALUE"""),"La Martinica")</f>
        <v>La Martinica</v>
      </c>
      <c r="BU147" s="30" t="str">
        <f ca="1">IFERROR(__xludf.DUMMYFUNCTION("""COMPUTED_VALUE"""),"No")</f>
        <v>No</v>
      </c>
      <c r="BV147" s="30" t="str">
        <f ca="1">IFERROR(__xludf.DUMMYFUNCTION("""COMPUTED_VALUE"""),"No")</f>
        <v>No</v>
      </c>
      <c r="BW147" s="30">
        <f ca="1">IFERROR(__xludf.DUMMYFUNCTION("""COMPUTED_VALUE"""),7)</f>
        <v>7</v>
      </c>
      <c r="BX147" s="30"/>
      <c r="BY147" s="30">
        <f ca="1">IFERROR(__xludf.DUMMYFUNCTION("""COMPUTED_VALUE"""),7)</f>
        <v>7</v>
      </c>
      <c r="BZ147" s="30" t="str">
        <f ca="1">IFERROR(__xludf.DUMMYFUNCTION("""COMPUTED_VALUE"""),"La Martinica")</f>
        <v>La Martinica</v>
      </c>
      <c r="CA147" s="30" t="str">
        <f ca="1">IFERROR(__xludf.DUMMYFUNCTION("""COMPUTED_VALUE"""),"No")</f>
        <v>No</v>
      </c>
      <c r="CB147" s="30" t="str">
        <f ca="1">IFERROR(__xludf.DUMMYFUNCTION("""COMPUTED_VALUE"""),"No")</f>
        <v>No</v>
      </c>
      <c r="CC147" s="30" t="str">
        <f ca="1">IFERROR(__xludf.DUMMYFUNCTION("""COMPUTED_VALUE"""),"823f41ca")</f>
        <v>823f41ca</v>
      </c>
      <c r="CD147" s="29" t="str">
        <f ca="1">IFERROR(__xludf.DUMMYFUNCTION("""COMPUTED_VALUE"""),"Niñas y Niños (6 a 12 años)")</f>
        <v>Niñas y Niños (6 a 12 años)</v>
      </c>
      <c r="CE147" s="30" t="str">
        <f ca="1">IFERROR(__xludf.DUMMYFUNCTION("""COMPUTED_VALUE"""),"Dato global")</f>
        <v>Dato global</v>
      </c>
      <c r="CF147" s="30" t="str">
        <f ca="1">IFERROR(__xludf.DUMMYFUNCTION("""COMPUTED_VALUE"""),"NNA (Niñas, Niños y Adolescentes)")</f>
        <v>NNA (Niñas, Niños y Adolescentes)</v>
      </c>
      <c r="CG147" s="30">
        <f ca="1">IFERROR(__xludf.DUMMYFUNCTION("""COMPUTED_VALUE"""),30)</f>
        <v>30</v>
      </c>
      <c r="CI147" s="30" t="str">
        <f ca="1">IFERROR(__xludf.DUMMYFUNCTION("""COMPUTED_VALUE"""),"67f35c31")</f>
        <v>67f35c31</v>
      </c>
      <c r="CJ147" s="29" t="str">
        <f ca="1">IFERROR(__xludf.DUMMYFUNCTION("""COMPUTED_VALUE"""),"Regitro_Evidencia_Files_/67f35c31.Archivo_Evidencia.223716.pptx")</f>
        <v>Regitro_Evidencia_Files_/67f35c31.Archivo_Evidencia.223716.pptx</v>
      </c>
      <c r="CK147" s="30" t="str">
        <f ca="1">IFERROR(__xludf.DUMMYFUNCTION("""COMPUTED_VALUE"""),"Otro tipo de archivo ")</f>
        <v xml:space="preserve">Otro tipo de archivo </v>
      </c>
      <c r="CL147" s="30"/>
      <c r="CM147" s="30" t="str">
        <f ca="1">IFERROR(__xludf.DUMMYFUNCTION("""COMPUTED_VALUE"""),"León")</f>
        <v>León</v>
      </c>
      <c r="CN147" s="32" t="e">
        <f ca="1"/>
        <v>#NAME?</v>
      </c>
      <c r="CO147" s="32" t="e">
        <f ca="1"/>
        <v>#NAME?</v>
      </c>
      <c r="CP147" s="32" t="e">
        <f ca="1"/>
        <v>#NAME?</v>
      </c>
      <c r="CQ147" s="32" t="e">
        <f ca="1"/>
        <v>#NAME?</v>
      </c>
      <c r="CR147" s="30" t="e">
        <f ca="1"/>
        <v>#NAME?</v>
      </c>
      <c r="CS147" s="30" t="str">
        <f ca="1">IFERROR(__xludf.DUMMYFUNCTION("""COMPUTED_VALUE"""),"Ninguno (Población General), Ninguno (Población General), Ninguno (Población General)")</f>
        <v>Ninguno (Población General), Ninguno (Población General), Ninguno (Población General)</v>
      </c>
    </row>
    <row r="148" spans="1:97" ht="13">
      <c r="A148" s="29" t="str">
        <f ca="1">IFERROR(__xludf.DUMMYFUNCTION("""COMPUTED_VALUE"""),"ACT-SCBC60407")</f>
        <v>ACT-SCBC60407</v>
      </c>
      <c r="B148" s="30" t="str">
        <f ca="1">IFERROR(__xludf.DUMMYFUNCTION("""COMPUTED_VALUE"""),"SC-260702-121620")</f>
        <v>SC-260702-121620</v>
      </c>
      <c r="C148" s="62">
        <f ca="1">IFERROR(__xludf.DUMMYFUNCTION("""COMPUTED_VALUE"""),46205.5113425925)</f>
        <v>46205.511342592501</v>
      </c>
      <c r="D148" s="30">
        <f ca="1">IFERROR(__xludf.DUMMYFUNCTION("""COMPUTED_VALUE"""),92)</f>
        <v>92</v>
      </c>
      <c r="E148" s="30" t="str">
        <f ca="1">IFERROR(__xludf.DUMMYFUNCTION("""COMPUTED_VALUE"""),"PB3572")</f>
        <v>PB3572</v>
      </c>
      <c r="F14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48" s="30" t="str">
        <f ca="1">IFERROR(__xludf.DUMMYFUNCTION("""COMPUTED_VALUE"""),"SUBSECRETARÍA DE DESARROLLO Y PROMOCIÓN ARTÍSTICA Y CULTURAL")</f>
        <v>SUBSECRETARÍA DE DESARROLLO Y PROMOCIÓN ARTÍSTICA Y CULTURAL</v>
      </c>
      <c r="I148" s="34" t="str">
        <f ca="1">IFERROR(__xludf.DUMMYFUNCTION("""COMPUTED_VALUE"""),"DIRECCIÓN GENERAL DE MUSEOS, ARTES VISUALES Y EXPOSICIONES")</f>
        <v>DIRECCIÓN GENERAL DE MUSEOS, ARTES VISUALES Y EXPOSICIONES</v>
      </c>
      <c r="J148" s="30" t="str">
        <f ca="1">IFERROR(__xludf.DUMMYFUNCTION("""COMPUTED_VALUE"""),"Número de Actividades realizadas")</f>
        <v>Número de Actividades realizadas</v>
      </c>
      <c r="K148" s="30">
        <f ca="1">IFERROR(__xludf.DUMMYFUNCTION("""COMPUTED_VALUE"""),800)</f>
        <v>800</v>
      </c>
      <c r="L148" s="30" t="str">
        <f ca="1">IFERROR(__xludf.DUMMYFUNCTION("""COMPUTED_VALUE"""),"Cultural")</f>
        <v>Cultural</v>
      </c>
      <c r="M148" s="30" t="str">
        <f ca="1">IFERROR(__xludf.DUMMYFUNCTION("""COMPUTED_VALUE"""),"Gestión de la Cultura y poblaciones LGBTI+")</f>
        <v>Gestión de la Cultura y poblaciones LGBTI+</v>
      </c>
      <c r="N148" s="30" t="str">
        <f ca="1">IFERROR(__xludf.DUMMYFUNCTION("""COMPUTED_VALUE"""),"Esta ponencia propone que la gestión cultural puede funcionar como herramienta de mediación sociocultural para poblaciones LGBTI+. En este sentido, las disidencias sexo-genéricas se presentan como actores sociales con capacidad de intervenir activamente e"&amp;"n el entorno cultural, mediante prácticas artísticas, comunitarias y afectivas que articulan identidad, territorio y memoria colectiva. Imparte: Uri artista mexicanx.")</f>
        <v>Esta ponencia propone que la gestión cultural puede funcionar como herramienta de mediación sociocultural para poblaciones LGBTI+. En este sentido, las disidencias sexo-genéricas se presentan como actores sociales con capacidad de intervenir activamente en el entorno cultural, mediante prácticas artísticas, comunitarias y afectivas que articulan identidad, territorio y memoria colectiva. Imparte: Uri artista mexicanx.</v>
      </c>
      <c r="O148" s="30" t="str">
        <f ca="1">IFERROR(__xludf.DUMMYFUNCTION("""COMPUTED_VALUE"""),"Única")</f>
        <v>Única</v>
      </c>
      <c r="P148" s="33">
        <f ca="1">IFERROR(__xludf.DUMMYFUNCTION("""COMPUTED_VALUE"""),46185)</f>
        <v>46185</v>
      </c>
      <c r="Q148" s="33">
        <f ca="1">IFERROR(__xludf.DUMMYFUNCTION("""COMPUTED_VALUE"""),46185)</f>
        <v>46185</v>
      </c>
      <c r="R148" s="30">
        <f ca="1">IFERROR(__xludf.DUMMYFUNCTION("""COMPUTED_VALUE"""),1)</f>
        <v>1</v>
      </c>
      <c r="S148" s="30" t="str">
        <f ca="1">IFERROR(__xludf.DUMMYFUNCTION("""COMPUTED_VALUE"""),"Economía creativa")</f>
        <v>Economía creativa</v>
      </c>
      <c r="T148" s="30" t="str">
        <f ca="1">IFERROR(__xludf.DUMMYFUNCTION("""COMPUTED_VALUE"""),"Emprendimiento cultural")</f>
        <v>Emprendimiento cultural</v>
      </c>
      <c r="U148" s="30" t="str">
        <f ca="1">IFERROR(__xludf.DUMMYFUNCTION("""COMPUTED_VALUE"""),"Charla")</f>
        <v>Charla</v>
      </c>
      <c r="V148" s="30" t="str">
        <f ca="1">IFERROR(__xludf.DUMMYFUNCTION("""COMPUTED_VALUE"""),"Ninguna")</f>
        <v>Ninguna</v>
      </c>
      <c r="W148" s="30" t="str">
        <f ca="1">IFERROR(__xludf.DUMMYFUNCTION("""COMPUTED_VALUE"""),"Presencial")</f>
        <v>Presencial</v>
      </c>
      <c r="X148" s="30" t="str">
        <f ca="1">IFERROR(__xludf.DUMMYFUNCTION("""COMPUTED_VALUE"""),"Espacio a Cargo de la Secretaría")</f>
        <v>Espacio a Cargo de la Secretaría</v>
      </c>
      <c r="Y148" s="30" t="str">
        <f ca="1">IFERROR(__xludf.DUMMYFUNCTION("""COMPUTED_VALUE"""),"8")</f>
        <v>8</v>
      </c>
      <c r="Z148" s="30"/>
      <c r="AA148" s="30"/>
      <c r="AB148" s="30" t="b">
        <f ca="1">IFERROR(__xludf.DUMMYFUNCTION("""COMPUTED_VALUE"""),FALSE)</f>
        <v>0</v>
      </c>
      <c r="AC148" s="30"/>
      <c r="AD148" s="30" t="b">
        <f ca="1">IFERROR(__xludf.DUMMYFUNCTION("""COMPUTED_VALUE"""),FALSE)</f>
        <v>0</v>
      </c>
      <c r="AE148" s="30"/>
      <c r="AF148" s="30" t="b">
        <f ca="1">IFERROR(__xludf.DUMMYFUNCTION("""COMPUTED_VALUE"""),FALSE)</f>
        <v>0</v>
      </c>
      <c r="AG148" s="30"/>
      <c r="AH148" s="30" t="str">
        <f ca="1">IFERROR(__xludf.DUMMYFUNCTION("""COMPUTED_VALUE"""),"Sin costo")</f>
        <v>Sin costo</v>
      </c>
      <c r="AI148" s="30"/>
      <c r="AJ148" s="30"/>
      <c r="AK148" s="30"/>
      <c r="AL148" s="30" t="str">
        <f ca="1">IFERROR(__xludf.DUMMYFUNCTION("""COMPUTED_VALUE"""),"ccardonav@guanajuato.gob.mx")</f>
        <v>ccardonav@guanajuato.gob.mx</v>
      </c>
      <c r="AM148"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148" s="30" t="str">
        <f ca="1">IFERROR(__xludf.DUMMYFUNCTION("""COMPUTED_VALUE"""),"1 Tranquilidad")</f>
        <v>1 Tranquilidad</v>
      </c>
      <c r="AO148" s="30" t="str">
        <f ca="1">IFERROR(__xludf.DUMMYFUNCTION("""COMPUTED_VALUE"""),"1.2 Fortalecer prevención del delito")</f>
        <v>1.2 Fortalecer prevención del delito</v>
      </c>
      <c r="AP148" s="30" t="str">
        <f ca="1">IFERROR(__xludf.DUMMYFUNCTION("""COMPUTED_VALUE"""),"1.2.2 Fortalecimiento del tejido social")</f>
        <v>1.2.2 Fortalecimiento del tejido social</v>
      </c>
      <c r="AQ148" s="30" t="str">
        <f ca="1">IFERROR(__xludf.DUMMYFUNCTION("""COMPUTED_VALUE"""),"1.2.3.4 Promover una cultura de paz desde las expresiones artísticas y culturales")</f>
        <v>1.2.3.4 Promover una cultura de paz desde las expresiones artísticas y culturales</v>
      </c>
      <c r="AR148" s="30" t="str">
        <f ca="1">IFERROR(__xludf.DUMMYFUNCTION("""COMPUTED_VALUE"""),"Inclusión")</f>
        <v>Inclusión</v>
      </c>
      <c r="AS148" s="30" t="str">
        <f ca="1">IFERROR(__xludf.DUMMYFUNCTION("""COMPUTED_VALUE"""),"Comunidad LGBTIQ+")</f>
        <v>Comunidad LGBTIQ+</v>
      </c>
      <c r="AT148" s="30" t="str">
        <f ca="1">IFERROR(__xludf.DUMMYFUNCTION("""COMPUTED_VALUE"""),"Fomento a la creación y circulación cultural.")</f>
        <v>Fomento a la creación y circulación cultural.</v>
      </c>
      <c r="AU148" s="30" t="str">
        <f ca="1">IFERROR(__xludf.DUMMYFUNCTION("""COMPUTED_VALUE"""),"Incentivar la creación y producción artística y cultural de agentes locales.")</f>
        <v>Incentivar la creación y producción artística y cultural de agentes locales.</v>
      </c>
      <c r="AV148" s="30" t="str">
        <f ca="1">IFERROR(__xludf.DUMMYFUNCTION("""COMPUTED_VALUE"""),"Diseñar e implementar un sistema de reconocimiento público a las comunidades culturales.")</f>
        <v>Diseñar e implementar un sistema de reconocimiento público a las comunidades culturales.</v>
      </c>
      <c r="AW148" s="30" t="str">
        <f ca="1">IFERROR(__xludf.DUMMYFUNCTION("""COMPUTED_VALUE"""),"Incrementar nuevas producciones, obras y proyectos culturales en un 15% anual.")</f>
        <v>Incrementar nuevas producciones, obras y proyectos culturales en un 15% anual.</v>
      </c>
      <c r="AX148" s="30" t="str">
        <f ca="1">IFERROR(__xludf.DUMMYFUNCTION("""COMPUTED_VALUE"""),"Charla")</f>
        <v>Charla</v>
      </c>
      <c r="AY148" s="30" t="str">
        <f ca="1">IFERROR(__xludf.DUMMYFUNCTION("""COMPUTED_VALUE"""),"Formación")</f>
        <v>Formación</v>
      </c>
      <c r="AZ148" s="30" t="str">
        <f ca="1">IFERROR(__xludf.DUMMYFUNCTION("""COMPUTED_VALUE"""),"Formación")</f>
        <v>Formación</v>
      </c>
      <c r="BA148" s="30"/>
      <c r="BB148" s="30"/>
      <c r="BC148" s="30">
        <f ca="1">IFERROR(__xludf.DUMMYFUNCTION("""COMPUTED_VALUE"""),0)</f>
        <v>0</v>
      </c>
      <c r="BD148" s="30"/>
      <c r="BE148" s="30"/>
      <c r="BF148" s="30" t="b">
        <f ca="1">IFERROR(__xludf.DUMMYFUNCTION("""COMPUTED_VALUE"""),FALSE)</f>
        <v>0</v>
      </c>
      <c r="BG148" s="30"/>
      <c r="BH148" s="30"/>
      <c r="BI148" s="30"/>
      <c r="BJ148" s="30"/>
      <c r="BK148" s="30"/>
      <c r="BL148" s="30" t="str">
        <f ca="1">IFERROR(__xludf.DUMMYFUNCTION("""COMPUTED_VALUE"""),"Vinculacion")</f>
        <v>Vinculacion</v>
      </c>
      <c r="BM148" s="30" t="str">
        <f ca="1">IFERROR(__xludf.DUMMYFUNCTION("""COMPUTED_VALUE"""),"Sí")</f>
        <v>Sí</v>
      </c>
      <c r="BN148" s="30" t="str">
        <f ca="1">IFERROR(__xludf.DUMMYFUNCTION("""COMPUTED_VALUE"""),"Acompañamiento Técnico")</f>
        <v>Acompañamiento Técnico</v>
      </c>
      <c r="BO148" s="30" t="str">
        <f ca="1">IFERROR(__xludf.DUMMYFUNCTION("""COMPUTED_VALUE"""),"a23d91db")</f>
        <v>a23d91db</v>
      </c>
      <c r="BP148" s="29" t="str">
        <f ca="1">IFERROR(__xludf.DUMMYFUNCTION("""COMPUTED_VALUE"""),"León")</f>
        <v>León</v>
      </c>
      <c r="BQ148" s="30" t="str">
        <f ca="1">IFERROR(__xludf.DUMMYFUNCTION("""COMPUTED_VALUE"""),"Urbano")</f>
        <v>Urbano</v>
      </c>
      <c r="BR148" s="30"/>
      <c r="BS148" s="30"/>
      <c r="BT148" s="30" t="str">
        <f ca="1">IFERROR(__xludf.DUMMYFUNCTION("""COMPUTED_VALUE"""),"La Martinica")</f>
        <v>La Martinica</v>
      </c>
      <c r="BU148" s="30" t="str">
        <f ca="1">IFERROR(__xludf.DUMMYFUNCTION("""COMPUTED_VALUE"""),"No")</f>
        <v>No</v>
      </c>
      <c r="BV148" s="30" t="str">
        <f ca="1">IFERROR(__xludf.DUMMYFUNCTION("""COMPUTED_VALUE"""),"No")</f>
        <v>No</v>
      </c>
      <c r="BW148" s="30">
        <f ca="1">IFERROR(__xludf.DUMMYFUNCTION("""COMPUTED_VALUE"""),70)</f>
        <v>70</v>
      </c>
      <c r="BX148" s="30"/>
      <c r="BY148" s="30">
        <f ca="1">IFERROR(__xludf.DUMMYFUNCTION("""COMPUTED_VALUE"""),70)</f>
        <v>70</v>
      </c>
      <c r="BZ148" s="30" t="str">
        <f ca="1">IFERROR(__xludf.DUMMYFUNCTION("""COMPUTED_VALUE"""),"La Martinica")</f>
        <v>La Martinica</v>
      </c>
      <c r="CA148" s="30" t="str">
        <f ca="1">IFERROR(__xludf.DUMMYFUNCTION("""COMPUTED_VALUE"""),"No")</f>
        <v>No</v>
      </c>
      <c r="CB148" s="30" t="str">
        <f ca="1">IFERROR(__xludf.DUMMYFUNCTION("""COMPUTED_VALUE"""),"No")</f>
        <v>No</v>
      </c>
      <c r="CC148" s="30" t="str">
        <f ca="1">IFERROR(__xludf.DUMMYFUNCTION("""COMPUTED_VALUE"""),"7ef73cbf")</f>
        <v>7ef73cbf</v>
      </c>
      <c r="CD148" s="29" t="str">
        <f ca="1">IFERROR(__xludf.DUMMYFUNCTION("""COMPUTED_VALUE"""),"Niñas y Niños (6 a 12 años)")</f>
        <v>Niñas y Niños (6 a 12 años)</v>
      </c>
      <c r="CE148" s="30" t="str">
        <f ca="1">IFERROR(__xludf.DUMMYFUNCTION("""COMPUTED_VALUE"""),"Dato global")</f>
        <v>Dato global</v>
      </c>
      <c r="CF148" s="30" t="str">
        <f ca="1">IFERROR(__xludf.DUMMYFUNCTION("""COMPUTED_VALUE"""),"NNA (Niñas, Niños y Adolescentes)")</f>
        <v>NNA (Niñas, Niños y Adolescentes)</v>
      </c>
      <c r="CG148" s="30">
        <f ca="1">IFERROR(__xludf.DUMMYFUNCTION("""COMPUTED_VALUE"""),70)</f>
        <v>70</v>
      </c>
      <c r="CI148" s="30" t="str">
        <f ca="1">IFERROR(__xludf.DUMMYFUNCTION("""COMPUTED_VALUE"""),"41eff107")</f>
        <v>41eff107</v>
      </c>
      <c r="CJ148" s="29" t="str">
        <f ca="1">IFERROR(__xludf.DUMMYFUNCTION("""COMPUTED_VALUE"""),"Regitro_Evidencia_Files_/41eff107.Archivo_Evidencia.224207.pptx")</f>
        <v>Regitro_Evidencia_Files_/41eff107.Archivo_Evidencia.224207.pptx</v>
      </c>
      <c r="CK148" s="30" t="str">
        <f ca="1">IFERROR(__xludf.DUMMYFUNCTION("""COMPUTED_VALUE"""),"Otro tipo de archivo ")</f>
        <v xml:space="preserve">Otro tipo de archivo </v>
      </c>
      <c r="CL148" s="30"/>
      <c r="CM148" s="30" t="str">
        <f ca="1">IFERROR(__xludf.DUMMYFUNCTION("""COMPUTED_VALUE"""),"León")</f>
        <v>León</v>
      </c>
      <c r="CN148" s="32" t="e">
        <f ca="1"/>
        <v>#NAME?</v>
      </c>
      <c r="CO148" s="32" t="e">
        <f ca="1"/>
        <v>#NAME?</v>
      </c>
      <c r="CP148" s="32" t="e">
        <f ca="1"/>
        <v>#NAME?</v>
      </c>
      <c r="CQ148" s="32" t="e">
        <f ca="1"/>
        <v>#NAME?</v>
      </c>
      <c r="CR148" s="30" t="e">
        <f ca="1"/>
        <v>#NAME?</v>
      </c>
      <c r="CS148" s="30" t="str">
        <f ca="1">IFERROR(__xludf.DUMMYFUNCTION("""COMPUTED_VALUE"""),"Ninguno (Población General)")</f>
        <v>Ninguno (Población General)</v>
      </c>
    </row>
    <row r="149" spans="1:97" ht="13">
      <c r="A149" s="29" t="str">
        <f ca="1">IFERROR(__xludf.DUMMYFUNCTION("""COMPUTED_VALUE"""),"ACT-SCOE58638")</f>
        <v>ACT-SCOE58638</v>
      </c>
      <c r="B149" s="30" t="str">
        <f ca="1">IFERROR(__xludf.DUMMYFUNCTION("""COMPUTED_VALUE"""),"SC-260702-122627")</f>
        <v>SC-260702-122627</v>
      </c>
      <c r="C149" s="62">
        <f ca="1">IFERROR(__xludf.DUMMYFUNCTION("""COMPUTED_VALUE"""),46205.5183680555)</f>
        <v>46205.518368055498</v>
      </c>
      <c r="D149" s="30">
        <f ca="1">IFERROR(__xludf.DUMMYFUNCTION("""COMPUTED_VALUE"""),92)</f>
        <v>92</v>
      </c>
      <c r="E149" s="30" t="str">
        <f ca="1">IFERROR(__xludf.DUMMYFUNCTION("""COMPUTED_VALUE"""),"PB3572")</f>
        <v>PB3572</v>
      </c>
      <c r="F14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4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49" s="30" t="str">
        <f ca="1">IFERROR(__xludf.DUMMYFUNCTION("""COMPUTED_VALUE"""),"SUBSECRETARÍA DE DESARROLLO Y PROMOCIÓN ARTÍSTICA Y CULTURAL")</f>
        <v>SUBSECRETARÍA DE DESARROLLO Y PROMOCIÓN ARTÍSTICA Y CULTURAL</v>
      </c>
      <c r="I149" s="34" t="str">
        <f ca="1">IFERROR(__xludf.DUMMYFUNCTION("""COMPUTED_VALUE"""),"DIRECCIÓN GENERAL DE MUSEOS, ARTES VISUALES Y EXPOSICIONES")</f>
        <v>DIRECCIÓN GENERAL DE MUSEOS, ARTES VISUALES Y EXPOSICIONES</v>
      </c>
      <c r="J149" s="30" t="str">
        <f ca="1">IFERROR(__xludf.DUMMYFUNCTION("""COMPUTED_VALUE"""),"Número de Actividades realizadas")</f>
        <v>Número de Actividades realizadas</v>
      </c>
      <c r="K149" s="30">
        <f ca="1">IFERROR(__xludf.DUMMYFUNCTION("""COMPUTED_VALUE"""),800)</f>
        <v>800</v>
      </c>
      <c r="L149" s="30" t="str">
        <f ca="1">IFERROR(__xludf.DUMMYFUNCTION("""COMPUTED_VALUE"""),"Cultural")</f>
        <v>Cultural</v>
      </c>
      <c r="M149" s="30" t="str">
        <f ca="1">IFERROR(__xludf.DUMMYFUNCTION("""COMPUTED_VALUE"""),"Sitios arqueológicos de Léon. Nuevas Investigaciones")</f>
        <v>Sitios arqueológicos de Léon. Nuevas Investigaciones</v>
      </c>
      <c r="N149" s="30" t="str">
        <f ca="1">IFERROR(__xludf.DUMMYFUNCTION("""COMPUTED_VALUE"""),"Conoce los avances que se han logrado en materia de registros arqueológicos en el estado de Guanajuato, en especial con los de la ciudad de León a través de mapas, materiales fotográficos de los sitios y cerámicas encontradas además de lagunas publicacion"&amp;"es bibliográficas.  Impartido por: Arqlgo. Luis Humberto Carlín Vargas")</f>
        <v>Conoce los avances que se han logrado en materia de registros arqueológicos en el estado de Guanajuato, en especial con los de la ciudad de León a través de mapas, materiales fotográficos de los sitios y cerámicas encontradas además de lagunas publicaciones bibliográficas.  Impartido por: Arqlgo. Luis Humberto Carlín Vargas</v>
      </c>
      <c r="O149" s="30" t="str">
        <f ca="1">IFERROR(__xludf.DUMMYFUNCTION("""COMPUTED_VALUE"""),"Única")</f>
        <v>Única</v>
      </c>
      <c r="P149" s="33">
        <f ca="1">IFERROR(__xludf.DUMMYFUNCTION("""COMPUTED_VALUE"""),46186)</f>
        <v>46186</v>
      </c>
      <c r="Q149" s="33">
        <f ca="1">IFERROR(__xludf.DUMMYFUNCTION("""COMPUTED_VALUE"""),46186)</f>
        <v>46186</v>
      </c>
      <c r="R149" s="30">
        <f ca="1">IFERROR(__xludf.DUMMYFUNCTION("""COMPUTED_VALUE"""),1)</f>
        <v>1</v>
      </c>
      <c r="S149" s="30" t="str">
        <f ca="1">IFERROR(__xludf.DUMMYFUNCTION("""COMPUTED_VALUE"""),"Patrimonio cultural")</f>
        <v>Patrimonio cultural</v>
      </c>
      <c r="T149" s="30" t="str">
        <f ca="1">IFERROR(__xludf.DUMMYFUNCTION("""COMPUTED_VALUE"""),"Patrimonio material")</f>
        <v>Patrimonio material</v>
      </c>
      <c r="U149" s="30" t="str">
        <f ca="1">IFERROR(__xludf.DUMMYFUNCTION("""COMPUTED_VALUE"""),"Conferencia")</f>
        <v>Conferencia</v>
      </c>
      <c r="V149" s="30" t="str">
        <f ca="1">IFERROR(__xludf.DUMMYFUNCTION("""COMPUTED_VALUE"""),"Ninguna")</f>
        <v>Ninguna</v>
      </c>
      <c r="W149" s="30" t="str">
        <f ca="1">IFERROR(__xludf.DUMMYFUNCTION("""COMPUTED_VALUE"""),"Presencial")</f>
        <v>Presencial</v>
      </c>
      <c r="X149" s="30" t="str">
        <f ca="1">IFERROR(__xludf.DUMMYFUNCTION("""COMPUTED_VALUE"""),"Espacio a Cargo de la Secretaría")</f>
        <v>Espacio a Cargo de la Secretaría</v>
      </c>
      <c r="Y149" s="30" t="str">
        <f ca="1">IFERROR(__xludf.DUMMYFUNCTION("""COMPUTED_VALUE"""),"8")</f>
        <v>8</v>
      </c>
      <c r="Z149" s="30"/>
      <c r="AA149" s="30"/>
      <c r="AB149" s="30" t="b">
        <f ca="1">IFERROR(__xludf.DUMMYFUNCTION("""COMPUTED_VALUE"""),FALSE)</f>
        <v>0</v>
      </c>
      <c r="AC149" s="30"/>
      <c r="AD149" s="30" t="b">
        <f ca="1">IFERROR(__xludf.DUMMYFUNCTION("""COMPUTED_VALUE"""),FALSE)</f>
        <v>0</v>
      </c>
      <c r="AE149" s="30"/>
      <c r="AF149" s="30" t="b">
        <f ca="1">IFERROR(__xludf.DUMMYFUNCTION("""COMPUTED_VALUE"""),FALSE)</f>
        <v>0</v>
      </c>
      <c r="AG149" s="30"/>
      <c r="AH149" s="30" t="str">
        <f ca="1">IFERROR(__xludf.DUMMYFUNCTION("""COMPUTED_VALUE"""),"Sin costo")</f>
        <v>Sin costo</v>
      </c>
      <c r="AI149" s="30"/>
      <c r="AJ149" s="30"/>
      <c r="AK149" s="30"/>
      <c r="AL149" s="30" t="str">
        <f ca="1">IFERROR(__xludf.DUMMYFUNCTION("""COMPUTED_VALUE"""),"ccardonav@guanajuato.gob.mx")</f>
        <v>ccardonav@guanajuato.gob.mx</v>
      </c>
      <c r="AM149" s="30" t="str">
        <f ca="1">IFERROR(__xludf.DUMMYFUNCTION("""COMPUTED_VALUE"""),"Mayor inversión en conservación del patrimonio artístico y cultural.")</f>
        <v>Mayor inversión en conservación del patrimonio artístico y cultural.</v>
      </c>
      <c r="AN149" s="30" t="str">
        <f ca="1">IFERROR(__xludf.DUMMYFUNCTION("""COMPUTED_VALUE"""),"1 Tranquilidad")</f>
        <v>1 Tranquilidad</v>
      </c>
      <c r="AO149" s="30" t="str">
        <f ca="1">IFERROR(__xludf.DUMMYFUNCTION("""COMPUTED_VALUE"""),"1.2 Fortalecer prevención del delito")</f>
        <v>1.2 Fortalecer prevención del delito</v>
      </c>
      <c r="AP149" s="30" t="str">
        <f ca="1">IFERROR(__xludf.DUMMYFUNCTION("""COMPUTED_VALUE"""),"1.2.2 Fortalecimiento del tejido social")</f>
        <v>1.2.2 Fortalecimiento del tejido social</v>
      </c>
      <c r="AQ149" s="30" t="str">
        <f ca="1">IFERROR(__xludf.DUMMYFUNCTION("""COMPUTED_VALUE"""),"1.2.3.4 Promover una cultura de paz desde las expresiones artísticas y culturales")</f>
        <v>1.2.3.4 Promover una cultura de paz desde las expresiones artísticas y culturales</v>
      </c>
      <c r="AR149" s="30" t="str">
        <f ca="1">IFERROR(__xludf.DUMMYFUNCTION("""COMPUTED_VALUE"""),"Cooperación")</f>
        <v>Cooperación</v>
      </c>
      <c r="AS149" s="30"/>
      <c r="AT149" s="30" t="str">
        <f ca="1">IFERROR(__xludf.DUMMYFUNCTION("""COMPUTED_VALUE"""),"Sostenibilidad del trabajo cultural y la economía creativa.")</f>
        <v>Sostenibilidad del trabajo cultural y la economía creativa.</v>
      </c>
      <c r="AU149" s="30" t="str">
        <f ca="1">IFERROR(__xludf.DUMMYFUNCTION("""COMPUTED_VALUE"""),"Impulso al reconocimiento laboral para agentes culturales y creativos en las regiones del estado.")</f>
        <v>Impulso al reconocimiento laboral para agentes culturales y creativos en las regiones del estado.</v>
      </c>
      <c r="AV149" s="30" t="str">
        <f ca="1">IFERROR(__xludf.DUMMYFUNCTION("""COMPUTED_VALUE"""),"Impulsar campañas de sensibilización sobre el valor económico y social del trabajo.")</f>
        <v>Impulsar campañas de sensibilización sobre el valor económico y social del trabajo.</v>
      </c>
      <c r="AW149" s="30" t="str">
        <f ca="1">IFERROR(__xludf.DUMMYFUNCTION("""COMPUTED_VALUE"""),"Lograr un incremento anual del 15% de agentes culturales y creativos con contratos de servicios profesionales.")</f>
        <v>Lograr un incremento anual del 15% de agentes culturales y creativos con contratos de servicios profesionales.</v>
      </c>
      <c r="AX149" s="30" t="str">
        <f ca="1">IFERROR(__xludf.DUMMYFUNCTION("""COMPUTED_VALUE"""),"Conferencia")</f>
        <v>Conferencia</v>
      </c>
      <c r="AY149" s="30" t="str">
        <f ca="1">IFERROR(__xludf.DUMMYFUNCTION("""COMPUTED_VALUE"""),"Formación")</f>
        <v>Formación</v>
      </c>
      <c r="AZ149" s="30" t="str">
        <f ca="1">IFERROR(__xludf.DUMMYFUNCTION("""COMPUTED_VALUE"""),"Formación")</f>
        <v>Formación</v>
      </c>
      <c r="BA149" s="30"/>
      <c r="BB149" s="30"/>
      <c r="BC149" s="30">
        <f ca="1">IFERROR(__xludf.DUMMYFUNCTION("""COMPUTED_VALUE"""),0)</f>
        <v>0</v>
      </c>
      <c r="BD149" s="30"/>
      <c r="BE149" s="30"/>
      <c r="BF149" s="30" t="b">
        <f ca="1">IFERROR(__xludf.DUMMYFUNCTION("""COMPUTED_VALUE"""),FALSE)</f>
        <v>0</v>
      </c>
      <c r="BG149" s="30"/>
      <c r="BH149" s="30"/>
      <c r="BI149" s="30"/>
      <c r="BJ149" s="30"/>
      <c r="BK149" s="30"/>
      <c r="BL149" s="30" t="str">
        <f ca="1">IFERROR(__xludf.DUMMYFUNCTION("""COMPUTED_VALUE"""),"Vinculacion")</f>
        <v>Vinculacion</v>
      </c>
      <c r="BM149" s="30" t="str">
        <f ca="1">IFERROR(__xludf.DUMMYFUNCTION("""COMPUTED_VALUE"""),"Sí")</f>
        <v>Sí</v>
      </c>
      <c r="BN149" s="30" t="str">
        <f ca="1">IFERROR(__xludf.DUMMYFUNCTION("""COMPUTED_VALUE"""),"Acompañamiento Técnico")</f>
        <v>Acompañamiento Técnico</v>
      </c>
      <c r="BO149" s="30" t="str">
        <f ca="1">IFERROR(__xludf.DUMMYFUNCTION("""COMPUTED_VALUE"""),"9d2f7f65")</f>
        <v>9d2f7f65</v>
      </c>
      <c r="BP149" s="29" t="str">
        <f ca="1">IFERROR(__xludf.DUMMYFUNCTION("""COMPUTED_VALUE"""),"León")</f>
        <v>León</v>
      </c>
      <c r="BQ149" s="30" t="str">
        <f ca="1">IFERROR(__xludf.DUMMYFUNCTION("""COMPUTED_VALUE"""),"Urbano")</f>
        <v>Urbano</v>
      </c>
      <c r="BR149" s="30"/>
      <c r="BS149" s="30"/>
      <c r="BT149" s="30" t="str">
        <f ca="1">IFERROR(__xludf.DUMMYFUNCTION("""COMPUTED_VALUE"""),"La Martinica")</f>
        <v>La Martinica</v>
      </c>
      <c r="BU149" s="30" t="str">
        <f ca="1">IFERROR(__xludf.DUMMYFUNCTION("""COMPUTED_VALUE"""),"No")</f>
        <v>No</v>
      </c>
      <c r="BV149" s="30" t="str">
        <f ca="1">IFERROR(__xludf.DUMMYFUNCTION("""COMPUTED_VALUE"""),"No")</f>
        <v>No</v>
      </c>
      <c r="BW149" s="30">
        <f ca="1">IFERROR(__xludf.DUMMYFUNCTION("""COMPUTED_VALUE"""),30)</f>
        <v>30</v>
      </c>
      <c r="BX149" s="30"/>
      <c r="BY149" s="30">
        <f ca="1">IFERROR(__xludf.DUMMYFUNCTION("""COMPUTED_VALUE"""),30)</f>
        <v>30</v>
      </c>
      <c r="BZ149" s="30" t="str">
        <f ca="1">IFERROR(__xludf.DUMMYFUNCTION("""COMPUTED_VALUE"""),"La Martinica")</f>
        <v>La Martinica</v>
      </c>
      <c r="CA149" s="30" t="str">
        <f ca="1">IFERROR(__xludf.DUMMYFUNCTION("""COMPUTED_VALUE"""),"No")</f>
        <v>No</v>
      </c>
      <c r="CB149" s="30" t="str">
        <f ca="1">IFERROR(__xludf.DUMMYFUNCTION("""COMPUTED_VALUE"""),"No")</f>
        <v>No</v>
      </c>
      <c r="CC149" s="30" t="str">
        <f ca="1">IFERROR(__xludf.DUMMYFUNCTION("""COMPUTED_VALUE"""),"73a5147a")</f>
        <v>73a5147a</v>
      </c>
      <c r="CD149" s="29" t="str">
        <f ca="1">IFERROR(__xludf.DUMMYFUNCTION("""COMPUTED_VALUE"""),"Niñas y Niños (6 a 12 años)")</f>
        <v>Niñas y Niños (6 a 12 años)</v>
      </c>
      <c r="CE149" s="30" t="str">
        <f ca="1">IFERROR(__xludf.DUMMYFUNCTION("""COMPUTED_VALUE"""),"Dato global")</f>
        <v>Dato global</v>
      </c>
      <c r="CF149" s="30" t="str">
        <f ca="1">IFERROR(__xludf.DUMMYFUNCTION("""COMPUTED_VALUE"""),"NNA (Niñas, Niños y Adolescentes)")</f>
        <v>NNA (Niñas, Niños y Adolescentes)</v>
      </c>
      <c r="CG149" s="30">
        <f ca="1">IFERROR(__xludf.DUMMYFUNCTION("""COMPUTED_VALUE"""),43)</f>
        <v>43</v>
      </c>
      <c r="CI149" s="30" t="str">
        <f ca="1">IFERROR(__xludf.DUMMYFUNCTION("""COMPUTED_VALUE"""),"289da15b")</f>
        <v>289da15b</v>
      </c>
      <c r="CJ149" s="29" t="str">
        <f ca="1">IFERROR(__xludf.DUMMYFUNCTION("""COMPUTED_VALUE"""),"Regitro_Evidencia_Files_/289da15b.Archivo_Evidencia.224411.pptx")</f>
        <v>Regitro_Evidencia_Files_/289da15b.Archivo_Evidencia.224411.pptx</v>
      </c>
      <c r="CK149" s="30" t="str">
        <f ca="1">IFERROR(__xludf.DUMMYFUNCTION("""COMPUTED_VALUE"""),"Otro tipo de archivo ")</f>
        <v xml:space="preserve">Otro tipo de archivo </v>
      </c>
      <c r="CL149" s="30"/>
      <c r="CM149" s="30" t="str">
        <f ca="1">IFERROR(__xludf.DUMMYFUNCTION("""COMPUTED_VALUE"""),"León")</f>
        <v>León</v>
      </c>
      <c r="CN149" s="32" t="e">
        <f ca="1"/>
        <v>#NAME?</v>
      </c>
      <c r="CO149" s="32" t="e">
        <f ca="1"/>
        <v>#NAME?</v>
      </c>
      <c r="CP149" s="32" t="e">
        <f ca="1"/>
        <v>#NAME?</v>
      </c>
      <c r="CQ149" s="32" t="e">
        <f ca="1"/>
        <v>#NAME?</v>
      </c>
      <c r="CR149" s="30" t="e">
        <f ca="1"/>
        <v>#NAME?</v>
      </c>
      <c r="CS149" s="30" t="str">
        <f ca="1">IFERROR(__xludf.DUMMYFUNCTION("""COMPUTED_VALUE"""),"Comunidad LGBTIQ+, Comunidad LGBTIQ+, Comunidad LGBTIQ+, Comunidad LGBTIQ+")</f>
        <v>Comunidad LGBTIQ+, Comunidad LGBTIQ+, Comunidad LGBTIQ+, Comunidad LGBTIQ+</v>
      </c>
    </row>
    <row r="150" spans="1:97" ht="13">
      <c r="A150" s="29" t="str">
        <f ca="1">IFERROR(__xludf.DUMMYFUNCTION("""COMPUTED_VALUE"""),"ACT-SCQQ30458")</f>
        <v>ACT-SCQQ30458</v>
      </c>
      <c r="B150" s="30" t="str">
        <f ca="1">IFERROR(__xludf.DUMMYFUNCTION("""COMPUTED_VALUE"""),"SC-260702-123851")</f>
        <v>SC-260702-123851</v>
      </c>
      <c r="C150" s="62">
        <f ca="1">IFERROR(__xludf.DUMMYFUNCTION("""COMPUTED_VALUE"""),46205.5269791666)</f>
        <v>46205.5269791666</v>
      </c>
      <c r="D150" s="30">
        <f ca="1">IFERROR(__xludf.DUMMYFUNCTION("""COMPUTED_VALUE"""),92)</f>
        <v>92</v>
      </c>
      <c r="E150" s="30" t="str">
        <f ca="1">IFERROR(__xludf.DUMMYFUNCTION("""COMPUTED_VALUE"""),"PB3572")</f>
        <v>PB3572</v>
      </c>
      <c r="F15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0" s="30" t="str">
        <f ca="1">IFERROR(__xludf.DUMMYFUNCTION("""COMPUTED_VALUE"""),"SUBSECRETARÍA DE DESARROLLO Y PROMOCIÓN ARTÍSTICA Y CULTURAL")</f>
        <v>SUBSECRETARÍA DE DESARROLLO Y PROMOCIÓN ARTÍSTICA Y CULTURAL</v>
      </c>
      <c r="I150" s="34" t="str">
        <f ca="1">IFERROR(__xludf.DUMMYFUNCTION("""COMPUTED_VALUE"""),"DIRECCIÓN GENERAL DE MUSEOS, ARTES VISUALES Y EXPOSICIONES")</f>
        <v>DIRECCIÓN GENERAL DE MUSEOS, ARTES VISUALES Y EXPOSICIONES</v>
      </c>
      <c r="J150" s="30" t="str">
        <f ca="1">IFERROR(__xludf.DUMMYFUNCTION("""COMPUTED_VALUE"""),"Número de Actividades realizadas")</f>
        <v>Número de Actividades realizadas</v>
      </c>
      <c r="K150" s="30">
        <f ca="1">IFERROR(__xludf.DUMMYFUNCTION("""COMPUTED_VALUE"""),800)</f>
        <v>800</v>
      </c>
      <c r="L150" s="30" t="str">
        <f ca="1">IFERROR(__xludf.DUMMYFUNCTION("""COMPUTED_VALUE"""),"Cultural")</f>
        <v>Cultural</v>
      </c>
      <c r="M150" s="30" t="str">
        <f ca="1">IFERROR(__xludf.DUMMYFUNCTION("""COMPUTED_VALUE"""),"Presentación editorial del proyecto Sueños ARV")</f>
        <v>Presentación editorial del proyecto Sueños ARV</v>
      </c>
      <c r="N150" s="30" t="str">
        <f ca="1">IFERROR(__xludf.DUMMYFUNCTION("""COMPUTED_VALUE"""),"Realizado por Hause Infonavit y beneficiado por el Patronato de Arte Contemporáneo (PAC) 2025. Durante la sesión se compartirán los resultados del proceso artístico-investigativo desarrollado por el colectivo, enfocado en la construcción de otras miradas "&amp;"y narrativas en torno al VIH desde la memoria colectiva, la experiencia situada y la producción colaborativa.")</f>
        <v>Realizado por Hause Infonavit y beneficiado por el Patronato de Arte Contemporáneo (PAC) 2025. Durante la sesión se compartirán los resultados del proceso artístico-investigativo desarrollado por el colectivo, enfocado en la construcción de otras miradas y narrativas en torno al VIH desde la memoria colectiva, la experiencia situada y la producción colaborativa.</v>
      </c>
      <c r="O150" s="30" t="str">
        <f ca="1">IFERROR(__xludf.DUMMYFUNCTION("""COMPUTED_VALUE"""),"Única")</f>
        <v>Única</v>
      </c>
      <c r="P150" s="33">
        <f ca="1">IFERROR(__xludf.DUMMYFUNCTION("""COMPUTED_VALUE"""),46186)</f>
        <v>46186</v>
      </c>
      <c r="Q150" s="33">
        <f ca="1">IFERROR(__xludf.DUMMYFUNCTION("""COMPUTED_VALUE"""),46186)</f>
        <v>46186</v>
      </c>
      <c r="R150" s="30">
        <f ca="1">IFERROR(__xludf.DUMMYFUNCTION("""COMPUTED_VALUE"""),1)</f>
        <v>1</v>
      </c>
      <c r="S150" s="30" t="str">
        <f ca="1">IFERROR(__xludf.DUMMYFUNCTION("""COMPUTED_VALUE"""),"Economía creativa")</f>
        <v>Economía creativa</v>
      </c>
      <c r="T150" s="30" t="str">
        <f ca="1">IFERROR(__xludf.DUMMYFUNCTION("""COMPUTED_VALUE"""),"Emprendimiento cultural")</f>
        <v>Emprendimiento cultural</v>
      </c>
      <c r="U150" s="30" t="str">
        <f ca="1">IFERROR(__xludf.DUMMYFUNCTION("""COMPUTED_VALUE"""),"Charla")</f>
        <v>Charla</v>
      </c>
      <c r="V150" s="30" t="str">
        <f ca="1">IFERROR(__xludf.DUMMYFUNCTION("""COMPUTED_VALUE"""),"Ninguna")</f>
        <v>Ninguna</v>
      </c>
      <c r="W150" s="30" t="str">
        <f ca="1">IFERROR(__xludf.DUMMYFUNCTION("""COMPUTED_VALUE"""),"Presencial")</f>
        <v>Presencial</v>
      </c>
      <c r="X150" s="30" t="str">
        <f ca="1">IFERROR(__xludf.DUMMYFUNCTION("""COMPUTED_VALUE"""),"Espacio a Cargo de la Secretaría")</f>
        <v>Espacio a Cargo de la Secretaría</v>
      </c>
      <c r="Y150" s="30" t="str">
        <f ca="1">IFERROR(__xludf.DUMMYFUNCTION("""COMPUTED_VALUE"""),"8")</f>
        <v>8</v>
      </c>
      <c r="Z150" s="30"/>
      <c r="AA150" s="30"/>
      <c r="AB150" s="30" t="b">
        <f ca="1">IFERROR(__xludf.DUMMYFUNCTION("""COMPUTED_VALUE"""),FALSE)</f>
        <v>0</v>
      </c>
      <c r="AC150" s="30"/>
      <c r="AD150" s="30" t="b">
        <f ca="1">IFERROR(__xludf.DUMMYFUNCTION("""COMPUTED_VALUE"""),FALSE)</f>
        <v>0</v>
      </c>
      <c r="AE150" s="30"/>
      <c r="AF150" s="30" t="b">
        <f ca="1">IFERROR(__xludf.DUMMYFUNCTION("""COMPUTED_VALUE"""),FALSE)</f>
        <v>0</v>
      </c>
      <c r="AG150" s="30"/>
      <c r="AH150" s="30" t="str">
        <f ca="1">IFERROR(__xludf.DUMMYFUNCTION("""COMPUTED_VALUE"""),"Sin costo")</f>
        <v>Sin costo</v>
      </c>
      <c r="AI150" s="30"/>
      <c r="AJ150" s="30"/>
      <c r="AK150" s="30"/>
      <c r="AL150" s="30" t="str">
        <f ca="1">IFERROR(__xludf.DUMMYFUNCTION("""COMPUTED_VALUE"""),"ccardonav@guanajuato.gob.mx")</f>
        <v>ccardonav@guanajuato.gob.mx</v>
      </c>
      <c r="AM150"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150" s="30" t="str">
        <f ca="1">IFERROR(__xludf.DUMMYFUNCTION("""COMPUTED_VALUE"""),"1 Tranquilidad")</f>
        <v>1 Tranquilidad</v>
      </c>
      <c r="AO150" s="30" t="str">
        <f ca="1">IFERROR(__xludf.DUMMYFUNCTION("""COMPUTED_VALUE"""),"1.2 Fortalecer prevención del delito")</f>
        <v>1.2 Fortalecer prevención del delito</v>
      </c>
      <c r="AP150" s="30" t="str">
        <f ca="1">IFERROR(__xludf.DUMMYFUNCTION("""COMPUTED_VALUE"""),"1.2.2 Fortalecimiento del tejido social")</f>
        <v>1.2.2 Fortalecimiento del tejido social</v>
      </c>
      <c r="AQ150" s="30" t="str">
        <f ca="1">IFERROR(__xludf.DUMMYFUNCTION("""COMPUTED_VALUE"""),"1.2.3.4 Promover una cultura de paz desde las expresiones artísticas y culturales")</f>
        <v>1.2.3.4 Promover una cultura de paz desde las expresiones artísticas y culturales</v>
      </c>
      <c r="AR150" s="30" t="str">
        <f ca="1">IFERROR(__xludf.DUMMYFUNCTION("""COMPUTED_VALUE"""),"Inclusión")</f>
        <v>Inclusión</v>
      </c>
      <c r="AS150" s="30" t="str">
        <f ca="1">IFERROR(__xludf.DUMMYFUNCTION("""COMPUTED_VALUE"""),"Comunidad LGBTIQ+")</f>
        <v>Comunidad LGBTIQ+</v>
      </c>
      <c r="AT150" s="30" t="str">
        <f ca="1">IFERROR(__xludf.DUMMYFUNCTION("""COMPUTED_VALUE"""),"Fomento a la creación y circulación cultural.")</f>
        <v>Fomento a la creación y circulación cultural.</v>
      </c>
      <c r="AU150" s="30" t="str">
        <f ca="1">IFERROR(__xludf.DUMMYFUNCTION("""COMPUTED_VALUE"""),"Incentivar la creación y producción artística y cultural de agentes locales.")</f>
        <v>Incentivar la creación y producción artística y cultural de agentes locales.</v>
      </c>
      <c r="AV150" s="30" t="str">
        <f ca="1">IFERROR(__xludf.DUMMYFUNCTION("""COMPUTED_VALUE"""),"Diseñar e implementar un sistema de reconocimiento público a las comunidades culturales.")</f>
        <v>Diseñar e implementar un sistema de reconocimiento público a las comunidades culturales.</v>
      </c>
      <c r="AW150" s="30" t="str">
        <f ca="1">IFERROR(__xludf.DUMMYFUNCTION("""COMPUTED_VALUE"""),"Incrementar nuevas producciones, obras y proyectos culturales en un 15% anual.")</f>
        <v>Incrementar nuevas producciones, obras y proyectos culturales en un 15% anual.</v>
      </c>
      <c r="AX150" s="30" t="str">
        <f ca="1">IFERROR(__xludf.DUMMYFUNCTION("""COMPUTED_VALUE"""),"Charla")</f>
        <v>Charla</v>
      </c>
      <c r="AY150" s="30" t="str">
        <f ca="1">IFERROR(__xludf.DUMMYFUNCTION("""COMPUTED_VALUE"""),"Formación")</f>
        <v>Formación</v>
      </c>
      <c r="AZ150" s="30" t="str">
        <f ca="1">IFERROR(__xludf.DUMMYFUNCTION("""COMPUTED_VALUE"""),"Formación")</f>
        <v>Formación</v>
      </c>
      <c r="BA150" s="30"/>
      <c r="BB150" s="30"/>
      <c r="BC150" s="30">
        <f ca="1">IFERROR(__xludf.DUMMYFUNCTION("""COMPUTED_VALUE"""),0)</f>
        <v>0</v>
      </c>
      <c r="BD150" s="30"/>
      <c r="BE150" s="30"/>
      <c r="BF150" s="30" t="b">
        <f ca="1">IFERROR(__xludf.DUMMYFUNCTION("""COMPUTED_VALUE"""),FALSE)</f>
        <v>0</v>
      </c>
      <c r="BG150" s="30"/>
      <c r="BH150" s="30"/>
      <c r="BI150" s="30"/>
      <c r="BJ150" s="30"/>
      <c r="BK150" s="30"/>
      <c r="BL150" s="30" t="str">
        <f ca="1">IFERROR(__xludf.DUMMYFUNCTION("""COMPUTED_VALUE"""),"Vinculación")</f>
        <v>Vinculación</v>
      </c>
      <c r="BM150" s="30" t="str">
        <f ca="1">IFERROR(__xludf.DUMMYFUNCTION("""COMPUTED_VALUE"""),"Sí")</f>
        <v>Sí</v>
      </c>
      <c r="BN150" s="30" t="str">
        <f ca="1">IFERROR(__xludf.DUMMYFUNCTION("""COMPUTED_VALUE"""),"Acompañamiento Técnico")</f>
        <v>Acompañamiento Técnico</v>
      </c>
      <c r="BO150" s="30" t="str">
        <f ca="1">IFERROR(__xludf.DUMMYFUNCTION("""COMPUTED_VALUE"""),"69c9d5d1")</f>
        <v>69c9d5d1</v>
      </c>
      <c r="BP150" s="29" t="str">
        <f ca="1">IFERROR(__xludf.DUMMYFUNCTION("""COMPUTED_VALUE"""),"León")</f>
        <v>León</v>
      </c>
      <c r="BQ150" s="30" t="str">
        <f ca="1">IFERROR(__xludf.DUMMYFUNCTION("""COMPUTED_VALUE"""),"Urbano")</f>
        <v>Urbano</v>
      </c>
      <c r="BR150" s="30"/>
      <c r="BS150" s="30"/>
      <c r="BT150" s="30" t="str">
        <f ca="1">IFERROR(__xludf.DUMMYFUNCTION("""COMPUTED_VALUE"""),"La Martinica")</f>
        <v>La Martinica</v>
      </c>
      <c r="BU150" s="30" t="str">
        <f ca="1">IFERROR(__xludf.DUMMYFUNCTION("""COMPUTED_VALUE"""),"No")</f>
        <v>No</v>
      </c>
      <c r="BV150" s="30" t="str">
        <f ca="1">IFERROR(__xludf.DUMMYFUNCTION("""COMPUTED_VALUE"""),"No")</f>
        <v>No</v>
      </c>
      <c r="BW150" s="30">
        <f ca="1">IFERROR(__xludf.DUMMYFUNCTION("""COMPUTED_VALUE"""),23)</f>
        <v>23</v>
      </c>
      <c r="BX150" s="30"/>
      <c r="BY150" s="30">
        <f ca="1">IFERROR(__xludf.DUMMYFUNCTION("""COMPUTED_VALUE"""),23)</f>
        <v>23</v>
      </c>
      <c r="BZ150" s="30" t="str">
        <f ca="1">IFERROR(__xludf.DUMMYFUNCTION("""COMPUTED_VALUE"""),"La Martinica")</f>
        <v>La Martinica</v>
      </c>
      <c r="CA150" s="30" t="str">
        <f ca="1">IFERROR(__xludf.DUMMYFUNCTION("""COMPUTED_VALUE"""),"No")</f>
        <v>No</v>
      </c>
      <c r="CB150" s="30" t="str">
        <f ca="1">IFERROR(__xludf.DUMMYFUNCTION("""COMPUTED_VALUE"""),"No")</f>
        <v>No</v>
      </c>
      <c r="CC150" s="30" t="str">
        <f ca="1">IFERROR(__xludf.DUMMYFUNCTION("""COMPUTED_VALUE"""),"aacdf48f")</f>
        <v>aacdf48f</v>
      </c>
      <c r="CD150" s="29" t="str">
        <f ca="1">IFERROR(__xludf.DUMMYFUNCTION("""COMPUTED_VALUE"""),"Niñas y Niños (6 a 12 años)")</f>
        <v>Niñas y Niños (6 a 12 años)</v>
      </c>
      <c r="CE150" s="30" t="str">
        <f ca="1">IFERROR(__xludf.DUMMYFUNCTION("""COMPUTED_VALUE"""),"Dato global")</f>
        <v>Dato global</v>
      </c>
      <c r="CF150" s="30" t="str">
        <f ca="1">IFERROR(__xludf.DUMMYFUNCTION("""COMPUTED_VALUE"""),"NNA (Niñas, Niños y Adolescentes)")</f>
        <v>NNA (Niñas, Niños y Adolescentes)</v>
      </c>
      <c r="CG150" s="30">
        <f ca="1">IFERROR(__xludf.DUMMYFUNCTION("""COMPUTED_VALUE"""),18)</f>
        <v>18</v>
      </c>
      <c r="CI150" s="30" t="str">
        <f ca="1">IFERROR(__xludf.DUMMYFUNCTION("""COMPUTED_VALUE"""),"a0cf1e49")</f>
        <v>a0cf1e49</v>
      </c>
      <c r="CJ150" s="29" t="str">
        <f ca="1">IFERROR(__xludf.DUMMYFUNCTION("""COMPUTED_VALUE"""),"Regitro_Evidencia_Images/a0cf1e49.Archivo_Evidencia.225451.jpg")</f>
        <v>Regitro_Evidencia_Images/a0cf1e49.Archivo_Evidencia.225451.jpg</v>
      </c>
      <c r="CK150" s="30" t="str">
        <f ca="1">IFERROR(__xludf.DUMMYFUNCTION("""COMPUTED_VALUE"""),"Foto")</f>
        <v>Foto</v>
      </c>
      <c r="CL150" s="30"/>
      <c r="CM150" s="30" t="str">
        <f ca="1">IFERROR(__xludf.DUMMYFUNCTION("""COMPUTED_VALUE"""),"Silao de la Victoria")</f>
        <v>Silao de la Victoria</v>
      </c>
      <c r="CN150" s="32" t="e">
        <f ca="1"/>
        <v>#NAME?</v>
      </c>
      <c r="CO150" s="32" t="e">
        <f ca="1"/>
        <v>#NAME?</v>
      </c>
      <c r="CP150" s="32" t="e">
        <f ca="1"/>
        <v>#NAME?</v>
      </c>
      <c r="CQ150" s="32" t="e">
        <f ca="1"/>
        <v>#NAME?</v>
      </c>
      <c r="CR150" s="30" t="e">
        <f ca="1"/>
        <v>#NAME?</v>
      </c>
      <c r="CS150" s="30" t="str">
        <f ca="1">IFERROR(__xludf.DUMMYFUNCTION("""COMPUTED_VALUE"""),"Jóvenes en riesgo")</f>
        <v>Jóvenes en riesgo</v>
      </c>
    </row>
    <row r="151" spans="1:97" ht="13">
      <c r="A151" s="29" t="str">
        <f ca="1">IFERROR(__xludf.DUMMYFUNCTION("""COMPUTED_VALUE"""),"ACT-SCGL39605")</f>
        <v>ACT-SCGL39605</v>
      </c>
      <c r="B151" s="30" t="str">
        <f ca="1">IFERROR(__xludf.DUMMYFUNCTION("""COMPUTED_VALUE"""),"SC-260702-124836")</f>
        <v>SC-260702-124836</v>
      </c>
      <c r="C151" s="62">
        <f ca="1">IFERROR(__xludf.DUMMYFUNCTION("""COMPUTED_VALUE"""),46205.53375)</f>
        <v>46205.533750000002</v>
      </c>
      <c r="D151" s="30">
        <f ca="1">IFERROR(__xludf.DUMMYFUNCTION("""COMPUTED_VALUE"""),92)</f>
        <v>92</v>
      </c>
      <c r="E151" s="30" t="str">
        <f ca="1">IFERROR(__xludf.DUMMYFUNCTION("""COMPUTED_VALUE"""),"PB3572")</f>
        <v>PB3572</v>
      </c>
      <c r="F15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1" s="30" t="str">
        <f ca="1">IFERROR(__xludf.DUMMYFUNCTION("""COMPUTED_VALUE"""),"SUBSECRETARÍA DE DESARROLLO Y PROMOCIÓN ARTÍSTICA Y CULTURAL")</f>
        <v>SUBSECRETARÍA DE DESARROLLO Y PROMOCIÓN ARTÍSTICA Y CULTURAL</v>
      </c>
      <c r="I151" s="34" t="str">
        <f ca="1">IFERROR(__xludf.DUMMYFUNCTION("""COMPUTED_VALUE"""),"DIRECCIÓN GENERAL DE MUSEOS, ARTES VISUALES Y EXPOSICIONES")</f>
        <v>DIRECCIÓN GENERAL DE MUSEOS, ARTES VISUALES Y EXPOSICIONES</v>
      </c>
      <c r="J151" s="30" t="str">
        <f ca="1">IFERROR(__xludf.DUMMYFUNCTION("""COMPUTED_VALUE"""),"Número de Actividades realizadas")</f>
        <v>Número de Actividades realizadas</v>
      </c>
      <c r="K151" s="30">
        <f ca="1">IFERROR(__xludf.DUMMYFUNCTION("""COMPUTED_VALUE"""),800)</f>
        <v>800</v>
      </c>
      <c r="L151" s="30" t="str">
        <f ca="1">IFERROR(__xludf.DUMMYFUNCTION("""COMPUTED_VALUE"""),"Cultural")</f>
        <v>Cultural</v>
      </c>
      <c r="M151" s="30" t="str">
        <f ca="1">IFERROR(__xludf.DUMMYFUNCTION("""COMPUTED_VALUE"""),"Concierto para papá")</f>
        <v>Concierto para papá</v>
      </c>
      <c r="N151" s="30" t="str">
        <f ca="1">IFERROR(__xludf.DUMMYFUNCTION("""COMPUTED_VALUE"""),"Recordemos las mejores canciones y cantemos juntos a papá en la voz y arreglos musicales de Daniel Escalera.")</f>
        <v>Recordemos las mejores canciones y cantemos juntos a papá en la voz y arreglos musicales de Daniel Escalera.</v>
      </c>
      <c r="O151" s="30" t="str">
        <f ca="1">IFERROR(__xludf.DUMMYFUNCTION("""COMPUTED_VALUE"""),"Única")</f>
        <v>Única</v>
      </c>
      <c r="P151" s="33">
        <f ca="1">IFERROR(__xludf.DUMMYFUNCTION("""COMPUTED_VALUE"""),46187)</f>
        <v>46187</v>
      </c>
      <c r="Q151" s="33">
        <f ca="1">IFERROR(__xludf.DUMMYFUNCTION("""COMPUTED_VALUE"""),46187)</f>
        <v>46187</v>
      </c>
      <c r="R151" s="30">
        <f ca="1">IFERROR(__xludf.DUMMYFUNCTION("""COMPUTED_VALUE"""),1)</f>
        <v>1</v>
      </c>
      <c r="S151" s="30" t="str">
        <f ca="1">IFERROR(__xludf.DUMMYFUNCTION("""COMPUTED_VALUE"""),"Música")</f>
        <v>Música</v>
      </c>
      <c r="T151" s="30" t="str">
        <f ca="1">IFERROR(__xludf.DUMMYFUNCTION("""COMPUTED_VALUE"""),"Coro")</f>
        <v>Coro</v>
      </c>
      <c r="U151" s="30" t="str">
        <f ca="1">IFERROR(__xludf.DUMMYFUNCTION("""COMPUTED_VALUE"""),"Presentación artística")</f>
        <v>Presentación artística</v>
      </c>
      <c r="V151" s="30" t="str">
        <f ca="1">IFERROR(__xludf.DUMMYFUNCTION("""COMPUTED_VALUE"""),"Ninguna")</f>
        <v>Ninguna</v>
      </c>
      <c r="W151" s="30" t="str">
        <f ca="1">IFERROR(__xludf.DUMMYFUNCTION("""COMPUTED_VALUE"""),"Presencial")</f>
        <v>Presencial</v>
      </c>
      <c r="X151" s="30" t="str">
        <f ca="1">IFERROR(__xludf.DUMMYFUNCTION("""COMPUTED_VALUE"""),"Espacio a Cargo de la Secretaría")</f>
        <v>Espacio a Cargo de la Secretaría</v>
      </c>
      <c r="Y151" s="30" t="str">
        <f ca="1">IFERROR(__xludf.DUMMYFUNCTION("""COMPUTED_VALUE"""),"8")</f>
        <v>8</v>
      </c>
      <c r="Z151" s="30"/>
      <c r="AA151" s="30"/>
      <c r="AB151" s="30" t="b">
        <f ca="1">IFERROR(__xludf.DUMMYFUNCTION("""COMPUTED_VALUE"""),FALSE)</f>
        <v>0</v>
      </c>
      <c r="AC151" s="30"/>
      <c r="AD151" s="30" t="b">
        <f ca="1">IFERROR(__xludf.DUMMYFUNCTION("""COMPUTED_VALUE"""),FALSE)</f>
        <v>0</v>
      </c>
      <c r="AE151" s="30"/>
      <c r="AF151" s="30" t="b">
        <f ca="1">IFERROR(__xludf.DUMMYFUNCTION("""COMPUTED_VALUE"""),FALSE)</f>
        <v>0</v>
      </c>
      <c r="AG151" s="30"/>
      <c r="AH151" s="30" t="str">
        <f ca="1">IFERROR(__xludf.DUMMYFUNCTION("""COMPUTED_VALUE"""),"Sin costo")</f>
        <v>Sin costo</v>
      </c>
      <c r="AI151" s="30"/>
      <c r="AJ151" s="30"/>
      <c r="AK151" s="30"/>
      <c r="AL151" s="30" t="str">
        <f ca="1">IFERROR(__xludf.DUMMYFUNCTION("""COMPUTED_VALUE"""),"ccardonav@guanajuato.gob.mx")</f>
        <v>ccardonav@guanajuato.gob.mx</v>
      </c>
      <c r="AM151" s="30" t="str">
        <f ca="1">IFERROR(__xludf.DUMMYFUNCTION("""COMPUTED_VALUE"""),"Arraigo y empoderamiento cultural de comunidades.")</f>
        <v>Arraigo y empoderamiento cultural de comunidades.</v>
      </c>
      <c r="AN151" s="30" t="str">
        <f ca="1">IFERROR(__xludf.DUMMYFUNCTION("""COMPUTED_VALUE"""),"1 Tranquilidad")</f>
        <v>1 Tranquilidad</v>
      </c>
      <c r="AO151" s="30" t="str">
        <f ca="1">IFERROR(__xludf.DUMMYFUNCTION("""COMPUTED_VALUE"""),"1.2 Fortalecer prevención del delito")</f>
        <v>1.2 Fortalecer prevención del delito</v>
      </c>
      <c r="AP151" s="30" t="str">
        <f ca="1">IFERROR(__xludf.DUMMYFUNCTION("""COMPUTED_VALUE"""),"1.2.2 Fortalecimiento del tejido social")</f>
        <v>1.2.2 Fortalecimiento del tejido social</v>
      </c>
      <c r="AQ151" s="30" t="str">
        <f ca="1">IFERROR(__xludf.DUMMYFUNCTION("""COMPUTED_VALUE"""),"1.2.3.4 Promover una cultura de paz desde las expresiones artísticas y culturales")</f>
        <v>1.2.3.4 Promover una cultura de paz desde las expresiones artísticas y culturales</v>
      </c>
      <c r="AR151" s="30" t="str">
        <f ca="1">IFERROR(__xludf.DUMMYFUNCTION("""COMPUTED_VALUE"""),"Cooperación")</f>
        <v>Cooperación</v>
      </c>
      <c r="AS151" s="30"/>
      <c r="AT151" s="30" t="str">
        <f ca="1">IFERROR(__xludf.DUMMYFUNCTION("""COMPUTED_VALUE"""),"Protección y dinamización del patrimonio, la memoria y los espacios culturales")</f>
        <v>Protección y dinamización del patrimonio, la memoria y los espacios culturales</v>
      </c>
      <c r="AU151" s="30" t="str">
        <f ca="1">IFERROR(__xludf.DUMMYFUNCTION("""COMPUTED_VALUE"""),"Fortalecimiento de los procesos de identificación, conservación, investigación, divulgación y promoción del patrimonio cultural material e inmaterial.")</f>
        <v>Fortalecimiento de los procesos de identificación, conservación, investigación, divulgación y promoción del patrimonio cultural material e inmaterial.</v>
      </c>
      <c r="AV151" s="30" t="str">
        <f ca="1">IFERROR(__xludf.DUMMYFUNCTION("""COMPUTED_VALUE"""),"Realizar procesos de memoria colaborativa con comunidades para reconocer su legado cultural en el patrimonio estatal.")</f>
        <v>Realizar procesos de memoria colaborativa con comunidades para reconocer su legado cultural en el patrimonio estatal.</v>
      </c>
      <c r="AW151" s="30" t="str">
        <f ca="1">IFERROR(__xludf.DUMMYFUNCTION("""COMPUTED_VALUE"""),"Lograr un incremento anual del 10% de población que participa en actividades comunitarias para el aprovechamiento de los espacios culturales y zonas patrimoniales.")</f>
        <v>Lograr un incremento anual del 10% de población que participa en actividades comunitarias para el aprovechamiento de los espacios culturales y zonas patrimoniales.</v>
      </c>
      <c r="AX151" s="30" t="str">
        <f ca="1">IFERROR(__xludf.DUMMYFUNCTION("""COMPUTED_VALUE"""),"Presentación artística")</f>
        <v>Presentación artística</v>
      </c>
      <c r="AY151" s="30" t="str">
        <f ca="1">IFERROR(__xludf.DUMMYFUNCTION("""COMPUTED_VALUE"""),"Formación")</f>
        <v>Formación</v>
      </c>
      <c r="AZ151" s="30" t="str">
        <f ca="1">IFERROR(__xludf.DUMMYFUNCTION("""COMPUTED_VALUE"""),"Formación")</f>
        <v>Formación</v>
      </c>
      <c r="BA151" s="30"/>
      <c r="BB151" s="30"/>
      <c r="BC151" s="30">
        <f ca="1">IFERROR(__xludf.DUMMYFUNCTION("""COMPUTED_VALUE"""),0)</f>
        <v>0</v>
      </c>
      <c r="BD151" s="30"/>
      <c r="BE151" s="30"/>
      <c r="BF151" s="30" t="b">
        <f ca="1">IFERROR(__xludf.DUMMYFUNCTION("""COMPUTED_VALUE"""),FALSE)</f>
        <v>0</v>
      </c>
      <c r="BG151" s="30"/>
      <c r="BH151" s="30"/>
      <c r="BI151" s="30"/>
      <c r="BJ151" s="30"/>
      <c r="BK151" s="30"/>
      <c r="BL151" s="30" t="str">
        <f ca="1">IFERROR(__xludf.DUMMYFUNCTION("""COMPUTED_VALUE"""),"Vinculacion")</f>
        <v>Vinculacion</v>
      </c>
      <c r="BM151" s="30" t="str">
        <f ca="1">IFERROR(__xludf.DUMMYFUNCTION("""COMPUTED_VALUE"""),"Sí")</f>
        <v>Sí</v>
      </c>
      <c r="BN151" s="30" t="str">
        <f ca="1">IFERROR(__xludf.DUMMYFUNCTION("""COMPUTED_VALUE"""),"Acompañamiento Técnico")</f>
        <v>Acompañamiento Técnico</v>
      </c>
      <c r="BO151" s="30" t="str">
        <f ca="1">IFERROR(__xludf.DUMMYFUNCTION("""COMPUTED_VALUE"""),"37d9626a")</f>
        <v>37d9626a</v>
      </c>
      <c r="BP151" s="29" t="str">
        <f ca="1">IFERROR(__xludf.DUMMYFUNCTION("""COMPUTED_VALUE"""),"León")</f>
        <v>León</v>
      </c>
      <c r="BQ151" s="30" t="str">
        <f ca="1">IFERROR(__xludf.DUMMYFUNCTION("""COMPUTED_VALUE"""),"Urbano")</f>
        <v>Urbano</v>
      </c>
      <c r="BR151" s="30"/>
      <c r="BS151" s="30"/>
      <c r="BT151" s="30" t="str">
        <f ca="1">IFERROR(__xludf.DUMMYFUNCTION("""COMPUTED_VALUE"""),"La Martinica")</f>
        <v>La Martinica</v>
      </c>
      <c r="BU151" s="30" t="str">
        <f ca="1">IFERROR(__xludf.DUMMYFUNCTION("""COMPUTED_VALUE"""),"No")</f>
        <v>No</v>
      </c>
      <c r="BV151" s="30" t="str">
        <f ca="1">IFERROR(__xludf.DUMMYFUNCTION("""COMPUTED_VALUE"""),"No")</f>
        <v>No</v>
      </c>
      <c r="BW151" s="30">
        <f ca="1">IFERROR(__xludf.DUMMYFUNCTION("""COMPUTED_VALUE"""),142)</f>
        <v>142</v>
      </c>
      <c r="BX151" s="30"/>
      <c r="BY151" s="30">
        <f ca="1">IFERROR(__xludf.DUMMYFUNCTION("""COMPUTED_VALUE"""),142)</f>
        <v>142</v>
      </c>
      <c r="BZ151" s="30" t="str">
        <f ca="1">IFERROR(__xludf.DUMMYFUNCTION("""COMPUTED_VALUE"""),"La Martinica")</f>
        <v>La Martinica</v>
      </c>
      <c r="CA151" s="30" t="str">
        <f ca="1">IFERROR(__xludf.DUMMYFUNCTION("""COMPUTED_VALUE"""),"No")</f>
        <v>No</v>
      </c>
      <c r="CB151" s="30" t="str">
        <f ca="1">IFERROR(__xludf.DUMMYFUNCTION("""COMPUTED_VALUE"""),"No")</f>
        <v>No</v>
      </c>
      <c r="CC151" s="30" t="str">
        <f ca="1">IFERROR(__xludf.DUMMYFUNCTION("""COMPUTED_VALUE"""),"5eb9a471")</f>
        <v>5eb9a471</v>
      </c>
      <c r="CD151" s="29" t="str">
        <f ca="1">IFERROR(__xludf.DUMMYFUNCTION("""COMPUTED_VALUE"""),"Niñas y Niños (6 a 12 años)")</f>
        <v>Niñas y Niños (6 a 12 años)</v>
      </c>
      <c r="CE151" s="30" t="str">
        <f ca="1">IFERROR(__xludf.DUMMYFUNCTION("""COMPUTED_VALUE"""),"Dato global")</f>
        <v>Dato global</v>
      </c>
      <c r="CF151" s="30" t="str">
        <f ca="1">IFERROR(__xludf.DUMMYFUNCTION("""COMPUTED_VALUE"""),"NNA (Niñas, Niños y Adolescentes)")</f>
        <v>NNA (Niñas, Niños y Adolescentes)</v>
      </c>
      <c r="CG151" s="30">
        <f ca="1">IFERROR(__xludf.DUMMYFUNCTION("""COMPUTED_VALUE"""),29)</f>
        <v>29</v>
      </c>
      <c r="CI151" s="30" t="str">
        <f ca="1">IFERROR(__xludf.DUMMYFUNCTION("""COMPUTED_VALUE"""),"f96b7793")</f>
        <v>f96b7793</v>
      </c>
      <c r="CJ151" s="29" t="str">
        <f ca="1">IFERROR(__xludf.DUMMYFUNCTION("""COMPUTED_VALUE"""),"Regitro_Evidencia_Images/f96b7793.Archivo_Evidencia.230120.jpg")</f>
        <v>Regitro_Evidencia_Images/f96b7793.Archivo_Evidencia.230120.jpg</v>
      </c>
      <c r="CK151" s="30" t="str">
        <f ca="1">IFERROR(__xludf.DUMMYFUNCTION("""COMPUTED_VALUE"""),"Foto")</f>
        <v>Foto</v>
      </c>
      <c r="CL151" s="30"/>
      <c r="CM151" s="30" t="str">
        <f ca="1">IFERROR(__xludf.DUMMYFUNCTION("""COMPUTED_VALUE"""),"Silao de la Victoria")</f>
        <v>Silao de la Victoria</v>
      </c>
      <c r="CN151" s="32" t="e">
        <f ca="1"/>
        <v>#NAME?</v>
      </c>
      <c r="CO151" s="32" t="e">
        <f ca="1"/>
        <v>#NAME?</v>
      </c>
      <c r="CP151" s="32" t="e">
        <f ca="1"/>
        <v>#NAME?</v>
      </c>
      <c r="CQ151" s="32" t="e">
        <f ca="1"/>
        <v>#NAME?</v>
      </c>
      <c r="CR151" s="30" t="e">
        <f ca="1"/>
        <v>#NAME?</v>
      </c>
      <c r="CS151" s="30" t="str">
        <f ca="1">IFERROR(__xludf.DUMMYFUNCTION("""COMPUTED_VALUE"""),"Jóvenes en riesgo")</f>
        <v>Jóvenes en riesgo</v>
      </c>
    </row>
    <row r="152" spans="1:97" ht="13">
      <c r="A152" s="29" t="str">
        <f ca="1">IFERROR(__xludf.DUMMYFUNCTION("""COMPUTED_VALUE"""),"ACT-SCWD48387")</f>
        <v>ACT-SCWD48387</v>
      </c>
      <c r="B152" s="30" t="str">
        <f ca="1">IFERROR(__xludf.DUMMYFUNCTION("""COMPUTED_VALUE"""),"SC-260702-142006")</f>
        <v>SC-260702-142006</v>
      </c>
      <c r="C152" s="62">
        <f ca="1">IFERROR(__xludf.DUMMYFUNCTION("""COMPUTED_VALUE"""),46205.5972916666)</f>
        <v>46205.5972916666</v>
      </c>
      <c r="D152" s="30">
        <f ca="1">IFERROR(__xludf.DUMMYFUNCTION("""COMPUTED_VALUE"""),92)</f>
        <v>92</v>
      </c>
      <c r="E152" s="30" t="str">
        <f ca="1">IFERROR(__xludf.DUMMYFUNCTION("""COMPUTED_VALUE"""),"PB3572")</f>
        <v>PB3572</v>
      </c>
      <c r="F15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2" s="30" t="str">
        <f ca="1">IFERROR(__xludf.DUMMYFUNCTION("""COMPUTED_VALUE"""),"SUBSECRETARÍA DE DESARROLLO Y PROMOCIÓN ARTÍSTICA Y CULTURAL")</f>
        <v>SUBSECRETARÍA DE DESARROLLO Y PROMOCIÓN ARTÍSTICA Y CULTURAL</v>
      </c>
      <c r="I152" s="34" t="str">
        <f ca="1">IFERROR(__xludf.DUMMYFUNCTION("""COMPUTED_VALUE"""),"DIRECCIÓN GENERAL DE MUSEOS, ARTES VISUALES Y EXPOSICIONES")</f>
        <v>DIRECCIÓN GENERAL DE MUSEOS, ARTES VISUALES Y EXPOSICIONES</v>
      </c>
      <c r="J152" s="30" t="str">
        <f ca="1">IFERROR(__xludf.DUMMYFUNCTION("""COMPUTED_VALUE"""),"Número de Actividades realizadas")</f>
        <v>Número de Actividades realizadas</v>
      </c>
      <c r="K152" s="30">
        <f ca="1">IFERROR(__xludf.DUMMYFUNCTION("""COMPUTED_VALUE"""),800)</f>
        <v>800</v>
      </c>
      <c r="L152" s="30" t="str">
        <f ca="1">IFERROR(__xludf.DUMMYFUNCTION("""COMPUTED_VALUE"""),"Cultural")</f>
        <v>Cultural</v>
      </c>
      <c r="M152" s="30" t="str">
        <f ca="1">IFERROR(__xludf.DUMMYFUNCTION("""COMPUTED_VALUE"""),"Taller mini encuadernación de libros")</f>
        <v>Taller mini encuadernación de libros</v>
      </c>
      <c r="N152" s="30" t="str">
        <f ca="1">IFERROR(__xludf.DUMMYFUNCTION("""COMPUTED_VALUE"""),"Los Libros de Saku te ayudará a crear un hermoso regalo a papá: una genial libreta que le servirá para sus apuntes o para escribir sus recuerdos en familia.")</f>
        <v>Los Libros de Saku te ayudará a crear un hermoso regalo a papá: una genial libreta que le servirá para sus apuntes o para escribir sus recuerdos en familia.</v>
      </c>
      <c r="O152" s="30" t="str">
        <f ca="1">IFERROR(__xludf.DUMMYFUNCTION("""COMPUTED_VALUE"""),"Única")</f>
        <v>Única</v>
      </c>
      <c r="P152" s="33">
        <f ca="1">IFERROR(__xludf.DUMMYFUNCTION("""COMPUTED_VALUE"""),46187)</f>
        <v>46187</v>
      </c>
      <c r="Q152" s="33">
        <f ca="1">IFERROR(__xludf.DUMMYFUNCTION("""COMPUTED_VALUE"""),46187)</f>
        <v>46187</v>
      </c>
      <c r="R152" s="30">
        <f ca="1">IFERROR(__xludf.DUMMYFUNCTION("""COMPUTED_VALUE"""),1)</f>
        <v>1</v>
      </c>
      <c r="S152" s="30" t="str">
        <f ca="1">IFERROR(__xludf.DUMMYFUNCTION("""COMPUTED_VALUE"""),"Literatura")</f>
        <v>Literatura</v>
      </c>
      <c r="T152" s="30" t="str">
        <f ca="1">IFERROR(__xludf.DUMMYFUNCTION("""COMPUTED_VALUE"""),"Literatura infantil y juvenil")</f>
        <v>Literatura infantil y juvenil</v>
      </c>
      <c r="U152" s="30" t="str">
        <f ca="1">IFERROR(__xludf.DUMMYFUNCTION("""COMPUTED_VALUE"""),"Taller")</f>
        <v>Taller</v>
      </c>
      <c r="V152" s="30" t="str">
        <f ca="1">IFERROR(__xludf.DUMMYFUNCTION("""COMPUTED_VALUE"""),"Ninguna")</f>
        <v>Ninguna</v>
      </c>
      <c r="W152" s="30" t="str">
        <f ca="1">IFERROR(__xludf.DUMMYFUNCTION("""COMPUTED_VALUE"""),"Presencial")</f>
        <v>Presencial</v>
      </c>
      <c r="X152" s="30" t="str">
        <f ca="1">IFERROR(__xludf.DUMMYFUNCTION("""COMPUTED_VALUE"""),"Espacio a Cargo de la Secretaría")</f>
        <v>Espacio a Cargo de la Secretaría</v>
      </c>
      <c r="Y152" s="30" t="str">
        <f ca="1">IFERROR(__xludf.DUMMYFUNCTION("""COMPUTED_VALUE"""),"8")</f>
        <v>8</v>
      </c>
      <c r="Z152" s="30"/>
      <c r="AA152" s="30"/>
      <c r="AB152" s="30" t="b">
        <f ca="1">IFERROR(__xludf.DUMMYFUNCTION("""COMPUTED_VALUE"""),FALSE)</f>
        <v>0</v>
      </c>
      <c r="AC152" s="30"/>
      <c r="AD152" s="30" t="b">
        <f ca="1">IFERROR(__xludf.DUMMYFUNCTION("""COMPUTED_VALUE"""),FALSE)</f>
        <v>0</v>
      </c>
      <c r="AE152" s="30"/>
      <c r="AF152" s="30" t="b">
        <f ca="1">IFERROR(__xludf.DUMMYFUNCTION("""COMPUTED_VALUE"""),FALSE)</f>
        <v>0</v>
      </c>
      <c r="AG152" s="30"/>
      <c r="AH152" s="30" t="str">
        <f ca="1">IFERROR(__xludf.DUMMYFUNCTION("""COMPUTED_VALUE"""),"Sin costo")</f>
        <v>Sin costo</v>
      </c>
      <c r="AI152" s="30"/>
      <c r="AJ152" s="30"/>
      <c r="AK152" s="30"/>
      <c r="AL152" s="30" t="str">
        <f ca="1">IFERROR(__xludf.DUMMYFUNCTION("""COMPUTED_VALUE"""),"ccardonav@guanajuato.gob.mx")</f>
        <v>ccardonav@guanajuato.gob.mx</v>
      </c>
      <c r="AM152" s="30" t="str">
        <f ca="1">IFERROR(__xludf.DUMMYFUNCTION("""COMPUTED_VALUE"""),"Leer para crecer.")</f>
        <v>Leer para crecer.</v>
      </c>
      <c r="AN152" s="30" t="str">
        <f ca="1">IFERROR(__xludf.DUMMYFUNCTION("""COMPUTED_VALUE"""),"1 Tranquilidad")</f>
        <v>1 Tranquilidad</v>
      </c>
      <c r="AO152" s="30" t="str">
        <f ca="1">IFERROR(__xludf.DUMMYFUNCTION("""COMPUTED_VALUE"""),"1.2 Fortalecer prevención del delito")</f>
        <v>1.2 Fortalecer prevención del delito</v>
      </c>
      <c r="AP152" s="30" t="str">
        <f ca="1">IFERROR(__xludf.DUMMYFUNCTION("""COMPUTED_VALUE"""),"1.2.2 Fortalecimiento del tejido social")</f>
        <v>1.2.2 Fortalecimiento del tejido social</v>
      </c>
      <c r="AQ152" s="30" t="str">
        <f ca="1">IFERROR(__xludf.DUMMYFUNCTION("""COMPUTED_VALUE"""),"1.2.3.4 Promover una cultura de paz desde las expresiones artísticas y culturales")</f>
        <v>1.2.3.4 Promover una cultura de paz desde las expresiones artísticas y culturales</v>
      </c>
      <c r="AR152" s="30" t="str">
        <f ca="1">IFERROR(__xludf.DUMMYFUNCTION("""COMPUTED_VALUE"""),"Cooperación")</f>
        <v>Cooperación</v>
      </c>
      <c r="AS152" s="30"/>
      <c r="AT152" s="30" t="str">
        <f ca="1">IFERROR(__xludf.DUMMYFUNCTION("""COMPUTED_VALUE"""),"Fortalecimiento de la participación ciudadana y la mediación cultural")</f>
        <v>Fortalecimiento de la participación ciudadana y la mediación cultural</v>
      </c>
      <c r="AU152" s="30" t="str">
        <f ca="1">IFERROR(__xludf.DUMMYFUNCTION("""COMPUTED_VALUE"""),"Fortalecimiento del diálogo, la mediación y las capacidades de las redes comunitarias.")</f>
        <v>Fortalecimiento del diálogo, la mediación y las capacidades de las redes comunitarias.</v>
      </c>
      <c r="AV152" s="30" t="str">
        <f ca="1">IFERROR(__xludf.DUMMYFUNCTION("""COMPUTED_VALUE"""),"Diseñar e impartir talleres de formación en derechos culturales")</f>
        <v>Diseñar e impartir talleres de formación en derechos culturales</v>
      </c>
      <c r="AW152" s="30" t="str">
        <f ca="1">IFERROR(__xludf.DUMMYFUNCTION("""COMPUTED_VALUE"""),"Incrementar en 25% la oferta cultural realizada en los municipios.")</f>
        <v>Incrementar en 25% la oferta cultural realizada en los municipios.</v>
      </c>
      <c r="AX152" s="30" t="str">
        <f ca="1">IFERROR(__xludf.DUMMYFUNCTION("""COMPUTED_VALUE"""),"Taller")</f>
        <v>Taller</v>
      </c>
      <c r="AY152" s="30" t="str">
        <f ca="1">IFERROR(__xludf.DUMMYFUNCTION("""COMPUTED_VALUE"""),"Formación")</f>
        <v>Formación</v>
      </c>
      <c r="AZ152" s="30" t="str">
        <f ca="1">IFERROR(__xludf.DUMMYFUNCTION("""COMPUTED_VALUE"""),"Formación")</f>
        <v>Formación</v>
      </c>
      <c r="BA152" s="30"/>
      <c r="BB152" s="30"/>
      <c r="BC152" s="30">
        <f ca="1">IFERROR(__xludf.DUMMYFUNCTION("""COMPUTED_VALUE"""),0)</f>
        <v>0</v>
      </c>
      <c r="BD152" s="30"/>
      <c r="BE152" s="30"/>
      <c r="BF152" s="30" t="b">
        <f ca="1">IFERROR(__xludf.DUMMYFUNCTION("""COMPUTED_VALUE"""),FALSE)</f>
        <v>0</v>
      </c>
      <c r="BG152" s="30"/>
      <c r="BH152" s="30"/>
      <c r="BI152" s="30"/>
      <c r="BJ152" s="30"/>
      <c r="BK152" s="30"/>
      <c r="BL152" s="30" t="str">
        <f ca="1">IFERROR(__xludf.DUMMYFUNCTION("""COMPUTED_VALUE"""),"Vinculacion")</f>
        <v>Vinculacion</v>
      </c>
      <c r="BM152" s="30" t="str">
        <f ca="1">IFERROR(__xludf.DUMMYFUNCTION("""COMPUTED_VALUE"""),"Sí")</f>
        <v>Sí</v>
      </c>
      <c r="BN152" s="30" t="str">
        <f ca="1">IFERROR(__xludf.DUMMYFUNCTION("""COMPUTED_VALUE"""),"Acompañamiento Técnico")</f>
        <v>Acompañamiento Técnico</v>
      </c>
      <c r="BO152" s="30" t="str">
        <f ca="1">IFERROR(__xludf.DUMMYFUNCTION("""COMPUTED_VALUE"""),"63884486")</f>
        <v>63884486</v>
      </c>
      <c r="BP152" s="29" t="str">
        <f ca="1">IFERROR(__xludf.DUMMYFUNCTION("""COMPUTED_VALUE"""),"Silao de la Victoria")</f>
        <v>Silao de la Victoria</v>
      </c>
      <c r="BQ152" s="30" t="str">
        <f ca="1">IFERROR(__xludf.DUMMYFUNCTION("""COMPUTED_VALUE"""),"Urbano")</f>
        <v>Urbano</v>
      </c>
      <c r="BR152" s="30">
        <f ca="1">IFERROR(__xludf.DUMMYFUNCTION("""COMPUTED_VALUE"""),215)</f>
        <v>215</v>
      </c>
      <c r="BS152" s="30" t="str">
        <f ca="1">IFERROR(__xludf.DUMMYFUNCTION("""COMPUTED_VALUE"""),"Silao")</f>
        <v>Silao</v>
      </c>
      <c r="BT152" s="30"/>
      <c r="BU152" s="30" t="str">
        <f ca="1">IFERROR(__xludf.DUMMYFUNCTION("""COMPUTED_VALUE"""),"Si")</f>
        <v>Si</v>
      </c>
      <c r="BV152" s="30" t="str">
        <f ca="1">IFERROR(__xludf.DUMMYFUNCTION("""COMPUTED_VALUE"""),"Si")</f>
        <v>Si</v>
      </c>
      <c r="BW152" s="30">
        <f ca="1">IFERROR(__xludf.DUMMYFUNCTION("""COMPUTED_VALUE"""),13)</f>
        <v>13</v>
      </c>
      <c r="BX152" s="30">
        <f ca="1">IFERROR(__xludf.DUMMYFUNCTION("""COMPUTED_VALUE"""),13)</f>
        <v>13</v>
      </c>
      <c r="BY152" s="30">
        <f ca="1">IFERROR(__xludf.DUMMYFUNCTION("""COMPUTED_VALUE"""),0)</f>
        <v>0</v>
      </c>
      <c r="BZ152" s="30" t="str">
        <f ca="1">IFERROR(__xludf.DUMMYFUNCTION("""COMPUTED_VALUE"""),"Silao")</f>
        <v>Silao</v>
      </c>
      <c r="CA152" s="30" t="str">
        <f ca="1">IFERROR(__xludf.DUMMYFUNCTION("""COMPUTED_VALUE"""),"No")</f>
        <v>No</v>
      </c>
      <c r="CB152" s="30" t="str">
        <f ca="1">IFERROR(__xludf.DUMMYFUNCTION("""COMPUTED_VALUE"""),"No")</f>
        <v>No</v>
      </c>
      <c r="CC152" s="30" t="str">
        <f ca="1">IFERROR(__xludf.DUMMYFUNCTION("""COMPUTED_VALUE"""),"55fcb8f1")</f>
        <v>55fcb8f1</v>
      </c>
      <c r="CD152" s="29" t="str">
        <f ca="1">IFERROR(__xludf.DUMMYFUNCTION("""COMPUTED_VALUE"""),"Niñas y Niños (6 a 12 años)")</f>
        <v>Niñas y Niños (6 a 12 años)</v>
      </c>
      <c r="CE152" s="30" t="str">
        <f ca="1">IFERROR(__xludf.DUMMYFUNCTION("""COMPUTED_VALUE"""),"Dato global")</f>
        <v>Dato global</v>
      </c>
      <c r="CF152" s="30" t="str">
        <f ca="1">IFERROR(__xludf.DUMMYFUNCTION("""COMPUTED_VALUE"""),"NNA (Niñas, Niños y Adolescentes)")</f>
        <v>NNA (Niñas, Niños y Adolescentes)</v>
      </c>
      <c r="CG152" s="30">
        <f ca="1">IFERROR(__xludf.DUMMYFUNCTION("""COMPUTED_VALUE"""),14)</f>
        <v>14</v>
      </c>
      <c r="CI152" s="30" t="str">
        <f ca="1">IFERROR(__xludf.DUMMYFUNCTION("""COMPUTED_VALUE"""),"297a0222")</f>
        <v>297a0222</v>
      </c>
      <c r="CJ152" s="29" t="str">
        <f ca="1">IFERROR(__xludf.DUMMYFUNCTION("""COMPUTED_VALUE"""),"Regitro_Evidencia_Images/297a0222.Archivo_Evidencia.230852.jpg")</f>
        <v>Regitro_Evidencia_Images/297a0222.Archivo_Evidencia.230852.jpg</v>
      </c>
      <c r="CK152" s="30" t="str">
        <f ca="1">IFERROR(__xludf.DUMMYFUNCTION("""COMPUTED_VALUE"""),"Foto")</f>
        <v>Foto</v>
      </c>
      <c r="CL152" s="30"/>
      <c r="CM152" s="30" t="str">
        <f ca="1">IFERROR(__xludf.DUMMYFUNCTION("""COMPUTED_VALUE"""),"Silao de la Victoria")</f>
        <v>Silao de la Victoria</v>
      </c>
      <c r="CN152" s="32" t="e">
        <f ca="1"/>
        <v>#NAME?</v>
      </c>
      <c r="CO152" s="32" t="e">
        <f ca="1"/>
        <v>#NAME?</v>
      </c>
      <c r="CP152" s="32" t="e">
        <f ca="1"/>
        <v>#NAME?</v>
      </c>
      <c r="CQ152" s="32" t="e">
        <f ca="1"/>
        <v>#NAME?</v>
      </c>
      <c r="CR152" s="30" t="e">
        <f ca="1"/>
        <v>#NAME?</v>
      </c>
      <c r="CS152" s="30" t="str">
        <f ca="1">IFERROR(__xludf.DUMMYFUNCTION("""COMPUTED_VALUE"""),"Jóvenes en riesgo")</f>
        <v>Jóvenes en riesgo</v>
      </c>
    </row>
    <row r="153" spans="1:97" ht="13">
      <c r="A153" s="29" t="str">
        <f ca="1">IFERROR(__xludf.DUMMYFUNCTION("""COMPUTED_VALUE"""),"ACT-SCWJ67413")</f>
        <v>ACT-SCWJ67413</v>
      </c>
      <c r="B153" s="30" t="str">
        <f ca="1">IFERROR(__xludf.DUMMYFUNCTION("""COMPUTED_VALUE"""),"SC-260702-152147")</f>
        <v>SC-260702-152147</v>
      </c>
      <c r="C153" s="62">
        <f ca="1">IFERROR(__xludf.DUMMYFUNCTION("""COMPUTED_VALUE"""),46205.6401273148)</f>
        <v>46205.6401273148</v>
      </c>
      <c r="D153" s="30">
        <f ca="1">IFERROR(__xludf.DUMMYFUNCTION("""COMPUTED_VALUE"""),92)</f>
        <v>92</v>
      </c>
      <c r="E153" s="30" t="str">
        <f ca="1">IFERROR(__xludf.DUMMYFUNCTION("""COMPUTED_VALUE"""),"PB3572")</f>
        <v>PB3572</v>
      </c>
      <c r="F15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3" s="30" t="str">
        <f ca="1">IFERROR(__xludf.DUMMYFUNCTION("""COMPUTED_VALUE"""),"SUBSECRETARÍA DE DESARROLLO Y PROMOCIÓN ARTÍSTICA Y CULTURAL")</f>
        <v>SUBSECRETARÍA DE DESARROLLO Y PROMOCIÓN ARTÍSTICA Y CULTURAL</v>
      </c>
      <c r="I153" s="34" t="str">
        <f ca="1">IFERROR(__xludf.DUMMYFUNCTION("""COMPUTED_VALUE"""),"DIRECCIÓN GENERAL DE MUSEOS, ARTES VISUALES Y EXPOSICIONES")</f>
        <v>DIRECCIÓN GENERAL DE MUSEOS, ARTES VISUALES Y EXPOSICIONES</v>
      </c>
      <c r="J153" s="30" t="str">
        <f ca="1">IFERROR(__xludf.DUMMYFUNCTION("""COMPUTED_VALUE"""),"Número de Actividades realizadas")</f>
        <v>Número de Actividades realizadas</v>
      </c>
      <c r="K153" s="30">
        <f ca="1">IFERROR(__xludf.DUMMYFUNCTION("""COMPUTED_VALUE"""),800)</f>
        <v>800</v>
      </c>
      <c r="L153" s="30" t="str">
        <f ca="1">IFERROR(__xludf.DUMMYFUNCTION("""COMPUTED_VALUE"""),"Cultural")</f>
        <v>Cultural</v>
      </c>
      <c r="M153" s="30" t="str">
        <f ca="1">IFERROR(__xludf.DUMMYFUNCTION("""COMPUTED_VALUE"""),"Espacio Incidental: Activación Sonora")</f>
        <v>Espacio Incidental: Activación Sonora</v>
      </c>
      <c r="N153" s="30" t="str">
        <f ca="1">IFERROR(__xludf.DUMMYFUNCTION("""COMPUTED_VALUE"""),"Activación sonora con Miguel Mesa, en el marco de la exposición temporal Habitar ese Bosque.")</f>
        <v>Activación sonora con Miguel Mesa, en el marco de la exposición temporal Habitar ese Bosque.</v>
      </c>
      <c r="O153" s="30" t="str">
        <f ca="1">IFERROR(__xludf.DUMMYFUNCTION("""COMPUTED_VALUE"""),"Única")</f>
        <v>Única</v>
      </c>
      <c r="P153" s="33">
        <f ca="1">IFERROR(__xludf.DUMMYFUNCTION("""COMPUTED_VALUE"""),46205)</f>
        <v>46205</v>
      </c>
      <c r="Q153" s="33">
        <f ca="1">IFERROR(__xludf.DUMMYFUNCTION("""COMPUTED_VALUE"""),46205)</f>
        <v>46205</v>
      </c>
      <c r="R153" s="30">
        <f ca="1">IFERROR(__xludf.DUMMYFUNCTION("""COMPUTED_VALUE"""),1)</f>
        <v>1</v>
      </c>
      <c r="S153" s="30" t="str">
        <f ca="1">IFERROR(__xludf.DUMMYFUNCTION("""COMPUTED_VALUE"""),"Artes visuales")</f>
        <v>Artes visuales</v>
      </c>
      <c r="T153" s="30" t="str">
        <f ca="1">IFERROR(__xludf.DUMMYFUNCTION("""COMPUTED_VALUE"""),"Arte digital")</f>
        <v>Arte digital</v>
      </c>
      <c r="U153" s="30" t="str">
        <f ca="1">IFERROR(__xludf.DUMMYFUNCTION("""COMPUTED_VALUE"""),"Encuentro cultural")</f>
        <v>Encuentro cultural</v>
      </c>
      <c r="V153" s="30" t="str">
        <f ca="1">IFERROR(__xludf.DUMMYFUNCTION("""COMPUTED_VALUE"""),"Ninguna")</f>
        <v>Ninguna</v>
      </c>
      <c r="W153" s="30" t="str">
        <f ca="1">IFERROR(__xludf.DUMMYFUNCTION("""COMPUTED_VALUE"""),"Presencial")</f>
        <v>Presencial</v>
      </c>
      <c r="X153" s="30" t="str">
        <f ca="1">IFERROR(__xludf.DUMMYFUNCTION("""COMPUTED_VALUE"""),"Espacio a Cargo de la Secretaría")</f>
        <v>Espacio a Cargo de la Secretaría</v>
      </c>
      <c r="Y153" s="30" t="str">
        <f ca="1">IFERROR(__xludf.DUMMYFUNCTION("""COMPUTED_VALUE"""),"8")</f>
        <v>8</v>
      </c>
      <c r="Z153" s="30"/>
      <c r="AA153" s="30"/>
      <c r="AB153" s="30" t="b">
        <f ca="1">IFERROR(__xludf.DUMMYFUNCTION("""COMPUTED_VALUE"""),FALSE)</f>
        <v>0</v>
      </c>
      <c r="AC153" s="30"/>
      <c r="AD153" s="30" t="b">
        <f ca="1">IFERROR(__xludf.DUMMYFUNCTION("""COMPUTED_VALUE"""),FALSE)</f>
        <v>0</v>
      </c>
      <c r="AE153" s="30"/>
      <c r="AF153" s="30" t="b">
        <f ca="1">IFERROR(__xludf.DUMMYFUNCTION("""COMPUTED_VALUE"""),FALSE)</f>
        <v>0</v>
      </c>
      <c r="AG153" s="30"/>
      <c r="AH153" s="30" t="str">
        <f ca="1">IFERROR(__xludf.DUMMYFUNCTION("""COMPUTED_VALUE"""),"Sin costo")</f>
        <v>Sin costo</v>
      </c>
      <c r="AI153" s="30"/>
      <c r="AJ153" s="30"/>
      <c r="AK153" s="30"/>
      <c r="AL153" s="30" t="str">
        <f ca="1">IFERROR(__xludf.DUMMYFUNCTION("""COMPUTED_VALUE"""),"ccardonav@guanajuato.gob.mx")</f>
        <v>ccardonav@guanajuato.gob.mx</v>
      </c>
      <c r="AM153"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153" s="30" t="str">
        <f ca="1">IFERROR(__xludf.DUMMYFUNCTION("""COMPUTED_VALUE"""),"1 Tranquilidad")</f>
        <v>1 Tranquilidad</v>
      </c>
      <c r="AO153" s="30" t="str">
        <f ca="1">IFERROR(__xludf.DUMMYFUNCTION("""COMPUTED_VALUE"""),"1.2 Fortalecer prevención del delito")</f>
        <v>1.2 Fortalecer prevención del delito</v>
      </c>
      <c r="AP153" s="30" t="str">
        <f ca="1">IFERROR(__xludf.DUMMYFUNCTION("""COMPUTED_VALUE"""),"1.2.2 Fortalecimiento del tejido social")</f>
        <v>1.2.2 Fortalecimiento del tejido social</v>
      </c>
      <c r="AQ153" s="30" t="str">
        <f ca="1">IFERROR(__xludf.DUMMYFUNCTION("""COMPUTED_VALUE"""),"1.2.3.4 Promover una cultura de paz desde las expresiones artísticas y culturales")</f>
        <v>1.2.3.4 Promover una cultura de paz desde las expresiones artísticas y culturales</v>
      </c>
      <c r="AR153" s="30" t="str">
        <f ca="1">IFERROR(__xludf.DUMMYFUNCTION("""COMPUTED_VALUE"""),"Cooperación")</f>
        <v>Cooperación</v>
      </c>
      <c r="AS153" s="30"/>
      <c r="AT153" s="30" t="str">
        <f ca="1">IFERROR(__xludf.DUMMYFUNCTION("""COMPUTED_VALUE"""),"Fortalecimiento de la participación ciudadana y la mediación cultural")</f>
        <v>Fortalecimiento de la participación ciudadana y la mediación cultural</v>
      </c>
      <c r="AU153" s="30" t="str">
        <f ca="1">IFERROR(__xludf.DUMMYFUNCTION("""COMPUTED_VALUE"""),"Impulso a la ampliación de la oferta cultural en los territorios.")</f>
        <v>Impulso a la ampliación de la oferta cultural en los territorios.</v>
      </c>
      <c r="AV153" s="30" t="str">
        <f ca="1">IFERROR(__xludf.DUMMYFUNCTION("""COMPUTED_VALUE"""),"Impulsar los proyectos culturales itinerantes.")</f>
        <v>Impulsar los proyectos culturales itinerantes.</v>
      </c>
      <c r="AW153" s="30" t="str">
        <f ca="1">IFERROR(__xludf.DUMMYFUNCTION("""COMPUTED_VALUE"""),"Incrementar en 25% la oferta cultural realizada en los municipios.")</f>
        <v>Incrementar en 25% la oferta cultural realizada en los municipios.</v>
      </c>
      <c r="AX153" s="30" t="str">
        <f ca="1">IFERROR(__xludf.DUMMYFUNCTION("""COMPUTED_VALUE"""),"Laboratorio creativo")</f>
        <v>Laboratorio creativo</v>
      </c>
      <c r="AY153" s="30" t="str">
        <f ca="1">IFERROR(__xludf.DUMMYFUNCTION("""COMPUTED_VALUE"""),"Producción")</f>
        <v>Producción</v>
      </c>
      <c r="AZ153" s="30"/>
      <c r="BA153" s="30"/>
      <c r="BB153" s="30">
        <f ca="1">IFERROR(__xludf.DUMMYFUNCTION("""COMPUTED_VALUE"""),9)</f>
        <v>9</v>
      </c>
      <c r="BC153" s="30">
        <f ca="1">IFERROR(__xludf.DUMMYFUNCTION("""COMPUTED_VALUE"""),1)</f>
        <v>1</v>
      </c>
      <c r="BD153" s="30"/>
      <c r="BE153" s="30"/>
      <c r="BF153" s="30" t="b">
        <f ca="1">IFERROR(__xludf.DUMMYFUNCTION("""COMPUTED_VALUE"""),FALSE)</f>
        <v>0</v>
      </c>
      <c r="BG153" s="30"/>
      <c r="BH153" s="30"/>
      <c r="BI153" s="30"/>
      <c r="BJ153" s="30"/>
      <c r="BK153" s="30"/>
      <c r="BL153" s="30" t="str">
        <f ca="1">IFERROR(__xludf.DUMMYFUNCTION("""COMPUTED_VALUE"""),"Vinculación")</f>
        <v>Vinculación</v>
      </c>
      <c r="BM153" s="30" t="str">
        <f ca="1">IFERROR(__xludf.DUMMYFUNCTION("""COMPUTED_VALUE"""),"Sí")</f>
        <v>Sí</v>
      </c>
      <c r="BN153" s="30" t="str">
        <f ca="1">IFERROR(__xludf.DUMMYFUNCTION("""COMPUTED_VALUE"""),"Acompañamiento Técnico")</f>
        <v>Acompañamiento Técnico</v>
      </c>
      <c r="BO153" s="30" t="str">
        <f ca="1">IFERROR(__xludf.DUMMYFUNCTION("""COMPUTED_VALUE"""),"655d5e7d")</f>
        <v>655d5e7d</v>
      </c>
      <c r="BP153" s="29" t="str">
        <f ca="1">IFERROR(__xludf.DUMMYFUNCTION("""COMPUTED_VALUE"""),"Silao de la Victoria")</f>
        <v>Silao de la Victoria</v>
      </c>
      <c r="BQ153" s="30" t="str">
        <f ca="1">IFERROR(__xludf.DUMMYFUNCTION("""COMPUTED_VALUE"""),"Urbano")</f>
        <v>Urbano</v>
      </c>
      <c r="BR153" s="30">
        <f ca="1">IFERROR(__xludf.DUMMYFUNCTION("""COMPUTED_VALUE"""),215)</f>
        <v>215</v>
      </c>
      <c r="BS153" s="30" t="str">
        <f ca="1">IFERROR(__xludf.DUMMYFUNCTION("""COMPUTED_VALUE"""),"Silao")</f>
        <v>Silao</v>
      </c>
      <c r="BT153" s="30"/>
      <c r="BU153" s="30" t="str">
        <f ca="1">IFERROR(__xludf.DUMMYFUNCTION("""COMPUTED_VALUE"""),"Si")</f>
        <v>Si</v>
      </c>
      <c r="BV153" s="30" t="str">
        <f ca="1">IFERROR(__xludf.DUMMYFUNCTION("""COMPUTED_VALUE"""),"Si")</f>
        <v>Si</v>
      </c>
      <c r="BW153" s="30">
        <f ca="1">IFERROR(__xludf.DUMMYFUNCTION("""COMPUTED_VALUE"""),37)</f>
        <v>37</v>
      </c>
      <c r="BX153" s="30">
        <f ca="1">IFERROR(__xludf.DUMMYFUNCTION("""COMPUTED_VALUE"""),37)</f>
        <v>37</v>
      </c>
      <c r="BY153" s="30">
        <f ca="1">IFERROR(__xludf.DUMMYFUNCTION("""COMPUTED_VALUE"""),0)</f>
        <v>0</v>
      </c>
      <c r="BZ153" s="30" t="str">
        <f ca="1">IFERROR(__xludf.DUMMYFUNCTION("""COMPUTED_VALUE"""),"Silao")</f>
        <v>Silao</v>
      </c>
      <c r="CA153" s="30" t="str">
        <f ca="1">IFERROR(__xludf.DUMMYFUNCTION("""COMPUTED_VALUE"""),"No")</f>
        <v>No</v>
      </c>
      <c r="CB153" s="30" t="str">
        <f ca="1">IFERROR(__xludf.DUMMYFUNCTION("""COMPUTED_VALUE"""),"No")</f>
        <v>No</v>
      </c>
      <c r="CC153" s="30" t="str">
        <f ca="1">IFERROR(__xludf.DUMMYFUNCTION("""COMPUTED_VALUE"""),"0af827b3")</f>
        <v>0af827b3</v>
      </c>
      <c r="CD153" s="29" t="str">
        <f ca="1">IFERROR(__xludf.DUMMYFUNCTION("""COMPUTED_VALUE"""),"Niñas y Niños (6 a 12 años)")</f>
        <v>Niñas y Niños (6 a 12 años)</v>
      </c>
      <c r="CE153" s="30" t="str">
        <f ca="1">IFERROR(__xludf.DUMMYFUNCTION("""COMPUTED_VALUE"""),"Dato global")</f>
        <v>Dato global</v>
      </c>
      <c r="CF153" s="30" t="str">
        <f ca="1">IFERROR(__xludf.DUMMYFUNCTION("""COMPUTED_VALUE"""),"NNA (Niñas, Niños y Adolescentes)")</f>
        <v>NNA (Niñas, Niños y Adolescentes)</v>
      </c>
      <c r="CG153" s="30">
        <f ca="1">IFERROR(__xludf.DUMMYFUNCTION("""COMPUTED_VALUE"""),67)</f>
        <v>67</v>
      </c>
      <c r="CI153" s="30" t="str">
        <f ca="1">IFERROR(__xludf.DUMMYFUNCTION("""COMPUTED_VALUE"""),"1bbebee2")</f>
        <v>1bbebee2</v>
      </c>
      <c r="CJ153" s="29" t="str">
        <f ca="1">IFERROR(__xludf.DUMMYFUNCTION("""COMPUTED_VALUE"""),"Regitro_Evidencia_Images/1bbebee2.Archivo_Evidencia.231206.jpg")</f>
        <v>Regitro_Evidencia_Images/1bbebee2.Archivo_Evidencia.231206.jpg</v>
      </c>
      <c r="CK153" s="30" t="str">
        <f ca="1">IFERROR(__xludf.DUMMYFUNCTION("""COMPUTED_VALUE"""),"Foto")</f>
        <v>Foto</v>
      </c>
      <c r="CL153" s="30"/>
      <c r="CM153" s="30" t="str">
        <f ca="1">IFERROR(__xludf.DUMMYFUNCTION("""COMPUTED_VALUE"""),"Silao de la Victoria")</f>
        <v>Silao de la Victoria</v>
      </c>
      <c r="CN153" s="32" t="e">
        <f ca="1"/>
        <v>#NAME?</v>
      </c>
      <c r="CO153" s="32" t="e">
        <f ca="1"/>
        <v>#NAME?</v>
      </c>
      <c r="CP153" s="32" t="e">
        <f ca="1"/>
        <v>#NAME?</v>
      </c>
      <c r="CQ153" s="32" t="e">
        <f ca="1"/>
        <v>#NAME?</v>
      </c>
      <c r="CR153" s="30" t="e">
        <f ca="1"/>
        <v>#NAME?</v>
      </c>
      <c r="CS153" s="30" t="str">
        <f ca="1">IFERROR(__xludf.DUMMYFUNCTION("""COMPUTED_VALUE"""),"Jóvenes en riesgo")</f>
        <v>Jóvenes en riesgo</v>
      </c>
    </row>
    <row r="154" spans="1:97" ht="13">
      <c r="A154" s="29" t="str">
        <f ca="1">IFERROR(__xludf.DUMMYFUNCTION("""COMPUTED_VALUE"""),"ACT-SCIE30645")</f>
        <v>ACT-SCIE30645</v>
      </c>
      <c r="B154" s="30" t="str">
        <f ca="1">IFERROR(__xludf.DUMMYFUNCTION("""COMPUTED_VALUE"""),"SC-260702-152833")</f>
        <v>SC-260702-152833</v>
      </c>
      <c r="C154" s="62">
        <f ca="1">IFERROR(__xludf.DUMMYFUNCTION("""COMPUTED_VALUE"""),46205.6448263888)</f>
        <v>46205.644826388801</v>
      </c>
      <c r="D154" s="30">
        <f ca="1">IFERROR(__xludf.DUMMYFUNCTION("""COMPUTED_VALUE"""),92)</f>
        <v>92</v>
      </c>
      <c r="E154" s="30" t="str">
        <f ca="1">IFERROR(__xludf.DUMMYFUNCTION("""COMPUTED_VALUE"""),"PB3572")</f>
        <v>PB3572</v>
      </c>
      <c r="F15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4" s="30" t="str">
        <f ca="1">IFERROR(__xludf.DUMMYFUNCTION("""COMPUTED_VALUE"""),"SUBSECRETARÍA DE DESARROLLO Y PROMOCIÓN ARTÍSTICA Y CULTURAL")</f>
        <v>SUBSECRETARÍA DE DESARROLLO Y PROMOCIÓN ARTÍSTICA Y CULTURAL</v>
      </c>
      <c r="I154" s="34" t="str">
        <f ca="1">IFERROR(__xludf.DUMMYFUNCTION("""COMPUTED_VALUE"""),"DIRECCIÓN GENERAL DE MUSEOS, ARTES VISUALES Y EXPOSICIONES")</f>
        <v>DIRECCIÓN GENERAL DE MUSEOS, ARTES VISUALES Y EXPOSICIONES</v>
      </c>
      <c r="J154" s="30" t="str">
        <f ca="1">IFERROR(__xludf.DUMMYFUNCTION("""COMPUTED_VALUE"""),"Número de Actividades realizadas")</f>
        <v>Número de Actividades realizadas</v>
      </c>
      <c r="K154" s="30">
        <f ca="1">IFERROR(__xludf.DUMMYFUNCTION("""COMPUTED_VALUE"""),800)</f>
        <v>800</v>
      </c>
      <c r="L154" s="30" t="str">
        <f ca="1">IFERROR(__xludf.DUMMYFUNCTION("""COMPUTED_VALUE"""),"Cultural")</f>
        <v>Cultural</v>
      </c>
      <c r="M154" s="30" t="str">
        <f ca="1">IFERROR(__xludf.DUMMYFUNCTION("""COMPUTED_VALUE"""),"Grandiosa")</f>
        <v>Grandiosa</v>
      </c>
      <c r="N154" s="30" t="str">
        <f ca="1">IFERROR(__xludf.DUMMYFUNCTION("""COMPUTED_VALUE"""),"Una colaboración imperdible de danza y performance entre México y Chile 🇲🇽🇨🇱 a cargo de Manuel Alejandro Chávez Flores y Marco Ignacio Orellana. En el marco del mes del orgullo")</f>
        <v>Una colaboración imperdible de danza y performance entre México y Chile 🇲🇽🇨🇱 a cargo de Manuel Alejandro Chávez Flores y Marco Ignacio Orellana. En el marco del mes del orgullo</v>
      </c>
      <c r="O154" s="30" t="str">
        <f ca="1">IFERROR(__xludf.DUMMYFUNCTION("""COMPUTED_VALUE"""),"Única")</f>
        <v>Única</v>
      </c>
      <c r="P154" s="33">
        <f ca="1">IFERROR(__xludf.DUMMYFUNCTION("""COMPUTED_VALUE"""),46200)</f>
        <v>46200</v>
      </c>
      <c r="Q154" s="33">
        <f ca="1">IFERROR(__xludf.DUMMYFUNCTION("""COMPUTED_VALUE"""),46200)</f>
        <v>46200</v>
      </c>
      <c r="R154" s="30">
        <f ca="1">IFERROR(__xludf.DUMMYFUNCTION("""COMPUTED_VALUE"""),1)</f>
        <v>1</v>
      </c>
      <c r="S154" s="30" t="str">
        <f ca="1">IFERROR(__xludf.DUMMYFUNCTION("""COMPUTED_VALUE"""),"Artes visuales")</f>
        <v>Artes visuales</v>
      </c>
      <c r="T154" s="30" t="str">
        <f ca="1">IFERROR(__xludf.DUMMYFUNCTION("""COMPUTED_VALUE"""),"Performance visual")</f>
        <v>Performance visual</v>
      </c>
      <c r="U154" s="30" t="str">
        <f ca="1">IFERROR(__xludf.DUMMYFUNCTION("""COMPUTED_VALUE"""),"Campaña de difusión cultural")</f>
        <v>Campaña de difusión cultural</v>
      </c>
      <c r="V154" s="30" t="str">
        <f ca="1">IFERROR(__xludf.DUMMYFUNCTION("""COMPUTED_VALUE"""),"Ninguna")</f>
        <v>Ninguna</v>
      </c>
      <c r="W154" s="30" t="str">
        <f ca="1">IFERROR(__xludf.DUMMYFUNCTION("""COMPUTED_VALUE"""),"Presencial")</f>
        <v>Presencial</v>
      </c>
      <c r="X154" s="30" t="str">
        <f ca="1">IFERROR(__xludf.DUMMYFUNCTION("""COMPUTED_VALUE"""),"Espacio a Cargo de la Secretaría")</f>
        <v>Espacio a Cargo de la Secretaría</v>
      </c>
      <c r="Y154" s="30" t="str">
        <f ca="1">IFERROR(__xludf.DUMMYFUNCTION("""COMPUTED_VALUE"""),"8")</f>
        <v>8</v>
      </c>
      <c r="Z154" s="30"/>
      <c r="AA154" s="30"/>
      <c r="AB154" s="30" t="b">
        <f ca="1">IFERROR(__xludf.DUMMYFUNCTION("""COMPUTED_VALUE"""),FALSE)</f>
        <v>0</v>
      </c>
      <c r="AC154" s="30"/>
      <c r="AD154" s="30" t="b">
        <f ca="1">IFERROR(__xludf.DUMMYFUNCTION("""COMPUTED_VALUE"""),FALSE)</f>
        <v>0</v>
      </c>
      <c r="AE154" s="30"/>
      <c r="AF154" s="30" t="b">
        <f ca="1">IFERROR(__xludf.DUMMYFUNCTION("""COMPUTED_VALUE"""),FALSE)</f>
        <v>0</v>
      </c>
      <c r="AG154" s="30"/>
      <c r="AH154" s="30" t="str">
        <f ca="1">IFERROR(__xludf.DUMMYFUNCTION("""COMPUTED_VALUE"""),"Sin costo")</f>
        <v>Sin costo</v>
      </c>
      <c r="AI154" s="30"/>
      <c r="AJ154" s="30"/>
      <c r="AK154" s="30"/>
      <c r="AL154" s="30" t="str">
        <f ca="1">IFERROR(__xludf.DUMMYFUNCTION("""COMPUTED_VALUE"""),"ccardonav@guanajuato.gob.mx")</f>
        <v>ccardonav@guanajuato.gob.mx</v>
      </c>
      <c r="AM154" s="30" t="str">
        <f ca="1">IFERROR(__xludf.DUMMYFUNCTION("""COMPUTED_VALUE"""),"Arraigo y empoderamiento cultural de comunidades.")</f>
        <v>Arraigo y empoderamiento cultural de comunidades.</v>
      </c>
      <c r="AN154" s="30" t="str">
        <f ca="1">IFERROR(__xludf.DUMMYFUNCTION("""COMPUTED_VALUE"""),"1 Tranquilidad")</f>
        <v>1 Tranquilidad</v>
      </c>
      <c r="AO154" s="30" t="str">
        <f ca="1">IFERROR(__xludf.DUMMYFUNCTION("""COMPUTED_VALUE"""),"1.2 Fortalecer prevención del delito")</f>
        <v>1.2 Fortalecer prevención del delito</v>
      </c>
      <c r="AP154" s="30" t="str">
        <f ca="1">IFERROR(__xludf.DUMMYFUNCTION("""COMPUTED_VALUE"""),"1.2.2 Fortalecimiento del tejido social")</f>
        <v>1.2.2 Fortalecimiento del tejido social</v>
      </c>
      <c r="AQ154" s="30" t="str">
        <f ca="1">IFERROR(__xludf.DUMMYFUNCTION("""COMPUTED_VALUE"""),"1.2.3.4 Promover una cultura de paz desde las expresiones artísticas y culturales")</f>
        <v>1.2.3.4 Promover una cultura de paz desde las expresiones artísticas y culturales</v>
      </c>
      <c r="AR154" s="30" t="str">
        <f ca="1">IFERROR(__xludf.DUMMYFUNCTION("""COMPUTED_VALUE"""),"Inclusión")</f>
        <v>Inclusión</v>
      </c>
      <c r="AS154" s="30" t="str">
        <f ca="1">IFERROR(__xludf.DUMMYFUNCTION("""COMPUTED_VALUE"""),"Comunidad LGBTIQ+")</f>
        <v>Comunidad LGBTIQ+</v>
      </c>
      <c r="AT154" s="30" t="str">
        <f ca="1">IFERROR(__xludf.DUMMYFUNCTION("""COMPUTED_VALUE"""),"Fortalecimiento de la participación ciudadana y la mediación cultural")</f>
        <v>Fortalecimiento de la participación ciudadana y la mediación cultural</v>
      </c>
      <c r="AU154" s="30" t="str">
        <f ca="1">IFERROR(__xludf.DUMMYFUNCTION("""COMPUTED_VALUE"""),"Impulso a la ampliación de la oferta cultural en los territorios.")</f>
        <v>Impulso a la ampliación de la oferta cultural en los territorios.</v>
      </c>
      <c r="AV154" s="30" t="str">
        <f ca="1">IFERROR(__xludf.DUMMYFUNCTION("""COMPUTED_VALUE"""),"Impulsar los proyectos culturales itinerantes.")</f>
        <v>Impulsar los proyectos culturales itinerantes.</v>
      </c>
      <c r="AW154" s="30" t="str">
        <f ca="1">IFERROR(__xludf.DUMMYFUNCTION("""COMPUTED_VALUE"""),"Incrementar en 25% la oferta cultural realizada en los municipios.")</f>
        <v>Incrementar en 25% la oferta cultural realizada en los municipios.</v>
      </c>
      <c r="AX154" s="30" t="str">
        <f ca="1">IFERROR(__xludf.DUMMYFUNCTION("""COMPUTED_VALUE"""),"Muestra artística")</f>
        <v>Muestra artística</v>
      </c>
      <c r="AY154" s="30" t="str">
        <f ca="1">IFERROR(__xludf.DUMMYFUNCTION("""COMPUTED_VALUE"""),"Producción")</f>
        <v>Producción</v>
      </c>
      <c r="AZ154" s="30"/>
      <c r="BA154" s="30"/>
      <c r="BB154" s="30"/>
      <c r="BC154" s="30">
        <f ca="1">IFERROR(__xludf.DUMMYFUNCTION("""COMPUTED_VALUE"""),0)</f>
        <v>0</v>
      </c>
      <c r="BD154" s="30"/>
      <c r="BE154" s="30"/>
      <c r="BF154" s="30" t="b">
        <f ca="1">IFERROR(__xludf.DUMMYFUNCTION("""COMPUTED_VALUE"""),FALSE)</f>
        <v>0</v>
      </c>
      <c r="BG154" s="30"/>
      <c r="BH154" s="30"/>
      <c r="BI154" s="30"/>
      <c r="BJ154" s="30"/>
      <c r="BK154" s="30"/>
      <c r="BL154" s="30" t="str">
        <f ca="1">IFERROR(__xludf.DUMMYFUNCTION("""COMPUTED_VALUE"""),"Vinculación")</f>
        <v>Vinculación</v>
      </c>
      <c r="BM154" s="30" t="str">
        <f ca="1">IFERROR(__xludf.DUMMYFUNCTION("""COMPUTED_VALUE"""),"Sí")</f>
        <v>Sí</v>
      </c>
      <c r="BN154" s="30" t="str">
        <f ca="1">IFERROR(__xludf.DUMMYFUNCTION("""COMPUTED_VALUE"""),"Acompañamiento Técnico")</f>
        <v>Acompañamiento Técnico</v>
      </c>
      <c r="BO154" s="30" t="str">
        <f ca="1">IFERROR(__xludf.DUMMYFUNCTION("""COMPUTED_VALUE"""),"a885fee5")</f>
        <v>a885fee5</v>
      </c>
      <c r="BP154" s="29" t="str">
        <f ca="1">IFERROR(__xludf.DUMMYFUNCTION("""COMPUTED_VALUE"""),"Silao de la Victoria")</f>
        <v>Silao de la Victoria</v>
      </c>
      <c r="BQ154" s="30" t="str">
        <f ca="1">IFERROR(__xludf.DUMMYFUNCTION("""COMPUTED_VALUE"""),"Urbano")</f>
        <v>Urbano</v>
      </c>
      <c r="BR154" s="30">
        <f ca="1">IFERROR(__xludf.DUMMYFUNCTION("""COMPUTED_VALUE"""),215)</f>
        <v>215</v>
      </c>
      <c r="BS154" s="30" t="str">
        <f ca="1">IFERROR(__xludf.DUMMYFUNCTION("""COMPUTED_VALUE"""),"Silao")</f>
        <v>Silao</v>
      </c>
      <c r="BT154" s="30"/>
      <c r="BU154" s="30" t="str">
        <f ca="1">IFERROR(__xludf.DUMMYFUNCTION("""COMPUTED_VALUE"""),"Si")</f>
        <v>Si</v>
      </c>
      <c r="BV154" s="30" t="str">
        <f ca="1">IFERROR(__xludf.DUMMYFUNCTION("""COMPUTED_VALUE"""),"Si")</f>
        <v>Si</v>
      </c>
      <c r="BW154" s="30">
        <f ca="1">IFERROR(__xludf.DUMMYFUNCTION("""COMPUTED_VALUE"""),80)</f>
        <v>80</v>
      </c>
      <c r="BX154" s="30">
        <f ca="1">IFERROR(__xludf.DUMMYFUNCTION("""COMPUTED_VALUE"""),80)</f>
        <v>80</v>
      </c>
      <c r="BY154" s="30">
        <f ca="1">IFERROR(__xludf.DUMMYFUNCTION("""COMPUTED_VALUE"""),0)</f>
        <v>0</v>
      </c>
      <c r="BZ154" s="30" t="str">
        <f ca="1">IFERROR(__xludf.DUMMYFUNCTION("""COMPUTED_VALUE"""),"Silao")</f>
        <v>Silao</v>
      </c>
      <c r="CA154" s="30" t="str">
        <f ca="1">IFERROR(__xludf.DUMMYFUNCTION("""COMPUTED_VALUE"""),"No")</f>
        <v>No</v>
      </c>
      <c r="CB154" s="30" t="str">
        <f ca="1">IFERROR(__xludf.DUMMYFUNCTION("""COMPUTED_VALUE"""),"No")</f>
        <v>No</v>
      </c>
      <c r="CC154" s="30" t="str">
        <f ca="1">IFERROR(__xludf.DUMMYFUNCTION("""COMPUTED_VALUE"""),"4cd06d88")</f>
        <v>4cd06d88</v>
      </c>
      <c r="CD154" s="29" t="str">
        <f ca="1">IFERROR(__xludf.DUMMYFUNCTION("""COMPUTED_VALUE"""),"Niñas y Niños (6 a 12 años)")</f>
        <v>Niñas y Niños (6 a 12 años)</v>
      </c>
      <c r="CE154" s="30" t="str">
        <f ca="1">IFERROR(__xludf.DUMMYFUNCTION("""COMPUTED_VALUE"""),"Dato global")</f>
        <v>Dato global</v>
      </c>
      <c r="CF154" s="30" t="str">
        <f ca="1">IFERROR(__xludf.DUMMYFUNCTION("""COMPUTED_VALUE"""),"Ninguno (Población General)")</f>
        <v>Ninguno (Población General)</v>
      </c>
      <c r="CG154" s="30">
        <f ca="1">IFERROR(__xludf.DUMMYFUNCTION("""COMPUTED_VALUE"""),7)</f>
        <v>7</v>
      </c>
      <c r="CI154" s="30" t="str">
        <f ca="1">IFERROR(__xludf.DUMMYFUNCTION("""COMPUTED_VALUE"""),"283e88e2")</f>
        <v>283e88e2</v>
      </c>
      <c r="CJ154" s="29" t="str">
        <f ca="1">IFERROR(__xludf.DUMMYFUNCTION("""COMPUTED_VALUE"""),"Regitro_Evidencia_Images/283e88e2.Archivo_Evidencia.231647.jpg")</f>
        <v>Regitro_Evidencia_Images/283e88e2.Archivo_Evidencia.231647.jpg</v>
      </c>
      <c r="CK154" s="30" t="str">
        <f ca="1">IFERROR(__xludf.DUMMYFUNCTION("""COMPUTED_VALUE"""),"Foto")</f>
        <v>Foto</v>
      </c>
      <c r="CL154" s="30"/>
      <c r="CM154" s="30" t="str">
        <f ca="1">IFERROR(__xludf.DUMMYFUNCTION("""COMPUTED_VALUE"""),"Silao de la Victoria")</f>
        <v>Silao de la Victoria</v>
      </c>
      <c r="CN154" s="32" t="e">
        <f ca="1"/>
        <v>#NAME?</v>
      </c>
      <c r="CO154" s="32" t="e">
        <f ca="1"/>
        <v>#NAME?</v>
      </c>
      <c r="CP154" s="32" t="e">
        <f ca="1"/>
        <v>#NAME?</v>
      </c>
      <c r="CQ154" s="32" t="e">
        <f ca="1"/>
        <v>#NAME?</v>
      </c>
      <c r="CR154" s="30" t="e">
        <f ca="1"/>
        <v>#NAME?</v>
      </c>
      <c r="CS154" s="30" t="str">
        <f ca="1">IFERROR(__xludf.DUMMYFUNCTION("""COMPUTED_VALUE"""),"Jóvenes en riesgo")</f>
        <v>Jóvenes en riesgo</v>
      </c>
    </row>
    <row r="155" spans="1:97" ht="13">
      <c r="A155" s="29" t="str">
        <f ca="1">IFERROR(__xludf.DUMMYFUNCTION("""COMPUTED_VALUE"""),"ACT-SCUF74629")</f>
        <v>ACT-SCUF74629</v>
      </c>
      <c r="B155" s="30" t="str">
        <f ca="1">IFERROR(__xludf.DUMMYFUNCTION("""COMPUTED_VALUE"""),"SC-260702-154031")</f>
        <v>SC-260702-154031</v>
      </c>
      <c r="C155" s="62">
        <f ca="1">IFERROR(__xludf.DUMMYFUNCTION("""COMPUTED_VALUE"""),46205.653136574)</f>
        <v>46205.653136574001</v>
      </c>
      <c r="D155" s="30">
        <f ca="1">IFERROR(__xludf.DUMMYFUNCTION("""COMPUTED_VALUE"""),92)</f>
        <v>92</v>
      </c>
      <c r="E155" s="30" t="str">
        <f ca="1">IFERROR(__xludf.DUMMYFUNCTION("""COMPUTED_VALUE"""),"PB3572")</f>
        <v>PB3572</v>
      </c>
      <c r="F15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5" s="30" t="str">
        <f ca="1">IFERROR(__xludf.DUMMYFUNCTION("""COMPUTED_VALUE"""),"SUBSECRETARÍA DE DESARROLLO Y PROMOCIÓN ARTÍSTICA Y CULTURAL")</f>
        <v>SUBSECRETARÍA DE DESARROLLO Y PROMOCIÓN ARTÍSTICA Y CULTURAL</v>
      </c>
      <c r="I155" s="34" t="str">
        <f ca="1">IFERROR(__xludf.DUMMYFUNCTION("""COMPUTED_VALUE"""),"DIRECCIÓN GENERAL DE MUSEOS, ARTES VISUALES Y EXPOSICIONES")</f>
        <v>DIRECCIÓN GENERAL DE MUSEOS, ARTES VISUALES Y EXPOSICIONES</v>
      </c>
      <c r="J155" s="30" t="str">
        <f ca="1">IFERROR(__xludf.DUMMYFUNCTION("""COMPUTED_VALUE"""),"Número de Actividades realizadas")</f>
        <v>Número de Actividades realizadas</v>
      </c>
      <c r="K155" s="30">
        <f ca="1">IFERROR(__xludf.DUMMYFUNCTION("""COMPUTED_VALUE"""),800)</f>
        <v>800</v>
      </c>
      <c r="L155" s="30" t="str">
        <f ca="1">IFERROR(__xludf.DUMMYFUNCTION("""COMPUTED_VALUE"""),"Artística")</f>
        <v>Artística</v>
      </c>
      <c r="M155" s="30" t="str">
        <f ca="1">IFERROR(__xludf.DUMMYFUNCTION("""COMPUTED_VALUE"""),"Taller de Cartoneria Identiarte")</f>
        <v>Taller de Cartoneria Identiarte</v>
      </c>
      <c r="N155" s="30" t="str">
        <f ca="1">IFERROR(__xludf.DUMMYFUNCTION("""COMPUTED_VALUE"""),"Taller de Cartoneria Identiarte")</f>
        <v>Taller de Cartoneria Identiarte</v>
      </c>
      <c r="O155" s="30" t="str">
        <f ca="1">IFERROR(__xludf.DUMMYFUNCTION("""COMPUTED_VALUE"""),"Semanal")</f>
        <v>Semanal</v>
      </c>
      <c r="P155" s="33">
        <f ca="1">IFERROR(__xludf.DUMMYFUNCTION("""COMPUTED_VALUE"""),46121)</f>
        <v>46121</v>
      </c>
      <c r="Q155" s="33">
        <f ca="1">IFERROR(__xludf.DUMMYFUNCTION("""COMPUTED_VALUE"""),46142)</f>
        <v>46142</v>
      </c>
      <c r="R155" s="30">
        <f ca="1">IFERROR(__xludf.DUMMYFUNCTION("""COMPUTED_VALUE"""),4)</f>
        <v>4</v>
      </c>
      <c r="S155" s="30" t="str">
        <f ca="1">IFERROR(__xludf.DUMMYFUNCTION("""COMPUTED_VALUE"""),"Cultura comunitaria")</f>
        <v>Cultura comunitaria</v>
      </c>
      <c r="T155" s="30" t="str">
        <f ca="1">IFERROR(__xludf.DUMMYFUNCTION("""COMPUTED_VALUE"""),"Formación comunitaria")</f>
        <v>Formación comunitaria</v>
      </c>
      <c r="U155" s="30" t="str">
        <f ca="1">IFERROR(__xludf.DUMMYFUNCTION("""COMPUTED_VALUE"""),"Taller")</f>
        <v>Taller</v>
      </c>
      <c r="V155" s="30" t="str">
        <f ca="1">IFERROR(__xludf.DUMMYFUNCTION("""COMPUTED_VALUE"""),"Ninguna")</f>
        <v>Ninguna</v>
      </c>
      <c r="W155" s="30" t="str">
        <f ca="1">IFERROR(__xludf.DUMMYFUNCTION("""COMPUTED_VALUE"""),"Presencial")</f>
        <v>Presencial</v>
      </c>
      <c r="X155" s="30" t="str">
        <f ca="1">IFERROR(__xludf.DUMMYFUNCTION("""COMPUTED_VALUE"""),"Espacio a Cargo de la Secretaría")</f>
        <v>Espacio a Cargo de la Secretaría</v>
      </c>
      <c r="Y155" s="30" t="str">
        <f ca="1">IFERROR(__xludf.DUMMYFUNCTION("""COMPUTED_VALUE"""),"26")</f>
        <v>26</v>
      </c>
      <c r="Z155" s="30"/>
      <c r="AA155" s="30"/>
      <c r="AB155" s="30" t="b">
        <f ca="1">IFERROR(__xludf.DUMMYFUNCTION("""COMPUTED_VALUE"""),FALSE)</f>
        <v>0</v>
      </c>
      <c r="AC155" s="30"/>
      <c r="AD155" s="30" t="b">
        <f ca="1">IFERROR(__xludf.DUMMYFUNCTION("""COMPUTED_VALUE"""),FALSE)</f>
        <v>0</v>
      </c>
      <c r="AE155" s="30"/>
      <c r="AF155" s="30" t="b">
        <f ca="1">IFERROR(__xludf.DUMMYFUNCTION("""COMPUTED_VALUE"""),FALSE)</f>
        <v>0</v>
      </c>
      <c r="AG155" s="30"/>
      <c r="AH155" s="30" t="str">
        <f ca="1">IFERROR(__xludf.DUMMYFUNCTION("""COMPUTED_VALUE"""),"Sin costo")</f>
        <v>Sin costo</v>
      </c>
      <c r="AI155" s="30"/>
      <c r="AJ155" s="30"/>
      <c r="AK155" s="30"/>
      <c r="AL155" s="30" t="str">
        <f ca="1">IFERROR(__xludf.DUMMYFUNCTION("""COMPUTED_VALUE"""),"ccardonav@guanajuato.gob.mx")</f>
        <v>ccardonav@guanajuato.gob.mx</v>
      </c>
      <c r="AM155" s="30" t="str">
        <f ca="1">IFERROR(__xludf.DUMMYFUNCTION("""COMPUTED_VALUE"""),"Arraigo y empoderamiento cultural de comunidades.")</f>
        <v>Arraigo y empoderamiento cultural de comunidades.</v>
      </c>
      <c r="AN155" s="30" t="str">
        <f ca="1">IFERROR(__xludf.DUMMYFUNCTION("""COMPUTED_VALUE"""),"1 Tranquilidad")</f>
        <v>1 Tranquilidad</v>
      </c>
      <c r="AO155" s="30" t="str">
        <f ca="1">IFERROR(__xludf.DUMMYFUNCTION("""COMPUTED_VALUE"""),"1.2 Fortalecer prevención del delito")</f>
        <v>1.2 Fortalecer prevención del delito</v>
      </c>
      <c r="AP155" s="30" t="str">
        <f ca="1">IFERROR(__xludf.DUMMYFUNCTION("""COMPUTED_VALUE"""),"1.2.2 Fortalecimiento del tejido social")</f>
        <v>1.2.2 Fortalecimiento del tejido social</v>
      </c>
      <c r="AQ155" s="30" t="str">
        <f ca="1">IFERROR(__xludf.DUMMYFUNCTION("""COMPUTED_VALUE"""),"1.2.3.4 Promover una cultura de paz desde las expresiones artísticas y culturales")</f>
        <v>1.2.3.4 Promover una cultura de paz desde las expresiones artísticas y culturales</v>
      </c>
      <c r="AR155" s="30" t="str">
        <f ca="1">IFERROR(__xludf.DUMMYFUNCTION("""COMPUTED_VALUE"""),"Cooperación")</f>
        <v>Cooperación</v>
      </c>
      <c r="AS155" s="30"/>
      <c r="AT155" s="30" t="str">
        <f ca="1">IFERROR(__xludf.DUMMYFUNCTION("""COMPUTED_VALUE"""),"Sostenibilidad del trabajo cultural y la economía creativa.")</f>
        <v>Sostenibilidad del trabajo cultural y la economía creativa.</v>
      </c>
      <c r="AU155"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55" s="30" t="str">
        <f ca="1">IFERROR(__xludf.DUMMYFUNCTION("""COMPUTED_VALUE"""),"Diseñar programas de formación y gestión cultural de base comunitaria.")</f>
        <v>Diseñar programas de formación y gestión cultural de base comunitaria.</v>
      </c>
      <c r="AW155"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55" s="30" t="str">
        <f ca="1">IFERROR(__xludf.DUMMYFUNCTION("""COMPUTED_VALUE"""),"Taller")</f>
        <v>Taller</v>
      </c>
      <c r="AY155" s="30" t="str">
        <f ca="1">IFERROR(__xludf.DUMMYFUNCTION("""COMPUTED_VALUE"""),"Formación")</f>
        <v>Formación</v>
      </c>
      <c r="AZ155" s="30" t="str">
        <f ca="1">IFERROR(__xludf.DUMMYFUNCTION("""COMPUTED_VALUE"""),"Formación")</f>
        <v>Formación</v>
      </c>
      <c r="BA155" s="30"/>
      <c r="BB155" s="30"/>
      <c r="BC155" s="30">
        <f ca="1">IFERROR(__xludf.DUMMYFUNCTION("""COMPUTED_VALUE"""),0)</f>
        <v>0</v>
      </c>
      <c r="BD155" s="30"/>
      <c r="BE155" s="30"/>
      <c r="BF155" s="30" t="b">
        <f ca="1">IFERROR(__xludf.DUMMYFUNCTION("""COMPUTED_VALUE"""),FALSE)</f>
        <v>0</v>
      </c>
      <c r="BG155" s="30"/>
      <c r="BH155" s="30"/>
      <c r="BI155" s="30"/>
      <c r="BJ155" s="30"/>
      <c r="BK155" s="30"/>
      <c r="BL155" s="30" t="str">
        <f ca="1">IFERROR(__xludf.DUMMYFUNCTION("""COMPUTED_VALUE"""),"Vinculacion")</f>
        <v>Vinculacion</v>
      </c>
      <c r="BM155" s="30" t="str">
        <f ca="1">IFERROR(__xludf.DUMMYFUNCTION("""COMPUTED_VALUE"""),"Sí")</f>
        <v>Sí</v>
      </c>
      <c r="BN155" s="30" t="str">
        <f ca="1">IFERROR(__xludf.DUMMYFUNCTION("""COMPUTED_VALUE"""),"Acompañamiento Técnico")</f>
        <v>Acompañamiento Técnico</v>
      </c>
      <c r="BO155" s="30" t="str">
        <f ca="1">IFERROR(__xludf.DUMMYFUNCTION("""COMPUTED_VALUE"""),"6b193619")</f>
        <v>6b193619</v>
      </c>
      <c r="BP155" s="29" t="str">
        <f ca="1">IFERROR(__xludf.DUMMYFUNCTION("""COMPUTED_VALUE"""),"Silao de la Victoria")</f>
        <v>Silao de la Victoria</v>
      </c>
      <c r="BQ155" s="30" t="str">
        <f ca="1">IFERROR(__xludf.DUMMYFUNCTION("""COMPUTED_VALUE"""),"Urbano")</f>
        <v>Urbano</v>
      </c>
      <c r="BR155" s="30">
        <f ca="1">IFERROR(__xludf.DUMMYFUNCTION("""COMPUTED_VALUE"""),215)</f>
        <v>215</v>
      </c>
      <c r="BS155" s="30" t="str">
        <f ca="1">IFERROR(__xludf.DUMMYFUNCTION("""COMPUTED_VALUE"""),"Silao")</f>
        <v>Silao</v>
      </c>
      <c r="BT155" s="30"/>
      <c r="BU155" s="30" t="str">
        <f ca="1">IFERROR(__xludf.DUMMYFUNCTION("""COMPUTED_VALUE"""),"Si")</f>
        <v>Si</v>
      </c>
      <c r="BV155" s="30" t="str">
        <f ca="1">IFERROR(__xludf.DUMMYFUNCTION("""COMPUTED_VALUE"""),"Si")</f>
        <v>Si</v>
      </c>
      <c r="BW155" s="30">
        <f ca="1">IFERROR(__xludf.DUMMYFUNCTION("""COMPUTED_VALUE"""),25)</f>
        <v>25</v>
      </c>
      <c r="BX155" s="30">
        <f ca="1">IFERROR(__xludf.DUMMYFUNCTION("""COMPUTED_VALUE"""),25)</f>
        <v>25</v>
      </c>
      <c r="BY155" s="30">
        <f ca="1">IFERROR(__xludf.DUMMYFUNCTION("""COMPUTED_VALUE"""),0)</f>
        <v>0</v>
      </c>
      <c r="BZ155" s="30" t="str">
        <f ca="1">IFERROR(__xludf.DUMMYFUNCTION("""COMPUTED_VALUE"""),"Silao")</f>
        <v>Silao</v>
      </c>
      <c r="CA155" s="30" t="str">
        <f ca="1">IFERROR(__xludf.DUMMYFUNCTION("""COMPUTED_VALUE"""),"No")</f>
        <v>No</v>
      </c>
      <c r="CB155" s="30" t="str">
        <f ca="1">IFERROR(__xludf.DUMMYFUNCTION("""COMPUTED_VALUE"""),"No")</f>
        <v>No</v>
      </c>
      <c r="CC155" s="30" t="str">
        <f ca="1">IFERROR(__xludf.DUMMYFUNCTION("""COMPUTED_VALUE"""),"ba16d556")</f>
        <v>ba16d556</v>
      </c>
      <c r="CD155" s="29" t="str">
        <f ca="1">IFERROR(__xludf.DUMMYFUNCTION("""COMPUTED_VALUE"""),"Adultos (30 a 59 años)")</f>
        <v>Adultos (30 a 59 años)</v>
      </c>
      <c r="CE155" s="30" t="str">
        <f ca="1">IFERROR(__xludf.DUMMYFUNCTION("""COMPUTED_VALUE"""),"Dato global")</f>
        <v>Dato global</v>
      </c>
      <c r="CF155" s="30" t="str">
        <f ca="1">IFERROR(__xludf.DUMMYFUNCTION("""COMPUTED_VALUE"""),"Ninguno (Población General)")</f>
        <v>Ninguno (Población General)</v>
      </c>
      <c r="CG155" s="30">
        <f ca="1">IFERROR(__xludf.DUMMYFUNCTION("""COMPUTED_VALUE"""),12)</f>
        <v>12</v>
      </c>
      <c r="CI155" s="30" t="str">
        <f ca="1">IFERROR(__xludf.DUMMYFUNCTION("""COMPUTED_VALUE"""),"bbc368b9")</f>
        <v>bbc368b9</v>
      </c>
      <c r="CJ155" s="29" t="str">
        <f ca="1">IFERROR(__xludf.DUMMYFUNCTION("""COMPUTED_VALUE"""),"Regitro_Evidencia_Images/bbc368b9.Archivo_Evidencia.232006.jpg")</f>
        <v>Regitro_Evidencia_Images/bbc368b9.Archivo_Evidencia.232006.jpg</v>
      </c>
      <c r="CK155" s="30" t="str">
        <f ca="1">IFERROR(__xludf.DUMMYFUNCTION("""COMPUTED_VALUE"""),"Foto")</f>
        <v>Foto</v>
      </c>
      <c r="CL155" s="30"/>
      <c r="CM155" s="30" t="str">
        <f ca="1">IFERROR(__xludf.DUMMYFUNCTION("""COMPUTED_VALUE"""),"Silao de la Victoria")</f>
        <v>Silao de la Victoria</v>
      </c>
      <c r="CN155" s="32" t="e">
        <f ca="1"/>
        <v>#NAME?</v>
      </c>
      <c r="CO155" s="32" t="e">
        <f ca="1"/>
        <v>#NAME?</v>
      </c>
      <c r="CP155" s="32" t="e">
        <f ca="1"/>
        <v>#NAME?</v>
      </c>
      <c r="CQ155" s="32" t="e">
        <f ca="1"/>
        <v>#NAME?</v>
      </c>
      <c r="CR155" s="30" t="e">
        <f ca="1"/>
        <v>#NAME?</v>
      </c>
      <c r="CS155" s="30" t="str">
        <f ca="1">IFERROR(__xludf.DUMMYFUNCTION("""COMPUTED_VALUE"""),"Jóvenes en riesgo")</f>
        <v>Jóvenes en riesgo</v>
      </c>
    </row>
    <row r="156" spans="1:97" ht="13">
      <c r="A156" s="29" t="str">
        <f ca="1">IFERROR(__xludf.DUMMYFUNCTION("""COMPUTED_VALUE"""),"ACT-SCQD94004")</f>
        <v>ACT-SCQD94004</v>
      </c>
      <c r="B156" s="30" t="str">
        <f ca="1">IFERROR(__xludf.DUMMYFUNCTION("""COMPUTED_VALUE"""),"SC-260702-163559")</f>
        <v>SC-260702-163559</v>
      </c>
      <c r="C156" s="62">
        <f ca="1">IFERROR(__xludf.DUMMYFUNCTION("""COMPUTED_VALUE"""),46205.6916550925)</f>
        <v>46205.691655092502</v>
      </c>
      <c r="D156" s="30">
        <f ca="1">IFERROR(__xludf.DUMMYFUNCTION("""COMPUTED_VALUE"""),92)</f>
        <v>92</v>
      </c>
      <c r="E156" s="30" t="str">
        <f ca="1">IFERROR(__xludf.DUMMYFUNCTION("""COMPUTED_VALUE"""),"PB3572")</f>
        <v>PB3572</v>
      </c>
      <c r="F15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6" s="30" t="str">
        <f ca="1">IFERROR(__xludf.DUMMYFUNCTION("""COMPUTED_VALUE"""),"SUBSECRETARÍA DE DESARROLLO Y PROMOCIÓN ARTÍSTICA Y CULTURAL")</f>
        <v>SUBSECRETARÍA DE DESARROLLO Y PROMOCIÓN ARTÍSTICA Y CULTURAL</v>
      </c>
      <c r="I156" s="34" t="str">
        <f ca="1">IFERROR(__xludf.DUMMYFUNCTION("""COMPUTED_VALUE"""),"DIRECCIÓN GENERAL DE MUSEOS, ARTES VISUALES Y EXPOSICIONES")</f>
        <v>DIRECCIÓN GENERAL DE MUSEOS, ARTES VISUALES Y EXPOSICIONES</v>
      </c>
      <c r="J156" s="30" t="str">
        <f ca="1">IFERROR(__xludf.DUMMYFUNCTION("""COMPUTED_VALUE"""),"Número de Actividades realizadas")</f>
        <v>Número de Actividades realizadas</v>
      </c>
      <c r="K156" s="30">
        <f ca="1">IFERROR(__xludf.DUMMYFUNCTION("""COMPUTED_VALUE"""),800)</f>
        <v>800</v>
      </c>
      <c r="L156" s="30" t="str">
        <f ca="1">IFERROR(__xludf.DUMMYFUNCTION("""COMPUTED_VALUE"""),"Artística")</f>
        <v>Artística</v>
      </c>
      <c r="M156" s="30" t="str">
        <f ca="1">IFERROR(__xludf.DUMMYFUNCTION("""COMPUTED_VALUE"""),"Taller de Fanzinarte")</f>
        <v>Taller de Fanzinarte</v>
      </c>
      <c r="N156" s="30" t="str">
        <f ca="1">IFERROR(__xludf.DUMMYFUNCTION("""COMPUTED_VALUE"""),"Taller de Fanzinarte")</f>
        <v>Taller de Fanzinarte</v>
      </c>
      <c r="O156" s="30" t="str">
        <f ca="1">IFERROR(__xludf.DUMMYFUNCTION("""COMPUTED_VALUE"""),"Semanal")</f>
        <v>Semanal</v>
      </c>
      <c r="P156" s="33">
        <f ca="1">IFERROR(__xludf.DUMMYFUNCTION("""COMPUTED_VALUE"""),46120)</f>
        <v>46120</v>
      </c>
      <c r="Q156" s="33">
        <f ca="1">IFERROR(__xludf.DUMMYFUNCTION("""COMPUTED_VALUE"""),46141)</f>
        <v>46141</v>
      </c>
      <c r="R156" s="30">
        <f ca="1">IFERROR(__xludf.DUMMYFUNCTION("""COMPUTED_VALUE"""),4)</f>
        <v>4</v>
      </c>
      <c r="S156" s="30" t="str">
        <f ca="1">IFERROR(__xludf.DUMMYFUNCTION("""COMPUTED_VALUE"""),"Cultura comunitaria")</f>
        <v>Cultura comunitaria</v>
      </c>
      <c r="T156" s="30" t="str">
        <f ca="1">IFERROR(__xludf.DUMMYFUNCTION("""COMPUTED_VALUE"""),"Formación comunitaria")</f>
        <v>Formación comunitaria</v>
      </c>
      <c r="U156" s="30" t="str">
        <f ca="1">IFERROR(__xludf.DUMMYFUNCTION("""COMPUTED_VALUE"""),"Taller")</f>
        <v>Taller</v>
      </c>
      <c r="V156" s="30" t="str">
        <f ca="1">IFERROR(__xludf.DUMMYFUNCTION("""COMPUTED_VALUE"""),"Ninguna")</f>
        <v>Ninguna</v>
      </c>
      <c r="W156" s="30" t="str">
        <f ca="1">IFERROR(__xludf.DUMMYFUNCTION("""COMPUTED_VALUE"""),"Presencial")</f>
        <v>Presencial</v>
      </c>
      <c r="X156" s="30" t="str">
        <f ca="1">IFERROR(__xludf.DUMMYFUNCTION("""COMPUTED_VALUE"""),"Espacio a Cargo de la Secretaría")</f>
        <v>Espacio a Cargo de la Secretaría</v>
      </c>
      <c r="Y156" s="30" t="str">
        <f ca="1">IFERROR(__xludf.DUMMYFUNCTION("""COMPUTED_VALUE"""),"26")</f>
        <v>26</v>
      </c>
      <c r="Z156" s="30"/>
      <c r="AA156" s="30"/>
      <c r="AB156" s="30" t="b">
        <f ca="1">IFERROR(__xludf.DUMMYFUNCTION("""COMPUTED_VALUE"""),FALSE)</f>
        <v>0</v>
      </c>
      <c r="AC156" s="30"/>
      <c r="AD156" s="30" t="b">
        <f ca="1">IFERROR(__xludf.DUMMYFUNCTION("""COMPUTED_VALUE"""),FALSE)</f>
        <v>0</v>
      </c>
      <c r="AE156" s="30"/>
      <c r="AF156" s="30" t="b">
        <f ca="1">IFERROR(__xludf.DUMMYFUNCTION("""COMPUTED_VALUE"""),FALSE)</f>
        <v>0</v>
      </c>
      <c r="AG156" s="30"/>
      <c r="AH156" s="30" t="str">
        <f ca="1">IFERROR(__xludf.DUMMYFUNCTION("""COMPUTED_VALUE"""),"Sin costo")</f>
        <v>Sin costo</v>
      </c>
      <c r="AI156" s="30"/>
      <c r="AJ156" s="30"/>
      <c r="AK156" s="30"/>
      <c r="AL156" s="30" t="str">
        <f ca="1">IFERROR(__xludf.DUMMYFUNCTION("""COMPUTED_VALUE"""),"ccardonav@guanajuato.gob.mx")</f>
        <v>ccardonav@guanajuato.gob.mx</v>
      </c>
      <c r="AM156" s="30" t="str">
        <f ca="1">IFERROR(__xludf.DUMMYFUNCTION("""COMPUTED_VALUE"""),"Arraigo y empoderamiento cultural de comunidades.")</f>
        <v>Arraigo y empoderamiento cultural de comunidades.</v>
      </c>
      <c r="AN156" s="30" t="str">
        <f ca="1">IFERROR(__xludf.DUMMYFUNCTION("""COMPUTED_VALUE"""),"1 Tranquilidad")</f>
        <v>1 Tranquilidad</v>
      </c>
      <c r="AO156" s="30" t="str">
        <f ca="1">IFERROR(__xludf.DUMMYFUNCTION("""COMPUTED_VALUE"""),"1.2 Fortalecer prevención del delito")</f>
        <v>1.2 Fortalecer prevención del delito</v>
      </c>
      <c r="AP156" s="30" t="str">
        <f ca="1">IFERROR(__xludf.DUMMYFUNCTION("""COMPUTED_VALUE"""),"1.2.2 Fortalecimiento del tejido social")</f>
        <v>1.2.2 Fortalecimiento del tejido social</v>
      </c>
      <c r="AQ156" s="30" t="str">
        <f ca="1">IFERROR(__xludf.DUMMYFUNCTION("""COMPUTED_VALUE"""),"1.2.3.4 Promover una cultura de paz desde las expresiones artísticas y culturales")</f>
        <v>1.2.3.4 Promover una cultura de paz desde las expresiones artísticas y culturales</v>
      </c>
      <c r="AR156" s="30" t="str">
        <f ca="1">IFERROR(__xludf.DUMMYFUNCTION("""COMPUTED_VALUE"""),"Cooperación")</f>
        <v>Cooperación</v>
      </c>
      <c r="AS156" s="30"/>
      <c r="AT156" s="30" t="str">
        <f ca="1">IFERROR(__xludf.DUMMYFUNCTION("""COMPUTED_VALUE"""),"Sostenibilidad del trabajo cultural y la economía creativa.")</f>
        <v>Sostenibilidad del trabajo cultural y la economía creativa.</v>
      </c>
      <c r="AU156"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56" s="30" t="str">
        <f ca="1">IFERROR(__xludf.DUMMYFUNCTION("""COMPUTED_VALUE"""),"Diseñar programas de formación y gestión cultural de base comunitaria.")</f>
        <v>Diseñar programas de formación y gestión cultural de base comunitaria.</v>
      </c>
      <c r="AW156"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56" s="30" t="str">
        <f ca="1">IFERROR(__xludf.DUMMYFUNCTION("""COMPUTED_VALUE"""),"Taller")</f>
        <v>Taller</v>
      </c>
      <c r="AY156" s="30" t="str">
        <f ca="1">IFERROR(__xludf.DUMMYFUNCTION("""COMPUTED_VALUE"""),"Formación")</f>
        <v>Formación</v>
      </c>
      <c r="AZ156" s="30" t="str">
        <f ca="1">IFERROR(__xludf.DUMMYFUNCTION("""COMPUTED_VALUE"""),"Formación")</f>
        <v>Formación</v>
      </c>
      <c r="BA156" s="30"/>
      <c r="BB156" s="30"/>
      <c r="BC156" s="30">
        <f ca="1">IFERROR(__xludf.DUMMYFUNCTION("""COMPUTED_VALUE"""),0)</f>
        <v>0</v>
      </c>
      <c r="BD156" s="30"/>
      <c r="BE156" s="30"/>
      <c r="BF156" s="30" t="b">
        <f ca="1">IFERROR(__xludf.DUMMYFUNCTION("""COMPUTED_VALUE"""),FALSE)</f>
        <v>0</v>
      </c>
      <c r="BG156" s="30"/>
      <c r="BH156" s="30"/>
      <c r="BI156" s="30"/>
      <c r="BJ156" s="30"/>
      <c r="BK156" s="30"/>
      <c r="BL156" s="30" t="str">
        <f ca="1">IFERROR(__xludf.DUMMYFUNCTION("""COMPUTED_VALUE"""),"Vinculacion")</f>
        <v>Vinculacion</v>
      </c>
      <c r="BM156" s="30" t="str">
        <f ca="1">IFERROR(__xludf.DUMMYFUNCTION("""COMPUTED_VALUE"""),"Sí")</f>
        <v>Sí</v>
      </c>
      <c r="BN156" s="30" t="str">
        <f ca="1">IFERROR(__xludf.DUMMYFUNCTION("""COMPUTED_VALUE"""),"Acompañamiento Técnico")</f>
        <v>Acompañamiento Técnico</v>
      </c>
      <c r="BO156" s="30" t="str">
        <f ca="1">IFERROR(__xludf.DUMMYFUNCTION("""COMPUTED_VALUE"""),"c30746ff")</f>
        <v>c30746ff</v>
      </c>
      <c r="BP156" s="29" t="str">
        <f ca="1">IFERROR(__xludf.DUMMYFUNCTION("""COMPUTED_VALUE"""),"Silao de la Victoria")</f>
        <v>Silao de la Victoria</v>
      </c>
      <c r="BQ156" s="30" t="str">
        <f ca="1">IFERROR(__xludf.DUMMYFUNCTION("""COMPUTED_VALUE"""),"Urbano")</f>
        <v>Urbano</v>
      </c>
      <c r="BR156" s="30">
        <f ca="1">IFERROR(__xludf.DUMMYFUNCTION("""COMPUTED_VALUE"""),215)</f>
        <v>215</v>
      </c>
      <c r="BS156" s="30" t="str">
        <f ca="1">IFERROR(__xludf.DUMMYFUNCTION("""COMPUTED_VALUE"""),"Silao")</f>
        <v>Silao</v>
      </c>
      <c r="BT156" s="30"/>
      <c r="BU156" s="30" t="str">
        <f ca="1">IFERROR(__xludf.DUMMYFUNCTION("""COMPUTED_VALUE"""),"Si")</f>
        <v>Si</v>
      </c>
      <c r="BV156" s="30" t="str">
        <f ca="1">IFERROR(__xludf.DUMMYFUNCTION("""COMPUTED_VALUE"""),"Si")</f>
        <v>Si</v>
      </c>
      <c r="BW156" s="30">
        <f ca="1">IFERROR(__xludf.DUMMYFUNCTION("""COMPUTED_VALUE"""),31)</f>
        <v>31</v>
      </c>
      <c r="BX156" s="30">
        <f ca="1">IFERROR(__xludf.DUMMYFUNCTION("""COMPUTED_VALUE"""),31)</f>
        <v>31</v>
      </c>
      <c r="BY156" s="30">
        <f ca="1">IFERROR(__xludf.DUMMYFUNCTION("""COMPUTED_VALUE"""),0)</f>
        <v>0</v>
      </c>
      <c r="BZ156" s="30" t="str">
        <f ca="1">IFERROR(__xludf.DUMMYFUNCTION("""COMPUTED_VALUE"""),"Silao")</f>
        <v>Silao</v>
      </c>
      <c r="CA156" s="30" t="str">
        <f ca="1">IFERROR(__xludf.DUMMYFUNCTION("""COMPUTED_VALUE"""),"No")</f>
        <v>No</v>
      </c>
      <c r="CB156" s="30" t="str">
        <f ca="1">IFERROR(__xludf.DUMMYFUNCTION("""COMPUTED_VALUE"""),"No")</f>
        <v>No</v>
      </c>
      <c r="CC156" s="30" t="str">
        <f ca="1">IFERROR(__xludf.DUMMYFUNCTION("""COMPUTED_VALUE"""),"25233603")</f>
        <v>25233603</v>
      </c>
      <c r="CD156" s="29" t="str">
        <f ca="1">IFERROR(__xludf.DUMMYFUNCTION("""COMPUTED_VALUE"""),"Niñas y Niños (6 a 12 años)")</f>
        <v>Niñas y Niños (6 a 12 años)</v>
      </c>
      <c r="CE156" s="30" t="str">
        <f ca="1">IFERROR(__xludf.DUMMYFUNCTION("""COMPUTED_VALUE"""),"Dato global")</f>
        <v>Dato global</v>
      </c>
      <c r="CF156" s="30" t="str">
        <f ca="1">IFERROR(__xludf.DUMMYFUNCTION("""COMPUTED_VALUE"""),"NNA (Niñas, Niños y Adolescentes)")</f>
        <v>NNA (Niñas, Niños y Adolescentes)</v>
      </c>
      <c r="CG156" s="30">
        <f ca="1">IFERROR(__xludf.DUMMYFUNCTION("""COMPUTED_VALUE"""),18)</f>
        <v>18</v>
      </c>
      <c r="CI156" s="30" t="str">
        <f ca="1">IFERROR(__xludf.DUMMYFUNCTION("""COMPUTED_VALUE"""),"1a7d4cd4")</f>
        <v>1a7d4cd4</v>
      </c>
      <c r="CJ156" s="29" t="str">
        <f ca="1">IFERROR(__xludf.DUMMYFUNCTION("""COMPUTED_VALUE"""),"Regitro_Evidencia_Images/1a7d4cd4.Archivo_Evidencia.232530.jpg")</f>
        <v>Regitro_Evidencia_Images/1a7d4cd4.Archivo_Evidencia.232530.jpg</v>
      </c>
      <c r="CK156" s="30" t="str">
        <f ca="1">IFERROR(__xludf.DUMMYFUNCTION("""COMPUTED_VALUE"""),"Foto")</f>
        <v>Foto</v>
      </c>
      <c r="CL156" s="30"/>
      <c r="CM156" s="30" t="str">
        <f ca="1">IFERROR(__xludf.DUMMYFUNCTION("""COMPUTED_VALUE"""),"Silao de la Victoria")</f>
        <v>Silao de la Victoria</v>
      </c>
      <c r="CN156" s="32" t="e">
        <f ca="1"/>
        <v>#NAME?</v>
      </c>
      <c r="CO156" s="32" t="e">
        <f ca="1"/>
        <v>#NAME?</v>
      </c>
      <c r="CP156" s="32" t="e">
        <f ca="1"/>
        <v>#NAME?</v>
      </c>
      <c r="CQ156" s="32" t="e">
        <f ca="1"/>
        <v>#NAME?</v>
      </c>
      <c r="CR156" s="30" t="e">
        <f ca="1"/>
        <v>#NAME?</v>
      </c>
      <c r="CS156" s="30" t="str">
        <f ca="1">IFERROR(__xludf.DUMMYFUNCTION("""COMPUTED_VALUE"""),"Ninguno (Población General), Ninguno (Población General), Ninguno (Población General)")</f>
        <v>Ninguno (Población General), Ninguno (Población General), Ninguno (Población General)</v>
      </c>
    </row>
    <row r="157" spans="1:97" ht="13">
      <c r="A157" s="29" t="str">
        <f ca="1">IFERROR(__xludf.DUMMYFUNCTION("""COMPUTED_VALUE"""),"ACT-SCWK91279")</f>
        <v>ACT-SCWK91279</v>
      </c>
      <c r="B157" s="30" t="str">
        <f ca="1">IFERROR(__xludf.DUMMYFUNCTION("""COMPUTED_VALUE"""),"SC-260702-164234")</f>
        <v>SC-260702-164234</v>
      </c>
      <c r="C157" s="62">
        <f ca="1">IFERROR(__xludf.DUMMYFUNCTION("""COMPUTED_VALUE"""),46205.6962268518)</f>
        <v>46205.696226851796</v>
      </c>
      <c r="D157" s="30">
        <f ca="1">IFERROR(__xludf.DUMMYFUNCTION("""COMPUTED_VALUE"""),92)</f>
        <v>92</v>
      </c>
      <c r="E157" s="30" t="str">
        <f ca="1">IFERROR(__xludf.DUMMYFUNCTION("""COMPUTED_VALUE"""),"PB3572")</f>
        <v>PB3572</v>
      </c>
      <c r="F15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7" s="30" t="str">
        <f ca="1">IFERROR(__xludf.DUMMYFUNCTION("""COMPUTED_VALUE"""),"SUBSECRETARÍA DE DESARROLLO Y PROMOCIÓN ARTÍSTICA Y CULTURAL")</f>
        <v>SUBSECRETARÍA DE DESARROLLO Y PROMOCIÓN ARTÍSTICA Y CULTURAL</v>
      </c>
      <c r="I157" s="34" t="str">
        <f ca="1">IFERROR(__xludf.DUMMYFUNCTION("""COMPUTED_VALUE"""),"DIRECCIÓN GENERAL DE MUSEOS, ARTES VISUALES Y EXPOSICIONES")</f>
        <v>DIRECCIÓN GENERAL DE MUSEOS, ARTES VISUALES Y EXPOSICIONES</v>
      </c>
      <c r="J157" s="30" t="str">
        <f ca="1">IFERROR(__xludf.DUMMYFUNCTION("""COMPUTED_VALUE"""),"Número de Actividades realizadas")</f>
        <v>Número de Actividades realizadas</v>
      </c>
      <c r="K157" s="30">
        <f ca="1">IFERROR(__xludf.DUMMYFUNCTION("""COMPUTED_VALUE"""),800)</f>
        <v>800</v>
      </c>
      <c r="L157" s="30" t="str">
        <f ca="1">IFERROR(__xludf.DUMMYFUNCTION("""COMPUTED_VALUE"""),"Cultural")</f>
        <v>Cultural</v>
      </c>
      <c r="M157" s="30" t="str">
        <f ca="1">IFERROR(__xludf.DUMMYFUNCTION("""COMPUTED_VALUE"""),"Taller derechos niñas y niños")</f>
        <v>Taller derechos niñas y niños</v>
      </c>
      <c r="N157" s="30" t="str">
        <f ca="1">IFERROR(__xludf.DUMMYFUNCTION("""COMPUTED_VALUE"""),"Esc Prim Vesp Francisco Javier Mina")</f>
        <v>Esc Prim Vesp Francisco Javier Mina</v>
      </c>
      <c r="O157" s="30" t="str">
        <f ca="1">IFERROR(__xludf.DUMMYFUNCTION("""COMPUTED_VALUE"""),"Semanal")</f>
        <v>Semanal</v>
      </c>
      <c r="P157" s="33">
        <f ca="1">IFERROR(__xludf.DUMMYFUNCTION("""COMPUTED_VALUE"""),46127)</f>
        <v>46127</v>
      </c>
      <c r="Q157" s="33">
        <f ca="1">IFERROR(__xludf.DUMMYFUNCTION("""COMPUTED_VALUE"""),46141)</f>
        <v>46141</v>
      </c>
      <c r="R157" s="30">
        <f ca="1">IFERROR(__xludf.DUMMYFUNCTION("""COMPUTED_VALUE"""),1)</f>
        <v>1</v>
      </c>
      <c r="S157" s="30" t="str">
        <f ca="1">IFERROR(__xludf.DUMMYFUNCTION("""COMPUTED_VALUE"""),"Cultura comunitaria")</f>
        <v>Cultura comunitaria</v>
      </c>
      <c r="T157" s="30" t="str">
        <f ca="1">IFERROR(__xludf.DUMMYFUNCTION("""COMPUTED_VALUE"""),"Formación comunitaria")</f>
        <v>Formación comunitaria</v>
      </c>
      <c r="U157" s="30" t="str">
        <f ca="1">IFERROR(__xludf.DUMMYFUNCTION("""COMPUTED_VALUE"""),"Taller")</f>
        <v>Taller</v>
      </c>
      <c r="V157" s="30" t="str">
        <f ca="1">IFERROR(__xludf.DUMMYFUNCTION("""COMPUTED_VALUE"""),"Ninguna")</f>
        <v>Ninguna</v>
      </c>
      <c r="W157" s="30" t="str">
        <f ca="1">IFERROR(__xludf.DUMMYFUNCTION("""COMPUTED_VALUE"""),"Presencial")</f>
        <v>Presencial</v>
      </c>
      <c r="X157" s="30" t="str">
        <f ca="1">IFERROR(__xludf.DUMMYFUNCTION("""COMPUTED_VALUE"""),"Espacio a Cargo de la Secretaría")</f>
        <v>Espacio a Cargo de la Secretaría</v>
      </c>
      <c r="Y157" s="30" t="str">
        <f ca="1">IFERROR(__xludf.DUMMYFUNCTION("""COMPUTED_VALUE"""),"26")</f>
        <v>26</v>
      </c>
      <c r="Z157" s="30"/>
      <c r="AA157" s="30"/>
      <c r="AB157" s="30" t="b">
        <f ca="1">IFERROR(__xludf.DUMMYFUNCTION("""COMPUTED_VALUE"""),FALSE)</f>
        <v>0</v>
      </c>
      <c r="AC157" s="30"/>
      <c r="AD157" s="30" t="b">
        <f ca="1">IFERROR(__xludf.DUMMYFUNCTION("""COMPUTED_VALUE"""),FALSE)</f>
        <v>0</v>
      </c>
      <c r="AE157" s="30"/>
      <c r="AF157" s="30" t="b">
        <f ca="1">IFERROR(__xludf.DUMMYFUNCTION("""COMPUTED_VALUE"""),FALSE)</f>
        <v>0</v>
      </c>
      <c r="AG157" s="30"/>
      <c r="AH157" s="30" t="str">
        <f ca="1">IFERROR(__xludf.DUMMYFUNCTION("""COMPUTED_VALUE"""),"Sin costo")</f>
        <v>Sin costo</v>
      </c>
      <c r="AI157" s="30"/>
      <c r="AJ157" s="30"/>
      <c r="AK157" s="30"/>
      <c r="AL157" s="30" t="str">
        <f ca="1">IFERROR(__xludf.DUMMYFUNCTION("""COMPUTED_VALUE"""),"ccardonav@guanajuato.gob.mx")</f>
        <v>ccardonav@guanajuato.gob.mx</v>
      </c>
      <c r="AM157" s="30" t="str">
        <f ca="1">IFERROR(__xludf.DUMMYFUNCTION("""COMPUTED_VALUE"""),"Arraigo y empoderamiento cultural de comunidades.")</f>
        <v>Arraigo y empoderamiento cultural de comunidades.</v>
      </c>
      <c r="AN157" s="30" t="str">
        <f ca="1">IFERROR(__xludf.DUMMYFUNCTION("""COMPUTED_VALUE"""),"1 Tranquilidad")</f>
        <v>1 Tranquilidad</v>
      </c>
      <c r="AO157" s="30" t="str">
        <f ca="1">IFERROR(__xludf.DUMMYFUNCTION("""COMPUTED_VALUE"""),"1.2 Fortalecer prevención del delito")</f>
        <v>1.2 Fortalecer prevención del delito</v>
      </c>
      <c r="AP157" s="30" t="str">
        <f ca="1">IFERROR(__xludf.DUMMYFUNCTION("""COMPUTED_VALUE"""),"1.2.2 Fortalecimiento del tejido social")</f>
        <v>1.2.2 Fortalecimiento del tejido social</v>
      </c>
      <c r="AQ157" s="30" t="str">
        <f ca="1">IFERROR(__xludf.DUMMYFUNCTION("""COMPUTED_VALUE"""),"1.2.3.4 Promover una cultura de paz desde las expresiones artísticas y culturales")</f>
        <v>1.2.3.4 Promover una cultura de paz desde las expresiones artísticas y culturales</v>
      </c>
      <c r="AR157" s="30" t="str">
        <f ca="1">IFERROR(__xludf.DUMMYFUNCTION("""COMPUTED_VALUE"""),"Cooperación")</f>
        <v>Cooperación</v>
      </c>
      <c r="AS157" s="30"/>
      <c r="AT157" s="30" t="str">
        <f ca="1">IFERROR(__xludf.DUMMYFUNCTION("""COMPUTED_VALUE"""),"Sostenibilidad del trabajo cultural y la economía creativa.")</f>
        <v>Sostenibilidad del trabajo cultural y la economía creativa.</v>
      </c>
      <c r="AU157"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57" s="30" t="str">
        <f ca="1">IFERROR(__xludf.DUMMYFUNCTION("""COMPUTED_VALUE"""),"Diseñar programas de formación y gestión cultural de base comunitaria.")</f>
        <v>Diseñar programas de formación y gestión cultural de base comunitaria.</v>
      </c>
      <c r="AW157"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57" s="30" t="str">
        <f ca="1">IFERROR(__xludf.DUMMYFUNCTION("""COMPUTED_VALUE"""),"Taller")</f>
        <v>Taller</v>
      </c>
      <c r="AY157" s="30" t="str">
        <f ca="1">IFERROR(__xludf.DUMMYFUNCTION("""COMPUTED_VALUE"""),"Formación")</f>
        <v>Formación</v>
      </c>
      <c r="AZ157" s="30" t="str">
        <f ca="1">IFERROR(__xludf.DUMMYFUNCTION("""COMPUTED_VALUE"""),"Formación")</f>
        <v>Formación</v>
      </c>
      <c r="BA157" s="30"/>
      <c r="BB157" s="30"/>
      <c r="BC157" s="30">
        <f ca="1">IFERROR(__xludf.DUMMYFUNCTION("""COMPUTED_VALUE"""),0)</f>
        <v>0</v>
      </c>
      <c r="BD157" s="30"/>
      <c r="BE157" s="30"/>
      <c r="BF157" s="30" t="b">
        <f ca="1">IFERROR(__xludf.DUMMYFUNCTION("""COMPUTED_VALUE"""),FALSE)</f>
        <v>0</v>
      </c>
      <c r="BG157" s="30"/>
      <c r="BH157" s="30"/>
      <c r="BI157" s="30"/>
      <c r="BJ157" s="30"/>
      <c r="BK157" s="30"/>
      <c r="BL157" s="30" t="str">
        <f ca="1">IFERROR(__xludf.DUMMYFUNCTION("""COMPUTED_VALUE"""),"Vinculación")</f>
        <v>Vinculación</v>
      </c>
      <c r="BM157" s="30" t="str">
        <f ca="1">IFERROR(__xludf.DUMMYFUNCTION("""COMPUTED_VALUE"""),"Sí")</f>
        <v>Sí</v>
      </c>
      <c r="BN157" s="30" t="str">
        <f ca="1">IFERROR(__xludf.DUMMYFUNCTION("""COMPUTED_VALUE"""),"Acompañamiento Técnico")</f>
        <v>Acompañamiento Técnico</v>
      </c>
      <c r="BO157" s="30" t="str">
        <f ca="1">IFERROR(__xludf.DUMMYFUNCTION("""COMPUTED_VALUE"""),"85e30a41")</f>
        <v>85e30a41</v>
      </c>
      <c r="BP157" s="29" t="str">
        <f ca="1">IFERROR(__xludf.DUMMYFUNCTION("""COMPUTED_VALUE"""),"Silao de la Victoria")</f>
        <v>Silao de la Victoria</v>
      </c>
      <c r="BQ157" s="30" t="str">
        <f ca="1">IFERROR(__xludf.DUMMYFUNCTION("""COMPUTED_VALUE"""),"Urbano")</f>
        <v>Urbano</v>
      </c>
      <c r="BR157" s="30">
        <f ca="1">IFERROR(__xludf.DUMMYFUNCTION("""COMPUTED_VALUE"""),215)</f>
        <v>215</v>
      </c>
      <c r="BS157" s="30" t="str">
        <f ca="1">IFERROR(__xludf.DUMMYFUNCTION("""COMPUTED_VALUE"""),"Silao")</f>
        <v>Silao</v>
      </c>
      <c r="BT157" s="30"/>
      <c r="BU157" s="30" t="str">
        <f ca="1">IFERROR(__xludf.DUMMYFUNCTION("""COMPUTED_VALUE"""),"Si")</f>
        <v>Si</v>
      </c>
      <c r="BV157" s="30" t="str">
        <f ca="1">IFERROR(__xludf.DUMMYFUNCTION("""COMPUTED_VALUE"""),"Si")</f>
        <v>Si</v>
      </c>
      <c r="BW157" s="30">
        <f ca="1">IFERROR(__xludf.DUMMYFUNCTION("""COMPUTED_VALUE"""),29)</f>
        <v>29</v>
      </c>
      <c r="BX157" s="30">
        <f ca="1">IFERROR(__xludf.DUMMYFUNCTION("""COMPUTED_VALUE"""),29)</f>
        <v>29</v>
      </c>
      <c r="BY157" s="30">
        <f ca="1">IFERROR(__xludf.DUMMYFUNCTION("""COMPUTED_VALUE"""),0)</f>
        <v>0</v>
      </c>
      <c r="BZ157" s="30" t="str">
        <f ca="1">IFERROR(__xludf.DUMMYFUNCTION("""COMPUTED_VALUE"""),"Silao")</f>
        <v>Silao</v>
      </c>
      <c r="CA157" s="30" t="str">
        <f ca="1">IFERROR(__xludf.DUMMYFUNCTION("""COMPUTED_VALUE"""),"No")</f>
        <v>No</v>
      </c>
      <c r="CB157" s="30" t="str">
        <f ca="1">IFERROR(__xludf.DUMMYFUNCTION("""COMPUTED_VALUE"""),"No")</f>
        <v>No</v>
      </c>
      <c r="CC157" s="30" t="str">
        <f ca="1">IFERROR(__xludf.DUMMYFUNCTION("""COMPUTED_VALUE"""),"7b513ae5")</f>
        <v>7b513ae5</v>
      </c>
      <c r="CD157" s="29" t="str">
        <f ca="1">IFERROR(__xludf.DUMMYFUNCTION("""COMPUTED_VALUE"""),"Jóvenes (18 a 29 años)")</f>
        <v>Jóvenes (18 a 29 años)</v>
      </c>
      <c r="CE157" s="30" t="str">
        <f ca="1">IFERROR(__xludf.DUMMYFUNCTION("""COMPUTED_VALUE"""),"Dato global")</f>
        <v>Dato global</v>
      </c>
      <c r="CF157" s="30" t="str">
        <f ca="1">IFERROR(__xludf.DUMMYFUNCTION("""COMPUTED_VALUE"""),"Ninguno (Población General)")</f>
        <v>Ninguno (Población General)</v>
      </c>
      <c r="CG157" s="30">
        <f ca="1">IFERROR(__xludf.DUMMYFUNCTION("""COMPUTED_VALUE"""),25)</f>
        <v>25</v>
      </c>
      <c r="CI157" s="30" t="str">
        <f ca="1">IFERROR(__xludf.DUMMYFUNCTION("""COMPUTED_VALUE"""),"2a49f54c")</f>
        <v>2a49f54c</v>
      </c>
      <c r="CJ157" s="29" t="str">
        <f ca="1">IFERROR(__xludf.DUMMYFUNCTION("""COMPUTED_VALUE"""),"Regitro_Evidencia_Images/2a49f54c.Archivo_Evidencia.233021.jpg")</f>
        <v>Regitro_Evidencia_Images/2a49f54c.Archivo_Evidencia.233021.jpg</v>
      </c>
      <c r="CK157" s="30" t="str">
        <f ca="1">IFERROR(__xludf.DUMMYFUNCTION("""COMPUTED_VALUE"""),"Foto")</f>
        <v>Foto</v>
      </c>
      <c r="CL157" s="30"/>
      <c r="CM157" s="30" t="str">
        <f ca="1">IFERROR(__xludf.DUMMYFUNCTION("""COMPUTED_VALUE"""),"Silao de la Victoria")</f>
        <v>Silao de la Victoria</v>
      </c>
      <c r="CN157" s="32" t="e">
        <f ca="1"/>
        <v>#NAME?</v>
      </c>
      <c r="CO157" s="32" t="e">
        <f ca="1"/>
        <v>#NAME?</v>
      </c>
      <c r="CP157" s="32" t="e">
        <f ca="1"/>
        <v>#NAME?</v>
      </c>
      <c r="CQ157" s="32" t="e">
        <f ca="1"/>
        <v>#NAME?</v>
      </c>
      <c r="CR157" s="30" t="e">
        <f ca="1"/>
        <v>#NAME?</v>
      </c>
      <c r="CS157" s="30" t="str">
        <f ca="1">IFERROR(__xludf.DUMMYFUNCTION("""COMPUTED_VALUE"""),"Ninguno (Población General), Ninguno (Población General), Ninguno (Población General)")</f>
        <v>Ninguno (Población General), Ninguno (Población General), Ninguno (Población General)</v>
      </c>
    </row>
    <row r="158" spans="1:97" ht="13">
      <c r="A158" s="29" t="str">
        <f ca="1">IFERROR(__xludf.DUMMYFUNCTION("""COMPUTED_VALUE"""),"ACT-SCGZ69056")</f>
        <v>ACT-SCGZ69056</v>
      </c>
      <c r="B158" s="30" t="str">
        <f ca="1">IFERROR(__xludf.DUMMYFUNCTION("""COMPUTED_VALUE"""),"SC-260702-164751")</f>
        <v>SC-260702-164751</v>
      </c>
      <c r="C158" s="62">
        <f ca="1">IFERROR(__xludf.DUMMYFUNCTION("""COMPUTED_VALUE"""),46205.6998958333)</f>
        <v>46205.699895833299</v>
      </c>
      <c r="D158" s="30">
        <f ca="1">IFERROR(__xludf.DUMMYFUNCTION("""COMPUTED_VALUE"""),92)</f>
        <v>92</v>
      </c>
      <c r="E158" s="30" t="str">
        <f ca="1">IFERROR(__xludf.DUMMYFUNCTION("""COMPUTED_VALUE"""),"PB3572")</f>
        <v>PB3572</v>
      </c>
      <c r="F15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8" s="30" t="str">
        <f ca="1">IFERROR(__xludf.DUMMYFUNCTION("""COMPUTED_VALUE"""),"SUBSECRETARÍA DE DESARROLLO Y PROMOCIÓN ARTÍSTICA Y CULTURAL")</f>
        <v>SUBSECRETARÍA DE DESARROLLO Y PROMOCIÓN ARTÍSTICA Y CULTURAL</v>
      </c>
      <c r="I158" s="34" t="str">
        <f ca="1">IFERROR(__xludf.DUMMYFUNCTION("""COMPUTED_VALUE"""),"DIRECCIÓN GENERAL DE MUSEOS, ARTES VISUALES Y EXPOSICIONES")</f>
        <v>DIRECCIÓN GENERAL DE MUSEOS, ARTES VISUALES Y EXPOSICIONES</v>
      </c>
      <c r="J158" s="30" t="str">
        <f ca="1">IFERROR(__xludf.DUMMYFUNCTION("""COMPUTED_VALUE"""),"Número de Actividades realizadas")</f>
        <v>Número de Actividades realizadas</v>
      </c>
      <c r="K158" s="30">
        <f ca="1">IFERROR(__xludf.DUMMYFUNCTION("""COMPUTED_VALUE"""),800)</f>
        <v>800</v>
      </c>
      <c r="L158" s="30" t="str">
        <f ca="1">IFERROR(__xludf.DUMMYFUNCTION("""COMPUTED_VALUE"""),"Cultural")</f>
        <v>Cultural</v>
      </c>
      <c r="M158" s="30" t="str">
        <f ca="1">IFERROR(__xludf.DUMMYFUNCTION("""COMPUTED_VALUE"""),"Taller derechos niñas y niños")</f>
        <v>Taller derechos niñas y niños</v>
      </c>
      <c r="N158" s="30" t="str">
        <f ca="1">IFERROR(__xludf.DUMMYFUNCTION("""COMPUTED_VALUE"""),"Esc Prim J Natividad Macias")</f>
        <v>Esc Prim J Natividad Macias</v>
      </c>
      <c r="O158" s="30" t="str">
        <f ca="1">IFERROR(__xludf.DUMMYFUNCTION("""COMPUTED_VALUE"""),"Única")</f>
        <v>Única</v>
      </c>
      <c r="P158" s="33">
        <f ca="1">IFERROR(__xludf.DUMMYFUNCTION("""COMPUTED_VALUE"""),46128)</f>
        <v>46128</v>
      </c>
      <c r="Q158" s="33">
        <f ca="1">IFERROR(__xludf.DUMMYFUNCTION("""COMPUTED_VALUE"""),46128)</f>
        <v>46128</v>
      </c>
      <c r="R158" s="30">
        <f ca="1">IFERROR(__xludf.DUMMYFUNCTION("""COMPUTED_VALUE"""),1)</f>
        <v>1</v>
      </c>
      <c r="S158" s="30" t="str">
        <f ca="1">IFERROR(__xludf.DUMMYFUNCTION("""COMPUTED_VALUE"""),"Cultura comunitaria")</f>
        <v>Cultura comunitaria</v>
      </c>
      <c r="T158" s="30" t="str">
        <f ca="1">IFERROR(__xludf.DUMMYFUNCTION("""COMPUTED_VALUE"""),"Formación comunitaria")</f>
        <v>Formación comunitaria</v>
      </c>
      <c r="U158" s="30" t="str">
        <f ca="1">IFERROR(__xludf.DUMMYFUNCTION("""COMPUTED_VALUE"""),"Taller")</f>
        <v>Taller</v>
      </c>
      <c r="V158" s="30" t="str">
        <f ca="1">IFERROR(__xludf.DUMMYFUNCTION("""COMPUTED_VALUE"""),"Ninguna")</f>
        <v>Ninguna</v>
      </c>
      <c r="W158" s="30" t="str">
        <f ca="1">IFERROR(__xludf.DUMMYFUNCTION("""COMPUTED_VALUE"""),"Presencial")</f>
        <v>Presencial</v>
      </c>
      <c r="X158" s="30" t="str">
        <f ca="1">IFERROR(__xludf.DUMMYFUNCTION("""COMPUTED_VALUE"""),"Espacio a Cargo de la Secretaría")</f>
        <v>Espacio a Cargo de la Secretaría</v>
      </c>
      <c r="Y158" s="30" t="str">
        <f ca="1">IFERROR(__xludf.DUMMYFUNCTION("""COMPUTED_VALUE"""),"26")</f>
        <v>26</v>
      </c>
      <c r="Z158" s="30"/>
      <c r="AA158" s="30"/>
      <c r="AB158" s="30" t="b">
        <f ca="1">IFERROR(__xludf.DUMMYFUNCTION("""COMPUTED_VALUE"""),FALSE)</f>
        <v>0</v>
      </c>
      <c r="AC158" s="30"/>
      <c r="AD158" s="30" t="b">
        <f ca="1">IFERROR(__xludf.DUMMYFUNCTION("""COMPUTED_VALUE"""),FALSE)</f>
        <v>0</v>
      </c>
      <c r="AE158" s="30"/>
      <c r="AF158" s="30" t="b">
        <f ca="1">IFERROR(__xludf.DUMMYFUNCTION("""COMPUTED_VALUE"""),FALSE)</f>
        <v>0</v>
      </c>
      <c r="AG158" s="30"/>
      <c r="AH158" s="30" t="str">
        <f ca="1">IFERROR(__xludf.DUMMYFUNCTION("""COMPUTED_VALUE"""),"Sin costo")</f>
        <v>Sin costo</v>
      </c>
      <c r="AI158" s="30"/>
      <c r="AJ158" s="30"/>
      <c r="AK158" s="30"/>
      <c r="AL158" s="30" t="str">
        <f ca="1">IFERROR(__xludf.DUMMYFUNCTION("""COMPUTED_VALUE"""),"ccardonav@guanajuato.gob.mx")</f>
        <v>ccardonav@guanajuato.gob.mx</v>
      </c>
      <c r="AM158" s="30" t="str">
        <f ca="1">IFERROR(__xludf.DUMMYFUNCTION("""COMPUTED_VALUE"""),"Arraigo y empoderamiento cultural de comunidades.")</f>
        <v>Arraigo y empoderamiento cultural de comunidades.</v>
      </c>
      <c r="AN158" s="30" t="str">
        <f ca="1">IFERROR(__xludf.DUMMYFUNCTION("""COMPUTED_VALUE"""),"1 Tranquilidad")</f>
        <v>1 Tranquilidad</v>
      </c>
      <c r="AO158" s="30" t="str">
        <f ca="1">IFERROR(__xludf.DUMMYFUNCTION("""COMPUTED_VALUE"""),"1.2 Fortalecer prevención del delito")</f>
        <v>1.2 Fortalecer prevención del delito</v>
      </c>
      <c r="AP158" s="30" t="str">
        <f ca="1">IFERROR(__xludf.DUMMYFUNCTION("""COMPUTED_VALUE"""),"1.2.2 Fortalecimiento del tejido social")</f>
        <v>1.2.2 Fortalecimiento del tejido social</v>
      </c>
      <c r="AQ158" s="30" t="str">
        <f ca="1">IFERROR(__xludf.DUMMYFUNCTION("""COMPUTED_VALUE"""),"1.2.3.4 Promover una cultura de paz desde las expresiones artísticas y culturales")</f>
        <v>1.2.3.4 Promover una cultura de paz desde las expresiones artísticas y culturales</v>
      </c>
      <c r="AR158" s="30" t="str">
        <f ca="1">IFERROR(__xludf.DUMMYFUNCTION("""COMPUTED_VALUE"""),"Cooperación")</f>
        <v>Cooperación</v>
      </c>
      <c r="AS158" s="30"/>
      <c r="AT158" s="30" t="str">
        <f ca="1">IFERROR(__xludf.DUMMYFUNCTION("""COMPUTED_VALUE"""),"Sostenibilidad del trabajo cultural y la economía creativa.")</f>
        <v>Sostenibilidad del trabajo cultural y la economía creativa.</v>
      </c>
      <c r="AU158"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58" s="30" t="str">
        <f ca="1">IFERROR(__xludf.DUMMYFUNCTION("""COMPUTED_VALUE"""),"Diseñar programas de formación y gestión cultural de base comunitaria.")</f>
        <v>Diseñar programas de formación y gestión cultural de base comunitaria.</v>
      </c>
      <c r="AW158"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58" s="30" t="str">
        <f ca="1">IFERROR(__xludf.DUMMYFUNCTION("""COMPUTED_VALUE"""),"Taller")</f>
        <v>Taller</v>
      </c>
      <c r="AY158" s="30" t="str">
        <f ca="1">IFERROR(__xludf.DUMMYFUNCTION("""COMPUTED_VALUE"""),"Formación")</f>
        <v>Formación</v>
      </c>
      <c r="AZ158" s="30" t="str">
        <f ca="1">IFERROR(__xludf.DUMMYFUNCTION("""COMPUTED_VALUE"""),"Formación")</f>
        <v>Formación</v>
      </c>
      <c r="BA158" s="30"/>
      <c r="BB158" s="30"/>
      <c r="BC158" s="30">
        <f ca="1">IFERROR(__xludf.DUMMYFUNCTION("""COMPUTED_VALUE"""),0)</f>
        <v>0</v>
      </c>
      <c r="BD158" s="30"/>
      <c r="BE158" s="30"/>
      <c r="BF158" s="30" t="b">
        <f ca="1">IFERROR(__xludf.DUMMYFUNCTION("""COMPUTED_VALUE"""),FALSE)</f>
        <v>0</v>
      </c>
      <c r="BG158" s="30"/>
      <c r="BH158" s="30"/>
      <c r="BI158" s="30"/>
      <c r="BJ158" s="30"/>
      <c r="BK158" s="30"/>
      <c r="BL158" s="30" t="str">
        <f ca="1">IFERROR(__xludf.DUMMYFUNCTION("""COMPUTED_VALUE"""),"Vinculación")</f>
        <v>Vinculación</v>
      </c>
      <c r="BM158" s="30" t="str">
        <f ca="1">IFERROR(__xludf.DUMMYFUNCTION("""COMPUTED_VALUE"""),"Sí")</f>
        <v>Sí</v>
      </c>
      <c r="BN158" s="30" t="str">
        <f ca="1">IFERROR(__xludf.DUMMYFUNCTION("""COMPUTED_VALUE"""),"Acompañamiento Técnico")</f>
        <v>Acompañamiento Técnico</v>
      </c>
      <c r="BO158" s="30" t="str">
        <f ca="1">IFERROR(__xludf.DUMMYFUNCTION("""COMPUTED_VALUE"""),"cf1530f2")</f>
        <v>cf1530f2</v>
      </c>
      <c r="BP158" s="29" t="str">
        <f ca="1">IFERROR(__xludf.DUMMYFUNCTION("""COMPUTED_VALUE"""),"Silao de la Victoria")</f>
        <v>Silao de la Victoria</v>
      </c>
      <c r="BQ158" s="30" t="str">
        <f ca="1">IFERROR(__xludf.DUMMYFUNCTION("""COMPUTED_VALUE"""),"Urbano")</f>
        <v>Urbano</v>
      </c>
      <c r="BR158" s="30">
        <f ca="1">IFERROR(__xludf.DUMMYFUNCTION("""COMPUTED_VALUE"""),215)</f>
        <v>215</v>
      </c>
      <c r="BS158" s="30" t="str">
        <f ca="1">IFERROR(__xludf.DUMMYFUNCTION("""COMPUTED_VALUE"""),"Silao")</f>
        <v>Silao</v>
      </c>
      <c r="BT158" s="30"/>
      <c r="BU158" s="30" t="str">
        <f ca="1">IFERROR(__xludf.DUMMYFUNCTION("""COMPUTED_VALUE"""),"Si")</f>
        <v>Si</v>
      </c>
      <c r="BV158" s="30" t="str">
        <f ca="1">IFERROR(__xludf.DUMMYFUNCTION("""COMPUTED_VALUE"""),"Si")</f>
        <v>Si</v>
      </c>
      <c r="BW158" s="30">
        <f ca="1">IFERROR(__xludf.DUMMYFUNCTION("""COMPUTED_VALUE"""),15)</f>
        <v>15</v>
      </c>
      <c r="BX158" s="30"/>
      <c r="BY158" s="30">
        <f ca="1">IFERROR(__xludf.DUMMYFUNCTION("""COMPUTED_VALUE"""),15)</f>
        <v>15</v>
      </c>
      <c r="BZ158" s="30" t="str">
        <f ca="1">IFERROR(__xludf.DUMMYFUNCTION("""COMPUTED_VALUE"""),"Silao")</f>
        <v>Silao</v>
      </c>
      <c r="CA158" s="30" t="str">
        <f ca="1">IFERROR(__xludf.DUMMYFUNCTION("""COMPUTED_VALUE"""),"No")</f>
        <v>No</v>
      </c>
      <c r="CB158" s="30" t="str">
        <f ca="1">IFERROR(__xludf.DUMMYFUNCTION("""COMPUTED_VALUE"""),"No")</f>
        <v>No</v>
      </c>
      <c r="CC158" s="30" t="str">
        <f ca="1">IFERROR(__xludf.DUMMYFUNCTION("""COMPUTED_VALUE"""),"dbc4ecd1")</f>
        <v>dbc4ecd1</v>
      </c>
      <c r="CD158" s="29" t="str">
        <f ca="1">IFERROR(__xludf.DUMMYFUNCTION("""COMPUTED_VALUE"""),"Adultos (30 a 59 años)")</f>
        <v>Adultos (30 a 59 años)</v>
      </c>
      <c r="CE158" s="30" t="str">
        <f ca="1">IFERROR(__xludf.DUMMYFUNCTION("""COMPUTED_VALUE"""),"Dato global")</f>
        <v>Dato global</v>
      </c>
      <c r="CF158" s="30" t="str">
        <f ca="1">IFERROR(__xludf.DUMMYFUNCTION("""COMPUTED_VALUE"""),"Ninguno (Población General)")</f>
        <v>Ninguno (Población General)</v>
      </c>
      <c r="CG158" s="30">
        <f ca="1">IFERROR(__xludf.DUMMYFUNCTION("""COMPUTED_VALUE"""),23)</f>
        <v>23</v>
      </c>
      <c r="CI158" s="30" t="str">
        <f ca="1">IFERROR(__xludf.DUMMYFUNCTION("""COMPUTED_VALUE"""),"b3550bf8")</f>
        <v>b3550bf8</v>
      </c>
      <c r="CJ158" s="29" t="str">
        <f ca="1">IFERROR(__xludf.DUMMYFUNCTION("""COMPUTED_VALUE"""),"Regitro_Evidencia_Files_/b3550bf8.Archivo_Evidencia.233849.pdf")</f>
        <v>Regitro_Evidencia_Files_/b3550bf8.Archivo_Evidencia.233849.pdf</v>
      </c>
      <c r="CK158" s="30" t="str">
        <f ca="1">IFERROR(__xludf.DUMMYFUNCTION("""COMPUTED_VALUE"""),"PDF")</f>
        <v>PDF</v>
      </c>
      <c r="CL158" s="30"/>
      <c r="CM158" s="30" t="str">
        <f ca="1">IFERROR(__xludf.DUMMYFUNCTION("""COMPUTED_VALUE"""),"Silao de la Victoria")</f>
        <v>Silao de la Victoria</v>
      </c>
      <c r="CN158" s="32" t="e">
        <f ca="1"/>
        <v>#NAME?</v>
      </c>
      <c r="CO158" s="32" t="e">
        <f ca="1"/>
        <v>#NAME?</v>
      </c>
      <c r="CP158" s="32" t="e">
        <f ca="1"/>
        <v>#NAME?</v>
      </c>
      <c r="CQ158" s="32" t="e">
        <f ca="1"/>
        <v>#NAME?</v>
      </c>
      <c r="CR158" s="30" t="e">
        <f ca="1"/>
        <v>#NAME?</v>
      </c>
      <c r="CS158" s="30" t="str">
        <f ca="1">IFERROR(__xludf.DUMMYFUNCTION("""COMPUTED_VALUE"""),"Ninguno (Población General), Ninguno (Población General)")</f>
        <v>Ninguno (Población General), Ninguno (Población General)</v>
      </c>
    </row>
    <row r="159" spans="1:97" ht="13">
      <c r="A159" s="29" t="str">
        <f ca="1">IFERROR(__xludf.DUMMYFUNCTION("""COMPUTED_VALUE"""),"ACT-SCIZ23576")</f>
        <v>ACT-SCIZ23576</v>
      </c>
      <c r="B159" s="30" t="str">
        <f ca="1">IFERROR(__xludf.DUMMYFUNCTION("""COMPUTED_VALUE"""),"SC-260702-165140")</f>
        <v>SC-260702-165140</v>
      </c>
      <c r="C159" s="62">
        <f ca="1">IFERROR(__xludf.DUMMYFUNCTION("""COMPUTED_VALUE"""),46205.7025462962)</f>
        <v>46205.702546296197</v>
      </c>
      <c r="D159" s="30">
        <f ca="1">IFERROR(__xludf.DUMMYFUNCTION("""COMPUTED_VALUE"""),92)</f>
        <v>92</v>
      </c>
      <c r="E159" s="30" t="str">
        <f ca="1">IFERROR(__xludf.DUMMYFUNCTION("""COMPUTED_VALUE"""),"PB3572")</f>
        <v>PB3572</v>
      </c>
      <c r="F15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5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59" s="30" t="str">
        <f ca="1">IFERROR(__xludf.DUMMYFUNCTION("""COMPUTED_VALUE"""),"SUBSECRETARÍA DE DESARROLLO Y PROMOCIÓN ARTÍSTICA Y CULTURAL")</f>
        <v>SUBSECRETARÍA DE DESARROLLO Y PROMOCIÓN ARTÍSTICA Y CULTURAL</v>
      </c>
      <c r="I159" s="34" t="str">
        <f ca="1">IFERROR(__xludf.DUMMYFUNCTION("""COMPUTED_VALUE"""),"DIRECCIÓN GENERAL DE MUSEOS, ARTES VISUALES Y EXPOSICIONES")</f>
        <v>DIRECCIÓN GENERAL DE MUSEOS, ARTES VISUALES Y EXPOSICIONES</v>
      </c>
      <c r="J159" s="30" t="str">
        <f ca="1">IFERROR(__xludf.DUMMYFUNCTION("""COMPUTED_VALUE"""),"Número de Actividades realizadas")</f>
        <v>Número de Actividades realizadas</v>
      </c>
      <c r="K159" s="30">
        <f ca="1">IFERROR(__xludf.DUMMYFUNCTION("""COMPUTED_VALUE"""),800)</f>
        <v>800</v>
      </c>
      <c r="L159" s="30" t="str">
        <f ca="1">IFERROR(__xludf.DUMMYFUNCTION("""COMPUTED_VALUE"""),"Cultural")</f>
        <v>Cultural</v>
      </c>
      <c r="M159" s="30" t="str">
        <f ca="1">IFERROR(__xludf.DUMMYFUNCTION("""COMPUTED_VALUE"""),"Taller, mi espacio feliz")</f>
        <v>Taller, mi espacio feliz</v>
      </c>
      <c r="N159" s="30" t="str">
        <f ca="1">IFERROR(__xludf.DUMMYFUNCTION("""COMPUTED_VALUE"""),"Esc Prim J Natividad Macias")</f>
        <v>Esc Prim J Natividad Macias</v>
      </c>
      <c r="O159" s="30" t="str">
        <f ca="1">IFERROR(__xludf.DUMMYFUNCTION("""COMPUTED_VALUE"""),"Única")</f>
        <v>Única</v>
      </c>
      <c r="P159" s="33">
        <f ca="1">IFERROR(__xludf.DUMMYFUNCTION("""COMPUTED_VALUE"""),46129)</f>
        <v>46129</v>
      </c>
      <c r="Q159" s="33">
        <f ca="1">IFERROR(__xludf.DUMMYFUNCTION("""COMPUTED_VALUE"""),46129)</f>
        <v>46129</v>
      </c>
      <c r="R159" s="30">
        <f ca="1">IFERROR(__xludf.DUMMYFUNCTION("""COMPUTED_VALUE"""),1)</f>
        <v>1</v>
      </c>
      <c r="S159" s="30" t="str">
        <f ca="1">IFERROR(__xludf.DUMMYFUNCTION("""COMPUTED_VALUE"""),"Cultura comunitaria")</f>
        <v>Cultura comunitaria</v>
      </c>
      <c r="T159" s="30" t="str">
        <f ca="1">IFERROR(__xludf.DUMMYFUNCTION("""COMPUTED_VALUE"""),"Formación comunitaria")</f>
        <v>Formación comunitaria</v>
      </c>
      <c r="U159" s="30" t="str">
        <f ca="1">IFERROR(__xludf.DUMMYFUNCTION("""COMPUTED_VALUE"""),"Taller")</f>
        <v>Taller</v>
      </c>
      <c r="V159" s="30" t="str">
        <f ca="1">IFERROR(__xludf.DUMMYFUNCTION("""COMPUTED_VALUE"""),"Ninguna")</f>
        <v>Ninguna</v>
      </c>
      <c r="W159" s="30" t="str">
        <f ca="1">IFERROR(__xludf.DUMMYFUNCTION("""COMPUTED_VALUE"""),"Presencial")</f>
        <v>Presencial</v>
      </c>
      <c r="X159" s="30" t="str">
        <f ca="1">IFERROR(__xludf.DUMMYFUNCTION("""COMPUTED_VALUE"""),"Espacio a Cargo de la Secretaría")</f>
        <v>Espacio a Cargo de la Secretaría</v>
      </c>
      <c r="Y159" s="30" t="str">
        <f ca="1">IFERROR(__xludf.DUMMYFUNCTION("""COMPUTED_VALUE"""),"26")</f>
        <v>26</v>
      </c>
      <c r="Z159" s="30"/>
      <c r="AA159" s="30"/>
      <c r="AB159" s="30" t="b">
        <f ca="1">IFERROR(__xludf.DUMMYFUNCTION("""COMPUTED_VALUE"""),FALSE)</f>
        <v>0</v>
      </c>
      <c r="AC159" s="30"/>
      <c r="AD159" s="30" t="b">
        <f ca="1">IFERROR(__xludf.DUMMYFUNCTION("""COMPUTED_VALUE"""),FALSE)</f>
        <v>0</v>
      </c>
      <c r="AE159" s="30"/>
      <c r="AF159" s="30" t="b">
        <f ca="1">IFERROR(__xludf.DUMMYFUNCTION("""COMPUTED_VALUE"""),FALSE)</f>
        <v>0</v>
      </c>
      <c r="AG159" s="30"/>
      <c r="AH159" s="30" t="str">
        <f ca="1">IFERROR(__xludf.DUMMYFUNCTION("""COMPUTED_VALUE"""),"Sin costo")</f>
        <v>Sin costo</v>
      </c>
      <c r="AI159" s="30"/>
      <c r="AJ159" s="30"/>
      <c r="AK159" s="30"/>
      <c r="AL159" s="30" t="str">
        <f ca="1">IFERROR(__xludf.DUMMYFUNCTION("""COMPUTED_VALUE"""),"ccardonav@guanajuato.gob.mx")</f>
        <v>ccardonav@guanajuato.gob.mx</v>
      </c>
      <c r="AM159" s="30" t="str">
        <f ca="1">IFERROR(__xludf.DUMMYFUNCTION("""COMPUTED_VALUE"""),"Arraigo y empoderamiento cultural de comunidades.")</f>
        <v>Arraigo y empoderamiento cultural de comunidades.</v>
      </c>
      <c r="AN159" s="30" t="str">
        <f ca="1">IFERROR(__xludf.DUMMYFUNCTION("""COMPUTED_VALUE"""),"1 Tranquilidad")</f>
        <v>1 Tranquilidad</v>
      </c>
      <c r="AO159" s="30" t="str">
        <f ca="1">IFERROR(__xludf.DUMMYFUNCTION("""COMPUTED_VALUE"""),"1.2 Fortalecer prevención del delito")</f>
        <v>1.2 Fortalecer prevención del delito</v>
      </c>
      <c r="AP159" s="30" t="str">
        <f ca="1">IFERROR(__xludf.DUMMYFUNCTION("""COMPUTED_VALUE"""),"1.2.2 Fortalecimiento del tejido social")</f>
        <v>1.2.2 Fortalecimiento del tejido social</v>
      </c>
      <c r="AQ159" s="30" t="str">
        <f ca="1">IFERROR(__xludf.DUMMYFUNCTION("""COMPUTED_VALUE"""),"1.2.3.4 Promover una cultura de paz desde las expresiones artísticas y culturales")</f>
        <v>1.2.3.4 Promover una cultura de paz desde las expresiones artísticas y culturales</v>
      </c>
      <c r="AR159" s="30" t="str">
        <f ca="1">IFERROR(__xludf.DUMMYFUNCTION("""COMPUTED_VALUE"""),"Cooperación")</f>
        <v>Cooperación</v>
      </c>
      <c r="AS159" s="30"/>
      <c r="AT159" s="30" t="str">
        <f ca="1">IFERROR(__xludf.DUMMYFUNCTION("""COMPUTED_VALUE"""),"Sostenibilidad del trabajo cultural y la economía creativa.")</f>
        <v>Sostenibilidad del trabajo cultural y la economía creativa.</v>
      </c>
      <c r="AU159"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59" s="30" t="str">
        <f ca="1">IFERROR(__xludf.DUMMYFUNCTION("""COMPUTED_VALUE"""),"Diseñar programas de formación y gestión cultural de base comunitaria.")</f>
        <v>Diseñar programas de formación y gestión cultural de base comunitaria.</v>
      </c>
      <c r="AW159"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59" s="30" t="str">
        <f ca="1">IFERROR(__xludf.DUMMYFUNCTION("""COMPUTED_VALUE"""),"Taller")</f>
        <v>Taller</v>
      </c>
      <c r="AY159" s="30" t="str">
        <f ca="1">IFERROR(__xludf.DUMMYFUNCTION("""COMPUTED_VALUE"""),"Formación")</f>
        <v>Formación</v>
      </c>
      <c r="AZ159" s="30" t="str">
        <f ca="1">IFERROR(__xludf.DUMMYFUNCTION("""COMPUTED_VALUE"""),"Formación")</f>
        <v>Formación</v>
      </c>
      <c r="BA159" s="30"/>
      <c r="BB159" s="30"/>
      <c r="BC159" s="30">
        <f ca="1">IFERROR(__xludf.DUMMYFUNCTION("""COMPUTED_VALUE"""),0)</f>
        <v>0</v>
      </c>
      <c r="BD159" s="30"/>
      <c r="BE159" s="30"/>
      <c r="BF159" s="30" t="b">
        <f ca="1">IFERROR(__xludf.DUMMYFUNCTION("""COMPUTED_VALUE"""),FALSE)</f>
        <v>0</v>
      </c>
      <c r="BG159" s="30"/>
      <c r="BH159" s="30"/>
      <c r="BI159" s="30"/>
      <c r="BJ159" s="30"/>
      <c r="BK159" s="30"/>
      <c r="BL159" s="30" t="str">
        <f ca="1">IFERROR(__xludf.DUMMYFUNCTION("""COMPUTED_VALUE"""),"Vinculación")</f>
        <v>Vinculación</v>
      </c>
      <c r="BM159" s="30" t="str">
        <f ca="1">IFERROR(__xludf.DUMMYFUNCTION("""COMPUTED_VALUE"""),"Sí")</f>
        <v>Sí</v>
      </c>
      <c r="BN159" s="30" t="str">
        <f ca="1">IFERROR(__xludf.DUMMYFUNCTION("""COMPUTED_VALUE"""),"Acompañamiento Técnico")</f>
        <v>Acompañamiento Técnico</v>
      </c>
      <c r="BO159" s="30" t="str">
        <f ca="1">IFERROR(__xludf.DUMMYFUNCTION("""COMPUTED_VALUE"""),"802ec2c9")</f>
        <v>802ec2c9</v>
      </c>
      <c r="BP159" s="29" t="str">
        <f ca="1">IFERROR(__xludf.DUMMYFUNCTION("""COMPUTED_VALUE"""),"Silao de la Victoria")</f>
        <v>Silao de la Victoria</v>
      </c>
      <c r="BQ159" s="30" t="str">
        <f ca="1">IFERROR(__xludf.DUMMYFUNCTION("""COMPUTED_VALUE"""),"Urbano")</f>
        <v>Urbano</v>
      </c>
      <c r="BR159" s="30">
        <f ca="1">IFERROR(__xludf.DUMMYFUNCTION("""COMPUTED_VALUE"""),215)</f>
        <v>215</v>
      </c>
      <c r="BS159" s="30" t="str">
        <f ca="1">IFERROR(__xludf.DUMMYFUNCTION("""COMPUTED_VALUE"""),"Silao")</f>
        <v>Silao</v>
      </c>
      <c r="BT159" s="30"/>
      <c r="BU159" s="30" t="str">
        <f ca="1">IFERROR(__xludf.DUMMYFUNCTION("""COMPUTED_VALUE"""),"Si")</f>
        <v>Si</v>
      </c>
      <c r="BV159" s="30" t="str">
        <f ca="1">IFERROR(__xludf.DUMMYFUNCTION("""COMPUTED_VALUE"""),"Si")</f>
        <v>Si</v>
      </c>
      <c r="BW159" s="30">
        <f ca="1">IFERROR(__xludf.DUMMYFUNCTION("""COMPUTED_VALUE"""),29)</f>
        <v>29</v>
      </c>
      <c r="BX159" s="30"/>
      <c r="BY159" s="30">
        <f ca="1">IFERROR(__xludf.DUMMYFUNCTION("""COMPUTED_VALUE"""),29)</f>
        <v>29</v>
      </c>
      <c r="BZ159" s="30" t="str">
        <f ca="1">IFERROR(__xludf.DUMMYFUNCTION("""COMPUTED_VALUE"""),"Silao")</f>
        <v>Silao</v>
      </c>
      <c r="CA159" s="30" t="str">
        <f ca="1">IFERROR(__xludf.DUMMYFUNCTION("""COMPUTED_VALUE"""),"No")</f>
        <v>No</v>
      </c>
      <c r="CB159" s="30" t="str">
        <f ca="1">IFERROR(__xludf.DUMMYFUNCTION("""COMPUTED_VALUE"""),"No")</f>
        <v>No</v>
      </c>
      <c r="CC159" s="30" t="str">
        <f ca="1">IFERROR(__xludf.DUMMYFUNCTION("""COMPUTED_VALUE"""),"381d65e5")</f>
        <v>381d65e5</v>
      </c>
      <c r="CD159" s="29" t="str">
        <f ca="1">IFERROR(__xludf.DUMMYFUNCTION("""COMPUTED_VALUE"""),"Adultos Mayores (60 años o más)")</f>
        <v>Adultos Mayores (60 años o más)</v>
      </c>
      <c r="CE159" s="30" t="str">
        <f ca="1">IFERROR(__xludf.DUMMYFUNCTION("""COMPUTED_VALUE"""),"Dato global")</f>
        <v>Dato global</v>
      </c>
      <c r="CF159" s="30" t="str">
        <f ca="1">IFERROR(__xludf.DUMMYFUNCTION("""COMPUTED_VALUE"""),"Ninguno (Población General)")</f>
        <v>Ninguno (Población General)</v>
      </c>
      <c r="CG159" s="30">
        <f ca="1">IFERROR(__xludf.DUMMYFUNCTION("""COMPUTED_VALUE"""),12)</f>
        <v>12</v>
      </c>
      <c r="CI159" s="30" t="str">
        <f ca="1">IFERROR(__xludf.DUMMYFUNCTION("""COMPUTED_VALUE"""),"4b1d0230")</f>
        <v>4b1d0230</v>
      </c>
      <c r="CJ159" s="29" t="str">
        <f ca="1">IFERROR(__xludf.DUMMYFUNCTION("""COMPUTED_VALUE"""),"Regitro_Evidencia_Images/4b1d0230.Archivo_Evidencia.000134.jpg")</f>
        <v>Regitro_Evidencia_Images/4b1d0230.Archivo_Evidencia.000134.jpg</v>
      </c>
      <c r="CK159" s="30" t="str">
        <f ca="1">IFERROR(__xludf.DUMMYFUNCTION("""COMPUTED_VALUE"""),"Foto")</f>
        <v>Foto</v>
      </c>
      <c r="CL159" s="30"/>
      <c r="CM159" s="30" t="str">
        <f ca="1">IFERROR(__xludf.DUMMYFUNCTION("""COMPUTED_VALUE"""),"Silao de la Victoria")</f>
        <v>Silao de la Victoria</v>
      </c>
      <c r="CN159" s="32" t="e">
        <f ca="1"/>
        <v>#NAME?</v>
      </c>
      <c r="CO159" s="32" t="e">
        <f ca="1"/>
        <v>#NAME?</v>
      </c>
      <c r="CP159" s="32" t="e">
        <f ca="1"/>
        <v>#NAME?</v>
      </c>
      <c r="CQ159" s="32" t="e">
        <f ca="1"/>
        <v>#NAME?</v>
      </c>
      <c r="CR159" s="30" t="e">
        <f ca="1"/>
        <v>#NAME?</v>
      </c>
      <c r="CS159" s="30" t="str">
        <f ca="1">IFERROR(__xludf.DUMMYFUNCTION("""COMPUTED_VALUE"""),"Ninguno (Población General), Ninguno (Población General)")</f>
        <v>Ninguno (Población General), Ninguno (Población General)</v>
      </c>
    </row>
    <row r="160" spans="1:97" ht="13">
      <c r="A160" s="29" t="str">
        <f ca="1">IFERROR(__xludf.DUMMYFUNCTION("""COMPUTED_VALUE"""),"ACT-SCXV96959")</f>
        <v>ACT-SCXV96959</v>
      </c>
      <c r="B160" s="30" t="str">
        <f ca="1">IFERROR(__xludf.DUMMYFUNCTION("""COMPUTED_VALUE"""),"SC-260702-165542")</f>
        <v>SC-260702-165542</v>
      </c>
      <c r="C160" s="62">
        <f ca="1">IFERROR(__xludf.DUMMYFUNCTION("""COMPUTED_VALUE"""),46205.7053472222)</f>
        <v>46205.705347222203</v>
      </c>
      <c r="D160" s="30">
        <f ca="1">IFERROR(__xludf.DUMMYFUNCTION("""COMPUTED_VALUE"""),92)</f>
        <v>92</v>
      </c>
      <c r="E160" s="30" t="str">
        <f ca="1">IFERROR(__xludf.DUMMYFUNCTION("""COMPUTED_VALUE"""),"PB3572")</f>
        <v>PB3572</v>
      </c>
      <c r="F16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0" s="30" t="str">
        <f ca="1">IFERROR(__xludf.DUMMYFUNCTION("""COMPUTED_VALUE"""),"SUBSECRETARÍA DE DESARROLLO Y PROMOCIÓN ARTÍSTICA Y CULTURAL")</f>
        <v>SUBSECRETARÍA DE DESARROLLO Y PROMOCIÓN ARTÍSTICA Y CULTURAL</v>
      </c>
      <c r="I160" s="34" t="str">
        <f ca="1">IFERROR(__xludf.DUMMYFUNCTION("""COMPUTED_VALUE"""),"DIRECCIÓN GENERAL DE MUSEOS, ARTES VISUALES Y EXPOSICIONES")</f>
        <v>DIRECCIÓN GENERAL DE MUSEOS, ARTES VISUALES Y EXPOSICIONES</v>
      </c>
      <c r="J160" s="30" t="str">
        <f ca="1">IFERROR(__xludf.DUMMYFUNCTION("""COMPUTED_VALUE"""),"Número de Actividades realizadas")</f>
        <v>Número de Actividades realizadas</v>
      </c>
      <c r="K160" s="30">
        <f ca="1">IFERROR(__xludf.DUMMYFUNCTION("""COMPUTED_VALUE"""),800)</f>
        <v>800</v>
      </c>
      <c r="L160" s="30" t="str">
        <f ca="1">IFERROR(__xludf.DUMMYFUNCTION("""COMPUTED_VALUE"""),"Cultural")</f>
        <v>Cultural</v>
      </c>
      <c r="M160" s="30" t="str">
        <f ca="1">IFERROR(__xludf.DUMMYFUNCTION("""COMPUTED_VALUE"""),"Taller derechos niñas y niños")</f>
        <v>Taller derechos niñas y niños</v>
      </c>
      <c r="N160" s="30" t="str">
        <f ca="1">IFERROR(__xludf.DUMMYFUNCTION("""COMPUTED_VALUE"""),"Esc Prim J Natividad Macias")</f>
        <v>Esc Prim J Natividad Macias</v>
      </c>
      <c r="O160" s="30" t="str">
        <f ca="1">IFERROR(__xludf.DUMMYFUNCTION("""COMPUTED_VALUE"""),"Única")</f>
        <v>Única</v>
      </c>
      <c r="P160" s="33">
        <f ca="1">IFERROR(__xludf.DUMMYFUNCTION("""COMPUTED_VALUE"""),46140)</f>
        <v>46140</v>
      </c>
      <c r="Q160" s="33">
        <f ca="1">IFERROR(__xludf.DUMMYFUNCTION("""COMPUTED_VALUE"""),46140)</f>
        <v>46140</v>
      </c>
      <c r="R160" s="30">
        <f ca="1">IFERROR(__xludf.DUMMYFUNCTION("""COMPUTED_VALUE"""),1)</f>
        <v>1</v>
      </c>
      <c r="S160" s="30" t="str">
        <f ca="1">IFERROR(__xludf.DUMMYFUNCTION("""COMPUTED_VALUE"""),"Cultura comunitaria")</f>
        <v>Cultura comunitaria</v>
      </c>
      <c r="T160" s="30" t="str">
        <f ca="1">IFERROR(__xludf.DUMMYFUNCTION("""COMPUTED_VALUE"""),"Formación comunitaria")</f>
        <v>Formación comunitaria</v>
      </c>
      <c r="U160" s="30" t="str">
        <f ca="1">IFERROR(__xludf.DUMMYFUNCTION("""COMPUTED_VALUE"""),"Taller")</f>
        <v>Taller</v>
      </c>
      <c r="V160" s="30" t="str">
        <f ca="1">IFERROR(__xludf.DUMMYFUNCTION("""COMPUTED_VALUE"""),"Ninguna")</f>
        <v>Ninguna</v>
      </c>
      <c r="W160" s="30" t="str">
        <f ca="1">IFERROR(__xludf.DUMMYFUNCTION("""COMPUTED_VALUE"""),"Presencial")</f>
        <v>Presencial</v>
      </c>
      <c r="X160" s="30" t="str">
        <f ca="1">IFERROR(__xludf.DUMMYFUNCTION("""COMPUTED_VALUE"""),"Espacio a Cargo de la Secretaría")</f>
        <v>Espacio a Cargo de la Secretaría</v>
      </c>
      <c r="Y160" s="30" t="str">
        <f ca="1">IFERROR(__xludf.DUMMYFUNCTION("""COMPUTED_VALUE"""),"26")</f>
        <v>26</v>
      </c>
      <c r="Z160" s="30"/>
      <c r="AA160" s="30"/>
      <c r="AB160" s="30" t="b">
        <f ca="1">IFERROR(__xludf.DUMMYFUNCTION("""COMPUTED_VALUE"""),FALSE)</f>
        <v>0</v>
      </c>
      <c r="AC160" s="30"/>
      <c r="AD160" s="30" t="b">
        <f ca="1">IFERROR(__xludf.DUMMYFUNCTION("""COMPUTED_VALUE"""),FALSE)</f>
        <v>0</v>
      </c>
      <c r="AE160" s="30"/>
      <c r="AF160" s="30" t="b">
        <f ca="1">IFERROR(__xludf.DUMMYFUNCTION("""COMPUTED_VALUE"""),FALSE)</f>
        <v>0</v>
      </c>
      <c r="AG160" s="30"/>
      <c r="AH160" s="30" t="str">
        <f ca="1">IFERROR(__xludf.DUMMYFUNCTION("""COMPUTED_VALUE"""),"Sin costo")</f>
        <v>Sin costo</v>
      </c>
      <c r="AI160" s="30"/>
      <c r="AJ160" s="30"/>
      <c r="AK160" s="30"/>
      <c r="AL160" s="30" t="str">
        <f ca="1">IFERROR(__xludf.DUMMYFUNCTION("""COMPUTED_VALUE"""),"ccardonav@guanajuato.gob.mx")</f>
        <v>ccardonav@guanajuato.gob.mx</v>
      </c>
      <c r="AM160" s="30" t="str">
        <f ca="1">IFERROR(__xludf.DUMMYFUNCTION("""COMPUTED_VALUE"""),"Arraigo y empoderamiento cultural de comunidades.")</f>
        <v>Arraigo y empoderamiento cultural de comunidades.</v>
      </c>
      <c r="AN160" s="30" t="str">
        <f ca="1">IFERROR(__xludf.DUMMYFUNCTION("""COMPUTED_VALUE"""),"1 Tranquilidad")</f>
        <v>1 Tranquilidad</v>
      </c>
      <c r="AO160" s="30" t="str">
        <f ca="1">IFERROR(__xludf.DUMMYFUNCTION("""COMPUTED_VALUE"""),"1.2 Fortalecer prevención del delito")</f>
        <v>1.2 Fortalecer prevención del delito</v>
      </c>
      <c r="AP160" s="30" t="str">
        <f ca="1">IFERROR(__xludf.DUMMYFUNCTION("""COMPUTED_VALUE"""),"1.2.2 Fortalecimiento del tejido social")</f>
        <v>1.2.2 Fortalecimiento del tejido social</v>
      </c>
      <c r="AQ160" s="30" t="str">
        <f ca="1">IFERROR(__xludf.DUMMYFUNCTION("""COMPUTED_VALUE"""),"1.2.3.4 Promover una cultura de paz desde las expresiones artísticas y culturales")</f>
        <v>1.2.3.4 Promover una cultura de paz desde las expresiones artísticas y culturales</v>
      </c>
      <c r="AR160" s="30" t="str">
        <f ca="1">IFERROR(__xludf.DUMMYFUNCTION("""COMPUTED_VALUE"""),"Cooperación")</f>
        <v>Cooperación</v>
      </c>
      <c r="AS160" s="30"/>
      <c r="AT160" s="30" t="str">
        <f ca="1">IFERROR(__xludf.DUMMYFUNCTION("""COMPUTED_VALUE"""),"Sostenibilidad del trabajo cultural y la economía creativa.")</f>
        <v>Sostenibilidad del trabajo cultural y la economía creativa.</v>
      </c>
      <c r="AU160"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0" s="30" t="str">
        <f ca="1">IFERROR(__xludf.DUMMYFUNCTION("""COMPUTED_VALUE"""),"Diseñar programas de formación y gestión cultural de base comunitaria.")</f>
        <v>Diseñar programas de formación y gestión cultural de base comunitaria.</v>
      </c>
      <c r="AW160"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0" s="30" t="str">
        <f ca="1">IFERROR(__xludf.DUMMYFUNCTION("""COMPUTED_VALUE"""),"Taller")</f>
        <v>Taller</v>
      </c>
      <c r="AY160" s="30" t="str">
        <f ca="1">IFERROR(__xludf.DUMMYFUNCTION("""COMPUTED_VALUE"""),"Formación")</f>
        <v>Formación</v>
      </c>
      <c r="AZ160" s="30" t="str">
        <f ca="1">IFERROR(__xludf.DUMMYFUNCTION("""COMPUTED_VALUE"""),"Formación")</f>
        <v>Formación</v>
      </c>
      <c r="BA160" s="30"/>
      <c r="BB160" s="30"/>
      <c r="BC160" s="30">
        <f ca="1">IFERROR(__xludf.DUMMYFUNCTION("""COMPUTED_VALUE"""),0)</f>
        <v>0</v>
      </c>
      <c r="BD160" s="30"/>
      <c r="BE160" s="30"/>
      <c r="BF160" s="30" t="b">
        <f ca="1">IFERROR(__xludf.DUMMYFUNCTION("""COMPUTED_VALUE"""),FALSE)</f>
        <v>0</v>
      </c>
      <c r="BG160" s="30"/>
      <c r="BH160" s="30"/>
      <c r="BI160" s="30"/>
      <c r="BJ160" s="30"/>
      <c r="BK160" s="30"/>
      <c r="BL160" s="30" t="str">
        <f ca="1">IFERROR(__xludf.DUMMYFUNCTION("""COMPUTED_VALUE"""),"Vinculación")</f>
        <v>Vinculación</v>
      </c>
      <c r="BM160" s="30" t="str">
        <f ca="1">IFERROR(__xludf.DUMMYFUNCTION("""COMPUTED_VALUE"""),"Sí")</f>
        <v>Sí</v>
      </c>
      <c r="BN160" s="30" t="str">
        <f ca="1">IFERROR(__xludf.DUMMYFUNCTION("""COMPUTED_VALUE"""),"Acompañamiento Técnico")</f>
        <v>Acompañamiento Técnico</v>
      </c>
      <c r="BO160" s="30" t="str">
        <f ca="1">IFERROR(__xludf.DUMMYFUNCTION("""COMPUTED_VALUE"""),"e5328b82")</f>
        <v>e5328b82</v>
      </c>
      <c r="BP160" s="29" t="str">
        <f ca="1">IFERROR(__xludf.DUMMYFUNCTION("""COMPUTED_VALUE"""),"Silao de la Victoria")</f>
        <v>Silao de la Victoria</v>
      </c>
      <c r="BQ160" s="30" t="str">
        <f ca="1">IFERROR(__xludf.DUMMYFUNCTION("""COMPUTED_VALUE"""),"Urbano")</f>
        <v>Urbano</v>
      </c>
      <c r="BR160" s="30">
        <f ca="1">IFERROR(__xludf.DUMMYFUNCTION("""COMPUTED_VALUE"""),215)</f>
        <v>215</v>
      </c>
      <c r="BS160" s="30" t="str">
        <f ca="1">IFERROR(__xludf.DUMMYFUNCTION("""COMPUTED_VALUE"""),"Silao")</f>
        <v>Silao</v>
      </c>
      <c r="BT160" s="30"/>
      <c r="BU160" s="30" t="str">
        <f ca="1">IFERROR(__xludf.DUMMYFUNCTION("""COMPUTED_VALUE"""),"Si")</f>
        <v>Si</v>
      </c>
      <c r="BV160" s="30" t="str">
        <f ca="1">IFERROR(__xludf.DUMMYFUNCTION("""COMPUTED_VALUE"""),"Si")</f>
        <v>Si</v>
      </c>
      <c r="BW160" s="30">
        <f ca="1">IFERROR(__xludf.DUMMYFUNCTION("""COMPUTED_VALUE"""),28)</f>
        <v>28</v>
      </c>
      <c r="BX160" s="30">
        <f ca="1">IFERROR(__xludf.DUMMYFUNCTION("""COMPUTED_VALUE"""),28)</f>
        <v>28</v>
      </c>
      <c r="BY160" s="30">
        <f ca="1">IFERROR(__xludf.DUMMYFUNCTION("""COMPUTED_VALUE"""),0)</f>
        <v>0</v>
      </c>
      <c r="BZ160" s="30" t="str">
        <f ca="1">IFERROR(__xludf.DUMMYFUNCTION("""COMPUTED_VALUE"""),"Silao")</f>
        <v>Silao</v>
      </c>
      <c r="CA160" s="30" t="str">
        <f ca="1">IFERROR(__xludf.DUMMYFUNCTION("""COMPUTED_VALUE"""),"No")</f>
        <v>No</v>
      </c>
      <c r="CB160" s="30" t="str">
        <f ca="1">IFERROR(__xludf.DUMMYFUNCTION("""COMPUTED_VALUE"""),"No")</f>
        <v>No</v>
      </c>
      <c r="CC160" s="30" t="str">
        <f ca="1">IFERROR(__xludf.DUMMYFUNCTION("""COMPUTED_VALUE"""),"1cfee2f0")</f>
        <v>1cfee2f0</v>
      </c>
      <c r="CD160" s="29" t="str">
        <f ca="1">IFERROR(__xludf.DUMMYFUNCTION("""COMPUTED_VALUE"""),"Adolescentes (13 a 17 años)")</f>
        <v>Adolescentes (13 a 17 años)</v>
      </c>
      <c r="CE160" s="30" t="str">
        <f ca="1">IFERROR(__xludf.DUMMYFUNCTION("""COMPUTED_VALUE"""),"Dato global")</f>
        <v>Dato global</v>
      </c>
      <c r="CF160" s="30" t="str">
        <f ca="1">IFERROR(__xludf.DUMMYFUNCTION("""COMPUTED_VALUE"""),"NNA (Niñas, Niños y Adolescentes)")</f>
        <v>NNA (Niñas, Niños y Adolescentes)</v>
      </c>
      <c r="CG160" s="30">
        <f ca="1">IFERROR(__xludf.DUMMYFUNCTION("""COMPUTED_VALUE"""),54)</f>
        <v>54</v>
      </c>
      <c r="CI160" s="30" t="str">
        <f ca="1">IFERROR(__xludf.DUMMYFUNCTION("""COMPUTED_VALUE"""),"c7271e7e")</f>
        <v>c7271e7e</v>
      </c>
      <c r="CJ160" s="29" t="str">
        <f ca="1">IFERROR(__xludf.DUMMYFUNCTION("""COMPUTED_VALUE"""),"Regitro_Evidencia_Images/c7271e7e.Archivo_Evidencia.000457.jpg")</f>
        <v>Regitro_Evidencia_Images/c7271e7e.Archivo_Evidencia.000457.jpg</v>
      </c>
      <c r="CK160" s="30"/>
      <c r="CL160" s="30"/>
      <c r="CM160" s="30" t="str">
        <f ca="1">IFERROR(__xludf.DUMMYFUNCTION("""COMPUTED_VALUE"""),"Silao de la Victoria")</f>
        <v>Silao de la Victoria</v>
      </c>
      <c r="CN160" s="32" t="e">
        <f ca="1"/>
        <v>#NAME?</v>
      </c>
      <c r="CO160" s="32" t="e">
        <f ca="1"/>
        <v>#NAME?</v>
      </c>
      <c r="CP160" s="32" t="e">
        <f ca="1"/>
        <v>#NAME?</v>
      </c>
      <c r="CQ160" s="32" t="e">
        <f ca="1"/>
        <v>#NAME?</v>
      </c>
      <c r="CR160" s="30" t="e">
        <f ca="1"/>
        <v>#NAME?</v>
      </c>
      <c r="CS160" s="30" t="str">
        <f ca="1">IFERROR(__xludf.DUMMYFUNCTION("""COMPUTED_VALUE"""),"Ninguno (Población General)")</f>
        <v>Ninguno (Población General)</v>
      </c>
    </row>
    <row r="161" spans="1:97" ht="13">
      <c r="A161" s="29" t="str">
        <f ca="1">IFERROR(__xludf.DUMMYFUNCTION("""COMPUTED_VALUE"""),"ACT-SCKC53281")</f>
        <v>ACT-SCKC53281</v>
      </c>
      <c r="B161" s="30" t="str">
        <f ca="1">IFERROR(__xludf.DUMMYFUNCTION("""COMPUTED_VALUE"""),"SC-260702-165853")</f>
        <v>SC-260702-165853</v>
      </c>
      <c r="C161" s="62">
        <f ca="1">IFERROR(__xludf.DUMMYFUNCTION("""COMPUTED_VALUE"""),46205.7075578703)</f>
        <v>46205.707557870301</v>
      </c>
      <c r="D161" s="30">
        <f ca="1">IFERROR(__xludf.DUMMYFUNCTION("""COMPUTED_VALUE"""),92)</f>
        <v>92</v>
      </c>
      <c r="E161" s="30" t="str">
        <f ca="1">IFERROR(__xludf.DUMMYFUNCTION("""COMPUTED_VALUE"""),"PB3572")</f>
        <v>PB3572</v>
      </c>
      <c r="F16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1" s="30" t="str">
        <f ca="1">IFERROR(__xludf.DUMMYFUNCTION("""COMPUTED_VALUE"""),"SUBSECRETARÍA DE DESARROLLO Y PROMOCIÓN ARTÍSTICA Y CULTURAL")</f>
        <v>SUBSECRETARÍA DE DESARROLLO Y PROMOCIÓN ARTÍSTICA Y CULTURAL</v>
      </c>
      <c r="I161" s="34" t="str">
        <f ca="1">IFERROR(__xludf.DUMMYFUNCTION("""COMPUTED_VALUE"""),"DIRECCIÓN GENERAL DE MUSEOS, ARTES VISUALES Y EXPOSICIONES")</f>
        <v>DIRECCIÓN GENERAL DE MUSEOS, ARTES VISUALES Y EXPOSICIONES</v>
      </c>
      <c r="J161" s="30" t="str">
        <f ca="1">IFERROR(__xludf.DUMMYFUNCTION("""COMPUTED_VALUE"""),"Número de Actividades realizadas")</f>
        <v>Número de Actividades realizadas</v>
      </c>
      <c r="K161" s="30">
        <f ca="1">IFERROR(__xludf.DUMMYFUNCTION("""COMPUTED_VALUE"""),800)</f>
        <v>800</v>
      </c>
      <c r="L161" s="30" t="str">
        <f ca="1">IFERROR(__xludf.DUMMYFUNCTION("""COMPUTED_VALUE"""),"Cultural")</f>
        <v>Cultural</v>
      </c>
      <c r="M161" s="30" t="str">
        <f ca="1">IFERROR(__xludf.DUMMYFUNCTION("""COMPUTED_VALUE"""),"Conferencia: Las poquianchis, una perspectiva filosofica")</f>
        <v>Conferencia: Las poquianchis, una perspectiva filosofica</v>
      </c>
      <c r="N161" s="30" t="str">
        <f ca="1">IFERROR(__xludf.DUMMYFUNCTION("""COMPUTED_VALUE"""),"Conferencia")</f>
        <v>Conferencia</v>
      </c>
      <c r="O161" s="30" t="str">
        <f ca="1">IFERROR(__xludf.DUMMYFUNCTION("""COMPUTED_VALUE"""),"Única")</f>
        <v>Única</v>
      </c>
      <c r="P161" s="33">
        <f ca="1">IFERROR(__xludf.DUMMYFUNCTION("""COMPUTED_VALUE"""),46150)</f>
        <v>46150</v>
      </c>
      <c r="Q161" s="33">
        <f ca="1">IFERROR(__xludf.DUMMYFUNCTION("""COMPUTED_VALUE"""),46150)</f>
        <v>46150</v>
      </c>
      <c r="R161" s="30">
        <f ca="1">IFERROR(__xludf.DUMMYFUNCTION("""COMPUTED_VALUE"""),1)</f>
        <v>1</v>
      </c>
      <c r="S161" s="30" t="str">
        <f ca="1">IFERROR(__xludf.DUMMYFUNCTION("""COMPUTED_VALUE"""),"Cultura comunitaria")</f>
        <v>Cultura comunitaria</v>
      </c>
      <c r="T161" s="30" t="str">
        <f ca="1">IFERROR(__xludf.DUMMYFUNCTION("""COMPUTED_VALUE"""),"Formación comunitaria")</f>
        <v>Formación comunitaria</v>
      </c>
      <c r="U161" s="30" t="str">
        <f ca="1">IFERROR(__xludf.DUMMYFUNCTION("""COMPUTED_VALUE"""),"Conferencia")</f>
        <v>Conferencia</v>
      </c>
      <c r="V161" s="30" t="str">
        <f ca="1">IFERROR(__xludf.DUMMYFUNCTION("""COMPUTED_VALUE"""),"Ninguna")</f>
        <v>Ninguna</v>
      </c>
      <c r="W161" s="30" t="str">
        <f ca="1">IFERROR(__xludf.DUMMYFUNCTION("""COMPUTED_VALUE"""),"Presencial")</f>
        <v>Presencial</v>
      </c>
      <c r="X161" s="30" t="str">
        <f ca="1">IFERROR(__xludf.DUMMYFUNCTION("""COMPUTED_VALUE"""),"Espacio a Cargo de la Secretaría")</f>
        <v>Espacio a Cargo de la Secretaría</v>
      </c>
      <c r="Y161" s="30" t="str">
        <f ca="1">IFERROR(__xludf.DUMMYFUNCTION("""COMPUTED_VALUE"""),"26")</f>
        <v>26</v>
      </c>
      <c r="Z161" s="30"/>
      <c r="AA161" s="30"/>
      <c r="AB161" s="30" t="b">
        <f ca="1">IFERROR(__xludf.DUMMYFUNCTION("""COMPUTED_VALUE"""),FALSE)</f>
        <v>0</v>
      </c>
      <c r="AC161" s="30"/>
      <c r="AD161" s="30" t="b">
        <f ca="1">IFERROR(__xludf.DUMMYFUNCTION("""COMPUTED_VALUE"""),FALSE)</f>
        <v>0</v>
      </c>
      <c r="AE161" s="30"/>
      <c r="AF161" s="30" t="b">
        <f ca="1">IFERROR(__xludf.DUMMYFUNCTION("""COMPUTED_VALUE"""),FALSE)</f>
        <v>0</v>
      </c>
      <c r="AG161" s="30"/>
      <c r="AH161" s="30" t="str">
        <f ca="1">IFERROR(__xludf.DUMMYFUNCTION("""COMPUTED_VALUE"""),"Sin costo")</f>
        <v>Sin costo</v>
      </c>
      <c r="AI161" s="30"/>
      <c r="AJ161" s="30"/>
      <c r="AK161" s="30"/>
      <c r="AL161" s="30" t="str">
        <f ca="1">IFERROR(__xludf.DUMMYFUNCTION("""COMPUTED_VALUE"""),"ccardonav@guanajuato.gob.mx")</f>
        <v>ccardonav@guanajuato.gob.mx</v>
      </c>
      <c r="AM161" s="30" t="str">
        <f ca="1">IFERROR(__xludf.DUMMYFUNCTION("""COMPUTED_VALUE"""),"Arraigo y empoderamiento cultural de comunidades.")</f>
        <v>Arraigo y empoderamiento cultural de comunidades.</v>
      </c>
      <c r="AN161" s="30" t="str">
        <f ca="1">IFERROR(__xludf.DUMMYFUNCTION("""COMPUTED_VALUE"""),"1 Tranquilidad")</f>
        <v>1 Tranquilidad</v>
      </c>
      <c r="AO161" s="30" t="str">
        <f ca="1">IFERROR(__xludf.DUMMYFUNCTION("""COMPUTED_VALUE"""),"1.2 Fortalecer prevención del delito")</f>
        <v>1.2 Fortalecer prevención del delito</v>
      </c>
      <c r="AP161" s="30" t="str">
        <f ca="1">IFERROR(__xludf.DUMMYFUNCTION("""COMPUTED_VALUE"""),"1.2.2 Fortalecimiento del tejido social")</f>
        <v>1.2.2 Fortalecimiento del tejido social</v>
      </c>
      <c r="AQ161" s="30" t="str">
        <f ca="1">IFERROR(__xludf.DUMMYFUNCTION("""COMPUTED_VALUE"""),"1.2.3.4 Promover una cultura de paz desde las expresiones artísticas y culturales")</f>
        <v>1.2.3.4 Promover una cultura de paz desde las expresiones artísticas y culturales</v>
      </c>
      <c r="AR161" s="30" t="str">
        <f ca="1">IFERROR(__xludf.DUMMYFUNCTION("""COMPUTED_VALUE"""),"Cooperación")</f>
        <v>Cooperación</v>
      </c>
      <c r="AS161" s="30"/>
      <c r="AT161" s="30" t="str">
        <f ca="1">IFERROR(__xludf.DUMMYFUNCTION("""COMPUTED_VALUE"""),"Sostenibilidad del trabajo cultural y la economía creativa.")</f>
        <v>Sostenibilidad del trabajo cultural y la economía creativa.</v>
      </c>
      <c r="AU161"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1" s="30" t="str">
        <f ca="1">IFERROR(__xludf.DUMMYFUNCTION("""COMPUTED_VALUE"""),"Diseñar programas de formación y gestión cultural de base comunitaria.")</f>
        <v>Diseñar programas de formación y gestión cultural de base comunitaria.</v>
      </c>
      <c r="AW161"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1" s="30" t="str">
        <f ca="1">IFERROR(__xludf.DUMMYFUNCTION("""COMPUTED_VALUE"""),"Conferencia")</f>
        <v>Conferencia</v>
      </c>
      <c r="AY161" s="30" t="str">
        <f ca="1">IFERROR(__xludf.DUMMYFUNCTION("""COMPUTED_VALUE"""),"Formación")</f>
        <v>Formación</v>
      </c>
      <c r="AZ161" s="30" t="str">
        <f ca="1">IFERROR(__xludf.DUMMYFUNCTION("""COMPUTED_VALUE"""),"Formación")</f>
        <v>Formación</v>
      </c>
      <c r="BA161" s="30"/>
      <c r="BB161" s="30"/>
      <c r="BC161" s="30">
        <f ca="1">IFERROR(__xludf.DUMMYFUNCTION("""COMPUTED_VALUE"""),0)</f>
        <v>0</v>
      </c>
      <c r="BD161" s="30"/>
      <c r="BE161" s="30"/>
      <c r="BF161" s="30" t="b">
        <f ca="1">IFERROR(__xludf.DUMMYFUNCTION("""COMPUTED_VALUE"""),FALSE)</f>
        <v>0</v>
      </c>
      <c r="BG161" s="30"/>
      <c r="BH161" s="30"/>
      <c r="BI161" s="30"/>
      <c r="BJ161" s="30"/>
      <c r="BK161" s="30"/>
      <c r="BL161" s="30" t="str">
        <f ca="1">IFERROR(__xludf.DUMMYFUNCTION("""COMPUTED_VALUE"""),"Se contacto a la conferencista")</f>
        <v>Se contacto a la conferencista</v>
      </c>
      <c r="BM161" s="30" t="str">
        <f ca="1">IFERROR(__xludf.DUMMYFUNCTION("""COMPUTED_VALUE"""),"Sí")</f>
        <v>Sí</v>
      </c>
      <c r="BN161" s="30" t="str">
        <f ca="1">IFERROR(__xludf.DUMMYFUNCTION("""COMPUTED_VALUE"""),"Acompañamiento Técnico")</f>
        <v>Acompañamiento Técnico</v>
      </c>
      <c r="BO161" s="30" t="str">
        <f ca="1">IFERROR(__xludf.DUMMYFUNCTION("""COMPUTED_VALUE"""),"9348a770")</f>
        <v>9348a770</v>
      </c>
      <c r="BP161" s="29" t="str">
        <f ca="1">IFERROR(__xludf.DUMMYFUNCTION("""COMPUTED_VALUE"""),"Silao de la Victoria")</f>
        <v>Silao de la Victoria</v>
      </c>
      <c r="BQ161" s="30" t="str">
        <f ca="1">IFERROR(__xludf.DUMMYFUNCTION("""COMPUTED_VALUE"""),"Urbano")</f>
        <v>Urbano</v>
      </c>
      <c r="BR161" s="30">
        <f ca="1">IFERROR(__xludf.DUMMYFUNCTION("""COMPUTED_VALUE"""),215)</f>
        <v>215</v>
      </c>
      <c r="BS161" s="30" t="str">
        <f ca="1">IFERROR(__xludf.DUMMYFUNCTION("""COMPUTED_VALUE"""),"Silao")</f>
        <v>Silao</v>
      </c>
      <c r="BT161" s="30"/>
      <c r="BU161" s="30" t="str">
        <f ca="1">IFERROR(__xludf.DUMMYFUNCTION("""COMPUTED_VALUE"""),"Si")</f>
        <v>Si</v>
      </c>
      <c r="BV161" s="30" t="str">
        <f ca="1">IFERROR(__xludf.DUMMYFUNCTION("""COMPUTED_VALUE"""),"Si")</f>
        <v>Si</v>
      </c>
      <c r="BW161" s="30">
        <f ca="1">IFERROR(__xludf.DUMMYFUNCTION("""COMPUTED_VALUE"""),6)</f>
        <v>6</v>
      </c>
      <c r="BX161" s="30">
        <f ca="1">IFERROR(__xludf.DUMMYFUNCTION("""COMPUTED_VALUE"""),6)</f>
        <v>6</v>
      </c>
      <c r="BY161" s="30">
        <f ca="1">IFERROR(__xludf.DUMMYFUNCTION("""COMPUTED_VALUE"""),0)</f>
        <v>0</v>
      </c>
      <c r="BZ161" s="30" t="str">
        <f ca="1">IFERROR(__xludf.DUMMYFUNCTION("""COMPUTED_VALUE"""),"Silao")</f>
        <v>Silao</v>
      </c>
      <c r="CA161" s="30" t="str">
        <f ca="1">IFERROR(__xludf.DUMMYFUNCTION("""COMPUTED_VALUE"""),"No")</f>
        <v>No</v>
      </c>
      <c r="CB161" s="30" t="str">
        <f ca="1">IFERROR(__xludf.DUMMYFUNCTION("""COMPUTED_VALUE"""),"No")</f>
        <v>No</v>
      </c>
      <c r="CC161" s="30" t="str">
        <f ca="1">IFERROR(__xludf.DUMMYFUNCTION("""COMPUTED_VALUE"""),"1f126d9c")</f>
        <v>1f126d9c</v>
      </c>
      <c r="CD161" s="29" t="str">
        <f ca="1">IFERROR(__xludf.DUMMYFUNCTION("""COMPUTED_VALUE"""),"Niñas y Niños (6 a 12 años)")</f>
        <v>Niñas y Niños (6 a 12 años)</v>
      </c>
      <c r="CE161" s="30" t="str">
        <f ca="1">IFERROR(__xludf.DUMMYFUNCTION("""COMPUTED_VALUE"""),"Dato global")</f>
        <v>Dato global</v>
      </c>
      <c r="CF161" s="30" t="str">
        <f ca="1">IFERROR(__xludf.DUMMYFUNCTION("""COMPUTED_VALUE"""),"NNA (Niñas, Niños y Adolescentes)")</f>
        <v>NNA (Niñas, Niños y Adolescentes)</v>
      </c>
      <c r="CG161" s="30">
        <f ca="1">IFERROR(__xludf.DUMMYFUNCTION("""COMPUTED_VALUE"""),900)</f>
        <v>900</v>
      </c>
      <c r="CI161" s="30" t="str">
        <f ca="1">IFERROR(__xludf.DUMMYFUNCTION("""COMPUTED_VALUE"""),"3b537846")</f>
        <v>3b537846</v>
      </c>
      <c r="CJ161" s="29" t="str">
        <f ca="1">IFERROR(__xludf.DUMMYFUNCTION("""COMPUTED_VALUE"""),"Regitro_Evidencia_Images/3b537846.Archivo_Evidencia.001851.jpg")</f>
        <v>Regitro_Evidencia_Images/3b537846.Archivo_Evidencia.001851.jpg</v>
      </c>
      <c r="CK161" s="30" t="str">
        <f ca="1">IFERROR(__xludf.DUMMYFUNCTION("""COMPUTED_VALUE"""),"Foto")</f>
        <v>Foto</v>
      </c>
      <c r="CL161" s="30"/>
      <c r="CM161" s="30" t="str">
        <f ca="1">IFERROR(__xludf.DUMMYFUNCTION("""COMPUTED_VALUE"""),"Silao de la Victoria")</f>
        <v>Silao de la Victoria</v>
      </c>
      <c r="CN161" s="32" t="e">
        <f ca="1"/>
        <v>#NAME?</v>
      </c>
      <c r="CO161" s="32" t="e">
        <f ca="1"/>
        <v>#NAME?</v>
      </c>
      <c r="CP161" s="32" t="e">
        <f ca="1"/>
        <v>#NAME?</v>
      </c>
      <c r="CQ161" s="32" t="e">
        <f ca="1"/>
        <v>#NAME?</v>
      </c>
      <c r="CR161" s="30" t="e">
        <f ca="1"/>
        <v>#NAME?</v>
      </c>
      <c r="CS161" s="30" t="str">
        <f ca="1">IFERROR(__xludf.DUMMYFUNCTION("""COMPUTED_VALUE"""),"Jóvenes en riesgo, Ninguno (Población General)")</f>
        <v>Jóvenes en riesgo, Ninguno (Población General)</v>
      </c>
    </row>
    <row r="162" spans="1:97" ht="13">
      <c r="A162" s="29" t="str">
        <f ca="1">IFERROR(__xludf.DUMMYFUNCTION("""COMPUTED_VALUE"""),"ACT-SCDN33785")</f>
        <v>ACT-SCDN33785</v>
      </c>
      <c r="B162" s="30" t="str">
        <f ca="1">IFERROR(__xludf.DUMMYFUNCTION("""COMPUTED_VALUE"""),"SC-260703-093957")</f>
        <v>SC-260703-093957</v>
      </c>
      <c r="C162" s="62">
        <f ca="1">IFERROR(__xludf.DUMMYFUNCTION("""COMPUTED_VALUE"""),46206.4027430555)</f>
        <v>46206.4027430555</v>
      </c>
      <c r="D162" s="30">
        <f ca="1">IFERROR(__xludf.DUMMYFUNCTION("""COMPUTED_VALUE"""),92)</f>
        <v>92</v>
      </c>
      <c r="E162" s="30" t="str">
        <f ca="1">IFERROR(__xludf.DUMMYFUNCTION("""COMPUTED_VALUE"""),"PB3572")</f>
        <v>PB3572</v>
      </c>
      <c r="F16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2" s="30" t="str">
        <f ca="1">IFERROR(__xludf.DUMMYFUNCTION("""COMPUTED_VALUE"""),"SUBSECRETARÍA DE DESARROLLO Y PROMOCIÓN ARTÍSTICA Y CULTURAL")</f>
        <v>SUBSECRETARÍA DE DESARROLLO Y PROMOCIÓN ARTÍSTICA Y CULTURAL</v>
      </c>
      <c r="I162" s="34" t="str">
        <f ca="1">IFERROR(__xludf.DUMMYFUNCTION("""COMPUTED_VALUE"""),"DIRECCIÓN GENERAL DE MUSEOS, ARTES VISUALES Y EXPOSICIONES")</f>
        <v>DIRECCIÓN GENERAL DE MUSEOS, ARTES VISUALES Y EXPOSICIONES</v>
      </c>
      <c r="J162" s="30" t="str">
        <f ca="1">IFERROR(__xludf.DUMMYFUNCTION("""COMPUTED_VALUE"""),"Número de Actividades realizadas")</f>
        <v>Número de Actividades realizadas</v>
      </c>
      <c r="K162" s="30">
        <f ca="1">IFERROR(__xludf.DUMMYFUNCTION("""COMPUTED_VALUE"""),800)</f>
        <v>800</v>
      </c>
      <c r="L162" s="30" t="str">
        <f ca="1">IFERROR(__xludf.DUMMYFUNCTION("""COMPUTED_VALUE"""),"Cultural")</f>
        <v>Cultural</v>
      </c>
      <c r="M162" s="30" t="str">
        <f ca="1">IFERROR(__xludf.DUMMYFUNCTION("""COMPUTED_VALUE"""),"Conferencia: “Museos: Agentes Culturales de cambio”")</f>
        <v>Conferencia: “Museos: Agentes Culturales de cambio”</v>
      </c>
      <c r="N162" s="30" t="str">
        <f ca="1">IFERROR(__xludf.DUMMYFUNCTION("""COMPUTED_VALUE"""),"Conferencia")</f>
        <v>Conferencia</v>
      </c>
      <c r="O162" s="30" t="str">
        <f ca="1">IFERROR(__xludf.DUMMYFUNCTION("""COMPUTED_VALUE"""),"Única")</f>
        <v>Única</v>
      </c>
      <c r="P162" s="33">
        <f ca="1">IFERROR(__xludf.DUMMYFUNCTION("""COMPUTED_VALUE"""),46157)</f>
        <v>46157</v>
      </c>
      <c r="Q162" s="33">
        <f ca="1">IFERROR(__xludf.DUMMYFUNCTION("""COMPUTED_VALUE"""),46157)</f>
        <v>46157</v>
      </c>
      <c r="R162" s="30">
        <f ca="1">IFERROR(__xludf.DUMMYFUNCTION("""COMPUTED_VALUE"""),1)</f>
        <v>1</v>
      </c>
      <c r="S162" s="30" t="str">
        <f ca="1">IFERROR(__xludf.DUMMYFUNCTION("""COMPUTED_VALUE"""),"Cultura comunitaria")</f>
        <v>Cultura comunitaria</v>
      </c>
      <c r="T162" s="30" t="str">
        <f ca="1">IFERROR(__xludf.DUMMYFUNCTION("""COMPUTED_VALUE"""),"Formación comunitaria")</f>
        <v>Formación comunitaria</v>
      </c>
      <c r="U162" s="30" t="str">
        <f ca="1">IFERROR(__xludf.DUMMYFUNCTION("""COMPUTED_VALUE"""),"Conferencia")</f>
        <v>Conferencia</v>
      </c>
      <c r="V162" s="30" t="str">
        <f ca="1">IFERROR(__xludf.DUMMYFUNCTION("""COMPUTED_VALUE"""),"Ninguna")</f>
        <v>Ninguna</v>
      </c>
      <c r="W162" s="30" t="str">
        <f ca="1">IFERROR(__xludf.DUMMYFUNCTION("""COMPUTED_VALUE"""),"Presencial")</f>
        <v>Presencial</v>
      </c>
      <c r="X162" s="30" t="str">
        <f ca="1">IFERROR(__xludf.DUMMYFUNCTION("""COMPUTED_VALUE"""),"Espacio a Cargo de la Secretaría")</f>
        <v>Espacio a Cargo de la Secretaría</v>
      </c>
      <c r="Y162" s="30" t="str">
        <f ca="1">IFERROR(__xludf.DUMMYFUNCTION("""COMPUTED_VALUE"""),"26")</f>
        <v>26</v>
      </c>
      <c r="Z162" s="30"/>
      <c r="AA162" s="30"/>
      <c r="AB162" s="30" t="b">
        <f ca="1">IFERROR(__xludf.DUMMYFUNCTION("""COMPUTED_VALUE"""),FALSE)</f>
        <v>0</v>
      </c>
      <c r="AC162" s="30"/>
      <c r="AD162" s="30" t="b">
        <f ca="1">IFERROR(__xludf.DUMMYFUNCTION("""COMPUTED_VALUE"""),FALSE)</f>
        <v>0</v>
      </c>
      <c r="AE162" s="30"/>
      <c r="AF162" s="30" t="b">
        <f ca="1">IFERROR(__xludf.DUMMYFUNCTION("""COMPUTED_VALUE"""),FALSE)</f>
        <v>0</v>
      </c>
      <c r="AG162" s="30"/>
      <c r="AH162" s="30" t="str">
        <f ca="1">IFERROR(__xludf.DUMMYFUNCTION("""COMPUTED_VALUE"""),"Sin costo")</f>
        <v>Sin costo</v>
      </c>
      <c r="AI162" s="30"/>
      <c r="AJ162" s="30"/>
      <c r="AK162" s="30"/>
      <c r="AL162" s="30" t="str">
        <f ca="1">IFERROR(__xludf.DUMMYFUNCTION("""COMPUTED_VALUE"""),"ccardonav@guanajuato.gob.mx")</f>
        <v>ccardonav@guanajuato.gob.mx</v>
      </c>
      <c r="AM162" s="30" t="str">
        <f ca="1">IFERROR(__xludf.DUMMYFUNCTION("""COMPUTED_VALUE"""),"Arraigo y empoderamiento cultural de comunidades.")</f>
        <v>Arraigo y empoderamiento cultural de comunidades.</v>
      </c>
      <c r="AN162" s="30" t="str">
        <f ca="1">IFERROR(__xludf.DUMMYFUNCTION("""COMPUTED_VALUE"""),"1 Tranquilidad")</f>
        <v>1 Tranquilidad</v>
      </c>
      <c r="AO162" s="30" t="str">
        <f ca="1">IFERROR(__xludf.DUMMYFUNCTION("""COMPUTED_VALUE"""),"1.2 Fortalecer prevención del delito")</f>
        <v>1.2 Fortalecer prevención del delito</v>
      </c>
      <c r="AP162" s="30" t="str">
        <f ca="1">IFERROR(__xludf.DUMMYFUNCTION("""COMPUTED_VALUE"""),"1.2.2 Fortalecimiento del tejido social")</f>
        <v>1.2.2 Fortalecimiento del tejido social</v>
      </c>
      <c r="AQ162" s="30" t="str">
        <f ca="1">IFERROR(__xludf.DUMMYFUNCTION("""COMPUTED_VALUE"""),"1.2.3.4 Promover una cultura de paz desde las expresiones artísticas y culturales")</f>
        <v>1.2.3.4 Promover una cultura de paz desde las expresiones artísticas y culturales</v>
      </c>
      <c r="AR162" s="30" t="str">
        <f ca="1">IFERROR(__xludf.DUMMYFUNCTION("""COMPUTED_VALUE"""),"Cooperación")</f>
        <v>Cooperación</v>
      </c>
      <c r="AS162" s="30"/>
      <c r="AT162" s="30" t="str">
        <f ca="1">IFERROR(__xludf.DUMMYFUNCTION("""COMPUTED_VALUE"""),"Sostenibilidad del trabajo cultural y la economía creativa.")</f>
        <v>Sostenibilidad del trabajo cultural y la economía creativa.</v>
      </c>
      <c r="AU162"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2" s="30" t="str">
        <f ca="1">IFERROR(__xludf.DUMMYFUNCTION("""COMPUTED_VALUE"""),"Diseñar programas de formación y gestión cultural de base comunitaria.")</f>
        <v>Diseñar programas de formación y gestión cultural de base comunitaria.</v>
      </c>
      <c r="AW162"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2" s="30" t="str">
        <f ca="1">IFERROR(__xludf.DUMMYFUNCTION("""COMPUTED_VALUE"""),"Conferencia")</f>
        <v>Conferencia</v>
      </c>
      <c r="AY162" s="30" t="str">
        <f ca="1">IFERROR(__xludf.DUMMYFUNCTION("""COMPUTED_VALUE"""),"Formación")</f>
        <v>Formación</v>
      </c>
      <c r="AZ162" s="30" t="str">
        <f ca="1">IFERROR(__xludf.DUMMYFUNCTION("""COMPUTED_VALUE"""),"Formación")</f>
        <v>Formación</v>
      </c>
      <c r="BA162" s="30"/>
      <c r="BB162" s="30"/>
      <c r="BC162" s="30">
        <f ca="1">IFERROR(__xludf.DUMMYFUNCTION("""COMPUTED_VALUE"""),0)</f>
        <v>0</v>
      </c>
      <c r="BD162" s="30"/>
      <c r="BE162" s="30"/>
      <c r="BF162" s="30" t="b">
        <f ca="1">IFERROR(__xludf.DUMMYFUNCTION("""COMPUTED_VALUE"""),FALSE)</f>
        <v>0</v>
      </c>
      <c r="BG162" s="30"/>
      <c r="BH162" s="30"/>
      <c r="BI162" s="30"/>
      <c r="BJ162" s="30"/>
      <c r="BK162" s="30"/>
      <c r="BL162" s="30" t="str">
        <f ca="1">IFERROR(__xludf.DUMMYFUNCTION("""COMPUTED_VALUE"""),"Vinculación")</f>
        <v>Vinculación</v>
      </c>
      <c r="BM162" s="30" t="str">
        <f ca="1">IFERROR(__xludf.DUMMYFUNCTION("""COMPUTED_VALUE"""),"Sí")</f>
        <v>Sí</v>
      </c>
      <c r="BN162" s="30" t="str">
        <f ca="1">IFERROR(__xludf.DUMMYFUNCTION("""COMPUTED_VALUE"""),"Acompañamiento Técnico")</f>
        <v>Acompañamiento Técnico</v>
      </c>
      <c r="BO162" s="30" t="str">
        <f ca="1">IFERROR(__xludf.DUMMYFUNCTION("""COMPUTED_VALUE"""),"cc9907d0")</f>
        <v>cc9907d0</v>
      </c>
      <c r="BP162" s="29" t="str">
        <f ca="1">IFERROR(__xludf.DUMMYFUNCTION("""COMPUTED_VALUE"""),"Silao de la Victoria")</f>
        <v>Silao de la Victoria</v>
      </c>
      <c r="BQ162" s="30" t="str">
        <f ca="1">IFERROR(__xludf.DUMMYFUNCTION("""COMPUTED_VALUE"""),"Urbano")</f>
        <v>Urbano</v>
      </c>
      <c r="BR162" s="30">
        <f ca="1">IFERROR(__xludf.DUMMYFUNCTION("""COMPUTED_VALUE"""),215)</f>
        <v>215</v>
      </c>
      <c r="BS162" s="30" t="str">
        <f ca="1">IFERROR(__xludf.DUMMYFUNCTION("""COMPUTED_VALUE"""),"Silao")</f>
        <v>Silao</v>
      </c>
      <c r="BT162" s="30"/>
      <c r="BU162" s="30" t="str">
        <f ca="1">IFERROR(__xludf.DUMMYFUNCTION("""COMPUTED_VALUE"""),"Si")</f>
        <v>Si</v>
      </c>
      <c r="BV162" s="30" t="str">
        <f ca="1">IFERROR(__xludf.DUMMYFUNCTION("""COMPUTED_VALUE"""),"Si")</f>
        <v>Si</v>
      </c>
      <c r="BW162" s="30">
        <f ca="1">IFERROR(__xludf.DUMMYFUNCTION("""COMPUTED_VALUE"""),2)</f>
        <v>2</v>
      </c>
      <c r="BX162" s="30"/>
      <c r="BY162" s="30">
        <f ca="1">IFERROR(__xludf.DUMMYFUNCTION("""COMPUTED_VALUE"""),2)</f>
        <v>2</v>
      </c>
      <c r="BZ162" s="30" t="str">
        <f ca="1">IFERROR(__xludf.DUMMYFUNCTION("""COMPUTED_VALUE"""),"Silao")</f>
        <v>Silao</v>
      </c>
      <c r="CA162" s="30" t="str">
        <f ca="1">IFERROR(__xludf.DUMMYFUNCTION("""COMPUTED_VALUE"""),"No")</f>
        <v>No</v>
      </c>
      <c r="CB162" s="30" t="str">
        <f ca="1">IFERROR(__xludf.DUMMYFUNCTION("""COMPUTED_VALUE"""),"No")</f>
        <v>No</v>
      </c>
      <c r="CC162" s="30" t="str">
        <f ca="1">IFERROR(__xludf.DUMMYFUNCTION("""COMPUTED_VALUE"""),"453edba2")</f>
        <v>453edba2</v>
      </c>
      <c r="CD162" s="29" t="str">
        <f ca="1">IFERROR(__xludf.DUMMYFUNCTION("""COMPUTED_VALUE"""),"Adolescentes (13 a 17 años)")</f>
        <v>Adolescentes (13 a 17 años)</v>
      </c>
      <c r="CE162" s="30" t="str">
        <f ca="1">IFERROR(__xludf.DUMMYFUNCTION("""COMPUTED_VALUE"""),"Dato global")</f>
        <v>Dato global</v>
      </c>
      <c r="CF162" s="30" t="str">
        <f ca="1">IFERROR(__xludf.DUMMYFUNCTION("""COMPUTED_VALUE"""),"NNA (Niñas, Niños y Adolescentes)")</f>
        <v>NNA (Niñas, Niños y Adolescentes)</v>
      </c>
      <c r="CG162" s="30">
        <f ca="1">IFERROR(__xludf.DUMMYFUNCTION("""COMPUTED_VALUE"""),3000)</f>
        <v>3000</v>
      </c>
      <c r="CI162" s="30" t="str">
        <f ca="1">IFERROR(__xludf.DUMMYFUNCTION("""COMPUTED_VALUE"""),"9831896a")</f>
        <v>9831896a</v>
      </c>
      <c r="CJ162" s="29" t="str">
        <f ca="1">IFERROR(__xludf.DUMMYFUNCTION("""COMPUTED_VALUE"""),"Regitro_Evidencia_Images/9831896a.Archivo_Evidencia.002139.jpg")</f>
        <v>Regitro_Evidencia_Images/9831896a.Archivo_Evidencia.002139.jpg</v>
      </c>
      <c r="CK162" s="30" t="str">
        <f ca="1">IFERROR(__xludf.DUMMYFUNCTION("""COMPUTED_VALUE"""),"Foto")</f>
        <v>Foto</v>
      </c>
      <c r="CL162" s="30"/>
      <c r="CM162" s="30" t="str">
        <f ca="1">IFERROR(__xludf.DUMMYFUNCTION("""COMPUTED_VALUE"""),"Silao de la Victoria")</f>
        <v>Silao de la Victoria</v>
      </c>
      <c r="CN162" s="32" t="e">
        <f ca="1"/>
        <v>#NAME?</v>
      </c>
      <c r="CO162" s="32" t="e">
        <f ca="1"/>
        <v>#NAME?</v>
      </c>
      <c r="CP162" s="32" t="e">
        <f ca="1"/>
        <v>#NAME?</v>
      </c>
      <c r="CQ162" s="32" t="e">
        <f ca="1"/>
        <v>#NAME?</v>
      </c>
      <c r="CR162" s="30" t="e">
        <f ca="1"/>
        <v>#NAME?</v>
      </c>
      <c r="CS162" s="30" t="str">
        <f ca="1">IFERROR(__xludf.DUMMYFUNCTION("""COMPUTED_VALUE"""),"Ninguno (Población General), Ninguno (Población General)")</f>
        <v>Ninguno (Población General), Ninguno (Población General)</v>
      </c>
    </row>
    <row r="163" spans="1:97" ht="13">
      <c r="A163" s="29" t="str">
        <f ca="1">IFERROR(__xludf.DUMMYFUNCTION("""COMPUTED_VALUE"""),"ACT-SCCA07519")</f>
        <v>ACT-SCCA07519</v>
      </c>
      <c r="B163" s="30" t="str">
        <f ca="1">IFERROR(__xludf.DUMMYFUNCTION("""COMPUTED_VALUE"""),"SC-260703-100930")</f>
        <v>SC-260703-100930</v>
      </c>
      <c r="C163" s="62">
        <f ca="1">IFERROR(__xludf.DUMMYFUNCTION("""COMPUTED_VALUE"""),46206.4232638888)</f>
        <v>46206.423263888799</v>
      </c>
      <c r="D163" s="30">
        <f ca="1">IFERROR(__xludf.DUMMYFUNCTION("""COMPUTED_VALUE"""),92)</f>
        <v>92</v>
      </c>
      <c r="E163" s="30" t="str">
        <f ca="1">IFERROR(__xludf.DUMMYFUNCTION("""COMPUTED_VALUE"""),"PB3572")</f>
        <v>PB3572</v>
      </c>
      <c r="F16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3" s="30" t="str">
        <f ca="1">IFERROR(__xludf.DUMMYFUNCTION("""COMPUTED_VALUE"""),"SUBSECRETARÍA DE DESARROLLO Y PROMOCIÓN ARTÍSTICA Y CULTURAL")</f>
        <v>SUBSECRETARÍA DE DESARROLLO Y PROMOCIÓN ARTÍSTICA Y CULTURAL</v>
      </c>
      <c r="I163" s="34" t="str">
        <f ca="1">IFERROR(__xludf.DUMMYFUNCTION("""COMPUTED_VALUE"""),"DIRECCIÓN GENERAL DE MUSEOS, ARTES VISUALES Y EXPOSICIONES")</f>
        <v>DIRECCIÓN GENERAL DE MUSEOS, ARTES VISUALES Y EXPOSICIONES</v>
      </c>
      <c r="J163" s="30" t="str">
        <f ca="1">IFERROR(__xludf.DUMMYFUNCTION("""COMPUTED_VALUE"""),"Número de Actividades realizadas")</f>
        <v>Número de Actividades realizadas</v>
      </c>
      <c r="K163" s="30">
        <f ca="1">IFERROR(__xludf.DUMMYFUNCTION("""COMPUTED_VALUE"""),800)</f>
        <v>800</v>
      </c>
      <c r="L163" s="30" t="str">
        <f ca="1">IFERROR(__xludf.DUMMYFUNCTION("""COMPUTED_VALUE"""),"Artística")</f>
        <v>Artística</v>
      </c>
      <c r="M163" s="30" t="str">
        <f ca="1">IFERROR(__xludf.DUMMYFUNCTION("""COMPUTED_VALUE"""),"Crearte Taller de acuarela")</f>
        <v>Crearte Taller de acuarela</v>
      </c>
      <c r="N163" s="30" t="str">
        <f ca="1">IFERROR(__xludf.DUMMYFUNCTION("""COMPUTED_VALUE"""),"Taller de acuarela")</f>
        <v>Taller de acuarela</v>
      </c>
      <c r="O163" s="30" t="str">
        <f ca="1">IFERROR(__xludf.DUMMYFUNCTION("""COMPUTED_VALUE"""),"Semanal")</f>
        <v>Semanal</v>
      </c>
      <c r="P163" s="33">
        <f ca="1">IFERROR(__xludf.DUMMYFUNCTION("""COMPUTED_VALUE"""),46151)</f>
        <v>46151</v>
      </c>
      <c r="Q163" s="33">
        <f ca="1">IFERROR(__xludf.DUMMYFUNCTION("""COMPUTED_VALUE"""),46172)</f>
        <v>46172</v>
      </c>
      <c r="R163" s="30">
        <f ca="1">IFERROR(__xludf.DUMMYFUNCTION("""COMPUTED_VALUE"""),4)</f>
        <v>4</v>
      </c>
      <c r="S163" s="30" t="str">
        <f ca="1">IFERROR(__xludf.DUMMYFUNCTION("""COMPUTED_VALUE"""),"Cultura comunitaria")</f>
        <v>Cultura comunitaria</v>
      </c>
      <c r="T163" s="30" t="str">
        <f ca="1">IFERROR(__xludf.DUMMYFUNCTION("""COMPUTED_VALUE"""),"Formación comunitaria")</f>
        <v>Formación comunitaria</v>
      </c>
      <c r="U163" s="30" t="str">
        <f ca="1">IFERROR(__xludf.DUMMYFUNCTION("""COMPUTED_VALUE"""),"Taller")</f>
        <v>Taller</v>
      </c>
      <c r="V163" s="30" t="str">
        <f ca="1">IFERROR(__xludf.DUMMYFUNCTION("""COMPUTED_VALUE"""),"Ninguna")</f>
        <v>Ninguna</v>
      </c>
      <c r="W163" s="30" t="str">
        <f ca="1">IFERROR(__xludf.DUMMYFUNCTION("""COMPUTED_VALUE"""),"Presencial")</f>
        <v>Presencial</v>
      </c>
      <c r="X163" s="30" t="str">
        <f ca="1">IFERROR(__xludf.DUMMYFUNCTION("""COMPUTED_VALUE"""),"Espacio a Cargo de la Secretaría")</f>
        <v>Espacio a Cargo de la Secretaría</v>
      </c>
      <c r="Y163" s="30" t="str">
        <f ca="1">IFERROR(__xludf.DUMMYFUNCTION("""COMPUTED_VALUE"""),"26")</f>
        <v>26</v>
      </c>
      <c r="Z163" s="30"/>
      <c r="AA163" s="30"/>
      <c r="AB163" s="30" t="b">
        <f ca="1">IFERROR(__xludf.DUMMYFUNCTION("""COMPUTED_VALUE"""),FALSE)</f>
        <v>0</v>
      </c>
      <c r="AC163" s="30"/>
      <c r="AD163" s="30" t="b">
        <f ca="1">IFERROR(__xludf.DUMMYFUNCTION("""COMPUTED_VALUE"""),FALSE)</f>
        <v>0</v>
      </c>
      <c r="AE163" s="30"/>
      <c r="AF163" s="30" t="b">
        <f ca="1">IFERROR(__xludf.DUMMYFUNCTION("""COMPUTED_VALUE"""),FALSE)</f>
        <v>0</v>
      </c>
      <c r="AG163" s="30"/>
      <c r="AH163" s="30" t="str">
        <f ca="1">IFERROR(__xludf.DUMMYFUNCTION("""COMPUTED_VALUE"""),"Sin costo")</f>
        <v>Sin costo</v>
      </c>
      <c r="AI163" s="30"/>
      <c r="AJ163" s="30"/>
      <c r="AK163" s="30"/>
      <c r="AL163" s="30" t="str">
        <f ca="1">IFERROR(__xludf.DUMMYFUNCTION("""COMPUTED_VALUE"""),"ccardonav@guanajuato.gob.mx")</f>
        <v>ccardonav@guanajuato.gob.mx</v>
      </c>
      <c r="AM163" s="30" t="str">
        <f ca="1">IFERROR(__xludf.DUMMYFUNCTION("""COMPUTED_VALUE"""),"Arraigo y empoderamiento cultural de comunidades.")</f>
        <v>Arraigo y empoderamiento cultural de comunidades.</v>
      </c>
      <c r="AN163" s="30" t="str">
        <f ca="1">IFERROR(__xludf.DUMMYFUNCTION("""COMPUTED_VALUE"""),"1 Tranquilidad")</f>
        <v>1 Tranquilidad</v>
      </c>
      <c r="AO163" s="30" t="str">
        <f ca="1">IFERROR(__xludf.DUMMYFUNCTION("""COMPUTED_VALUE"""),"1.2 Fortalecer prevención del delito")</f>
        <v>1.2 Fortalecer prevención del delito</v>
      </c>
      <c r="AP163" s="30" t="str">
        <f ca="1">IFERROR(__xludf.DUMMYFUNCTION("""COMPUTED_VALUE"""),"1.2.2 Fortalecimiento del tejido social")</f>
        <v>1.2.2 Fortalecimiento del tejido social</v>
      </c>
      <c r="AQ163" s="30" t="str">
        <f ca="1">IFERROR(__xludf.DUMMYFUNCTION("""COMPUTED_VALUE"""),"1.2.3.4 Promover una cultura de paz desde las expresiones artísticas y culturales")</f>
        <v>1.2.3.4 Promover una cultura de paz desde las expresiones artísticas y culturales</v>
      </c>
      <c r="AR163" s="30" t="str">
        <f ca="1">IFERROR(__xludf.DUMMYFUNCTION("""COMPUTED_VALUE"""),"Cooperación")</f>
        <v>Cooperación</v>
      </c>
      <c r="AS163" s="30"/>
      <c r="AT163" s="30" t="str">
        <f ca="1">IFERROR(__xludf.DUMMYFUNCTION("""COMPUTED_VALUE"""),"Sostenibilidad del trabajo cultural y la economía creativa.")</f>
        <v>Sostenibilidad del trabajo cultural y la economía creativa.</v>
      </c>
      <c r="AU163"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3" s="30" t="str">
        <f ca="1">IFERROR(__xludf.DUMMYFUNCTION("""COMPUTED_VALUE"""),"Diseñar programas de formación y gestión cultural de base comunitaria.")</f>
        <v>Diseñar programas de formación y gestión cultural de base comunitaria.</v>
      </c>
      <c r="AW163"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3" s="30" t="str">
        <f ca="1">IFERROR(__xludf.DUMMYFUNCTION("""COMPUTED_VALUE"""),"Taller")</f>
        <v>Taller</v>
      </c>
      <c r="AY163" s="30" t="str">
        <f ca="1">IFERROR(__xludf.DUMMYFUNCTION("""COMPUTED_VALUE"""),"Formación")</f>
        <v>Formación</v>
      </c>
      <c r="AZ163" s="30" t="str">
        <f ca="1">IFERROR(__xludf.DUMMYFUNCTION("""COMPUTED_VALUE"""),"Formación")</f>
        <v>Formación</v>
      </c>
      <c r="BA163" s="30"/>
      <c r="BB163" s="30"/>
      <c r="BC163" s="30">
        <f ca="1">IFERROR(__xludf.DUMMYFUNCTION("""COMPUTED_VALUE"""),0)</f>
        <v>0</v>
      </c>
      <c r="BD163" s="30"/>
      <c r="BE163" s="30"/>
      <c r="BF163" s="30" t="b">
        <f ca="1">IFERROR(__xludf.DUMMYFUNCTION("""COMPUTED_VALUE"""),FALSE)</f>
        <v>0</v>
      </c>
      <c r="BG163" s="30"/>
      <c r="BH163" s="30"/>
      <c r="BI163" s="30"/>
      <c r="BJ163" s="30"/>
      <c r="BK163" s="30"/>
      <c r="BL163" s="30" t="str">
        <f ca="1">IFERROR(__xludf.DUMMYFUNCTION("""COMPUTED_VALUE"""),"Vinculación")</f>
        <v>Vinculación</v>
      </c>
      <c r="BM163" s="30" t="str">
        <f ca="1">IFERROR(__xludf.DUMMYFUNCTION("""COMPUTED_VALUE"""),"Sí")</f>
        <v>Sí</v>
      </c>
      <c r="BN163" s="30" t="str">
        <f ca="1">IFERROR(__xludf.DUMMYFUNCTION("""COMPUTED_VALUE"""),"Acompañamiento Técnico")</f>
        <v>Acompañamiento Técnico</v>
      </c>
      <c r="BO163" s="30" t="str">
        <f ca="1">IFERROR(__xludf.DUMMYFUNCTION("""COMPUTED_VALUE"""),"df3951b4")</f>
        <v>df3951b4</v>
      </c>
      <c r="BP163" s="29" t="str">
        <f ca="1">IFERROR(__xludf.DUMMYFUNCTION("""COMPUTED_VALUE"""),"Silao de la Victoria")</f>
        <v>Silao de la Victoria</v>
      </c>
      <c r="BQ163" s="30" t="str">
        <f ca="1">IFERROR(__xludf.DUMMYFUNCTION("""COMPUTED_VALUE"""),"Urbano")</f>
        <v>Urbano</v>
      </c>
      <c r="BR163" s="30">
        <f ca="1">IFERROR(__xludf.DUMMYFUNCTION("""COMPUTED_VALUE"""),215)</f>
        <v>215</v>
      </c>
      <c r="BS163" s="30" t="str">
        <f ca="1">IFERROR(__xludf.DUMMYFUNCTION("""COMPUTED_VALUE"""),"Silao")</f>
        <v>Silao</v>
      </c>
      <c r="BT163" s="30"/>
      <c r="BU163" s="30" t="str">
        <f ca="1">IFERROR(__xludf.DUMMYFUNCTION("""COMPUTED_VALUE"""),"Si")</f>
        <v>Si</v>
      </c>
      <c r="BV163" s="30" t="str">
        <f ca="1">IFERROR(__xludf.DUMMYFUNCTION("""COMPUTED_VALUE"""),"Si")</f>
        <v>Si</v>
      </c>
      <c r="BW163" s="30">
        <f ca="1">IFERROR(__xludf.DUMMYFUNCTION("""COMPUTED_VALUE"""),155)</f>
        <v>155</v>
      </c>
      <c r="BX163" s="30"/>
      <c r="BY163" s="30">
        <f ca="1">IFERROR(__xludf.DUMMYFUNCTION("""COMPUTED_VALUE"""),155)</f>
        <v>155</v>
      </c>
      <c r="BZ163" s="30" t="str">
        <f ca="1">IFERROR(__xludf.DUMMYFUNCTION("""COMPUTED_VALUE"""),"Silao")</f>
        <v>Silao</v>
      </c>
      <c r="CA163" s="30" t="str">
        <f ca="1">IFERROR(__xludf.DUMMYFUNCTION("""COMPUTED_VALUE"""),"No")</f>
        <v>No</v>
      </c>
      <c r="CB163" s="30" t="str">
        <f ca="1">IFERROR(__xludf.DUMMYFUNCTION("""COMPUTED_VALUE"""),"No")</f>
        <v>No</v>
      </c>
      <c r="CC163" s="30" t="str">
        <f ca="1">IFERROR(__xludf.DUMMYFUNCTION("""COMPUTED_VALUE"""),"8aaf0477")</f>
        <v>8aaf0477</v>
      </c>
      <c r="CD163" s="29" t="str">
        <f ca="1">IFERROR(__xludf.DUMMYFUNCTION("""COMPUTED_VALUE"""),"Jóvenes (18 a 29 años)")</f>
        <v>Jóvenes (18 a 29 años)</v>
      </c>
      <c r="CE163" s="30" t="str">
        <f ca="1">IFERROR(__xludf.DUMMYFUNCTION("""COMPUTED_VALUE"""),"Dato global")</f>
        <v>Dato global</v>
      </c>
      <c r="CF163" s="30" t="str">
        <f ca="1">IFERROR(__xludf.DUMMYFUNCTION("""COMPUTED_VALUE"""),"Ninguno (Población General)")</f>
        <v>Ninguno (Población General)</v>
      </c>
      <c r="CG163" s="30">
        <f ca="1">IFERROR(__xludf.DUMMYFUNCTION("""COMPUTED_VALUE"""),2500)</f>
        <v>2500</v>
      </c>
      <c r="CI163" s="30" t="str">
        <f ca="1">IFERROR(__xludf.DUMMYFUNCTION("""COMPUTED_VALUE"""),"97631c38")</f>
        <v>97631c38</v>
      </c>
      <c r="CJ163" s="29" t="str">
        <f ca="1">IFERROR(__xludf.DUMMYFUNCTION("""COMPUTED_VALUE"""),"Regitro_Evidencia_Images/97631c38.Archivo_Evidencia.002624.jpg")</f>
        <v>Regitro_Evidencia_Images/97631c38.Archivo_Evidencia.002624.jpg</v>
      </c>
      <c r="CK163" s="30" t="str">
        <f ca="1">IFERROR(__xludf.DUMMYFUNCTION("""COMPUTED_VALUE"""),"Foto")</f>
        <v>Foto</v>
      </c>
      <c r="CL163" s="30"/>
      <c r="CM163" s="30" t="str">
        <f ca="1">IFERROR(__xludf.DUMMYFUNCTION("""COMPUTED_VALUE"""),"Silao de la Victoria")</f>
        <v>Silao de la Victoria</v>
      </c>
      <c r="CN163" s="32" t="e">
        <f ca="1"/>
        <v>#NAME?</v>
      </c>
      <c r="CO163" s="32" t="e">
        <f ca="1"/>
        <v>#NAME?</v>
      </c>
      <c r="CP163" s="32" t="e">
        <f ca="1"/>
        <v>#NAME?</v>
      </c>
      <c r="CQ163" s="32" t="e">
        <f ca="1"/>
        <v>#NAME?</v>
      </c>
      <c r="CR163" s="30" t="e">
        <f ca="1"/>
        <v>#NAME?</v>
      </c>
      <c r="CS163" s="30" t="str">
        <f ca="1">IFERROR(__xludf.DUMMYFUNCTION("""COMPUTED_VALUE"""),"Ninguno (Población General), Ninguno (Población General)")</f>
        <v>Ninguno (Población General), Ninguno (Población General)</v>
      </c>
    </row>
    <row r="164" spans="1:97" ht="13">
      <c r="A164" s="29" t="str">
        <f ca="1">IFERROR(__xludf.DUMMYFUNCTION("""COMPUTED_VALUE"""),"ACT-SCSJ46627")</f>
        <v>ACT-SCSJ46627</v>
      </c>
      <c r="B164" s="30" t="str">
        <f ca="1">IFERROR(__xludf.DUMMYFUNCTION("""COMPUTED_VALUE"""),"SC-260703-103322")</f>
        <v>SC-260703-103322</v>
      </c>
      <c r="C164" s="62">
        <f ca="1">IFERROR(__xludf.DUMMYFUNCTION("""COMPUTED_VALUE"""),46206.4398379629)</f>
        <v>46206.439837962898</v>
      </c>
      <c r="D164" s="30">
        <f ca="1">IFERROR(__xludf.DUMMYFUNCTION("""COMPUTED_VALUE"""),92)</f>
        <v>92</v>
      </c>
      <c r="E164" s="30" t="str">
        <f ca="1">IFERROR(__xludf.DUMMYFUNCTION("""COMPUTED_VALUE"""),"PB3572")</f>
        <v>PB3572</v>
      </c>
      <c r="F16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4" s="30" t="str">
        <f ca="1">IFERROR(__xludf.DUMMYFUNCTION("""COMPUTED_VALUE"""),"SUBSECRETARÍA DE DESARROLLO Y PROMOCIÓN ARTÍSTICA Y CULTURAL")</f>
        <v>SUBSECRETARÍA DE DESARROLLO Y PROMOCIÓN ARTÍSTICA Y CULTURAL</v>
      </c>
      <c r="I164" s="34" t="str">
        <f ca="1">IFERROR(__xludf.DUMMYFUNCTION("""COMPUTED_VALUE"""),"DIRECCIÓN GENERAL DE MUSEOS, ARTES VISUALES Y EXPOSICIONES")</f>
        <v>DIRECCIÓN GENERAL DE MUSEOS, ARTES VISUALES Y EXPOSICIONES</v>
      </c>
      <c r="J164" s="30" t="str">
        <f ca="1">IFERROR(__xludf.DUMMYFUNCTION("""COMPUTED_VALUE"""),"Número de Actividades realizadas")</f>
        <v>Número de Actividades realizadas</v>
      </c>
      <c r="K164" s="30">
        <f ca="1">IFERROR(__xludf.DUMMYFUNCTION("""COMPUTED_VALUE"""),800)</f>
        <v>800</v>
      </c>
      <c r="L164" s="30" t="str">
        <f ca="1">IFERROR(__xludf.DUMMYFUNCTION("""COMPUTED_VALUE"""),"Artística")</f>
        <v>Artística</v>
      </c>
      <c r="M164" s="30" t="str">
        <f ca="1">IFERROR(__xludf.DUMMYFUNCTION("""COMPUTED_VALUE"""),"Fanzinarte: Taller de Comic")</f>
        <v>Fanzinarte: Taller de Comic</v>
      </c>
      <c r="N164" s="30" t="str">
        <f ca="1">IFERROR(__xludf.DUMMYFUNCTION("""COMPUTED_VALUE"""),"Taller de dibujo de comic")</f>
        <v>Taller de dibujo de comic</v>
      </c>
      <c r="O164" s="30" t="str">
        <f ca="1">IFERROR(__xludf.DUMMYFUNCTION("""COMPUTED_VALUE"""),"Semanal")</f>
        <v>Semanal</v>
      </c>
      <c r="P164" s="33">
        <f ca="1">IFERROR(__xludf.DUMMYFUNCTION("""COMPUTED_VALUE"""),46150)</f>
        <v>46150</v>
      </c>
      <c r="Q164" s="33">
        <f ca="1">IFERROR(__xludf.DUMMYFUNCTION("""COMPUTED_VALUE"""),46164)</f>
        <v>46164</v>
      </c>
      <c r="R164" s="30">
        <f ca="1">IFERROR(__xludf.DUMMYFUNCTION("""COMPUTED_VALUE"""),3)</f>
        <v>3</v>
      </c>
      <c r="S164" s="30" t="str">
        <f ca="1">IFERROR(__xludf.DUMMYFUNCTION("""COMPUTED_VALUE"""),"Cultura comunitaria")</f>
        <v>Cultura comunitaria</v>
      </c>
      <c r="T164" s="30" t="str">
        <f ca="1">IFERROR(__xludf.DUMMYFUNCTION("""COMPUTED_VALUE"""),"Formación comunitaria")</f>
        <v>Formación comunitaria</v>
      </c>
      <c r="U164" s="30" t="str">
        <f ca="1">IFERROR(__xludf.DUMMYFUNCTION("""COMPUTED_VALUE"""),"Taller")</f>
        <v>Taller</v>
      </c>
      <c r="V164" s="30" t="str">
        <f ca="1">IFERROR(__xludf.DUMMYFUNCTION("""COMPUTED_VALUE"""),"Ninguna")</f>
        <v>Ninguna</v>
      </c>
      <c r="W164" s="30" t="str">
        <f ca="1">IFERROR(__xludf.DUMMYFUNCTION("""COMPUTED_VALUE"""),"Presencial")</f>
        <v>Presencial</v>
      </c>
      <c r="X164" s="30" t="str">
        <f ca="1">IFERROR(__xludf.DUMMYFUNCTION("""COMPUTED_VALUE"""),"Espacio a Cargo de la Secretaría")</f>
        <v>Espacio a Cargo de la Secretaría</v>
      </c>
      <c r="Y164" s="30" t="str">
        <f ca="1">IFERROR(__xludf.DUMMYFUNCTION("""COMPUTED_VALUE"""),"26")</f>
        <v>26</v>
      </c>
      <c r="Z164" s="30"/>
      <c r="AA164" s="30"/>
      <c r="AB164" s="30" t="b">
        <f ca="1">IFERROR(__xludf.DUMMYFUNCTION("""COMPUTED_VALUE"""),FALSE)</f>
        <v>0</v>
      </c>
      <c r="AC164" s="30"/>
      <c r="AD164" s="30" t="b">
        <f ca="1">IFERROR(__xludf.DUMMYFUNCTION("""COMPUTED_VALUE"""),FALSE)</f>
        <v>0</v>
      </c>
      <c r="AE164" s="30"/>
      <c r="AF164" s="30" t="b">
        <f ca="1">IFERROR(__xludf.DUMMYFUNCTION("""COMPUTED_VALUE"""),FALSE)</f>
        <v>0</v>
      </c>
      <c r="AG164" s="30"/>
      <c r="AH164" s="30" t="str">
        <f ca="1">IFERROR(__xludf.DUMMYFUNCTION("""COMPUTED_VALUE"""),"Sin costo")</f>
        <v>Sin costo</v>
      </c>
      <c r="AI164" s="30"/>
      <c r="AJ164" s="30"/>
      <c r="AK164" s="30"/>
      <c r="AL164" s="30" t="str">
        <f ca="1">IFERROR(__xludf.DUMMYFUNCTION("""COMPUTED_VALUE"""),"ccardonav@guanajuato.gob.mx")</f>
        <v>ccardonav@guanajuato.gob.mx</v>
      </c>
      <c r="AM164" s="30" t="str">
        <f ca="1">IFERROR(__xludf.DUMMYFUNCTION("""COMPUTED_VALUE"""),"Arraigo y empoderamiento cultural de comunidades.")</f>
        <v>Arraigo y empoderamiento cultural de comunidades.</v>
      </c>
      <c r="AN164" s="30" t="str">
        <f ca="1">IFERROR(__xludf.DUMMYFUNCTION("""COMPUTED_VALUE"""),"1 Tranquilidad")</f>
        <v>1 Tranquilidad</v>
      </c>
      <c r="AO164" s="30" t="str">
        <f ca="1">IFERROR(__xludf.DUMMYFUNCTION("""COMPUTED_VALUE"""),"1.2 Fortalecer prevención del delito")</f>
        <v>1.2 Fortalecer prevención del delito</v>
      </c>
      <c r="AP164" s="30" t="str">
        <f ca="1">IFERROR(__xludf.DUMMYFUNCTION("""COMPUTED_VALUE"""),"1.2.2 Fortalecimiento del tejido social")</f>
        <v>1.2.2 Fortalecimiento del tejido social</v>
      </c>
      <c r="AQ164" s="30" t="str">
        <f ca="1">IFERROR(__xludf.DUMMYFUNCTION("""COMPUTED_VALUE"""),"1.2.3.4 Promover una cultura de paz desde las expresiones artísticas y culturales")</f>
        <v>1.2.3.4 Promover una cultura de paz desde las expresiones artísticas y culturales</v>
      </c>
      <c r="AR164" s="30" t="str">
        <f ca="1">IFERROR(__xludf.DUMMYFUNCTION("""COMPUTED_VALUE"""),"Cooperación")</f>
        <v>Cooperación</v>
      </c>
      <c r="AS164" s="30"/>
      <c r="AT164" s="30" t="str">
        <f ca="1">IFERROR(__xludf.DUMMYFUNCTION("""COMPUTED_VALUE"""),"Sostenibilidad del trabajo cultural y la economía creativa.")</f>
        <v>Sostenibilidad del trabajo cultural y la economía creativa.</v>
      </c>
      <c r="AU164"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4" s="30" t="str">
        <f ca="1">IFERROR(__xludf.DUMMYFUNCTION("""COMPUTED_VALUE"""),"Diseñar programas de formación y gestión cultural de base comunitaria.")</f>
        <v>Diseñar programas de formación y gestión cultural de base comunitaria.</v>
      </c>
      <c r="AW164"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4" s="30" t="str">
        <f ca="1">IFERROR(__xludf.DUMMYFUNCTION("""COMPUTED_VALUE"""),"Taller")</f>
        <v>Taller</v>
      </c>
      <c r="AY164" s="30" t="str">
        <f ca="1">IFERROR(__xludf.DUMMYFUNCTION("""COMPUTED_VALUE"""),"Formación")</f>
        <v>Formación</v>
      </c>
      <c r="AZ164" s="30" t="str">
        <f ca="1">IFERROR(__xludf.DUMMYFUNCTION("""COMPUTED_VALUE"""),"Formación")</f>
        <v>Formación</v>
      </c>
      <c r="BA164" s="30"/>
      <c r="BB164" s="30"/>
      <c r="BC164" s="30">
        <f ca="1">IFERROR(__xludf.DUMMYFUNCTION("""COMPUTED_VALUE"""),0)</f>
        <v>0</v>
      </c>
      <c r="BD164" s="30"/>
      <c r="BE164" s="30"/>
      <c r="BF164" s="30" t="b">
        <f ca="1">IFERROR(__xludf.DUMMYFUNCTION("""COMPUTED_VALUE"""),FALSE)</f>
        <v>0</v>
      </c>
      <c r="BG164" s="30"/>
      <c r="BH164" s="30"/>
      <c r="BI164" s="30"/>
      <c r="BJ164" s="30"/>
      <c r="BK164" s="30"/>
      <c r="BL164" s="30" t="str">
        <f ca="1">IFERROR(__xludf.DUMMYFUNCTION("""COMPUTED_VALUE"""),"Vinculación")</f>
        <v>Vinculación</v>
      </c>
      <c r="BM164" s="30" t="str">
        <f ca="1">IFERROR(__xludf.DUMMYFUNCTION("""COMPUTED_VALUE"""),"Sí")</f>
        <v>Sí</v>
      </c>
      <c r="BN164" s="30" t="str">
        <f ca="1">IFERROR(__xludf.DUMMYFUNCTION("""COMPUTED_VALUE"""),"Acompañamiento Técnico")</f>
        <v>Acompañamiento Técnico</v>
      </c>
      <c r="BO164" s="30" t="str">
        <f ca="1">IFERROR(__xludf.DUMMYFUNCTION("""COMPUTED_VALUE"""),"1d43e932")</f>
        <v>1d43e932</v>
      </c>
      <c r="BP164" s="29" t="str">
        <f ca="1">IFERROR(__xludf.DUMMYFUNCTION("""COMPUTED_VALUE"""),"Silao de la Victoria")</f>
        <v>Silao de la Victoria</v>
      </c>
      <c r="BQ164" s="30" t="str">
        <f ca="1">IFERROR(__xludf.DUMMYFUNCTION("""COMPUTED_VALUE"""),"Urbano")</f>
        <v>Urbano</v>
      </c>
      <c r="BR164" s="30">
        <f ca="1">IFERROR(__xludf.DUMMYFUNCTION("""COMPUTED_VALUE"""),215)</f>
        <v>215</v>
      </c>
      <c r="BS164" s="30" t="str">
        <f ca="1">IFERROR(__xludf.DUMMYFUNCTION("""COMPUTED_VALUE"""),"Silao")</f>
        <v>Silao</v>
      </c>
      <c r="BT164" s="30"/>
      <c r="BU164" s="30" t="str">
        <f ca="1">IFERROR(__xludf.DUMMYFUNCTION("""COMPUTED_VALUE"""),"Si")</f>
        <v>Si</v>
      </c>
      <c r="BV164" s="30" t="str">
        <f ca="1">IFERROR(__xludf.DUMMYFUNCTION("""COMPUTED_VALUE"""),"Si")</f>
        <v>Si</v>
      </c>
      <c r="BW164" s="30">
        <f ca="1">IFERROR(__xludf.DUMMYFUNCTION("""COMPUTED_VALUE"""),89)</f>
        <v>89</v>
      </c>
      <c r="BX164" s="30"/>
      <c r="BY164" s="30">
        <f ca="1">IFERROR(__xludf.DUMMYFUNCTION("""COMPUTED_VALUE"""),89)</f>
        <v>89</v>
      </c>
      <c r="BZ164" s="30" t="str">
        <f ca="1">IFERROR(__xludf.DUMMYFUNCTION("""COMPUTED_VALUE"""),"Silao")</f>
        <v>Silao</v>
      </c>
      <c r="CA164" s="30" t="str">
        <f ca="1">IFERROR(__xludf.DUMMYFUNCTION("""COMPUTED_VALUE"""),"No")</f>
        <v>No</v>
      </c>
      <c r="CB164" s="30" t="str">
        <f ca="1">IFERROR(__xludf.DUMMYFUNCTION("""COMPUTED_VALUE"""),"No")</f>
        <v>No</v>
      </c>
      <c r="CC164" s="30" t="str">
        <f ca="1">IFERROR(__xludf.DUMMYFUNCTION("""COMPUTED_VALUE"""),"3dad61af")</f>
        <v>3dad61af</v>
      </c>
      <c r="CD164" s="29" t="str">
        <f ca="1">IFERROR(__xludf.DUMMYFUNCTION("""COMPUTED_VALUE"""),"Adultos (30 a 59 años)")</f>
        <v>Adultos (30 a 59 años)</v>
      </c>
      <c r="CE164" s="30" t="str">
        <f ca="1">IFERROR(__xludf.DUMMYFUNCTION("""COMPUTED_VALUE"""),"Dato global")</f>
        <v>Dato global</v>
      </c>
      <c r="CF164" s="30" t="str">
        <f ca="1">IFERROR(__xludf.DUMMYFUNCTION("""COMPUTED_VALUE"""),"Ninguno (Población General)")</f>
        <v>Ninguno (Población General)</v>
      </c>
      <c r="CG164" s="30">
        <f ca="1">IFERROR(__xludf.DUMMYFUNCTION("""COMPUTED_VALUE"""),2000)</f>
        <v>2000</v>
      </c>
      <c r="CI164" s="30" t="str">
        <f ca="1">IFERROR(__xludf.DUMMYFUNCTION("""COMPUTED_VALUE"""),"b0e35c52")</f>
        <v>b0e35c52</v>
      </c>
      <c r="CJ164" s="29" t="str">
        <f ca="1">IFERROR(__xludf.DUMMYFUNCTION("""COMPUTED_VALUE"""),"Regitro_Evidencia_Images/b0e35c52.Archivo_Evidencia.003351.jpg")</f>
        <v>Regitro_Evidencia_Images/b0e35c52.Archivo_Evidencia.003351.jpg</v>
      </c>
      <c r="CK164" s="30" t="str">
        <f ca="1">IFERROR(__xludf.DUMMYFUNCTION("""COMPUTED_VALUE"""),"Foto")</f>
        <v>Foto</v>
      </c>
      <c r="CL164" s="30"/>
      <c r="CM164" s="30" t="str">
        <f ca="1">IFERROR(__xludf.DUMMYFUNCTION("""COMPUTED_VALUE"""),"Silao de la Victoria")</f>
        <v>Silao de la Victoria</v>
      </c>
      <c r="CN164" s="32" t="e">
        <f ca="1"/>
        <v>#NAME?</v>
      </c>
      <c r="CO164" s="32" t="e">
        <f ca="1"/>
        <v>#NAME?</v>
      </c>
      <c r="CP164" s="32" t="e">
        <f ca="1"/>
        <v>#NAME?</v>
      </c>
      <c r="CQ164" s="32" t="e">
        <f ca="1"/>
        <v>#NAME?</v>
      </c>
      <c r="CR164" s="30" t="e">
        <f ca="1"/>
        <v>#NAME?</v>
      </c>
      <c r="CS164" s="30" t="str">
        <f ca="1">IFERROR(__xludf.DUMMYFUNCTION("""COMPUTED_VALUE"""),"Ninguno (Población General)")</f>
        <v>Ninguno (Población General)</v>
      </c>
    </row>
    <row r="165" spans="1:97" ht="13">
      <c r="A165" s="29" t="str">
        <f ca="1">IFERROR(__xludf.DUMMYFUNCTION("""COMPUTED_VALUE"""),"ACT-SCMV29363")</f>
        <v>ACT-SCMV29363</v>
      </c>
      <c r="B165" s="30" t="str">
        <f ca="1">IFERROR(__xludf.DUMMYFUNCTION("""COMPUTED_VALUE"""),"SC-260703-104107")</f>
        <v>SC-260703-104107</v>
      </c>
      <c r="C165" s="62">
        <f ca="1">IFERROR(__xludf.DUMMYFUNCTION("""COMPUTED_VALUE"""),46206.4452199074)</f>
        <v>46206.4452199074</v>
      </c>
      <c r="D165" s="30">
        <f ca="1">IFERROR(__xludf.DUMMYFUNCTION("""COMPUTED_VALUE"""),92)</f>
        <v>92</v>
      </c>
      <c r="E165" s="30" t="str">
        <f ca="1">IFERROR(__xludf.DUMMYFUNCTION("""COMPUTED_VALUE"""),"PB3572")</f>
        <v>PB3572</v>
      </c>
      <c r="F16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5" s="30" t="str">
        <f ca="1">IFERROR(__xludf.DUMMYFUNCTION("""COMPUTED_VALUE"""),"SUBSECRETARÍA DE DESARROLLO Y PROMOCIÓN ARTÍSTICA Y CULTURAL")</f>
        <v>SUBSECRETARÍA DE DESARROLLO Y PROMOCIÓN ARTÍSTICA Y CULTURAL</v>
      </c>
      <c r="I165" s="34" t="str">
        <f ca="1">IFERROR(__xludf.DUMMYFUNCTION("""COMPUTED_VALUE"""),"DIRECCIÓN GENERAL DE MUSEOS, ARTES VISUALES Y EXPOSICIONES")</f>
        <v>DIRECCIÓN GENERAL DE MUSEOS, ARTES VISUALES Y EXPOSICIONES</v>
      </c>
      <c r="J165" s="30" t="str">
        <f ca="1">IFERROR(__xludf.DUMMYFUNCTION("""COMPUTED_VALUE"""),"Número de Actividades realizadas")</f>
        <v>Número de Actividades realizadas</v>
      </c>
      <c r="K165" s="30">
        <f ca="1">IFERROR(__xludf.DUMMYFUNCTION("""COMPUTED_VALUE"""),800)</f>
        <v>800</v>
      </c>
      <c r="L165" s="30" t="str">
        <f ca="1">IFERROR(__xludf.DUMMYFUNCTION("""COMPUTED_VALUE"""),"Artística")</f>
        <v>Artística</v>
      </c>
      <c r="M165" s="30" t="str">
        <f ca="1">IFERROR(__xludf.DUMMYFUNCTION("""COMPUTED_VALUE"""),"Identiarte: Taller de cartoneria")</f>
        <v>Identiarte: Taller de cartoneria</v>
      </c>
      <c r="N165" s="30" t="str">
        <f ca="1">IFERROR(__xludf.DUMMYFUNCTION("""COMPUTED_VALUE"""),"Taller de cartonería")</f>
        <v>Taller de cartonería</v>
      </c>
      <c r="O165" s="30" t="str">
        <f ca="1">IFERROR(__xludf.DUMMYFUNCTION("""COMPUTED_VALUE"""),"Única")</f>
        <v>Única</v>
      </c>
      <c r="P165" s="33">
        <f ca="1">IFERROR(__xludf.DUMMYFUNCTION("""COMPUTED_VALUE"""),46170)</f>
        <v>46170</v>
      </c>
      <c r="Q165" s="33">
        <f ca="1">IFERROR(__xludf.DUMMYFUNCTION("""COMPUTED_VALUE"""),46170)</f>
        <v>46170</v>
      </c>
      <c r="R165" s="30">
        <f ca="1">IFERROR(__xludf.DUMMYFUNCTION("""COMPUTED_VALUE"""),1)</f>
        <v>1</v>
      </c>
      <c r="S165" s="30" t="str">
        <f ca="1">IFERROR(__xludf.DUMMYFUNCTION("""COMPUTED_VALUE"""),"Cultura comunitaria")</f>
        <v>Cultura comunitaria</v>
      </c>
      <c r="T165" s="30" t="str">
        <f ca="1">IFERROR(__xludf.DUMMYFUNCTION("""COMPUTED_VALUE"""),"Formación comunitaria")</f>
        <v>Formación comunitaria</v>
      </c>
      <c r="U165" s="30" t="str">
        <f ca="1">IFERROR(__xludf.DUMMYFUNCTION("""COMPUTED_VALUE"""),"Taller")</f>
        <v>Taller</v>
      </c>
      <c r="V165" s="30" t="str">
        <f ca="1">IFERROR(__xludf.DUMMYFUNCTION("""COMPUTED_VALUE"""),"Ninguna")</f>
        <v>Ninguna</v>
      </c>
      <c r="W165" s="30" t="str">
        <f ca="1">IFERROR(__xludf.DUMMYFUNCTION("""COMPUTED_VALUE"""),"Presencial")</f>
        <v>Presencial</v>
      </c>
      <c r="X165" s="30" t="str">
        <f ca="1">IFERROR(__xludf.DUMMYFUNCTION("""COMPUTED_VALUE"""),"Espacio a Cargo de la Secretaría")</f>
        <v>Espacio a Cargo de la Secretaría</v>
      </c>
      <c r="Y165" s="30" t="str">
        <f ca="1">IFERROR(__xludf.DUMMYFUNCTION("""COMPUTED_VALUE"""),"26")</f>
        <v>26</v>
      </c>
      <c r="Z165" s="30"/>
      <c r="AA165" s="30"/>
      <c r="AB165" s="30" t="b">
        <f ca="1">IFERROR(__xludf.DUMMYFUNCTION("""COMPUTED_VALUE"""),FALSE)</f>
        <v>0</v>
      </c>
      <c r="AC165" s="30"/>
      <c r="AD165" s="30" t="b">
        <f ca="1">IFERROR(__xludf.DUMMYFUNCTION("""COMPUTED_VALUE"""),FALSE)</f>
        <v>0</v>
      </c>
      <c r="AE165" s="30"/>
      <c r="AF165" s="30" t="b">
        <f ca="1">IFERROR(__xludf.DUMMYFUNCTION("""COMPUTED_VALUE"""),FALSE)</f>
        <v>0</v>
      </c>
      <c r="AG165" s="30"/>
      <c r="AH165" s="30" t="str">
        <f ca="1">IFERROR(__xludf.DUMMYFUNCTION("""COMPUTED_VALUE"""),"Sin costo")</f>
        <v>Sin costo</v>
      </c>
      <c r="AI165" s="30"/>
      <c r="AJ165" s="30"/>
      <c r="AK165" s="30"/>
      <c r="AL165" s="30" t="str">
        <f ca="1">IFERROR(__xludf.DUMMYFUNCTION("""COMPUTED_VALUE"""),"ccardonav@guanajuato.gob.mx")</f>
        <v>ccardonav@guanajuato.gob.mx</v>
      </c>
      <c r="AM165" s="30" t="str">
        <f ca="1">IFERROR(__xludf.DUMMYFUNCTION("""COMPUTED_VALUE"""),"Arraigo y empoderamiento cultural de comunidades.")</f>
        <v>Arraigo y empoderamiento cultural de comunidades.</v>
      </c>
      <c r="AN165" s="30" t="str">
        <f ca="1">IFERROR(__xludf.DUMMYFUNCTION("""COMPUTED_VALUE"""),"1 Tranquilidad")</f>
        <v>1 Tranquilidad</v>
      </c>
      <c r="AO165" s="30" t="str">
        <f ca="1">IFERROR(__xludf.DUMMYFUNCTION("""COMPUTED_VALUE"""),"1.2 Fortalecer prevención del delito")</f>
        <v>1.2 Fortalecer prevención del delito</v>
      </c>
      <c r="AP165" s="30" t="str">
        <f ca="1">IFERROR(__xludf.DUMMYFUNCTION("""COMPUTED_VALUE"""),"1.2.2 Fortalecimiento del tejido social")</f>
        <v>1.2.2 Fortalecimiento del tejido social</v>
      </c>
      <c r="AQ165" s="30" t="str">
        <f ca="1">IFERROR(__xludf.DUMMYFUNCTION("""COMPUTED_VALUE"""),"1.2.3.4 Promover una cultura de paz desde las expresiones artísticas y culturales")</f>
        <v>1.2.3.4 Promover una cultura de paz desde las expresiones artísticas y culturales</v>
      </c>
      <c r="AR165" s="30" t="str">
        <f ca="1">IFERROR(__xludf.DUMMYFUNCTION("""COMPUTED_VALUE"""),"Cooperación")</f>
        <v>Cooperación</v>
      </c>
      <c r="AS165" s="30"/>
      <c r="AT165" s="30" t="str">
        <f ca="1">IFERROR(__xludf.DUMMYFUNCTION("""COMPUTED_VALUE"""),"Sostenibilidad del trabajo cultural y la economía creativa.")</f>
        <v>Sostenibilidad del trabajo cultural y la economía creativa.</v>
      </c>
      <c r="AU165"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5" s="30" t="str">
        <f ca="1">IFERROR(__xludf.DUMMYFUNCTION("""COMPUTED_VALUE"""),"Diseñar programas de formación y gestión cultural de base comunitaria.")</f>
        <v>Diseñar programas de formación y gestión cultural de base comunitaria.</v>
      </c>
      <c r="AW165"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5" s="30" t="str">
        <f ca="1">IFERROR(__xludf.DUMMYFUNCTION("""COMPUTED_VALUE"""),"Taller")</f>
        <v>Taller</v>
      </c>
      <c r="AY165" s="30" t="str">
        <f ca="1">IFERROR(__xludf.DUMMYFUNCTION("""COMPUTED_VALUE"""),"Formación")</f>
        <v>Formación</v>
      </c>
      <c r="AZ165" s="30" t="str">
        <f ca="1">IFERROR(__xludf.DUMMYFUNCTION("""COMPUTED_VALUE"""),"Formación")</f>
        <v>Formación</v>
      </c>
      <c r="BA165" s="30"/>
      <c r="BB165" s="30"/>
      <c r="BC165" s="30">
        <f ca="1">IFERROR(__xludf.DUMMYFUNCTION("""COMPUTED_VALUE"""),0)</f>
        <v>0</v>
      </c>
      <c r="BD165" s="30"/>
      <c r="BE165" s="30"/>
      <c r="BF165" s="30" t="b">
        <f ca="1">IFERROR(__xludf.DUMMYFUNCTION("""COMPUTED_VALUE"""),FALSE)</f>
        <v>0</v>
      </c>
      <c r="BG165" s="30"/>
      <c r="BH165" s="30"/>
      <c r="BI165" s="30"/>
      <c r="BJ165" s="30"/>
      <c r="BK165" s="30"/>
      <c r="BL165" s="30" t="str">
        <f ca="1">IFERROR(__xludf.DUMMYFUNCTION("""COMPUTED_VALUE"""),"Vinculación")</f>
        <v>Vinculación</v>
      </c>
      <c r="BM165" s="30" t="str">
        <f ca="1">IFERROR(__xludf.DUMMYFUNCTION("""COMPUTED_VALUE"""),"Sí")</f>
        <v>Sí</v>
      </c>
      <c r="BN165" s="30" t="str">
        <f ca="1">IFERROR(__xludf.DUMMYFUNCTION("""COMPUTED_VALUE"""),"Acompañamiento Técnico")</f>
        <v>Acompañamiento Técnico</v>
      </c>
      <c r="BO165" s="30" t="str">
        <f ca="1">IFERROR(__xludf.DUMMYFUNCTION("""COMPUTED_VALUE"""),"24416ad8")</f>
        <v>24416ad8</v>
      </c>
      <c r="BP165" s="29" t="str">
        <f ca="1">IFERROR(__xludf.DUMMYFUNCTION("""COMPUTED_VALUE"""),"Silao de la Victoria")</f>
        <v>Silao de la Victoria</v>
      </c>
      <c r="BQ165" s="30" t="str">
        <f ca="1">IFERROR(__xludf.DUMMYFUNCTION("""COMPUTED_VALUE"""),"Urbano")</f>
        <v>Urbano</v>
      </c>
      <c r="BR165" s="30">
        <f ca="1">IFERROR(__xludf.DUMMYFUNCTION("""COMPUTED_VALUE"""),215)</f>
        <v>215</v>
      </c>
      <c r="BS165" s="30" t="str">
        <f ca="1">IFERROR(__xludf.DUMMYFUNCTION("""COMPUTED_VALUE"""),"Silao")</f>
        <v>Silao</v>
      </c>
      <c r="BT165" s="30"/>
      <c r="BU165" s="30" t="str">
        <f ca="1">IFERROR(__xludf.DUMMYFUNCTION("""COMPUTED_VALUE"""),"Si")</f>
        <v>Si</v>
      </c>
      <c r="BV165" s="30" t="str">
        <f ca="1">IFERROR(__xludf.DUMMYFUNCTION("""COMPUTED_VALUE"""),"Si")</f>
        <v>Si</v>
      </c>
      <c r="BW165" s="30">
        <f ca="1">IFERROR(__xludf.DUMMYFUNCTION("""COMPUTED_VALUE"""),82)</f>
        <v>82</v>
      </c>
      <c r="BX165" s="30"/>
      <c r="BY165" s="30">
        <f ca="1">IFERROR(__xludf.DUMMYFUNCTION("""COMPUTED_VALUE"""),82)</f>
        <v>82</v>
      </c>
      <c r="BZ165" s="30" t="str">
        <f ca="1">IFERROR(__xludf.DUMMYFUNCTION("""COMPUTED_VALUE"""),"Silao")</f>
        <v>Silao</v>
      </c>
      <c r="CA165" s="30" t="str">
        <f ca="1">IFERROR(__xludf.DUMMYFUNCTION("""COMPUTED_VALUE"""),"No")</f>
        <v>No</v>
      </c>
      <c r="CB165" s="30" t="str">
        <f ca="1">IFERROR(__xludf.DUMMYFUNCTION("""COMPUTED_VALUE"""),"No")</f>
        <v>No</v>
      </c>
      <c r="CC165" s="30" t="str">
        <f ca="1">IFERROR(__xludf.DUMMYFUNCTION("""COMPUTED_VALUE"""),"4c931c6e")</f>
        <v>4c931c6e</v>
      </c>
      <c r="CD165" s="29" t="str">
        <f ca="1">IFERROR(__xludf.DUMMYFUNCTION("""COMPUTED_VALUE"""),"Adultos Mayores (60 años o más)")</f>
        <v>Adultos Mayores (60 años o más)</v>
      </c>
      <c r="CE165" s="30" t="str">
        <f ca="1">IFERROR(__xludf.DUMMYFUNCTION("""COMPUTED_VALUE"""),"Dato global")</f>
        <v>Dato global</v>
      </c>
      <c r="CF165" s="30" t="str">
        <f ca="1">IFERROR(__xludf.DUMMYFUNCTION("""COMPUTED_VALUE"""),"Ninguno (Población General)")</f>
        <v>Ninguno (Población General)</v>
      </c>
      <c r="CG165" s="30">
        <f ca="1">IFERROR(__xludf.DUMMYFUNCTION("""COMPUTED_VALUE"""),2500)</f>
        <v>2500</v>
      </c>
      <c r="CI165" s="30" t="str">
        <f ca="1">IFERROR(__xludf.DUMMYFUNCTION("""COMPUTED_VALUE"""),"49a74a4c")</f>
        <v>49a74a4c</v>
      </c>
      <c r="CJ165" s="29" t="str">
        <f ca="1">IFERROR(__xludf.DUMMYFUNCTION("""COMPUTED_VALUE"""),"Regitro_Evidencia_Images/49a74a4c.Archivo_Evidencia.173248.jpg")</f>
        <v>Regitro_Evidencia_Images/49a74a4c.Archivo_Evidencia.173248.jpg</v>
      </c>
      <c r="CK165" s="30" t="str">
        <f ca="1">IFERROR(__xludf.DUMMYFUNCTION("""COMPUTED_VALUE"""),"Foto")</f>
        <v>Foto</v>
      </c>
      <c r="CL165" s="30"/>
      <c r="CM165" s="30" t="str">
        <f ca="1">IFERROR(__xludf.DUMMYFUNCTION("""COMPUTED_VALUE"""),"Silao de la Victoria")</f>
        <v>Silao de la Victoria</v>
      </c>
      <c r="CN165" s="32" t="e">
        <f ca="1"/>
        <v>#NAME?</v>
      </c>
      <c r="CO165" s="32" t="e">
        <f ca="1"/>
        <v>#NAME?</v>
      </c>
      <c r="CP165" s="32" t="e">
        <f ca="1"/>
        <v>#NAME?</v>
      </c>
      <c r="CQ165" s="32" t="e">
        <f ca="1"/>
        <v>#NAME?</v>
      </c>
      <c r="CR165" s="30" t="e">
        <f ca="1"/>
        <v>#NAME?</v>
      </c>
      <c r="CS165" s="30" t="str">
        <f ca="1">IFERROR(__xludf.DUMMYFUNCTION("""COMPUTED_VALUE"""),"Ninguno (Población General)")</f>
        <v>Ninguno (Población General)</v>
      </c>
    </row>
    <row r="166" spans="1:97" ht="13">
      <c r="A166" s="29" t="str">
        <f ca="1">IFERROR(__xludf.DUMMYFUNCTION("""COMPUTED_VALUE"""),"ACT-SCIP85126")</f>
        <v>ACT-SCIP85126</v>
      </c>
      <c r="B166" s="30" t="str">
        <f ca="1">IFERROR(__xludf.DUMMYFUNCTION("""COMPUTED_VALUE"""),"SC-260703-112158")</f>
        <v>SC-260703-112158</v>
      </c>
      <c r="C166" s="62">
        <f ca="1">IFERROR(__xludf.DUMMYFUNCTION("""COMPUTED_VALUE"""),46206.4735879629)</f>
        <v>46206.473587962901</v>
      </c>
      <c r="D166" s="30">
        <f ca="1">IFERROR(__xludf.DUMMYFUNCTION("""COMPUTED_VALUE"""),92)</f>
        <v>92</v>
      </c>
      <c r="E166" s="30" t="str">
        <f ca="1">IFERROR(__xludf.DUMMYFUNCTION("""COMPUTED_VALUE"""),"PB3572")</f>
        <v>PB3572</v>
      </c>
      <c r="F16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6" s="30" t="str">
        <f ca="1">IFERROR(__xludf.DUMMYFUNCTION("""COMPUTED_VALUE"""),"SUBSECRETARÍA DE DESARROLLO Y PROMOCIÓN ARTÍSTICA Y CULTURAL")</f>
        <v>SUBSECRETARÍA DE DESARROLLO Y PROMOCIÓN ARTÍSTICA Y CULTURAL</v>
      </c>
      <c r="I166" s="34" t="str">
        <f ca="1">IFERROR(__xludf.DUMMYFUNCTION("""COMPUTED_VALUE"""),"DIRECCIÓN GENERAL DE MUSEOS, ARTES VISUALES Y EXPOSICIONES")</f>
        <v>DIRECCIÓN GENERAL DE MUSEOS, ARTES VISUALES Y EXPOSICIONES</v>
      </c>
      <c r="J166" s="30" t="str">
        <f ca="1">IFERROR(__xludf.DUMMYFUNCTION("""COMPUTED_VALUE"""),"Número de Actividades realizadas")</f>
        <v>Número de Actividades realizadas</v>
      </c>
      <c r="K166" s="30">
        <f ca="1">IFERROR(__xludf.DUMMYFUNCTION("""COMPUTED_VALUE"""),800)</f>
        <v>800</v>
      </c>
      <c r="L166" s="30" t="str">
        <f ca="1">IFERROR(__xludf.DUMMYFUNCTION("""COMPUTED_VALUE"""),"Cultural")</f>
        <v>Cultural</v>
      </c>
      <c r="M166" s="30" t="str">
        <f ca="1">IFERROR(__xludf.DUMMYFUNCTION("""COMPUTED_VALUE"""),"Visita escolar")</f>
        <v>Visita escolar</v>
      </c>
      <c r="N166" s="30" t="str">
        <f ca="1">IFERROR(__xludf.DUMMYFUNCTION("""COMPUTED_VALUE"""),"Visita escolar")</f>
        <v>Visita escolar</v>
      </c>
      <c r="O166" s="30" t="str">
        <f ca="1">IFERROR(__xludf.DUMMYFUNCTION("""COMPUTED_VALUE"""),"Única")</f>
        <v>Única</v>
      </c>
      <c r="P166" s="33">
        <f ca="1">IFERROR(__xludf.DUMMYFUNCTION("""COMPUTED_VALUE"""),46170)</f>
        <v>46170</v>
      </c>
      <c r="Q166" s="33">
        <f ca="1">IFERROR(__xludf.DUMMYFUNCTION("""COMPUTED_VALUE"""),46170)</f>
        <v>46170</v>
      </c>
      <c r="R166" s="30">
        <f ca="1">IFERROR(__xludf.DUMMYFUNCTION("""COMPUTED_VALUE"""),1)</f>
        <v>1</v>
      </c>
      <c r="S166" s="30" t="str">
        <f ca="1">IFERROR(__xludf.DUMMYFUNCTION("""COMPUTED_VALUE"""),"Cultura comunitaria")</f>
        <v>Cultura comunitaria</v>
      </c>
      <c r="T166" s="30" t="str">
        <f ca="1">IFERROR(__xludf.DUMMYFUNCTION("""COMPUTED_VALUE"""),"Formación comunitaria")</f>
        <v>Formación comunitaria</v>
      </c>
      <c r="U166" s="30" t="str">
        <f ca="1">IFERROR(__xludf.DUMMYFUNCTION("""COMPUTED_VALUE"""),"Visitas escolares")</f>
        <v>Visitas escolares</v>
      </c>
      <c r="V166" s="30" t="str">
        <f ca="1">IFERROR(__xludf.DUMMYFUNCTION("""COMPUTED_VALUE"""),"Ninguna")</f>
        <v>Ninguna</v>
      </c>
      <c r="W166" s="30" t="str">
        <f ca="1">IFERROR(__xludf.DUMMYFUNCTION("""COMPUTED_VALUE"""),"Presencial")</f>
        <v>Presencial</v>
      </c>
      <c r="X166" s="30" t="str">
        <f ca="1">IFERROR(__xludf.DUMMYFUNCTION("""COMPUTED_VALUE"""),"Espacio a Cargo de la Secretaría")</f>
        <v>Espacio a Cargo de la Secretaría</v>
      </c>
      <c r="Y166" s="30" t="str">
        <f ca="1">IFERROR(__xludf.DUMMYFUNCTION("""COMPUTED_VALUE"""),"26")</f>
        <v>26</v>
      </c>
      <c r="Z166" s="30"/>
      <c r="AA166" s="30"/>
      <c r="AB166" s="30" t="b">
        <f ca="1">IFERROR(__xludf.DUMMYFUNCTION("""COMPUTED_VALUE"""),FALSE)</f>
        <v>0</v>
      </c>
      <c r="AC166" s="30"/>
      <c r="AD166" s="30" t="b">
        <f ca="1">IFERROR(__xludf.DUMMYFUNCTION("""COMPUTED_VALUE"""),FALSE)</f>
        <v>0</v>
      </c>
      <c r="AE166" s="30"/>
      <c r="AF166" s="30" t="b">
        <f ca="1">IFERROR(__xludf.DUMMYFUNCTION("""COMPUTED_VALUE"""),FALSE)</f>
        <v>0</v>
      </c>
      <c r="AG166" s="30"/>
      <c r="AH166" s="30" t="str">
        <f ca="1">IFERROR(__xludf.DUMMYFUNCTION("""COMPUTED_VALUE"""),"Sin costo")</f>
        <v>Sin costo</v>
      </c>
      <c r="AI166" s="30"/>
      <c r="AJ166" s="30"/>
      <c r="AK166" s="30"/>
      <c r="AL166" s="30" t="str">
        <f ca="1">IFERROR(__xludf.DUMMYFUNCTION("""COMPUTED_VALUE"""),"ccardonav@guanajuato.gob.mx")</f>
        <v>ccardonav@guanajuato.gob.mx</v>
      </c>
      <c r="AM166" s="30" t="str">
        <f ca="1">IFERROR(__xludf.DUMMYFUNCTION("""COMPUTED_VALUE"""),"Arraigo y empoderamiento cultural de comunidades.")</f>
        <v>Arraigo y empoderamiento cultural de comunidades.</v>
      </c>
      <c r="AN166" s="30" t="str">
        <f ca="1">IFERROR(__xludf.DUMMYFUNCTION("""COMPUTED_VALUE"""),"1 Tranquilidad")</f>
        <v>1 Tranquilidad</v>
      </c>
      <c r="AO166" s="30" t="str">
        <f ca="1">IFERROR(__xludf.DUMMYFUNCTION("""COMPUTED_VALUE"""),"1.2 Fortalecer prevención del delito")</f>
        <v>1.2 Fortalecer prevención del delito</v>
      </c>
      <c r="AP166" s="30" t="str">
        <f ca="1">IFERROR(__xludf.DUMMYFUNCTION("""COMPUTED_VALUE"""),"1.2.2 Fortalecimiento del tejido social")</f>
        <v>1.2.2 Fortalecimiento del tejido social</v>
      </c>
      <c r="AQ166" s="30" t="str">
        <f ca="1">IFERROR(__xludf.DUMMYFUNCTION("""COMPUTED_VALUE"""),"1.2.3.4 Promover una cultura de paz desde las expresiones artísticas y culturales")</f>
        <v>1.2.3.4 Promover una cultura de paz desde las expresiones artísticas y culturales</v>
      </c>
      <c r="AR166" s="30" t="str">
        <f ca="1">IFERROR(__xludf.DUMMYFUNCTION("""COMPUTED_VALUE"""),"Cooperación")</f>
        <v>Cooperación</v>
      </c>
      <c r="AS166" s="30" t="str">
        <f ca="1">IFERROR(__xludf.DUMMYFUNCTION("""COMPUTED_VALUE"""),"Jóvenes en riesgo")</f>
        <v>Jóvenes en riesgo</v>
      </c>
      <c r="AT166" s="30" t="str">
        <f ca="1">IFERROR(__xludf.DUMMYFUNCTION("""COMPUTED_VALUE"""),"Sostenibilidad del trabajo cultural y la economía creativa.")</f>
        <v>Sostenibilidad del trabajo cultural y la economía creativa.</v>
      </c>
      <c r="AU166"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6" s="30" t="str">
        <f ca="1">IFERROR(__xludf.DUMMYFUNCTION("""COMPUTED_VALUE"""),"Diseñar programas de formación y gestión cultural de base comunitaria.")</f>
        <v>Diseñar programas de formación y gestión cultural de base comunitaria.</v>
      </c>
      <c r="AW166"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6" s="30" t="str">
        <f ca="1">IFERROR(__xludf.DUMMYFUNCTION("""COMPUTED_VALUE"""),"Visitas escolares")</f>
        <v>Visitas escolares</v>
      </c>
      <c r="AY166" s="30" t="str">
        <f ca="1">IFERROR(__xludf.DUMMYFUNCTION("""COMPUTED_VALUE"""),"Formación")</f>
        <v>Formación</v>
      </c>
      <c r="AZ166" s="30" t="str">
        <f ca="1">IFERROR(__xludf.DUMMYFUNCTION("""COMPUTED_VALUE"""),"Formación")</f>
        <v>Formación</v>
      </c>
      <c r="BA166" s="30"/>
      <c r="BB166" s="30"/>
      <c r="BC166" s="30">
        <f ca="1">IFERROR(__xludf.DUMMYFUNCTION("""COMPUTED_VALUE"""),0)</f>
        <v>0</v>
      </c>
      <c r="BD166" s="30"/>
      <c r="BE166" s="30"/>
      <c r="BF166" s="30" t="b">
        <f ca="1">IFERROR(__xludf.DUMMYFUNCTION("""COMPUTED_VALUE"""),FALSE)</f>
        <v>0</v>
      </c>
      <c r="BG166" s="30"/>
      <c r="BH166" s="30"/>
      <c r="BI166" s="30"/>
      <c r="BJ166" s="30"/>
      <c r="BK166" s="30"/>
      <c r="BL166" s="30"/>
      <c r="BM166" s="30" t="str">
        <f ca="1">IFERROR(__xludf.DUMMYFUNCTION("""COMPUTED_VALUE"""),"No")</f>
        <v>No</v>
      </c>
      <c r="BN166" s="30"/>
      <c r="BO166" s="30" t="str">
        <f ca="1">IFERROR(__xludf.DUMMYFUNCTION("""COMPUTED_VALUE"""),"72ad69b3")</f>
        <v>72ad69b3</v>
      </c>
      <c r="BP166" s="29" t="str">
        <f ca="1">IFERROR(__xludf.DUMMYFUNCTION("""COMPUTED_VALUE"""),"Silao de la Victoria")</f>
        <v>Silao de la Victoria</v>
      </c>
      <c r="BQ166" s="30" t="str">
        <f ca="1">IFERROR(__xludf.DUMMYFUNCTION("""COMPUTED_VALUE"""),"Urbano")</f>
        <v>Urbano</v>
      </c>
      <c r="BR166" s="30">
        <f ca="1">IFERROR(__xludf.DUMMYFUNCTION("""COMPUTED_VALUE"""),215)</f>
        <v>215</v>
      </c>
      <c r="BS166" s="30" t="str">
        <f ca="1">IFERROR(__xludf.DUMMYFUNCTION("""COMPUTED_VALUE"""),"Silao")</f>
        <v>Silao</v>
      </c>
      <c r="BT166" s="30"/>
      <c r="BU166" s="30" t="str">
        <f ca="1">IFERROR(__xludf.DUMMYFUNCTION("""COMPUTED_VALUE"""),"Si")</f>
        <v>Si</v>
      </c>
      <c r="BV166" s="30" t="str">
        <f ca="1">IFERROR(__xludf.DUMMYFUNCTION("""COMPUTED_VALUE"""),"Si")</f>
        <v>Si</v>
      </c>
      <c r="BW166" s="30">
        <f ca="1">IFERROR(__xludf.DUMMYFUNCTION("""COMPUTED_VALUE"""),101)</f>
        <v>101</v>
      </c>
      <c r="BX166" s="30"/>
      <c r="BY166" s="30">
        <f ca="1">IFERROR(__xludf.DUMMYFUNCTION("""COMPUTED_VALUE"""),101)</f>
        <v>101</v>
      </c>
      <c r="BZ166" s="30" t="str">
        <f ca="1">IFERROR(__xludf.DUMMYFUNCTION("""COMPUTED_VALUE"""),"Silao")</f>
        <v>Silao</v>
      </c>
      <c r="CA166" s="30" t="str">
        <f ca="1">IFERROR(__xludf.DUMMYFUNCTION("""COMPUTED_VALUE"""),"No")</f>
        <v>No</v>
      </c>
      <c r="CB166" s="30" t="str">
        <f ca="1">IFERROR(__xludf.DUMMYFUNCTION("""COMPUTED_VALUE"""),"No")</f>
        <v>No</v>
      </c>
      <c r="CC166" s="30" t="str">
        <f ca="1">IFERROR(__xludf.DUMMYFUNCTION("""COMPUTED_VALUE"""),"86559351")</f>
        <v>86559351</v>
      </c>
      <c r="CD166" s="29" t="str">
        <f ca="1">IFERROR(__xludf.DUMMYFUNCTION("""COMPUTED_VALUE"""),"Adultos Mayores (60 años o más)")</f>
        <v>Adultos Mayores (60 años o más)</v>
      </c>
      <c r="CE166" s="30" t="str">
        <f ca="1">IFERROR(__xludf.DUMMYFUNCTION("""COMPUTED_VALUE"""),"Dato global")</f>
        <v>Dato global</v>
      </c>
      <c r="CF166" s="30" t="str">
        <f ca="1">IFERROR(__xludf.DUMMYFUNCTION("""COMPUTED_VALUE"""),"Ninguno (Población General)")</f>
        <v>Ninguno (Población General)</v>
      </c>
      <c r="CG166" s="30">
        <f ca="1">IFERROR(__xludf.DUMMYFUNCTION("""COMPUTED_VALUE"""),21000)</f>
        <v>21000</v>
      </c>
      <c r="CI166" s="30" t="str">
        <f ca="1">IFERROR(__xludf.DUMMYFUNCTION("""COMPUTED_VALUE"""),"d1b799ae")</f>
        <v>d1b799ae</v>
      </c>
      <c r="CJ166" s="29" t="str">
        <f ca="1">IFERROR(__xludf.DUMMYFUNCTION("""COMPUTED_VALUE"""),"Regitro_Evidencia_Images/d1b799ae.Archivo_Evidencia.173856.jpg")</f>
        <v>Regitro_Evidencia_Images/d1b799ae.Archivo_Evidencia.173856.jpg</v>
      </c>
      <c r="CK166" s="30" t="str">
        <f ca="1">IFERROR(__xludf.DUMMYFUNCTION("""COMPUTED_VALUE"""),"Foto")</f>
        <v>Foto</v>
      </c>
      <c r="CL166" s="30"/>
      <c r="CM166" s="30" t="str">
        <f ca="1">IFERROR(__xludf.DUMMYFUNCTION("""COMPUTED_VALUE"""),"Silao de la Victoria")</f>
        <v>Silao de la Victoria</v>
      </c>
      <c r="CN166" s="32" t="e">
        <f ca="1"/>
        <v>#NAME?</v>
      </c>
      <c r="CO166" s="32" t="e">
        <f ca="1"/>
        <v>#NAME?</v>
      </c>
      <c r="CP166" s="32" t="e">
        <f ca="1"/>
        <v>#NAME?</v>
      </c>
      <c r="CQ166" s="32" t="e">
        <f ca="1"/>
        <v>#NAME?</v>
      </c>
      <c r="CR166" s="30" t="e">
        <f ca="1"/>
        <v>#NAME?</v>
      </c>
      <c r="CS166" s="30" t="str">
        <f ca="1">IFERROR(__xludf.DUMMYFUNCTION("""COMPUTED_VALUE"""),"Ninguno (Población General), Ninguno (Población General)")</f>
        <v>Ninguno (Población General), Ninguno (Población General)</v>
      </c>
    </row>
    <row r="167" spans="1:97" ht="13">
      <c r="A167" s="29" t="str">
        <f ca="1">IFERROR(__xludf.DUMMYFUNCTION("""COMPUTED_VALUE"""),"ACT-SCBC19659")</f>
        <v>ACT-SCBC19659</v>
      </c>
      <c r="B167" s="30" t="str">
        <f ca="1">IFERROR(__xludf.DUMMYFUNCTION("""COMPUTED_VALUE"""),"SC-260703-113518")</f>
        <v>SC-260703-113518</v>
      </c>
      <c r="C167" s="62">
        <f ca="1">IFERROR(__xludf.DUMMYFUNCTION("""COMPUTED_VALUE"""),46206.4828472222)</f>
        <v>46206.4828472222</v>
      </c>
      <c r="D167" s="30">
        <f ca="1">IFERROR(__xludf.DUMMYFUNCTION("""COMPUTED_VALUE"""),92)</f>
        <v>92</v>
      </c>
      <c r="E167" s="30" t="str">
        <f ca="1">IFERROR(__xludf.DUMMYFUNCTION("""COMPUTED_VALUE"""),"PB3572")</f>
        <v>PB3572</v>
      </c>
      <c r="F16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7" s="30" t="str">
        <f ca="1">IFERROR(__xludf.DUMMYFUNCTION("""COMPUTED_VALUE"""),"SUBSECRETARÍA DE DESARROLLO Y PROMOCIÓN ARTÍSTICA Y CULTURAL")</f>
        <v>SUBSECRETARÍA DE DESARROLLO Y PROMOCIÓN ARTÍSTICA Y CULTURAL</v>
      </c>
      <c r="I167" s="34" t="str">
        <f ca="1">IFERROR(__xludf.DUMMYFUNCTION("""COMPUTED_VALUE"""),"DIRECCIÓN GENERAL DE MUSEOS, ARTES VISUALES Y EXPOSICIONES")</f>
        <v>DIRECCIÓN GENERAL DE MUSEOS, ARTES VISUALES Y EXPOSICIONES</v>
      </c>
      <c r="J167" s="30" t="str">
        <f ca="1">IFERROR(__xludf.DUMMYFUNCTION("""COMPUTED_VALUE"""),"Número de Actividades realizadas")</f>
        <v>Número de Actividades realizadas</v>
      </c>
      <c r="K167" s="30">
        <f ca="1">IFERROR(__xludf.DUMMYFUNCTION("""COMPUTED_VALUE"""),800)</f>
        <v>800</v>
      </c>
      <c r="L167" s="30" t="str">
        <f ca="1">IFERROR(__xludf.DUMMYFUNCTION("""COMPUTED_VALUE"""),"Cultural")</f>
        <v>Cultural</v>
      </c>
      <c r="M167" s="30" t="str">
        <f ca="1">IFERROR(__xludf.DUMMYFUNCTION("""COMPUTED_VALUE"""),"Visita escolar")</f>
        <v>Visita escolar</v>
      </c>
      <c r="N167" s="30" t="str">
        <f ca="1">IFERROR(__xludf.DUMMYFUNCTION("""COMPUTED_VALUE"""),"Visita escolar")</f>
        <v>Visita escolar</v>
      </c>
      <c r="O167" s="30" t="str">
        <f ca="1">IFERROR(__xludf.DUMMYFUNCTION("""COMPUTED_VALUE"""),"Única")</f>
        <v>Única</v>
      </c>
      <c r="P167" s="33">
        <f ca="1">IFERROR(__xludf.DUMMYFUNCTION("""COMPUTED_VALUE"""),46146)</f>
        <v>46146</v>
      </c>
      <c r="Q167" s="33">
        <f ca="1">IFERROR(__xludf.DUMMYFUNCTION("""COMPUTED_VALUE"""),46146)</f>
        <v>46146</v>
      </c>
      <c r="R167" s="30">
        <f ca="1">IFERROR(__xludf.DUMMYFUNCTION("""COMPUTED_VALUE"""),1)</f>
        <v>1</v>
      </c>
      <c r="S167" s="30" t="str">
        <f ca="1">IFERROR(__xludf.DUMMYFUNCTION("""COMPUTED_VALUE"""),"Cultura comunitaria")</f>
        <v>Cultura comunitaria</v>
      </c>
      <c r="T167" s="30" t="str">
        <f ca="1">IFERROR(__xludf.DUMMYFUNCTION("""COMPUTED_VALUE"""),"Formación comunitaria")</f>
        <v>Formación comunitaria</v>
      </c>
      <c r="U167" s="30" t="str">
        <f ca="1">IFERROR(__xludf.DUMMYFUNCTION("""COMPUTED_VALUE"""),"Visitas escolares")</f>
        <v>Visitas escolares</v>
      </c>
      <c r="V167" s="30" t="str">
        <f ca="1">IFERROR(__xludf.DUMMYFUNCTION("""COMPUTED_VALUE"""),"Ninguna")</f>
        <v>Ninguna</v>
      </c>
      <c r="W167" s="30" t="str">
        <f ca="1">IFERROR(__xludf.DUMMYFUNCTION("""COMPUTED_VALUE"""),"Presencial")</f>
        <v>Presencial</v>
      </c>
      <c r="X167" s="30" t="str">
        <f ca="1">IFERROR(__xludf.DUMMYFUNCTION("""COMPUTED_VALUE"""),"Espacio a Cargo de la Secretaría")</f>
        <v>Espacio a Cargo de la Secretaría</v>
      </c>
      <c r="Y167" s="30" t="str">
        <f ca="1">IFERROR(__xludf.DUMMYFUNCTION("""COMPUTED_VALUE"""),"26")</f>
        <v>26</v>
      </c>
      <c r="Z167" s="30"/>
      <c r="AA167" s="30"/>
      <c r="AB167" s="30" t="b">
        <f ca="1">IFERROR(__xludf.DUMMYFUNCTION("""COMPUTED_VALUE"""),FALSE)</f>
        <v>0</v>
      </c>
      <c r="AC167" s="30"/>
      <c r="AD167" s="30" t="b">
        <f ca="1">IFERROR(__xludf.DUMMYFUNCTION("""COMPUTED_VALUE"""),FALSE)</f>
        <v>0</v>
      </c>
      <c r="AE167" s="30"/>
      <c r="AF167" s="30" t="b">
        <f ca="1">IFERROR(__xludf.DUMMYFUNCTION("""COMPUTED_VALUE"""),FALSE)</f>
        <v>0</v>
      </c>
      <c r="AG167" s="30"/>
      <c r="AH167" s="30" t="str">
        <f ca="1">IFERROR(__xludf.DUMMYFUNCTION("""COMPUTED_VALUE"""),"Sin costo")</f>
        <v>Sin costo</v>
      </c>
      <c r="AI167" s="30"/>
      <c r="AJ167" s="30"/>
      <c r="AK167" s="30"/>
      <c r="AL167" s="30" t="str">
        <f ca="1">IFERROR(__xludf.DUMMYFUNCTION("""COMPUTED_VALUE"""),"ccardonav@guanajuato.gob.mx")</f>
        <v>ccardonav@guanajuato.gob.mx</v>
      </c>
      <c r="AM167" s="30" t="str">
        <f ca="1">IFERROR(__xludf.DUMMYFUNCTION("""COMPUTED_VALUE"""),"Arraigo y empoderamiento cultural de comunidades.")</f>
        <v>Arraigo y empoderamiento cultural de comunidades.</v>
      </c>
      <c r="AN167" s="30" t="str">
        <f ca="1">IFERROR(__xludf.DUMMYFUNCTION("""COMPUTED_VALUE"""),"1 Tranquilidad")</f>
        <v>1 Tranquilidad</v>
      </c>
      <c r="AO167" s="30" t="str">
        <f ca="1">IFERROR(__xludf.DUMMYFUNCTION("""COMPUTED_VALUE"""),"1.2 Fortalecer prevención del delito")</f>
        <v>1.2 Fortalecer prevención del delito</v>
      </c>
      <c r="AP167" s="30" t="str">
        <f ca="1">IFERROR(__xludf.DUMMYFUNCTION("""COMPUTED_VALUE"""),"1.2.2 Fortalecimiento del tejido social")</f>
        <v>1.2.2 Fortalecimiento del tejido social</v>
      </c>
      <c r="AQ167" s="30" t="str">
        <f ca="1">IFERROR(__xludf.DUMMYFUNCTION("""COMPUTED_VALUE"""),"1.2.3.4 Promover una cultura de paz desde las expresiones artísticas y culturales")</f>
        <v>1.2.3.4 Promover una cultura de paz desde las expresiones artísticas y culturales</v>
      </c>
      <c r="AR167" s="30" t="str">
        <f ca="1">IFERROR(__xludf.DUMMYFUNCTION("""COMPUTED_VALUE"""),"Cooperación")</f>
        <v>Cooperación</v>
      </c>
      <c r="AS167" s="30"/>
      <c r="AT167" s="30" t="str">
        <f ca="1">IFERROR(__xludf.DUMMYFUNCTION("""COMPUTED_VALUE"""),"Sostenibilidad del trabajo cultural y la economía creativa.")</f>
        <v>Sostenibilidad del trabajo cultural y la economía creativa.</v>
      </c>
      <c r="AU167"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7" s="30" t="str">
        <f ca="1">IFERROR(__xludf.DUMMYFUNCTION("""COMPUTED_VALUE"""),"Diseñar programas de formación y gestión cultural de base comunitaria.")</f>
        <v>Diseñar programas de formación y gestión cultural de base comunitaria.</v>
      </c>
      <c r="AW167"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7" s="30" t="str">
        <f ca="1">IFERROR(__xludf.DUMMYFUNCTION("""COMPUTED_VALUE"""),"Visitas escolares")</f>
        <v>Visitas escolares</v>
      </c>
      <c r="AY167" s="30" t="str">
        <f ca="1">IFERROR(__xludf.DUMMYFUNCTION("""COMPUTED_VALUE"""),"Formación")</f>
        <v>Formación</v>
      </c>
      <c r="AZ167" s="30" t="str">
        <f ca="1">IFERROR(__xludf.DUMMYFUNCTION("""COMPUTED_VALUE"""),"Formación")</f>
        <v>Formación</v>
      </c>
      <c r="BA167" s="30"/>
      <c r="BB167" s="30"/>
      <c r="BC167" s="30">
        <f ca="1">IFERROR(__xludf.DUMMYFUNCTION("""COMPUTED_VALUE"""),0)</f>
        <v>0</v>
      </c>
      <c r="BD167" s="30"/>
      <c r="BE167" s="30"/>
      <c r="BF167" s="30" t="b">
        <f ca="1">IFERROR(__xludf.DUMMYFUNCTION("""COMPUTED_VALUE"""),FALSE)</f>
        <v>0</v>
      </c>
      <c r="BG167" s="30"/>
      <c r="BH167" s="30"/>
      <c r="BI167" s="30"/>
      <c r="BJ167" s="30"/>
      <c r="BK167" s="30"/>
      <c r="BL167" s="30"/>
      <c r="BM167" s="30" t="str">
        <f ca="1">IFERROR(__xludf.DUMMYFUNCTION("""COMPUTED_VALUE"""),"No")</f>
        <v>No</v>
      </c>
      <c r="BN167" s="30"/>
      <c r="BO167" s="30" t="str">
        <f ca="1">IFERROR(__xludf.DUMMYFUNCTION("""COMPUTED_VALUE"""),"5a7e5eb9")</f>
        <v>5a7e5eb9</v>
      </c>
      <c r="BP167" s="29" t="str">
        <f ca="1">IFERROR(__xludf.DUMMYFUNCTION("""COMPUTED_VALUE"""),"Silao de la Victoria")</f>
        <v>Silao de la Victoria</v>
      </c>
      <c r="BQ167" s="30" t="str">
        <f ca="1">IFERROR(__xludf.DUMMYFUNCTION("""COMPUTED_VALUE"""),"Urbano")</f>
        <v>Urbano</v>
      </c>
      <c r="BR167" s="30">
        <f ca="1">IFERROR(__xludf.DUMMYFUNCTION("""COMPUTED_VALUE"""),215)</f>
        <v>215</v>
      </c>
      <c r="BS167" s="30" t="str">
        <f ca="1">IFERROR(__xludf.DUMMYFUNCTION("""COMPUTED_VALUE"""),"Silao")</f>
        <v>Silao</v>
      </c>
      <c r="BT167" s="30"/>
      <c r="BU167" s="30" t="str">
        <f ca="1">IFERROR(__xludf.DUMMYFUNCTION("""COMPUTED_VALUE"""),"Si")</f>
        <v>Si</v>
      </c>
      <c r="BV167" s="30" t="str">
        <f ca="1">IFERROR(__xludf.DUMMYFUNCTION("""COMPUTED_VALUE"""),"Si")</f>
        <v>Si</v>
      </c>
      <c r="BW167" s="30">
        <f ca="1">IFERROR(__xludf.DUMMYFUNCTION("""COMPUTED_VALUE"""),4)</f>
        <v>4</v>
      </c>
      <c r="BX167" s="30">
        <f ca="1">IFERROR(__xludf.DUMMYFUNCTION("""COMPUTED_VALUE"""),4)</f>
        <v>4</v>
      </c>
      <c r="BY167" s="30">
        <f ca="1">IFERROR(__xludf.DUMMYFUNCTION("""COMPUTED_VALUE"""),0)</f>
        <v>0</v>
      </c>
      <c r="BZ167" s="30" t="str">
        <f ca="1">IFERROR(__xludf.DUMMYFUNCTION("""COMPUTED_VALUE"""),"Silao")</f>
        <v>Silao</v>
      </c>
      <c r="CA167" s="30" t="str">
        <f ca="1">IFERROR(__xludf.DUMMYFUNCTION("""COMPUTED_VALUE"""),"No")</f>
        <v>No</v>
      </c>
      <c r="CB167" s="30" t="str">
        <f ca="1">IFERROR(__xludf.DUMMYFUNCTION("""COMPUTED_VALUE"""),"No")</f>
        <v>No</v>
      </c>
      <c r="CC167" s="30" t="str">
        <f ca="1">IFERROR(__xludf.DUMMYFUNCTION("""COMPUTED_VALUE"""),"bb4ea23d")</f>
        <v>bb4ea23d</v>
      </c>
      <c r="CD167" s="29" t="str">
        <f ca="1">IFERROR(__xludf.DUMMYFUNCTION("""COMPUTED_VALUE"""),"Adultos (30 a 59 años)")</f>
        <v>Adultos (30 a 59 años)</v>
      </c>
      <c r="CE167" s="30" t="str">
        <f ca="1">IFERROR(__xludf.DUMMYFUNCTION("""COMPUTED_VALUE"""),"Dato global")</f>
        <v>Dato global</v>
      </c>
      <c r="CF167" s="30" t="str">
        <f ca="1">IFERROR(__xludf.DUMMYFUNCTION("""COMPUTED_VALUE"""),"NNA (Niñas, Niños y Adolescentes)")</f>
        <v>NNA (Niñas, Niños y Adolescentes)</v>
      </c>
      <c r="CG167" s="30">
        <f ca="1">IFERROR(__xludf.DUMMYFUNCTION("""COMPUTED_VALUE"""),19000)</f>
        <v>19000</v>
      </c>
      <c r="CI167" s="30" t="str">
        <f ca="1">IFERROR(__xludf.DUMMYFUNCTION("""COMPUTED_VALUE"""),"04ac6d35")</f>
        <v>04ac6d35</v>
      </c>
      <c r="CJ167" s="29" t="str">
        <f ca="1">IFERROR(__xludf.DUMMYFUNCTION("""COMPUTED_VALUE"""),"Regitro_Evidencia_Images/04ac6d35.Archivo_Evidencia.162646.jpg")</f>
        <v>Regitro_Evidencia_Images/04ac6d35.Archivo_Evidencia.162646.jpg</v>
      </c>
      <c r="CK167" s="30" t="str">
        <f ca="1">IFERROR(__xludf.DUMMYFUNCTION("""COMPUTED_VALUE"""),"Foto")</f>
        <v>Foto</v>
      </c>
      <c r="CL167" s="30"/>
      <c r="CM167" s="30" t="str">
        <f ca="1">IFERROR(__xludf.DUMMYFUNCTION("""COMPUTED_VALUE"""),"Silao de la Victoria")</f>
        <v>Silao de la Victoria</v>
      </c>
      <c r="CN167" s="32" t="e">
        <f ca="1"/>
        <v>#NAME?</v>
      </c>
      <c r="CO167" s="32" t="e">
        <f ca="1"/>
        <v>#NAME?</v>
      </c>
      <c r="CP167" s="32" t="e">
        <f ca="1"/>
        <v>#NAME?</v>
      </c>
      <c r="CQ167" s="32" t="e">
        <f ca="1"/>
        <v>#NAME?</v>
      </c>
      <c r="CR167" s="30" t="e">
        <f ca="1"/>
        <v>#NAME?</v>
      </c>
      <c r="CS167" s="30" t="str">
        <f ca="1">IFERROR(__xludf.DUMMYFUNCTION("""COMPUTED_VALUE"""),"Ninguno (Población General), Ninguno (Población General), Ninguno (Población General)")</f>
        <v>Ninguno (Población General), Ninguno (Población General), Ninguno (Población General)</v>
      </c>
    </row>
    <row r="168" spans="1:97" ht="13">
      <c r="A168" s="29" t="str">
        <f ca="1">IFERROR(__xludf.DUMMYFUNCTION("""COMPUTED_VALUE"""),"ACT-SCBT73191")</f>
        <v>ACT-SCBT73191</v>
      </c>
      <c r="B168" s="30" t="str">
        <f ca="1">IFERROR(__xludf.DUMMYFUNCTION("""COMPUTED_VALUE"""),"SC-260703-113916")</f>
        <v>SC-260703-113916</v>
      </c>
      <c r="C168" s="62">
        <f ca="1">IFERROR(__xludf.DUMMYFUNCTION("""COMPUTED_VALUE"""),46206.4856018518)</f>
        <v>46206.485601851797</v>
      </c>
      <c r="D168" s="30">
        <f ca="1">IFERROR(__xludf.DUMMYFUNCTION("""COMPUTED_VALUE"""),92)</f>
        <v>92</v>
      </c>
      <c r="E168" s="30" t="str">
        <f ca="1">IFERROR(__xludf.DUMMYFUNCTION("""COMPUTED_VALUE"""),"PB3572")</f>
        <v>PB3572</v>
      </c>
      <c r="F16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8" s="30" t="str">
        <f ca="1">IFERROR(__xludf.DUMMYFUNCTION("""COMPUTED_VALUE"""),"SUBSECRETARÍA DE DESARROLLO Y PROMOCIÓN ARTÍSTICA Y CULTURAL")</f>
        <v>SUBSECRETARÍA DE DESARROLLO Y PROMOCIÓN ARTÍSTICA Y CULTURAL</v>
      </c>
      <c r="I168" s="34" t="str">
        <f ca="1">IFERROR(__xludf.DUMMYFUNCTION("""COMPUTED_VALUE"""),"DIRECCIÓN GENERAL DE MUSEOS, ARTES VISUALES Y EXPOSICIONES")</f>
        <v>DIRECCIÓN GENERAL DE MUSEOS, ARTES VISUALES Y EXPOSICIONES</v>
      </c>
      <c r="J168" s="30" t="str">
        <f ca="1">IFERROR(__xludf.DUMMYFUNCTION("""COMPUTED_VALUE"""),"Número de Actividades realizadas")</f>
        <v>Número de Actividades realizadas</v>
      </c>
      <c r="K168" s="30">
        <f ca="1">IFERROR(__xludf.DUMMYFUNCTION("""COMPUTED_VALUE"""),800)</f>
        <v>800</v>
      </c>
      <c r="L168" s="30" t="str">
        <f ca="1">IFERROR(__xludf.DUMMYFUNCTION("""COMPUTED_VALUE"""),"Cultural")</f>
        <v>Cultural</v>
      </c>
      <c r="M168" s="30" t="str">
        <f ca="1">IFERROR(__xludf.DUMMYFUNCTION("""COMPUTED_VALUE"""),"Visita escolar")</f>
        <v>Visita escolar</v>
      </c>
      <c r="N168" s="30" t="str">
        <f ca="1">IFERROR(__xludf.DUMMYFUNCTION("""COMPUTED_VALUE"""),"Visita escolar")</f>
        <v>Visita escolar</v>
      </c>
      <c r="O168" s="30" t="str">
        <f ca="1">IFERROR(__xludf.DUMMYFUNCTION("""COMPUTED_VALUE"""),"Única")</f>
        <v>Única</v>
      </c>
      <c r="P168" s="33">
        <f ca="1">IFERROR(__xludf.DUMMYFUNCTION("""COMPUTED_VALUE"""),46146)</f>
        <v>46146</v>
      </c>
      <c r="Q168" s="33">
        <f ca="1">IFERROR(__xludf.DUMMYFUNCTION("""COMPUTED_VALUE"""),46146)</f>
        <v>46146</v>
      </c>
      <c r="R168" s="30">
        <f ca="1">IFERROR(__xludf.DUMMYFUNCTION("""COMPUTED_VALUE"""),1)</f>
        <v>1</v>
      </c>
      <c r="S168" s="30" t="str">
        <f ca="1">IFERROR(__xludf.DUMMYFUNCTION("""COMPUTED_VALUE"""),"Cultura comunitaria")</f>
        <v>Cultura comunitaria</v>
      </c>
      <c r="T168" s="30" t="str">
        <f ca="1">IFERROR(__xludf.DUMMYFUNCTION("""COMPUTED_VALUE"""),"Formación comunitaria")</f>
        <v>Formación comunitaria</v>
      </c>
      <c r="U168" s="30" t="str">
        <f ca="1">IFERROR(__xludf.DUMMYFUNCTION("""COMPUTED_VALUE"""),"Visitas escolares")</f>
        <v>Visitas escolares</v>
      </c>
      <c r="V168" s="30" t="str">
        <f ca="1">IFERROR(__xludf.DUMMYFUNCTION("""COMPUTED_VALUE"""),"Ninguna")</f>
        <v>Ninguna</v>
      </c>
      <c r="W168" s="30" t="str">
        <f ca="1">IFERROR(__xludf.DUMMYFUNCTION("""COMPUTED_VALUE"""),"Presencial")</f>
        <v>Presencial</v>
      </c>
      <c r="X168" s="30" t="str">
        <f ca="1">IFERROR(__xludf.DUMMYFUNCTION("""COMPUTED_VALUE"""),"Espacio a Cargo de la Secretaría")</f>
        <v>Espacio a Cargo de la Secretaría</v>
      </c>
      <c r="Y168" s="30" t="str">
        <f ca="1">IFERROR(__xludf.DUMMYFUNCTION("""COMPUTED_VALUE"""),"26")</f>
        <v>26</v>
      </c>
      <c r="Z168" s="30"/>
      <c r="AA168" s="30"/>
      <c r="AB168" s="30" t="b">
        <f ca="1">IFERROR(__xludf.DUMMYFUNCTION("""COMPUTED_VALUE"""),FALSE)</f>
        <v>0</v>
      </c>
      <c r="AC168" s="30"/>
      <c r="AD168" s="30" t="b">
        <f ca="1">IFERROR(__xludf.DUMMYFUNCTION("""COMPUTED_VALUE"""),FALSE)</f>
        <v>0</v>
      </c>
      <c r="AE168" s="30"/>
      <c r="AF168" s="30" t="b">
        <f ca="1">IFERROR(__xludf.DUMMYFUNCTION("""COMPUTED_VALUE"""),FALSE)</f>
        <v>0</v>
      </c>
      <c r="AG168" s="30"/>
      <c r="AH168" s="30" t="str">
        <f ca="1">IFERROR(__xludf.DUMMYFUNCTION("""COMPUTED_VALUE"""),"Sin costo")</f>
        <v>Sin costo</v>
      </c>
      <c r="AI168" s="30"/>
      <c r="AJ168" s="30"/>
      <c r="AK168" s="30"/>
      <c r="AL168" s="30" t="str">
        <f ca="1">IFERROR(__xludf.DUMMYFUNCTION("""COMPUTED_VALUE"""),"ccardonav@guanajuato.gob.mx")</f>
        <v>ccardonav@guanajuato.gob.mx</v>
      </c>
      <c r="AM168" s="30" t="str">
        <f ca="1">IFERROR(__xludf.DUMMYFUNCTION("""COMPUTED_VALUE"""),"Arraigo y empoderamiento cultural de comunidades.")</f>
        <v>Arraigo y empoderamiento cultural de comunidades.</v>
      </c>
      <c r="AN168" s="30" t="str">
        <f ca="1">IFERROR(__xludf.DUMMYFUNCTION("""COMPUTED_VALUE"""),"1 Tranquilidad")</f>
        <v>1 Tranquilidad</v>
      </c>
      <c r="AO168" s="30" t="str">
        <f ca="1">IFERROR(__xludf.DUMMYFUNCTION("""COMPUTED_VALUE"""),"1.2 Fortalecer prevención del delito")</f>
        <v>1.2 Fortalecer prevención del delito</v>
      </c>
      <c r="AP168" s="30" t="str">
        <f ca="1">IFERROR(__xludf.DUMMYFUNCTION("""COMPUTED_VALUE"""),"1.2.2 Fortalecimiento del tejido social")</f>
        <v>1.2.2 Fortalecimiento del tejido social</v>
      </c>
      <c r="AQ168" s="30" t="str">
        <f ca="1">IFERROR(__xludf.DUMMYFUNCTION("""COMPUTED_VALUE"""),"1.2.3.4 Promover una cultura de paz desde las expresiones artísticas y culturales")</f>
        <v>1.2.3.4 Promover una cultura de paz desde las expresiones artísticas y culturales</v>
      </c>
      <c r="AR168" s="30" t="str">
        <f ca="1">IFERROR(__xludf.DUMMYFUNCTION("""COMPUTED_VALUE"""),"Cooperación")</f>
        <v>Cooperación</v>
      </c>
      <c r="AS168" s="30"/>
      <c r="AT168" s="30" t="str">
        <f ca="1">IFERROR(__xludf.DUMMYFUNCTION("""COMPUTED_VALUE"""),"Sostenibilidad del trabajo cultural y la economía creativa.")</f>
        <v>Sostenibilidad del trabajo cultural y la economía creativa.</v>
      </c>
      <c r="AU168"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8" s="30" t="str">
        <f ca="1">IFERROR(__xludf.DUMMYFUNCTION("""COMPUTED_VALUE"""),"Diseñar programas de formación y gestión cultural de base comunitaria.")</f>
        <v>Diseñar programas de formación y gestión cultural de base comunitaria.</v>
      </c>
      <c r="AW168"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8" s="30" t="str">
        <f ca="1">IFERROR(__xludf.DUMMYFUNCTION("""COMPUTED_VALUE"""),"Visitas escolares")</f>
        <v>Visitas escolares</v>
      </c>
      <c r="AY168" s="30" t="str">
        <f ca="1">IFERROR(__xludf.DUMMYFUNCTION("""COMPUTED_VALUE"""),"Formación")</f>
        <v>Formación</v>
      </c>
      <c r="AZ168" s="30" t="str">
        <f ca="1">IFERROR(__xludf.DUMMYFUNCTION("""COMPUTED_VALUE"""),"Formación")</f>
        <v>Formación</v>
      </c>
      <c r="BA168" s="30"/>
      <c r="BB168" s="30"/>
      <c r="BC168" s="30">
        <f ca="1">IFERROR(__xludf.DUMMYFUNCTION("""COMPUTED_VALUE"""),0)</f>
        <v>0</v>
      </c>
      <c r="BD168" s="30"/>
      <c r="BE168" s="30"/>
      <c r="BF168" s="30" t="b">
        <f ca="1">IFERROR(__xludf.DUMMYFUNCTION("""COMPUTED_VALUE"""),FALSE)</f>
        <v>0</v>
      </c>
      <c r="BG168" s="30"/>
      <c r="BH168" s="30"/>
      <c r="BI168" s="30"/>
      <c r="BJ168" s="30"/>
      <c r="BK168" s="30"/>
      <c r="BL168" s="30"/>
      <c r="BM168" s="30" t="str">
        <f ca="1">IFERROR(__xludf.DUMMYFUNCTION("""COMPUTED_VALUE"""),"No")</f>
        <v>No</v>
      </c>
      <c r="BN168" s="30"/>
      <c r="BO168" s="30" t="str">
        <f ca="1">IFERROR(__xludf.DUMMYFUNCTION("""COMPUTED_VALUE"""),"d87315a1")</f>
        <v>d87315a1</v>
      </c>
      <c r="BP168" s="29" t="str">
        <f ca="1">IFERROR(__xludf.DUMMYFUNCTION("""COMPUTED_VALUE"""),"Silao de la Victoria")</f>
        <v>Silao de la Victoria</v>
      </c>
      <c r="BQ168" s="30" t="str">
        <f ca="1">IFERROR(__xludf.DUMMYFUNCTION("""COMPUTED_VALUE"""),"Urbano")</f>
        <v>Urbano</v>
      </c>
      <c r="BR168" s="30">
        <f ca="1">IFERROR(__xludf.DUMMYFUNCTION("""COMPUTED_VALUE"""),215)</f>
        <v>215</v>
      </c>
      <c r="BS168" s="30" t="str">
        <f ca="1">IFERROR(__xludf.DUMMYFUNCTION("""COMPUTED_VALUE"""),"Silao")</f>
        <v>Silao</v>
      </c>
      <c r="BT168" s="30"/>
      <c r="BU168" s="30" t="str">
        <f ca="1">IFERROR(__xludf.DUMMYFUNCTION("""COMPUTED_VALUE"""),"Si")</f>
        <v>Si</v>
      </c>
      <c r="BV168" s="30" t="str">
        <f ca="1">IFERROR(__xludf.DUMMYFUNCTION("""COMPUTED_VALUE"""),"Si")</f>
        <v>Si</v>
      </c>
      <c r="BW168" s="30">
        <f ca="1">IFERROR(__xludf.DUMMYFUNCTION("""COMPUTED_VALUE"""),27)</f>
        <v>27</v>
      </c>
      <c r="BX168" s="30"/>
      <c r="BY168" s="30">
        <f ca="1">IFERROR(__xludf.DUMMYFUNCTION("""COMPUTED_VALUE"""),27)</f>
        <v>27</v>
      </c>
      <c r="BZ168" s="30" t="str">
        <f ca="1">IFERROR(__xludf.DUMMYFUNCTION("""COMPUTED_VALUE"""),"Silao")</f>
        <v>Silao</v>
      </c>
      <c r="CA168" s="30" t="str">
        <f ca="1">IFERROR(__xludf.DUMMYFUNCTION("""COMPUTED_VALUE"""),"No")</f>
        <v>No</v>
      </c>
      <c r="CB168" s="30" t="str">
        <f ca="1">IFERROR(__xludf.DUMMYFUNCTION("""COMPUTED_VALUE"""),"No")</f>
        <v>No</v>
      </c>
      <c r="CC168" s="30" t="str">
        <f ca="1">IFERROR(__xludf.DUMMYFUNCTION("""COMPUTED_VALUE"""),"42006d6d")</f>
        <v>42006d6d</v>
      </c>
      <c r="CD168" s="29" t="str">
        <f ca="1">IFERROR(__xludf.DUMMYFUNCTION("""COMPUTED_VALUE"""),"Jóvenes (18 a 29 años)")</f>
        <v>Jóvenes (18 a 29 años)</v>
      </c>
      <c r="CE168" s="30" t="str">
        <f ca="1">IFERROR(__xludf.DUMMYFUNCTION("""COMPUTED_VALUE"""),"Dato global")</f>
        <v>Dato global</v>
      </c>
      <c r="CF168" s="30" t="str">
        <f ca="1">IFERROR(__xludf.DUMMYFUNCTION("""COMPUTED_VALUE"""),"Ninguno (Población General)")</f>
        <v>Ninguno (Población General)</v>
      </c>
      <c r="CG168" s="30">
        <f ca="1">IFERROR(__xludf.DUMMYFUNCTION("""COMPUTED_VALUE"""),19000)</f>
        <v>19000</v>
      </c>
      <c r="CI168" s="30" t="str">
        <f ca="1">IFERROR(__xludf.DUMMYFUNCTION("""COMPUTED_VALUE"""),"f5d875d8")</f>
        <v>f5d875d8</v>
      </c>
      <c r="CJ168" s="29" t="str">
        <f ca="1">IFERROR(__xludf.DUMMYFUNCTION("""COMPUTED_VALUE"""),"Regitro_Evidencia_Images/f5d875d8.Archivo_Evidencia.164918.jpg")</f>
        <v>Regitro_Evidencia_Images/f5d875d8.Archivo_Evidencia.164918.jpg</v>
      </c>
      <c r="CK168" s="30" t="str">
        <f ca="1">IFERROR(__xludf.DUMMYFUNCTION("""COMPUTED_VALUE"""),"Foto")</f>
        <v>Foto</v>
      </c>
      <c r="CL168" s="30" t="str">
        <f ca="1">IFERROR(__xludf.DUMMYFUNCTION("""COMPUTED_VALUE"""),"Mesa de dialogo para público en general, Capilla Barroca y Foyer")</f>
        <v>Mesa de dialogo para público en general, Capilla Barroca y Foyer</v>
      </c>
      <c r="CM168" s="30" t="str">
        <f ca="1">IFERROR(__xludf.DUMMYFUNCTION("""COMPUTED_VALUE"""),"Silao de la Victoria")</f>
        <v>Silao de la Victoria</v>
      </c>
      <c r="CN168" s="32" t="e">
        <f ca="1"/>
        <v>#NAME?</v>
      </c>
      <c r="CO168" s="32" t="e">
        <f ca="1"/>
        <v>#NAME?</v>
      </c>
      <c r="CP168" s="32" t="e">
        <f ca="1"/>
        <v>#NAME?</v>
      </c>
      <c r="CQ168" s="32" t="e">
        <f ca="1"/>
        <v>#NAME?</v>
      </c>
      <c r="CR168" s="30" t="e">
        <f ca="1"/>
        <v>#NAME?</v>
      </c>
      <c r="CS168"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169" spans="1:97" ht="13">
      <c r="A169" s="29" t="str">
        <f ca="1">IFERROR(__xludf.DUMMYFUNCTION("""COMPUTED_VALUE"""),"ACT-SCDB68442")</f>
        <v>ACT-SCDB68442</v>
      </c>
      <c r="B169" s="30" t="str">
        <f ca="1">IFERROR(__xludf.DUMMYFUNCTION("""COMPUTED_VALUE"""),"SC-260703-114233")</f>
        <v>SC-260703-114233</v>
      </c>
      <c r="C169" s="62">
        <f ca="1">IFERROR(__xludf.DUMMYFUNCTION("""COMPUTED_VALUE"""),46206.4878819444)</f>
        <v>46206.487881944398</v>
      </c>
      <c r="D169" s="30">
        <f ca="1">IFERROR(__xludf.DUMMYFUNCTION("""COMPUTED_VALUE"""),92)</f>
        <v>92</v>
      </c>
      <c r="E169" s="30" t="str">
        <f ca="1">IFERROR(__xludf.DUMMYFUNCTION("""COMPUTED_VALUE"""),"PB3572")</f>
        <v>PB3572</v>
      </c>
      <c r="F16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6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69" s="30" t="str">
        <f ca="1">IFERROR(__xludf.DUMMYFUNCTION("""COMPUTED_VALUE"""),"SUBSECRETARÍA DE DESARROLLO Y PROMOCIÓN ARTÍSTICA Y CULTURAL")</f>
        <v>SUBSECRETARÍA DE DESARROLLO Y PROMOCIÓN ARTÍSTICA Y CULTURAL</v>
      </c>
      <c r="I169" s="34" t="str">
        <f ca="1">IFERROR(__xludf.DUMMYFUNCTION("""COMPUTED_VALUE"""),"DIRECCIÓN GENERAL DE MUSEOS, ARTES VISUALES Y EXPOSICIONES")</f>
        <v>DIRECCIÓN GENERAL DE MUSEOS, ARTES VISUALES Y EXPOSICIONES</v>
      </c>
      <c r="J169" s="30" t="str">
        <f ca="1">IFERROR(__xludf.DUMMYFUNCTION("""COMPUTED_VALUE"""),"Número de Actividades realizadas")</f>
        <v>Número de Actividades realizadas</v>
      </c>
      <c r="K169" s="30">
        <f ca="1">IFERROR(__xludf.DUMMYFUNCTION("""COMPUTED_VALUE"""),800)</f>
        <v>800</v>
      </c>
      <c r="L169" s="30" t="str">
        <f ca="1">IFERROR(__xludf.DUMMYFUNCTION("""COMPUTED_VALUE"""),"Cultural")</f>
        <v>Cultural</v>
      </c>
      <c r="M169" s="30" t="str">
        <f ca="1">IFERROR(__xludf.DUMMYFUNCTION("""COMPUTED_VALUE"""),"Visita escolar")</f>
        <v>Visita escolar</v>
      </c>
      <c r="N169" s="30" t="str">
        <f ca="1">IFERROR(__xludf.DUMMYFUNCTION("""COMPUTED_VALUE"""),"Visita escolar")</f>
        <v>Visita escolar</v>
      </c>
      <c r="O169" s="30" t="str">
        <f ca="1">IFERROR(__xludf.DUMMYFUNCTION("""COMPUTED_VALUE"""),"Única")</f>
        <v>Única</v>
      </c>
      <c r="P169" s="33">
        <f ca="1">IFERROR(__xludf.DUMMYFUNCTION("""COMPUTED_VALUE"""),46170)</f>
        <v>46170</v>
      </c>
      <c r="Q169" s="33">
        <f ca="1">IFERROR(__xludf.DUMMYFUNCTION("""COMPUTED_VALUE"""),46170)</f>
        <v>46170</v>
      </c>
      <c r="R169" s="30">
        <f ca="1">IFERROR(__xludf.DUMMYFUNCTION("""COMPUTED_VALUE"""),1)</f>
        <v>1</v>
      </c>
      <c r="S169" s="30" t="str">
        <f ca="1">IFERROR(__xludf.DUMMYFUNCTION("""COMPUTED_VALUE"""),"Cultura comunitaria")</f>
        <v>Cultura comunitaria</v>
      </c>
      <c r="T169" s="30" t="str">
        <f ca="1">IFERROR(__xludf.DUMMYFUNCTION("""COMPUTED_VALUE"""),"Formación comunitaria")</f>
        <v>Formación comunitaria</v>
      </c>
      <c r="U169" s="30" t="str">
        <f ca="1">IFERROR(__xludf.DUMMYFUNCTION("""COMPUTED_VALUE"""),"Visitas escolares")</f>
        <v>Visitas escolares</v>
      </c>
      <c r="V169" s="30" t="str">
        <f ca="1">IFERROR(__xludf.DUMMYFUNCTION("""COMPUTED_VALUE"""),"Ninguna")</f>
        <v>Ninguna</v>
      </c>
      <c r="W169" s="30" t="str">
        <f ca="1">IFERROR(__xludf.DUMMYFUNCTION("""COMPUTED_VALUE"""),"Presencial")</f>
        <v>Presencial</v>
      </c>
      <c r="X169" s="30" t="str">
        <f ca="1">IFERROR(__xludf.DUMMYFUNCTION("""COMPUTED_VALUE"""),"Espacio a Cargo de la Secretaría")</f>
        <v>Espacio a Cargo de la Secretaría</v>
      </c>
      <c r="Y169" s="30" t="str">
        <f ca="1">IFERROR(__xludf.DUMMYFUNCTION("""COMPUTED_VALUE"""),"26")</f>
        <v>26</v>
      </c>
      <c r="Z169" s="30"/>
      <c r="AA169" s="30"/>
      <c r="AB169" s="30" t="b">
        <f ca="1">IFERROR(__xludf.DUMMYFUNCTION("""COMPUTED_VALUE"""),FALSE)</f>
        <v>0</v>
      </c>
      <c r="AC169" s="30"/>
      <c r="AD169" s="30" t="b">
        <f ca="1">IFERROR(__xludf.DUMMYFUNCTION("""COMPUTED_VALUE"""),FALSE)</f>
        <v>0</v>
      </c>
      <c r="AE169" s="30"/>
      <c r="AF169" s="30" t="b">
        <f ca="1">IFERROR(__xludf.DUMMYFUNCTION("""COMPUTED_VALUE"""),FALSE)</f>
        <v>0</v>
      </c>
      <c r="AG169" s="30"/>
      <c r="AH169" s="30" t="str">
        <f ca="1">IFERROR(__xludf.DUMMYFUNCTION("""COMPUTED_VALUE"""),"Sin costo")</f>
        <v>Sin costo</v>
      </c>
      <c r="AI169" s="30"/>
      <c r="AJ169" s="30"/>
      <c r="AK169" s="30"/>
      <c r="AL169" s="30" t="str">
        <f ca="1">IFERROR(__xludf.DUMMYFUNCTION("""COMPUTED_VALUE"""),"ccardonav@guanajuato.gob.mx")</f>
        <v>ccardonav@guanajuato.gob.mx</v>
      </c>
      <c r="AM169" s="30" t="str">
        <f ca="1">IFERROR(__xludf.DUMMYFUNCTION("""COMPUTED_VALUE"""),"Arraigo y empoderamiento cultural de comunidades.")</f>
        <v>Arraigo y empoderamiento cultural de comunidades.</v>
      </c>
      <c r="AN169" s="30" t="str">
        <f ca="1">IFERROR(__xludf.DUMMYFUNCTION("""COMPUTED_VALUE"""),"1 Tranquilidad")</f>
        <v>1 Tranquilidad</v>
      </c>
      <c r="AO169" s="30" t="str">
        <f ca="1">IFERROR(__xludf.DUMMYFUNCTION("""COMPUTED_VALUE"""),"1.2 Fortalecer prevención del delito")</f>
        <v>1.2 Fortalecer prevención del delito</v>
      </c>
      <c r="AP169" s="30" t="str">
        <f ca="1">IFERROR(__xludf.DUMMYFUNCTION("""COMPUTED_VALUE"""),"1.2.2 Fortalecimiento del tejido social")</f>
        <v>1.2.2 Fortalecimiento del tejido social</v>
      </c>
      <c r="AQ169" s="30" t="str">
        <f ca="1">IFERROR(__xludf.DUMMYFUNCTION("""COMPUTED_VALUE"""),"1.2.3.4 Promover una cultura de paz desde las expresiones artísticas y culturales")</f>
        <v>1.2.3.4 Promover una cultura de paz desde las expresiones artísticas y culturales</v>
      </c>
      <c r="AR169" s="30" t="str">
        <f ca="1">IFERROR(__xludf.DUMMYFUNCTION("""COMPUTED_VALUE"""),"Cooperación")</f>
        <v>Cooperación</v>
      </c>
      <c r="AS169" s="30"/>
      <c r="AT169" s="30" t="str">
        <f ca="1">IFERROR(__xludf.DUMMYFUNCTION("""COMPUTED_VALUE"""),"Sostenibilidad del trabajo cultural y la economía creativa.")</f>
        <v>Sostenibilidad del trabajo cultural y la economía creativa.</v>
      </c>
      <c r="AU169"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69" s="30" t="str">
        <f ca="1">IFERROR(__xludf.DUMMYFUNCTION("""COMPUTED_VALUE"""),"Diseñar programas de formación y gestión cultural de base comunitaria.")</f>
        <v>Diseñar programas de formación y gestión cultural de base comunitaria.</v>
      </c>
      <c r="AW169"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69" s="30" t="str">
        <f ca="1">IFERROR(__xludf.DUMMYFUNCTION("""COMPUTED_VALUE"""),"Visitas escolares")</f>
        <v>Visitas escolares</v>
      </c>
      <c r="AY169" s="30" t="str">
        <f ca="1">IFERROR(__xludf.DUMMYFUNCTION("""COMPUTED_VALUE"""),"Formación")</f>
        <v>Formación</v>
      </c>
      <c r="AZ169" s="30" t="str">
        <f ca="1">IFERROR(__xludf.DUMMYFUNCTION("""COMPUTED_VALUE"""),"Formación")</f>
        <v>Formación</v>
      </c>
      <c r="BA169" s="30"/>
      <c r="BB169" s="30"/>
      <c r="BC169" s="30">
        <f ca="1">IFERROR(__xludf.DUMMYFUNCTION("""COMPUTED_VALUE"""),0)</f>
        <v>0</v>
      </c>
      <c r="BD169" s="30"/>
      <c r="BE169" s="30"/>
      <c r="BF169" s="30" t="b">
        <f ca="1">IFERROR(__xludf.DUMMYFUNCTION("""COMPUTED_VALUE"""),FALSE)</f>
        <v>0</v>
      </c>
      <c r="BG169" s="30"/>
      <c r="BH169" s="30"/>
      <c r="BI169" s="30"/>
      <c r="BJ169" s="30"/>
      <c r="BK169" s="30"/>
      <c r="BL169" s="30"/>
      <c r="BM169" s="30" t="str">
        <f ca="1">IFERROR(__xludf.DUMMYFUNCTION("""COMPUTED_VALUE"""),"No")</f>
        <v>No</v>
      </c>
      <c r="BN169" s="30"/>
      <c r="BO169" s="30" t="str">
        <f ca="1">IFERROR(__xludf.DUMMYFUNCTION("""COMPUTED_VALUE"""),"e7247faa")</f>
        <v>e7247faa</v>
      </c>
      <c r="BP169" s="29" t="str">
        <f ca="1">IFERROR(__xludf.DUMMYFUNCTION("""COMPUTED_VALUE"""),"Silao de la Victoria")</f>
        <v>Silao de la Victoria</v>
      </c>
      <c r="BQ169" s="30" t="str">
        <f ca="1">IFERROR(__xludf.DUMMYFUNCTION("""COMPUTED_VALUE"""),"Urbano")</f>
        <v>Urbano</v>
      </c>
      <c r="BR169" s="30">
        <f ca="1">IFERROR(__xludf.DUMMYFUNCTION("""COMPUTED_VALUE"""),215)</f>
        <v>215</v>
      </c>
      <c r="BS169" s="30" t="str">
        <f ca="1">IFERROR(__xludf.DUMMYFUNCTION("""COMPUTED_VALUE"""),"Silao")</f>
        <v>Silao</v>
      </c>
      <c r="BT169" s="30"/>
      <c r="BU169" s="30" t="str">
        <f ca="1">IFERROR(__xludf.DUMMYFUNCTION("""COMPUTED_VALUE"""),"Si")</f>
        <v>Si</v>
      </c>
      <c r="BV169" s="30" t="str">
        <f ca="1">IFERROR(__xludf.DUMMYFUNCTION("""COMPUTED_VALUE"""),"Si")</f>
        <v>Si</v>
      </c>
      <c r="BW169" s="30">
        <f ca="1">IFERROR(__xludf.DUMMYFUNCTION("""COMPUTED_VALUE"""),34)</f>
        <v>34</v>
      </c>
      <c r="BX169" s="30"/>
      <c r="BY169" s="30">
        <f ca="1">IFERROR(__xludf.DUMMYFUNCTION("""COMPUTED_VALUE"""),34)</f>
        <v>34</v>
      </c>
      <c r="BZ169" s="30" t="str">
        <f ca="1">IFERROR(__xludf.DUMMYFUNCTION("""COMPUTED_VALUE"""),"Silao")</f>
        <v>Silao</v>
      </c>
      <c r="CA169" s="30" t="str">
        <f ca="1">IFERROR(__xludf.DUMMYFUNCTION("""COMPUTED_VALUE"""),"No")</f>
        <v>No</v>
      </c>
      <c r="CB169" s="30" t="str">
        <f ca="1">IFERROR(__xludf.DUMMYFUNCTION("""COMPUTED_VALUE"""),"No")</f>
        <v>No</v>
      </c>
      <c r="CC169" s="30" t="str">
        <f ca="1">IFERROR(__xludf.DUMMYFUNCTION("""COMPUTED_VALUE"""),"e5aac444")</f>
        <v>e5aac444</v>
      </c>
      <c r="CD169" s="29" t="str">
        <f ca="1">IFERROR(__xludf.DUMMYFUNCTION("""COMPUTED_VALUE"""),"Adolescentes (13 a 17 años)")</f>
        <v>Adolescentes (13 a 17 años)</v>
      </c>
      <c r="CE169" s="30" t="str">
        <f ca="1">IFERROR(__xludf.DUMMYFUNCTION("""COMPUTED_VALUE"""),"Dato global")</f>
        <v>Dato global</v>
      </c>
      <c r="CF169" s="30" t="str">
        <f ca="1">IFERROR(__xludf.DUMMYFUNCTION("""COMPUTED_VALUE"""),"Ninguno (Población General)")</f>
        <v>Ninguno (Población General)</v>
      </c>
      <c r="CG169" s="30">
        <f ca="1">IFERROR(__xludf.DUMMYFUNCTION("""COMPUTED_VALUE"""),1000)</f>
        <v>1000</v>
      </c>
      <c r="CI169" s="30" t="str">
        <f ca="1">IFERROR(__xludf.DUMMYFUNCTION("""COMPUTED_VALUE"""),"57baf359")</f>
        <v>57baf359</v>
      </c>
      <c r="CJ169" s="29" t="str">
        <f ca="1">IFERROR(__xludf.DUMMYFUNCTION("""COMPUTED_VALUE"""),"Regitro_Evidencia_Images/57baf359.Archivo_Evidencia.211206.jpg")</f>
        <v>Regitro_Evidencia_Images/57baf359.Archivo_Evidencia.211206.jpg</v>
      </c>
      <c r="CK169" s="30" t="str">
        <f ca="1">IFERROR(__xludf.DUMMYFUNCTION("""COMPUTED_VALUE"""),"Foto")</f>
        <v>Foto</v>
      </c>
      <c r="CL169" s="30" t="str">
        <f ca="1">IFERROR(__xludf.DUMMYFUNCTION("""COMPUTED_VALUE"""),"Foro virtual del libro abril 2024")</f>
        <v>Foro virtual del libro abril 2024</v>
      </c>
      <c r="CM169" s="30" t="str">
        <f ca="1">IFERROR(__xludf.DUMMYFUNCTION("""COMPUTED_VALUE"""),"Silao de la Victoria")</f>
        <v>Silao de la Victoria</v>
      </c>
      <c r="CN169" s="32" t="e">
        <f ca="1"/>
        <v>#NAME?</v>
      </c>
      <c r="CO169" s="32" t="e">
        <f ca="1"/>
        <v>#NAME?</v>
      </c>
      <c r="CP169" s="32" t="e">
        <f ca="1"/>
        <v>#NAME?</v>
      </c>
      <c r="CQ169" s="32" t="e">
        <f ca="1"/>
        <v>#NAME?</v>
      </c>
      <c r="CR169" s="30" t="e">
        <f ca="1"/>
        <v>#NAME?</v>
      </c>
      <c r="CS169"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170" spans="1:97" ht="13">
      <c r="A170" s="29" t="str">
        <f ca="1">IFERROR(__xludf.DUMMYFUNCTION("""COMPUTED_VALUE"""),"ACT-SCFF91218")</f>
        <v>ACT-SCFF91218</v>
      </c>
      <c r="B170" s="30" t="str">
        <f ca="1">IFERROR(__xludf.DUMMYFUNCTION("""COMPUTED_VALUE"""),"SC-260703-123906")</f>
        <v>SC-260703-123906</v>
      </c>
      <c r="C170" s="62">
        <f ca="1">IFERROR(__xludf.DUMMYFUNCTION("""COMPUTED_VALUE"""),46206.5271527777)</f>
        <v>46206.5271527777</v>
      </c>
      <c r="D170" s="30">
        <f ca="1">IFERROR(__xludf.DUMMYFUNCTION("""COMPUTED_VALUE"""),94)</f>
        <v>94</v>
      </c>
      <c r="E170" s="30" t="str">
        <f ca="1">IFERROR(__xludf.DUMMYFUNCTION("""COMPUTED_VALUE"""),"PB3572")</f>
        <v>PB3572</v>
      </c>
      <c r="F17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0"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0" s="30" t="str">
        <f ca="1">IFERROR(__xludf.DUMMYFUNCTION("""COMPUTED_VALUE"""),"SUBSECRETARÍA DE DESARROLLO Y PROMOCIÓN ARTÍSTICA Y CULTURAL")</f>
        <v>SUBSECRETARÍA DE DESARROLLO Y PROMOCIÓN ARTÍSTICA Y CULTURAL</v>
      </c>
      <c r="I170" s="34" t="str">
        <f ca="1">IFERROR(__xludf.DUMMYFUNCTION("""COMPUTED_VALUE"""),"DIRECCIÓN GENERAL DE MUSEOS, ARTES VISUALES Y EXPOSICIONES")</f>
        <v>DIRECCIÓN GENERAL DE MUSEOS, ARTES VISUALES Y EXPOSICIONES</v>
      </c>
      <c r="J170" s="30" t="str">
        <f ca="1">IFERROR(__xludf.DUMMYFUNCTION("""COMPUTED_VALUE"""),"Número de Actividades realizadas")</f>
        <v>Número de Actividades realizadas</v>
      </c>
      <c r="K170" s="30">
        <f ca="1">IFERROR(__xludf.DUMMYFUNCTION("""COMPUTED_VALUE"""),12)</f>
        <v>12</v>
      </c>
      <c r="L170" s="30" t="str">
        <f ca="1">IFERROR(__xludf.DUMMYFUNCTION("""COMPUTED_VALUE"""),"Cultural")</f>
        <v>Cultural</v>
      </c>
      <c r="M170" s="30" t="str">
        <f ca="1">IFERROR(__xludf.DUMMYFUNCTION("""COMPUTED_VALUE"""),"Circulo de lectura")</f>
        <v>Circulo de lectura</v>
      </c>
      <c r="N170" s="30" t="str">
        <f ca="1">IFERROR(__xludf.DUMMYFUNCTION("""COMPUTED_VALUE"""),"Circulo de lectura")</f>
        <v>Circulo de lectura</v>
      </c>
      <c r="O170" s="30" t="str">
        <f ca="1">IFERROR(__xludf.DUMMYFUNCTION("""COMPUTED_VALUE"""),"Semanal")</f>
        <v>Semanal</v>
      </c>
      <c r="P170" s="33">
        <f ca="1">IFERROR(__xludf.DUMMYFUNCTION("""COMPUTED_VALUE"""),46177)</f>
        <v>46177</v>
      </c>
      <c r="Q170" s="33">
        <f ca="1">IFERROR(__xludf.DUMMYFUNCTION("""COMPUTED_VALUE"""),46191)</f>
        <v>46191</v>
      </c>
      <c r="R170" s="30">
        <f ca="1">IFERROR(__xludf.DUMMYFUNCTION("""COMPUTED_VALUE"""),2)</f>
        <v>2</v>
      </c>
      <c r="S170" s="30" t="str">
        <f ca="1">IFERROR(__xludf.DUMMYFUNCTION("""COMPUTED_VALUE"""),"Literatura")</f>
        <v>Literatura</v>
      </c>
      <c r="T170" s="30" t="str">
        <f ca="1">IFERROR(__xludf.DUMMYFUNCTION("""COMPUTED_VALUE"""),"Fomento a la lectura")</f>
        <v>Fomento a la lectura</v>
      </c>
      <c r="U170" s="30" t="str">
        <f ca="1">IFERROR(__xludf.DUMMYFUNCTION("""COMPUTED_VALUE"""),"Proceso de memoria comunitaria")</f>
        <v>Proceso de memoria comunitaria</v>
      </c>
      <c r="V170" s="30" t="str">
        <f ca="1">IFERROR(__xludf.DUMMYFUNCTION("""COMPUTED_VALUE"""),"Ninguna")</f>
        <v>Ninguna</v>
      </c>
      <c r="W170" s="30" t="str">
        <f ca="1">IFERROR(__xludf.DUMMYFUNCTION("""COMPUTED_VALUE"""),"Presencial")</f>
        <v>Presencial</v>
      </c>
      <c r="X170" s="30" t="str">
        <f ca="1">IFERROR(__xludf.DUMMYFUNCTION("""COMPUTED_VALUE"""),"Espacio a Cargo de la Secretaría")</f>
        <v>Espacio a Cargo de la Secretaría</v>
      </c>
      <c r="Y170" s="30" t="str">
        <f ca="1">IFERROR(__xludf.DUMMYFUNCTION("""COMPUTED_VALUE"""),"26")</f>
        <v>26</v>
      </c>
      <c r="Z170" s="30"/>
      <c r="AA170" s="30"/>
      <c r="AB170" s="30" t="b">
        <f ca="1">IFERROR(__xludf.DUMMYFUNCTION("""COMPUTED_VALUE"""),FALSE)</f>
        <v>0</v>
      </c>
      <c r="AC170" s="30"/>
      <c r="AD170" s="30" t="b">
        <f ca="1">IFERROR(__xludf.DUMMYFUNCTION("""COMPUTED_VALUE"""),FALSE)</f>
        <v>0</v>
      </c>
      <c r="AE170" s="30"/>
      <c r="AF170" s="30" t="b">
        <f ca="1">IFERROR(__xludf.DUMMYFUNCTION("""COMPUTED_VALUE"""),FALSE)</f>
        <v>0</v>
      </c>
      <c r="AG170" s="30"/>
      <c r="AH170" s="30" t="str">
        <f ca="1">IFERROR(__xludf.DUMMYFUNCTION("""COMPUTED_VALUE"""),"Sin costo")</f>
        <v>Sin costo</v>
      </c>
      <c r="AI170" s="30"/>
      <c r="AJ170" s="30"/>
      <c r="AK170" s="30"/>
      <c r="AL170" s="30" t="str">
        <f ca="1">IFERROR(__xludf.DUMMYFUNCTION("""COMPUTED_VALUE"""),"ccardonav@guanajuato.gob.mx")</f>
        <v>ccardonav@guanajuato.gob.mx</v>
      </c>
      <c r="AM170" s="30" t="str">
        <f ca="1">IFERROR(__xludf.DUMMYFUNCTION("""COMPUTED_VALUE"""),"Leer para crecer.")</f>
        <v>Leer para crecer.</v>
      </c>
      <c r="AN170" s="30" t="str">
        <f ca="1">IFERROR(__xludf.DUMMYFUNCTION("""COMPUTED_VALUE"""),"2 Igualdad")</f>
        <v>2 Igualdad</v>
      </c>
      <c r="AO170" s="30" t="str">
        <f ca="1">IFERROR(__xludf.DUMMYFUNCTION("""COMPUTED_VALUE"""),"2.2 Fortalecer cohesión social")</f>
        <v>2.2 Fortalecer cohesión social</v>
      </c>
      <c r="AP170" s="30" t="str">
        <f ca="1">IFERROR(__xludf.DUMMYFUNCTION("""COMPUTED_VALUE"""),"2.2 Fortalecer cohesión social")</f>
        <v>2.2 Fortalecer cohesión social</v>
      </c>
      <c r="AQ170" s="30" t="str">
        <f ca="1">IFERROR(__xludf.DUMMYFUNCTION("""COMPUTED_VALUE"""),"2.2.3.2 Promover la participación de grupos prioritarios en actividades culturales")</f>
        <v>2.2.3.2 Promover la participación de grupos prioritarios en actividades culturales</v>
      </c>
      <c r="AR170" s="30" t="str">
        <f ca="1">IFERROR(__xludf.DUMMYFUNCTION("""COMPUTED_VALUE"""),"Cooperación")</f>
        <v>Cooperación</v>
      </c>
      <c r="AS170" s="30"/>
      <c r="AT170" s="30" t="str">
        <f ca="1">IFERROR(__xludf.DUMMYFUNCTION("""COMPUTED_VALUE"""),"Protección y dinamización del patrimonio, la memoria y los espacios culturales")</f>
        <v>Protección y dinamización del patrimonio, la memoria y los espacios culturales</v>
      </c>
      <c r="AU170" s="30" t="str">
        <f ca="1">IFERROR(__xludf.DUMMYFUNCTION("""COMPUTED_VALUE"""),"Fortalecimiento de los procesos de identificación, conservación, investigación, divulgación y promoción del patrimonio cultural material e inmaterial.")</f>
        <v>Fortalecimiento de los procesos de identificación, conservación, investigación, divulgación y promoción del patrimonio cultural material e inmaterial.</v>
      </c>
      <c r="AV170" s="30" t="str">
        <f ca="1">IFERROR(__xludf.DUMMYFUNCTION("""COMPUTED_VALUE"""),"Realizar procesos de memoria colaborativa con comunidades para reconocer su legado cultural en el patrimonio estatal.")</f>
        <v>Realizar procesos de memoria colaborativa con comunidades para reconocer su legado cultural en el patrimonio estatal.</v>
      </c>
      <c r="AW170" s="30" t="str">
        <f ca="1">IFERROR(__xludf.DUMMYFUNCTION("""COMPUTED_VALUE"""),"Lograr un incremento anual del 10% de población que participa en actividades comunitarias para el aprovechamiento de los espacios culturales y zonas patrimoniales.")</f>
        <v>Lograr un incremento anual del 10% de población que participa en actividades comunitarias para el aprovechamiento de los espacios culturales y zonas patrimoniales.</v>
      </c>
      <c r="AX170" s="30" t="str">
        <f ca="1">IFERROR(__xludf.DUMMYFUNCTION("""COMPUTED_VALUE"""),"Activación cultural comunitaria")</f>
        <v>Activación cultural comunitaria</v>
      </c>
      <c r="AY170" s="30" t="str">
        <f ca="1">IFERROR(__xludf.DUMMYFUNCTION("""COMPUTED_VALUE"""),"Formación")</f>
        <v>Formación</v>
      </c>
      <c r="AZ170" s="30" t="str">
        <f ca="1">IFERROR(__xludf.DUMMYFUNCTION("""COMPUTED_VALUE"""),"Formación")</f>
        <v>Formación</v>
      </c>
      <c r="BA170" s="30"/>
      <c r="BB170" s="30"/>
      <c r="BC170" s="30">
        <f ca="1">IFERROR(__xludf.DUMMYFUNCTION("""COMPUTED_VALUE"""),0)</f>
        <v>0</v>
      </c>
      <c r="BD170" s="30"/>
      <c r="BE170" s="30"/>
      <c r="BF170" s="30" t="b">
        <f ca="1">IFERROR(__xludf.DUMMYFUNCTION("""COMPUTED_VALUE"""),FALSE)</f>
        <v>0</v>
      </c>
      <c r="BG170" s="30"/>
      <c r="BH170" s="30"/>
      <c r="BI170" s="30"/>
      <c r="BJ170" s="30"/>
      <c r="BK170" s="30"/>
      <c r="BL170" s="30" t="str">
        <f ca="1">IFERROR(__xludf.DUMMYFUNCTION("""COMPUTED_VALUE"""),"Vinculación")</f>
        <v>Vinculación</v>
      </c>
      <c r="BM170" s="30" t="str">
        <f ca="1">IFERROR(__xludf.DUMMYFUNCTION("""COMPUTED_VALUE"""),"Sí")</f>
        <v>Sí</v>
      </c>
      <c r="BN170" s="30" t="str">
        <f ca="1">IFERROR(__xludf.DUMMYFUNCTION("""COMPUTED_VALUE"""),"Acompañamiento Técnico")</f>
        <v>Acompañamiento Técnico</v>
      </c>
      <c r="BO170" s="30" t="str">
        <f ca="1">IFERROR(__xludf.DUMMYFUNCTION("""COMPUTED_VALUE"""),"13b3b6cf")</f>
        <v>13b3b6cf</v>
      </c>
      <c r="BP170" s="29" t="str">
        <f ca="1">IFERROR(__xludf.DUMMYFUNCTION("""COMPUTED_VALUE"""),"Silao de la Victoria")</f>
        <v>Silao de la Victoria</v>
      </c>
      <c r="BQ170" s="30" t="str">
        <f ca="1">IFERROR(__xludf.DUMMYFUNCTION("""COMPUTED_VALUE"""),"Urbano")</f>
        <v>Urbano</v>
      </c>
      <c r="BR170" s="30">
        <f ca="1">IFERROR(__xludf.DUMMYFUNCTION("""COMPUTED_VALUE"""),215)</f>
        <v>215</v>
      </c>
      <c r="BS170" s="30" t="str">
        <f ca="1">IFERROR(__xludf.DUMMYFUNCTION("""COMPUTED_VALUE"""),"Silao")</f>
        <v>Silao</v>
      </c>
      <c r="BT170" s="30"/>
      <c r="BU170" s="30" t="str">
        <f ca="1">IFERROR(__xludf.DUMMYFUNCTION("""COMPUTED_VALUE"""),"Si")</f>
        <v>Si</v>
      </c>
      <c r="BV170" s="30" t="str">
        <f ca="1">IFERROR(__xludf.DUMMYFUNCTION("""COMPUTED_VALUE"""),"Si")</f>
        <v>Si</v>
      </c>
      <c r="BW170" s="30">
        <f ca="1">IFERROR(__xludf.DUMMYFUNCTION("""COMPUTED_VALUE"""),25)</f>
        <v>25</v>
      </c>
      <c r="BX170" s="30"/>
      <c r="BY170" s="30">
        <f ca="1">IFERROR(__xludf.DUMMYFUNCTION("""COMPUTED_VALUE"""),25)</f>
        <v>25</v>
      </c>
      <c r="BZ170" s="30" t="str">
        <f ca="1">IFERROR(__xludf.DUMMYFUNCTION("""COMPUTED_VALUE"""),"Silao")</f>
        <v>Silao</v>
      </c>
      <c r="CA170" s="30" t="str">
        <f ca="1">IFERROR(__xludf.DUMMYFUNCTION("""COMPUTED_VALUE"""),"No")</f>
        <v>No</v>
      </c>
      <c r="CB170" s="30" t="str">
        <f ca="1">IFERROR(__xludf.DUMMYFUNCTION("""COMPUTED_VALUE"""),"No")</f>
        <v>No</v>
      </c>
      <c r="CC170" s="30" t="str">
        <f ca="1">IFERROR(__xludf.DUMMYFUNCTION("""COMPUTED_VALUE"""),"6f900cb7")</f>
        <v>6f900cb7</v>
      </c>
      <c r="CD170" s="29" t="str">
        <f ca="1">IFERROR(__xludf.DUMMYFUNCTION("""COMPUTED_VALUE"""),"Niñas y Niños (6 a 12 años)")</f>
        <v>Niñas y Niños (6 a 12 años)</v>
      </c>
      <c r="CE170" s="30" t="str">
        <f ca="1">IFERROR(__xludf.DUMMYFUNCTION("""COMPUTED_VALUE"""),"Dato global")</f>
        <v>Dato global</v>
      </c>
      <c r="CF170" s="30" t="str">
        <f ca="1">IFERROR(__xludf.DUMMYFUNCTION("""COMPUTED_VALUE"""),"Ninguno (Población General)")</f>
        <v>Ninguno (Población General)</v>
      </c>
      <c r="CG170" s="30">
        <f ca="1">IFERROR(__xludf.DUMMYFUNCTION("""COMPUTED_VALUE"""),1000)</f>
        <v>1000</v>
      </c>
      <c r="CI170" s="30" t="str">
        <f ca="1">IFERROR(__xludf.DUMMYFUNCTION("""COMPUTED_VALUE"""),"0240fb7f")</f>
        <v>0240fb7f</v>
      </c>
      <c r="CJ170" s="29" t="str">
        <f ca="1">IFERROR(__xludf.DUMMYFUNCTION("""COMPUTED_VALUE"""),"Regitro_Evidencia_Images/0240fb7f.Archivo_Evidencia.220720.jpg")</f>
        <v>Regitro_Evidencia_Images/0240fb7f.Archivo_Evidencia.220720.jpg</v>
      </c>
      <c r="CK170" s="30" t="str">
        <f ca="1">IFERROR(__xludf.DUMMYFUNCTION("""COMPUTED_VALUE"""),"Foto")</f>
        <v>Foto</v>
      </c>
      <c r="CL170" s="30" t="str">
        <f ca="1">IFERROR(__xludf.DUMMYFUNCTION("""COMPUTED_VALUE"""),"Evento de la Decima Letra")</f>
        <v>Evento de la Decima Letra</v>
      </c>
      <c r="CM170" s="30" t="str">
        <f ca="1">IFERROR(__xludf.DUMMYFUNCTION("""COMPUTED_VALUE"""),"Silao de la Victoria")</f>
        <v>Silao de la Victoria</v>
      </c>
      <c r="CN170" s="32" t="e">
        <f ca="1"/>
        <v>#NAME?</v>
      </c>
      <c r="CO170" s="32" t="e">
        <f ca="1"/>
        <v>#NAME?</v>
      </c>
      <c r="CP170" s="32" t="e">
        <f ca="1"/>
        <v>#NAME?</v>
      </c>
      <c r="CQ170" s="32" t="e">
        <f ca="1"/>
        <v>#NAME?</v>
      </c>
      <c r="CR170" s="30" t="e">
        <f ca="1"/>
        <v>#NAME?</v>
      </c>
      <c r="CS170" s="30" t="str">
        <f ca="1">IFERROR(__xludf.DUMMYFUNCTION("""COMPUTED_VALUE"""),"Ninguno (Población General), Ninguno (Población General), Ninguno (Población General)")</f>
        <v>Ninguno (Población General), Ninguno (Población General), Ninguno (Población General)</v>
      </c>
    </row>
    <row r="171" spans="1:97" ht="13">
      <c r="A171" s="29" t="str">
        <f ca="1">IFERROR(__xludf.DUMMYFUNCTION("""COMPUTED_VALUE"""),"ACT-SCSR73635")</f>
        <v>ACT-SCSR73635</v>
      </c>
      <c r="B171" s="30" t="str">
        <f ca="1">IFERROR(__xludf.DUMMYFUNCTION("""COMPUTED_VALUE"""),"SC-260703-124719")</f>
        <v>SC-260703-124719</v>
      </c>
      <c r="C171" s="62">
        <f ca="1">IFERROR(__xludf.DUMMYFUNCTION("""COMPUTED_VALUE"""),46206.5328587963)</f>
        <v>46206.532858796301</v>
      </c>
      <c r="D171" s="30">
        <f ca="1">IFERROR(__xludf.DUMMYFUNCTION("""COMPUTED_VALUE"""),94)</f>
        <v>94</v>
      </c>
      <c r="E171" s="30" t="str">
        <f ca="1">IFERROR(__xludf.DUMMYFUNCTION("""COMPUTED_VALUE"""),"PB3572")</f>
        <v>PB3572</v>
      </c>
      <c r="F17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1"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1" s="30" t="str">
        <f ca="1">IFERROR(__xludf.DUMMYFUNCTION("""COMPUTED_VALUE"""),"SUBSECRETARÍA DE DESARROLLO Y PROMOCIÓN ARTÍSTICA Y CULTURAL")</f>
        <v>SUBSECRETARÍA DE DESARROLLO Y PROMOCIÓN ARTÍSTICA Y CULTURAL</v>
      </c>
      <c r="I171" s="34" t="str">
        <f ca="1">IFERROR(__xludf.DUMMYFUNCTION("""COMPUTED_VALUE"""),"DIRECCIÓN GENERAL DE MUSEOS, ARTES VISUALES Y EXPOSICIONES")</f>
        <v>DIRECCIÓN GENERAL DE MUSEOS, ARTES VISUALES Y EXPOSICIONES</v>
      </c>
      <c r="J171" s="30" t="str">
        <f ca="1">IFERROR(__xludf.DUMMYFUNCTION("""COMPUTED_VALUE"""),"Número de Actividades realizadas")</f>
        <v>Número de Actividades realizadas</v>
      </c>
      <c r="K171" s="30">
        <f ca="1">IFERROR(__xludf.DUMMYFUNCTION("""COMPUTED_VALUE"""),12)</f>
        <v>12</v>
      </c>
      <c r="L171" s="30" t="str">
        <f ca="1">IFERROR(__xludf.DUMMYFUNCTION("""COMPUTED_VALUE"""),"Cultural")</f>
        <v>Cultural</v>
      </c>
      <c r="M171" s="30" t="str">
        <f ca="1">IFERROR(__xludf.DUMMYFUNCTION("""COMPUTED_VALUE"""),"Creando brechas para hacer puentes: activismo social en el Cerro del Cubilete")</f>
        <v>Creando brechas para hacer puentes: activismo social en el Cerro del Cubilete</v>
      </c>
      <c r="N171" s="30" t="str">
        <f ca="1">IFERROR(__xludf.DUMMYFUNCTION("""COMPUTED_VALUE"""),"Conferencia ""Creando brechas para hacer puentes: activismo social en el Cerro del Cubilete"".")</f>
        <v>Conferencia "Creando brechas para hacer puentes: activismo social en el Cerro del Cubilete".</v>
      </c>
      <c r="O171" s="30" t="str">
        <f ca="1">IFERROR(__xludf.DUMMYFUNCTION("""COMPUTED_VALUE"""),"Única")</f>
        <v>Única</v>
      </c>
      <c r="P171" s="33">
        <f ca="1">IFERROR(__xludf.DUMMYFUNCTION("""COMPUTED_VALUE"""),46178)</f>
        <v>46178</v>
      </c>
      <c r="Q171" s="33">
        <f ca="1">IFERROR(__xludf.DUMMYFUNCTION("""COMPUTED_VALUE"""),46178)</f>
        <v>46178</v>
      </c>
      <c r="R171" s="30">
        <f ca="1">IFERROR(__xludf.DUMMYFUNCTION("""COMPUTED_VALUE"""),1)</f>
        <v>1</v>
      </c>
      <c r="S171" s="30" t="str">
        <f ca="1">IFERROR(__xludf.DUMMYFUNCTION("""COMPUTED_VALUE"""),"Cultura comunitaria")</f>
        <v>Cultura comunitaria</v>
      </c>
      <c r="T171" s="30" t="str">
        <f ca="1">IFERROR(__xludf.DUMMYFUNCTION("""COMPUTED_VALUE"""),"Formación comunitaria")</f>
        <v>Formación comunitaria</v>
      </c>
      <c r="U171" s="30" t="str">
        <f ca="1">IFERROR(__xludf.DUMMYFUNCTION("""COMPUTED_VALUE"""),"Conferencia")</f>
        <v>Conferencia</v>
      </c>
      <c r="V171" s="30" t="str">
        <f ca="1">IFERROR(__xludf.DUMMYFUNCTION("""COMPUTED_VALUE"""),"Ninguna")</f>
        <v>Ninguna</v>
      </c>
      <c r="W171" s="30" t="str">
        <f ca="1">IFERROR(__xludf.DUMMYFUNCTION("""COMPUTED_VALUE"""),"Presencial")</f>
        <v>Presencial</v>
      </c>
      <c r="X171" s="30" t="str">
        <f ca="1">IFERROR(__xludf.DUMMYFUNCTION("""COMPUTED_VALUE"""),"Espacio a Cargo de la Secretaría")</f>
        <v>Espacio a Cargo de la Secretaría</v>
      </c>
      <c r="Y171" s="30" t="str">
        <f ca="1">IFERROR(__xludf.DUMMYFUNCTION("""COMPUTED_VALUE"""),"26")</f>
        <v>26</v>
      </c>
      <c r="Z171" s="30"/>
      <c r="AA171" s="30"/>
      <c r="AB171" s="30" t="b">
        <f ca="1">IFERROR(__xludf.DUMMYFUNCTION("""COMPUTED_VALUE"""),FALSE)</f>
        <v>0</v>
      </c>
      <c r="AC171" s="30"/>
      <c r="AD171" s="30" t="b">
        <f ca="1">IFERROR(__xludf.DUMMYFUNCTION("""COMPUTED_VALUE"""),FALSE)</f>
        <v>0</v>
      </c>
      <c r="AE171" s="30"/>
      <c r="AF171" s="30" t="b">
        <f ca="1">IFERROR(__xludf.DUMMYFUNCTION("""COMPUTED_VALUE"""),FALSE)</f>
        <v>0</v>
      </c>
      <c r="AG171" s="30"/>
      <c r="AH171" s="30" t="str">
        <f ca="1">IFERROR(__xludf.DUMMYFUNCTION("""COMPUTED_VALUE"""),"Sin costo")</f>
        <v>Sin costo</v>
      </c>
      <c r="AI171" s="30"/>
      <c r="AJ171" s="30"/>
      <c r="AK171" s="30"/>
      <c r="AL171" s="30" t="str">
        <f ca="1">IFERROR(__xludf.DUMMYFUNCTION("""COMPUTED_VALUE"""),"ccardonav@guanajuato.gob.mx")</f>
        <v>ccardonav@guanajuato.gob.mx</v>
      </c>
      <c r="AM171" s="30" t="str">
        <f ca="1">IFERROR(__xludf.DUMMYFUNCTION("""COMPUTED_VALUE"""),"Arraigo y empoderamiento cultural de comunidades.")</f>
        <v>Arraigo y empoderamiento cultural de comunidades.</v>
      </c>
      <c r="AN171" s="30" t="str">
        <f ca="1">IFERROR(__xludf.DUMMYFUNCTION("""COMPUTED_VALUE"""),"1 Tranquilidad")</f>
        <v>1 Tranquilidad</v>
      </c>
      <c r="AO171" s="30" t="str">
        <f ca="1">IFERROR(__xludf.DUMMYFUNCTION("""COMPUTED_VALUE"""),"1.2 Fortalecer prevención del delito")</f>
        <v>1.2 Fortalecer prevención del delito</v>
      </c>
      <c r="AP171" s="30" t="str">
        <f ca="1">IFERROR(__xludf.DUMMYFUNCTION("""COMPUTED_VALUE"""),"1.2.2 Fortalecimiento del tejido social")</f>
        <v>1.2.2 Fortalecimiento del tejido social</v>
      </c>
      <c r="AQ171" s="30" t="str">
        <f ca="1">IFERROR(__xludf.DUMMYFUNCTION("""COMPUTED_VALUE"""),"1.2.3.4 Promover una cultura de paz desde las expresiones artísticas y culturales")</f>
        <v>1.2.3.4 Promover una cultura de paz desde las expresiones artísticas y culturales</v>
      </c>
      <c r="AR171" s="30" t="str">
        <f ca="1">IFERROR(__xludf.DUMMYFUNCTION("""COMPUTED_VALUE"""),"Cooperación")</f>
        <v>Cooperación</v>
      </c>
      <c r="AS171" s="30"/>
      <c r="AT171" s="30" t="str">
        <f ca="1">IFERROR(__xludf.DUMMYFUNCTION("""COMPUTED_VALUE"""),"Fortalecimiento de la participación ciudadana y la mediación cultural")</f>
        <v>Fortalecimiento de la participación ciudadana y la mediación cultural</v>
      </c>
      <c r="AU171" s="30" t="str">
        <f ca="1">IFERROR(__xludf.DUMMYFUNCTION("""COMPUTED_VALUE"""),"Fortalecimiento del diálogo, la mediación y las capacidades de las redes comunitarias.")</f>
        <v>Fortalecimiento del diálogo, la mediación y las capacidades de las redes comunitarias.</v>
      </c>
      <c r="AV17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71" s="30" t="str">
        <f ca="1">IFERROR(__xludf.DUMMYFUNCTION("""COMPUTED_VALUE"""),"Incrementar en 25% la oferta cultural realizada en los municipios.")</f>
        <v>Incrementar en 25% la oferta cultural realizada en los municipios.</v>
      </c>
      <c r="AX171" s="30" t="str">
        <f ca="1">IFERROR(__xludf.DUMMYFUNCTION("""COMPUTED_VALUE"""),"Conferencia")</f>
        <v>Conferencia</v>
      </c>
      <c r="AY171" s="30" t="str">
        <f ca="1">IFERROR(__xludf.DUMMYFUNCTION("""COMPUTED_VALUE"""),"Formación")</f>
        <v>Formación</v>
      </c>
      <c r="AZ171" s="30" t="str">
        <f ca="1">IFERROR(__xludf.DUMMYFUNCTION("""COMPUTED_VALUE"""),"Formación")</f>
        <v>Formación</v>
      </c>
      <c r="BA171" s="30"/>
      <c r="BB171" s="30"/>
      <c r="BC171" s="30">
        <f ca="1">IFERROR(__xludf.DUMMYFUNCTION("""COMPUTED_VALUE"""),0)</f>
        <v>0</v>
      </c>
      <c r="BD171" s="30"/>
      <c r="BE171" s="30"/>
      <c r="BF171" s="30" t="b">
        <f ca="1">IFERROR(__xludf.DUMMYFUNCTION("""COMPUTED_VALUE"""),FALSE)</f>
        <v>0</v>
      </c>
      <c r="BG171" s="30"/>
      <c r="BH171" s="30"/>
      <c r="BI171" s="30"/>
      <c r="BJ171" s="30"/>
      <c r="BK171" s="30"/>
      <c r="BL171" s="30" t="str">
        <f ca="1">IFERROR(__xludf.DUMMYFUNCTION("""COMPUTED_VALUE"""),"Vinculación")</f>
        <v>Vinculación</v>
      </c>
      <c r="BM171" s="30" t="str">
        <f ca="1">IFERROR(__xludf.DUMMYFUNCTION("""COMPUTED_VALUE"""),"Sí")</f>
        <v>Sí</v>
      </c>
      <c r="BN171" s="30" t="str">
        <f ca="1">IFERROR(__xludf.DUMMYFUNCTION("""COMPUTED_VALUE"""),"Acompañamiento Técnico")</f>
        <v>Acompañamiento Técnico</v>
      </c>
      <c r="BO171" s="30" t="str">
        <f ca="1">IFERROR(__xludf.DUMMYFUNCTION("""COMPUTED_VALUE"""),"d3201ec0")</f>
        <v>d3201ec0</v>
      </c>
      <c r="BP171" s="29" t="str">
        <f ca="1">IFERROR(__xludf.DUMMYFUNCTION("""COMPUTED_VALUE"""),"Silao de la Victoria")</f>
        <v>Silao de la Victoria</v>
      </c>
      <c r="BQ171" s="30" t="str">
        <f ca="1">IFERROR(__xludf.DUMMYFUNCTION("""COMPUTED_VALUE"""),"Urbano")</f>
        <v>Urbano</v>
      </c>
      <c r="BR171" s="30">
        <f ca="1">IFERROR(__xludf.DUMMYFUNCTION("""COMPUTED_VALUE"""),215)</f>
        <v>215</v>
      </c>
      <c r="BS171" s="30" t="str">
        <f ca="1">IFERROR(__xludf.DUMMYFUNCTION("""COMPUTED_VALUE"""),"Silao")</f>
        <v>Silao</v>
      </c>
      <c r="BT171" s="30"/>
      <c r="BU171" s="30" t="str">
        <f ca="1">IFERROR(__xludf.DUMMYFUNCTION("""COMPUTED_VALUE"""),"Si")</f>
        <v>Si</v>
      </c>
      <c r="BV171" s="30" t="str">
        <f ca="1">IFERROR(__xludf.DUMMYFUNCTION("""COMPUTED_VALUE"""),"Si")</f>
        <v>Si</v>
      </c>
      <c r="BW171" s="30">
        <f ca="1">IFERROR(__xludf.DUMMYFUNCTION("""COMPUTED_VALUE"""),29)</f>
        <v>29</v>
      </c>
      <c r="BX171" s="30">
        <f ca="1">IFERROR(__xludf.DUMMYFUNCTION("""COMPUTED_VALUE"""),29)</f>
        <v>29</v>
      </c>
      <c r="BY171" s="30">
        <f ca="1">IFERROR(__xludf.DUMMYFUNCTION("""COMPUTED_VALUE"""),0)</f>
        <v>0</v>
      </c>
      <c r="BZ171" s="30" t="str">
        <f ca="1">IFERROR(__xludf.DUMMYFUNCTION("""COMPUTED_VALUE"""),"Silao")</f>
        <v>Silao</v>
      </c>
      <c r="CA171" s="30" t="str">
        <f ca="1">IFERROR(__xludf.DUMMYFUNCTION("""COMPUTED_VALUE"""),"No")</f>
        <v>No</v>
      </c>
      <c r="CB171" s="30" t="str">
        <f ca="1">IFERROR(__xludf.DUMMYFUNCTION("""COMPUTED_VALUE"""),"No")</f>
        <v>No</v>
      </c>
      <c r="CC171" s="30" t="str">
        <f ca="1">IFERROR(__xludf.DUMMYFUNCTION("""COMPUTED_VALUE"""),"a5a33a4d")</f>
        <v>a5a33a4d</v>
      </c>
      <c r="CD171" s="29" t="str">
        <f ca="1">IFERROR(__xludf.DUMMYFUNCTION("""COMPUTED_VALUE"""),"Adolescentes (13 a 17 años)")</f>
        <v>Adolescentes (13 a 17 años)</v>
      </c>
      <c r="CE171" s="30" t="str">
        <f ca="1">IFERROR(__xludf.DUMMYFUNCTION("""COMPUTED_VALUE"""),"Dato global")</f>
        <v>Dato global</v>
      </c>
      <c r="CF171" s="30" t="str">
        <f ca="1">IFERROR(__xludf.DUMMYFUNCTION("""COMPUTED_VALUE"""),"Ninguno (Población General)")</f>
        <v>Ninguno (Población General)</v>
      </c>
      <c r="CG171" s="30">
        <f ca="1">IFERROR(__xludf.DUMMYFUNCTION("""COMPUTED_VALUE"""),2)</f>
        <v>2</v>
      </c>
      <c r="CI171" s="30" t="str">
        <f ca="1">IFERROR(__xludf.DUMMYFUNCTION("""COMPUTED_VALUE"""),"207ccb49")</f>
        <v>207ccb49</v>
      </c>
      <c r="CJ171" s="29" t="str">
        <f ca="1">IFERROR(__xludf.DUMMYFUNCTION("""COMPUTED_VALUE"""),"Regitro_Evidencia_Files_/207ccb49.Archivo_Evidencia.164153.pdf")</f>
        <v>Regitro_Evidencia_Files_/207ccb49.Archivo_Evidencia.164153.pdf</v>
      </c>
      <c r="CK171" s="30" t="str">
        <f ca="1">IFERROR(__xludf.DUMMYFUNCTION("""COMPUTED_VALUE"""),"PDF")</f>
        <v>PDF</v>
      </c>
      <c r="CL171" s="30" t="str">
        <f ca="1">IFERROR(__xludf.DUMMYFUNCTION("""COMPUTED_VALUE"""),"Reporte de los visitantes virtuales den el mes de junio")</f>
        <v>Reporte de los visitantes virtuales den el mes de junio</v>
      </c>
      <c r="CM171" s="30" t="str">
        <f ca="1">IFERROR(__xludf.DUMMYFUNCTION("""COMPUTED_VALUE"""),"Silao de la Victoria")</f>
        <v>Silao de la Victoria</v>
      </c>
      <c r="CN171" s="32" t="e">
        <f ca="1"/>
        <v>#NAME?</v>
      </c>
      <c r="CO171" s="32" t="e">
        <f ca="1"/>
        <v>#NAME?</v>
      </c>
      <c r="CP171" s="32" t="e">
        <f ca="1"/>
        <v>#NAME?</v>
      </c>
      <c r="CQ171" s="32" t="e">
        <f ca="1"/>
        <v>#NAME?</v>
      </c>
      <c r="CR171" s="30" t="e">
        <f ca="1"/>
        <v>#NAME?</v>
      </c>
      <c r="CS171" s="30" t="str">
        <f ca="1">IFERROR(__xludf.DUMMYFUNCTION("""COMPUTED_VALUE"""),"Ninguno (Población General), Ninguno (Población General), Ninguno (Población General)")</f>
        <v>Ninguno (Población General), Ninguno (Población General), Ninguno (Población General)</v>
      </c>
    </row>
    <row r="172" spans="1:97" ht="13">
      <c r="A172" s="29" t="str">
        <f ca="1">IFERROR(__xludf.DUMMYFUNCTION("""COMPUTED_VALUE"""),"ACT-SCZR48473")</f>
        <v>ACT-SCZR48473</v>
      </c>
      <c r="B172" s="30" t="str">
        <f ca="1">IFERROR(__xludf.DUMMYFUNCTION("""COMPUTED_VALUE"""),"SC-260703-141631")</f>
        <v>SC-260703-141631</v>
      </c>
      <c r="C172" s="62">
        <f ca="1">IFERROR(__xludf.DUMMYFUNCTION("""COMPUTED_VALUE"""),46206.5948032407)</f>
        <v>46206.594803240703</v>
      </c>
      <c r="D172" s="30">
        <f ca="1">IFERROR(__xludf.DUMMYFUNCTION("""COMPUTED_VALUE"""),94)</f>
        <v>94</v>
      </c>
      <c r="E172" s="30" t="str">
        <f ca="1">IFERROR(__xludf.DUMMYFUNCTION("""COMPUTED_VALUE"""),"PB3572")</f>
        <v>PB3572</v>
      </c>
      <c r="F17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2"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2" s="30" t="str">
        <f ca="1">IFERROR(__xludf.DUMMYFUNCTION("""COMPUTED_VALUE"""),"SUBSECRETARÍA DE DESARROLLO Y PROMOCIÓN ARTÍSTICA Y CULTURAL")</f>
        <v>SUBSECRETARÍA DE DESARROLLO Y PROMOCIÓN ARTÍSTICA Y CULTURAL</v>
      </c>
      <c r="I172" s="34" t="str">
        <f ca="1">IFERROR(__xludf.DUMMYFUNCTION("""COMPUTED_VALUE"""),"DIRECCIÓN GENERAL DE MUSEOS, ARTES VISUALES Y EXPOSICIONES")</f>
        <v>DIRECCIÓN GENERAL DE MUSEOS, ARTES VISUALES Y EXPOSICIONES</v>
      </c>
      <c r="J172" s="30" t="str">
        <f ca="1">IFERROR(__xludf.DUMMYFUNCTION("""COMPUTED_VALUE"""),"Número de Actividades realizadas")</f>
        <v>Número de Actividades realizadas</v>
      </c>
      <c r="K172" s="30">
        <f ca="1">IFERROR(__xludf.DUMMYFUNCTION("""COMPUTED_VALUE"""),12)</f>
        <v>12</v>
      </c>
      <c r="L172" s="30" t="str">
        <f ca="1">IFERROR(__xludf.DUMMYFUNCTION("""COMPUTED_VALUE"""),"Cultural")</f>
        <v>Cultural</v>
      </c>
      <c r="M172" s="30" t="str">
        <f ca="1">IFERROR(__xludf.DUMMYFUNCTION("""COMPUTED_VALUE"""),"Cartonería, la tradición en nuestras manos.")</f>
        <v>Cartonería, la tradición en nuestras manos.</v>
      </c>
      <c r="N172" s="30" t="str">
        <f ca="1">IFERROR(__xludf.DUMMYFUNCTION("""COMPUTED_VALUE"""),"Conferencia sobre Cartonería, la tradición en nuestras manos.")</f>
        <v>Conferencia sobre Cartonería, la tradición en nuestras manos.</v>
      </c>
      <c r="O172" s="30" t="str">
        <f ca="1">IFERROR(__xludf.DUMMYFUNCTION("""COMPUTED_VALUE"""),"Única")</f>
        <v>Única</v>
      </c>
      <c r="P172" s="33">
        <f ca="1">IFERROR(__xludf.DUMMYFUNCTION("""COMPUTED_VALUE"""),46185)</f>
        <v>46185</v>
      </c>
      <c r="Q172" s="33">
        <f ca="1">IFERROR(__xludf.DUMMYFUNCTION("""COMPUTED_VALUE"""),46185)</f>
        <v>46185</v>
      </c>
      <c r="R172" s="30">
        <f ca="1">IFERROR(__xludf.DUMMYFUNCTION("""COMPUTED_VALUE"""),1)</f>
        <v>1</v>
      </c>
      <c r="S172" s="30" t="str">
        <f ca="1">IFERROR(__xludf.DUMMYFUNCTION("""COMPUTED_VALUE"""),"Artes visuales")</f>
        <v>Artes visuales</v>
      </c>
      <c r="T172" s="30" t="str">
        <f ca="1">IFERROR(__xludf.DUMMYFUNCTION("""COMPUTED_VALUE"""),"Arte urbano")</f>
        <v>Arte urbano</v>
      </c>
      <c r="U172" s="30" t="str">
        <f ca="1">IFERROR(__xludf.DUMMYFUNCTION("""COMPUTED_VALUE"""),"Conferencia")</f>
        <v>Conferencia</v>
      </c>
      <c r="V172" s="30" t="str">
        <f ca="1">IFERROR(__xludf.DUMMYFUNCTION("""COMPUTED_VALUE"""),"Ninguna")</f>
        <v>Ninguna</v>
      </c>
      <c r="W172" s="30" t="str">
        <f ca="1">IFERROR(__xludf.DUMMYFUNCTION("""COMPUTED_VALUE"""),"Presencial")</f>
        <v>Presencial</v>
      </c>
      <c r="X172" s="30" t="str">
        <f ca="1">IFERROR(__xludf.DUMMYFUNCTION("""COMPUTED_VALUE"""),"Espacio a Cargo de la Secretaría")</f>
        <v>Espacio a Cargo de la Secretaría</v>
      </c>
      <c r="Y172" s="30" t="str">
        <f ca="1">IFERROR(__xludf.DUMMYFUNCTION("""COMPUTED_VALUE"""),"26")</f>
        <v>26</v>
      </c>
      <c r="Z172" s="30"/>
      <c r="AA172" s="30"/>
      <c r="AB172" s="30" t="b">
        <f ca="1">IFERROR(__xludf.DUMMYFUNCTION("""COMPUTED_VALUE"""),FALSE)</f>
        <v>0</v>
      </c>
      <c r="AC172" s="30"/>
      <c r="AD172" s="30" t="b">
        <f ca="1">IFERROR(__xludf.DUMMYFUNCTION("""COMPUTED_VALUE"""),FALSE)</f>
        <v>0</v>
      </c>
      <c r="AE172" s="30"/>
      <c r="AF172" s="30" t="b">
        <f ca="1">IFERROR(__xludf.DUMMYFUNCTION("""COMPUTED_VALUE"""),FALSE)</f>
        <v>0</v>
      </c>
      <c r="AG172" s="30"/>
      <c r="AH172" s="30" t="str">
        <f ca="1">IFERROR(__xludf.DUMMYFUNCTION("""COMPUTED_VALUE"""),"Sin costo")</f>
        <v>Sin costo</v>
      </c>
      <c r="AI172" s="30"/>
      <c r="AJ172" s="30"/>
      <c r="AK172" s="30"/>
      <c r="AL172" s="30" t="str">
        <f ca="1">IFERROR(__xludf.DUMMYFUNCTION("""COMPUTED_VALUE"""),"ccardonav@guanajuato.gob.mx")</f>
        <v>ccardonav@guanajuato.gob.mx</v>
      </c>
      <c r="AM172" s="30" t="str">
        <f ca="1">IFERROR(__xludf.DUMMYFUNCTION("""COMPUTED_VALUE"""),"Arraigo y empoderamiento cultural de comunidades.")</f>
        <v>Arraigo y empoderamiento cultural de comunidades.</v>
      </c>
      <c r="AN172" s="30" t="str">
        <f ca="1">IFERROR(__xludf.DUMMYFUNCTION("""COMPUTED_VALUE"""),"1 Tranquilidad")</f>
        <v>1 Tranquilidad</v>
      </c>
      <c r="AO172" s="30" t="str">
        <f ca="1">IFERROR(__xludf.DUMMYFUNCTION("""COMPUTED_VALUE"""),"1.2 Fortalecer prevención del delito")</f>
        <v>1.2 Fortalecer prevención del delito</v>
      </c>
      <c r="AP172" s="30" t="str">
        <f ca="1">IFERROR(__xludf.DUMMYFUNCTION("""COMPUTED_VALUE"""),"1.2.2 Fortalecimiento del tejido social")</f>
        <v>1.2.2 Fortalecimiento del tejido social</v>
      </c>
      <c r="AQ172" s="30" t="str">
        <f ca="1">IFERROR(__xludf.DUMMYFUNCTION("""COMPUTED_VALUE"""),"1.2.3.4 Promover una cultura de paz desde las expresiones artísticas y culturales")</f>
        <v>1.2.3.4 Promover una cultura de paz desde las expresiones artísticas y culturales</v>
      </c>
      <c r="AR172" s="30" t="str">
        <f ca="1">IFERROR(__xludf.DUMMYFUNCTION("""COMPUTED_VALUE"""),"Cooperación")</f>
        <v>Cooperación</v>
      </c>
      <c r="AS172" s="30"/>
      <c r="AT172" s="30" t="str">
        <f ca="1">IFERROR(__xludf.DUMMYFUNCTION("""COMPUTED_VALUE"""),"Fortalecimiento de la participación ciudadana y la mediación cultural")</f>
        <v>Fortalecimiento de la participación ciudadana y la mediación cultural</v>
      </c>
      <c r="AU172" s="30" t="str">
        <f ca="1">IFERROR(__xludf.DUMMYFUNCTION("""COMPUTED_VALUE"""),"Fortalecimiento del diálogo, la mediación y las capacidades de las redes comunitarias.")</f>
        <v>Fortalecimiento del diálogo, la mediación y las capacidades de las redes comunitarias.</v>
      </c>
      <c r="AV17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72" s="30" t="str">
        <f ca="1">IFERROR(__xludf.DUMMYFUNCTION("""COMPUTED_VALUE"""),"Incrementar en 25% la oferta cultural realizada en los municipios.")</f>
        <v>Incrementar en 25% la oferta cultural realizada en los municipios.</v>
      </c>
      <c r="AX172" s="30" t="str">
        <f ca="1">IFERROR(__xludf.DUMMYFUNCTION("""COMPUTED_VALUE"""),"Conferencia")</f>
        <v>Conferencia</v>
      </c>
      <c r="AY172" s="30" t="str">
        <f ca="1">IFERROR(__xludf.DUMMYFUNCTION("""COMPUTED_VALUE"""),"Formación")</f>
        <v>Formación</v>
      </c>
      <c r="AZ172" s="30" t="str">
        <f ca="1">IFERROR(__xludf.DUMMYFUNCTION("""COMPUTED_VALUE"""),"Formación")</f>
        <v>Formación</v>
      </c>
      <c r="BA172" s="30"/>
      <c r="BB172" s="30"/>
      <c r="BC172" s="30">
        <f ca="1">IFERROR(__xludf.DUMMYFUNCTION("""COMPUTED_VALUE"""),0)</f>
        <v>0</v>
      </c>
      <c r="BD172" s="30"/>
      <c r="BE172" s="30"/>
      <c r="BF172" s="30" t="b">
        <f ca="1">IFERROR(__xludf.DUMMYFUNCTION("""COMPUTED_VALUE"""),FALSE)</f>
        <v>0</v>
      </c>
      <c r="BG172" s="30"/>
      <c r="BH172" s="30"/>
      <c r="BI172" s="30"/>
      <c r="BJ172" s="30"/>
      <c r="BK172" s="30"/>
      <c r="BL172" s="30" t="str">
        <f ca="1">IFERROR(__xludf.DUMMYFUNCTION("""COMPUTED_VALUE"""),"Vinculación")</f>
        <v>Vinculación</v>
      </c>
      <c r="BM172" s="30" t="str">
        <f ca="1">IFERROR(__xludf.DUMMYFUNCTION("""COMPUTED_VALUE"""),"Sí")</f>
        <v>Sí</v>
      </c>
      <c r="BN172" s="30" t="str">
        <f ca="1">IFERROR(__xludf.DUMMYFUNCTION("""COMPUTED_VALUE"""),"Acompañamiento Técnico")</f>
        <v>Acompañamiento Técnico</v>
      </c>
      <c r="BO172" s="30" t="str">
        <f ca="1">IFERROR(__xludf.DUMMYFUNCTION("""COMPUTED_VALUE"""),"f0b514e7")</f>
        <v>f0b514e7</v>
      </c>
      <c r="BP172" s="29" t="str">
        <f ca="1">IFERROR(__xludf.DUMMYFUNCTION("""COMPUTED_VALUE"""),"Silao de la Victoria")</f>
        <v>Silao de la Victoria</v>
      </c>
      <c r="BQ172" s="30" t="str">
        <f ca="1">IFERROR(__xludf.DUMMYFUNCTION("""COMPUTED_VALUE"""),"Urbano")</f>
        <v>Urbano</v>
      </c>
      <c r="BR172" s="30">
        <f ca="1">IFERROR(__xludf.DUMMYFUNCTION("""COMPUTED_VALUE"""),215)</f>
        <v>215</v>
      </c>
      <c r="BS172" s="30" t="str">
        <f ca="1">IFERROR(__xludf.DUMMYFUNCTION("""COMPUTED_VALUE"""),"Silao")</f>
        <v>Silao</v>
      </c>
      <c r="BT172" s="30"/>
      <c r="BU172" s="30" t="str">
        <f ca="1">IFERROR(__xludf.DUMMYFUNCTION("""COMPUTED_VALUE"""),"Si")</f>
        <v>Si</v>
      </c>
      <c r="BV172" s="30" t="str">
        <f ca="1">IFERROR(__xludf.DUMMYFUNCTION("""COMPUTED_VALUE"""),"Si")</f>
        <v>Si</v>
      </c>
      <c r="BW172" s="30">
        <f ca="1">IFERROR(__xludf.DUMMYFUNCTION("""COMPUTED_VALUE"""),18)</f>
        <v>18</v>
      </c>
      <c r="BX172" s="30">
        <f ca="1">IFERROR(__xludf.DUMMYFUNCTION("""COMPUTED_VALUE"""),18)</f>
        <v>18</v>
      </c>
      <c r="BY172" s="30">
        <f ca="1">IFERROR(__xludf.DUMMYFUNCTION("""COMPUTED_VALUE"""),0)</f>
        <v>0</v>
      </c>
      <c r="BZ172" s="30" t="str">
        <f ca="1">IFERROR(__xludf.DUMMYFUNCTION("""COMPUTED_VALUE"""),"Silao")</f>
        <v>Silao</v>
      </c>
      <c r="CA172" s="30" t="str">
        <f ca="1">IFERROR(__xludf.DUMMYFUNCTION("""COMPUTED_VALUE"""),"No")</f>
        <v>No</v>
      </c>
      <c r="CB172" s="30" t="str">
        <f ca="1">IFERROR(__xludf.DUMMYFUNCTION("""COMPUTED_VALUE"""),"No")</f>
        <v>No</v>
      </c>
      <c r="CC172" s="30" t="str">
        <f ca="1">IFERROR(__xludf.DUMMYFUNCTION("""COMPUTED_VALUE"""),"cd797666")</f>
        <v>cd797666</v>
      </c>
      <c r="CD172" s="29" t="str">
        <f ca="1">IFERROR(__xludf.DUMMYFUNCTION("""COMPUTED_VALUE"""),"Adolescentes (13 a 17 años)")</f>
        <v>Adolescentes (13 a 17 años)</v>
      </c>
      <c r="CE172" s="30" t="str">
        <f ca="1">IFERROR(__xludf.DUMMYFUNCTION("""COMPUTED_VALUE"""),"Dato global")</f>
        <v>Dato global</v>
      </c>
      <c r="CF172" s="30" t="str">
        <f ca="1">IFERROR(__xludf.DUMMYFUNCTION("""COMPUTED_VALUE"""),"Comunidad LGBTIQ+")</f>
        <v>Comunidad LGBTIQ+</v>
      </c>
      <c r="CG172" s="30">
        <f ca="1">IFERROR(__xludf.DUMMYFUNCTION("""COMPUTED_VALUE"""),5)</f>
        <v>5</v>
      </c>
      <c r="CI172" s="30" t="str">
        <f ca="1">IFERROR(__xludf.DUMMYFUNCTION("""COMPUTED_VALUE"""),"afe9f3a5")</f>
        <v>afe9f3a5</v>
      </c>
      <c r="CJ172" s="29" t="str">
        <f ca="1">IFERROR(__xludf.DUMMYFUNCTION("""COMPUTED_VALUE"""),"Regitro_Evidencia_Images/afe9f3a5.Archivo_Evidencia.193430.jpg")</f>
        <v>Regitro_Evidencia_Images/afe9f3a5.Archivo_Evidencia.193430.jpg</v>
      </c>
      <c r="CK172" s="30" t="str">
        <f ca="1">IFERROR(__xludf.DUMMYFUNCTION("""COMPUTED_VALUE"""),"Foto")</f>
        <v>Foto</v>
      </c>
      <c r="CL172" s="30" t="str">
        <f ca="1">IFERROR(__xludf.DUMMYFUNCTION("""COMPUTED_VALUE"""),"Dia de premiación")</f>
        <v>Dia de premiación</v>
      </c>
      <c r="CM172" s="30" t="str">
        <f ca="1">IFERROR(__xludf.DUMMYFUNCTION("""COMPUTED_VALUE"""),"Silao de la Victoria")</f>
        <v>Silao de la Victoria</v>
      </c>
      <c r="CN172" s="32" t="e">
        <f ca="1"/>
        <v>#NAME?</v>
      </c>
      <c r="CO172" s="32" t="e">
        <f ca="1"/>
        <v>#NAME?</v>
      </c>
      <c r="CP172" s="32" t="e">
        <f ca="1"/>
        <v>#NAME?</v>
      </c>
      <c r="CQ172" s="32" t="e">
        <f ca="1"/>
        <v>#NAME?</v>
      </c>
      <c r="CR172" s="30" t="e">
        <f ca="1"/>
        <v>#NAME?</v>
      </c>
      <c r="CS172" s="30" t="str">
        <f ca="1">IFERROR(__xludf.DUMMYFUNCTION("""COMPUTED_VALUE"""),"Ninguno (Población General), Ninguno (Población General)")</f>
        <v>Ninguno (Población General), Ninguno (Población General)</v>
      </c>
    </row>
    <row r="173" spans="1:97" ht="13">
      <c r="A173" s="29" t="str">
        <f ca="1">IFERROR(__xludf.DUMMYFUNCTION("""COMPUTED_VALUE"""),"ACT-SCMR72135")</f>
        <v>ACT-SCMR72135</v>
      </c>
      <c r="B173" s="30" t="str">
        <f ca="1">IFERROR(__xludf.DUMMYFUNCTION("""COMPUTED_VALUE"""),"SC-260703-142531")</f>
        <v>SC-260703-142531</v>
      </c>
      <c r="C173" s="62">
        <f ca="1">IFERROR(__xludf.DUMMYFUNCTION("""COMPUTED_VALUE"""),46206.6010532407)</f>
        <v>46206.601053240702</v>
      </c>
      <c r="D173" s="30">
        <f ca="1">IFERROR(__xludf.DUMMYFUNCTION("""COMPUTED_VALUE"""),94)</f>
        <v>94</v>
      </c>
      <c r="E173" s="30" t="str">
        <f ca="1">IFERROR(__xludf.DUMMYFUNCTION("""COMPUTED_VALUE"""),"PB3572")</f>
        <v>PB3572</v>
      </c>
      <c r="F17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3"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3" s="30" t="str">
        <f ca="1">IFERROR(__xludf.DUMMYFUNCTION("""COMPUTED_VALUE"""),"SUBSECRETARÍA DE DESARROLLO Y PROMOCIÓN ARTÍSTICA Y CULTURAL")</f>
        <v>SUBSECRETARÍA DE DESARROLLO Y PROMOCIÓN ARTÍSTICA Y CULTURAL</v>
      </c>
      <c r="I173" s="34" t="str">
        <f ca="1">IFERROR(__xludf.DUMMYFUNCTION("""COMPUTED_VALUE"""),"DIRECCIÓN GENERAL DE MUSEOS, ARTES VISUALES Y EXPOSICIONES")</f>
        <v>DIRECCIÓN GENERAL DE MUSEOS, ARTES VISUALES Y EXPOSICIONES</v>
      </c>
      <c r="J173" s="30" t="str">
        <f ca="1">IFERROR(__xludf.DUMMYFUNCTION("""COMPUTED_VALUE"""),"Número de Actividades realizadas")</f>
        <v>Número de Actividades realizadas</v>
      </c>
      <c r="K173" s="30">
        <f ca="1">IFERROR(__xludf.DUMMYFUNCTION("""COMPUTED_VALUE"""),12)</f>
        <v>12</v>
      </c>
      <c r="L173" s="30" t="str">
        <f ca="1">IFERROR(__xludf.DUMMYFUNCTION("""COMPUTED_VALUE"""),"Cultural")</f>
        <v>Cultural</v>
      </c>
      <c r="M173" s="30" t="str">
        <f ca="1">IFERROR(__xludf.DUMMYFUNCTION("""COMPUTED_VALUE"""),"Taller-conversatorio: “Efraín Huerta: el cronista del Alba”")</f>
        <v>Taller-conversatorio: “Efraín Huerta: el cronista del Alba”</v>
      </c>
      <c r="N173" s="30" t="str">
        <f ca="1">IFERROR(__xludf.DUMMYFUNCTION("""COMPUTED_VALUE"""),"Taller-conversatorio: “Efraín Huerta: el cronista del Alba”")</f>
        <v>Taller-conversatorio: “Efraín Huerta: el cronista del Alba”</v>
      </c>
      <c r="O173" s="30" t="str">
        <f ca="1">IFERROR(__xludf.DUMMYFUNCTION("""COMPUTED_VALUE"""),"Única")</f>
        <v>Única</v>
      </c>
      <c r="P173" s="33">
        <f ca="1">IFERROR(__xludf.DUMMYFUNCTION("""COMPUTED_VALUE"""),46192)</f>
        <v>46192</v>
      </c>
      <c r="Q173" s="33">
        <f ca="1">IFERROR(__xludf.DUMMYFUNCTION("""COMPUTED_VALUE"""),46192)</f>
        <v>46192</v>
      </c>
      <c r="R173" s="30">
        <f ca="1">IFERROR(__xludf.DUMMYFUNCTION("""COMPUTED_VALUE"""),1)</f>
        <v>1</v>
      </c>
      <c r="S173" s="30" t="str">
        <f ca="1">IFERROR(__xludf.DUMMYFUNCTION("""COMPUTED_VALUE"""),"Artes visuales")</f>
        <v>Artes visuales</v>
      </c>
      <c r="T173" s="30" t="str">
        <f ca="1">IFERROR(__xludf.DUMMYFUNCTION("""COMPUTED_VALUE"""),"Pintura")</f>
        <v>Pintura</v>
      </c>
      <c r="U173" s="30" t="str">
        <f ca="1">IFERROR(__xludf.DUMMYFUNCTION("""COMPUTED_VALUE"""),"Conversatorio")</f>
        <v>Conversatorio</v>
      </c>
      <c r="V173" s="30" t="str">
        <f ca="1">IFERROR(__xludf.DUMMYFUNCTION("""COMPUTED_VALUE"""),"Ninguna")</f>
        <v>Ninguna</v>
      </c>
      <c r="W173" s="30" t="str">
        <f ca="1">IFERROR(__xludf.DUMMYFUNCTION("""COMPUTED_VALUE"""),"Presencial")</f>
        <v>Presencial</v>
      </c>
      <c r="X173" s="30" t="str">
        <f ca="1">IFERROR(__xludf.DUMMYFUNCTION("""COMPUTED_VALUE"""),"Espacio a Cargo de la Secretaría")</f>
        <v>Espacio a Cargo de la Secretaría</v>
      </c>
      <c r="Y173" s="30" t="str">
        <f ca="1">IFERROR(__xludf.DUMMYFUNCTION("""COMPUTED_VALUE"""),"26")</f>
        <v>26</v>
      </c>
      <c r="Z173" s="30"/>
      <c r="AA173" s="30"/>
      <c r="AB173" s="30" t="b">
        <f ca="1">IFERROR(__xludf.DUMMYFUNCTION("""COMPUTED_VALUE"""),FALSE)</f>
        <v>0</v>
      </c>
      <c r="AC173" s="30"/>
      <c r="AD173" s="30" t="b">
        <f ca="1">IFERROR(__xludf.DUMMYFUNCTION("""COMPUTED_VALUE"""),FALSE)</f>
        <v>0</v>
      </c>
      <c r="AE173" s="30"/>
      <c r="AF173" s="30" t="b">
        <f ca="1">IFERROR(__xludf.DUMMYFUNCTION("""COMPUTED_VALUE"""),FALSE)</f>
        <v>0</v>
      </c>
      <c r="AG173" s="30"/>
      <c r="AH173" s="30" t="str">
        <f ca="1">IFERROR(__xludf.DUMMYFUNCTION("""COMPUTED_VALUE"""),"Sin costo")</f>
        <v>Sin costo</v>
      </c>
      <c r="AI173" s="30"/>
      <c r="AJ173" s="30"/>
      <c r="AK173" s="30"/>
      <c r="AL173" s="30" t="str">
        <f ca="1">IFERROR(__xludf.DUMMYFUNCTION("""COMPUTED_VALUE"""),"ccardonav@guanajuato.gob.mx")</f>
        <v>ccardonav@guanajuato.gob.mx</v>
      </c>
      <c r="AM173" s="30" t="str">
        <f ca="1">IFERROR(__xludf.DUMMYFUNCTION("""COMPUTED_VALUE"""),"Arraigo y empoderamiento cultural de comunidades.")</f>
        <v>Arraigo y empoderamiento cultural de comunidades.</v>
      </c>
      <c r="AN173" s="30" t="str">
        <f ca="1">IFERROR(__xludf.DUMMYFUNCTION("""COMPUTED_VALUE"""),"1 Tranquilidad")</f>
        <v>1 Tranquilidad</v>
      </c>
      <c r="AO173" s="30" t="str">
        <f ca="1">IFERROR(__xludf.DUMMYFUNCTION("""COMPUTED_VALUE"""),"1.2 Fortalecer prevención del delito")</f>
        <v>1.2 Fortalecer prevención del delito</v>
      </c>
      <c r="AP173" s="30" t="str">
        <f ca="1">IFERROR(__xludf.DUMMYFUNCTION("""COMPUTED_VALUE"""),"1.2.2 Fortalecimiento del tejido social")</f>
        <v>1.2.2 Fortalecimiento del tejido social</v>
      </c>
      <c r="AQ173" s="30" t="str">
        <f ca="1">IFERROR(__xludf.DUMMYFUNCTION("""COMPUTED_VALUE"""),"1.2.3.4 Promover una cultura de paz desde las expresiones artísticas y culturales")</f>
        <v>1.2.3.4 Promover una cultura de paz desde las expresiones artísticas y culturales</v>
      </c>
      <c r="AR173" s="30" t="str">
        <f ca="1">IFERROR(__xludf.DUMMYFUNCTION("""COMPUTED_VALUE"""),"Cooperación")</f>
        <v>Cooperación</v>
      </c>
      <c r="AS173" s="30"/>
      <c r="AT173" s="30" t="str">
        <f ca="1">IFERROR(__xludf.DUMMYFUNCTION("""COMPUTED_VALUE"""),"Fortalecimiento de la participación ciudadana y la mediación cultural")</f>
        <v>Fortalecimiento de la participación ciudadana y la mediación cultural</v>
      </c>
      <c r="AU173" s="30" t="str">
        <f ca="1">IFERROR(__xludf.DUMMYFUNCTION("""COMPUTED_VALUE"""),"Fortalecimiento del diálogo, la mediación y las capacidades de las redes comunitarias.")</f>
        <v>Fortalecimiento del diálogo, la mediación y las capacidades de las redes comunitarias.</v>
      </c>
      <c r="AV17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73" s="30" t="str">
        <f ca="1">IFERROR(__xludf.DUMMYFUNCTION("""COMPUTED_VALUE"""),"Incrementar en 25% la oferta cultural realizada en los municipios.")</f>
        <v>Incrementar en 25% la oferta cultural realizada en los municipios.</v>
      </c>
      <c r="AX173" s="30" t="str">
        <f ca="1">IFERROR(__xludf.DUMMYFUNCTION("""COMPUTED_VALUE"""),"Conversatorio")</f>
        <v>Conversatorio</v>
      </c>
      <c r="AY173" s="30" t="str">
        <f ca="1">IFERROR(__xludf.DUMMYFUNCTION("""COMPUTED_VALUE"""),"Formación")</f>
        <v>Formación</v>
      </c>
      <c r="AZ173" s="30" t="str">
        <f ca="1">IFERROR(__xludf.DUMMYFUNCTION("""COMPUTED_VALUE"""),"Formación")</f>
        <v>Formación</v>
      </c>
      <c r="BA173" s="30"/>
      <c r="BB173" s="30"/>
      <c r="BC173" s="30">
        <f ca="1">IFERROR(__xludf.DUMMYFUNCTION("""COMPUTED_VALUE"""),0)</f>
        <v>0</v>
      </c>
      <c r="BD173" s="30"/>
      <c r="BE173" s="30"/>
      <c r="BF173" s="30" t="b">
        <f ca="1">IFERROR(__xludf.DUMMYFUNCTION("""COMPUTED_VALUE"""),FALSE)</f>
        <v>0</v>
      </c>
      <c r="BG173" s="30"/>
      <c r="BH173" s="30"/>
      <c r="BI173" s="30"/>
      <c r="BJ173" s="30"/>
      <c r="BK173" s="30"/>
      <c r="BL173" s="30" t="str">
        <f ca="1">IFERROR(__xludf.DUMMYFUNCTION("""COMPUTED_VALUE"""),"Vinculación")</f>
        <v>Vinculación</v>
      </c>
      <c r="BM173" s="30" t="str">
        <f ca="1">IFERROR(__xludf.DUMMYFUNCTION("""COMPUTED_VALUE"""),"Sí")</f>
        <v>Sí</v>
      </c>
      <c r="BN173" s="30" t="str">
        <f ca="1">IFERROR(__xludf.DUMMYFUNCTION("""COMPUTED_VALUE"""),"Acompañamiento Técnico")</f>
        <v>Acompañamiento Técnico</v>
      </c>
      <c r="BO173" s="30" t="str">
        <f ca="1">IFERROR(__xludf.DUMMYFUNCTION("""COMPUTED_VALUE"""),"e8c24494")</f>
        <v>e8c24494</v>
      </c>
      <c r="BP173" s="29" t="str">
        <f ca="1">IFERROR(__xludf.DUMMYFUNCTION("""COMPUTED_VALUE"""),"Silao de la Victoria")</f>
        <v>Silao de la Victoria</v>
      </c>
      <c r="BQ173" s="30" t="str">
        <f ca="1">IFERROR(__xludf.DUMMYFUNCTION("""COMPUTED_VALUE"""),"Urbano")</f>
        <v>Urbano</v>
      </c>
      <c r="BR173" s="30">
        <f ca="1">IFERROR(__xludf.DUMMYFUNCTION("""COMPUTED_VALUE"""),215)</f>
        <v>215</v>
      </c>
      <c r="BS173" s="30" t="str">
        <f ca="1">IFERROR(__xludf.DUMMYFUNCTION("""COMPUTED_VALUE"""),"Silao")</f>
        <v>Silao</v>
      </c>
      <c r="BT173" s="30"/>
      <c r="BU173" s="30" t="str">
        <f ca="1">IFERROR(__xludf.DUMMYFUNCTION("""COMPUTED_VALUE"""),"Si")</f>
        <v>Si</v>
      </c>
      <c r="BV173" s="30" t="str">
        <f ca="1">IFERROR(__xludf.DUMMYFUNCTION("""COMPUTED_VALUE"""),"Si")</f>
        <v>Si</v>
      </c>
      <c r="BW173" s="30">
        <f ca="1">IFERROR(__xludf.DUMMYFUNCTION("""COMPUTED_VALUE"""),16)</f>
        <v>16</v>
      </c>
      <c r="BX173" s="30">
        <f ca="1">IFERROR(__xludf.DUMMYFUNCTION("""COMPUTED_VALUE"""),16)</f>
        <v>16</v>
      </c>
      <c r="BY173" s="30">
        <f ca="1">IFERROR(__xludf.DUMMYFUNCTION("""COMPUTED_VALUE"""),0)</f>
        <v>0</v>
      </c>
      <c r="BZ173" s="30" t="str">
        <f ca="1">IFERROR(__xludf.DUMMYFUNCTION("""COMPUTED_VALUE"""),"Silao")</f>
        <v>Silao</v>
      </c>
      <c r="CA173" s="30" t="str">
        <f ca="1">IFERROR(__xludf.DUMMYFUNCTION("""COMPUTED_VALUE"""),"No")</f>
        <v>No</v>
      </c>
      <c r="CB173" s="30" t="str">
        <f ca="1">IFERROR(__xludf.DUMMYFUNCTION("""COMPUTED_VALUE"""),"No")</f>
        <v>No</v>
      </c>
      <c r="CC173" s="30" t="str">
        <f ca="1">IFERROR(__xludf.DUMMYFUNCTION("""COMPUTED_VALUE"""),"3ad6303d")</f>
        <v>3ad6303d</v>
      </c>
      <c r="CD173" s="29" t="str">
        <f ca="1">IFERROR(__xludf.DUMMYFUNCTION("""COMPUTED_VALUE"""),"Jóvenes (18 a 29 años)")</f>
        <v>Jóvenes (18 a 29 años)</v>
      </c>
      <c r="CE173" s="30" t="str">
        <f ca="1">IFERROR(__xludf.DUMMYFUNCTION("""COMPUTED_VALUE"""),"Dato global")</f>
        <v>Dato global</v>
      </c>
      <c r="CF173" s="30" t="str">
        <f ca="1">IFERROR(__xludf.DUMMYFUNCTION("""COMPUTED_VALUE"""),"Comunidad LGBTIQ+")</f>
        <v>Comunidad LGBTIQ+</v>
      </c>
      <c r="CG173" s="30">
        <f ca="1">IFERROR(__xludf.DUMMYFUNCTION("""COMPUTED_VALUE"""),8)</f>
        <v>8</v>
      </c>
      <c r="CI173" s="30" t="str">
        <f ca="1">IFERROR(__xludf.DUMMYFUNCTION("""COMPUTED_VALUE"""),"e0498287")</f>
        <v>e0498287</v>
      </c>
      <c r="CJ173" s="29" t="str">
        <f ca="1">IFERROR(__xludf.DUMMYFUNCTION("""COMPUTED_VALUE"""),"Regitro_Evidencia_Images/e0498287.Archivo_Evidencia.205448.jpg")</f>
        <v>Regitro_Evidencia_Images/e0498287.Archivo_Evidencia.205448.jpg</v>
      </c>
      <c r="CK173" s="30" t="str">
        <f ca="1">IFERROR(__xludf.DUMMYFUNCTION("""COMPUTED_VALUE"""),"Foto")</f>
        <v>Foto</v>
      </c>
      <c r="CL173" s="30" t="str">
        <f ca="1">IFERROR(__xludf.DUMMYFUNCTION("""COMPUTED_VALUE"""),"Festival Literario")</f>
        <v>Festival Literario</v>
      </c>
      <c r="CM173" s="30" t="str">
        <f ca="1">IFERROR(__xludf.DUMMYFUNCTION("""COMPUTED_VALUE"""),"Silao de la Victoria")</f>
        <v>Silao de la Victoria</v>
      </c>
      <c r="CN173" s="32" t="e">
        <f ca="1"/>
        <v>#NAME?</v>
      </c>
      <c r="CO173" s="32" t="e">
        <f ca="1"/>
        <v>#NAME?</v>
      </c>
      <c r="CP173" s="32" t="e">
        <f ca="1"/>
        <v>#NAME?</v>
      </c>
      <c r="CQ173" s="32" t="e">
        <f ca="1"/>
        <v>#NAME?</v>
      </c>
      <c r="CR173" s="30" t="e">
        <f ca="1"/>
        <v>#NAME?</v>
      </c>
      <c r="CS173" s="30" t="str">
        <f ca="1">IFERROR(__xludf.DUMMYFUNCTION("""COMPUTED_VALUE"""),"Ninguno (Población General), Ninguno (Población General)")</f>
        <v>Ninguno (Población General), Ninguno (Población General)</v>
      </c>
    </row>
    <row r="174" spans="1:97" ht="13">
      <c r="A174" s="29" t="str">
        <f ca="1">IFERROR(__xludf.DUMMYFUNCTION("""COMPUTED_VALUE"""),"ACT-SCWY89313")</f>
        <v>ACT-SCWY89313</v>
      </c>
      <c r="B174" s="30" t="str">
        <f ca="1">IFERROR(__xludf.DUMMYFUNCTION("""COMPUTED_VALUE"""),"SC-260703-143548")</f>
        <v>SC-260703-143548</v>
      </c>
      <c r="C174" s="62">
        <f ca="1">IFERROR(__xludf.DUMMYFUNCTION("""COMPUTED_VALUE"""),46206.6081944444)</f>
        <v>46206.608194444401</v>
      </c>
      <c r="D174" s="30">
        <f ca="1">IFERROR(__xludf.DUMMYFUNCTION("""COMPUTED_VALUE"""),94)</f>
        <v>94</v>
      </c>
      <c r="E174" s="30" t="str">
        <f ca="1">IFERROR(__xludf.DUMMYFUNCTION("""COMPUTED_VALUE"""),"PB3572")</f>
        <v>PB3572</v>
      </c>
      <c r="F17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4"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4" s="30" t="str">
        <f ca="1">IFERROR(__xludf.DUMMYFUNCTION("""COMPUTED_VALUE"""),"SUBSECRETARÍA DE DESARROLLO Y PROMOCIÓN ARTÍSTICA Y CULTURAL")</f>
        <v>SUBSECRETARÍA DE DESARROLLO Y PROMOCIÓN ARTÍSTICA Y CULTURAL</v>
      </c>
      <c r="I174" s="34" t="str">
        <f ca="1">IFERROR(__xludf.DUMMYFUNCTION("""COMPUTED_VALUE"""),"DIRECCIÓN GENERAL DE MUSEOS, ARTES VISUALES Y EXPOSICIONES")</f>
        <v>DIRECCIÓN GENERAL DE MUSEOS, ARTES VISUALES Y EXPOSICIONES</v>
      </c>
      <c r="J174" s="30" t="str">
        <f ca="1">IFERROR(__xludf.DUMMYFUNCTION("""COMPUTED_VALUE"""),"Número de Actividades realizadas")</f>
        <v>Número de Actividades realizadas</v>
      </c>
      <c r="K174" s="30">
        <f ca="1">IFERROR(__xludf.DUMMYFUNCTION("""COMPUTED_VALUE"""),12)</f>
        <v>12</v>
      </c>
      <c r="L174" s="30" t="str">
        <f ca="1">IFERROR(__xludf.DUMMYFUNCTION("""COMPUTED_VALUE"""),"Artística")</f>
        <v>Artística</v>
      </c>
      <c r="M174" s="30" t="str">
        <f ca="1">IFERROR(__xludf.DUMMYFUNCTION("""COMPUTED_VALUE"""),"Crearte ""Taller de acuarela""")</f>
        <v>Crearte "Taller de acuarela"</v>
      </c>
      <c r="N174" s="30" t="str">
        <f ca="1">IFERROR(__xludf.DUMMYFUNCTION("""COMPUTED_VALUE"""),"Taller de acuarela")</f>
        <v>Taller de acuarela</v>
      </c>
      <c r="O174" s="30" t="str">
        <f ca="1">IFERROR(__xludf.DUMMYFUNCTION("""COMPUTED_VALUE"""),"Semanal")</f>
        <v>Semanal</v>
      </c>
      <c r="P174" s="33">
        <f ca="1">IFERROR(__xludf.DUMMYFUNCTION("""COMPUTED_VALUE"""),46179)</f>
        <v>46179</v>
      </c>
      <c r="Q174" s="33">
        <f ca="1">IFERROR(__xludf.DUMMYFUNCTION("""COMPUTED_VALUE"""),46200)</f>
        <v>46200</v>
      </c>
      <c r="R174" s="30">
        <f ca="1">IFERROR(__xludf.DUMMYFUNCTION("""COMPUTED_VALUE"""),4)</f>
        <v>4</v>
      </c>
      <c r="S174" s="30" t="str">
        <f ca="1">IFERROR(__xludf.DUMMYFUNCTION("""COMPUTED_VALUE"""),"Cultura comunitaria")</f>
        <v>Cultura comunitaria</v>
      </c>
      <c r="T174" s="30" t="str">
        <f ca="1">IFERROR(__xludf.DUMMYFUNCTION("""COMPUTED_VALUE"""),"Formación comunitaria")</f>
        <v>Formación comunitaria</v>
      </c>
      <c r="U174" s="30" t="str">
        <f ca="1">IFERROR(__xludf.DUMMYFUNCTION("""COMPUTED_VALUE"""),"Taller")</f>
        <v>Taller</v>
      </c>
      <c r="V174" s="30" t="str">
        <f ca="1">IFERROR(__xludf.DUMMYFUNCTION("""COMPUTED_VALUE"""),"Ninguna")</f>
        <v>Ninguna</v>
      </c>
      <c r="W174" s="30" t="str">
        <f ca="1">IFERROR(__xludf.DUMMYFUNCTION("""COMPUTED_VALUE"""),"Presencial")</f>
        <v>Presencial</v>
      </c>
      <c r="X174" s="30" t="str">
        <f ca="1">IFERROR(__xludf.DUMMYFUNCTION("""COMPUTED_VALUE"""),"Espacio a Cargo de la Secretaría")</f>
        <v>Espacio a Cargo de la Secretaría</v>
      </c>
      <c r="Y174" s="30" t="str">
        <f ca="1">IFERROR(__xludf.DUMMYFUNCTION("""COMPUTED_VALUE"""),"26")</f>
        <v>26</v>
      </c>
      <c r="Z174" s="30"/>
      <c r="AA174" s="30"/>
      <c r="AB174" s="30" t="b">
        <f ca="1">IFERROR(__xludf.DUMMYFUNCTION("""COMPUTED_VALUE"""),FALSE)</f>
        <v>0</v>
      </c>
      <c r="AC174" s="30"/>
      <c r="AD174" s="30" t="b">
        <f ca="1">IFERROR(__xludf.DUMMYFUNCTION("""COMPUTED_VALUE"""),FALSE)</f>
        <v>0</v>
      </c>
      <c r="AE174" s="30"/>
      <c r="AF174" s="30" t="b">
        <f ca="1">IFERROR(__xludf.DUMMYFUNCTION("""COMPUTED_VALUE"""),FALSE)</f>
        <v>0</v>
      </c>
      <c r="AG174" s="30"/>
      <c r="AH174" s="30" t="str">
        <f ca="1">IFERROR(__xludf.DUMMYFUNCTION("""COMPUTED_VALUE"""),"Sin costo")</f>
        <v>Sin costo</v>
      </c>
      <c r="AI174" s="30"/>
      <c r="AJ174" s="30"/>
      <c r="AK174" s="30"/>
      <c r="AL174" s="30" t="str">
        <f ca="1">IFERROR(__xludf.DUMMYFUNCTION("""COMPUTED_VALUE"""),"ccardonav@guanajuato.gob.mx")</f>
        <v>ccardonav@guanajuato.gob.mx</v>
      </c>
      <c r="AM174" s="30" t="str">
        <f ca="1">IFERROR(__xludf.DUMMYFUNCTION("""COMPUTED_VALUE"""),"Arraigo y empoderamiento cultural de comunidades.")</f>
        <v>Arraigo y empoderamiento cultural de comunidades.</v>
      </c>
      <c r="AN174" s="30" t="str">
        <f ca="1">IFERROR(__xludf.DUMMYFUNCTION("""COMPUTED_VALUE"""),"1 Tranquilidad")</f>
        <v>1 Tranquilidad</v>
      </c>
      <c r="AO174" s="30" t="str">
        <f ca="1">IFERROR(__xludf.DUMMYFUNCTION("""COMPUTED_VALUE"""),"1.2 Fortalecer prevención del delito")</f>
        <v>1.2 Fortalecer prevención del delito</v>
      </c>
      <c r="AP174" s="30" t="str">
        <f ca="1">IFERROR(__xludf.DUMMYFUNCTION("""COMPUTED_VALUE"""),"1.2.2 Fortalecimiento del tejido social")</f>
        <v>1.2.2 Fortalecimiento del tejido social</v>
      </c>
      <c r="AQ174" s="30" t="str">
        <f ca="1">IFERROR(__xludf.DUMMYFUNCTION("""COMPUTED_VALUE"""),"1.2.3.4 Promover una cultura de paz desde las expresiones artísticas y culturales")</f>
        <v>1.2.3.4 Promover una cultura de paz desde las expresiones artísticas y culturales</v>
      </c>
      <c r="AR174" s="30" t="str">
        <f ca="1">IFERROR(__xludf.DUMMYFUNCTION("""COMPUTED_VALUE"""),"Cooperación")</f>
        <v>Cooperación</v>
      </c>
      <c r="AS174" s="30"/>
      <c r="AT174" s="30" t="str">
        <f ca="1">IFERROR(__xludf.DUMMYFUNCTION("""COMPUTED_VALUE"""),"Sostenibilidad del trabajo cultural y la economía creativa.")</f>
        <v>Sostenibilidad del trabajo cultural y la economía creativa.</v>
      </c>
      <c r="AU174"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74" s="30" t="str">
        <f ca="1">IFERROR(__xludf.DUMMYFUNCTION("""COMPUTED_VALUE"""),"Diseñar programas de formación y gestión cultural de base comunitaria.")</f>
        <v>Diseñar programas de formación y gestión cultural de base comunitaria.</v>
      </c>
      <c r="AW174"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74" s="30" t="str">
        <f ca="1">IFERROR(__xludf.DUMMYFUNCTION("""COMPUTED_VALUE"""),"Taller")</f>
        <v>Taller</v>
      </c>
      <c r="AY174" s="30" t="str">
        <f ca="1">IFERROR(__xludf.DUMMYFUNCTION("""COMPUTED_VALUE"""),"Formación")</f>
        <v>Formación</v>
      </c>
      <c r="AZ174" s="30" t="str">
        <f ca="1">IFERROR(__xludf.DUMMYFUNCTION("""COMPUTED_VALUE"""),"Formación")</f>
        <v>Formación</v>
      </c>
      <c r="BA174" s="30"/>
      <c r="BB174" s="30"/>
      <c r="BC174" s="30">
        <f ca="1">IFERROR(__xludf.DUMMYFUNCTION("""COMPUTED_VALUE"""),0)</f>
        <v>0</v>
      </c>
      <c r="BD174" s="30"/>
      <c r="BE174" s="30"/>
      <c r="BF174" s="30" t="b">
        <f ca="1">IFERROR(__xludf.DUMMYFUNCTION("""COMPUTED_VALUE"""),FALSE)</f>
        <v>0</v>
      </c>
      <c r="BG174" s="30"/>
      <c r="BH174" s="30"/>
      <c r="BI174" s="30"/>
      <c r="BJ174" s="30"/>
      <c r="BK174" s="30"/>
      <c r="BL174" s="30" t="str">
        <f ca="1">IFERROR(__xludf.DUMMYFUNCTION("""COMPUTED_VALUE"""),"Vinculación")</f>
        <v>Vinculación</v>
      </c>
      <c r="BM174" s="30" t="str">
        <f ca="1">IFERROR(__xludf.DUMMYFUNCTION("""COMPUTED_VALUE"""),"Sí")</f>
        <v>Sí</v>
      </c>
      <c r="BN174" s="30" t="str">
        <f ca="1">IFERROR(__xludf.DUMMYFUNCTION("""COMPUTED_VALUE"""),"Acompañamiento Técnico")</f>
        <v>Acompañamiento Técnico</v>
      </c>
      <c r="BO174" s="30" t="str">
        <f ca="1">IFERROR(__xludf.DUMMYFUNCTION("""COMPUTED_VALUE"""),"4860c88b")</f>
        <v>4860c88b</v>
      </c>
      <c r="BP174" s="29" t="str">
        <f ca="1">IFERROR(__xludf.DUMMYFUNCTION("""COMPUTED_VALUE"""),"Silao de la Victoria")</f>
        <v>Silao de la Victoria</v>
      </c>
      <c r="BQ174" s="30" t="str">
        <f ca="1">IFERROR(__xludf.DUMMYFUNCTION("""COMPUTED_VALUE"""),"Urbano")</f>
        <v>Urbano</v>
      </c>
      <c r="BR174" s="30">
        <f ca="1">IFERROR(__xludf.DUMMYFUNCTION("""COMPUTED_VALUE"""),215)</f>
        <v>215</v>
      </c>
      <c r="BS174" s="30" t="str">
        <f ca="1">IFERROR(__xludf.DUMMYFUNCTION("""COMPUTED_VALUE"""),"Silao")</f>
        <v>Silao</v>
      </c>
      <c r="BT174" s="30"/>
      <c r="BU174" s="30" t="str">
        <f ca="1">IFERROR(__xludf.DUMMYFUNCTION("""COMPUTED_VALUE"""),"Si")</f>
        <v>Si</v>
      </c>
      <c r="BV174" s="30" t="str">
        <f ca="1">IFERROR(__xludf.DUMMYFUNCTION("""COMPUTED_VALUE"""),"Si")</f>
        <v>Si</v>
      </c>
      <c r="BW174" s="30">
        <f ca="1">IFERROR(__xludf.DUMMYFUNCTION("""COMPUTED_VALUE"""),18)</f>
        <v>18</v>
      </c>
      <c r="BX174" s="30"/>
      <c r="BY174" s="30">
        <f ca="1">IFERROR(__xludf.DUMMYFUNCTION("""COMPUTED_VALUE"""),18)</f>
        <v>18</v>
      </c>
      <c r="BZ174" s="30" t="str">
        <f ca="1">IFERROR(__xludf.DUMMYFUNCTION("""COMPUTED_VALUE"""),"Silao")</f>
        <v>Silao</v>
      </c>
      <c r="CA174" s="30" t="str">
        <f ca="1">IFERROR(__xludf.DUMMYFUNCTION("""COMPUTED_VALUE"""),"No")</f>
        <v>No</v>
      </c>
      <c r="CB174" s="30" t="str">
        <f ca="1">IFERROR(__xludf.DUMMYFUNCTION("""COMPUTED_VALUE"""),"No")</f>
        <v>No</v>
      </c>
      <c r="CC174" s="30" t="str">
        <f ca="1">IFERROR(__xludf.DUMMYFUNCTION("""COMPUTED_VALUE"""),"dd0fa473")</f>
        <v>dd0fa473</v>
      </c>
      <c r="CD174" s="29" t="str">
        <f ca="1">IFERROR(__xludf.DUMMYFUNCTION("""COMPUTED_VALUE"""),"Adultos (30 a 59 años)")</f>
        <v>Adultos (30 a 59 años)</v>
      </c>
      <c r="CE174" s="30" t="str">
        <f ca="1">IFERROR(__xludf.DUMMYFUNCTION("""COMPUTED_VALUE"""),"Dato global")</f>
        <v>Dato global</v>
      </c>
      <c r="CF174" s="30" t="str">
        <f ca="1">IFERROR(__xludf.DUMMYFUNCTION("""COMPUTED_VALUE"""),"Comunidad LGBTIQ+")</f>
        <v>Comunidad LGBTIQ+</v>
      </c>
      <c r="CG174" s="30">
        <f ca="1">IFERROR(__xludf.DUMMYFUNCTION("""COMPUTED_VALUE"""),10)</f>
        <v>10</v>
      </c>
      <c r="CI174" s="30" t="str">
        <f ca="1">IFERROR(__xludf.DUMMYFUNCTION("""COMPUTED_VALUE"""),"75ed8056")</f>
        <v>75ed8056</v>
      </c>
      <c r="CJ174" s="29" t="str">
        <f ca="1">IFERROR(__xludf.DUMMYFUNCTION("""COMPUTED_VALUE"""),"Regitro_Evidencia_Images/75ed8056.Archivo_Evidencia.211405.jpg")</f>
        <v>Regitro_Evidencia_Images/75ed8056.Archivo_Evidencia.211405.jpg</v>
      </c>
      <c r="CK174" s="30"/>
      <c r="CL174" s="30"/>
      <c r="CM174" s="30" t="str">
        <f ca="1">IFERROR(__xludf.DUMMYFUNCTION("""COMPUTED_VALUE"""),"Silao de la Victoria")</f>
        <v>Silao de la Victoria</v>
      </c>
      <c r="CN174" s="32" t="e">
        <f ca="1"/>
        <v>#NAME?</v>
      </c>
      <c r="CO174" s="32" t="e">
        <f ca="1"/>
        <v>#NAME?</v>
      </c>
      <c r="CP174" s="32" t="e">
        <f ca="1"/>
        <v>#NAME?</v>
      </c>
      <c r="CQ174" s="32" t="e">
        <f ca="1"/>
        <v>#NAME?</v>
      </c>
      <c r="CR174" s="30" t="e">
        <f ca="1"/>
        <v>#NAME?</v>
      </c>
      <c r="CS174" s="30" t="str">
        <f ca="1">IFERROR(__xludf.DUMMYFUNCTION("""COMPUTED_VALUE"""),"Población General")</f>
        <v>Población General</v>
      </c>
    </row>
    <row r="175" spans="1:97" ht="13">
      <c r="A175" s="29" t="str">
        <f ca="1">IFERROR(__xludf.DUMMYFUNCTION("""COMPUTED_VALUE"""),"ACT-SCYM74376")</f>
        <v>ACT-SCYM74376</v>
      </c>
      <c r="B175" s="30" t="str">
        <f ca="1">IFERROR(__xludf.DUMMYFUNCTION("""COMPUTED_VALUE"""),"SC-260703-144750")</f>
        <v>SC-260703-144750</v>
      </c>
      <c r="C175" s="62">
        <f ca="1">IFERROR(__xludf.DUMMYFUNCTION("""COMPUTED_VALUE"""),46206.6165509259)</f>
        <v>46206.616550925901</v>
      </c>
      <c r="D175" s="30">
        <f ca="1">IFERROR(__xludf.DUMMYFUNCTION("""COMPUTED_VALUE"""),94)</f>
        <v>94</v>
      </c>
      <c r="E175" s="30" t="str">
        <f ca="1">IFERROR(__xludf.DUMMYFUNCTION("""COMPUTED_VALUE"""),"PB3572")</f>
        <v>PB3572</v>
      </c>
      <c r="F17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5"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5" s="30" t="str">
        <f ca="1">IFERROR(__xludf.DUMMYFUNCTION("""COMPUTED_VALUE"""),"SUBSECRETARÍA DE DESARROLLO Y PROMOCIÓN ARTÍSTICA Y CULTURAL")</f>
        <v>SUBSECRETARÍA DE DESARROLLO Y PROMOCIÓN ARTÍSTICA Y CULTURAL</v>
      </c>
      <c r="I175" s="34" t="str">
        <f ca="1">IFERROR(__xludf.DUMMYFUNCTION("""COMPUTED_VALUE"""),"DIRECCIÓN GENERAL DE MUSEOS, ARTES VISUALES Y EXPOSICIONES")</f>
        <v>DIRECCIÓN GENERAL DE MUSEOS, ARTES VISUALES Y EXPOSICIONES</v>
      </c>
      <c r="J175" s="30" t="str">
        <f ca="1">IFERROR(__xludf.DUMMYFUNCTION("""COMPUTED_VALUE"""),"Número de Actividades realizadas")</f>
        <v>Número de Actividades realizadas</v>
      </c>
      <c r="K175" s="30">
        <f ca="1">IFERROR(__xludf.DUMMYFUNCTION("""COMPUTED_VALUE"""),12)</f>
        <v>12</v>
      </c>
      <c r="L175" s="30" t="str">
        <f ca="1">IFERROR(__xludf.DUMMYFUNCTION("""COMPUTED_VALUE"""),"Artística")</f>
        <v>Artística</v>
      </c>
      <c r="M175" s="30" t="str">
        <f ca="1">IFERROR(__xludf.DUMMYFUNCTION("""COMPUTED_VALUE"""),"Fanzinarte: Taller de Comic")</f>
        <v>Fanzinarte: Taller de Comic</v>
      </c>
      <c r="N175" s="30" t="str">
        <f ca="1">IFERROR(__xludf.DUMMYFUNCTION("""COMPUTED_VALUE"""),"Taller de dibujo de comic")</f>
        <v>Taller de dibujo de comic</v>
      </c>
      <c r="O175" s="30" t="str">
        <f ca="1">IFERROR(__xludf.DUMMYFUNCTION("""COMPUTED_VALUE"""),"Semanal")</f>
        <v>Semanal</v>
      </c>
      <c r="P175" s="33">
        <f ca="1">IFERROR(__xludf.DUMMYFUNCTION("""COMPUTED_VALUE"""),46176)</f>
        <v>46176</v>
      </c>
      <c r="Q175" s="33">
        <f ca="1">IFERROR(__xludf.DUMMYFUNCTION("""COMPUTED_VALUE"""),46197)</f>
        <v>46197</v>
      </c>
      <c r="R175" s="30">
        <f ca="1">IFERROR(__xludf.DUMMYFUNCTION("""COMPUTED_VALUE"""),1)</f>
        <v>1</v>
      </c>
      <c r="S175" s="30" t="str">
        <f ca="1">IFERROR(__xludf.DUMMYFUNCTION("""COMPUTED_VALUE"""),"Cultura comunitaria")</f>
        <v>Cultura comunitaria</v>
      </c>
      <c r="T175" s="30" t="str">
        <f ca="1">IFERROR(__xludf.DUMMYFUNCTION("""COMPUTED_VALUE"""),"Formación comunitaria")</f>
        <v>Formación comunitaria</v>
      </c>
      <c r="U175" s="30" t="str">
        <f ca="1">IFERROR(__xludf.DUMMYFUNCTION("""COMPUTED_VALUE"""),"Taller")</f>
        <v>Taller</v>
      </c>
      <c r="V175" s="30" t="str">
        <f ca="1">IFERROR(__xludf.DUMMYFUNCTION("""COMPUTED_VALUE"""),"Ninguna")</f>
        <v>Ninguna</v>
      </c>
      <c r="W175" s="30" t="str">
        <f ca="1">IFERROR(__xludf.DUMMYFUNCTION("""COMPUTED_VALUE"""),"Presencial")</f>
        <v>Presencial</v>
      </c>
      <c r="X175" s="30" t="str">
        <f ca="1">IFERROR(__xludf.DUMMYFUNCTION("""COMPUTED_VALUE"""),"Espacio a Cargo de la Secretaría")</f>
        <v>Espacio a Cargo de la Secretaría</v>
      </c>
      <c r="Y175" s="30" t="str">
        <f ca="1">IFERROR(__xludf.DUMMYFUNCTION("""COMPUTED_VALUE"""),"26")</f>
        <v>26</v>
      </c>
      <c r="Z175" s="30"/>
      <c r="AA175" s="30"/>
      <c r="AB175" s="30" t="b">
        <f ca="1">IFERROR(__xludf.DUMMYFUNCTION("""COMPUTED_VALUE"""),FALSE)</f>
        <v>0</v>
      </c>
      <c r="AC175" s="30"/>
      <c r="AD175" s="30" t="b">
        <f ca="1">IFERROR(__xludf.DUMMYFUNCTION("""COMPUTED_VALUE"""),FALSE)</f>
        <v>0</v>
      </c>
      <c r="AE175" s="30"/>
      <c r="AF175" s="30" t="b">
        <f ca="1">IFERROR(__xludf.DUMMYFUNCTION("""COMPUTED_VALUE"""),FALSE)</f>
        <v>0</v>
      </c>
      <c r="AG175" s="30"/>
      <c r="AH175" s="30" t="str">
        <f ca="1">IFERROR(__xludf.DUMMYFUNCTION("""COMPUTED_VALUE"""),"Sin costo")</f>
        <v>Sin costo</v>
      </c>
      <c r="AI175" s="30"/>
      <c r="AJ175" s="30"/>
      <c r="AK175" s="30"/>
      <c r="AL175" s="30" t="str">
        <f ca="1">IFERROR(__xludf.DUMMYFUNCTION("""COMPUTED_VALUE"""),"ccardonav@guanajuato.gob.mx")</f>
        <v>ccardonav@guanajuato.gob.mx</v>
      </c>
      <c r="AM175" s="30" t="str">
        <f ca="1">IFERROR(__xludf.DUMMYFUNCTION("""COMPUTED_VALUE"""),"Arraigo y empoderamiento cultural de comunidades.")</f>
        <v>Arraigo y empoderamiento cultural de comunidades.</v>
      </c>
      <c r="AN175" s="30" t="str">
        <f ca="1">IFERROR(__xludf.DUMMYFUNCTION("""COMPUTED_VALUE"""),"1 Tranquilidad")</f>
        <v>1 Tranquilidad</v>
      </c>
      <c r="AO175" s="30" t="str">
        <f ca="1">IFERROR(__xludf.DUMMYFUNCTION("""COMPUTED_VALUE"""),"1.2 Fortalecer prevención del delito")</f>
        <v>1.2 Fortalecer prevención del delito</v>
      </c>
      <c r="AP175" s="30" t="str">
        <f ca="1">IFERROR(__xludf.DUMMYFUNCTION("""COMPUTED_VALUE"""),"1.2.2 Fortalecimiento del tejido social")</f>
        <v>1.2.2 Fortalecimiento del tejido social</v>
      </c>
      <c r="AQ175" s="30" t="str">
        <f ca="1">IFERROR(__xludf.DUMMYFUNCTION("""COMPUTED_VALUE"""),"1.2.3.4 Promover una cultura de paz desde las expresiones artísticas y culturales")</f>
        <v>1.2.3.4 Promover una cultura de paz desde las expresiones artísticas y culturales</v>
      </c>
      <c r="AR175" s="30" t="str">
        <f ca="1">IFERROR(__xludf.DUMMYFUNCTION("""COMPUTED_VALUE"""),"Cooperación")</f>
        <v>Cooperación</v>
      </c>
      <c r="AS175" s="30"/>
      <c r="AT175" s="30" t="str">
        <f ca="1">IFERROR(__xludf.DUMMYFUNCTION("""COMPUTED_VALUE"""),"Sostenibilidad del trabajo cultural y la economía creativa.")</f>
        <v>Sostenibilidad del trabajo cultural y la economía creativa.</v>
      </c>
      <c r="AU175"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75" s="30" t="str">
        <f ca="1">IFERROR(__xludf.DUMMYFUNCTION("""COMPUTED_VALUE"""),"Diseñar programas de formación y gestión cultural de base comunitaria.")</f>
        <v>Diseñar programas de formación y gestión cultural de base comunitaria.</v>
      </c>
      <c r="AW175"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75" s="30" t="str">
        <f ca="1">IFERROR(__xludf.DUMMYFUNCTION("""COMPUTED_VALUE"""),"Taller")</f>
        <v>Taller</v>
      </c>
      <c r="AY175" s="30" t="str">
        <f ca="1">IFERROR(__xludf.DUMMYFUNCTION("""COMPUTED_VALUE"""),"Formación")</f>
        <v>Formación</v>
      </c>
      <c r="AZ175" s="30" t="str">
        <f ca="1">IFERROR(__xludf.DUMMYFUNCTION("""COMPUTED_VALUE"""),"Formación")</f>
        <v>Formación</v>
      </c>
      <c r="BA175" s="30"/>
      <c r="BB175" s="30"/>
      <c r="BC175" s="30">
        <f ca="1">IFERROR(__xludf.DUMMYFUNCTION("""COMPUTED_VALUE"""),0)</f>
        <v>0</v>
      </c>
      <c r="BD175" s="30"/>
      <c r="BE175" s="30"/>
      <c r="BF175" s="30" t="b">
        <f ca="1">IFERROR(__xludf.DUMMYFUNCTION("""COMPUTED_VALUE"""),FALSE)</f>
        <v>0</v>
      </c>
      <c r="BG175" s="30"/>
      <c r="BH175" s="30"/>
      <c r="BI175" s="30"/>
      <c r="BJ175" s="30"/>
      <c r="BK175" s="30"/>
      <c r="BL175" s="30" t="str">
        <f ca="1">IFERROR(__xludf.DUMMYFUNCTION("""COMPUTED_VALUE"""),"Vinculación")</f>
        <v>Vinculación</v>
      </c>
      <c r="BM175" s="30" t="str">
        <f ca="1">IFERROR(__xludf.DUMMYFUNCTION("""COMPUTED_VALUE"""),"Sí")</f>
        <v>Sí</v>
      </c>
      <c r="BN175" s="30" t="str">
        <f ca="1">IFERROR(__xludf.DUMMYFUNCTION("""COMPUTED_VALUE"""),"Acompañamiento Técnico")</f>
        <v>Acompañamiento Técnico</v>
      </c>
      <c r="BO175" s="30" t="str">
        <f ca="1">IFERROR(__xludf.DUMMYFUNCTION("""COMPUTED_VALUE"""),"af5603db")</f>
        <v>af5603db</v>
      </c>
      <c r="BP175" s="29" t="str">
        <f ca="1">IFERROR(__xludf.DUMMYFUNCTION("""COMPUTED_VALUE"""),"Silao de la Victoria")</f>
        <v>Silao de la Victoria</v>
      </c>
      <c r="BQ175" s="30" t="str">
        <f ca="1">IFERROR(__xludf.DUMMYFUNCTION("""COMPUTED_VALUE"""),"Urbano")</f>
        <v>Urbano</v>
      </c>
      <c r="BR175" s="30">
        <f ca="1">IFERROR(__xludf.DUMMYFUNCTION("""COMPUTED_VALUE"""),215)</f>
        <v>215</v>
      </c>
      <c r="BS175" s="30" t="str">
        <f ca="1">IFERROR(__xludf.DUMMYFUNCTION("""COMPUTED_VALUE"""),"Silao")</f>
        <v>Silao</v>
      </c>
      <c r="BT175" s="30"/>
      <c r="BU175" s="30" t="str">
        <f ca="1">IFERROR(__xludf.DUMMYFUNCTION("""COMPUTED_VALUE"""),"Si")</f>
        <v>Si</v>
      </c>
      <c r="BV175" s="30" t="str">
        <f ca="1">IFERROR(__xludf.DUMMYFUNCTION("""COMPUTED_VALUE"""),"Si")</f>
        <v>Si</v>
      </c>
      <c r="BW175" s="30">
        <f ca="1">IFERROR(__xludf.DUMMYFUNCTION("""COMPUTED_VALUE"""),34)</f>
        <v>34</v>
      </c>
      <c r="BX175" s="30"/>
      <c r="BY175" s="30">
        <f ca="1">IFERROR(__xludf.DUMMYFUNCTION("""COMPUTED_VALUE"""),34)</f>
        <v>34</v>
      </c>
      <c r="BZ175" s="30" t="str">
        <f ca="1">IFERROR(__xludf.DUMMYFUNCTION("""COMPUTED_VALUE"""),"Silao")</f>
        <v>Silao</v>
      </c>
      <c r="CA175" s="30" t="str">
        <f ca="1">IFERROR(__xludf.DUMMYFUNCTION("""COMPUTED_VALUE"""),"No")</f>
        <v>No</v>
      </c>
      <c r="CB175" s="30" t="str">
        <f ca="1">IFERROR(__xludf.DUMMYFUNCTION("""COMPUTED_VALUE"""),"No")</f>
        <v>No</v>
      </c>
      <c r="CC175" s="30" t="str">
        <f ca="1">IFERROR(__xludf.DUMMYFUNCTION("""COMPUTED_VALUE"""),"0b02a88d")</f>
        <v>0b02a88d</v>
      </c>
      <c r="CD175" s="29" t="str">
        <f ca="1">IFERROR(__xludf.DUMMYFUNCTION("""COMPUTED_VALUE"""),"Niñas y Niños (6 a 12 años)")</f>
        <v>Niñas y Niños (6 a 12 años)</v>
      </c>
      <c r="CE175" s="30" t="str">
        <f ca="1">IFERROR(__xludf.DUMMYFUNCTION("""COMPUTED_VALUE"""),"Dato global")</f>
        <v>Dato global</v>
      </c>
      <c r="CF175" s="30" t="str">
        <f ca="1">IFERROR(__xludf.DUMMYFUNCTION("""COMPUTED_VALUE"""),"NNA (Niñas, Niños y Adolescentes)")</f>
        <v>NNA (Niñas, Niños y Adolescentes)</v>
      </c>
      <c r="CG175" s="30">
        <f ca="1">IFERROR(__xludf.DUMMYFUNCTION("""COMPUTED_VALUE"""),2)</f>
        <v>2</v>
      </c>
      <c r="CI175" s="30" t="str">
        <f ca="1">IFERROR(__xludf.DUMMYFUNCTION("""COMPUTED_VALUE"""),"f4c7bbe6")</f>
        <v>f4c7bbe6</v>
      </c>
      <c r="CJ175" s="29" t="str">
        <f ca="1">IFERROR(__xludf.DUMMYFUNCTION("""COMPUTED_VALUE"""),"Regitro_Evidencia_Files_/f4c7bbe6.Archivo_Evidencia.222554.pdf")</f>
        <v>Regitro_Evidencia_Files_/f4c7bbe6.Archivo_Evidencia.222554.pdf</v>
      </c>
      <c r="CK175" s="30" t="str">
        <f ca="1">IFERROR(__xludf.DUMMYFUNCTION("""COMPUTED_VALUE"""),"PDF")</f>
        <v>PDF</v>
      </c>
      <c r="CL175" s="30"/>
      <c r="CM175" s="30" t="str">
        <f ca="1">IFERROR(__xludf.DUMMYFUNCTION("""COMPUTED_VALUE"""),"Salvatierra")</f>
        <v>Salvatierra</v>
      </c>
      <c r="CN175" s="32" t="e">
        <f ca="1"/>
        <v>#NAME?</v>
      </c>
      <c r="CO175" s="32" t="e">
        <f ca="1"/>
        <v>#NAME?</v>
      </c>
      <c r="CP175" s="32" t="e">
        <f ca="1"/>
        <v>#NAME?</v>
      </c>
      <c r="CQ175" s="32" t="e">
        <f ca="1"/>
        <v>#NAME?</v>
      </c>
      <c r="CR175" s="30" t="e">
        <f ca="1"/>
        <v>#NAME?</v>
      </c>
      <c r="CS175" s="30" t="str">
        <f ca="1">IFERROR(__xludf.DUMMYFUNCTION("""COMPUTED_VALUE"""),"Ninguno (Población General), Ninguno (Población General), Ninguno (Población General)")</f>
        <v>Ninguno (Población General), Ninguno (Población General), Ninguno (Población General)</v>
      </c>
    </row>
    <row r="176" spans="1:97" ht="13">
      <c r="A176" s="29" t="str">
        <f ca="1">IFERROR(__xludf.DUMMYFUNCTION("""COMPUTED_VALUE"""),"ACT-SCUW89025")</f>
        <v>ACT-SCUW89025</v>
      </c>
      <c r="B176" s="30" t="str">
        <f ca="1">IFERROR(__xludf.DUMMYFUNCTION("""COMPUTED_VALUE"""),"SC-260703-150205")</f>
        <v>SC-260703-150205</v>
      </c>
      <c r="C176" s="62">
        <f ca="1">IFERROR(__xludf.DUMMYFUNCTION("""COMPUTED_VALUE"""),46206.6264467592)</f>
        <v>46206.626446759197</v>
      </c>
      <c r="D176" s="30">
        <f ca="1">IFERROR(__xludf.DUMMYFUNCTION("""COMPUTED_VALUE"""),94)</f>
        <v>94</v>
      </c>
      <c r="E176" s="30" t="str">
        <f ca="1">IFERROR(__xludf.DUMMYFUNCTION("""COMPUTED_VALUE"""),"PB3572")</f>
        <v>PB3572</v>
      </c>
      <c r="F17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6"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6" s="30" t="str">
        <f ca="1">IFERROR(__xludf.DUMMYFUNCTION("""COMPUTED_VALUE"""),"SUBSECRETARÍA DE DESARROLLO Y PROMOCIÓN ARTÍSTICA Y CULTURAL")</f>
        <v>SUBSECRETARÍA DE DESARROLLO Y PROMOCIÓN ARTÍSTICA Y CULTURAL</v>
      </c>
      <c r="I176" s="34" t="str">
        <f ca="1">IFERROR(__xludf.DUMMYFUNCTION("""COMPUTED_VALUE"""),"DIRECCIÓN GENERAL DE MUSEOS, ARTES VISUALES Y EXPOSICIONES")</f>
        <v>DIRECCIÓN GENERAL DE MUSEOS, ARTES VISUALES Y EXPOSICIONES</v>
      </c>
      <c r="J176" s="30" t="str">
        <f ca="1">IFERROR(__xludf.DUMMYFUNCTION("""COMPUTED_VALUE"""),"Número de Actividades realizadas")</f>
        <v>Número de Actividades realizadas</v>
      </c>
      <c r="K176" s="30">
        <f ca="1">IFERROR(__xludf.DUMMYFUNCTION("""COMPUTED_VALUE"""),12)</f>
        <v>12</v>
      </c>
      <c r="L176" s="30" t="str">
        <f ca="1">IFERROR(__xludf.DUMMYFUNCTION("""COMPUTED_VALUE"""),"Artística")</f>
        <v>Artística</v>
      </c>
      <c r="M176" s="30" t="str">
        <f ca="1">IFERROR(__xludf.DUMMYFUNCTION("""COMPUTED_VALUE"""),"Identiarte: Taller de cartoneria")</f>
        <v>Identiarte: Taller de cartoneria</v>
      </c>
      <c r="N176" s="30" t="str">
        <f ca="1">IFERROR(__xludf.DUMMYFUNCTION("""COMPUTED_VALUE"""),"Identiarte: Taller de Cartoneria")</f>
        <v>Identiarte: Taller de Cartoneria</v>
      </c>
      <c r="O176" s="30" t="str">
        <f ca="1">IFERROR(__xludf.DUMMYFUNCTION("""COMPUTED_VALUE"""),"Semanal")</f>
        <v>Semanal</v>
      </c>
      <c r="P176" s="33">
        <f ca="1">IFERROR(__xludf.DUMMYFUNCTION("""COMPUTED_VALUE"""),46177)</f>
        <v>46177</v>
      </c>
      <c r="Q176" s="33">
        <f ca="1">IFERROR(__xludf.DUMMYFUNCTION("""COMPUTED_VALUE"""),46198)</f>
        <v>46198</v>
      </c>
      <c r="R176" s="30">
        <f ca="1">IFERROR(__xludf.DUMMYFUNCTION("""COMPUTED_VALUE"""),4)</f>
        <v>4</v>
      </c>
      <c r="S176" s="30" t="str">
        <f ca="1">IFERROR(__xludf.DUMMYFUNCTION("""COMPUTED_VALUE"""),"Cultura comunitaria")</f>
        <v>Cultura comunitaria</v>
      </c>
      <c r="T176" s="30" t="str">
        <f ca="1">IFERROR(__xludf.DUMMYFUNCTION("""COMPUTED_VALUE"""),"Formación comunitaria")</f>
        <v>Formación comunitaria</v>
      </c>
      <c r="U176" s="30" t="str">
        <f ca="1">IFERROR(__xludf.DUMMYFUNCTION("""COMPUTED_VALUE"""),"Taller")</f>
        <v>Taller</v>
      </c>
      <c r="V176" s="30" t="str">
        <f ca="1">IFERROR(__xludf.DUMMYFUNCTION("""COMPUTED_VALUE"""),"Ninguna")</f>
        <v>Ninguna</v>
      </c>
      <c r="W176" s="30" t="str">
        <f ca="1">IFERROR(__xludf.DUMMYFUNCTION("""COMPUTED_VALUE"""),"Presencial")</f>
        <v>Presencial</v>
      </c>
      <c r="X176" s="30" t="str">
        <f ca="1">IFERROR(__xludf.DUMMYFUNCTION("""COMPUTED_VALUE"""),"Espacio a Cargo de la Secretaría")</f>
        <v>Espacio a Cargo de la Secretaría</v>
      </c>
      <c r="Y176" s="30" t="str">
        <f ca="1">IFERROR(__xludf.DUMMYFUNCTION("""COMPUTED_VALUE"""),"26")</f>
        <v>26</v>
      </c>
      <c r="Z176" s="30"/>
      <c r="AA176" s="30"/>
      <c r="AB176" s="30" t="b">
        <f ca="1">IFERROR(__xludf.DUMMYFUNCTION("""COMPUTED_VALUE"""),FALSE)</f>
        <v>0</v>
      </c>
      <c r="AC176" s="30"/>
      <c r="AD176" s="30" t="b">
        <f ca="1">IFERROR(__xludf.DUMMYFUNCTION("""COMPUTED_VALUE"""),FALSE)</f>
        <v>0</v>
      </c>
      <c r="AE176" s="30"/>
      <c r="AF176" s="30" t="b">
        <f ca="1">IFERROR(__xludf.DUMMYFUNCTION("""COMPUTED_VALUE"""),FALSE)</f>
        <v>0</v>
      </c>
      <c r="AG176" s="30"/>
      <c r="AH176" s="30" t="str">
        <f ca="1">IFERROR(__xludf.DUMMYFUNCTION("""COMPUTED_VALUE"""),"Sin costo")</f>
        <v>Sin costo</v>
      </c>
      <c r="AI176" s="30"/>
      <c r="AJ176" s="30"/>
      <c r="AK176" s="30"/>
      <c r="AL176" s="30" t="str">
        <f ca="1">IFERROR(__xludf.DUMMYFUNCTION("""COMPUTED_VALUE"""),"ccardonav@guanajuato.gob.mx")</f>
        <v>ccardonav@guanajuato.gob.mx</v>
      </c>
      <c r="AM176" s="30" t="str">
        <f ca="1">IFERROR(__xludf.DUMMYFUNCTION("""COMPUTED_VALUE"""),"Arraigo y empoderamiento cultural de comunidades.")</f>
        <v>Arraigo y empoderamiento cultural de comunidades.</v>
      </c>
      <c r="AN176" s="30" t="str">
        <f ca="1">IFERROR(__xludf.DUMMYFUNCTION("""COMPUTED_VALUE"""),"1 Tranquilidad")</f>
        <v>1 Tranquilidad</v>
      </c>
      <c r="AO176" s="30" t="str">
        <f ca="1">IFERROR(__xludf.DUMMYFUNCTION("""COMPUTED_VALUE"""),"1.2 Fortalecer prevención del delito")</f>
        <v>1.2 Fortalecer prevención del delito</v>
      </c>
      <c r="AP176" s="30" t="str">
        <f ca="1">IFERROR(__xludf.DUMMYFUNCTION("""COMPUTED_VALUE"""),"1.2.2 Fortalecimiento del tejido social")</f>
        <v>1.2.2 Fortalecimiento del tejido social</v>
      </c>
      <c r="AQ176" s="30" t="str">
        <f ca="1">IFERROR(__xludf.DUMMYFUNCTION("""COMPUTED_VALUE"""),"1.2.3.4 Promover una cultura de paz desde las expresiones artísticas y culturales")</f>
        <v>1.2.3.4 Promover una cultura de paz desde las expresiones artísticas y culturales</v>
      </c>
      <c r="AR176" s="30" t="str">
        <f ca="1">IFERROR(__xludf.DUMMYFUNCTION("""COMPUTED_VALUE"""),"Cooperación")</f>
        <v>Cooperación</v>
      </c>
      <c r="AS176" s="30"/>
      <c r="AT176" s="30" t="str">
        <f ca="1">IFERROR(__xludf.DUMMYFUNCTION("""COMPUTED_VALUE"""),"Sostenibilidad del trabajo cultural y la economía creativa.")</f>
        <v>Sostenibilidad del trabajo cultural y la economía creativa.</v>
      </c>
      <c r="AU176"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76" s="30" t="str">
        <f ca="1">IFERROR(__xludf.DUMMYFUNCTION("""COMPUTED_VALUE"""),"Diseñar programas de formación y gestión cultural de base comunitaria.")</f>
        <v>Diseñar programas de formación y gestión cultural de base comunitaria.</v>
      </c>
      <c r="AW176"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76" s="30" t="str">
        <f ca="1">IFERROR(__xludf.DUMMYFUNCTION("""COMPUTED_VALUE"""),"Taller")</f>
        <v>Taller</v>
      </c>
      <c r="AY176" s="30" t="str">
        <f ca="1">IFERROR(__xludf.DUMMYFUNCTION("""COMPUTED_VALUE"""),"Formación")</f>
        <v>Formación</v>
      </c>
      <c r="AZ176" s="30" t="str">
        <f ca="1">IFERROR(__xludf.DUMMYFUNCTION("""COMPUTED_VALUE"""),"Formación")</f>
        <v>Formación</v>
      </c>
      <c r="BA176" s="30"/>
      <c r="BB176" s="30"/>
      <c r="BC176" s="30">
        <f ca="1">IFERROR(__xludf.DUMMYFUNCTION("""COMPUTED_VALUE"""),0)</f>
        <v>0</v>
      </c>
      <c r="BD176" s="30"/>
      <c r="BE176" s="30"/>
      <c r="BF176" s="30" t="b">
        <f ca="1">IFERROR(__xludf.DUMMYFUNCTION("""COMPUTED_VALUE"""),FALSE)</f>
        <v>0</v>
      </c>
      <c r="BG176" s="30"/>
      <c r="BH176" s="30"/>
      <c r="BI176" s="30"/>
      <c r="BJ176" s="30"/>
      <c r="BK176" s="30"/>
      <c r="BL176" s="30" t="str">
        <f ca="1">IFERROR(__xludf.DUMMYFUNCTION("""COMPUTED_VALUE"""),"Vinculación")</f>
        <v>Vinculación</v>
      </c>
      <c r="BM176" s="30" t="str">
        <f ca="1">IFERROR(__xludf.DUMMYFUNCTION("""COMPUTED_VALUE"""),"Sí")</f>
        <v>Sí</v>
      </c>
      <c r="BN176" s="30" t="str">
        <f ca="1">IFERROR(__xludf.DUMMYFUNCTION("""COMPUTED_VALUE"""),"Acompañamiento Técnico")</f>
        <v>Acompañamiento Técnico</v>
      </c>
      <c r="BO176" s="30" t="str">
        <f ca="1">IFERROR(__xludf.DUMMYFUNCTION("""COMPUTED_VALUE"""),"6ef0c93e")</f>
        <v>6ef0c93e</v>
      </c>
      <c r="BP176" s="29" t="str">
        <f ca="1">IFERROR(__xludf.DUMMYFUNCTION("""COMPUTED_VALUE"""),"Silao de la Victoria")</f>
        <v>Silao de la Victoria</v>
      </c>
      <c r="BQ176" s="30" t="str">
        <f ca="1">IFERROR(__xludf.DUMMYFUNCTION("""COMPUTED_VALUE"""),"Urbano")</f>
        <v>Urbano</v>
      </c>
      <c r="BR176" s="30">
        <f ca="1">IFERROR(__xludf.DUMMYFUNCTION("""COMPUTED_VALUE"""),215)</f>
        <v>215</v>
      </c>
      <c r="BS176" s="30" t="str">
        <f ca="1">IFERROR(__xludf.DUMMYFUNCTION("""COMPUTED_VALUE"""),"Silao")</f>
        <v>Silao</v>
      </c>
      <c r="BT176" s="30"/>
      <c r="BU176" s="30" t="str">
        <f ca="1">IFERROR(__xludf.DUMMYFUNCTION("""COMPUTED_VALUE"""),"Si")</f>
        <v>Si</v>
      </c>
      <c r="BV176" s="30" t="str">
        <f ca="1">IFERROR(__xludf.DUMMYFUNCTION("""COMPUTED_VALUE"""),"Si")</f>
        <v>Si</v>
      </c>
      <c r="BW176" s="30">
        <f ca="1">IFERROR(__xludf.DUMMYFUNCTION("""COMPUTED_VALUE"""),29)</f>
        <v>29</v>
      </c>
      <c r="BX176" s="30"/>
      <c r="BY176" s="30">
        <f ca="1">IFERROR(__xludf.DUMMYFUNCTION("""COMPUTED_VALUE"""),29)</f>
        <v>29</v>
      </c>
      <c r="BZ176" s="30" t="str">
        <f ca="1">IFERROR(__xludf.DUMMYFUNCTION("""COMPUTED_VALUE"""),"Silao")</f>
        <v>Silao</v>
      </c>
      <c r="CA176" s="30" t="str">
        <f ca="1">IFERROR(__xludf.DUMMYFUNCTION("""COMPUTED_VALUE"""),"No")</f>
        <v>No</v>
      </c>
      <c r="CB176" s="30" t="str">
        <f ca="1">IFERROR(__xludf.DUMMYFUNCTION("""COMPUTED_VALUE"""),"No")</f>
        <v>No</v>
      </c>
      <c r="CC176" s="30" t="str">
        <f ca="1">IFERROR(__xludf.DUMMYFUNCTION("""COMPUTED_VALUE"""),"14f1b897")</f>
        <v>14f1b897</v>
      </c>
      <c r="CD176" s="29" t="str">
        <f ca="1">IFERROR(__xludf.DUMMYFUNCTION("""COMPUTED_VALUE"""),"Adolescentes (13 a 17 años)")</f>
        <v>Adolescentes (13 a 17 años)</v>
      </c>
      <c r="CE176" s="30" t="str">
        <f ca="1">IFERROR(__xludf.DUMMYFUNCTION("""COMPUTED_VALUE"""),"Dato global")</f>
        <v>Dato global</v>
      </c>
      <c r="CF176" s="30" t="str">
        <f ca="1">IFERROR(__xludf.DUMMYFUNCTION("""COMPUTED_VALUE"""),"NNA (Niñas, Niños y Adolescentes)")</f>
        <v>NNA (Niñas, Niños y Adolescentes)</v>
      </c>
      <c r="CG176" s="30">
        <f ca="1">IFERROR(__xludf.DUMMYFUNCTION("""COMPUTED_VALUE"""),1)</f>
        <v>1</v>
      </c>
      <c r="CI176" s="30" t="str">
        <f ca="1">IFERROR(__xludf.DUMMYFUNCTION("""COMPUTED_VALUE"""),"1cfae502")</f>
        <v>1cfae502</v>
      </c>
      <c r="CJ176" s="29" t="str">
        <f ca="1">IFERROR(__xludf.DUMMYFUNCTION("""COMPUTED_VALUE"""),"Regitro_Evidencia_Images/1cfae502.Archivo_Evidencia.164046.jpg")</f>
        <v>Regitro_Evidencia_Images/1cfae502.Archivo_Evidencia.164046.jpg</v>
      </c>
      <c r="CK176" s="30" t="str">
        <f ca="1">IFERROR(__xludf.DUMMYFUNCTION("""COMPUTED_VALUE"""),"Foto")</f>
        <v>Foto</v>
      </c>
      <c r="CL176" s="30"/>
      <c r="CM176" s="30" t="str">
        <f ca="1">IFERROR(__xludf.DUMMYFUNCTION("""COMPUTED_VALUE"""),"Ciudad Manuel Doblado")</f>
        <v>Ciudad Manuel Doblado</v>
      </c>
      <c r="CN176" s="32" t="e">
        <f ca="1"/>
        <v>#NAME?</v>
      </c>
      <c r="CO176" s="32" t="e">
        <f ca="1"/>
        <v>#NAME?</v>
      </c>
      <c r="CP176" s="32" t="e">
        <f ca="1"/>
        <v>#NAME?</v>
      </c>
      <c r="CQ176" s="32" t="e">
        <f ca="1"/>
        <v>#NAME?</v>
      </c>
      <c r="CR176" s="30" t="e">
        <f ca="1"/>
        <v>#NAME?</v>
      </c>
      <c r="CS176"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177" spans="1:97" ht="13">
      <c r="A177" s="29" t="str">
        <f ca="1">IFERROR(__xludf.DUMMYFUNCTION("""COMPUTED_VALUE"""),"ACT-SCRV34557")</f>
        <v>ACT-SCRV34557</v>
      </c>
      <c r="B177" s="30" t="str">
        <f ca="1">IFERROR(__xludf.DUMMYFUNCTION("""COMPUTED_VALUE"""),"SC-260703-151522")</f>
        <v>SC-260703-151522</v>
      </c>
      <c r="C177" s="62">
        <f ca="1">IFERROR(__xludf.DUMMYFUNCTION("""COMPUTED_VALUE"""),46206.6356712962)</f>
        <v>46206.635671296201</v>
      </c>
      <c r="D177" s="30">
        <f ca="1">IFERROR(__xludf.DUMMYFUNCTION("""COMPUTED_VALUE"""),94)</f>
        <v>94</v>
      </c>
      <c r="E177" s="30" t="str">
        <f ca="1">IFERROR(__xludf.DUMMYFUNCTION("""COMPUTED_VALUE"""),"PB3572")</f>
        <v>PB3572</v>
      </c>
      <c r="F17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7"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7" s="30" t="str">
        <f ca="1">IFERROR(__xludf.DUMMYFUNCTION("""COMPUTED_VALUE"""),"SUBSECRETARÍA DE DESARROLLO Y PROMOCIÓN ARTÍSTICA Y CULTURAL")</f>
        <v>SUBSECRETARÍA DE DESARROLLO Y PROMOCIÓN ARTÍSTICA Y CULTURAL</v>
      </c>
      <c r="I177" s="34" t="str">
        <f ca="1">IFERROR(__xludf.DUMMYFUNCTION("""COMPUTED_VALUE"""),"DIRECCIÓN GENERAL DE MUSEOS, ARTES VISUALES Y EXPOSICIONES")</f>
        <v>DIRECCIÓN GENERAL DE MUSEOS, ARTES VISUALES Y EXPOSICIONES</v>
      </c>
      <c r="J177" s="30" t="str">
        <f ca="1">IFERROR(__xludf.DUMMYFUNCTION("""COMPUTED_VALUE"""),"Número de Actividades realizadas")</f>
        <v>Número de Actividades realizadas</v>
      </c>
      <c r="K177" s="30">
        <f ca="1">IFERROR(__xludf.DUMMYFUNCTION("""COMPUTED_VALUE"""),12)</f>
        <v>12</v>
      </c>
      <c r="L177" s="30" t="str">
        <f ca="1">IFERROR(__xludf.DUMMYFUNCTION("""COMPUTED_VALUE"""),"Cultural")</f>
        <v>Cultural</v>
      </c>
      <c r="M177" s="30" t="str">
        <f ca="1">IFERROR(__xludf.DUMMYFUNCTION("""COMPUTED_VALUE"""),"Visita escolar")</f>
        <v>Visita escolar</v>
      </c>
      <c r="N177" s="30" t="str">
        <f ca="1">IFERROR(__xludf.DUMMYFUNCTION("""COMPUTED_VALUE"""),"Esc. Prim Vesp. Francisco Javier Mina")</f>
        <v>Esc. Prim Vesp. Francisco Javier Mina</v>
      </c>
      <c r="O177" s="30" t="str">
        <f ca="1">IFERROR(__xludf.DUMMYFUNCTION("""COMPUTED_VALUE"""),"Única")</f>
        <v>Única</v>
      </c>
      <c r="P177" s="33">
        <f ca="1">IFERROR(__xludf.DUMMYFUNCTION("""COMPUTED_VALUE"""),46182)</f>
        <v>46182</v>
      </c>
      <c r="Q177" s="33">
        <f ca="1">IFERROR(__xludf.DUMMYFUNCTION("""COMPUTED_VALUE"""),46182)</f>
        <v>46182</v>
      </c>
      <c r="R177" s="30">
        <f ca="1">IFERROR(__xludf.DUMMYFUNCTION("""COMPUTED_VALUE"""),1)</f>
        <v>1</v>
      </c>
      <c r="S177" s="30" t="str">
        <f ca="1">IFERROR(__xludf.DUMMYFUNCTION("""COMPUTED_VALUE"""),"Cultura comunitaria")</f>
        <v>Cultura comunitaria</v>
      </c>
      <c r="T177" s="30" t="str">
        <f ca="1">IFERROR(__xludf.DUMMYFUNCTION("""COMPUTED_VALUE"""),"Formación comunitaria")</f>
        <v>Formación comunitaria</v>
      </c>
      <c r="U177" s="30" t="str">
        <f ca="1">IFERROR(__xludf.DUMMYFUNCTION("""COMPUTED_VALUE"""),"Visitas escolares")</f>
        <v>Visitas escolares</v>
      </c>
      <c r="V177" s="30" t="str">
        <f ca="1">IFERROR(__xludf.DUMMYFUNCTION("""COMPUTED_VALUE"""),"Ninguna")</f>
        <v>Ninguna</v>
      </c>
      <c r="W177" s="30" t="str">
        <f ca="1">IFERROR(__xludf.DUMMYFUNCTION("""COMPUTED_VALUE"""),"Presencial")</f>
        <v>Presencial</v>
      </c>
      <c r="X177" s="30" t="str">
        <f ca="1">IFERROR(__xludf.DUMMYFUNCTION("""COMPUTED_VALUE"""),"Espacio a Cargo de la Secretaría")</f>
        <v>Espacio a Cargo de la Secretaría</v>
      </c>
      <c r="Y177" s="30" t="str">
        <f ca="1">IFERROR(__xludf.DUMMYFUNCTION("""COMPUTED_VALUE"""),"26")</f>
        <v>26</v>
      </c>
      <c r="Z177" s="30"/>
      <c r="AA177" s="30"/>
      <c r="AB177" s="30" t="b">
        <f ca="1">IFERROR(__xludf.DUMMYFUNCTION("""COMPUTED_VALUE"""),FALSE)</f>
        <v>0</v>
      </c>
      <c r="AC177" s="30"/>
      <c r="AD177" s="30" t="b">
        <f ca="1">IFERROR(__xludf.DUMMYFUNCTION("""COMPUTED_VALUE"""),FALSE)</f>
        <v>0</v>
      </c>
      <c r="AE177" s="30"/>
      <c r="AF177" s="30" t="b">
        <f ca="1">IFERROR(__xludf.DUMMYFUNCTION("""COMPUTED_VALUE"""),FALSE)</f>
        <v>0</v>
      </c>
      <c r="AG177" s="30"/>
      <c r="AH177" s="30" t="str">
        <f ca="1">IFERROR(__xludf.DUMMYFUNCTION("""COMPUTED_VALUE"""),"Sin costo")</f>
        <v>Sin costo</v>
      </c>
      <c r="AI177" s="30"/>
      <c r="AJ177" s="30"/>
      <c r="AK177" s="30"/>
      <c r="AL177" s="30" t="str">
        <f ca="1">IFERROR(__xludf.DUMMYFUNCTION("""COMPUTED_VALUE"""),"ccardonav@guanajuato.gob.mx")</f>
        <v>ccardonav@guanajuato.gob.mx</v>
      </c>
      <c r="AM177" s="30" t="str">
        <f ca="1">IFERROR(__xludf.DUMMYFUNCTION("""COMPUTED_VALUE"""),"Arraigo y empoderamiento cultural de comunidades.")</f>
        <v>Arraigo y empoderamiento cultural de comunidades.</v>
      </c>
      <c r="AN177" s="30" t="str">
        <f ca="1">IFERROR(__xludf.DUMMYFUNCTION("""COMPUTED_VALUE"""),"1 Tranquilidad")</f>
        <v>1 Tranquilidad</v>
      </c>
      <c r="AO177" s="30" t="str">
        <f ca="1">IFERROR(__xludf.DUMMYFUNCTION("""COMPUTED_VALUE"""),"1.2 Fortalecer prevención del delito")</f>
        <v>1.2 Fortalecer prevención del delito</v>
      </c>
      <c r="AP177" s="30" t="str">
        <f ca="1">IFERROR(__xludf.DUMMYFUNCTION("""COMPUTED_VALUE"""),"1.2.2 Fortalecimiento del tejido social")</f>
        <v>1.2.2 Fortalecimiento del tejido social</v>
      </c>
      <c r="AQ177" s="30" t="str">
        <f ca="1">IFERROR(__xludf.DUMMYFUNCTION("""COMPUTED_VALUE"""),"1.2.3.4 Promover una cultura de paz desde las expresiones artísticas y culturales")</f>
        <v>1.2.3.4 Promover una cultura de paz desde las expresiones artísticas y culturales</v>
      </c>
      <c r="AR177" s="30" t="str">
        <f ca="1">IFERROR(__xludf.DUMMYFUNCTION("""COMPUTED_VALUE"""),"Cooperación")</f>
        <v>Cooperación</v>
      </c>
      <c r="AS177" s="30"/>
      <c r="AT177" s="30" t="str">
        <f ca="1">IFERROR(__xludf.DUMMYFUNCTION("""COMPUTED_VALUE"""),"Sostenibilidad del trabajo cultural y la economía creativa.")</f>
        <v>Sostenibilidad del trabajo cultural y la economía creativa.</v>
      </c>
      <c r="AU177"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77" s="30" t="str">
        <f ca="1">IFERROR(__xludf.DUMMYFUNCTION("""COMPUTED_VALUE"""),"Diseñar programas de formación y gestión cultural de base comunitaria.")</f>
        <v>Diseñar programas de formación y gestión cultural de base comunitaria.</v>
      </c>
      <c r="AW177"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77" s="30" t="str">
        <f ca="1">IFERROR(__xludf.DUMMYFUNCTION("""COMPUTED_VALUE"""),"Visitas escolares")</f>
        <v>Visitas escolares</v>
      </c>
      <c r="AY177" s="30" t="str">
        <f ca="1">IFERROR(__xludf.DUMMYFUNCTION("""COMPUTED_VALUE"""),"Formación")</f>
        <v>Formación</v>
      </c>
      <c r="AZ177" s="30" t="str">
        <f ca="1">IFERROR(__xludf.DUMMYFUNCTION("""COMPUTED_VALUE"""),"Formación")</f>
        <v>Formación</v>
      </c>
      <c r="BA177" s="30"/>
      <c r="BB177" s="30"/>
      <c r="BC177" s="30">
        <f ca="1">IFERROR(__xludf.DUMMYFUNCTION("""COMPUTED_VALUE"""),0)</f>
        <v>0</v>
      </c>
      <c r="BD177" s="30"/>
      <c r="BE177" s="30"/>
      <c r="BF177" s="30" t="b">
        <f ca="1">IFERROR(__xludf.DUMMYFUNCTION("""COMPUTED_VALUE"""),FALSE)</f>
        <v>0</v>
      </c>
      <c r="BG177" s="30"/>
      <c r="BH177" s="30"/>
      <c r="BI177" s="30"/>
      <c r="BJ177" s="30"/>
      <c r="BK177" s="30"/>
      <c r="BL177" s="30"/>
      <c r="BM177" s="30" t="str">
        <f ca="1">IFERROR(__xludf.DUMMYFUNCTION("""COMPUTED_VALUE"""),"No")</f>
        <v>No</v>
      </c>
      <c r="BN177" s="30"/>
      <c r="BO177" s="30" t="str">
        <f ca="1">IFERROR(__xludf.DUMMYFUNCTION("""COMPUTED_VALUE"""),"deb62fcd")</f>
        <v>deb62fcd</v>
      </c>
      <c r="BP177" s="29" t="str">
        <f ca="1">IFERROR(__xludf.DUMMYFUNCTION("""COMPUTED_VALUE"""),"Salvatierra")</f>
        <v>Salvatierra</v>
      </c>
      <c r="BQ177" s="30" t="str">
        <f ca="1">IFERROR(__xludf.DUMMYFUNCTION("""COMPUTED_VALUE"""),"Urbano")</f>
        <v>Urbano</v>
      </c>
      <c r="BR177" s="30">
        <f ca="1">IFERROR(__xludf.DUMMYFUNCTION("""COMPUTED_VALUE"""),187)</f>
        <v>187</v>
      </c>
      <c r="BS177" s="30" t="str">
        <f ca="1">IFERROR(__xludf.DUMMYFUNCTION("""COMPUTED_VALUE"""),"Salvatierra")</f>
        <v>Salvatierra</v>
      </c>
      <c r="BT177" s="30"/>
      <c r="BU177" s="30" t="str">
        <f ca="1">IFERROR(__xludf.DUMMYFUNCTION("""COMPUTED_VALUE"""),"Si")</f>
        <v>Si</v>
      </c>
      <c r="BV177" s="30" t="str">
        <f ca="1">IFERROR(__xludf.DUMMYFUNCTION("""COMPUTED_VALUE"""),"Si")</f>
        <v>Si</v>
      </c>
      <c r="BW177" s="30">
        <f ca="1">IFERROR(__xludf.DUMMYFUNCTION("""COMPUTED_VALUE"""),34255)</f>
        <v>34255</v>
      </c>
      <c r="BX177" s="30"/>
      <c r="BY177" s="30">
        <f ca="1">IFERROR(__xludf.DUMMYFUNCTION("""COMPUTED_VALUE"""),34255)</f>
        <v>34255</v>
      </c>
      <c r="BZ177" s="30" t="str">
        <f ca="1">IFERROR(__xludf.DUMMYFUNCTION("""COMPUTED_VALUE"""),"Salvatierra")</f>
        <v>Salvatierra</v>
      </c>
      <c r="CA177" s="30" t="str">
        <f ca="1">IFERROR(__xludf.DUMMYFUNCTION("""COMPUTED_VALUE"""),"No")</f>
        <v>No</v>
      </c>
      <c r="CB177" s="30" t="str">
        <f ca="1">IFERROR(__xludf.DUMMYFUNCTION("""COMPUTED_VALUE"""),"No")</f>
        <v>No</v>
      </c>
      <c r="CC177" s="30" t="str">
        <f ca="1">IFERROR(__xludf.DUMMYFUNCTION("""COMPUTED_VALUE"""),"c08c9bdb")</f>
        <v>c08c9bdb</v>
      </c>
      <c r="CD177" s="29" t="str">
        <f ca="1">IFERROR(__xludf.DUMMYFUNCTION("""COMPUTED_VALUE"""),"Adultos (30 a 59 años)")</f>
        <v>Adultos (30 a 59 años)</v>
      </c>
      <c r="CE177" s="30" t="str">
        <f ca="1">IFERROR(__xludf.DUMMYFUNCTION("""COMPUTED_VALUE"""),"Dato global")</f>
        <v>Dato global</v>
      </c>
      <c r="CF177" s="30" t="str">
        <f ca="1">IFERROR(__xludf.DUMMYFUNCTION("""COMPUTED_VALUE"""),"Ninguno (Población General)")</f>
        <v>Ninguno (Población General)</v>
      </c>
      <c r="CG177" s="30">
        <f ca="1">IFERROR(__xludf.DUMMYFUNCTION("""COMPUTED_VALUE"""),1)</f>
        <v>1</v>
      </c>
      <c r="CI177" s="30" t="str">
        <f ca="1">IFERROR(__xludf.DUMMYFUNCTION("""COMPUTED_VALUE"""),"33a78c6c")</f>
        <v>33a78c6c</v>
      </c>
      <c r="CJ177" s="29" t="str">
        <f ca="1">IFERROR(__xludf.DUMMYFUNCTION("""COMPUTED_VALUE"""),"Regitro_Evidencia_Images/33a78c6c.Archivo_Evidencia.172741.jpg")</f>
        <v>Regitro_Evidencia_Images/33a78c6c.Archivo_Evidencia.172741.jpg</v>
      </c>
      <c r="CK177" s="30" t="str">
        <f ca="1">IFERROR(__xludf.DUMMYFUNCTION("""COMPUTED_VALUE"""),"Foto")</f>
        <v>Foto</v>
      </c>
      <c r="CL177" s="30"/>
      <c r="CM177" s="30" t="str">
        <f ca="1">IFERROR(__xludf.DUMMYFUNCTION("""COMPUTED_VALUE"""),"Salvatierra")</f>
        <v>Salvatierra</v>
      </c>
      <c r="CN177" s="32" t="e">
        <f ca="1"/>
        <v>#NAME?</v>
      </c>
      <c r="CO177" s="32" t="e">
        <f ca="1"/>
        <v>#NAME?</v>
      </c>
      <c r="CP177" s="32" t="e">
        <f ca="1"/>
        <v>#NAME?</v>
      </c>
      <c r="CQ177" s="32" t="e">
        <f ca="1"/>
        <v>#NAME?</v>
      </c>
      <c r="CR177" s="30" t="e">
        <f ca="1"/>
        <v>#NAME?</v>
      </c>
      <c r="CS177" s="30" t="str">
        <f ca="1">IFERROR(__xludf.DUMMYFUNCTION("""COMPUTED_VALUE"""),"NNA (Niñas, Niños y Adolescentes)")</f>
        <v>NNA (Niñas, Niños y Adolescentes)</v>
      </c>
    </row>
    <row r="178" spans="1:97" ht="13">
      <c r="A178" s="29" t="str">
        <f ca="1">IFERROR(__xludf.DUMMYFUNCTION("""COMPUTED_VALUE"""),"ACT-SCBR42021")</f>
        <v>ACT-SCBR42021</v>
      </c>
      <c r="B178" s="30" t="str">
        <f ca="1">IFERROR(__xludf.DUMMYFUNCTION("""COMPUTED_VALUE"""),"SC-260703-152012")</f>
        <v>SC-260703-152012</v>
      </c>
      <c r="C178" s="62">
        <f ca="1">IFERROR(__xludf.DUMMYFUNCTION("""COMPUTED_VALUE"""),46206.6390277777)</f>
        <v>46206.639027777703</v>
      </c>
      <c r="D178" s="30">
        <f ca="1">IFERROR(__xludf.DUMMYFUNCTION("""COMPUTED_VALUE"""),94)</f>
        <v>94</v>
      </c>
      <c r="E178" s="30" t="str">
        <f ca="1">IFERROR(__xludf.DUMMYFUNCTION("""COMPUTED_VALUE"""),"PB3572")</f>
        <v>PB3572</v>
      </c>
      <c r="F17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8"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8" s="30" t="str">
        <f ca="1">IFERROR(__xludf.DUMMYFUNCTION("""COMPUTED_VALUE"""),"SUBSECRETARÍA DE DESARROLLO Y PROMOCIÓN ARTÍSTICA Y CULTURAL")</f>
        <v>SUBSECRETARÍA DE DESARROLLO Y PROMOCIÓN ARTÍSTICA Y CULTURAL</v>
      </c>
      <c r="I178" s="34" t="str">
        <f ca="1">IFERROR(__xludf.DUMMYFUNCTION("""COMPUTED_VALUE"""),"DIRECCIÓN GENERAL DE MUSEOS, ARTES VISUALES Y EXPOSICIONES")</f>
        <v>DIRECCIÓN GENERAL DE MUSEOS, ARTES VISUALES Y EXPOSICIONES</v>
      </c>
      <c r="J178" s="30" t="str">
        <f ca="1">IFERROR(__xludf.DUMMYFUNCTION("""COMPUTED_VALUE"""),"Número de Actividades realizadas")</f>
        <v>Número de Actividades realizadas</v>
      </c>
      <c r="K178" s="30">
        <f ca="1">IFERROR(__xludf.DUMMYFUNCTION("""COMPUTED_VALUE"""),12)</f>
        <v>12</v>
      </c>
      <c r="L178" s="30" t="str">
        <f ca="1">IFERROR(__xludf.DUMMYFUNCTION("""COMPUTED_VALUE"""),"Cultural")</f>
        <v>Cultural</v>
      </c>
      <c r="M178" s="30" t="str">
        <f ca="1">IFERROR(__xludf.DUMMYFUNCTION("""COMPUTED_VALUE"""),"Visita Escolar ""Esc. J. Natividad Macias""")</f>
        <v>Visita Escolar "Esc. J. Natividad Macias"</v>
      </c>
      <c r="N178" s="30" t="str">
        <f ca="1">IFERROR(__xludf.DUMMYFUNCTION("""COMPUTED_VALUE"""),"Visita Escolar ""Esc. J. Natividad Macias""")</f>
        <v>Visita Escolar "Esc. J. Natividad Macias"</v>
      </c>
      <c r="O178" s="30" t="str">
        <f ca="1">IFERROR(__xludf.DUMMYFUNCTION("""COMPUTED_VALUE"""),"Única")</f>
        <v>Única</v>
      </c>
      <c r="P178" s="33">
        <f ca="1">IFERROR(__xludf.DUMMYFUNCTION("""COMPUTED_VALUE"""),46185)</f>
        <v>46185</v>
      </c>
      <c r="Q178" s="33">
        <f ca="1">IFERROR(__xludf.DUMMYFUNCTION("""COMPUTED_VALUE"""),46185)</f>
        <v>46185</v>
      </c>
      <c r="R178" s="30">
        <f ca="1">IFERROR(__xludf.DUMMYFUNCTION("""COMPUTED_VALUE"""),1)</f>
        <v>1</v>
      </c>
      <c r="S178" s="30" t="str">
        <f ca="1">IFERROR(__xludf.DUMMYFUNCTION("""COMPUTED_VALUE"""),"Cultura comunitaria")</f>
        <v>Cultura comunitaria</v>
      </c>
      <c r="T178" s="30" t="str">
        <f ca="1">IFERROR(__xludf.DUMMYFUNCTION("""COMPUTED_VALUE"""),"Formación comunitaria")</f>
        <v>Formación comunitaria</v>
      </c>
      <c r="U178" s="30" t="str">
        <f ca="1">IFERROR(__xludf.DUMMYFUNCTION("""COMPUTED_VALUE"""),"Visitas escolares")</f>
        <v>Visitas escolares</v>
      </c>
      <c r="V178" s="30" t="str">
        <f ca="1">IFERROR(__xludf.DUMMYFUNCTION("""COMPUTED_VALUE"""),"Ninguna")</f>
        <v>Ninguna</v>
      </c>
      <c r="W178" s="30" t="str">
        <f ca="1">IFERROR(__xludf.DUMMYFUNCTION("""COMPUTED_VALUE"""),"Presencial")</f>
        <v>Presencial</v>
      </c>
      <c r="X178" s="30" t="str">
        <f ca="1">IFERROR(__xludf.DUMMYFUNCTION("""COMPUTED_VALUE"""),"Espacio a Cargo de la Secretaría")</f>
        <v>Espacio a Cargo de la Secretaría</v>
      </c>
      <c r="Y178" s="30" t="str">
        <f ca="1">IFERROR(__xludf.DUMMYFUNCTION("""COMPUTED_VALUE"""),"26")</f>
        <v>26</v>
      </c>
      <c r="Z178" s="30"/>
      <c r="AA178" s="30"/>
      <c r="AB178" s="30" t="b">
        <f ca="1">IFERROR(__xludf.DUMMYFUNCTION("""COMPUTED_VALUE"""),FALSE)</f>
        <v>0</v>
      </c>
      <c r="AC178" s="30"/>
      <c r="AD178" s="30" t="b">
        <f ca="1">IFERROR(__xludf.DUMMYFUNCTION("""COMPUTED_VALUE"""),FALSE)</f>
        <v>0</v>
      </c>
      <c r="AE178" s="30"/>
      <c r="AF178" s="30" t="b">
        <f ca="1">IFERROR(__xludf.DUMMYFUNCTION("""COMPUTED_VALUE"""),FALSE)</f>
        <v>0</v>
      </c>
      <c r="AG178" s="30"/>
      <c r="AH178" s="30" t="str">
        <f ca="1">IFERROR(__xludf.DUMMYFUNCTION("""COMPUTED_VALUE"""),"Sin costo")</f>
        <v>Sin costo</v>
      </c>
      <c r="AI178" s="30"/>
      <c r="AJ178" s="30"/>
      <c r="AK178" s="30"/>
      <c r="AL178" s="30" t="str">
        <f ca="1">IFERROR(__xludf.DUMMYFUNCTION("""COMPUTED_VALUE"""),"ccardonav@guanajuato.gob.mx")</f>
        <v>ccardonav@guanajuato.gob.mx</v>
      </c>
      <c r="AM178" s="30" t="str">
        <f ca="1">IFERROR(__xludf.DUMMYFUNCTION("""COMPUTED_VALUE"""),"Arraigo y empoderamiento cultural de comunidades.")</f>
        <v>Arraigo y empoderamiento cultural de comunidades.</v>
      </c>
      <c r="AN178" s="30" t="str">
        <f ca="1">IFERROR(__xludf.DUMMYFUNCTION("""COMPUTED_VALUE"""),"1 Tranquilidad")</f>
        <v>1 Tranquilidad</v>
      </c>
      <c r="AO178" s="30" t="str">
        <f ca="1">IFERROR(__xludf.DUMMYFUNCTION("""COMPUTED_VALUE"""),"1.2 Fortalecer prevención del delito")</f>
        <v>1.2 Fortalecer prevención del delito</v>
      </c>
      <c r="AP178" s="30" t="str">
        <f ca="1">IFERROR(__xludf.DUMMYFUNCTION("""COMPUTED_VALUE"""),"1.2.2 Fortalecimiento del tejido social")</f>
        <v>1.2.2 Fortalecimiento del tejido social</v>
      </c>
      <c r="AQ178" s="30" t="str">
        <f ca="1">IFERROR(__xludf.DUMMYFUNCTION("""COMPUTED_VALUE"""),"1.2.3.4 Promover una cultura de paz desde las expresiones artísticas y culturales")</f>
        <v>1.2.3.4 Promover una cultura de paz desde las expresiones artísticas y culturales</v>
      </c>
      <c r="AR178" s="30" t="str">
        <f ca="1">IFERROR(__xludf.DUMMYFUNCTION("""COMPUTED_VALUE"""),"Cooperación")</f>
        <v>Cooperación</v>
      </c>
      <c r="AS178" s="30"/>
      <c r="AT178" s="30" t="str">
        <f ca="1">IFERROR(__xludf.DUMMYFUNCTION("""COMPUTED_VALUE"""),"Sostenibilidad del trabajo cultural y la economía creativa.")</f>
        <v>Sostenibilidad del trabajo cultural y la economía creativa.</v>
      </c>
      <c r="AU178"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78" s="30" t="str">
        <f ca="1">IFERROR(__xludf.DUMMYFUNCTION("""COMPUTED_VALUE"""),"Diseñar programas de formación y gestión cultural de base comunitaria.")</f>
        <v>Diseñar programas de formación y gestión cultural de base comunitaria.</v>
      </c>
      <c r="AW178"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78" s="30" t="str">
        <f ca="1">IFERROR(__xludf.DUMMYFUNCTION("""COMPUTED_VALUE"""),"Visitas escolares")</f>
        <v>Visitas escolares</v>
      </c>
      <c r="AY178" s="30" t="str">
        <f ca="1">IFERROR(__xludf.DUMMYFUNCTION("""COMPUTED_VALUE"""),"Formación")</f>
        <v>Formación</v>
      </c>
      <c r="AZ178" s="30" t="str">
        <f ca="1">IFERROR(__xludf.DUMMYFUNCTION("""COMPUTED_VALUE"""),"Formación")</f>
        <v>Formación</v>
      </c>
      <c r="BA178" s="30"/>
      <c r="BB178" s="30"/>
      <c r="BC178" s="30">
        <f ca="1">IFERROR(__xludf.DUMMYFUNCTION("""COMPUTED_VALUE"""),0)</f>
        <v>0</v>
      </c>
      <c r="BD178" s="30"/>
      <c r="BE178" s="30"/>
      <c r="BF178" s="30" t="b">
        <f ca="1">IFERROR(__xludf.DUMMYFUNCTION("""COMPUTED_VALUE"""),FALSE)</f>
        <v>0</v>
      </c>
      <c r="BG178" s="30"/>
      <c r="BH178" s="30"/>
      <c r="BI178" s="30"/>
      <c r="BJ178" s="30"/>
      <c r="BK178" s="30"/>
      <c r="BL178" s="30"/>
      <c r="BM178" s="30" t="str">
        <f ca="1">IFERROR(__xludf.DUMMYFUNCTION("""COMPUTED_VALUE"""),"No")</f>
        <v>No</v>
      </c>
      <c r="BN178" s="30"/>
      <c r="BO178" s="30" t="str">
        <f ca="1">IFERROR(__xludf.DUMMYFUNCTION("""COMPUTED_VALUE"""),"3ed4adda")</f>
        <v>3ed4adda</v>
      </c>
      <c r="BP178" s="29" t="str">
        <f ca="1">IFERROR(__xludf.DUMMYFUNCTION("""COMPUTED_VALUE"""),"Ciudad Manuel Doblado")</f>
        <v>Ciudad Manuel Doblado</v>
      </c>
      <c r="BQ178" s="30" t="str">
        <f ca="1">IFERROR(__xludf.DUMMYFUNCTION("""COMPUTED_VALUE"""),"Urbano")</f>
        <v>Urbano</v>
      </c>
      <c r="BR178" s="30"/>
      <c r="BS178" s="30"/>
      <c r="BT178" s="30"/>
      <c r="BU178" s="30" t="str">
        <f ca="1">IFERROR(__xludf.DUMMYFUNCTION("""COMPUTED_VALUE"""),"No")</f>
        <v>No</v>
      </c>
      <c r="BV178" s="30" t="str">
        <f ca="1">IFERROR(__xludf.DUMMYFUNCTION("""COMPUTED_VALUE"""),"No")</f>
        <v>No</v>
      </c>
      <c r="BW178" s="30">
        <f ca="1">IFERROR(__xludf.DUMMYFUNCTION("""COMPUTED_VALUE"""),33843)</f>
        <v>33843</v>
      </c>
      <c r="BX178" s="30"/>
      <c r="BY178" s="30">
        <f ca="1">IFERROR(__xludf.DUMMYFUNCTION("""COMPUTED_VALUE"""),33843)</f>
        <v>33843</v>
      </c>
      <c r="BZ178" s="30"/>
      <c r="CA178" s="30" t="str">
        <f ca="1">IFERROR(__xludf.DUMMYFUNCTION("""COMPUTED_VALUE"""),"No")</f>
        <v>No</v>
      </c>
      <c r="CB178" s="30" t="str">
        <f ca="1">IFERROR(__xludf.DUMMYFUNCTION("""COMPUTED_VALUE"""),"No")</f>
        <v>No</v>
      </c>
      <c r="CC178" s="30" t="str">
        <f ca="1">IFERROR(__xludf.DUMMYFUNCTION("""COMPUTED_VALUE"""),"1d13da7e")</f>
        <v>1d13da7e</v>
      </c>
      <c r="CD178" s="29" t="str">
        <f ca="1">IFERROR(__xludf.DUMMYFUNCTION("""COMPUTED_VALUE"""),"Jóvenes (18 a 29 años)")</f>
        <v>Jóvenes (18 a 29 años)</v>
      </c>
      <c r="CE178" s="30" t="str">
        <f ca="1">IFERROR(__xludf.DUMMYFUNCTION("""COMPUTED_VALUE"""),"Dato global")</f>
        <v>Dato global</v>
      </c>
      <c r="CF178" s="30" t="str">
        <f ca="1">IFERROR(__xludf.DUMMYFUNCTION("""COMPUTED_VALUE"""),"Ninguno (Población General)")</f>
        <v>Ninguno (Población General)</v>
      </c>
      <c r="CG178" s="30">
        <f ca="1">IFERROR(__xludf.DUMMYFUNCTION("""COMPUTED_VALUE"""),100)</f>
        <v>100</v>
      </c>
      <c r="CI178" s="30" t="str">
        <f ca="1">IFERROR(__xludf.DUMMYFUNCTION("""COMPUTED_VALUE"""),"f15b5f0e")</f>
        <v>f15b5f0e</v>
      </c>
      <c r="CJ178" s="29" t="str">
        <f ca="1">IFERROR(__xludf.DUMMYFUNCTION("""COMPUTED_VALUE"""),"Regitro_Evidencia_Images/f15b5f0e.Archivo_Evidencia.184920.jpg")</f>
        <v>Regitro_Evidencia_Images/f15b5f0e.Archivo_Evidencia.184920.jpg</v>
      </c>
      <c r="CK178" s="30" t="str">
        <f ca="1">IFERROR(__xludf.DUMMYFUNCTION("""COMPUTED_VALUE"""),"Foto")</f>
        <v>Foto</v>
      </c>
      <c r="CL178" s="30"/>
      <c r="CM178" s="30" t="str">
        <f ca="1">IFERROR(__xludf.DUMMYFUNCTION("""COMPUTED_VALUE"""),"Ciudad Manuel Doblado")</f>
        <v>Ciudad Manuel Doblado</v>
      </c>
      <c r="CN178" s="32" t="e">
        <f ca="1"/>
        <v>#NAME?</v>
      </c>
      <c r="CO178" s="32" t="e">
        <f ca="1"/>
        <v>#NAME?</v>
      </c>
      <c r="CP178" s="32" t="e">
        <f ca="1"/>
        <v>#NAME?</v>
      </c>
      <c r="CQ178" s="32" t="e">
        <f ca="1"/>
        <v>#NAME?</v>
      </c>
      <c r="CR178" s="30" t="e">
        <f ca="1"/>
        <v>#NAME?</v>
      </c>
      <c r="CS178" s="30" t="str">
        <f ca="1">IFERROR(__xludf.DUMMYFUNCTION("""COMPUTED_VALUE"""),"NNA (Niñas, Niños y Adolescentes)")</f>
        <v>NNA (Niñas, Niños y Adolescentes)</v>
      </c>
    </row>
    <row r="179" spans="1:97" ht="13">
      <c r="A179" s="29" t="str">
        <f ca="1">IFERROR(__xludf.DUMMYFUNCTION("""COMPUTED_VALUE"""),"ACT-SCNR35912")</f>
        <v>ACT-SCNR35912</v>
      </c>
      <c r="B179" s="30" t="str">
        <f ca="1">IFERROR(__xludf.DUMMYFUNCTION("""COMPUTED_VALUE"""),"SC-260703-153127")</f>
        <v>SC-260703-153127</v>
      </c>
      <c r="C179" s="62">
        <f ca="1">IFERROR(__xludf.DUMMYFUNCTION("""COMPUTED_VALUE"""),46206.6468402777)</f>
        <v>46206.646840277703</v>
      </c>
      <c r="D179" s="30">
        <f ca="1">IFERROR(__xludf.DUMMYFUNCTION("""COMPUTED_VALUE"""),94)</f>
        <v>94</v>
      </c>
      <c r="E179" s="30" t="str">
        <f ca="1">IFERROR(__xludf.DUMMYFUNCTION("""COMPUTED_VALUE"""),"PB3572")</f>
        <v>PB3572</v>
      </c>
      <c r="F17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79"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79" s="30" t="str">
        <f ca="1">IFERROR(__xludf.DUMMYFUNCTION("""COMPUTED_VALUE"""),"SUBSECRETARÍA DE DESARROLLO Y PROMOCIÓN ARTÍSTICA Y CULTURAL")</f>
        <v>SUBSECRETARÍA DE DESARROLLO Y PROMOCIÓN ARTÍSTICA Y CULTURAL</v>
      </c>
      <c r="I179" s="34" t="str">
        <f ca="1">IFERROR(__xludf.DUMMYFUNCTION("""COMPUTED_VALUE"""),"DIRECCIÓN GENERAL DE MUSEOS, ARTES VISUALES Y EXPOSICIONES")</f>
        <v>DIRECCIÓN GENERAL DE MUSEOS, ARTES VISUALES Y EXPOSICIONES</v>
      </c>
      <c r="J179" s="30" t="str">
        <f ca="1">IFERROR(__xludf.DUMMYFUNCTION("""COMPUTED_VALUE"""),"Número de Actividades realizadas")</f>
        <v>Número de Actividades realizadas</v>
      </c>
      <c r="K179" s="30">
        <f ca="1">IFERROR(__xludf.DUMMYFUNCTION("""COMPUTED_VALUE"""),12)</f>
        <v>12</v>
      </c>
      <c r="L179" s="30" t="str">
        <f ca="1">IFERROR(__xludf.DUMMYFUNCTION("""COMPUTED_VALUE"""),"Cultural")</f>
        <v>Cultural</v>
      </c>
      <c r="M179" s="30" t="str">
        <f ca="1">IFERROR(__xludf.DUMMYFUNCTION("""COMPUTED_VALUE"""),"Visita escolar ""Esc. Prim. Vesp. Francisco Javier Mina""")</f>
        <v>Visita escolar "Esc. Prim. Vesp. Francisco Javier Mina"</v>
      </c>
      <c r="N179" s="30" t="str">
        <f ca="1">IFERROR(__xludf.DUMMYFUNCTION("""COMPUTED_VALUE"""),"Visita escolar ""Esc. Prim. Vesp. Francisco Javier Mina""")</f>
        <v>Visita escolar "Esc. Prim. Vesp. Francisco Javier Mina"</v>
      </c>
      <c r="O179" s="30" t="str">
        <f ca="1">IFERROR(__xludf.DUMMYFUNCTION("""COMPUTED_VALUE"""),"Única")</f>
        <v>Única</v>
      </c>
      <c r="P179" s="33">
        <f ca="1">IFERROR(__xludf.DUMMYFUNCTION("""COMPUTED_VALUE"""),46190)</f>
        <v>46190</v>
      </c>
      <c r="Q179" s="33">
        <f ca="1">IFERROR(__xludf.DUMMYFUNCTION("""COMPUTED_VALUE"""),46190)</f>
        <v>46190</v>
      </c>
      <c r="R179" s="30">
        <f ca="1">IFERROR(__xludf.DUMMYFUNCTION("""COMPUTED_VALUE"""),1)</f>
        <v>1</v>
      </c>
      <c r="S179" s="30" t="str">
        <f ca="1">IFERROR(__xludf.DUMMYFUNCTION("""COMPUTED_VALUE"""),"Cultura comunitaria")</f>
        <v>Cultura comunitaria</v>
      </c>
      <c r="T179" s="30" t="str">
        <f ca="1">IFERROR(__xludf.DUMMYFUNCTION("""COMPUTED_VALUE"""),"Formación comunitaria")</f>
        <v>Formación comunitaria</v>
      </c>
      <c r="U179" s="30" t="str">
        <f ca="1">IFERROR(__xludf.DUMMYFUNCTION("""COMPUTED_VALUE"""),"Visitas escolares")</f>
        <v>Visitas escolares</v>
      </c>
      <c r="V179" s="30" t="str">
        <f ca="1">IFERROR(__xludf.DUMMYFUNCTION("""COMPUTED_VALUE"""),"Ninguna")</f>
        <v>Ninguna</v>
      </c>
      <c r="W179" s="30" t="str">
        <f ca="1">IFERROR(__xludf.DUMMYFUNCTION("""COMPUTED_VALUE"""),"Presencial")</f>
        <v>Presencial</v>
      </c>
      <c r="X179" s="30" t="str">
        <f ca="1">IFERROR(__xludf.DUMMYFUNCTION("""COMPUTED_VALUE"""),"Espacio a Cargo de la Secretaría")</f>
        <v>Espacio a Cargo de la Secretaría</v>
      </c>
      <c r="Y179" s="30" t="str">
        <f ca="1">IFERROR(__xludf.DUMMYFUNCTION("""COMPUTED_VALUE"""),"26")</f>
        <v>26</v>
      </c>
      <c r="Z179" s="30"/>
      <c r="AA179" s="30"/>
      <c r="AB179" s="30" t="b">
        <f ca="1">IFERROR(__xludf.DUMMYFUNCTION("""COMPUTED_VALUE"""),FALSE)</f>
        <v>0</v>
      </c>
      <c r="AC179" s="30"/>
      <c r="AD179" s="30" t="b">
        <f ca="1">IFERROR(__xludf.DUMMYFUNCTION("""COMPUTED_VALUE"""),FALSE)</f>
        <v>0</v>
      </c>
      <c r="AE179" s="30"/>
      <c r="AF179" s="30" t="b">
        <f ca="1">IFERROR(__xludf.DUMMYFUNCTION("""COMPUTED_VALUE"""),FALSE)</f>
        <v>0</v>
      </c>
      <c r="AG179" s="30"/>
      <c r="AH179" s="30" t="str">
        <f ca="1">IFERROR(__xludf.DUMMYFUNCTION("""COMPUTED_VALUE"""),"Sin costo")</f>
        <v>Sin costo</v>
      </c>
      <c r="AI179" s="30"/>
      <c r="AJ179" s="30"/>
      <c r="AK179" s="30"/>
      <c r="AL179" s="30" t="str">
        <f ca="1">IFERROR(__xludf.DUMMYFUNCTION("""COMPUTED_VALUE"""),"ccardonav@guanajuato.gob.mx")</f>
        <v>ccardonav@guanajuato.gob.mx</v>
      </c>
      <c r="AM179" s="30" t="str">
        <f ca="1">IFERROR(__xludf.DUMMYFUNCTION("""COMPUTED_VALUE"""),"Arraigo y empoderamiento cultural de comunidades.")</f>
        <v>Arraigo y empoderamiento cultural de comunidades.</v>
      </c>
      <c r="AN179" s="30" t="str">
        <f ca="1">IFERROR(__xludf.DUMMYFUNCTION("""COMPUTED_VALUE"""),"1 Tranquilidad")</f>
        <v>1 Tranquilidad</v>
      </c>
      <c r="AO179" s="30" t="str">
        <f ca="1">IFERROR(__xludf.DUMMYFUNCTION("""COMPUTED_VALUE"""),"1.2 Fortalecer prevención del delito")</f>
        <v>1.2 Fortalecer prevención del delito</v>
      </c>
      <c r="AP179" s="30" t="str">
        <f ca="1">IFERROR(__xludf.DUMMYFUNCTION("""COMPUTED_VALUE"""),"1.2.2 Fortalecimiento del tejido social")</f>
        <v>1.2.2 Fortalecimiento del tejido social</v>
      </c>
      <c r="AQ179" s="30" t="str">
        <f ca="1">IFERROR(__xludf.DUMMYFUNCTION("""COMPUTED_VALUE"""),"1.2.3.4 Promover una cultura de paz desde las expresiones artísticas y culturales")</f>
        <v>1.2.3.4 Promover una cultura de paz desde las expresiones artísticas y culturales</v>
      </c>
      <c r="AR179" s="30" t="str">
        <f ca="1">IFERROR(__xludf.DUMMYFUNCTION("""COMPUTED_VALUE"""),"Cooperación")</f>
        <v>Cooperación</v>
      </c>
      <c r="AS179" s="30"/>
      <c r="AT179" s="30" t="str">
        <f ca="1">IFERROR(__xludf.DUMMYFUNCTION("""COMPUTED_VALUE"""),"Sostenibilidad del trabajo cultural y la economía creativa.")</f>
        <v>Sostenibilidad del trabajo cultural y la economía creativa.</v>
      </c>
      <c r="AU179"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179" s="30" t="str">
        <f ca="1">IFERROR(__xludf.DUMMYFUNCTION("""COMPUTED_VALUE"""),"Diseñar programas de formación y gestión cultural de base comunitaria.")</f>
        <v>Diseñar programas de formación y gestión cultural de base comunitaria.</v>
      </c>
      <c r="AW179"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179" s="30" t="str">
        <f ca="1">IFERROR(__xludf.DUMMYFUNCTION("""COMPUTED_VALUE"""),"Visitas escolares")</f>
        <v>Visitas escolares</v>
      </c>
      <c r="AY179" s="30" t="str">
        <f ca="1">IFERROR(__xludf.DUMMYFUNCTION("""COMPUTED_VALUE"""),"Formación")</f>
        <v>Formación</v>
      </c>
      <c r="AZ179" s="30" t="str">
        <f ca="1">IFERROR(__xludf.DUMMYFUNCTION("""COMPUTED_VALUE"""),"Formación")</f>
        <v>Formación</v>
      </c>
      <c r="BA179" s="30"/>
      <c r="BB179" s="30"/>
      <c r="BC179" s="30">
        <f ca="1">IFERROR(__xludf.DUMMYFUNCTION("""COMPUTED_VALUE"""),0)</f>
        <v>0</v>
      </c>
      <c r="BD179" s="30"/>
      <c r="BE179" s="30"/>
      <c r="BF179" s="30" t="b">
        <f ca="1">IFERROR(__xludf.DUMMYFUNCTION("""COMPUTED_VALUE"""),FALSE)</f>
        <v>0</v>
      </c>
      <c r="BG179" s="30"/>
      <c r="BH179" s="30"/>
      <c r="BI179" s="30"/>
      <c r="BJ179" s="30"/>
      <c r="BK179" s="30"/>
      <c r="BL179" s="30"/>
      <c r="BM179" s="30" t="str">
        <f ca="1">IFERROR(__xludf.DUMMYFUNCTION("""COMPUTED_VALUE"""),"No")</f>
        <v>No</v>
      </c>
      <c r="BN179" s="30"/>
      <c r="BO179" s="30" t="str">
        <f ca="1">IFERROR(__xludf.DUMMYFUNCTION("""COMPUTED_VALUE"""),"67814c53")</f>
        <v>67814c53</v>
      </c>
      <c r="BP179" s="29" t="str">
        <f ca="1">IFERROR(__xludf.DUMMYFUNCTION("""COMPUTED_VALUE"""),"Salvatierra")</f>
        <v>Salvatierra</v>
      </c>
      <c r="BQ179" s="30" t="str">
        <f ca="1">IFERROR(__xludf.DUMMYFUNCTION("""COMPUTED_VALUE"""),"Urbano")</f>
        <v>Urbano</v>
      </c>
      <c r="BR179" s="30">
        <f ca="1">IFERROR(__xludf.DUMMYFUNCTION("""COMPUTED_VALUE"""),187)</f>
        <v>187</v>
      </c>
      <c r="BS179" s="30" t="str">
        <f ca="1">IFERROR(__xludf.DUMMYFUNCTION("""COMPUTED_VALUE"""),"Salvatierra")</f>
        <v>Salvatierra</v>
      </c>
      <c r="BT179" s="30"/>
      <c r="BU179" s="30" t="str">
        <f ca="1">IFERROR(__xludf.DUMMYFUNCTION("""COMPUTED_VALUE"""),"Si")</f>
        <v>Si</v>
      </c>
      <c r="BV179" s="30" t="str">
        <f ca="1">IFERROR(__xludf.DUMMYFUNCTION("""COMPUTED_VALUE"""),"Si")</f>
        <v>Si</v>
      </c>
      <c r="BW179" s="30">
        <f ca="1">IFERROR(__xludf.DUMMYFUNCTION("""COMPUTED_VALUE"""),40)</f>
        <v>40</v>
      </c>
      <c r="BX179" s="30">
        <f ca="1">IFERROR(__xludf.DUMMYFUNCTION("""COMPUTED_VALUE"""),40)</f>
        <v>40</v>
      </c>
      <c r="BY179" s="30">
        <f ca="1">IFERROR(__xludf.DUMMYFUNCTION("""COMPUTED_VALUE"""),0)</f>
        <v>0</v>
      </c>
      <c r="BZ179" s="30" t="str">
        <f ca="1">IFERROR(__xludf.DUMMYFUNCTION("""COMPUTED_VALUE"""),"Salvatierra")</f>
        <v>Salvatierra</v>
      </c>
      <c r="CA179" s="30" t="str">
        <f ca="1">IFERROR(__xludf.DUMMYFUNCTION("""COMPUTED_VALUE"""),"No")</f>
        <v>No</v>
      </c>
      <c r="CB179" s="30" t="str">
        <f ca="1">IFERROR(__xludf.DUMMYFUNCTION("""COMPUTED_VALUE"""),"No")</f>
        <v>No</v>
      </c>
      <c r="CC179" s="30" t="str">
        <f ca="1">IFERROR(__xludf.DUMMYFUNCTION("""COMPUTED_VALUE"""),"6ca54968")</f>
        <v>6ca54968</v>
      </c>
      <c r="CD179" s="29" t="str">
        <f ca="1">IFERROR(__xludf.DUMMYFUNCTION("""COMPUTED_VALUE"""),"Adultos (30 a 59 años)")</f>
        <v>Adultos (30 a 59 años)</v>
      </c>
      <c r="CE179" s="30" t="str">
        <f ca="1">IFERROR(__xludf.DUMMYFUNCTION("""COMPUTED_VALUE"""),"Dato global")</f>
        <v>Dato global</v>
      </c>
      <c r="CF179" s="30" t="str">
        <f ca="1">IFERROR(__xludf.DUMMYFUNCTION("""COMPUTED_VALUE"""),"Ninguno (Población General)")</f>
        <v>Ninguno (Población General)</v>
      </c>
      <c r="CG179" s="30">
        <f ca="1">IFERROR(__xludf.DUMMYFUNCTION("""COMPUTED_VALUE"""),2180)</f>
        <v>2180</v>
      </c>
      <c r="CI179" s="30" t="str">
        <f ca="1">IFERROR(__xludf.DUMMYFUNCTION("""COMPUTED_VALUE"""),"371ae5bb")</f>
        <v>371ae5bb</v>
      </c>
      <c r="CJ179" s="29" t="str">
        <f ca="1">IFERROR(__xludf.DUMMYFUNCTION("""COMPUTED_VALUE"""),"Regitro_Evidencia_Images/371ae5bb.Archivo_Evidencia.190519.jpg")</f>
        <v>Regitro_Evidencia_Images/371ae5bb.Archivo_Evidencia.190519.jpg</v>
      </c>
      <c r="CK179" s="30" t="str">
        <f ca="1">IFERROR(__xludf.DUMMYFUNCTION("""COMPUTED_VALUE"""),"Foto")</f>
        <v>Foto</v>
      </c>
      <c r="CL179" s="30"/>
      <c r="CM179" s="30" t="str">
        <f ca="1">IFERROR(__xludf.DUMMYFUNCTION("""COMPUTED_VALUE"""),"Ciudad Manuel Doblado")</f>
        <v>Ciudad Manuel Doblado</v>
      </c>
      <c r="CN179" s="32" t="e">
        <f ca="1"/>
        <v>#NAME?</v>
      </c>
      <c r="CO179" s="32" t="e">
        <f ca="1"/>
        <v>#NAME?</v>
      </c>
      <c r="CP179" s="32" t="e">
        <f ca="1"/>
        <v>#NAME?</v>
      </c>
      <c r="CQ179" s="32" t="e">
        <f ca="1"/>
        <v>#NAME?</v>
      </c>
      <c r="CR179" s="30" t="e">
        <f ca="1"/>
        <v>#NAME?</v>
      </c>
      <c r="CS179" s="30" t="str">
        <f ca="1">IFERROR(__xludf.DUMMYFUNCTION("""COMPUTED_VALUE"""),"NNA (Niñas, Niños y Adolescentes)")</f>
        <v>NNA (Niñas, Niños y Adolescentes)</v>
      </c>
    </row>
    <row r="180" spans="1:97" ht="13">
      <c r="A180" s="29" t="str">
        <f ca="1">IFERROR(__xludf.DUMMYFUNCTION("""COMPUTED_VALUE"""),"ACT-SCKK48572")</f>
        <v>ACT-SCKK48572</v>
      </c>
      <c r="B180" s="30" t="str">
        <f ca="1">IFERROR(__xludf.DUMMYFUNCTION("""COMPUTED_VALUE"""),"SC-260703-153535")</f>
        <v>SC-260703-153535</v>
      </c>
      <c r="C180" s="62">
        <f ca="1">IFERROR(__xludf.DUMMYFUNCTION("""COMPUTED_VALUE"""),46206.6497106481)</f>
        <v>46206.649710648097</v>
      </c>
      <c r="D180" s="30">
        <f ca="1">IFERROR(__xludf.DUMMYFUNCTION("""COMPUTED_VALUE"""),93)</f>
        <v>93</v>
      </c>
      <c r="E180" s="30" t="str">
        <f ca="1">IFERROR(__xludf.DUMMYFUNCTION("""COMPUTED_VALUE"""),"PB3572")</f>
        <v>PB3572</v>
      </c>
      <c r="F18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0" s="30" t="str">
        <f ca="1">IFERROR(__xludf.DUMMYFUNCTION("""COMPUTED_VALUE"""),"Participación de artistas en las actividades extramuros en municipios del Estado de Guanajuato")</f>
        <v>Participación de artistas en las actividades extramuros en municipios del Estado de Guanajuato</v>
      </c>
      <c r="H180" s="30" t="str">
        <f ca="1">IFERROR(__xludf.DUMMYFUNCTION("""COMPUTED_VALUE"""),"SUBSECRETARÍA DE DESARROLLO Y PROMOCIÓN ARTÍSTICA Y CULTURAL")</f>
        <v>SUBSECRETARÍA DE DESARROLLO Y PROMOCIÓN ARTÍSTICA Y CULTURAL</v>
      </c>
      <c r="I180" s="34" t="str">
        <f ca="1">IFERROR(__xludf.DUMMYFUNCTION("""COMPUTED_VALUE"""),"DIRECCIÓN GENERAL DE MUSEOS, ARTES VISUALES Y EXPOSICIONES")</f>
        <v>DIRECCIÓN GENERAL DE MUSEOS, ARTES VISUALES Y EXPOSICIONES</v>
      </c>
      <c r="J180" s="30" t="str">
        <f ca="1">IFERROR(__xludf.DUMMYFUNCTION("""COMPUTED_VALUE"""),"Número de Actividades realizadas")</f>
        <v>Número de Actividades realizadas</v>
      </c>
      <c r="K180" s="30">
        <f ca="1">IFERROR(__xludf.DUMMYFUNCTION("""COMPUTED_VALUE"""),10)</f>
        <v>10</v>
      </c>
      <c r="L180" s="30" t="str">
        <f ca="1">IFERROR(__xludf.DUMMYFUNCTION("""COMPUTED_VALUE"""),"Artística")</f>
        <v>Artística</v>
      </c>
      <c r="M180" s="30" t="str">
        <f ca="1">IFERROR(__xludf.DUMMYFUNCTION("""COMPUTED_VALUE"""),"Arte en tu plaza Exposicion ""Fragmentos y Complicidades""")</f>
        <v>Arte en tu plaza Exposicion "Fragmentos y Complicidades"</v>
      </c>
      <c r="N180" s="30" t="str">
        <f ca="1">IFERROR(__xludf.DUMMYFUNCTION("""COMPUTED_VALUE"""),"Exposición en la plaza pública del municipio de Salvatierra Guanajuato como parte del programa Arte en tu Plaza")</f>
        <v>Exposición en la plaza pública del municipio de Salvatierra Guanajuato como parte del programa Arte en tu Plaza</v>
      </c>
      <c r="O180" s="30" t="str">
        <f ca="1">IFERROR(__xludf.DUMMYFUNCTION("""COMPUTED_VALUE"""),"Otras")</f>
        <v>Otras</v>
      </c>
      <c r="P180" s="33">
        <f ca="1">IFERROR(__xludf.DUMMYFUNCTION("""COMPUTED_VALUE"""),46186)</f>
        <v>46186</v>
      </c>
      <c r="Q180" s="33">
        <f ca="1">IFERROR(__xludf.DUMMYFUNCTION("""COMPUTED_VALUE"""),46210)</f>
        <v>46210</v>
      </c>
      <c r="R180" s="30">
        <f ca="1">IFERROR(__xludf.DUMMYFUNCTION("""COMPUTED_VALUE"""),1)</f>
        <v>1</v>
      </c>
      <c r="S180" s="30" t="str">
        <f ca="1">IFERROR(__xludf.DUMMYFUNCTION("""COMPUTED_VALUE"""),"Artes visuales")</f>
        <v>Artes visuales</v>
      </c>
      <c r="T180" s="30" t="str">
        <f ca="1">IFERROR(__xludf.DUMMYFUNCTION("""COMPUTED_VALUE"""),"Arte urbano")</f>
        <v>Arte urbano</v>
      </c>
      <c r="U180" s="30" t="str">
        <f ca="1">IFERROR(__xludf.DUMMYFUNCTION("""COMPUTED_VALUE"""),"Muestra artística")</f>
        <v>Muestra artística</v>
      </c>
      <c r="V180" s="30" t="str">
        <f ca="1">IFERROR(__xludf.DUMMYFUNCTION("""COMPUTED_VALUE"""),"Ninguna")</f>
        <v>Ninguna</v>
      </c>
      <c r="W180" s="30" t="str">
        <f ca="1">IFERROR(__xludf.DUMMYFUNCTION("""COMPUTED_VALUE"""),"Presencial")</f>
        <v>Presencial</v>
      </c>
      <c r="X180" s="30" t="str">
        <f ca="1">IFERROR(__xludf.DUMMYFUNCTION("""COMPUTED_VALUE"""),"Espacio Público")</f>
        <v>Espacio Público</v>
      </c>
      <c r="Y180" s="30"/>
      <c r="Z180" s="30" t="str">
        <f ca="1">IFERROR(__xludf.DUMMYFUNCTION("""COMPUTED_VALUE"""),"Plazuela del Carmen")</f>
        <v>Plazuela del Carmen</v>
      </c>
      <c r="AA180" s="30"/>
      <c r="AB180" s="30" t="b">
        <f ca="1">IFERROR(__xludf.DUMMYFUNCTION("""COMPUTED_VALUE"""),FALSE)</f>
        <v>0</v>
      </c>
      <c r="AC180" s="30"/>
      <c r="AD180" s="30" t="b">
        <f ca="1">IFERROR(__xludf.DUMMYFUNCTION("""COMPUTED_VALUE"""),TRUE)</f>
        <v>1</v>
      </c>
      <c r="AE180" s="30">
        <f ca="1">IFERROR(__xludf.DUMMYFUNCTION("""COMPUTED_VALUE"""),1)</f>
        <v>1</v>
      </c>
      <c r="AF180" s="30" t="b">
        <f ca="1">IFERROR(__xludf.DUMMYFUNCTION("""COMPUTED_VALUE"""),FALSE)</f>
        <v>0</v>
      </c>
      <c r="AG180" s="30"/>
      <c r="AH180" s="30" t="str">
        <f ca="1">IFERROR(__xludf.DUMMYFUNCTION("""COMPUTED_VALUE"""),"Sin costo")</f>
        <v>Sin costo</v>
      </c>
      <c r="AI180" s="30"/>
      <c r="AJ180" s="30"/>
      <c r="AK180" s="30"/>
      <c r="AL180" s="30" t="str">
        <f ca="1">IFERROR(__xludf.DUMMYFUNCTION("""COMPUTED_VALUE"""),"ccardonav@guanajuato.gob.mx")</f>
        <v>ccardonav@guanajuato.gob.mx</v>
      </c>
      <c r="AM180"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80" s="30" t="str">
        <f ca="1">IFERROR(__xludf.DUMMYFUNCTION("""COMPUTED_VALUE"""),"2 Igualdad")</f>
        <v>2 Igualdad</v>
      </c>
      <c r="AO180" s="30" t="str">
        <f ca="1">IFERROR(__xludf.DUMMYFUNCTION("""COMPUTED_VALUE"""),"2.4 Reducir brechas de desigualdad")</f>
        <v>2.4 Reducir brechas de desigualdad</v>
      </c>
      <c r="AP180" s="30" t="str">
        <f ca="1">IFERROR(__xludf.DUMMYFUNCTION("""COMPUTED_VALUE"""),"2.4.3 Descentralización de la oferta cultural")</f>
        <v>2.4.3 Descentralización de la oferta cultural</v>
      </c>
      <c r="AQ180" s="30" t="str">
        <f ca="1">IFERROR(__xludf.DUMMYFUNCTION("""COMPUTED_VALUE"""),"2.4.3.3 Incidir en el involucramiento de las personas con el ecosistema cultural")</f>
        <v>2.4.3.3 Incidir en el involucramiento de las personas con el ecosistema cultural</v>
      </c>
      <c r="AR180" s="30" t="str">
        <f ca="1">IFERROR(__xludf.DUMMYFUNCTION("""COMPUTED_VALUE"""),"Inclusión")</f>
        <v>Inclusión</v>
      </c>
      <c r="AS180" s="30" t="str">
        <f ca="1">IFERROR(__xludf.DUMMYFUNCTION("""COMPUTED_VALUE"""),"Ninguno (Población General)")</f>
        <v>Ninguno (Población General)</v>
      </c>
      <c r="AT180" s="30" t="str">
        <f ca="1">IFERROR(__xludf.DUMMYFUNCTION("""COMPUTED_VALUE"""),"Fortalecimiento de la participación ciudadana y la mediación cultural")</f>
        <v>Fortalecimiento de la participación ciudadana y la mediación cultural</v>
      </c>
      <c r="AU180" s="30" t="str">
        <f ca="1">IFERROR(__xludf.DUMMYFUNCTION("""COMPUTED_VALUE"""),"Impulso a la ampliación de la oferta cultural en los territorios.")</f>
        <v>Impulso a la ampliación de la oferta cultural en los territorios.</v>
      </c>
      <c r="AV180" s="30" t="str">
        <f ca="1">IFERROR(__xludf.DUMMYFUNCTION("""COMPUTED_VALUE"""),"Impulsar los proyectos culturales itinerantes.")</f>
        <v>Impulsar los proyectos culturales itinerantes.</v>
      </c>
      <c r="AW180" s="30" t="str">
        <f ca="1">IFERROR(__xludf.DUMMYFUNCTION("""COMPUTED_VALUE"""),"Incrementar en 25% la oferta cultural realizada en los municipios.")</f>
        <v>Incrementar en 25% la oferta cultural realizada en los municipios.</v>
      </c>
      <c r="AX180" s="30" t="str">
        <f ca="1">IFERROR(__xludf.DUMMYFUNCTION("""COMPUTED_VALUE"""),"Muestra artística")</f>
        <v>Muestra artística</v>
      </c>
      <c r="AY180" s="30" t="str">
        <f ca="1">IFERROR(__xludf.DUMMYFUNCTION("""COMPUTED_VALUE"""),"Circulación / Exhibición")</f>
        <v>Circulación / Exhibición</v>
      </c>
      <c r="AZ180" s="30"/>
      <c r="BA180" s="30"/>
      <c r="BB180" s="30"/>
      <c r="BC180" s="30">
        <f ca="1">IFERROR(__xludf.DUMMYFUNCTION("""COMPUTED_VALUE"""),0)</f>
        <v>0</v>
      </c>
      <c r="BD180" s="30"/>
      <c r="BE180" s="30"/>
      <c r="BF180" s="30" t="b">
        <f ca="1">IFERROR(__xludf.DUMMYFUNCTION("""COMPUTED_VALUE"""),FALSE)</f>
        <v>0</v>
      </c>
      <c r="BG180" s="30"/>
      <c r="BH180" s="30"/>
      <c r="BI180" s="30"/>
      <c r="BJ180" s="30"/>
      <c r="BK180" s="30"/>
      <c r="BL180" s="30"/>
      <c r="BM180" s="30" t="str">
        <f ca="1">IFERROR(__xludf.DUMMYFUNCTION("""COMPUTED_VALUE"""),"Sí")</f>
        <v>Sí</v>
      </c>
      <c r="BN180" s="30" t="str">
        <f ca="1">IFERROR(__xludf.DUMMYFUNCTION("""COMPUTED_VALUE"""),"Acompañamiento Técnico")</f>
        <v>Acompañamiento Técnico</v>
      </c>
      <c r="BO180" s="30" t="str">
        <f ca="1">IFERROR(__xludf.DUMMYFUNCTION("""COMPUTED_VALUE"""),"14ffd676")</f>
        <v>14ffd676</v>
      </c>
      <c r="BP180" s="29" t="str">
        <f ca="1">IFERROR(__xludf.DUMMYFUNCTION("""COMPUTED_VALUE"""),"Ciudad Manuel Doblado")</f>
        <v>Ciudad Manuel Doblado</v>
      </c>
      <c r="BQ180" s="30" t="str">
        <f ca="1">IFERROR(__xludf.DUMMYFUNCTION("""COMPUTED_VALUE"""),"Urbano")</f>
        <v>Urbano</v>
      </c>
      <c r="BR180" s="30"/>
      <c r="BS180" s="30"/>
      <c r="BT180" s="30"/>
      <c r="BU180" s="30" t="str">
        <f ca="1">IFERROR(__xludf.DUMMYFUNCTION("""COMPUTED_VALUE"""),"No")</f>
        <v>No</v>
      </c>
      <c r="BV180" s="30" t="str">
        <f ca="1">IFERROR(__xludf.DUMMYFUNCTION("""COMPUTED_VALUE"""),"No")</f>
        <v>No</v>
      </c>
      <c r="BW180" s="30">
        <f ca="1">IFERROR(__xludf.DUMMYFUNCTION("""COMPUTED_VALUE"""),11)</f>
        <v>11</v>
      </c>
      <c r="BX180" s="30">
        <f ca="1">IFERROR(__xludf.DUMMYFUNCTION("""COMPUTED_VALUE"""),11)</f>
        <v>11</v>
      </c>
      <c r="BY180" s="30">
        <f ca="1">IFERROR(__xludf.DUMMYFUNCTION("""COMPUTED_VALUE"""),0)</f>
        <v>0</v>
      </c>
      <c r="BZ180" s="30"/>
      <c r="CA180" s="30" t="str">
        <f ca="1">IFERROR(__xludf.DUMMYFUNCTION("""COMPUTED_VALUE"""),"No")</f>
        <v>No</v>
      </c>
      <c r="CB180" s="30" t="str">
        <f ca="1">IFERROR(__xludf.DUMMYFUNCTION("""COMPUTED_VALUE"""),"No")</f>
        <v>No</v>
      </c>
      <c r="CC180" s="30" t="str">
        <f ca="1">IFERROR(__xludf.DUMMYFUNCTION("""COMPUTED_VALUE"""),"7fdfcd35")</f>
        <v>7fdfcd35</v>
      </c>
      <c r="CD180" s="29" t="str">
        <f ca="1">IFERROR(__xludf.DUMMYFUNCTION("""COMPUTED_VALUE"""),"Adultos (30 a 59 años)")</f>
        <v>Adultos (30 a 59 años)</v>
      </c>
      <c r="CE180" s="30" t="str">
        <f ca="1">IFERROR(__xludf.DUMMYFUNCTION("""COMPUTED_VALUE"""),"Dato global")</f>
        <v>Dato global</v>
      </c>
      <c r="CF180" s="30" t="str">
        <f ca="1">IFERROR(__xludf.DUMMYFUNCTION("""COMPUTED_VALUE"""),"Ninguno (Población General)")</f>
        <v>Ninguno (Población General)</v>
      </c>
      <c r="CG180" s="30">
        <f ca="1">IFERROR(__xludf.DUMMYFUNCTION("""COMPUTED_VALUE"""),2180)</f>
        <v>2180</v>
      </c>
      <c r="CI180" s="30" t="str">
        <f ca="1">IFERROR(__xludf.DUMMYFUNCTION("""COMPUTED_VALUE"""),"faa2a2df")</f>
        <v>faa2a2df</v>
      </c>
      <c r="CJ180" s="29" t="str">
        <f ca="1">IFERROR(__xludf.DUMMYFUNCTION("""COMPUTED_VALUE"""),"Regitro_Evidencia_Files_/faa2a2df.Archivo_Evidencia.214722.pdf")</f>
        <v>Regitro_Evidencia_Files_/faa2a2df.Archivo_Evidencia.214722.pdf</v>
      </c>
      <c r="CK180" s="30" t="str">
        <f ca="1">IFERROR(__xludf.DUMMYFUNCTION("""COMPUTED_VALUE"""),"PDF")</f>
        <v>PDF</v>
      </c>
      <c r="CL180" s="30"/>
      <c r="CM180" s="30" t="str">
        <f ca="1">IFERROR(__xludf.DUMMYFUNCTION("""COMPUTED_VALUE"""),"Ciudad Manuel Doblado")</f>
        <v>Ciudad Manuel Doblado</v>
      </c>
      <c r="CN180" s="32" t="e">
        <f ca="1"/>
        <v>#NAME?</v>
      </c>
      <c r="CO180" s="32" t="e">
        <f ca="1"/>
        <v>#NAME?</v>
      </c>
      <c r="CP180" s="32" t="e">
        <f ca="1"/>
        <v>#NAME?</v>
      </c>
      <c r="CQ180" s="32" t="e">
        <f ca="1"/>
        <v>#NAME?</v>
      </c>
      <c r="CR180" s="30" t="e">
        <f ca="1"/>
        <v>#NAME?</v>
      </c>
      <c r="CS180" s="30" t="str">
        <f ca="1">IFERROR(__xludf.DUMMYFUNCTION("""COMPUTED_VALUE"""),"NNA (Niñas, Niños y Adolescentes)")</f>
        <v>NNA (Niñas, Niños y Adolescentes)</v>
      </c>
    </row>
    <row r="181" spans="1:97" ht="13">
      <c r="A181" s="29" t="str">
        <f ca="1">IFERROR(__xludf.DUMMYFUNCTION("""COMPUTED_VALUE"""),"ACT-SCVW61936")</f>
        <v>ACT-SCVW61936</v>
      </c>
      <c r="B181" s="30" t="str">
        <f ca="1">IFERROR(__xludf.DUMMYFUNCTION("""COMPUTED_VALUE"""),"SC-260703-154437")</f>
        <v>SC-260703-154437</v>
      </c>
      <c r="C181" s="62">
        <f ca="1">IFERROR(__xludf.DUMMYFUNCTION("""COMPUTED_VALUE"""),46206.6559837963)</f>
        <v>46206.6559837963</v>
      </c>
      <c r="D181" s="30">
        <f ca="1">IFERROR(__xludf.DUMMYFUNCTION("""COMPUTED_VALUE"""),93)</f>
        <v>93</v>
      </c>
      <c r="E181" s="30" t="str">
        <f ca="1">IFERROR(__xludf.DUMMYFUNCTION("""COMPUTED_VALUE"""),"PB3572")</f>
        <v>PB3572</v>
      </c>
      <c r="F18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1" s="30" t="str">
        <f ca="1">IFERROR(__xludf.DUMMYFUNCTION("""COMPUTED_VALUE"""),"Participación de artistas en las actividades extramuros en municipios del Estado de Guanajuato")</f>
        <v>Participación de artistas en las actividades extramuros en municipios del Estado de Guanajuato</v>
      </c>
      <c r="H181" s="30" t="str">
        <f ca="1">IFERROR(__xludf.DUMMYFUNCTION("""COMPUTED_VALUE"""),"SUBSECRETARÍA DE DESARROLLO Y PROMOCIÓN ARTÍSTICA Y CULTURAL")</f>
        <v>SUBSECRETARÍA DE DESARROLLO Y PROMOCIÓN ARTÍSTICA Y CULTURAL</v>
      </c>
      <c r="I181" s="34" t="str">
        <f ca="1">IFERROR(__xludf.DUMMYFUNCTION("""COMPUTED_VALUE"""),"DIRECCIÓN GENERAL DE MUSEOS, ARTES VISUALES Y EXPOSICIONES")</f>
        <v>DIRECCIÓN GENERAL DE MUSEOS, ARTES VISUALES Y EXPOSICIONES</v>
      </c>
      <c r="J181" s="30" t="str">
        <f ca="1">IFERROR(__xludf.DUMMYFUNCTION("""COMPUTED_VALUE"""),"Número de Actividades realizadas")</f>
        <v>Número de Actividades realizadas</v>
      </c>
      <c r="K181" s="30">
        <f ca="1">IFERROR(__xludf.DUMMYFUNCTION("""COMPUTED_VALUE"""),10)</f>
        <v>10</v>
      </c>
      <c r="L181" s="30" t="str">
        <f ca="1">IFERROR(__xludf.DUMMYFUNCTION("""COMPUTED_VALUE"""),"Artística")</f>
        <v>Artística</v>
      </c>
      <c r="M181" s="30" t="str">
        <f ca="1">IFERROR(__xludf.DUMMYFUNCTION("""COMPUTED_VALUE"""),"Arte en tu plaza Exposición ""Homo Videns""")</f>
        <v>Arte en tu plaza Exposición "Homo Videns"</v>
      </c>
      <c r="N181" s="30" t="str">
        <f ca="1">IFERROR(__xludf.DUMMYFUNCTION("""COMPUTED_VALUE"""),"Exposición en plaza pública del municipio de Manuel Doblado como parte del programa")</f>
        <v>Exposición en plaza pública del municipio de Manuel Doblado como parte del programa</v>
      </c>
      <c r="O181" s="30" t="str">
        <f ca="1">IFERROR(__xludf.DUMMYFUNCTION("""COMPUTED_VALUE"""),"Otras")</f>
        <v>Otras</v>
      </c>
      <c r="P181" s="33">
        <f ca="1">IFERROR(__xludf.DUMMYFUNCTION("""COMPUTED_VALUE"""),46184)</f>
        <v>46184</v>
      </c>
      <c r="Q181" s="33">
        <f ca="1">IFERROR(__xludf.DUMMYFUNCTION("""COMPUTED_VALUE"""),46213)</f>
        <v>46213</v>
      </c>
      <c r="R181" s="30">
        <f ca="1">IFERROR(__xludf.DUMMYFUNCTION("""COMPUTED_VALUE"""),29)</f>
        <v>29</v>
      </c>
      <c r="S181" s="30" t="str">
        <f ca="1">IFERROR(__xludf.DUMMYFUNCTION("""COMPUTED_VALUE"""),"Artes visuales")</f>
        <v>Artes visuales</v>
      </c>
      <c r="T181" s="30" t="str">
        <f ca="1">IFERROR(__xludf.DUMMYFUNCTION("""COMPUTED_VALUE"""),"Arte urbano")</f>
        <v>Arte urbano</v>
      </c>
      <c r="U181" s="30" t="str">
        <f ca="1">IFERROR(__xludf.DUMMYFUNCTION("""COMPUTED_VALUE"""),"Muestra artística")</f>
        <v>Muestra artística</v>
      </c>
      <c r="V181" s="30" t="str">
        <f ca="1">IFERROR(__xludf.DUMMYFUNCTION("""COMPUTED_VALUE"""),"Ninguna")</f>
        <v>Ninguna</v>
      </c>
      <c r="W181" s="30" t="str">
        <f ca="1">IFERROR(__xludf.DUMMYFUNCTION("""COMPUTED_VALUE"""),"Presencial")</f>
        <v>Presencial</v>
      </c>
      <c r="X181" s="30" t="str">
        <f ca="1">IFERROR(__xludf.DUMMYFUNCTION("""COMPUTED_VALUE"""),"Espacio Público")</f>
        <v>Espacio Público</v>
      </c>
      <c r="Y181" s="30"/>
      <c r="Z181" s="30" t="str">
        <f ca="1">IFERROR(__xludf.DUMMYFUNCTION("""COMPUTED_VALUE"""),"Plaza de armas ""Insurgente José Antonio Torres""")</f>
        <v>Plaza de armas "Insurgente José Antonio Torres"</v>
      </c>
      <c r="AA181" s="30"/>
      <c r="AB181" s="30" t="b">
        <f ca="1">IFERROR(__xludf.DUMMYFUNCTION("""COMPUTED_VALUE"""),FALSE)</f>
        <v>0</v>
      </c>
      <c r="AC181" s="30"/>
      <c r="AD181" s="30" t="b">
        <f ca="1">IFERROR(__xludf.DUMMYFUNCTION("""COMPUTED_VALUE"""),TRUE)</f>
        <v>1</v>
      </c>
      <c r="AE181" s="30">
        <f ca="1">IFERROR(__xludf.DUMMYFUNCTION("""COMPUTED_VALUE"""),1)</f>
        <v>1</v>
      </c>
      <c r="AF181" s="30" t="b">
        <f ca="1">IFERROR(__xludf.DUMMYFUNCTION("""COMPUTED_VALUE"""),FALSE)</f>
        <v>0</v>
      </c>
      <c r="AG181" s="30"/>
      <c r="AH181" s="30" t="str">
        <f ca="1">IFERROR(__xludf.DUMMYFUNCTION("""COMPUTED_VALUE"""),"Sin costo")</f>
        <v>Sin costo</v>
      </c>
      <c r="AI181" s="30"/>
      <c r="AJ181" s="30"/>
      <c r="AK181" s="30"/>
      <c r="AL181" s="30" t="str">
        <f ca="1">IFERROR(__xludf.DUMMYFUNCTION("""COMPUTED_VALUE"""),"ccardonav@guanajuato.gob.mx")</f>
        <v>ccardonav@guanajuato.gob.mx</v>
      </c>
      <c r="AM181"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81" s="30" t="str">
        <f ca="1">IFERROR(__xludf.DUMMYFUNCTION("""COMPUTED_VALUE"""),"2 Igualdad")</f>
        <v>2 Igualdad</v>
      </c>
      <c r="AO181" s="30" t="str">
        <f ca="1">IFERROR(__xludf.DUMMYFUNCTION("""COMPUTED_VALUE"""),"2.4 Reducir brechas de desigualdad")</f>
        <v>2.4 Reducir brechas de desigualdad</v>
      </c>
      <c r="AP181" s="30" t="str">
        <f ca="1">IFERROR(__xludf.DUMMYFUNCTION("""COMPUTED_VALUE"""),"2.4.3 Descentralización de la oferta cultural")</f>
        <v>2.4.3 Descentralización de la oferta cultural</v>
      </c>
      <c r="AQ181" s="30" t="str">
        <f ca="1">IFERROR(__xludf.DUMMYFUNCTION("""COMPUTED_VALUE"""),"2.4.3.3 Incidir en el involucramiento de las personas con el ecosistema cultural")</f>
        <v>2.4.3.3 Incidir en el involucramiento de las personas con el ecosistema cultural</v>
      </c>
      <c r="AR181" s="30" t="str">
        <f ca="1">IFERROR(__xludf.DUMMYFUNCTION("""COMPUTED_VALUE"""),"Inclusión")</f>
        <v>Inclusión</v>
      </c>
      <c r="AS181" s="30" t="str">
        <f ca="1">IFERROR(__xludf.DUMMYFUNCTION("""COMPUTED_VALUE"""),"Ninguno (Población General)")</f>
        <v>Ninguno (Población General)</v>
      </c>
      <c r="AT181" s="30" t="str">
        <f ca="1">IFERROR(__xludf.DUMMYFUNCTION("""COMPUTED_VALUE"""),"Fortalecimiento de la participación ciudadana y la mediación cultural")</f>
        <v>Fortalecimiento de la participación ciudadana y la mediación cultural</v>
      </c>
      <c r="AU181" s="30" t="str">
        <f ca="1">IFERROR(__xludf.DUMMYFUNCTION("""COMPUTED_VALUE"""),"Impulso a la ampliación de la oferta cultural en los territorios.")</f>
        <v>Impulso a la ampliación de la oferta cultural en los territorios.</v>
      </c>
      <c r="AV181" s="30" t="str">
        <f ca="1">IFERROR(__xludf.DUMMYFUNCTION("""COMPUTED_VALUE"""),"Impulsar los proyectos culturales itinerantes.")</f>
        <v>Impulsar los proyectos culturales itinerantes.</v>
      </c>
      <c r="AW181" s="30" t="str">
        <f ca="1">IFERROR(__xludf.DUMMYFUNCTION("""COMPUTED_VALUE"""),"Incrementar en 25% la oferta cultural realizada en los municipios.")</f>
        <v>Incrementar en 25% la oferta cultural realizada en los municipios.</v>
      </c>
      <c r="AX181" s="30" t="str">
        <f ca="1">IFERROR(__xludf.DUMMYFUNCTION("""COMPUTED_VALUE"""),"Muestra artística")</f>
        <v>Muestra artística</v>
      </c>
      <c r="AY181" s="30" t="str">
        <f ca="1">IFERROR(__xludf.DUMMYFUNCTION("""COMPUTED_VALUE"""),"Circulación / Exhibición")</f>
        <v>Circulación / Exhibición</v>
      </c>
      <c r="AZ181" s="30"/>
      <c r="BA181" s="30"/>
      <c r="BB181" s="30"/>
      <c r="BC181" s="30">
        <f ca="1">IFERROR(__xludf.DUMMYFUNCTION("""COMPUTED_VALUE"""),0)</f>
        <v>0</v>
      </c>
      <c r="BD181" s="30"/>
      <c r="BE181" s="30"/>
      <c r="BF181" s="30" t="b">
        <f ca="1">IFERROR(__xludf.DUMMYFUNCTION("""COMPUTED_VALUE"""),FALSE)</f>
        <v>0</v>
      </c>
      <c r="BG181" s="30"/>
      <c r="BH181" s="30"/>
      <c r="BI181" s="30"/>
      <c r="BJ181" s="30"/>
      <c r="BK181" s="30"/>
      <c r="BL181" s="30"/>
      <c r="BM181" s="30" t="str">
        <f ca="1">IFERROR(__xludf.DUMMYFUNCTION("""COMPUTED_VALUE"""),"Sí")</f>
        <v>Sí</v>
      </c>
      <c r="BN181" s="30" t="str">
        <f ca="1">IFERROR(__xludf.DUMMYFUNCTION("""COMPUTED_VALUE"""),"Acompañamiento Técnico")</f>
        <v>Acompañamiento Técnico</v>
      </c>
      <c r="BO181" s="30" t="str">
        <f ca="1">IFERROR(__xludf.DUMMYFUNCTION("""COMPUTED_VALUE"""),"7dd24e9e")</f>
        <v>7dd24e9e</v>
      </c>
      <c r="BP181" s="29" t="str">
        <f ca="1">IFERROR(__xludf.DUMMYFUNCTION("""COMPUTED_VALUE"""),"Ciudad Manuel Doblado")</f>
        <v>Ciudad Manuel Doblado</v>
      </c>
      <c r="BQ181" s="30" t="str">
        <f ca="1">IFERROR(__xludf.DUMMYFUNCTION("""COMPUTED_VALUE"""),"Urbano")</f>
        <v>Urbano</v>
      </c>
      <c r="BR181" s="30"/>
      <c r="BS181" s="30"/>
      <c r="BT181" s="30"/>
      <c r="BU181" s="30" t="str">
        <f ca="1">IFERROR(__xludf.DUMMYFUNCTION("""COMPUTED_VALUE"""),"No")</f>
        <v>No</v>
      </c>
      <c r="BV181" s="30" t="str">
        <f ca="1">IFERROR(__xludf.DUMMYFUNCTION("""COMPUTED_VALUE"""),"No")</f>
        <v>No</v>
      </c>
      <c r="BW181" s="30">
        <f ca="1">IFERROR(__xludf.DUMMYFUNCTION("""COMPUTED_VALUE"""),22)</f>
        <v>22</v>
      </c>
      <c r="BX181" s="30">
        <f ca="1">IFERROR(__xludf.DUMMYFUNCTION("""COMPUTED_VALUE"""),22)</f>
        <v>22</v>
      </c>
      <c r="BY181" s="30">
        <f ca="1">IFERROR(__xludf.DUMMYFUNCTION("""COMPUTED_VALUE"""),0)</f>
        <v>0</v>
      </c>
      <c r="BZ181" s="30"/>
      <c r="CA181" s="30" t="str">
        <f ca="1">IFERROR(__xludf.DUMMYFUNCTION("""COMPUTED_VALUE"""),"No")</f>
        <v>No</v>
      </c>
      <c r="CB181" s="30" t="str">
        <f ca="1">IFERROR(__xludf.DUMMYFUNCTION("""COMPUTED_VALUE"""),"No")</f>
        <v>No</v>
      </c>
      <c r="CC181" s="30" t="str">
        <f ca="1">IFERROR(__xludf.DUMMYFUNCTION("""COMPUTED_VALUE"""),"2b91069c")</f>
        <v>2b91069c</v>
      </c>
      <c r="CD181" s="29" t="str">
        <f ca="1">IFERROR(__xludf.DUMMYFUNCTION("""COMPUTED_VALUE"""),"Adultos (30 a 59 años)")</f>
        <v>Adultos (30 a 59 años)</v>
      </c>
      <c r="CE181" s="30" t="str">
        <f ca="1">IFERROR(__xludf.DUMMYFUNCTION("""COMPUTED_VALUE"""),"Dato global")</f>
        <v>Dato global</v>
      </c>
      <c r="CF181" s="30" t="str">
        <f ca="1">IFERROR(__xludf.DUMMYFUNCTION("""COMPUTED_VALUE"""),"Mujeres en situación de vulnerabilidad")</f>
        <v>Mujeres en situación de vulnerabilidad</v>
      </c>
      <c r="CG181" s="30">
        <f ca="1">IFERROR(__xludf.DUMMYFUNCTION("""COMPUTED_VALUE"""),150)</f>
        <v>150</v>
      </c>
      <c r="CI181" s="30" t="str">
        <f ca="1">IFERROR(__xludf.DUMMYFUNCTION("""COMPUTED_VALUE"""),"4ade96c5")</f>
        <v>4ade96c5</v>
      </c>
      <c r="CJ181" s="29" t="str">
        <f ca="1">IFERROR(__xludf.DUMMYFUNCTION("""COMPUTED_VALUE"""),"Regitro_Evidencia_Files_/4ade96c5.Archivo_Evidencia.170040.pdf")</f>
        <v>Regitro_Evidencia_Files_/4ade96c5.Archivo_Evidencia.170040.pdf</v>
      </c>
      <c r="CK181" s="30" t="str">
        <f ca="1">IFERROR(__xludf.DUMMYFUNCTION("""COMPUTED_VALUE"""),"PDF")</f>
        <v>PDF</v>
      </c>
      <c r="CL181" s="30"/>
      <c r="CM181" s="30" t="str">
        <f ca="1">IFERROR(__xludf.DUMMYFUNCTION("""COMPUTED_VALUE"""),"Purísima del Rincón")</f>
        <v>Purísima del Rincón</v>
      </c>
      <c r="CN181" s="32" t="e">
        <f ca="1"/>
        <v>#NAME?</v>
      </c>
      <c r="CO181" s="32" t="e">
        <f ca="1"/>
        <v>#NAME?</v>
      </c>
      <c r="CP181" s="32" t="e">
        <f ca="1"/>
        <v>#NAME?</v>
      </c>
      <c r="CQ181" s="32" t="e">
        <f ca="1"/>
        <v>#NAME?</v>
      </c>
      <c r="CR181" s="30" t="e">
        <f ca="1"/>
        <v>#NAME?</v>
      </c>
      <c r="CS181" s="30" t="str">
        <f ca="1">IFERROR(__xludf.DUMMYFUNCTION("""COMPUTED_VALUE"""),"NNA (Niñas, Niños y Adolescentes)")</f>
        <v>NNA (Niñas, Niños y Adolescentes)</v>
      </c>
    </row>
    <row r="182" spans="1:97" ht="13">
      <c r="A182" s="29" t="str">
        <f ca="1">IFERROR(__xludf.DUMMYFUNCTION("""COMPUTED_VALUE"""),"ACT-SCZL12704")</f>
        <v>ACT-SCZL12704</v>
      </c>
      <c r="B182" s="30" t="str">
        <f ca="1">IFERROR(__xludf.DUMMYFUNCTION("""COMPUTED_VALUE"""),"SC-260703-155604")</f>
        <v>SC-260703-155604</v>
      </c>
      <c r="C182" s="62">
        <f ca="1">IFERROR(__xludf.DUMMYFUNCTION("""COMPUTED_VALUE"""),46206.6639351851)</f>
        <v>46206.663935185097</v>
      </c>
      <c r="D182" s="30">
        <f ca="1">IFERROR(__xludf.DUMMYFUNCTION("""COMPUTED_VALUE"""),93)</f>
        <v>93</v>
      </c>
      <c r="E182" s="30" t="str">
        <f ca="1">IFERROR(__xludf.DUMMYFUNCTION("""COMPUTED_VALUE"""),"PB3572")</f>
        <v>PB3572</v>
      </c>
      <c r="F18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2" s="30" t="str">
        <f ca="1">IFERROR(__xludf.DUMMYFUNCTION("""COMPUTED_VALUE"""),"Participación de artistas en las actividades extramuros en municipios del Estado de Guanajuato")</f>
        <v>Participación de artistas en las actividades extramuros en municipios del Estado de Guanajuato</v>
      </c>
      <c r="H182" s="30" t="str">
        <f ca="1">IFERROR(__xludf.DUMMYFUNCTION("""COMPUTED_VALUE"""),"SUBSECRETARÍA DE DESARROLLO Y PROMOCIÓN ARTÍSTICA Y CULTURAL")</f>
        <v>SUBSECRETARÍA DE DESARROLLO Y PROMOCIÓN ARTÍSTICA Y CULTURAL</v>
      </c>
      <c r="I182" s="34" t="str">
        <f ca="1">IFERROR(__xludf.DUMMYFUNCTION("""COMPUTED_VALUE"""),"DIRECCIÓN GENERAL DE MUSEOS, ARTES VISUALES Y EXPOSICIONES")</f>
        <v>DIRECCIÓN GENERAL DE MUSEOS, ARTES VISUALES Y EXPOSICIONES</v>
      </c>
      <c r="J182" s="30" t="str">
        <f ca="1">IFERROR(__xludf.DUMMYFUNCTION("""COMPUTED_VALUE"""),"Número de Actividades realizadas")</f>
        <v>Número de Actividades realizadas</v>
      </c>
      <c r="K182" s="30">
        <f ca="1">IFERROR(__xludf.DUMMYFUNCTION("""COMPUTED_VALUE"""),10)</f>
        <v>10</v>
      </c>
      <c r="L182" s="30" t="str">
        <f ca="1">IFERROR(__xludf.DUMMYFUNCTION("""COMPUTED_VALUE"""),"Artística")</f>
        <v>Artística</v>
      </c>
      <c r="M182" s="30" t="str">
        <f ca="1">IFERROR(__xludf.DUMMYFUNCTION("""COMPUTED_VALUE"""),"Activación Arte en tu plaza Activación ""Fragmentos y complicidades""")</f>
        <v>Activación Arte en tu plaza Activación "Fragmentos y complicidades"</v>
      </c>
      <c r="N182" s="30" t="str">
        <f ca="1">IFERROR(__xludf.DUMMYFUNCTION("""COMPUTED_VALUE"""),"Mediación cultural entre la exposicion Fragmentos y complicidades y los ciudadanos del muninicpio de Salvatierra como parte del programa Arte en tu Plaza")</f>
        <v>Mediación cultural entre la exposicion Fragmentos y complicidades y los ciudadanos del muninicpio de Salvatierra como parte del programa Arte en tu Plaza</v>
      </c>
      <c r="O182" s="30" t="str">
        <f ca="1">IFERROR(__xludf.DUMMYFUNCTION("""COMPUTED_VALUE"""),"Única")</f>
        <v>Única</v>
      </c>
      <c r="P182" s="33">
        <f ca="1">IFERROR(__xludf.DUMMYFUNCTION("""COMPUTED_VALUE"""),46192)</f>
        <v>46192</v>
      </c>
      <c r="Q182" s="33">
        <f ca="1">IFERROR(__xludf.DUMMYFUNCTION("""COMPUTED_VALUE"""),46192)</f>
        <v>46192</v>
      </c>
      <c r="R182" s="30">
        <f ca="1">IFERROR(__xludf.DUMMYFUNCTION("""COMPUTED_VALUE"""),1)</f>
        <v>1</v>
      </c>
      <c r="S182" s="30" t="str">
        <f ca="1">IFERROR(__xludf.DUMMYFUNCTION("""COMPUTED_VALUE"""),"Cultura comunitaria")</f>
        <v>Cultura comunitaria</v>
      </c>
      <c r="T182" s="30" t="str">
        <f ca="1">IFERROR(__xludf.DUMMYFUNCTION("""COMPUTED_VALUE"""),"Gestión cultural")</f>
        <v>Gestión cultural</v>
      </c>
      <c r="U182" s="30" t="str">
        <f ca="1">IFERROR(__xludf.DUMMYFUNCTION("""COMPUTED_VALUE"""),"Taller")</f>
        <v>Taller</v>
      </c>
      <c r="V182" s="30" t="str">
        <f ca="1">IFERROR(__xludf.DUMMYFUNCTION("""COMPUTED_VALUE"""),"Ninguna")</f>
        <v>Ninguna</v>
      </c>
      <c r="W182" s="30" t="str">
        <f ca="1">IFERROR(__xludf.DUMMYFUNCTION("""COMPUTED_VALUE"""),"Presencial")</f>
        <v>Presencial</v>
      </c>
      <c r="X182" s="30" t="str">
        <f ca="1">IFERROR(__xludf.DUMMYFUNCTION("""COMPUTED_VALUE"""),"Espacio Público")</f>
        <v>Espacio Público</v>
      </c>
      <c r="Y182" s="30"/>
      <c r="Z182" s="30" t="str">
        <f ca="1">IFERROR(__xludf.DUMMYFUNCTION("""COMPUTED_VALUE"""),"Plazuela del Carmen")</f>
        <v>Plazuela del Carmen</v>
      </c>
      <c r="AA182" s="30"/>
      <c r="AB182" s="30" t="b">
        <f ca="1">IFERROR(__xludf.DUMMYFUNCTION("""COMPUTED_VALUE"""),FALSE)</f>
        <v>0</v>
      </c>
      <c r="AC182" s="30"/>
      <c r="AD182" s="30" t="b">
        <f ca="1">IFERROR(__xludf.DUMMYFUNCTION("""COMPUTED_VALUE"""),FALSE)</f>
        <v>0</v>
      </c>
      <c r="AE182" s="30"/>
      <c r="AF182" s="30" t="b">
        <f ca="1">IFERROR(__xludf.DUMMYFUNCTION("""COMPUTED_VALUE"""),FALSE)</f>
        <v>0</v>
      </c>
      <c r="AG182" s="30"/>
      <c r="AH182" s="30" t="str">
        <f ca="1">IFERROR(__xludf.DUMMYFUNCTION("""COMPUTED_VALUE"""),"Sin costo")</f>
        <v>Sin costo</v>
      </c>
      <c r="AI182" s="30"/>
      <c r="AJ182" s="30"/>
      <c r="AK182" s="30"/>
      <c r="AL182" s="30" t="str">
        <f ca="1">IFERROR(__xludf.DUMMYFUNCTION("""COMPUTED_VALUE"""),"ccardonav@guanajuato.gob.mx")</f>
        <v>ccardonav@guanajuato.gob.mx</v>
      </c>
      <c r="AM182"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82" s="30" t="str">
        <f ca="1">IFERROR(__xludf.DUMMYFUNCTION("""COMPUTED_VALUE"""),"2 Igualdad")</f>
        <v>2 Igualdad</v>
      </c>
      <c r="AO182" s="30" t="str">
        <f ca="1">IFERROR(__xludf.DUMMYFUNCTION("""COMPUTED_VALUE"""),"2.4 Reducir brechas de desigualdad")</f>
        <v>2.4 Reducir brechas de desigualdad</v>
      </c>
      <c r="AP182" s="30" t="str">
        <f ca="1">IFERROR(__xludf.DUMMYFUNCTION("""COMPUTED_VALUE"""),"2.4.3 Descentralización de la oferta cultural")</f>
        <v>2.4.3 Descentralización de la oferta cultural</v>
      </c>
      <c r="AQ182" s="30" t="str">
        <f ca="1">IFERROR(__xludf.DUMMYFUNCTION("""COMPUTED_VALUE"""),"2.4.3.3 Incidir en el involucramiento de las personas con el ecosistema cultural")</f>
        <v>2.4.3.3 Incidir en el involucramiento de las personas con el ecosistema cultural</v>
      </c>
      <c r="AR182" s="30" t="str">
        <f ca="1">IFERROR(__xludf.DUMMYFUNCTION("""COMPUTED_VALUE"""),"Inclusión")</f>
        <v>Inclusión</v>
      </c>
      <c r="AS182" s="30" t="str">
        <f ca="1">IFERROR(__xludf.DUMMYFUNCTION("""COMPUTED_VALUE"""),"NNA (Niñas, Niños y Adolescentes)")</f>
        <v>NNA (Niñas, Niños y Adolescentes)</v>
      </c>
      <c r="AT182" s="30" t="str">
        <f ca="1">IFERROR(__xludf.DUMMYFUNCTION("""COMPUTED_VALUE"""),"Fortalecimiento de la participación ciudadana y la mediación cultural")</f>
        <v>Fortalecimiento de la participación ciudadana y la mediación cultural</v>
      </c>
      <c r="AU182" s="30" t="str">
        <f ca="1">IFERROR(__xludf.DUMMYFUNCTION("""COMPUTED_VALUE"""),"Impulso a la ampliación de la oferta cultural en los territorios.")</f>
        <v>Impulso a la ampliación de la oferta cultural en los territorios.</v>
      </c>
      <c r="AV182" s="30" t="str">
        <f ca="1">IFERROR(__xludf.DUMMYFUNCTION("""COMPUTED_VALUE"""),"Impulsar los proyectos culturales itinerantes.")</f>
        <v>Impulsar los proyectos culturales itinerantes.</v>
      </c>
      <c r="AW182" s="30" t="str">
        <f ca="1">IFERROR(__xludf.DUMMYFUNCTION("""COMPUTED_VALUE"""),"Incrementar en 25% la oferta cultural realizada en los municipios.")</f>
        <v>Incrementar en 25% la oferta cultural realizada en los municipios.</v>
      </c>
      <c r="AX182" s="30" t="str">
        <f ca="1">IFERROR(__xludf.DUMMYFUNCTION("""COMPUTED_VALUE"""),"Taller")</f>
        <v>Taller</v>
      </c>
      <c r="AY182" s="30" t="str">
        <f ca="1">IFERROR(__xludf.DUMMYFUNCTION("""COMPUTED_VALUE"""),"Mediación")</f>
        <v>Mediación</v>
      </c>
      <c r="AZ182" s="30"/>
      <c r="BA182" s="30"/>
      <c r="BB182" s="30"/>
      <c r="BC182" s="30">
        <f ca="1">IFERROR(__xludf.DUMMYFUNCTION("""COMPUTED_VALUE"""),0)</f>
        <v>0</v>
      </c>
      <c r="BD182" s="30"/>
      <c r="BE182" s="30"/>
      <c r="BF182" s="30" t="b">
        <f ca="1">IFERROR(__xludf.DUMMYFUNCTION("""COMPUTED_VALUE"""),TRUE)</f>
        <v>1</v>
      </c>
      <c r="BG182" s="30" t="str">
        <f ca="1">IFERROR(__xludf.DUMMYFUNCTION("""COMPUTED_VALUE"""),"Especie")</f>
        <v>Especie</v>
      </c>
      <c r="BH182" s="30"/>
      <c r="BI182" s="30"/>
      <c r="BJ182" s="30"/>
      <c r="BK182" s="30"/>
      <c r="BL182" s="30"/>
      <c r="BM182" s="30" t="str">
        <f ca="1">IFERROR(__xludf.DUMMYFUNCTION("""COMPUTED_VALUE"""),"Sí")</f>
        <v>Sí</v>
      </c>
      <c r="BN182" s="30" t="str">
        <f ca="1">IFERROR(__xludf.DUMMYFUNCTION("""COMPUTED_VALUE"""),"Acompañamiento Técnico")</f>
        <v>Acompañamiento Técnico</v>
      </c>
      <c r="BO182" s="30" t="str">
        <f ca="1">IFERROR(__xludf.DUMMYFUNCTION("""COMPUTED_VALUE"""),"476ae39f")</f>
        <v>476ae39f</v>
      </c>
      <c r="BP182" s="29" t="str">
        <f ca="1">IFERROR(__xludf.DUMMYFUNCTION("""COMPUTED_VALUE"""),"Ciudad Manuel Doblado")</f>
        <v>Ciudad Manuel Doblado</v>
      </c>
      <c r="BQ182" s="30" t="str">
        <f ca="1">IFERROR(__xludf.DUMMYFUNCTION("""COMPUTED_VALUE"""),"Urbano")</f>
        <v>Urbano</v>
      </c>
      <c r="BR182" s="30"/>
      <c r="BS182" s="30"/>
      <c r="BT182" s="30"/>
      <c r="BU182" s="30" t="str">
        <f ca="1">IFERROR(__xludf.DUMMYFUNCTION("""COMPUTED_VALUE"""),"No")</f>
        <v>No</v>
      </c>
      <c r="BV182" s="30" t="str">
        <f ca="1">IFERROR(__xludf.DUMMYFUNCTION("""COMPUTED_VALUE"""),"No")</f>
        <v>No</v>
      </c>
      <c r="BW182" s="30">
        <f ca="1">IFERROR(__xludf.DUMMYFUNCTION("""COMPUTED_VALUE"""),11)</f>
        <v>11</v>
      </c>
      <c r="BX182" s="30">
        <f ca="1">IFERROR(__xludf.DUMMYFUNCTION("""COMPUTED_VALUE"""),11)</f>
        <v>11</v>
      </c>
      <c r="BY182" s="30">
        <f ca="1">IFERROR(__xludf.DUMMYFUNCTION("""COMPUTED_VALUE"""),0)</f>
        <v>0</v>
      </c>
      <c r="BZ182" s="30"/>
      <c r="CA182" s="30" t="str">
        <f ca="1">IFERROR(__xludf.DUMMYFUNCTION("""COMPUTED_VALUE"""),"No")</f>
        <v>No</v>
      </c>
      <c r="CB182" s="30" t="str">
        <f ca="1">IFERROR(__xludf.DUMMYFUNCTION("""COMPUTED_VALUE"""),"No")</f>
        <v>No</v>
      </c>
      <c r="CC182" s="30" t="str">
        <f ca="1">IFERROR(__xludf.DUMMYFUNCTION("""COMPUTED_VALUE"""),"c68655c3")</f>
        <v>c68655c3</v>
      </c>
      <c r="CD182" s="29" t="str">
        <f ca="1">IFERROR(__xludf.DUMMYFUNCTION("""COMPUTED_VALUE"""),"Jóvenes (18 a 29 años)")</f>
        <v>Jóvenes (18 a 29 años)</v>
      </c>
      <c r="CE182" s="30" t="str">
        <f ca="1">IFERROR(__xludf.DUMMYFUNCTION("""COMPUTED_VALUE"""),"Dato global")</f>
        <v>Dato global</v>
      </c>
      <c r="CF182" s="30" t="str">
        <f ca="1">IFERROR(__xludf.DUMMYFUNCTION("""COMPUTED_VALUE"""),"Ninguno (Población General)")</f>
        <v>Ninguno (Población General)</v>
      </c>
      <c r="CG182" s="30">
        <f ca="1">IFERROR(__xludf.DUMMYFUNCTION("""COMPUTED_VALUE"""),100)</f>
        <v>100</v>
      </c>
      <c r="CI182" s="30" t="str">
        <f ca="1">IFERROR(__xludf.DUMMYFUNCTION("""COMPUTED_VALUE"""),"361aa8ee")</f>
        <v>361aa8ee</v>
      </c>
      <c r="CJ182" s="29" t="str">
        <f ca="1">IFERROR(__xludf.DUMMYFUNCTION("""COMPUTED_VALUE"""),"Regitro_Evidencia_Files_/361aa8ee.Archivo_Evidencia.170047.pdf")</f>
        <v>Regitro_Evidencia_Files_/361aa8ee.Archivo_Evidencia.170047.pdf</v>
      </c>
      <c r="CK182" s="30" t="str">
        <f ca="1">IFERROR(__xludf.DUMMYFUNCTION("""COMPUTED_VALUE"""),"PDF")</f>
        <v>PDF</v>
      </c>
      <c r="CL182" s="30"/>
      <c r="CM182" s="30" t="str">
        <f ca="1">IFERROR(__xludf.DUMMYFUNCTION("""COMPUTED_VALUE"""),"San Luis de la Paz")</f>
        <v>San Luis de la Paz</v>
      </c>
      <c r="CN182" s="32" t="e">
        <f ca="1"/>
        <v>#NAME?</v>
      </c>
      <c r="CO182" s="32" t="e">
        <f ca="1"/>
        <v>#NAME?</v>
      </c>
      <c r="CP182" s="32" t="e">
        <f ca="1"/>
        <v>#NAME?</v>
      </c>
      <c r="CQ182" s="32" t="e">
        <f ca="1"/>
        <v>#NAME?</v>
      </c>
      <c r="CR182" s="30" t="e">
        <f ca="1"/>
        <v>#NAME?</v>
      </c>
      <c r="CS182" s="30" t="str">
        <f ca="1">IFERROR(__xludf.DUMMYFUNCTION("""COMPUTED_VALUE"""),"NNA (Niñas, Niños y Adolescentes)")</f>
        <v>NNA (Niñas, Niños y Adolescentes)</v>
      </c>
    </row>
    <row r="183" spans="1:97" ht="13">
      <c r="A183" s="29" t="str">
        <f ca="1">IFERROR(__xludf.DUMMYFUNCTION("""COMPUTED_VALUE"""),"ACT-SCIW12431")</f>
        <v>ACT-SCIW12431</v>
      </c>
      <c r="B183" s="30" t="str">
        <f ca="1">IFERROR(__xludf.DUMMYFUNCTION("""COMPUTED_VALUE"""),"SC-260703-165420")</f>
        <v>SC-260703-165420</v>
      </c>
      <c r="C183" s="62">
        <f ca="1">IFERROR(__xludf.DUMMYFUNCTION("""COMPUTED_VALUE"""),46206.7043981481)</f>
        <v>46206.704398148097</v>
      </c>
      <c r="D183" s="30">
        <f ca="1">IFERROR(__xludf.DUMMYFUNCTION("""COMPUTED_VALUE"""),93)</f>
        <v>93</v>
      </c>
      <c r="E183" s="30" t="str">
        <f ca="1">IFERROR(__xludf.DUMMYFUNCTION("""COMPUTED_VALUE"""),"PB3572")</f>
        <v>PB3572</v>
      </c>
      <c r="F18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3" s="30" t="str">
        <f ca="1">IFERROR(__xludf.DUMMYFUNCTION("""COMPUTED_VALUE"""),"Participación de artistas en las actividades extramuros en municipios del Estado de Guanajuato")</f>
        <v>Participación de artistas en las actividades extramuros en municipios del Estado de Guanajuato</v>
      </c>
      <c r="H183" s="30" t="str">
        <f ca="1">IFERROR(__xludf.DUMMYFUNCTION("""COMPUTED_VALUE"""),"SUBSECRETARÍA DE DESARROLLO Y PROMOCIÓN ARTÍSTICA Y CULTURAL")</f>
        <v>SUBSECRETARÍA DE DESARROLLO Y PROMOCIÓN ARTÍSTICA Y CULTURAL</v>
      </c>
      <c r="I183" s="34" t="str">
        <f ca="1">IFERROR(__xludf.DUMMYFUNCTION("""COMPUTED_VALUE"""),"DIRECCIÓN GENERAL DE MUSEOS, ARTES VISUALES Y EXPOSICIONES")</f>
        <v>DIRECCIÓN GENERAL DE MUSEOS, ARTES VISUALES Y EXPOSICIONES</v>
      </c>
      <c r="J183" s="30" t="str">
        <f ca="1">IFERROR(__xludf.DUMMYFUNCTION("""COMPUTED_VALUE"""),"Número de Actividades realizadas")</f>
        <v>Número de Actividades realizadas</v>
      </c>
      <c r="K183" s="30">
        <f ca="1">IFERROR(__xludf.DUMMYFUNCTION("""COMPUTED_VALUE"""),10)</f>
        <v>10</v>
      </c>
      <c r="L183" s="30" t="str">
        <f ca="1">IFERROR(__xludf.DUMMYFUNCTION("""COMPUTED_VALUE"""),"Artística")</f>
        <v>Artística</v>
      </c>
      <c r="M183" s="30" t="str">
        <f ca="1">IFERROR(__xludf.DUMMYFUNCTION("""COMPUTED_VALUE"""),"Activación Arte en tu plaza Activación ""Homo Videns""")</f>
        <v>Activación Arte en tu plaza Activación "Homo Videns"</v>
      </c>
      <c r="N183" s="30" t="str">
        <f ca="1">IFERROR(__xludf.DUMMYFUNCTION("""COMPUTED_VALUE"""),"Mediación cultural entre la exposición Homo videns y los ciudadanos del municipio de Manuel Doblado")</f>
        <v>Mediación cultural entre la exposición Homo videns y los ciudadanos del municipio de Manuel Doblado</v>
      </c>
      <c r="O183" s="30" t="str">
        <f ca="1">IFERROR(__xludf.DUMMYFUNCTION("""COMPUTED_VALUE"""),"Única")</f>
        <v>Única</v>
      </c>
      <c r="P183" s="33">
        <f ca="1">IFERROR(__xludf.DUMMYFUNCTION("""COMPUTED_VALUE"""),46195)</f>
        <v>46195</v>
      </c>
      <c r="Q183" s="33">
        <f ca="1">IFERROR(__xludf.DUMMYFUNCTION("""COMPUTED_VALUE"""),46195)</f>
        <v>46195</v>
      </c>
      <c r="R183" s="30">
        <f ca="1">IFERROR(__xludf.DUMMYFUNCTION("""COMPUTED_VALUE"""),1)</f>
        <v>1</v>
      </c>
      <c r="S183" s="30" t="str">
        <f ca="1">IFERROR(__xludf.DUMMYFUNCTION("""COMPUTED_VALUE"""),"Cultura comunitaria")</f>
        <v>Cultura comunitaria</v>
      </c>
      <c r="T183" s="30" t="str">
        <f ca="1">IFERROR(__xludf.DUMMYFUNCTION("""COMPUTED_VALUE"""),"Gestión cultural")</f>
        <v>Gestión cultural</v>
      </c>
      <c r="U183" s="30" t="str">
        <f ca="1">IFERROR(__xludf.DUMMYFUNCTION("""COMPUTED_VALUE"""),"Taller")</f>
        <v>Taller</v>
      </c>
      <c r="V183" s="30" t="str">
        <f ca="1">IFERROR(__xludf.DUMMYFUNCTION("""COMPUTED_VALUE"""),"Ninguna")</f>
        <v>Ninguna</v>
      </c>
      <c r="W183" s="30" t="str">
        <f ca="1">IFERROR(__xludf.DUMMYFUNCTION("""COMPUTED_VALUE"""),"Presencial")</f>
        <v>Presencial</v>
      </c>
      <c r="X183" s="30" t="str">
        <f ca="1">IFERROR(__xludf.DUMMYFUNCTION("""COMPUTED_VALUE"""),"Espacio Público")</f>
        <v>Espacio Público</v>
      </c>
      <c r="Y183" s="30"/>
      <c r="Z183" s="30" t="str">
        <f ca="1">IFERROR(__xludf.DUMMYFUNCTION("""COMPUTED_VALUE"""),"Plaza de armas ""Insurgente José Antonio Torres""")</f>
        <v>Plaza de armas "Insurgente José Antonio Torres"</v>
      </c>
      <c r="AA183" s="30"/>
      <c r="AB183" s="30" t="b">
        <f ca="1">IFERROR(__xludf.DUMMYFUNCTION("""COMPUTED_VALUE"""),FALSE)</f>
        <v>0</v>
      </c>
      <c r="AC183" s="30"/>
      <c r="AD183" s="30" t="b">
        <f ca="1">IFERROR(__xludf.DUMMYFUNCTION("""COMPUTED_VALUE"""),FALSE)</f>
        <v>0</v>
      </c>
      <c r="AE183" s="30"/>
      <c r="AF183" s="30" t="b">
        <f ca="1">IFERROR(__xludf.DUMMYFUNCTION("""COMPUTED_VALUE"""),FALSE)</f>
        <v>0</v>
      </c>
      <c r="AG183" s="30"/>
      <c r="AH183" s="30" t="str">
        <f ca="1">IFERROR(__xludf.DUMMYFUNCTION("""COMPUTED_VALUE"""),"Sin costo")</f>
        <v>Sin costo</v>
      </c>
      <c r="AI183" s="30"/>
      <c r="AJ183" s="30"/>
      <c r="AK183" s="30"/>
      <c r="AL183" s="30" t="str">
        <f ca="1">IFERROR(__xludf.DUMMYFUNCTION("""COMPUTED_VALUE"""),"ccardonav@guanajuato.gob.mx")</f>
        <v>ccardonav@guanajuato.gob.mx</v>
      </c>
      <c r="AM183"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83" s="30" t="str">
        <f ca="1">IFERROR(__xludf.DUMMYFUNCTION("""COMPUTED_VALUE"""),"2 Igualdad")</f>
        <v>2 Igualdad</v>
      </c>
      <c r="AO183" s="30" t="str">
        <f ca="1">IFERROR(__xludf.DUMMYFUNCTION("""COMPUTED_VALUE"""),"2.4 Reducir brechas de desigualdad")</f>
        <v>2.4 Reducir brechas de desigualdad</v>
      </c>
      <c r="AP183" s="30" t="str">
        <f ca="1">IFERROR(__xludf.DUMMYFUNCTION("""COMPUTED_VALUE"""),"2.4.3 Descentralización de la oferta cultural")</f>
        <v>2.4.3 Descentralización de la oferta cultural</v>
      </c>
      <c r="AQ183" s="30" t="str">
        <f ca="1">IFERROR(__xludf.DUMMYFUNCTION("""COMPUTED_VALUE"""),"2.4.3.3 Incidir en el involucramiento de las personas con el ecosistema cultural")</f>
        <v>2.4.3.3 Incidir en el involucramiento de las personas con el ecosistema cultural</v>
      </c>
      <c r="AR183" s="30" t="str">
        <f ca="1">IFERROR(__xludf.DUMMYFUNCTION("""COMPUTED_VALUE"""),"Inclusión")</f>
        <v>Inclusión</v>
      </c>
      <c r="AS183" s="30" t="str">
        <f ca="1">IFERROR(__xludf.DUMMYFUNCTION("""COMPUTED_VALUE"""),"NNA (Niñas, Niños y Adolescentes)")</f>
        <v>NNA (Niñas, Niños y Adolescentes)</v>
      </c>
      <c r="AT183" s="30" t="str">
        <f ca="1">IFERROR(__xludf.DUMMYFUNCTION("""COMPUTED_VALUE"""),"Fortalecimiento de la participación ciudadana y la mediación cultural")</f>
        <v>Fortalecimiento de la participación ciudadana y la mediación cultural</v>
      </c>
      <c r="AU183" s="30" t="str">
        <f ca="1">IFERROR(__xludf.DUMMYFUNCTION("""COMPUTED_VALUE"""),"Impulso a la ampliación de la oferta cultural en los territorios.")</f>
        <v>Impulso a la ampliación de la oferta cultural en los territorios.</v>
      </c>
      <c r="AV183" s="30" t="str">
        <f ca="1">IFERROR(__xludf.DUMMYFUNCTION("""COMPUTED_VALUE"""),"Impulsar los proyectos culturales itinerantes.")</f>
        <v>Impulsar los proyectos culturales itinerantes.</v>
      </c>
      <c r="AW183" s="30" t="str">
        <f ca="1">IFERROR(__xludf.DUMMYFUNCTION("""COMPUTED_VALUE"""),"Incrementar en 25% la oferta cultural realizada en los municipios.")</f>
        <v>Incrementar en 25% la oferta cultural realizada en los municipios.</v>
      </c>
      <c r="AX183" s="30" t="str">
        <f ca="1">IFERROR(__xludf.DUMMYFUNCTION("""COMPUTED_VALUE"""),"Taller")</f>
        <v>Taller</v>
      </c>
      <c r="AY183" s="30" t="str">
        <f ca="1">IFERROR(__xludf.DUMMYFUNCTION("""COMPUTED_VALUE"""),"Mediación")</f>
        <v>Mediación</v>
      </c>
      <c r="AZ183" s="30"/>
      <c r="BA183" s="30"/>
      <c r="BB183" s="30"/>
      <c r="BC183" s="30">
        <f ca="1">IFERROR(__xludf.DUMMYFUNCTION("""COMPUTED_VALUE"""),0)</f>
        <v>0</v>
      </c>
      <c r="BD183" s="30"/>
      <c r="BE183" s="30"/>
      <c r="BF183" s="30" t="b">
        <f ca="1">IFERROR(__xludf.DUMMYFUNCTION("""COMPUTED_VALUE"""),TRUE)</f>
        <v>1</v>
      </c>
      <c r="BG183" s="30" t="str">
        <f ca="1">IFERROR(__xludf.DUMMYFUNCTION("""COMPUTED_VALUE"""),"Especie")</f>
        <v>Especie</v>
      </c>
      <c r="BH183" s="30"/>
      <c r="BI183" s="30"/>
      <c r="BJ183" s="30"/>
      <c r="BK183" s="30"/>
      <c r="BL183" s="30"/>
      <c r="BM183" s="30" t="str">
        <f ca="1">IFERROR(__xludf.DUMMYFUNCTION("""COMPUTED_VALUE"""),"Sí")</f>
        <v>Sí</v>
      </c>
      <c r="BN183" s="30" t="str">
        <f ca="1">IFERROR(__xludf.DUMMYFUNCTION("""COMPUTED_VALUE"""),"Acompañamiento Técnico")</f>
        <v>Acompañamiento Técnico</v>
      </c>
      <c r="BO183" s="30" t="str">
        <f ca="1">IFERROR(__xludf.DUMMYFUNCTION("""COMPUTED_VALUE"""),"0863ea19")</f>
        <v>0863ea19</v>
      </c>
      <c r="BP183" s="29" t="str">
        <f ca="1">IFERROR(__xludf.DUMMYFUNCTION("""COMPUTED_VALUE"""),"Purísima del Rincón")</f>
        <v>Purísima del Rincón</v>
      </c>
      <c r="BQ183" s="30" t="str">
        <f ca="1">IFERROR(__xludf.DUMMYFUNCTION("""COMPUTED_VALUE"""),"Urbano")</f>
        <v>Urbano</v>
      </c>
      <c r="BR183" s="30">
        <f ca="1">IFERROR(__xludf.DUMMYFUNCTION("""COMPUTED_VALUE"""),171)</f>
        <v>171</v>
      </c>
      <c r="BS183" s="30" t="str">
        <f ca="1">IFERROR(__xludf.DUMMYFUNCTION("""COMPUTED_VALUE"""),"Purísima")</f>
        <v>Purísima</v>
      </c>
      <c r="BT183" s="30"/>
      <c r="BU183" s="30" t="str">
        <f ca="1">IFERROR(__xludf.DUMMYFUNCTION("""COMPUTED_VALUE"""),"Si")</f>
        <v>Si</v>
      </c>
      <c r="BV183" s="30" t="str">
        <f ca="1">IFERROR(__xludf.DUMMYFUNCTION("""COMPUTED_VALUE"""),"No")</f>
        <v>No</v>
      </c>
      <c r="BW183" s="30">
        <f ca="1">IFERROR(__xludf.DUMMYFUNCTION("""COMPUTED_VALUE"""),21)</f>
        <v>21</v>
      </c>
      <c r="BX183" s="30">
        <f ca="1">IFERROR(__xludf.DUMMYFUNCTION("""COMPUTED_VALUE"""),21)</f>
        <v>21</v>
      </c>
      <c r="BY183" s="30">
        <f ca="1">IFERROR(__xludf.DUMMYFUNCTION("""COMPUTED_VALUE"""),0)</f>
        <v>0</v>
      </c>
      <c r="BZ183" s="30" t="str">
        <f ca="1">IFERROR(__xludf.DUMMYFUNCTION("""COMPUTED_VALUE"""),"Purísima")</f>
        <v>Purísima</v>
      </c>
      <c r="CA183" s="30" t="str">
        <f ca="1">IFERROR(__xludf.DUMMYFUNCTION("""COMPUTED_VALUE"""),"No")</f>
        <v>No</v>
      </c>
      <c r="CB183" s="30" t="str">
        <f ca="1">IFERROR(__xludf.DUMMYFUNCTION("""COMPUTED_VALUE"""),"No")</f>
        <v>No</v>
      </c>
      <c r="CC183" s="30" t="str">
        <f ca="1">IFERROR(__xludf.DUMMYFUNCTION("""COMPUTED_VALUE"""),"11e6f6fb")</f>
        <v>11e6f6fb</v>
      </c>
      <c r="CD183" s="29" t="str">
        <f ca="1">IFERROR(__xludf.DUMMYFUNCTION("""COMPUTED_VALUE"""),"Adultos (30 a 59 años)")</f>
        <v>Adultos (30 a 59 años)</v>
      </c>
      <c r="CE183" s="30" t="str">
        <f ca="1">IFERROR(__xludf.DUMMYFUNCTION("""COMPUTED_VALUE"""),"Dato global")</f>
        <v>Dato global</v>
      </c>
      <c r="CF183" s="30" t="str">
        <f ca="1">IFERROR(__xludf.DUMMYFUNCTION("""COMPUTED_VALUE"""),"Ninguno (Población General)")</f>
        <v>Ninguno (Población General)</v>
      </c>
      <c r="CG183" s="30">
        <f ca="1">IFERROR(__xludf.DUMMYFUNCTION("""COMPUTED_VALUE"""),2180)</f>
        <v>2180</v>
      </c>
      <c r="CI183" s="30" t="str">
        <f ca="1">IFERROR(__xludf.DUMMYFUNCTION("""COMPUTED_VALUE"""),"3c5c9a18")</f>
        <v>3c5c9a18</v>
      </c>
      <c r="CJ183" s="29" t="str">
        <f ca="1">IFERROR(__xludf.DUMMYFUNCTION("""COMPUTED_VALUE"""),"Regitro_Evidencia_Files_/3c5c9a18.Archivo_Evidencia.172802.pdf")</f>
        <v>Regitro_Evidencia_Files_/3c5c9a18.Archivo_Evidencia.172802.pdf</v>
      </c>
      <c r="CK183" s="30" t="str">
        <f ca="1">IFERROR(__xludf.DUMMYFUNCTION("""COMPUTED_VALUE"""),"PDF")</f>
        <v>PDF</v>
      </c>
      <c r="CL183" s="30"/>
      <c r="CM183" s="30" t="str">
        <f ca="1">IFERROR(__xludf.DUMMYFUNCTION("""COMPUTED_VALUE"""),"León")</f>
        <v>León</v>
      </c>
      <c r="CN183" s="32" t="e">
        <f ca="1"/>
        <v>#NAME?</v>
      </c>
      <c r="CO183" s="32" t="e">
        <f ca="1"/>
        <v>#NAME?</v>
      </c>
      <c r="CP183" s="32" t="e">
        <f ca="1"/>
        <v>#NAME?</v>
      </c>
      <c r="CQ183" s="32" t="e">
        <f ca="1"/>
        <v>#NAME?</v>
      </c>
      <c r="CR183" s="30" t="e">
        <f ca="1"/>
        <v>#NAME?</v>
      </c>
      <c r="CS183"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184" spans="1:97" ht="13">
      <c r="A184" s="29" t="str">
        <f ca="1">IFERROR(__xludf.DUMMYFUNCTION("""COMPUTED_VALUE"""),"ACT-SCKP18157")</f>
        <v>ACT-SCKP18157</v>
      </c>
      <c r="B184" s="30" t="str">
        <f ca="1">IFERROR(__xludf.DUMMYFUNCTION("""COMPUTED_VALUE"""),"SC-260703-165940")</f>
        <v>SC-260703-165940</v>
      </c>
      <c r="C184" s="62">
        <f ca="1">IFERROR(__xludf.DUMMYFUNCTION("""COMPUTED_VALUE"""),46206.7081018518)</f>
        <v>46206.7081018518</v>
      </c>
      <c r="D184" s="30">
        <f ca="1">IFERROR(__xludf.DUMMYFUNCTION("""COMPUTED_VALUE"""),93)</f>
        <v>93</v>
      </c>
      <c r="E184" s="30" t="str">
        <f ca="1">IFERROR(__xludf.DUMMYFUNCTION("""COMPUTED_VALUE"""),"PB3572")</f>
        <v>PB3572</v>
      </c>
      <c r="F18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4" s="30" t="str">
        <f ca="1">IFERROR(__xludf.DUMMYFUNCTION("""COMPUTED_VALUE"""),"Participación de artistas en las actividades extramuros en municipios del Estado de Guanajuato")</f>
        <v>Participación de artistas en las actividades extramuros en municipios del Estado de Guanajuato</v>
      </c>
      <c r="H184" s="30" t="str">
        <f ca="1">IFERROR(__xludf.DUMMYFUNCTION("""COMPUTED_VALUE"""),"SUBSECRETARÍA DE DESARROLLO Y PROMOCIÓN ARTÍSTICA Y CULTURAL")</f>
        <v>SUBSECRETARÍA DE DESARROLLO Y PROMOCIÓN ARTÍSTICA Y CULTURAL</v>
      </c>
      <c r="I184" s="34" t="str">
        <f ca="1">IFERROR(__xludf.DUMMYFUNCTION("""COMPUTED_VALUE"""),"DIRECCIÓN GENERAL DE MUSEOS, ARTES VISUALES Y EXPOSICIONES")</f>
        <v>DIRECCIÓN GENERAL DE MUSEOS, ARTES VISUALES Y EXPOSICIONES</v>
      </c>
      <c r="J184" s="30" t="str">
        <f ca="1">IFERROR(__xludf.DUMMYFUNCTION("""COMPUTED_VALUE"""),"Número de Actividades realizadas")</f>
        <v>Número de Actividades realizadas</v>
      </c>
      <c r="K184" s="30">
        <f ca="1">IFERROR(__xludf.DUMMYFUNCTION("""COMPUTED_VALUE"""),10)</f>
        <v>10</v>
      </c>
      <c r="L184" s="30" t="str">
        <f ca="1">IFERROR(__xludf.DUMMYFUNCTION("""COMPUTED_VALUE"""),"Artística")</f>
        <v>Artística</v>
      </c>
      <c r="M184" s="30" t="str">
        <f ca="1">IFERROR(__xludf.DUMMYFUNCTION("""COMPUTED_VALUE"""),"Activación Arte en tu plaza Activación ""Homo Videns""")</f>
        <v>Activación Arte en tu plaza Activación "Homo Videns"</v>
      </c>
      <c r="N184" s="30" t="str">
        <f ca="1">IFERROR(__xludf.DUMMYFUNCTION("""COMPUTED_VALUE"""),"Mediación cultural entre la exposición Homo videns y los ciudadanos del municipio de Manuel Doblado")</f>
        <v>Mediación cultural entre la exposición Homo videns y los ciudadanos del municipio de Manuel Doblado</v>
      </c>
      <c r="O184" s="30" t="str">
        <f ca="1">IFERROR(__xludf.DUMMYFUNCTION("""COMPUTED_VALUE"""),"Única")</f>
        <v>Única</v>
      </c>
      <c r="P184" s="33">
        <f ca="1">IFERROR(__xludf.DUMMYFUNCTION("""COMPUTED_VALUE"""),46196)</f>
        <v>46196</v>
      </c>
      <c r="Q184" s="33">
        <f ca="1">IFERROR(__xludf.DUMMYFUNCTION("""COMPUTED_VALUE"""),46196)</f>
        <v>46196</v>
      </c>
      <c r="R184" s="30">
        <f ca="1">IFERROR(__xludf.DUMMYFUNCTION("""COMPUTED_VALUE"""),1)</f>
        <v>1</v>
      </c>
      <c r="S184" s="30" t="str">
        <f ca="1">IFERROR(__xludf.DUMMYFUNCTION("""COMPUTED_VALUE"""),"Cultura comunitaria")</f>
        <v>Cultura comunitaria</v>
      </c>
      <c r="T184" s="30" t="str">
        <f ca="1">IFERROR(__xludf.DUMMYFUNCTION("""COMPUTED_VALUE"""),"Gestión cultural")</f>
        <v>Gestión cultural</v>
      </c>
      <c r="U184" s="30" t="str">
        <f ca="1">IFERROR(__xludf.DUMMYFUNCTION("""COMPUTED_VALUE"""),"Taller")</f>
        <v>Taller</v>
      </c>
      <c r="V184" s="30" t="str">
        <f ca="1">IFERROR(__xludf.DUMMYFUNCTION("""COMPUTED_VALUE"""),"Ninguna")</f>
        <v>Ninguna</v>
      </c>
      <c r="W184" s="30" t="str">
        <f ca="1">IFERROR(__xludf.DUMMYFUNCTION("""COMPUTED_VALUE"""),"Presencial")</f>
        <v>Presencial</v>
      </c>
      <c r="X184" s="30" t="str">
        <f ca="1">IFERROR(__xludf.DUMMYFUNCTION("""COMPUTED_VALUE"""),"Espacio Público")</f>
        <v>Espacio Público</v>
      </c>
      <c r="Y184" s="30"/>
      <c r="Z184" s="30" t="str">
        <f ca="1">IFERROR(__xludf.DUMMYFUNCTION("""COMPUTED_VALUE"""),"Plaza de armas ""Insurgente José Antonio Torres""")</f>
        <v>Plaza de armas "Insurgente José Antonio Torres"</v>
      </c>
      <c r="AA184" s="30"/>
      <c r="AB184" s="30" t="b">
        <f ca="1">IFERROR(__xludf.DUMMYFUNCTION("""COMPUTED_VALUE"""),FALSE)</f>
        <v>0</v>
      </c>
      <c r="AC184" s="30"/>
      <c r="AD184" s="30" t="b">
        <f ca="1">IFERROR(__xludf.DUMMYFUNCTION("""COMPUTED_VALUE"""),FALSE)</f>
        <v>0</v>
      </c>
      <c r="AE184" s="30"/>
      <c r="AF184" s="30" t="b">
        <f ca="1">IFERROR(__xludf.DUMMYFUNCTION("""COMPUTED_VALUE"""),FALSE)</f>
        <v>0</v>
      </c>
      <c r="AG184" s="30"/>
      <c r="AH184" s="30" t="str">
        <f ca="1">IFERROR(__xludf.DUMMYFUNCTION("""COMPUTED_VALUE"""),"Sin costo")</f>
        <v>Sin costo</v>
      </c>
      <c r="AI184" s="30"/>
      <c r="AJ184" s="30"/>
      <c r="AK184" s="30"/>
      <c r="AL184" s="30" t="str">
        <f ca="1">IFERROR(__xludf.DUMMYFUNCTION("""COMPUTED_VALUE"""),"ccardonav@guanajuato.gob.mx")</f>
        <v>ccardonav@guanajuato.gob.mx</v>
      </c>
      <c r="AM184"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84" s="30" t="str">
        <f ca="1">IFERROR(__xludf.DUMMYFUNCTION("""COMPUTED_VALUE"""),"2 Igualdad")</f>
        <v>2 Igualdad</v>
      </c>
      <c r="AO184" s="30" t="str">
        <f ca="1">IFERROR(__xludf.DUMMYFUNCTION("""COMPUTED_VALUE"""),"2.4 Reducir brechas de desigualdad")</f>
        <v>2.4 Reducir brechas de desigualdad</v>
      </c>
      <c r="AP184" s="30" t="str">
        <f ca="1">IFERROR(__xludf.DUMMYFUNCTION("""COMPUTED_VALUE"""),"2.4.3 Descentralización de la oferta cultural")</f>
        <v>2.4.3 Descentralización de la oferta cultural</v>
      </c>
      <c r="AQ184" s="30" t="str">
        <f ca="1">IFERROR(__xludf.DUMMYFUNCTION("""COMPUTED_VALUE"""),"2.4.3.3 Incidir en el involucramiento de las personas con el ecosistema cultural")</f>
        <v>2.4.3.3 Incidir en el involucramiento de las personas con el ecosistema cultural</v>
      </c>
      <c r="AR184" s="30" t="str">
        <f ca="1">IFERROR(__xludf.DUMMYFUNCTION("""COMPUTED_VALUE"""),"Inclusión")</f>
        <v>Inclusión</v>
      </c>
      <c r="AS184" s="30" t="str">
        <f ca="1">IFERROR(__xludf.DUMMYFUNCTION("""COMPUTED_VALUE"""),"NNA (Niñas, Niños y Adolescentes)")</f>
        <v>NNA (Niñas, Niños y Adolescentes)</v>
      </c>
      <c r="AT184" s="30" t="str">
        <f ca="1">IFERROR(__xludf.DUMMYFUNCTION("""COMPUTED_VALUE"""),"Fortalecimiento de la participación ciudadana y la mediación cultural")</f>
        <v>Fortalecimiento de la participación ciudadana y la mediación cultural</v>
      </c>
      <c r="AU184" s="30" t="str">
        <f ca="1">IFERROR(__xludf.DUMMYFUNCTION("""COMPUTED_VALUE"""),"Impulso a la ampliación de la oferta cultural en los territorios.")</f>
        <v>Impulso a la ampliación de la oferta cultural en los territorios.</v>
      </c>
      <c r="AV184" s="30" t="str">
        <f ca="1">IFERROR(__xludf.DUMMYFUNCTION("""COMPUTED_VALUE"""),"Impulsar los proyectos culturales itinerantes.")</f>
        <v>Impulsar los proyectos culturales itinerantes.</v>
      </c>
      <c r="AW184" s="30" t="str">
        <f ca="1">IFERROR(__xludf.DUMMYFUNCTION("""COMPUTED_VALUE"""),"Incrementar en 25% la oferta cultural realizada en los municipios.")</f>
        <v>Incrementar en 25% la oferta cultural realizada en los municipios.</v>
      </c>
      <c r="AX184" s="30" t="str">
        <f ca="1">IFERROR(__xludf.DUMMYFUNCTION("""COMPUTED_VALUE"""),"Taller")</f>
        <v>Taller</v>
      </c>
      <c r="AY184" s="30" t="str">
        <f ca="1">IFERROR(__xludf.DUMMYFUNCTION("""COMPUTED_VALUE"""),"Mediación")</f>
        <v>Mediación</v>
      </c>
      <c r="AZ184" s="30"/>
      <c r="BA184" s="30"/>
      <c r="BB184" s="30"/>
      <c r="BC184" s="30">
        <f ca="1">IFERROR(__xludf.DUMMYFUNCTION("""COMPUTED_VALUE"""),0)</f>
        <v>0</v>
      </c>
      <c r="BD184" s="30"/>
      <c r="BE184" s="30"/>
      <c r="BF184" s="30" t="b">
        <f ca="1">IFERROR(__xludf.DUMMYFUNCTION("""COMPUTED_VALUE"""),TRUE)</f>
        <v>1</v>
      </c>
      <c r="BG184" s="30" t="str">
        <f ca="1">IFERROR(__xludf.DUMMYFUNCTION("""COMPUTED_VALUE"""),"Especie")</f>
        <v>Especie</v>
      </c>
      <c r="BH184" s="30"/>
      <c r="BI184" s="30"/>
      <c r="BJ184" s="30"/>
      <c r="BK184" s="30"/>
      <c r="BL184" s="30"/>
      <c r="BM184" s="30" t="str">
        <f ca="1">IFERROR(__xludf.DUMMYFUNCTION("""COMPUTED_VALUE"""),"Sí")</f>
        <v>Sí</v>
      </c>
      <c r="BN184" s="30" t="str">
        <f ca="1">IFERROR(__xludf.DUMMYFUNCTION("""COMPUTED_VALUE"""),"Acompañamiento Técnico")</f>
        <v>Acompañamiento Técnico</v>
      </c>
      <c r="BO184" s="30" t="str">
        <f ca="1">IFERROR(__xludf.DUMMYFUNCTION("""COMPUTED_VALUE"""),"429df696")</f>
        <v>429df696</v>
      </c>
      <c r="BP184" s="29" t="str">
        <f ca="1">IFERROR(__xludf.DUMMYFUNCTION("""COMPUTED_VALUE"""),"San Luis de la Paz")</f>
        <v>San Luis de la Paz</v>
      </c>
      <c r="BQ184" s="30" t="str">
        <f ca="1">IFERROR(__xludf.DUMMYFUNCTION("""COMPUTED_VALUE"""),"Urbano")</f>
        <v>Urbano</v>
      </c>
      <c r="BR184" s="30">
        <f ca="1">IFERROR(__xludf.DUMMYFUNCTION("""COMPUTED_VALUE"""),201)</f>
        <v>201</v>
      </c>
      <c r="BS184" s="30" t="str">
        <f ca="1">IFERROR(__xludf.DUMMYFUNCTION("""COMPUTED_VALUE"""),"San Luis de la Paz")</f>
        <v>San Luis de la Paz</v>
      </c>
      <c r="BT184" s="30"/>
      <c r="BU184" s="30" t="str">
        <f ca="1">IFERROR(__xludf.DUMMYFUNCTION("""COMPUTED_VALUE"""),"Si")</f>
        <v>Si</v>
      </c>
      <c r="BV184" s="30" t="str">
        <f ca="1">IFERROR(__xludf.DUMMYFUNCTION("""COMPUTED_VALUE"""),"Si")</f>
        <v>Si</v>
      </c>
      <c r="BW184" s="30">
        <f ca="1">IFERROR(__xludf.DUMMYFUNCTION("""COMPUTED_VALUE"""),7)</f>
        <v>7</v>
      </c>
      <c r="BX184" s="30">
        <f ca="1">IFERROR(__xludf.DUMMYFUNCTION("""COMPUTED_VALUE"""),7)</f>
        <v>7</v>
      </c>
      <c r="BY184" s="30">
        <f ca="1">IFERROR(__xludf.DUMMYFUNCTION("""COMPUTED_VALUE"""),0)</f>
        <v>0</v>
      </c>
      <c r="BZ184" s="30" t="str">
        <f ca="1">IFERROR(__xludf.DUMMYFUNCTION("""COMPUTED_VALUE"""),"San Luis de la Paz")</f>
        <v>San Luis de la Paz</v>
      </c>
      <c r="CA184" s="30" t="str">
        <f ca="1">IFERROR(__xludf.DUMMYFUNCTION("""COMPUTED_VALUE"""),"No")</f>
        <v>No</v>
      </c>
      <c r="CB184" s="30" t="str">
        <f ca="1">IFERROR(__xludf.DUMMYFUNCTION("""COMPUTED_VALUE"""),"No")</f>
        <v>No</v>
      </c>
      <c r="CC184" s="30" t="str">
        <f ca="1">IFERROR(__xludf.DUMMYFUNCTION("""COMPUTED_VALUE"""),"3651fe4e")</f>
        <v>3651fe4e</v>
      </c>
      <c r="CD184" s="29" t="str">
        <f ca="1">IFERROR(__xludf.DUMMYFUNCTION("""COMPUTED_VALUE"""),"Adultos (30 a 59 años)")</f>
        <v>Adultos (30 a 59 años)</v>
      </c>
      <c r="CE184" s="30" t="str">
        <f ca="1">IFERROR(__xludf.DUMMYFUNCTION("""COMPUTED_VALUE"""),"Dato global")</f>
        <v>Dato global</v>
      </c>
      <c r="CF184" s="30" t="str">
        <f ca="1">IFERROR(__xludf.DUMMYFUNCTION("""COMPUTED_VALUE"""),"Ninguno (Población General)")</f>
        <v>Ninguno (Población General)</v>
      </c>
      <c r="CG184" s="30">
        <f ca="1">IFERROR(__xludf.DUMMYFUNCTION("""COMPUTED_VALUE"""),2180)</f>
        <v>2180</v>
      </c>
      <c r="CI184" s="30" t="str">
        <f ca="1">IFERROR(__xludf.DUMMYFUNCTION("""COMPUTED_VALUE"""),"f7729ba7")</f>
        <v>f7729ba7</v>
      </c>
      <c r="CJ184" s="29" t="str">
        <f ca="1">IFERROR(__xludf.DUMMYFUNCTION("""COMPUTED_VALUE"""),"Regitro_Evidencia_Files_/f7729ba7.Archivo_Evidencia.175606.pdf")</f>
        <v>Regitro_Evidencia_Files_/f7729ba7.Archivo_Evidencia.175606.pdf</v>
      </c>
      <c r="CK184" s="30" t="str">
        <f ca="1">IFERROR(__xludf.DUMMYFUNCTION("""COMPUTED_VALUE"""),"PDF")</f>
        <v>PDF</v>
      </c>
      <c r="CL184" s="30"/>
      <c r="CM184" s="30" t="str">
        <f ca="1">IFERROR(__xludf.DUMMYFUNCTION("""COMPUTED_VALUE"""),"León")</f>
        <v>León</v>
      </c>
      <c r="CN184" s="32" t="e">
        <f ca="1"/>
        <v>#NAME?</v>
      </c>
      <c r="CO184" s="32" t="e">
        <f ca="1"/>
        <v>#NAME?</v>
      </c>
      <c r="CP184" s="32" t="e">
        <f ca="1"/>
        <v>#NAME?</v>
      </c>
      <c r="CQ184" s="32" t="e">
        <f ca="1"/>
        <v>#NAME?</v>
      </c>
      <c r="CR184" s="30" t="e">
        <f ca="1"/>
        <v>#NAME?</v>
      </c>
      <c r="CS184"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185" spans="1:97" ht="13">
      <c r="A185" s="29" t="str">
        <f ca="1">IFERROR(__xludf.DUMMYFUNCTION("""COMPUTED_VALUE"""),"ACT-SCJN51368")</f>
        <v>ACT-SCJN51368</v>
      </c>
      <c r="B185" s="30" t="str">
        <f ca="1">IFERROR(__xludf.DUMMYFUNCTION("""COMPUTED_VALUE"""),"SC-260705-115000")</f>
        <v>SC-260705-115000</v>
      </c>
      <c r="C185" s="62">
        <f ca="1">IFERROR(__xludf.DUMMYFUNCTION("""COMPUTED_VALUE"""),46208.4930555555)</f>
        <v>46208.493055555497</v>
      </c>
      <c r="D185" s="30">
        <f ca="1">IFERROR(__xludf.DUMMYFUNCTION("""COMPUTED_VALUE"""),93)</f>
        <v>93</v>
      </c>
      <c r="E185" s="30" t="str">
        <f ca="1">IFERROR(__xludf.DUMMYFUNCTION("""COMPUTED_VALUE"""),"PB3572")</f>
        <v>PB3572</v>
      </c>
      <c r="F18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5" s="30" t="str">
        <f ca="1">IFERROR(__xludf.DUMMYFUNCTION("""COMPUTED_VALUE"""),"Participación de artistas en las actividades extramuros en municipios del Estado de Guanajuato")</f>
        <v>Participación de artistas en las actividades extramuros en municipios del Estado de Guanajuato</v>
      </c>
      <c r="H185" s="30" t="str">
        <f ca="1">IFERROR(__xludf.DUMMYFUNCTION("""COMPUTED_VALUE"""),"SUBSECRETARÍA DE DESARROLLO Y PROMOCIÓN ARTÍSTICA Y CULTURAL")</f>
        <v>SUBSECRETARÍA DE DESARROLLO Y PROMOCIÓN ARTÍSTICA Y CULTURAL</v>
      </c>
      <c r="I185" s="34" t="str">
        <f ca="1">IFERROR(__xludf.DUMMYFUNCTION("""COMPUTED_VALUE"""),"DIRECCIÓN GENERAL DE MUSEOS, ARTES VISUALES Y EXPOSICIONES")</f>
        <v>DIRECCIÓN GENERAL DE MUSEOS, ARTES VISUALES Y EXPOSICIONES</v>
      </c>
      <c r="J185" s="30" t="str">
        <f ca="1">IFERROR(__xludf.DUMMYFUNCTION("""COMPUTED_VALUE"""),"Número de Actividades realizadas")</f>
        <v>Número de Actividades realizadas</v>
      </c>
      <c r="K185" s="30">
        <f ca="1">IFERROR(__xludf.DUMMYFUNCTION("""COMPUTED_VALUE"""),10)</f>
        <v>10</v>
      </c>
      <c r="L185" s="30" t="str">
        <f ca="1">IFERROR(__xludf.DUMMYFUNCTION("""COMPUTED_VALUE"""),"Artística")</f>
        <v>Artística</v>
      </c>
      <c r="M185" s="30" t="str">
        <f ca="1">IFERROR(__xludf.DUMMYFUNCTION("""COMPUTED_VALUE"""),"Activación Arte en tu plaza Activación ""Homo Videns""")</f>
        <v>Activación Arte en tu plaza Activación "Homo Videns"</v>
      </c>
      <c r="N185" s="30" t="str">
        <f ca="1">IFERROR(__xludf.DUMMYFUNCTION("""COMPUTED_VALUE"""),"Mediación cultural entre la exposición Homo videns y los ciudadanos del municipio de Manuel Doblado")</f>
        <v>Mediación cultural entre la exposición Homo videns y los ciudadanos del municipio de Manuel Doblado</v>
      </c>
      <c r="O185" s="30" t="str">
        <f ca="1">IFERROR(__xludf.DUMMYFUNCTION("""COMPUTED_VALUE"""),"Única")</f>
        <v>Única</v>
      </c>
      <c r="P185" s="33">
        <f ca="1">IFERROR(__xludf.DUMMYFUNCTION("""COMPUTED_VALUE"""),46197)</f>
        <v>46197</v>
      </c>
      <c r="Q185" s="33">
        <f ca="1">IFERROR(__xludf.DUMMYFUNCTION("""COMPUTED_VALUE"""),46197)</f>
        <v>46197</v>
      </c>
      <c r="R185" s="30">
        <f ca="1">IFERROR(__xludf.DUMMYFUNCTION("""COMPUTED_VALUE"""),1)</f>
        <v>1</v>
      </c>
      <c r="S185" s="30" t="str">
        <f ca="1">IFERROR(__xludf.DUMMYFUNCTION("""COMPUTED_VALUE"""),"Cultura comunitaria")</f>
        <v>Cultura comunitaria</v>
      </c>
      <c r="T185" s="30" t="str">
        <f ca="1">IFERROR(__xludf.DUMMYFUNCTION("""COMPUTED_VALUE"""),"Gestión cultural")</f>
        <v>Gestión cultural</v>
      </c>
      <c r="U185" s="30" t="str">
        <f ca="1">IFERROR(__xludf.DUMMYFUNCTION("""COMPUTED_VALUE"""),"Taller")</f>
        <v>Taller</v>
      </c>
      <c r="V185" s="30" t="str">
        <f ca="1">IFERROR(__xludf.DUMMYFUNCTION("""COMPUTED_VALUE"""),"Ninguna")</f>
        <v>Ninguna</v>
      </c>
      <c r="W185" s="30" t="str">
        <f ca="1">IFERROR(__xludf.DUMMYFUNCTION("""COMPUTED_VALUE"""),"Presencial")</f>
        <v>Presencial</v>
      </c>
      <c r="X185" s="30" t="str">
        <f ca="1">IFERROR(__xludf.DUMMYFUNCTION("""COMPUTED_VALUE"""),"Espacio Público")</f>
        <v>Espacio Público</v>
      </c>
      <c r="Y185" s="30"/>
      <c r="Z185" s="30" t="str">
        <f ca="1">IFERROR(__xludf.DUMMYFUNCTION("""COMPUTED_VALUE"""),"Plaza de armas ""Insurgente José Antonio Torres""")</f>
        <v>Plaza de armas "Insurgente José Antonio Torres"</v>
      </c>
      <c r="AA185" s="30"/>
      <c r="AB185" s="30" t="b">
        <f ca="1">IFERROR(__xludf.DUMMYFUNCTION("""COMPUTED_VALUE"""),FALSE)</f>
        <v>0</v>
      </c>
      <c r="AC185" s="30"/>
      <c r="AD185" s="30" t="b">
        <f ca="1">IFERROR(__xludf.DUMMYFUNCTION("""COMPUTED_VALUE"""),FALSE)</f>
        <v>0</v>
      </c>
      <c r="AE185" s="30"/>
      <c r="AF185" s="30" t="b">
        <f ca="1">IFERROR(__xludf.DUMMYFUNCTION("""COMPUTED_VALUE"""),FALSE)</f>
        <v>0</v>
      </c>
      <c r="AG185" s="30"/>
      <c r="AH185" s="30" t="str">
        <f ca="1">IFERROR(__xludf.DUMMYFUNCTION("""COMPUTED_VALUE"""),"Sin costo")</f>
        <v>Sin costo</v>
      </c>
      <c r="AI185" s="30"/>
      <c r="AJ185" s="30"/>
      <c r="AK185" s="30"/>
      <c r="AL185" s="30" t="str">
        <f ca="1">IFERROR(__xludf.DUMMYFUNCTION("""COMPUTED_VALUE"""),"ccardonav@guanajuato.gob.mx")</f>
        <v>ccardonav@guanajuato.gob.mx</v>
      </c>
      <c r="AM185"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85" s="30" t="str">
        <f ca="1">IFERROR(__xludf.DUMMYFUNCTION("""COMPUTED_VALUE"""),"2 Igualdad")</f>
        <v>2 Igualdad</v>
      </c>
      <c r="AO185" s="30" t="str">
        <f ca="1">IFERROR(__xludf.DUMMYFUNCTION("""COMPUTED_VALUE"""),"2.4 Reducir brechas de desigualdad")</f>
        <v>2.4 Reducir brechas de desigualdad</v>
      </c>
      <c r="AP185" s="30" t="str">
        <f ca="1">IFERROR(__xludf.DUMMYFUNCTION("""COMPUTED_VALUE"""),"2.4.3 Descentralización de la oferta cultural")</f>
        <v>2.4.3 Descentralización de la oferta cultural</v>
      </c>
      <c r="AQ185" s="30" t="str">
        <f ca="1">IFERROR(__xludf.DUMMYFUNCTION("""COMPUTED_VALUE"""),"2.4.3.3 Incidir en el involucramiento de las personas con el ecosistema cultural")</f>
        <v>2.4.3.3 Incidir en el involucramiento de las personas con el ecosistema cultural</v>
      </c>
      <c r="AR185" s="30" t="str">
        <f ca="1">IFERROR(__xludf.DUMMYFUNCTION("""COMPUTED_VALUE"""),"Inclusión")</f>
        <v>Inclusión</v>
      </c>
      <c r="AS185" s="30" t="str">
        <f ca="1">IFERROR(__xludf.DUMMYFUNCTION("""COMPUTED_VALUE"""),"NNA (Niñas, Niños y Adolescentes)")</f>
        <v>NNA (Niñas, Niños y Adolescentes)</v>
      </c>
      <c r="AT185" s="30" t="str">
        <f ca="1">IFERROR(__xludf.DUMMYFUNCTION("""COMPUTED_VALUE"""),"Fortalecimiento de la participación ciudadana y la mediación cultural")</f>
        <v>Fortalecimiento de la participación ciudadana y la mediación cultural</v>
      </c>
      <c r="AU185" s="30" t="str">
        <f ca="1">IFERROR(__xludf.DUMMYFUNCTION("""COMPUTED_VALUE"""),"Impulso a la ampliación de la oferta cultural en los territorios.")</f>
        <v>Impulso a la ampliación de la oferta cultural en los territorios.</v>
      </c>
      <c r="AV185" s="30" t="str">
        <f ca="1">IFERROR(__xludf.DUMMYFUNCTION("""COMPUTED_VALUE"""),"Impulsar los proyectos culturales itinerantes.")</f>
        <v>Impulsar los proyectos culturales itinerantes.</v>
      </c>
      <c r="AW185" s="30" t="str">
        <f ca="1">IFERROR(__xludf.DUMMYFUNCTION("""COMPUTED_VALUE"""),"Incrementar en 25% la oferta cultural realizada en los municipios.")</f>
        <v>Incrementar en 25% la oferta cultural realizada en los municipios.</v>
      </c>
      <c r="AX185" s="30" t="str">
        <f ca="1">IFERROR(__xludf.DUMMYFUNCTION("""COMPUTED_VALUE"""),"Taller")</f>
        <v>Taller</v>
      </c>
      <c r="AY185" s="30" t="str">
        <f ca="1">IFERROR(__xludf.DUMMYFUNCTION("""COMPUTED_VALUE"""),"Mediación")</f>
        <v>Mediación</v>
      </c>
      <c r="AZ185" s="30"/>
      <c r="BA185" s="30"/>
      <c r="BB185" s="30"/>
      <c r="BC185" s="30">
        <f ca="1">IFERROR(__xludf.DUMMYFUNCTION("""COMPUTED_VALUE"""),0)</f>
        <v>0</v>
      </c>
      <c r="BD185" s="30"/>
      <c r="BE185" s="30"/>
      <c r="BF185" s="30" t="b">
        <f ca="1">IFERROR(__xludf.DUMMYFUNCTION("""COMPUTED_VALUE"""),TRUE)</f>
        <v>1</v>
      </c>
      <c r="BG185" s="30" t="str">
        <f ca="1">IFERROR(__xludf.DUMMYFUNCTION("""COMPUTED_VALUE"""),"Especie")</f>
        <v>Especie</v>
      </c>
      <c r="BH185" s="30"/>
      <c r="BI185" s="30"/>
      <c r="BJ185" s="30"/>
      <c r="BK185" s="30"/>
      <c r="BL185" s="30" t="str">
        <f ca="1">IFERROR(__xludf.DUMMYFUNCTION("""COMPUTED_VALUE"""),"Vinculación")</f>
        <v>Vinculación</v>
      </c>
      <c r="BM185" s="30" t="str">
        <f ca="1">IFERROR(__xludf.DUMMYFUNCTION("""COMPUTED_VALUE"""),"Sí")</f>
        <v>Sí</v>
      </c>
      <c r="BN185" s="30" t="str">
        <f ca="1">IFERROR(__xludf.DUMMYFUNCTION("""COMPUTED_VALUE"""),"Acompañamiento Técnico")</f>
        <v>Acompañamiento Técnico</v>
      </c>
      <c r="BO185" s="30" t="str">
        <f ca="1">IFERROR(__xludf.DUMMYFUNCTION("""COMPUTED_VALUE"""),"a6078a54")</f>
        <v>a6078a54</v>
      </c>
      <c r="BP185" s="29" t="str">
        <f ca="1">IFERROR(__xludf.DUMMYFUNCTION("""COMPUTED_VALUE"""),"León")</f>
        <v>León</v>
      </c>
      <c r="BQ185" s="30" t="str">
        <f ca="1">IFERROR(__xludf.DUMMYFUNCTION("""COMPUTED_VALUE"""),"Urbano")</f>
        <v>Urbano</v>
      </c>
      <c r="BR185" s="30"/>
      <c r="BS185" s="30"/>
      <c r="BT185" s="30" t="str">
        <f ca="1">IFERROR(__xludf.DUMMYFUNCTION("""COMPUTED_VALUE"""),"La Martinica")</f>
        <v>La Martinica</v>
      </c>
      <c r="BU185" s="30" t="str">
        <f ca="1">IFERROR(__xludf.DUMMYFUNCTION("""COMPUTED_VALUE"""),"No")</f>
        <v>No</v>
      </c>
      <c r="BV185" s="30" t="str">
        <f ca="1">IFERROR(__xludf.DUMMYFUNCTION("""COMPUTED_VALUE"""),"No")</f>
        <v>No</v>
      </c>
      <c r="BW185" s="30">
        <f ca="1">IFERROR(__xludf.DUMMYFUNCTION("""COMPUTED_VALUE"""),52)</f>
        <v>52</v>
      </c>
      <c r="BX185" s="30">
        <f ca="1">IFERROR(__xludf.DUMMYFUNCTION("""COMPUTED_VALUE"""),52)</f>
        <v>52</v>
      </c>
      <c r="BY185" s="30">
        <f ca="1">IFERROR(__xludf.DUMMYFUNCTION("""COMPUTED_VALUE"""),0)</f>
        <v>0</v>
      </c>
      <c r="BZ185" s="30" t="str">
        <f ca="1">IFERROR(__xludf.DUMMYFUNCTION("""COMPUTED_VALUE"""),"La Martinica")</f>
        <v>La Martinica</v>
      </c>
      <c r="CA185" s="30" t="str">
        <f ca="1">IFERROR(__xludf.DUMMYFUNCTION("""COMPUTED_VALUE"""),"No")</f>
        <v>No</v>
      </c>
      <c r="CB185" s="30" t="str">
        <f ca="1">IFERROR(__xludf.DUMMYFUNCTION("""COMPUTED_VALUE"""),"No")</f>
        <v>No</v>
      </c>
      <c r="CC185" s="30" t="str">
        <f ca="1">IFERROR(__xludf.DUMMYFUNCTION("""COMPUTED_VALUE"""),"511ef76c")</f>
        <v>511ef76c</v>
      </c>
      <c r="CD185" s="29" t="str">
        <f ca="1">IFERROR(__xludf.DUMMYFUNCTION("""COMPUTED_VALUE"""),"Jóvenes (18 a 29 años)")</f>
        <v>Jóvenes (18 a 29 años)</v>
      </c>
      <c r="CE185" s="30" t="str">
        <f ca="1">IFERROR(__xludf.DUMMYFUNCTION("""COMPUTED_VALUE"""),"Dato global")</f>
        <v>Dato global</v>
      </c>
      <c r="CF185" s="30" t="str">
        <f ca="1">IFERROR(__xludf.DUMMYFUNCTION("""COMPUTED_VALUE"""),"Ninguno (Población General)")</f>
        <v>Ninguno (Población General)</v>
      </c>
      <c r="CG185" s="30">
        <f ca="1">IFERROR(__xludf.DUMMYFUNCTION("""COMPUTED_VALUE"""),30)</f>
        <v>30</v>
      </c>
      <c r="CI185" s="30" t="str">
        <f ca="1">IFERROR(__xludf.DUMMYFUNCTION("""COMPUTED_VALUE"""),"7768ea58")</f>
        <v>7768ea58</v>
      </c>
      <c r="CJ185" s="29" t="str">
        <f ca="1">IFERROR(__xludf.DUMMYFUNCTION("""COMPUTED_VALUE"""),"Regitro_Evidencia_Images/7768ea58.Archivo_Evidencia.200820.jpg")</f>
        <v>Regitro_Evidencia_Images/7768ea58.Archivo_Evidencia.200820.jpg</v>
      </c>
      <c r="CK185" s="30" t="str">
        <f ca="1">IFERROR(__xludf.DUMMYFUNCTION("""COMPUTED_VALUE"""),"Foto")</f>
        <v>Foto</v>
      </c>
      <c r="CL185" s="30"/>
      <c r="CM185" s="30" t="str">
        <f ca="1">IFERROR(__xludf.DUMMYFUNCTION("""COMPUTED_VALUE"""),"León")</f>
        <v>León</v>
      </c>
      <c r="CN185" s="32" t="e">
        <f ca="1"/>
        <v>#NAME?</v>
      </c>
      <c r="CO185" s="32" t="e">
        <f ca="1"/>
        <v>#NAME?</v>
      </c>
      <c r="CP185" s="32" t="e">
        <f ca="1"/>
        <v>#NAME?</v>
      </c>
      <c r="CQ185" s="32" t="e">
        <f ca="1"/>
        <v>#NAME?</v>
      </c>
      <c r="CR185" s="30" t="e">
        <f ca="1"/>
        <v>#NAME?</v>
      </c>
      <c r="CS185" s="30" t="str">
        <f ca="1">IFERROR(__xludf.DUMMYFUNCTION("""COMPUTED_VALUE"""),"Ninguno (Población General), Ninguno (Población General), Ninguno (Población General)")</f>
        <v>Ninguno (Población General), Ninguno (Población General), Ninguno (Población General)</v>
      </c>
    </row>
    <row r="186" spans="1:97" ht="13">
      <c r="A186" s="29" t="str">
        <f ca="1">IFERROR(__xludf.DUMMYFUNCTION("""COMPUTED_VALUE"""),"ACT-SCPE48487")</f>
        <v>ACT-SCPE48487</v>
      </c>
      <c r="B186" s="30" t="str">
        <f ca="1">IFERROR(__xludf.DUMMYFUNCTION("""COMPUTED_VALUE"""),"SC-260705-115649")</f>
        <v>SC-260705-115649</v>
      </c>
      <c r="C186" s="62">
        <f ca="1">IFERROR(__xludf.DUMMYFUNCTION("""COMPUTED_VALUE"""),46208.4977893518)</f>
        <v>46208.497789351801</v>
      </c>
      <c r="D186" s="30">
        <f ca="1">IFERROR(__xludf.DUMMYFUNCTION("""COMPUTED_VALUE"""),94)</f>
        <v>94</v>
      </c>
      <c r="E186" s="30" t="str">
        <f ca="1">IFERROR(__xludf.DUMMYFUNCTION("""COMPUTED_VALUE"""),"PB3572")</f>
        <v>PB3572</v>
      </c>
      <c r="F18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6"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186" s="30" t="str">
        <f ca="1">IFERROR(__xludf.DUMMYFUNCTION("""COMPUTED_VALUE"""),"SUBSECRETARÍA DE DESARROLLO Y PROMOCIÓN ARTÍSTICA Y CULTURAL")</f>
        <v>SUBSECRETARÍA DE DESARROLLO Y PROMOCIÓN ARTÍSTICA Y CULTURAL</v>
      </c>
      <c r="I186" s="34" t="str">
        <f ca="1">IFERROR(__xludf.DUMMYFUNCTION("""COMPUTED_VALUE"""),"DIRECCIÓN GENERAL DE MUSEOS, ARTES VISUALES Y EXPOSICIONES")</f>
        <v>DIRECCIÓN GENERAL DE MUSEOS, ARTES VISUALES Y EXPOSICIONES</v>
      </c>
      <c r="J186" s="30" t="str">
        <f ca="1">IFERROR(__xludf.DUMMYFUNCTION("""COMPUTED_VALUE"""),"Número de Actividades realizadas")</f>
        <v>Número de Actividades realizadas</v>
      </c>
      <c r="K186" s="30">
        <f ca="1">IFERROR(__xludf.DUMMYFUNCTION("""COMPUTED_VALUE"""),12)</f>
        <v>12</v>
      </c>
      <c r="L186" s="30" t="str">
        <f ca="1">IFERROR(__xludf.DUMMYFUNCTION("""COMPUTED_VALUE"""),"Artística")</f>
        <v>Artística</v>
      </c>
      <c r="M186" s="30" t="str">
        <f ca="1">IFERROR(__xludf.DUMMYFUNCTION("""COMPUTED_VALUE"""),"El museo a la vuelta de tu casa Purísima ""Taller de cartonería mascaras de nuestra cultura""")</f>
        <v>El museo a la vuelta de tu casa Purísima "Taller de cartonería mascaras de nuestra cultura"</v>
      </c>
      <c r="N186" s="30" t="str">
        <f ca="1">IFERROR(__xludf.DUMMYFUNCTION("""COMPUTED_VALUE"""),"Fomentar la preservación de las tradiciones artesanales en Purísima del Rincón mediante un taller de elaboración de máscaras con la técnica de cartonería en el centro Nuevo Comienzo Guanajuatito, con el fin de fortalecer la identidad cultural local y desc"&amp;"entralizar la oferta institucional a través del programa ""El museo a la vuelta de tu casa"" durante el año 2026.")</f>
        <v>Fomentar la preservación de las tradiciones artesanales en Purísima del Rincón mediante un taller de elaboración de máscaras con la técnica de cartonería en el centro Nuevo Comienzo Guanajuatito, con el fin de fortalecer la identidad cultural local y descentralizar la oferta institucional a través del programa "El museo a la vuelta de tu casa" durante el año 2026.</v>
      </c>
      <c r="O186" s="30" t="str">
        <f ca="1">IFERROR(__xludf.DUMMYFUNCTION("""COMPUTED_VALUE"""),"Única")</f>
        <v>Única</v>
      </c>
      <c r="P186" s="33">
        <f ca="1">IFERROR(__xludf.DUMMYFUNCTION("""COMPUTED_VALUE"""),46202)</f>
        <v>46202</v>
      </c>
      <c r="Q186" s="33">
        <f ca="1">IFERROR(__xludf.DUMMYFUNCTION("""COMPUTED_VALUE"""),46202)</f>
        <v>46202</v>
      </c>
      <c r="R186" s="30">
        <f ca="1">IFERROR(__xludf.DUMMYFUNCTION("""COMPUTED_VALUE"""),1)</f>
        <v>1</v>
      </c>
      <c r="S186" s="30" t="str">
        <f ca="1">IFERROR(__xludf.DUMMYFUNCTION("""COMPUTED_VALUE"""),"Artesanías y arte popular")</f>
        <v>Artesanías y arte popular</v>
      </c>
      <c r="T186" s="30" t="str">
        <f ca="1">IFERROR(__xludf.DUMMYFUNCTION("""COMPUTED_VALUE"""),"Cartonería")</f>
        <v>Cartonería</v>
      </c>
      <c r="U186" s="30" t="str">
        <f ca="1">IFERROR(__xludf.DUMMYFUNCTION("""COMPUTED_VALUE"""),"Taller")</f>
        <v>Taller</v>
      </c>
      <c r="V186" s="30" t="str">
        <f ca="1">IFERROR(__xludf.DUMMYFUNCTION("""COMPUTED_VALUE"""),"Ninguna")</f>
        <v>Ninguna</v>
      </c>
      <c r="W186" s="30" t="str">
        <f ca="1">IFERROR(__xludf.DUMMYFUNCTION("""COMPUTED_VALUE"""),"Presencial")</f>
        <v>Presencial</v>
      </c>
      <c r="X186" s="30" t="str">
        <f ca="1">IFERROR(__xludf.DUMMYFUNCTION("""COMPUTED_VALUE"""),"Espacio Público")</f>
        <v>Espacio Público</v>
      </c>
      <c r="Y186" s="30"/>
      <c r="Z186" s="30" t="str">
        <f ca="1">IFERROR(__xludf.DUMMYFUNCTION("""COMPUTED_VALUE"""),"Centro Nuevo Comienzo Guanajuatito en el municipio de Purísima del Rincón")</f>
        <v>Centro Nuevo Comienzo Guanajuatito en el municipio de Purísima del Rincón</v>
      </c>
      <c r="AA186" s="30"/>
      <c r="AB186" s="30" t="b">
        <f ca="1">IFERROR(__xludf.DUMMYFUNCTION("""COMPUTED_VALUE"""),FALSE)</f>
        <v>0</v>
      </c>
      <c r="AC186" s="30"/>
      <c r="AD186" s="30" t="b">
        <f ca="1">IFERROR(__xludf.DUMMYFUNCTION("""COMPUTED_VALUE"""),FALSE)</f>
        <v>0</v>
      </c>
      <c r="AE186" s="30"/>
      <c r="AF186" s="30" t="b">
        <f ca="1">IFERROR(__xludf.DUMMYFUNCTION("""COMPUTED_VALUE"""),FALSE)</f>
        <v>0</v>
      </c>
      <c r="AG186" s="30"/>
      <c r="AH186" s="30" t="str">
        <f ca="1">IFERROR(__xludf.DUMMYFUNCTION("""COMPUTED_VALUE"""),"Sin costo")</f>
        <v>Sin costo</v>
      </c>
      <c r="AI186" s="30"/>
      <c r="AJ186" s="30"/>
      <c r="AK186" s="30"/>
      <c r="AL186" s="30" t="str">
        <f ca="1">IFERROR(__xludf.DUMMYFUNCTION("""COMPUTED_VALUE"""),"ccardonav@guanajuato.gob.mx")</f>
        <v>ccardonav@guanajuato.gob.mx</v>
      </c>
      <c r="AM186" s="30" t="str">
        <f ca="1">IFERROR(__xludf.DUMMYFUNCTION("""COMPUTED_VALUE"""),"Arraigo y empoderamiento cultural de comunidades.")</f>
        <v>Arraigo y empoderamiento cultural de comunidades.</v>
      </c>
      <c r="AN186" s="30" t="str">
        <f ca="1">IFERROR(__xludf.DUMMYFUNCTION("""COMPUTED_VALUE"""),"2 Igualdad")</f>
        <v>2 Igualdad</v>
      </c>
      <c r="AO186" s="30" t="str">
        <f ca="1">IFERROR(__xludf.DUMMYFUNCTION("""COMPUTED_VALUE"""),"2.4 Reducir brechas de desigualdad")</f>
        <v>2.4 Reducir brechas de desigualdad</v>
      </c>
      <c r="AP186" s="30" t="str">
        <f ca="1">IFERROR(__xludf.DUMMYFUNCTION("""COMPUTED_VALUE"""),"2.4.3 Descentralización de la oferta cultural")</f>
        <v>2.4.3 Descentralización de la oferta cultural</v>
      </c>
      <c r="AQ186" s="30" t="str">
        <f ca="1">IFERROR(__xludf.DUMMYFUNCTION("""COMPUTED_VALUE"""),"2.4.3.3 Incidir en el involucramiento de las personas con el ecosistema cultural")</f>
        <v>2.4.3.3 Incidir en el involucramiento de las personas con el ecosistema cultural</v>
      </c>
      <c r="AR186" s="30" t="str">
        <f ca="1">IFERROR(__xludf.DUMMYFUNCTION("""COMPUTED_VALUE"""),"Inclusión")</f>
        <v>Inclusión</v>
      </c>
      <c r="AS186" s="30" t="str">
        <f ca="1">IFERROR(__xludf.DUMMYFUNCTION("""COMPUTED_VALUE"""),"NNA (Niñas, Niños y Adolescentes)")</f>
        <v>NNA (Niñas, Niños y Adolescentes)</v>
      </c>
      <c r="AT186" s="30" t="str">
        <f ca="1">IFERROR(__xludf.DUMMYFUNCTION("""COMPUTED_VALUE"""),"Fortalecimiento de la participación ciudadana y la mediación cultural")</f>
        <v>Fortalecimiento de la participación ciudadana y la mediación cultural</v>
      </c>
      <c r="AU186" s="30" t="str">
        <f ca="1">IFERROR(__xludf.DUMMYFUNCTION("""COMPUTED_VALUE"""),"Impulso a la ampliación de la oferta cultural en los territorios.")</f>
        <v>Impulso a la ampliación de la oferta cultural en los territorios.</v>
      </c>
      <c r="AV18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186" s="30" t="str">
        <f ca="1">IFERROR(__xludf.DUMMYFUNCTION("""COMPUTED_VALUE"""),"Incrementar en 25% la oferta cultural realizada en los municipios.")</f>
        <v>Incrementar en 25% la oferta cultural realizada en los municipios.</v>
      </c>
      <c r="AX186" s="30" t="str">
        <f ca="1">IFERROR(__xludf.DUMMYFUNCTION("""COMPUTED_VALUE"""),"Taller")</f>
        <v>Taller</v>
      </c>
      <c r="AY186" s="30" t="str">
        <f ca="1">IFERROR(__xludf.DUMMYFUNCTION("""COMPUTED_VALUE"""),"Mediación")</f>
        <v>Mediación</v>
      </c>
      <c r="AZ186" s="30"/>
      <c r="BA186" s="30"/>
      <c r="BB186" s="30"/>
      <c r="BC186" s="30">
        <f ca="1">IFERROR(__xludf.DUMMYFUNCTION("""COMPUTED_VALUE"""),0)</f>
        <v>0</v>
      </c>
      <c r="BD186" s="30"/>
      <c r="BE186" s="30"/>
      <c r="BF186" s="30" t="b">
        <f ca="1">IFERROR(__xludf.DUMMYFUNCTION("""COMPUTED_VALUE"""),TRUE)</f>
        <v>1</v>
      </c>
      <c r="BG186" s="30" t="str">
        <f ca="1">IFERROR(__xludf.DUMMYFUNCTION("""COMPUTED_VALUE"""),"Especie")</f>
        <v>Especie</v>
      </c>
      <c r="BH186" s="30"/>
      <c r="BI186" s="30"/>
      <c r="BJ186" s="30"/>
      <c r="BK186" s="30"/>
      <c r="BL186" s="30"/>
      <c r="BM186" s="30" t="str">
        <f ca="1">IFERROR(__xludf.DUMMYFUNCTION("""COMPUTED_VALUE"""),"Sí")</f>
        <v>Sí</v>
      </c>
      <c r="BN186" s="30" t="str">
        <f ca="1">IFERROR(__xludf.DUMMYFUNCTION("""COMPUTED_VALUE"""),"Acompañamiento Técnico")</f>
        <v>Acompañamiento Técnico</v>
      </c>
      <c r="BO186" s="30" t="str">
        <f ca="1">IFERROR(__xludf.DUMMYFUNCTION("""COMPUTED_VALUE"""),"01f19e80")</f>
        <v>01f19e80</v>
      </c>
      <c r="BP186" s="29" t="str">
        <f ca="1">IFERROR(__xludf.DUMMYFUNCTION("""COMPUTED_VALUE"""),"León")</f>
        <v>León</v>
      </c>
      <c r="BQ186" s="30" t="str">
        <f ca="1">IFERROR(__xludf.DUMMYFUNCTION("""COMPUTED_VALUE"""),"Urbano")</f>
        <v>Urbano</v>
      </c>
      <c r="BR186" s="30"/>
      <c r="BS186" s="30"/>
      <c r="BT186" s="30" t="str">
        <f ca="1">IFERROR(__xludf.DUMMYFUNCTION("""COMPUTED_VALUE"""),"La Martinica")</f>
        <v>La Martinica</v>
      </c>
      <c r="BU186" s="30" t="str">
        <f ca="1">IFERROR(__xludf.DUMMYFUNCTION("""COMPUTED_VALUE"""),"No")</f>
        <v>No</v>
      </c>
      <c r="BV186" s="30" t="str">
        <f ca="1">IFERROR(__xludf.DUMMYFUNCTION("""COMPUTED_VALUE"""),"No")</f>
        <v>No</v>
      </c>
      <c r="BW186" s="30">
        <f ca="1">IFERROR(__xludf.DUMMYFUNCTION("""COMPUTED_VALUE"""),40)</f>
        <v>40</v>
      </c>
      <c r="BX186" s="30">
        <f ca="1">IFERROR(__xludf.DUMMYFUNCTION("""COMPUTED_VALUE"""),40)</f>
        <v>40</v>
      </c>
      <c r="BY186" s="30">
        <f ca="1">IFERROR(__xludf.DUMMYFUNCTION("""COMPUTED_VALUE"""),0)</f>
        <v>0</v>
      </c>
      <c r="BZ186" s="30" t="str">
        <f ca="1">IFERROR(__xludf.DUMMYFUNCTION("""COMPUTED_VALUE"""),"La Martinica")</f>
        <v>La Martinica</v>
      </c>
      <c r="CA186" s="30" t="str">
        <f ca="1">IFERROR(__xludf.DUMMYFUNCTION("""COMPUTED_VALUE"""),"No")</f>
        <v>No</v>
      </c>
      <c r="CB186" s="30" t="str">
        <f ca="1">IFERROR(__xludf.DUMMYFUNCTION("""COMPUTED_VALUE"""),"No")</f>
        <v>No</v>
      </c>
      <c r="CC186" s="30" t="str">
        <f ca="1">IFERROR(__xludf.DUMMYFUNCTION("""COMPUTED_VALUE"""),"140ee279")</f>
        <v>140ee279</v>
      </c>
      <c r="CD186" s="29" t="str">
        <f ca="1">IFERROR(__xludf.DUMMYFUNCTION("""COMPUTED_VALUE"""),"Adultos (30 a 59 años)")</f>
        <v>Adultos (30 a 59 años)</v>
      </c>
      <c r="CE186" s="30" t="str">
        <f ca="1">IFERROR(__xludf.DUMMYFUNCTION("""COMPUTED_VALUE"""),"Dato global")</f>
        <v>Dato global</v>
      </c>
      <c r="CF186" s="30" t="str">
        <f ca="1">IFERROR(__xludf.DUMMYFUNCTION("""COMPUTED_VALUE"""),"Ninguno (Población General)")</f>
        <v>Ninguno (Población General)</v>
      </c>
      <c r="CG186" s="30">
        <f ca="1">IFERROR(__xludf.DUMMYFUNCTION("""COMPUTED_VALUE"""),28)</f>
        <v>28</v>
      </c>
      <c r="CI186" s="30" t="str">
        <f ca="1">IFERROR(__xludf.DUMMYFUNCTION("""COMPUTED_VALUE"""),"5ad3508a")</f>
        <v>5ad3508a</v>
      </c>
      <c r="CJ186" s="29" t="str">
        <f ca="1">IFERROR(__xludf.DUMMYFUNCTION("""COMPUTED_VALUE"""),"Regitro_Evidencia_Images/5ad3508a.Archivo_Evidencia.201432.jpg")</f>
        <v>Regitro_Evidencia_Images/5ad3508a.Archivo_Evidencia.201432.jpg</v>
      </c>
      <c r="CK186" s="30" t="str">
        <f ca="1">IFERROR(__xludf.DUMMYFUNCTION("""COMPUTED_VALUE"""),"Foto")</f>
        <v>Foto</v>
      </c>
      <c r="CL186" s="30"/>
      <c r="CM186" s="30" t="str">
        <f ca="1">IFERROR(__xludf.DUMMYFUNCTION("""COMPUTED_VALUE"""),"León")</f>
        <v>León</v>
      </c>
      <c r="CN186" s="32" t="e">
        <f ca="1"/>
        <v>#NAME?</v>
      </c>
      <c r="CO186" s="32" t="e">
        <f ca="1"/>
        <v>#NAME?</v>
      </c>
      <c r="CP186" s="32" t="e">
        <f ca="1"/>
        <v>#NAME?</v>
      </c>
      <c r="CQ186" s="32" t="e">
        <f ca="1"/>
        <v>#NAME?</v>
      </c>
      <c r="CR186" s="30" t="e">
        <f ca="1"/>
        <v>#NAME?</v>
      </c>
      <c r="CS186" s="30" t="str">
        <f ca="1">IFERROR(__xludf.DUMMYFUNCTION("""COMPUTED_VALUE"""),"Ninguno (Población General), Ninguno (Población General), Ninguno (Población General)")</f>
        <v>Ninguno (Población General), Ninguno (Población General), Ninguno (Población General)</v>
      </c>
    </row>
    <row r="187" spans="1:97" ht="13">
      <c r="A187" s="29" t="str">
        <f ca="1">IFERROR(__xludf.DUMMYFUNCTION("""COMPUTED_VALUE"""),"ACT-SCFP85411")</f>
        <v>ACT-SCFP85411</v>
      </c>
      <c r="B187" s="30" t="str">
        <f ca="1">IFERROR(__xludf.DUMMYFUNCTION("""COMPUTED_VALUE"""),"SC-260705-120116")</f>
        <v>SC-260705-120116</v>
      </c>
      <c r="C187" s="62">
        <f ca="1">IFERROR(__xludf.DUMMYFUNCTION("""COMPUTED_VALUE"""),46208.5008796296)</f>
        <v>46208.500879629602</v>
      </c>
      <c r="D187" s="30">
        <f ca="1">IFERROR(__xludf.DUMMYFUNCTION("""COMPUTED_VALUE"""),93)</f>
        <v>93</v>
      </c>
      <c r="E187" s="30" t="str">
        <f ca="1">IFERROR(__xludf.DUMMYFUNCTION("""COMPUTED_VALUE"""),"PB3572")</f>
        <v>PB3572</v>
      </c>
      <c r="F18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7" s="30" t="str">
        <f ca="1">IFERROR(__xludf.DUMMYFUNCTION("""COMPUTED_VALUE"""),"Participación de artistas en las actividades extramuros en municipios del Estado de Guanajuato")</f>
        <v>Participación de artistas en las actividades extramuros en municipios del Estado de Guanajuato</v>
      </c>
      <c r="H187" s="30" t="str">
        <f ca="1">IFERROR(__xludf.DUMMYFUNCTION("""COMPUTED_VALUE"""),"SUBSECRETARÍA DE DESARROLLO Y PROMOCIÓN ARTÍSTICA Y CULTURAL")</f>
        <v>SUBSECRETARÍA DE DESARROLLO Y PROMOCIÓN ARTÍSTICA Y CULTURAL</v>
      </c>
      <c r="I187" s="34" t="str">
        <f ca="1">IFERROR(__xludf.DUMMYFUNCTION("""COMPUTED_VALUE"""),"DIRECCIÓN GENERAL DE MUSEOS, ARTES VISUALES Y EXPOSICIONES")</f>
        <v>DIRECCIÓN GENERAL DE MUSEOS, ARTES VISUALES Y EXPOSICIONES</v>
      </c>
      <c r="J187" s="30" t="str">
        <f ca="1">IFERROR(__xludf.DUMMYFUNCTION("""COMPUTED_VALUE"""),"Número de Actividades realizadas")</f>
        <v>Número de Actividades realizadas</v>
      </c>
      <c r="K187" s="30">
        <f ca="1">IFERROR(__xludf.DUMMYFUNCTION("""COMPUTED_VALUE"""),10)</f>
        <v>10</v>
      </c>
      <c r="L187" s="30" t="str">
        <f ca="1">IFERROR(__xludf.DUMMYFUNCTION("""COMPUTED_VALUE"""),"Artística")</f>
        <v>Artística</v>
      </c>
      <c r="M187" s="30" t="str">
        <f ca="1">IFERROR(__xludf.DUMMYFUNCTION("""COMPUTED_VALUE"""),"Activación Arte en tu plaza Activación ""Homo Videns""")</f>
        <v>Activación Arte en tu plaza Activación "Homo Videns"</v>
      </c>
      <c r="N187" s="30" t="str">
        <f ca="1">IFERROR(__xludf.DUMMYFUNCTION("""COMPUTED_VALUE"""),"Mediación cultural entre la exposicion Homo videns y los ciudadanos del municipio de San Luis de la Paz")</f>
        <v>Mediación cultural entre la exposicion Homo videns y los ciudadanos del municipio de San Luis de la Paz</v>
      </c>
      <c r="O187" s="30" t="str">
        <f ca="1">IFERROR(__xludf.DUMMYFUNCTION("""COMPUTED_VALUE"""),"Única")</f>
        <v>Única</v>
      </c>
      <c r="P187" s="33">
        <f ca="1">IFERROR(__xludf.DUMMYFUNCTION("""COMPUTED_VALUE"""),46181)</f>
        <v>46181</v>
      </c>
      <c r="Q187" s="33">
        <f ca="1">IFERROR(__xludf.DUMMYFUNCTION("""COMPUTED_VALUE"""),46181)</f>
        <v>46181</v>
      </c>
      <c r="R187" s="30">
        <f ca="1">IFERROR(__xludf.DUMMYFUNCTION("""COMPUTED_VALUE"""),1)</f>
        <v>1</v>
      </c>
      <c r="S187" s="30" t="str">
        <f ca="1">IFERROR(__xludf.DUMMYFUNCTION("""COMPUTED_VALUE"""),"Cultura comunitaria")</f>
        <v>Cultura comunitaria</v>
      </c>
      <c r="T187" s="30" t="str">
        <f ca="1">IFERROR(__xludf.DUMMYFUNCTION("""COMPUTED_VALUE"""),"Gestión cultural")</f>
        <v>Gestión cultural</v>
      </c>
      <c r="U187" s="30" t="str">
        <f ca="1">IFERROR(__xludf.DUMMYFUNCTION("""COMPUTED_VALUE"""),"Taller")</f>
        <v>Taller</v>
      </c>
      <c r="V187" s="30" t="str">
        <f ca="1">IFERROR(__xludf.DUMMYFUNCTION("""COMPUTED_VALUE"""),"Ninguna")</f>
        <v>Ninguna</v>
      </c>
      <c r="W187" s="30" t="str">
        <f ca="1">IFERROR(__xludf.DUMMYFUNCTION("""COMPUTED_VALUE"""),"Presencial")</f>
        <v>Presencial</v>
      </c>
      <c r="X187" s="30" t="str">
        <f ca="1">IFERROR(__xludf.DUMMYFUNCTION("""COMPUTED_VALUE"""),"Espacio Público")</f>
        <v>Espacio Público</v>
      </c>
      <c r="Y187" s="30"/>
      <c r="Z187" s="30" t="str">
        <f ca="1">IFERROR(__xludf.DUMMYFUNCTION("""COMPUTED_VALUE"""),"Andador del Jardín Principal")</f>
        <v>Andador del Jardín Principal</v>
      </c>
      <c r="AA187" s="30"/>
      <c r="AB187" s="30" t="b">
        <f ca="1">IFERROR(__xludf.DUMMYFUNCTION("""COMPUTED_VALUE"""),FALSE)</f>
        <v>0</v>
      </c>
      <c r="AC187" s="30"/>
      <c r="AD187" s="30" t="b">
        <f ca="1">IFERROR(__xludf.DUMMYFUNCTION("""COMPUTED_VALUE"""),FALSE)</f>
        <v>0</v>
      </c>
      <c r="AE187" s="30"/>
      <c r="AF187" s="30" t="b">
        <f ca="1">IFERROR(__xludf.DUMMYFUNCTION("""COMPUTED_VALUE"""),FALSE)</f>
        <v>0</v>
      </c>
      <c r="AG187" s="30"/>
      <c r="AH187" s="30" t="str">
        <f ca="1">IFERROR(__xludf.DUMMYFUNCTION("""COMPUTED_VALUE"""),"Sin costo")</f>
        <v>Sin costo</v>
      </c>
      <c r="AI187" s="30"/>
      <c r="AJ187" s="30"/>
      <c r="AK187" s="30"/>
      <c r="AL187" s="30" t="str">
        <f ca="1">IFERROR(__xludf.DUMMYFUNCTION("""COMPUTED_VALUE"""),"ccardonav@guanajuato.gob.mx")</f>
        <v>ccardonav@guanajuato.gob.mx</v>
      </c>
      <c r="AM187"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187" s="30" t="str">
        <f ca="1">IFERROR(__xludf.DUMMYFUNCTION("""COMPUTED_VALUE"""),"2 Igualdad")</f>
        <v>2 Igualdad</v>
      </c>
      <c r="AO187" s="30" t="str">
        <f ca="1">IFERROR(__xludf.DUMMYFUNCTION("""COMPUTED_VALUE"""),"2.4 Reducir brechas de desigualdad")</f>
        <v>2.4 Reducir brechas de desigualdad</v>
      </c>
      <c r="AP187" s="30" t="str">
        <f ca="1">IFERROR(__xludf.DUMMYFUNCTION("""COMPUTED_VALUE"""),"2.4.3 Descentralización de la oferta cultural")</f>
        <v>2.4.3 Descentralización de la oferta cultural</v>
      </c>
      <c r="AQ187" s="30" t="str">
        <f ca="1">IFERROR(__xludf.DUMMYFUNCTION("""COMPUTED_VALUE"""),"2.4.3.3 Incidir en el involucramiento de las personas con el ecosistema cultural")</f>
        <v>2.4.3.3 Incidir en el involucramiento de las personas con el ecosistema cultural</v>
      </c>
      <c r="AR187" s="30" t="str">
        <f ca="1">IFERROR(__xludf.DUMMYFUNCTION("""COMPUTED_VALUE"""),"Inclusión")</f>
        <v>Inclusión</v>
      </c>
      <c r="AS187" s="30" t="str">
        <f ca="1">IFERROR(__xludf.DUMMYFUNCTION("""COMPUTED_VALUE"""),"NNA (Niñas, Niños y Adolescentes)")</f>
        <v>NNA (Niñas, Niños y Adolescentes)</v>
      </c>
      <c r="AT187" s="30" t="str">
        <f ca="1">IFERROR(__xludf.DUMMYFUNCTION("""COMPUTED_VALUE"""),"Fortalecimiento de la participación ciudadana y la mediación cultural")</f>
        <v>Fortalecimiento de la participación ciudadana y la mediación cultural</v>
      </c>
      <c r="AU187" s="30" t="str">
        <f ca="1">IFERROR(__xludf.DUMMYFUNCTION("""COMPUTED_VALUE"""),"Impulso a la ampliación de la oferta cultural en los territorios.")</f>
        <v>Impulso a la ampliación de la oferta cultural en los territorios.</v>
      </c>
      <c r="AV187" s="30" t="str">
        <f ca="1">IFERROR(__xludf.DUMMYFUNCTION("""COMPUTED_VALUE"""),"Impulsar los proyectos culturales itinerantes.")</f>
        <v>Impulsar los proyectos culturales itinerantes.</v>
      </c>
      <c r="AW187" s="30" t="str">
        <f ca="1">IFERROR(__xludf.DUMMYFUNCTION("""COMPUTED_VALUE"""),"Incrementar en 25% la oferta cultural realizada en los municipios.")</f>
        <v>Incrementar en 25% la oferta cultural realizada en los municipios.</v>
      </c>
      <c r="AX187" s="30" t="str">
        <f ca="1">IFERROR(__xludf.DUMMYFUNCTION("""COMPUTED_VALUE"""),"Taller")</f>
        <v>Taller</v>
      </c>
      <c r="AY187" s="30" t="str">
        <f ca="1">IFERROR(__xludf.DUMMYFUNCTION("""COMPUTED_VALUE"""),"Mediación")</f>
        <v>Mediación</v>
      </c>
      <c r="AZ187" s="30"/>
      <c r="BA187" s="30"/>
      <c r="BB187" s="30"/>
      <c r="BC187" s="30">
        <f ca="1">IFERROR(__xludf.DUMMYFUNCTION("""COMPUTED_VALUE"""),0)</f>
        <v>0</v>
      </c>
      <c r="BD187" s="30"/>
      <c r="BE187" s="30"/>
      <c r="BF187" s="30" t="b">
        <f ca="1">IFERROR(__xludf.DUMMYFUNCTION("""COMPUTED_VALUE"""),TRUE)</f>
        <v>1</v>
      </c>
      <c r="BG187" s="30" t="str">
        <f ca="1">IFERROR(__xludf.DUMMYFUNCTION("""COMPUTED_VALUE"""),"Especie")</f>
        <v>Especie</v>
      </c>
      <c r="BH187" s="30"/>
      <c r="BI187" s="30"/>
      <c r="BJ187" s="30"/>
      <c r="BK187" s="30"/>
      <c r="BL187" s="30"/>
      <c r="BM187" s="30" t="str">
        <f ca="1">IFERROR(__xludf.DUMMYFUNCTION("""COMPUTED_VALUE"""),"Sí")</f>
        <v>Sí</v>
      </c>
      <c r="BN187" s="30" t="str">
        <f ca="1">IFERROR(__xludf.DUMMYFUNCTION("""COMPUTED_VALUE"""),"Acompañamiento Técnico")</f>
        <v>Acompañamiento Técnico</v>
      </c>
      <c r="BO187" s="30" t="str">
        <f ca="1">IFERROR(__xludf.DUMMYFUNCTION("""COMPUTED_VALUE"""),"9c844ef5")</f>
        <v>9c844ef5</v>
      </c>
      <c r="BP187" s="29" t="str">
        <f ca="1">IFERROR(__xludf.DUMMYFUNCTION("""COMPUTED_VALUE"""),"León")</f>
        <v>León</v>
      </c>
      <c r="BQ187" s="30" t="str">
        <f ca="1">IFERROR(__xludf.DUMMYFUNCTION("""COMPUTED_VALUE"""),"Urbano")</f>
        <v>Urbano</v>
      </c>
      <c r="BR187" s="30"/>
      <c r="BS187" s="30"/>
      <c r="BT187" s="30" t="str">
        <f ca="1">IFERROR(__xludf.DUMMYFUNCTION("""COMPUTED_VALUE"""),"La Martinica")</f>
        <v>La Martinica</v>
      </c>
      <c r="BU187" s="30" t="str">
        <f ca="1">IFERROR(__xludf.DUMMYFUNCTION("""COMPUTED_VALUE"""),"No")</f>
        <v>No</v>
      </c>
      <c r="BV187" s="30" t="str">
        <f ca="1">IFERROR(__xludf.DUMMYFUNCTION("""COMPUTED_VALUE"""),"No")</f>
        <v>No</v>
      </c>
      <c r="BW187" s="30">
        <f ca="1">IFERROR(__xludf.DUMMYFUNCTION("""COMPUTED_VALUE"""),45)</f>
        <v>45</v>
      </c>
      <c r="BX187" s="30">
        <f ca="1">IFERROR(__xludf.DUMMYFUNCTION("""COMPUTED_VALUE"""),45)</f>
        <v>45</v>
      </c>
      <c r="BY187" s="30">
        <f ca="1">IFERROR(__xludf.DUMMYFUNCTION("""COMPUTED_VALUE"""),0)</f>
        <v>0</v>
      </c>
      <c r="BZ187" s="30" t="str">
        <f ca="1">IFERROR(__xludf.DUMMYFUNCTION("""COMPUTED_VALUE"""),"La Martinica")</f>
        <v>La Martinica</v>
      </c>
      <c r="CA187" s="30" t="str">
        <f ca="1">IFERROR(__xludf.DUMMYFUNCTION("""COMPUTED_VALUE"""),"No")</f>
        <v>No</v>
      </c>
      <c r="CB187" s="30" t="str">
        <f ca="1">IFERROR(__xludf.DUMMYFUNCTION("""COMPUTED_VALUE"""),"No")</f>
        <v>No</v>
      </c>
      <c r="CC187" s="30" t="str">
        <f ca="1">IFERROR(__xludf.DUMMYFUNCTION("""COMPUTED_VALUE"""),"801e039d")</f>
        <v>801e039d</v>
      </c>
      <c r="CD187" s="29" t="str">
        <f ca="1">IFERROR(__xludf.DUMMYFUNCTION("""COMPUTED_VALUE"""),"Adultos (30 a 59 años)")</f>
        <v>Adultos (30 a 59 años)</v>
      </c>
      <c r="CE187" s="30" t="str">
        <f ca="1">IFERROR(__xludf.DUMMYFUNCTION("""COMPUTED_VALUE"""),"Dato global")</f>
        <v>Dato global</v>
      </c>
      <c r="CF187" s="30" t="str">
        <f ca="1">IFERROR(__xludf.DUMMYFUNCTION("""COMPUTED_VALUE"""),"Ninguno (Población General)")</f>
        <v>Ninguno (Población General)</v>
      </c>
      <c r="CG187" s="30">
        <f ca="1">IFERROR(__xludf.DUMMYFUNCTION("""COMPUTED_VALUE"""),40)</f>
        <v>40</v>
      </c>
      <c r="CI187" s="30" t="str">
        <f ca="1">IFERROR(__xludf.DUMMYFUNCTION("""COMPUTED_VALUE"""),"8e61548e")</f>
        <v>8e61548e</v>
      </c>
      <c r="CJ187" s="29" t="str">
        <f ca="1">IFERROR(__xludf.DUMMYFUNCTION("""COMPUTED_VALUE"""),"Regitro_Evidencia_Images/8e61548e.Archivo_Evidencia.220534.jpg")</f>
        <v>Regitro_Evidencia_Images/8e61548e.Archivo_Evidencia.220534.jpg</v>
      </c>
      <c r="CK187" s="30" t="str">
        <f ca="1">IFERROR(__xludf.DUMMYFUNCTION("""COMPUTED_VALUE"""),"Foto")</f>
        <v>Foto</v>
      </c>
      <c r="CL187" s="30"/>
      <c r="CM187" s="30" t="str">
        <f ca="1">IFERROR(__xludf.DUMMYFUNCTION("""COMPUTED_VALUE"""),"León")</f>
        <v>León</v>
      </c>
      <c r="CN187" s="32" t="e">
        <f ca="1"/>
        <v>#NAME?</v>
      </c>
      <c r="CO187" s="32" t="e">
        <f ca="1"/>
        <v>#NAME?</v>
      </c>
      <c r="CP187" s="32" t="e">
        <f ca="1"/>
        <v>#NAME?</v>
      </c>
      <c r="CQ187" s="32" t="e">
        <f ca="1"/>
        <v>#NAME?</v>
      </c>
      <c r="CR187" s="30" t="e">
        <f ca="1"/>
        <v>#NAME?</v>
      </c>
      <c r="CS187" s="30" t="str">
        <f ca="1">IFERROR(__xludf.DUMMYFUNCTION("""COMPUTED_VALUE"""),"Ninguno (Población General), Ninguno (Población General)")</f>
        <v>Ninguno (Población General), Ninguno (Población General)</v>
      </c>
    </row>
    <row r="188" spans="1:97" ht="13">
      <c r="A188" s="29" t="str">
        <f ca="1">IFERROR(__xludf.DUMMYFUNCTION("""COMPUTED_VALUE"""),"ACT-SCQI25133")</f>
        <v>ACT-SCQI25133</v>
      </c>
      <c r="B188" s="30" t="str">
        <f ca="1">IFERROR(__xludf.DUMMYFUNCTION("""COMPUTED_VALUE"""),"SC-260705-120606")</f>
        <v>SC-260705-120606</v>
      </c>
      <c r="C188" s="62">
        <f ca="1">IFERROR(__xludf.DUMMYFUNCTION("""COMPUTED_VALUE"""),46208.5042361111)</f>
        <v>46208.504236111097</v>
      </c>
      <c r="D188" s="30">
        <f ca="1">IFERROR(__xludf.DUMMYFUNCTION("""COMPUTED_VALUE"""),92)</f>
        <v>92</v>
      </c>
      <c r="E188" s="30" t="str">
        <f ca="1">IFERROR(__xludf.DUMMYFUNCTION("""COMPUTED_VALUE"""),"PB3572")</f>
        <v>PB3572</v>
      </c>
      <c r="F18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88" s="30" t="str">
        <f ca="1">IFERROR(__xludf.DUMMYFUNCTION("""COMPUTED_VALUE"""),"SUBSECRETARÍA DE DESARROLLO Y PROMOCIÓN ARTÍSTICA Y CULTURAL")</f>
        <v>SUBSECRETARÍA DE DESARROLLO Y PROMOCIÓN ARTÍSTICA Y CULTURAL</v>
      </c>
      <c r="I188" s="34" t="str">
        <f ca="1">IFERROR(__xludf.DUMMYFUNCTION("""COMPUTED_VALUE"""),"DIRECCIÓN GENERAL DE MUSEOS, ARTES VISUALES Y EXPOSICIONES")</f>
        <v>DIRECCIÓN GENERAL DE MUSEOS, ARTES VISUALES Y EXPOSICIONES</v>
      </c>
      <c r="J188" s="30" t="str">
        <f ca="1">IFERROR(__xludf.DUMMYFUNCTION("""COMPUTED_VALUE"""),"Número de Actividades realizadas")</f>
        <v>Número de Actividades realizadas</v>
      </c>
      <c r="K188" s="30">
        <f ca="1">IFERROR(__xludf.DUMMYFUNCTION("""COMPUTED_VALUE"""),800)</f>
        <v>800</v>
      </c>
      <c r="L188" s="30" t="str">
        <f ca="1">IFERROR(__xludf.DUMMYFUNCTION("""COMPUTED_VALUE"""),"Artística")</f>
        <v>Artística</v>
      </c>
      <c r="M188" s="30" t="str">
        <f ca="1">IFERROR(__xludf.DUMMYFUNCTION("""COMPUTED_VALUE"""),"Collage del arcano mayor")</f>
        <v>Collage del arcano mayor</v>
      </c>
      <c r="N188" s="30" t="str">
        <f ca="1">IFERROR(__xludf.DUMMYFUNCTION("""COMPUTED_VALUE"""),"Actividad artística de taller familiar, corresponsabilidad con la exposición bajo el signo de saturno.")</f>
        <v>Actividad artística de taller familiar, corresponsabilidad con la exposición bajo el signo de saturno.</v>
      </c>
      <c r="O188" s="30" t="str">
        <f ca="1">IFERROR(__xludf.DUMMYFUNCTION("""COMPUTED_VALUE"""),"Otras")</f>
        <v>Otras</v>
      </c>
      <c r="P188" s="33">
        <f ca="1">IFERROR(__xludf.DUMMYFUNCTION("""COMPUTED_VALUE"""),46116)</f>
        <v>46116</v>
      </c>
      <c r="Q188" s="33">
        <f ca="1">IFERROR(__xludf.DUMMYFUNCTION("""COMPUTED_VALUE"""),46173)</f>
        <v>46173</v>
      </c>
      <c r="R188" s="30">
        <f ca="1">IFERROR(__xludf.DUMMYFUNCTION("""COMPUTED_VALUE"""),7)</f>
        <v>7</v>
      </c>
      <c r="S188" s="30" t="str">
        <f ca="1">IFERROR(__xludf.DUMMYFUNCTION("""COMPUTED_VALUE"""),"Cultura comunitaria")</f>
        <v>Cultura comunitaria</v>
      </c>
      <c r="T188" s="30" t="str">
        <f ca="1">IFERROR(__xludf.DUMMYFUNCTION("""COMPUTED_VALUE"""),"Mediación cultural")</f>
        <v>Mediación cultural</v>
      </c>
      <c r="U188" s="30" t="str">
        <f ca="1">IFERROR(__xludf.DUMMYFUNCTION("""COMPUTED_VALUE"""),"Taller")</f>
        <v>Taller</v>
      </c>
      <c r="V188" s="30" t="str">
        <f ca="1">IFERROR(__xludf.DUMMYFUNCTION("""COMPUTED_VALUE"""),"Ninguna")</f>
        <v>Ninguna</v>
      </c>
      <c r="W188" s="30" t="str">
        <f ca="1">IFERROR(__xludf.DUMMYFUNCTION("""COMPUTED_VALUE"""),"Presencial")</f>
        <v>Presencial</v>
      </c>
      <c r="X188" s="30" t="str">
        <f ca="1">IFERROR(__xludf.DUMMYFUNCTION("""COMPUTED_VALUE"""),"Espacio a Cargo de la Secretaría")</f>
        <v>Espacio a Cargo de la Secretaría</v>
      </c>
      <c r="Y188" s="30" t="str">
        <f ca="1">IFERROR(__xludf.DUMMYFUNCTION("""COMPUTED_VALUE"""),"8")</f>
        <v>8</v>
      </c>
      <c r="Z188" s="30"/>
      <c r="AA188" s="30"/>
      <c r="AB188" s="30" t="b">
        <f ca="1">IFERROR(__xludf.DUMMYFUNCTION("""COMPUTED_VALUE"""),FALSE)</f>
        <v>0</v>
      </c>
      <c r="AC188" s="30"/>
      <c r="AD188" s="30" t="b">
        <f ca="1">IFERROR(__xludf.DUMMYFUNCTION("""COMPUTED_VALUE"""),FALSE)</f>
        <v>0</v>
      </c>
      <c r="AE188" s="30"/>
      <c r="AF188" s="30" t="b">
        <f ca="1">IFERROR(__xludf.DUMMYFUNCTION("""COMPUTED_VALUE"""),FALSE)</f>
        <v>0</v>
      </c>
      <c r="AG188" s="30"/>
      <c r="AH188" s="30" t="str">
        <f ca="1">IFERROR(__xludf.DUMMYFUNCTION("""COMPUTED_VALUE"""),"Sin costo")</f>
        <v>Sin costo</v>
      </c>
      <c r="AI188" s="30"/>
      <c r="AJ188" s="30"/>
      <c r="AK188" s="30"/>
      <c r="AL188" s="30" t="str">
        <f ca="1">IFERROR(__xludf.DUMMYFUNCTION("""COMPUTED_VALUE"""),"ccardonav@guanajuato.gob.mx")</f>
        <v>ccardonav@guanajuato.gob.mx</v>
      </c>
      <c r="AM188" s="30" t="str">
        <f ca="1">IFERROR(__xludf.DUMMYFUNCTION("""COMPUTED_VALUE"""),"Arraigo y empoderamiento cultural de comunidades.")</f>
        <v>Arraigo y empoderamiento cultural de comunidades.</v>
      </c>
      <c r="AN188" s="30" t="str">
        <f ca="1">IFERROR(__xludf.DUMMYFUNCTION("""COMPUTED_VALUE"""),"2 Igualdad")</f>
        <v>2 Igualdad</v>
      </c>
      <c r="AO188" s="30" t="str">
        <f ca="1">IFERROR(__xludf.DUMMYFUNCTION("""COMPUTED_VALUE"""),"2.4 Reducir brechas de desigualdad")</f>
        <v>2.4 Reducir brechas de desigualdad</v>
      </c>
      <c r="AP188" s="30" t="str">
        <f ca="1">IFERROR(__xludf.DUMMYFUNCTION("""COMPUTED_VALUE"""),"2.4.3 Descentralización de la oferta cultural")</f>
        <v>2.4.3 Descentralización de la oferta cultural</v>
      </c>
      <c r="AQ188" s="30" t="str">
        <f ca="1">IFERROR(__xludf.DUMMYFUNCTION("""COMPUTED_VALUE"""),"2.4.3.1 Impulsar el desarrollo artístico y cultural entre infancias y juventudes")</f>
        <v>2.4.3.1 Impulsar el desarrollo artístico y cultural entre infancias y juventudes</v>
      </c>
      <c r="AR188" s="30" t="str">
        <f ca="1">IFERROR(__xludf.DUMMYFUNCTION("""COMPUTED_VALUE"""),"Ninguno")</f>
        <v>Ninguno</v>
      </c>
      <c r="AS188" s="30"/>
      <c r="AT188" s="30" t="str">
        <f ca="1">IFERROR(__xludf.DUMMYFUNCTION("""COMPUTED_VALUE"""),"Fortalecimiento de la participación ciudadana y la mediación cultural")</f>
        <v>Fortalecimiento de la participación ciudadana y la mediación cultural</v>
      </c>
      <c r="AU188" s="30" t="str">
        <f ca="1">IFERROR(__xludf.DUMMYFUNCTION("""COMPUTED_VALUE"""),"Fortalecimiento del diálogo, la mediación y las capacidades de las redes comunitarias.")</f>
        <v>Fortalecimiento del diálogo, la mediación y las capacidades de las redes comunitarias.</v>
      </c>
      <c r="AV18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88" s="30" t="str">
        <f ca="1">IFERROR(__xludf.DUMMYFUNCTION("""COMPUTED_VALUE"""),"Incrementar en 25% la oferta cultural realizada en los municipios.")</f>
        <v>Incrementar en 25% la oferta cultural realizada en los municipios.</v>
      </c>
      <c r="AX188" s="30" t="str">
        <f ca="1">IFERROR(__xludf.DUMMYFUNCTION("""COMPUTED_VALUE"""),"Taller")</f>
        <v>Taller</v>
      </c>
      <c r="AY188" s="30" t="str">
        <f ca="1">IFERROR(__xludf.DUMMYFUNCTION("""COMPUTED_VALUE"""),"Mediación")</f>
        <v>Mediación</v>
      </c>
      <c r="AZ188" s="30"/>
      <c r="BA188" s="30"/>
      <c r="BB188" s="30"/>
      <c r="BC188" s="30">
        <f ca="1">IFERROR(__xludf.DUMMYFUNCTION("""COMPUTED_VALUE"""),0)</f>
        <v>0</v>
      </c>
      <c r="BD188" s="30"/>
      <c r="BE188" s="30"/>
      <c r="BF188" s="30" t="b">
        <f ca="1">IFERROR(__xludf.DUMMYFUNCTION("""COMPUTED_VALUE"""),FALSE)</f>
        <v>0</v>
      </c>
      <c r="BG188" s="30"/>
      <c r="BH188" s="30"/>
      <c r="BI188" s="30"/>
      <c r="BJ188" s="30"/>
      <c r="BK188" s="30"/>
      <c r="BL188" s="30"/>
      <c r="BM188" s="30" t="str">
        <f ca="1">IFERROR(__xludf.DUMMYFUNCTION("""COMPUTED_VALUE"""),"No")</f>
        <v>No</v>
      </c>
      <c r="BN188" s="30"/>
      <c r="BO188" s="30" t="str">
        <f ca="1">IFERROR(__xludf.DUMMYFUNCTION("""COMPUTED_VALUE"""),"f99b5ab6")</f>
        <v>f99b5ab6</v>
      </c>
      <c r="BP188" s="29" t="str">
        <f ca="1">IFERROR(__xludf.DUMMYFUNCTION("""COMPUTED_VALUE"""),"León")</f>
        <v>León</v>
      </c>
      <c r="BQ188" s="30" t="str">
        <f ca="1">IFERROR(__xludf.DUMMYFUNCTION("""COMPUTED_VALUE"""),"Urbano")</f>
        <v>Urbano</v>
      </c>
      <c r="BR188" s="30"/>
      <c r="BS188" s="30"/>
      <c r="BT188" s="30" t="str">
        <f ca="1">IFERROR(__xludf.DUMMYFUNCTION("""COMPUTED_VALUE"""),"La Martinica")</f>
        <v>La Martinica</v>
      </c>
      <c r="BU188" s="30" t="str">
        <f ca="1">IFERROR(__xludf.DUMMYFUNCTION("""COMPUTED_VALUE"""),"No")</f>
        <v>No</v>
      </c>
      <c r="BV188" s="30" t="str">
        <f ca="1">IFERROR(__xludf.DUMMYFUNCTION("""COMPUTED_VALUE"""),"No")</f>
        <v>No</v>
      </c>
      <c r="BW188" s="30">
        <f ca="1">IFERROR(__xludf.DUMMYFUNCTION("""COMPUTED_VALUE"""),62)</f>
        <v>62</v>
      </c>
      <c r="BX188" s="30">
        <f ca="1">IFERROR(__xludf.DUMMYFUNCTION("""COMPUTED_VALUE"""),62)</f>
        <v>62</v>
      </c>
      <c r="BY188" s="30">
        <f ca="1">IFERROR(__xludf.DUMMYFUNCTION("""COMPUTED_VALUE"""),0)</f>
        <v>0</v>
      </c>
      <c r="BZ188" s="30" t="str">
        <f ca="1">IFERROR(__xludf.DUMMYFUNCTION("""COMPUTED_VALUE"""),"La Martinica")</f>
        <v>La Martinica</v>
      </c>
      <c r="CA188" s="30" t="str">
        <f ca="1">IFERROR(__xludf.DUMMYFUNCTION("""COMPUTED_VALUE"""),"No")</f>
        <v>No</v>
      </c>
      <c r="CB188" s="30" t="str">
        <f ca="1">IFERROR(__xludf.DUMMYFUNCTION("""COMPUTED_VALUE"""),"No")</f>
        <v>No</v>
      </c>
      <c r="CC188" s="30" t="str">
        <f ca="1">IFERROR(__xludf.DUMMYFUNCTION("""COMPUTED_VALUE"""),"d5016c44")</f>
        <v>d5016c44</v>
      </c>
      <c r="CD188" s="29" t="str">
        <f ca="1">IFERROR(__xludf.DUMMYFUNCTION("""COMPUTED_VALUE"""),"Jóvenes (18 a 29 años)")</f>
        <v>Jóvenes (18 a 29 años)</v>
      </c>
      <c r="CE188" s="30" t="str">
        <f ca="1">IFERROR(__xludf.DUMMYFUNCTION("""COMPUTED_VALUE"""),"Dato global")</f>
        <v>Dato global</v>
      </c>
      <c r="CF188" s="30" t="str">
        <f ca="1">IFERROR(__xludf.DUMMYFUNCTION("""COMPUTED_VALUE"""),"Ninguno (Población General)")</f>
        <v>Ninguno (Población General)</v>
      </c>
      <c r="CG188" s="30">
        <f ca="1">IFERROR(__xludf.DUMMYFUNCTION("""COMPUTED_VALUE"""),134)</f>
        <v>134</v>
      </c>
      <c r="CI188" s="30" t="str">
        <f ca="1">IFERROR(__xludf.DUMMYFUNCTION("""COMPUTED_VALUE"""),"baf09784")</f>
        <v>baf09784</v>
      </c>
      <c r="CJ188" s="29" t="str">
        <f ca="1">IFERROR(__xludf.DUMMYFUNCTION("""COMPUTED_VALUE"""),"Regitro_Evidencia_Images/baf09784.Archivo_Evidencia.222705.jpg")</f>
        <v>Regitro_Evidencia_Images/baf09784.Archivo_Evidencia.222705.jpg</v>
      </c>
      <c r="CK188" s="30" t="str">
        <f ca="1">IFERROR(__xludf.DUMMYFUNCTION("""COMPUTED_VALUE"""),"Foto")</f>
        <v>Foto</v>
      </c>
      <c r="CL188" s="30"/>
      <c r="CM188" s="30" t="str">
        <f ca="1">IFERROR(__xludf.DUMMYFUNCTION("""COMPUTED_VALUE"""),"León")</f>
        <v>León</v>
      </c>
      <c r="CN188" s="32" t="e">
        <f ca="1"/>
        <v>#NAME?</v>
      </c>
      <c r="CO188" s="32" t="e">
        <f ca="1"/>
        <v>#NAME?</v>
      </c>
      <c r="CP188" s="32" t="e">
        <f ca="1"/>
        <v>#NAME?</v>
      </c>
      <c r="CQ188" s="32" t="e">
        <f ca="1"/>
        <v>#NAME?</v>
      </c>
      <c r="CR188" s="30" t="e">
        <f ca="1"/>
        <v>#NAME?</v>
      </c>
      <c r="CS188" s="30" t="str">
        <f ca="1">IFERROR(__xludf.DUMMYFUNCTION("""COMPUTED_VALUE"""),"NNA (Niñas, Niños y Adolescentes)")</f>
        <v>NNA (Niñas, Niños y Adolescentes)</v>
      </c>
    </row>
    <row r="189" spans="1:97" ht="13">
      <c r="A189" s="29" t="str">
        <f ca="1">IFERROR(__xludf.DUMMYFUNCTION("""COMPUTED_VALUE"""),"ACT-SCCQ09985")</f>
        <v>ACT-SCCQ09985</v>
      </c>
      <c r="B189" s="30" t="str">
        <f ca="1">IFERROR(__xludf.DUMMYFUNCTION("""COMPUTED_VALUE"""),"SC-260705-121406")</f>
        <v>SC-260705-121406</v>
      </c>
      <c r="C189" s="62">
        <f ca="1">IFERROR(__xludf.DUMMYFUNCTION("""COMPUTED_VALUE"""),46208.5097916666)</f>
        <v>46208.509791666598</v>
      </c>
      <c r="D189" s="30">
        <f ca="1">IFERROR(__xludf.DUMMYFUNCTION("""COMPUTED_VALUE"""),92)</f>
        <v>92</v>
      </c>
      <c r="E189" s="30" t="str">
        <f ca="1">IFERROR(__xludf.DUMMYFUNCTION("""COMPUTED_VALUE"""),"PB3572")</f>
        <v>PB3572</v>
      </c>
      <c r="F18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8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89" s="30" t="str">
        <f ca="1">IFERROR(__xludf.DUMMYFUNCTION("""COMPUTED_VALUE"""),"SUBSECRETARÍA DE DESARROLLO Y PROMOCIÓN ARTÍSTICA Y CULTURAL")</f>
        <v>SUBSECRETARÍA DE DESARROLLO Y PROMOCIÓN ARTÍSTICA Y CULTURAL</v>
      </c>
      <c r="I189" s="34" t="str">
        <f ca="1">IFERROR(__xludf.DUMMYFUNCTION("""COMPUTED_VALUE"""),"DIRECCIÓN GENERAL DE MUSEOS, ARTES VISUALES Y EXPOSICIONES")</f>
        <v>DIRECCIÓN GENERAL DE MUSEOS, ARTES VISUALES Y EXPOSICIONES</v>
      </c>
      <c r="J189" s="30" t="str">
        <f ca="1">IFERROR(__xludf.DUMMYFUNCTION("""COMPUTED_VALUE"""),"Número de Actividades realizadas")</f>
        <v>Número de Actividades realizadas</v>
      </c>
      <c r="K189" s="30">
        <f ca="1">IFERROR(__xludf.DUMMYFUNCTION("""COMPUTED_VALUE"""),800)</f>
        <v>800</v>
      </c>
      <c r="L189" s="30" t="str">
        <f ca="1">IFERROR(__xludf.DUMMYFUNCTION("""COMPUTED_VALUE"""),"Artística")</f>
        <v>Artística</v>
      </c>
      <c r="M189" s="30" t="str">
        <f ca="1">IFERROR(__xludf.DUMMYFUNCTION("""COMPUTED_VALUE"""),"Móvil cósmico")</f>
        <v>Móvil cósmico</v>
      </c>
      <c r="N189" s="30" t="str">
        <f ca="1">IFERROR(__xludf.DUMMYFUNCTION("""COMPUTED_VALUE"""),"Actividad artística de taller familiar, corresponsabilidad con la exposición bajo el signo de saturno.")</f>
        <v>Actividad artística de taller familiar, corresponsabilidad con la exposición bajo el signo de saturno.</v>
      </c>
      <c r="O189" s="30" t="str">
        <f ca="1">IFERROR(__xludf.DUMMYFUNCTION("""COMPUTED_VALUE"""),"Semanal")</f>
        <v>Semanal</v>
      </c>
      <c r="P189" s="33">
        <f ca="1">IFERROR(__xludf.DUMMYFUNCTION("""COMPUTED_VALUE"""),46117)</f>
        <v>46117</v>
      </c>
      <c r="Q189" s="33">
        <f ca="1">IFERROR(__xludf.DUMMYFUNCTION("""COMPUTED_VALUE"""),46173)</f>
        <v>46173</v>
      </c>
      <c r="R189" s="30">
        <f ca="1">IFERROR(__xludf.DUMMYFUNCTION("""COMPUTED_VALUE"""),5)</f>
        <v>5</v>
      </c>
      <c r="S189" s="30" t="str">
        <f ca="1">IFERROR(__xludf.DUMMYFUNCTION("""COMPUTED_VALUE"""),"Cultura comunitaria")</f>
        <v>Cultura comunitaria</v>
      </c>
      <c r="T189" s="30" t="str">
        <f ca="1">IFERROR(__xludf.DUMMYFUNCTION("""COMPUTED_VALUE"""),"Mediación cultural")</f>
        <v>Mediación cultural</v>
      </c>
      <c r="U189" s="30" t="str">
        <f ca="1">IFERROR(__xludf.DUMMYFUNCTION("""COMPUTED_VALUE"""),"Taller")</f>
        <v>Taller</v>
      </c>
      <c r="V189" s="30" t="str">
        <f ca="1">IFERROR(__xludf.DUMMYFUNCTION("""COMPUTED_VALUE"""),"Ninguna")</f>
        <v>Ninguna</v>
      </c>
      <c r="W189" s="30" t="str">
        <f ca="1">IFERROR(__xludf.DUMMYFUNCTION("""COMPUTED_VALUE"""),"Presencial")</f>
        <v>Presencial</v>
      </c>
      <c r="X189" s="30" t="str">
        <f ca="1">IFERROR(__xludf.DUMMYFUNCTION("""COMPUTED_VALUE"""),"Espacio a Cargo de la Secretaría")</f>
        <v>Espacio a Cargo de la Secretaría</v>
      </c>
      <c r="Y189" s="30" t="str">
        <f ca="1">IFERROR(__xludf.DUMMYFUNCTION("""COMPUTED_VALUE"""),"8")</f>
        <v>8</v>
      </c>
      <c r="Z189" s="30"/>
      <c r="AA189" s="30"/>
      <c r="AB189" s="30" t="b">
        <f ca="1">IFERROR(__xludf.DUMMYFUNCTION("""COMPUTED_VALUE"""),FALSE)</f>
        <v>0</v>
      </c>
      <c r="AC189" s="30"/>
      <c r="AD189" s="30" t="b">
        <f ca="1">IFERROR(__xludf.DUMMYFUNCTION("""COMPUTED_VALUE"""),FALSE)</f>
        <v>0</v>
      </c>
      <c r="AE189" s="30"/>
      <c r="AF189" s="30" t="b">
        <f ca="1">IFERROR(__xludf.DUMMYFUNCTION("""COMPUTED_VALUE"""),FALSE)</f>
        <v>0</v>
      </c>
      <c r="AG189" s="30"/>
      <c r="AH189" s="30" t="str">
        <f ca="1">IFERROR(__xludf.DUMMYFUNCTION("""COMPUTED_VALUE"""),"Sin costo")</f>
        <v>Sin costo</v>
      </c>
      <c r="AI189" s="30"/>
      <c r="AJ189" s="30"/>
      <c r="AK189" s="30"/>
      <c r="AL189" s="30" t="str">
        <f ca="1">IFERROR(__xludf.DUMMYFUNCTION("""COMPUTED_VALUE"""),"ccardonav@guanajuato.gob.mx")</f>
        <v>ccardonav@guanajuato.gob.mx</v>
      </c>
      <c r="AM189" s="30" t="str">
        <f ca="1">IFERROR(__xludf.DUMMYFUNCTION("""COMPUTED_VALUE"""),"Arraigo y empoderamiento cultural de comunidades.")</f>
        <v>Arraigo y empoderamiento cultural de comunidades.</v>
      </c>
      <c r="AN189" s="30" t="str">
        <f ca="1">IFERROR(__xludf.DUMMYFUNCTION("""COMPUTED_VALUE"""),"2 Igualdad")</f>
        <v>2 Igualdad</v>
      </c>
      <c r="AO189" s="30" t="str">
        <f ca="1">IFERROR(__xludf.DUMMYFUNCTION("""COMPUTED_VALUE"""),"2.4 Reducir brechas de desigualdad")</f>
        <v>2.4 Reducir brechas de desigualdad</v>
      </c>
      <c r="AP189" s="30" t="str">
        <f ca="1">IFERROR(__xludf.DUMMYFUNCTION("""COMPUTED_VALUE"""),"2.4.3 Descentralización de la oferta cultural")</f>
        <v>2.4.3 Descentralización de la oferta cultural</v>
      </c>
      <c r="AQ189" s="30" t="str">
        <f ca="1">IFERROR(__xludf.DUMMYFUNCTION("""COMPUTED_VALUE"""),"2.4.3.1 Impulsar el desarrollo artístico y cultural entre infancias y juventudes")</f>
        <v>2.4.3.1 Impulsar el desarrollo artístico y cultural entre infancias y juventudes</v>
      </c>
      <c r="AR189" s="30" t="str">
        <f ca="1">IFERROR(__xludf.DUMMYFUNCTION("""COMPUTED_VALUE"""),"Ninguno")</f>
        <v>Ninguno</v>
      </c>
      <c r="AS189" s="30"/>
      <c r="AT189" s="30" t="str">
        <f ca="1">IFERROR(__xludf.DUMMYFUNCTION("""COMPUTED_VALUE"""),"Fortalecimiento de la participación ciudadana y la mediación cultural")</f>
        <v>Fortalecimiento de la participación ciudadana y la mediación cultural</v>
      </c>
      <c r="AU189" s="30" t="str">
        <f ca="1">IFERROR(__xludf.DUMMYFUNCTION("""COMPUTED_VALUE"""),"Fortalecimiento del diálogo, la mediación y las capacidades de las redes comunitarias.")</f>
        <v>Fortalecimiento del diálogo, la mediación y las capacidades de las redes comunitarias.</v>
      </c>
      <c r="AV18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89" s="30" t="str">
        <f ca="1">IFERROR(__xludf.DUMMYFUNCTION("""COMPUTED_VALUE"""),"Incrementar en 25% la oferta cultural realizada en los municipios.")</f>
        <v>Incrementar en 25% la oferta cultural realizada en los municipios.</v>
      </c>
      <c r="AX189" s="30" t="str">
        <f ca="1">IFERROR(__xludf.DUMMYFUNCTION("""COMPUTED_VALUE"""),"Taller")</f>
        <v>Taller</v>
      </c>
      <c r="AY189" s="30" t="str">
        <f ca="1">IFERROR(__xludf.DUMMYFUNCTION("""COMPUTED_VALUE"""),"Mediación")</f>
        <v>Mediación</v>
      </c>
      <c r="AZ189" s="30"/>
      <c r="BA189" s="30"/>
      <c r="BB189" s="30"/>
      <c r="BC189" s="30">
        <f ca="1">IFERROR(__xludf.DUMMYFUNCTION("""COMPUTED_VALUE"""),0)</f>
        <v>0</v>
      </c>
      <c r="BD189" s="30"/>
      <c r="BE189" s="30"/>
      <c r="BF189" s="30" t="b">
        <f ca="1">IFERROR(__xludf.DUMMYFUNCTION("""COMPUTED_VALUE"""),FALSE)</f>
        <v>0</v>
      </c>
      <c r="BG189" s="30"/>
      <c r="BH189" s="30"/>
      <c r="BI189" s="30"/>
      <c r="BJ189" s="30"/>
      <c r="BK189" s="30"/>
      <c r="BL189" s="30"/>
      <c r="BM189" s="30" t="str">
        <f ca="1">IFERROR(__xludf.DUMMYFUNCTION("""COMPUTED_VALUE"""),"No")</f>
        <v>No</v>
      </c>
      <c r="BN189" s="30"/>
      <c r="BO189" s="30" t="str">
        <f ca="1">IFERROR(__xludf.DUMMYFUNCTION("""COMPUTED_VALUE"""),"5c21f7fc")</f>
        <v>5c21f7fc</v>
      </c>
      <c r="BP189" s="29" t="str">
        <f ca="1">IFERROR(__xludf.DUMMYFUNCTION("""COMPUTED_VALUE"""),"León")</f>
        <v>León</v>
      </c>
      <c r="BQ189" s="30" t="str">
        <f ca="1">IFERROR(__xludf.DUMMYFUNCTION("""COMPUTED_VALUE"""),"Urbano")</f>
        <v>Urbano</v>
      </c>
      <c r="BR189" s="30"/>
      <c r="BS189" s="30"/>
      <c r="BT189" s="30" t="str">
        <f ca="1">IFERROR(__xludf.DUMMYFUNCTION("""COMPUTED_VALUE"""),"La Martinica")</f>
        <v>La Martinica</v>
      </c>
      <c r="BU189" s="30" t="str">
        <f ca="1">IFERROR(__xludf.DUMMYFUNCTION("""COMPUTED_VALUE"""),"No")</f>
        <v>No</v>
      </c>
      <c r="BV189" s="30" t="str">
        <f ca="1">IFERROR(__xludf.DUMMYFUNCTION("""COMPUTED_VALUE"""),"No")</f>
        <v>No</v>
      </c>
      <c r="BW189" s="30">
        <f ca="1">IFERROR(__xludf.DUMMYFUNCTION("""COMPUTED_VALUE"""),20)</f>
        <v>20</v>
      </c>
      <c r="BX189" s="30">
        <f ca="1">IFERROR(__xludf.DUMMYFUNCTION("""COMPUTED_VALUE"""),20)</f>
        <v>20</v>
      </c>
      <c r="BY189" s="30">
        <f ca="1">IFERROR(__xludf.DUMMYFUNCTION("""COMPUTED_VALUE"""),0)</f>
        <v>0</v>
      </c>
      <c r="BZ189" s="30" t="str">
        <f ca="1">IFERROR(__xludf.DUMMYFUNCTION("""COMPUTED_VALUE"""),"La Martinica")</f>
        <v>La Martinica</v>
      </c>
      <c r="CA189" s="30" t="str">
        <f ca="1">IFERROR(__xludf.DUMMYFUNCTION("""COMPUTED_VALUE"""),"No")</f>
        <v>No</v>
      </c>
      <c r="CB189" s="30" t="str">
        <f ca="1">IFERROR(__xludf.DUMMYFUNCTION("""COMPUTED_VALUE"""),"No")</f>
        <v>No</v>
      </c>
      <c r="CC189" s="30" t="str">
        <f ca="1">IFERROR(__xludf.DUMMYFUNCTION("""COMPUTED_VALUE"""),"c65fa499")</f>
        <v>c65fa499</v>
      </c>
      <c r="CD189" s="29" t="str">
        <f ca="1">IFERROR(__xludf.DUMMYFUNCTION("""COMPUTED_VALUE"""),"Adultos (30 a 59 años)")</f>
        <v>Adultos (30 a 59 años)</v>
      </c>
      <c r="CE189" s="30" t="str">
        <f ca="1">IFERROR(__xludf.DUMMYFUNCTION("""COMPUTED_VALUE"""),"Dato global")</f>
        <v>Dato global</v>
      </c>
      <c r="CF189" s="30" t="str">
        <f ca="1">IFERROR(__xludf.DUMMYFUNCTION("""COMPUTED_VALUE"""),"Ninguno (Población General)")</f>
        <v>Ninguno (Población General)</v>
      </c>
      <c r="CG189" s="30">
        <f ca="1">IFERROR(__xludf.DUMMYFUNCTION("""COMPUTED_VALUE"""),134)</f>
        <v>134</v>
      </c>
      <c r="CI189" s="30" t="str">
        <f ca="1">IFERROR(__xludf.DUMMYFUNCTION("""COMPUTED_VALUE"""),"b7604882")</f>
        <v>b7604882</v>
      </c>
      <c r="CJ189" s="29" t="str">
        <f ca="1">IFERROR(__xludf.DUMMYFUNCTION("""COMPUTED_VALUE"""),"Regitro_Evidencia_Images/b7604882.Archivo_Evidencia.225817.jpg")</f>
        <v>Regitro_Evidencia_Images/b7604882.Archivo_Evidencia.225817.jpg</v>
      </c>
      <c r="CK189" s="30" t="str">
        <f ca="1">IFERROR(__xludf.DUMMYFUNCTION("""COMPUTED_VALUE"""),"Foto")</f>
        <v>Foto</v>
      </c>
      <c r="CL189" s="30"/>
      <c r="CM189" s="30" t="str">
        <f ca="1">IFERROR(__xludf.DUMMYFUNCTION("""COMPUTED_VALUE"""),"León")</f>
        <v>León</v>
      </c>
      <c r="CN189" s="32" t="e">
        <f ca="1"/>
        <v>#NAME?</v>
      </c>
      <c r="CO189" s="32" t="e">
        <f ca="1"/>
        <v>#NAME?</v>
      </c>
      <c r="CP189" s="32" t="e">
        <f ca="1"/>
        <v>#NAME?</v>
      </c>
      <c r="CQ189" s="32" t="e">
        <f ca="1"/>
        <v>#NAME?</v>
      </c>
      <c r="CR189" s="30" t="e">
        <f ca="1"/>
        <v>#NAME?</v>
      </c>
      <c r="CS189" s="30" t="str">
        <f ca="1">IFERROR(__xludf.DUMMYFUNCTION("""COMPUTED_VALUE"""),"Ninguno (Población General)")</f>
        <v>Ninguno (Población General)</v>
      </c>
    </row>
    <row r="190" spans="1:97" ht="13">
      <c r="A190" s="29" t="str">
        <f ca="1">IFERROR(__xludf.DUMMYFUNCTION("""COMPUTED_VALUE"""),"ACT-SCVH91156")</f>
        <v>ACT-SCVH91156</v>
      </c>
      <c r="B190" s="30" t="str">
        <f ca="1">IFERROR(__xludf.DUMMYFUNCTION("""COMPUTED_VALUE"""),"SC-260705-122110")</f>
        <v>SC-260705-122110</v>
      </c>
      <c r="C190" s="62">
        <f ca="1">IFERROR(__xludf.DUMMYFUNCTION("""COMPUTED_VALUE"""),46208.514699074)</f>
        <v>46208.514699074003</v>
      </c>
      <c r="D190" s="30">
        <f ca="1">IFERROR(__xludf.DUMMYFUNCTION("""COMPUTED_VALUE"""),92)</f>
        <v>92</v>
      </c>
      <c r="E190" s="30" t="str">
        <f ca="1">IFERROR(__xludf.DUMMYFUNCTION("""COMPUTED_VALUE"""),"PB3572")</f>
        <v>PB3572</v>
      </c>
      <c r="F19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0" s="30" t="str">
        <f ca="1">IFERROR(__xludf.DUMMYFUNCTION("""COMPUTED_VALUE"""),"SUBSECRETARÍA DE DESARROLLO Y PROMOCIÓN ARTÍSTICA Y CULTURAL")</f>
        <v>SUBSECRETARÍA DE DESARROLLO Y PROMOCIÓN ARTÍSTICA Y CULTURAL</v>
      </c>
      <c r="I190" s="34" t="str">
        <f ca="1">IFERROR(__xludf.DUMMYFUNCTION("""COMPUTED_VALUE"""),"DIRECCIÓN GENERAL DE MUSEOS, ARTES VISUALES Y EXPOSICIONES")</f>
        <v>DIRECCIÓN GENERAL DE MUSEOS, ARTES VISUALES Y EXPOSICIONES</v>
      </c>
      <c r="J190" s="30" t="str">
        <f ca="1">IFERROR(__xludf.DUMMYFUNCTION("""COMPUTED_VALUE"""),"Número de Actividades realizadas")</f>
        <v>Número de Actividades realizadas</v>
      </c>
      <c r="K190" s="30">
        <f ca="1">IFERROR(__xludf.DUMMYFUNCTION("""COMPUTED_VALUE"""),800)</f>
        <v>800</v>
      </c>
      <c r="L190" s="30" t="str">
        <f ca="1">IFERROR(__xludf.DUMMYFUNCTION("""COMPUTED_VALUE"""),"Artística")</f>
        <v>Artística</v>
      </c>
      <c r="M190" s="30" t="str">
        <f ca="1">IFERROR(__xludf.DUMMYFUNCTION("""COMPUTED_VALUE"""),"Topoto estelar")</f>
        <v>Topoto estelar</v>
      </c>
      <c r="N190" s="30" t="str">
        <f ca="1">IFERROR(__xludf.DUMMYFUNCTION("""COMPUTED_VALUE"""),"Actividad artística de taller familiar, corresponsabilidad con la exposición bajo el signo de saturno.")</f>
        <v>Actividad artística de taller familiar, corresponsabilidad con la exposición bajo el signo de saturno.</v>
      </c>
      <c r="O190" s="30" t="str">
        <f ca="1">IFERROR(__xludf.DUMMYFUNCTION("""COMPUTED_VALUE"""),"Semanal")</f>
        <v>Semanal</v>
      </c>
      <c r="P190" s="33">
        <f ca="1">IFERROR(__xludf.DUMMYFUNCTION("""COMPUTED_VALUE"""),46118)</f>
        <v>46118</v>
      </c>
      <c r="Q190" s="33">
        <f ca="1">IFERROR(__xludf.DUMMYFUNCTION("""COMPUTED_VALUE"""),46173)</f>
        <v>46173</v>
      </c>
      <c r="R190" s="30">
        <f ca="1">IFERROR(__xludf.DUMMYFUNCTION("""COMPUTED_VALUE"""),4)</f>
        <v>4</v>
      </c>
      <c r="S190" s="30" t="str">
        <f ca="1">IFERROR(__xludf.DUMMYFUNCTION("""COMPUTED_VALUE"""),"Cultura comunitaria")</f>
        <v>Cultura comunitaria</v>
      </c>
      <c r="T190" s="30" t="str">
        <f ca="1">IFERROR(__xludf.DUMMYFUNCTION("""COMPUTED_VALUE"""),"Mediación cultural")</f>
        <v>Mediación cultural</v>
      </c>
      <c r="U190" s="30" t="str">
        <f ca="1">IFERROR(__xludf.DUMMYFUNCTION("""COMPUTED_VALUE"""),"Taller")</f>
        <v>Taller</v>
      </c>
      <c r="V190" s="30" t="str">
        <f ca="1">IFERROR(__xludf.DUMMYFUNCTION("""COMPUTED_VALUE"""),"Ninguna")</f>
        <v>Ninguna</v>
      </c>
      <c r="W190" s="30" t="str">
        <f ca="1">IFERROR(__xludf.DUMMYFUNCTION("""COMPUTED_VALUE"""),"Presencial")</f>
        <v>Presencial</v>
      </c>
      <c r="X190" s="30" t="str">
        <f ca="1">IFERROR(__xludf.DUMMYFUNCTION("""COMPUTED_VALUE"""),"Espacio a Cargo de la Secretaría")</f>
        <v>Espacio a Cargo de la Secretaría</v>
      </c>
      <c r="Y190" s="30" t="str">
        <f ca="1">IFERROR(__xludf.DUMMYFUNCTION("""COMPUTED_VALUE"""),"8")</f>
        <v>8</v>
      </c>
      <c r="Z190" s="30"/>
      <c r="AA190" s="30"/>
      <c r="AB190" s="30" t="b">
        <f ca="1">IFERROR(__xludf.DUMMYFUNCTION("""COMPUTED_VALUE"""),FALSE)</f>
        <v>0</v>
      </c>
      <c r="AC190" s="30"/>
      <c r="AD190" s="30" t="b">
        <f ca="1">IFERROR(__xludf.DUMMYFUNCTION("""COMPUTED_VALUE"""),FALSE)</f>
        <v>0</v>
      </c>
      <c r="AE190" s="30"/>
      <c r="AF190" s="30" t="b">
        <f ca="1">IFERROR(__xludf.DUMMYFUNCTION("""COMPUTED_VALUE"""),FALSE)</f>
        <v>0</v>
      </c>
      <c r="AG190" s="30"/>
      <c r="AH190" s="30" t="str">
        <f ca="1">IFERROR(__xludf.DUMMYFUNCTION("""COMPUTED_VALUE"""),"Sin costo")</f>
        <v>Sin costo</v>
      </c>
      <c r="AI190" s="30"/>
      <c r="AJ190" s="30"/>
      <c r="AK190" s="30"/>
      <c r="AL190" s="30" t="str">
        <f ca="1">IFERROR(__xludf.DUMMYFUNCTION("""COMPUTED_VALUE"""),"ccardonav@guanajuato.gob.mx")</f>
        <v>ccardonav@guanajuato.gob.mx</v>
      </c>
      <c r="AM190" s="30" t="str">
        <f ca="1">IFERROR(__xludf.DUMMYFUNCTION("""COMPUTED_VALUE"""),"Arraigo y empoderamiento cultural de comunidades.")</f>
        <v>Arraigo y empoderamiento cultural de comunidades.</v>
      </c>
      <c r="AN190" s="30" t="str">
        <f ca="1">IFERROR(__xludf.DUMMYFUNCTION("""COMPUTED_VALUE"""),"2 Igualdad")</f>
        <v>2 Igualdad</v>
      </c>
      <c r="AO190" s="30" t="str">
        <f ca="1">IFERROR(__xludf.DUMMYFUNCTION("""COMPUTED_VALUE"""),"2.4 Reducir brechas de desigualdad")</f>
        <v>2.4 Reducir brechas de desigualdad</v>
      </c>
      <c r="AP190" s="30" t="str">
        <f ca="1">IFERROR(__xludf.DUMMYFUNCTION("""COMPUTED_VALUE"""),"2.4.3 Descentralización de la oferta cultural")</f>
        <v>2.4.3 Descentralización de la oferta cultural</v>
      </c>
      <c r="AQ190" s="30" t="str">
        <f ca="1">IFERROR(__xludf.DUMMYFUNCTION("""COMPUTED_VALUE"""),"2.4.3.1 Impulsar el desarrollo artístico y cultural entre infancias y juventudes")</f>
        <v>2.4.3.1 Impulsar el desarrollo artístico y cultural entre infancias y juventudes</v>
      </c>
      <c r="AR190" s="30" t="str">
        <f ca="1">IFERROR(__xludf.DUMMYFUNCTION("""COMPUTED_VALUE"""),"Ninguno")</f>
        <v>Ninguno</v>
      </c>
      <c r="AS190" s="30"/>
      <c r="AT190" s="30" t="str">
        <f ca="1">IFERROR(__xludf.DUMMYFUNCTION("""COMPUTED_VALUE"""),"Fortalecimiento de la participación ciudadana y la mediación cultural")</f>
        <v>Fortalecimiento de la participación ciudadana y la mediación cultural</v>
      </c>
      <c r="AU190" s="30" t="str">
        <f ca="1">IFERROR(__xludf.DUMMYFUNCTION("""COMPUTED_VALUE"""),"Fortalecimiento del diálogo, la mediación y las capacidades de las redes comunitarias.")</f>
        <v>Fortalecimiento del diálogo, la mediación y las capacidades de las redes comunitarias.</v>
      </c>
      <c r="AV190"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0" s="30" t="str">
        <f ca="1">IFERROR(__xludf.DUMMYFUNCTION("""COMPUTED_VALUE"""),"Incrementar en 25% la oferta cultural realizada en los municipios.")</f>
        <v>Incrementar en 25% la oferta cultural realizada en los municipios.</v>
      </c>
      <c r="AX190" s="30" t="str">
        <f ca="1">IFERROR(__xludf.DUMMYFUNCTION("""COMPUTED_VALUE"""),"Taller")</f>
        <v>Taller</v>
      </c>
      <c r="AY190" s="30" t="str">
        <f ca="1">IFERROR(__xludf.DUMMYFUNCTION("""COMPUTED_VALUE"""),"Mediación")</f>
        <v>Mediación</v>
      </c>
      <c r="AZ190" s="30"/>
      <c r="BA190" s="30"/>
      <c r="BB190" s="30"/>
      <c r="BC190" s="30">
        <f ca="1">IFERROR(__xludf.DUMMYFUNCTION("""COMPUTED_VALUE"""),0)</f>
        <v>0</v>
      </c>
      <c r="BD190" s="30"/>
      <c r="BE190" s="30"/>
      <c r="BF190" s="30" t="b">
        <f ca="1">IFERROR(__xludf.DUMMYFUNCTION("""COMPUTED_VALUE"""),FALSE)</f>
        <v>0</v>
      </c>
      <c r="BG190" s="30"/>
      <c r="BH190" s="30"/>
      <c r="BI190" s="30"/>
      <c r="BJ190" s="30"/>
      <c r="BK190" s="30"/>
      <c r="BL190" s="30"/>
      <c r="BM190" s="30" t="str">
        <f ca="1">IFERROR(__xludf.DUMMYFUNCTION("""COMPUTED_VALUE"""),"No")</f>
        <v>No</v>
      </c>
      <c r="BN190" s="30"/>
      <c r="BO190" s="30" t="str">
        <f ca="1">IFERROR(__xludf.DUMMYFUNCTION("""COMPUTED_VALUE"""),"23ae19ac")</f>
        <v>23ae19ac</v>
      </c>
      <c r="BP190" s="29" t="str">
        <f ca="1">IFERROR(__xludf.DUMMYFUNCTION("""COMPUTED_VALUE"""),"León")</f>
        <v>León</v>
      </c>
      <c r="BQ190" s="30" t="str">
        <f ca="1">IFERROR(__xludf.DUMMYFUNCTION("""COMPUTED_VALUE"""),"Urbano")</f>
        <v>Urbano</v>
      </c>
      <c r="BR190" s="30"/>
      <c r="BS190" s="30"/>
      <c r="BT190" s="30" t="str">
        <f ca="1">IFERROR(__xludf.DUMMYFUNCTION("""COMPUTED_VALUE"""),"La Martinica")</f>
        <v>La Martinica</v>
      </c>
      <c r="BU190" s="30" t="str">
        <f ca="1">IFERROR(__xludf.DUMMYFUNCTION("""COMPUTED_VALUE"""),"No")</f>
        <v>No</v>
      </c>
      <c r="BV190" s="30" t="str">
        <f ca="1">IFERROR(__xludf.DUMMYFUNCTION("""COMPUTED_VALUE"""),"No")</f>
        <v>No</v>
      </c>
      <c r="BW190" s="30">
        <f ca="1">IFERROR(__xludf.DUMMYFUNCTION("""COMPUTED_VALUE"""),45)</f>
        <v>45</v>
      </c>
      <c r="BX190" s="30">
        <f ca="1">IFERROR(__xludf.DUMMYFUNCTION("""COMPUTED_VALUE"""),45)</f>
        <v>45</v>
      </c>
      <c r="BY190" s="30">
        <f ca="1">IFERROR(__xludf.DUMMYFUNCTION("""COMPUTED_VALUE"""),0)</f>
        <v>0</v>
      </c>
      <c r="BZ190" s="30" t="str">
        <f ca="1">IFERROR(__xludf.DUMMYFUNCTION("""COMPUTED_VALUE"""),"La Martinica")</f>
        <v>La Martinica</v>
      </c>
      <c r="CA190" s="30" t="str">
        <f ca="1">IFERROR(__xludf.DUMMYFUNCTION("""COMPUTED_VALUE"""),"No")</f>
        <v>No</v>
      </c>
      <c r="CB190" s="30" t="str">
        <f ca="1">IFERROR(__xludf.DUMMYFUNCTION("""COMPUTED_VALUE"""),"No")</f>
        <v>No</v>
      </c>
      <c r="CC190" s="30" t="str">
        <f ca="1">IFERROR(__xludf.DUMMYFUNCTION("""COMPUTED_VALUE"""),"aac7893e")</f>
        <v>aac7893e</v>
      </c>
      <c r="CD190" s="29" t="str">
        <f ca="1">IFERROR(__xludf.DUMMYFUNCTION("""COMPUTED_VALUE"""),"Adultos (30 a 59 años)")</f>
        <v>Adultos (30 a 59 años)</v>
      </c>
      <c r="CE190" s="30" t="str">
        <f ca="1">IFERROR(__xludf.DUMMYFUNCTION("""COMPUTED_VALUE"""),"Dato global")</f>
        <v>Dato global</v>
      </c>
      <c r="CF190" s="30" t="str">
        <f ca="1">IFERROR(__xludf.DUMMYFUNCTION("""COMPUTED_VALUE"""),"Ninguno (Población General)")</f>
        <v>Ninguno (Población General)</v>
      </c>
      <c r="CG190" s="30">
        <f ca="1">IFERROR(__xludf.DUMMYFUNCTION("""COMPUTED_VALUE"""),103)</f>
        <v>103</v>
      </c>
      <c r="CI190" s="30" t="str">
        <f ca="1">IFERROR(__xludf.DUMMYFUNCTION("""COMPUTED_VALUE"""),"bb24487d")</f>
        <v>bb24487d</v>
      </c>
      <c r="CJ190" s="29" t="str">
        <f ca="1">IFERROR(__xludf.DUMMYFUNCTION("""COMPUTED_VALUE"""),"Regitro_Evidencia_Images/bb24487d.Archivo_Evidencia.230243.jpg")</f>
        <v>Regitro_Evidencia_Images/bb24487d.Archivo_Evidencia.230243.jpg</v>
      </c>
      <c r="CK190" s="30" t="str">
        <f ca="1">IFERROR(__xludf.DUMMYFUNCTION("""COMPUTED_VALUE"""),"Foto")</f>
        <v>Foto</v>
      </c>
      <c r="CL190" s="30"/>
      <c r="CM190" s="30" t="str">
        <f ca="1">IFERROR(__xludf.DUMMYFUNCTION("""COMPUTED_VALUE"""),"León")</f>
        <v>León</v>
      </c>
      <c r="CN190" s="32" t="e">
        <f ca="1"/>
        <v>#NAME?</v>
      </c>
      <c r="CO190" s="32" t="e">
        <f ca="1"/>
        <v>#NAME?</v>
      </c>
      <c r="CP190" s="32" t="e">
        <f ca="1"/>
        <v>#NAME?</v>
      </c>
      <c r="CQ190" s="32" t="e">
        <f ca="1"/>
        <v>#NAME?</v>
      </c>
      <c r="CR190" s="30" t="e">
        <f ca="1"/>
        <v>#NAME?</v>
      </c>
      <c r="CS190" s="30" t="str">
        <f ca="1">IFERROR(__xludf.DUMMYFUNCTION("""COMPUTED_VALUE"""),"Ninguno (Población General)")</f>
        <v>Ninguno (Población General)</v>
      </c>
    </row>
    <row r="191" spans="1:97" ht="13">
      <c r="A191" s="29" t="str">
        <f ca="1">IFERROR(__xludf.DUMMYFUNCTION("""COMPUTED_VALUE"""),"ACT-SCLB21945")</f>
        <v>ACT-SCLB21945</v>
      </c>
      <c r="B191" s="30" t="str">
        <f ca="1">IFERROR(__xludf.DUMMYFUNCTION("""COMPUTED_VALUE"""),"SC-260705-122627")</f>
        <v>SC-260705-122627</v>
      </c>
      <c r="C191" s="62">
        <f ca="1">IFERROR(__xludf.DUMMYFUNCTION("""COMPUTED_VALUE"""),46208.5183680555)</f>
        <v>46208.518368055498</v>
      </c>
      <c r="D191" s="30">
        <f ca="1">IFERROR(__xludf.DUMMYFUNCTION("""COMPUTED_VALUE"""),92)</f>
        <v>92</v>
      </c>
      <c r="E191" s="30" t="str">
        <f ca="1">IFERROR(__xludf.DUMMYFUNCTION("""COMPUTED_VALUE"""),"PB3572")</f>
        <v>PB3572</v>
      </c>
      <c r="F19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1" s="30" t="str">
        <f ca="1">IFERROR(__xludf.DUMMYFUNCTION("""COMPUTED_VALUE"""),"SUBSECRETARÍA DE DESARROLLO Y PROMOCIÓN ARTÍSTICA Y CULTURAL")</f>
        <v>SUBSECRETARÍA DE DESARROLLO Y PROMOCIÓN ARTÍSTICA Y CULTURAL</v>
      </c>
      <c r="I191" s="34" t="str">
        <f ca="1">IFERROR(__xludf.DUMMYFUNCTION("""COMPUTED_VALUE"""),"DIRECCIÓN GENERAL DE MUSEOS, ARTES VISUALES Y EXPOSICIONES")</f>
        <v>DIRECCIÓN GENERAL DE MUSEOS, ARTES VISUALES Y EXPOSICIONES</v>
      </c>
      <c r="J191" s="30" t="str">
        <f ca="1">IFERROR(__xludf.DUMMYFUNCTION("""COMPUTED_VALUE"""),"Número de Actividades realizadas")</f>
        <v>Número de Actividades realizadas</v>
      </c>
      <c r="K191" s="30">
        <f ca="1">IFERROR(__xludf.DUMMYFUNCTION("""COMPUTED_VALUE"""),800)</f>
        <v>800</v>
      </c>
      <c r="L191" s="30" t="str">
        <f ca="1">IFERROR(__xludf.DUMMYFUNCTION("""COMPUTED_VALUE"""),"Artística")</f>
        <v>Artística</v>
      </c>
      <c r="M191" s="30" t="str">
        <f ca="1">IFERROR(__xludf.DUMMYFUNCTION("""COMPUTED_VALUE"""),"El futuro en la palma de tu mano")</f>
        <v>El futuro en la palma de tu mano</v>
      </c>
      <c r="N191" s="30" t="str">
        <f ca="1">IFERROR(__xludf.DUMMYFUNCTION("""COMPUTED_VALUE"""),"Actividad artística de taller familiar, corresponsabilidad con la exposición bajo el signo de saturno.")</f>
        <v>Actividad artística de taller familiar, corresponsabilidad con la exposición bajo el signo de saturno.</v>
      </c>
      <c r="O191" s="30" t="str">
        <f ca="1">IFERROR(__xludf.DUMMYFUNCTION("""COMPUTED_VALUE"""),"Semanal")</f>
        <v>Semanal</v>
      </c>
      <c r="P191" s="33">
        <f ca="1">IFERROR(__xludf.DUMMYFUNCTION("""COMPUTED_VALUE"""),46119)</f>
        <v>46119</v>
      </c>
      <c r="Q191" s="33">
        <f ca="1">IFERROR(__xludf.DUMMYFUNCTION("""COMPUTED_VALUE"""),46173)</f>
        <v>46173</v>
      </c>
      <c r="R191" s="30">
        <f ca="1">IFERROR(__xludf.DUMMYFUNCTION("""COMPUTED_VALUE"""),7)</f>
        <v>7</v>
      </c>
      <c r="S191" s="30" t="str">
        <f ca="1">IFERROR(__xludf.DUMMYFUNCTION("""COMPUTED_VALUE"""),"Cultura comunitaria")</f>
        <v>Cultura comunitaria</v>
      </c>
      <c r="T191" s="30" t="str">
        <f ca="1">IFERROR(__xludf.DUMMYFUNCTION("""COMPUTED_VALUE"""),"Mediación cultural")</f>
        <v>Mediación cultural</v>
      </c>
      <c r="U191" s="30" t="str">
        <f ca="1">IFERROR(__xludf.DUMMYFUNCTION("""COMPUTED_VALUE"""),"Taller")</f>
        <v>Taller</v>
      </c>
      <c r="V191" s="30" t="str">
        <f ca="1">IFERROR(__xludf.DUMMYFUNCTION("""COMPUTED_VALUE"""),"Ninguna")</f>
        <v>Ninguna</v>
      </c>
      <c r="W191" s="30" t="str">
        <f ca="1">IFERROR(__xludf.DUMMYFUNCTION("""COMPUTED_VALUE"""),"Presencial")</f>
        <v>Presencial</v>
      </c>
      <c r="X191" s="30" t="str">
        <f ca="1">IFERROR(__xludf.DUMMYFUNCTION("""COMPUTED_VALUE"""),"Espacio a Cargo de la Secretaría")</f>
        <v>Espacio a Cargo de la Secretaría</v>
      </c>
      <c r="Y191" s="30" t="str">
        <f ca="1">IFERROR(__xludf.DUMMYFUNCTION("""COMPUTED_VALUE"""),"8")</f>
        <v>8</v>
      </c>
      <c r="Z191" s="30"/>
      <c r="AA191" s="30"/>
      <c r="AB191" s="30" t="b">
        <f ca="1">IFERROR(__xludf.DUMMYFUNCTION("""COMPUTED_VALUE"""),FALSE)</f>
        <v>0</v>
      </c>
      <c r="AC191" s="30"/>
      <c r="AD191" s="30" t="b">
        <f ca="1">IFERROR(__xludf.DUMMYFUNCTION("""COMPUTED_VALUE"""),FALSE)</f>
        <v>0</v>
      </c>
      <c r="AE191" s="30"/>
      <c r="AF191" s="30" t="b">
        <f ca="1">IFERROR(__xludf.DUMMYFUNCTION("""COMPUTED_VALUE"""),FALSE)</f>
        <v>0</v>
      </c>
      <c r="AG191" s="30"/>
      <c r="AH191" s="30" t="str">
        <f ca="1">IFERROR(__xludf.DUMMYFUNCTION("""COMPUTED_VALUE"""),"Sin costo")</f>
        <v>Sin costo</v>
      </c>
      <c r="AI191" s="30"/>
      <c r="AJ191" s="30"/>
      <c r="AK191" s="30"/>
      <c r="AL191" s="30" t="str">
        <f ca="1">IFERROR(__xludf.DUMMYFUNCTION("""COMPUTED_VALUE"""),"ccardonav@guanajuato.gob.mx")</f>
        <v>ccardonav@guanajuato.gob.mx</v>
      </c>
      <c r="AM191" s="30" t="str">
        <f ca="1">IFERROR(__xludf.DUMMYFUNCTION("""COMPUTED_VALUE"""),"Arraigo y empoderamiento cultural de comunidades.")</f>
        <v>Arraigo y empoderamiento cultural de comunidades.</v>
      </c>
      <c r="AN191" s="30" t="str">
        <f ca="1">IFERROR(__xludf.DUMMYFUNCTION("""COMPUTED_VALUE"""),"2 Igualdad")</f>
        <v>2 Igualdad</v>
      </c>
      <c r="AO191" s="30" t="str">
        <f ca="1">IFERROR(__xludf.DUMMYFUNCTION("""COMPUTED_VALUE"""),"2.4 Reducir brechas de desigualdad")</f>
        <v>2.4 Reducir brechas de desigualdad</v>
      </c>
      <c r="AP191" s="30" t="str">
        <f ca="1">IFERROR(__xludf.DUMMYFUNCTION("""COMPUTED_VALUE"""),"2.4.3 Descentralización de la oferta cultural")</f>
        <v>2.4.3 Descentralización de la oferta cultural</v>
      </c>
      <c r="AQ191" s="30" t="str">
        <f ca="1">IFERROR(__xludf.DUMMYFUNCTION("""COMPUTED_VALUE"""),"2.4.3.1 Impulsar el desarrollo artístico y cultural entre infancias y juventudes")</f>
        <v>2.4.3.1 Impulsar el desarrollo artístico y cultural entre infancias y juventudes</v>
      </c>
      <c r="AR191" s="30" t="str">
        <f ca="1">IFERROR(__xludf.DUMMYFUNCTION("""COMPUTED_VALUE"""),"Ninguno")</f>
        <v>Ninguno</v>
      </c>
      <c r="AS191" s="30"/>
      <c r="AT191" s="30" t="str">
        <f ca="1">IFERROR(__xludf.DUMMYFUNCTION("""COMPUTED_VALUE"""),"Fortalecimiento de la participación ciudadana y la mediación cultural")</f>
        <v>Fortalecimiento de la participación ciudadana y la mediación cultural</v>
      </c>
      <c r="AU191" s="30" t="str">
        <f ca="1">IFERROR(__xludf.DUMMYFUNCTION("""COMPUTED_VALUE"""),"Fortalecimiento del diálogo, la mediación y las capacidades de las redes comunitarias.")</f>
        <v>Fortalecimiento del diálogo, la mediación y las capacidades de las redes comunitarias.</v>
      </c>
      <c r="AV19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1" s="30" t="str">
        <f ca="1">IFERROR(__xludf.DUMMYFUNCTION("""COMPUTED_VALUE"""),"Incrementar en 25% la oferta cultural realizada en los municipios.")</f>
        <v>Incrementar en 25% la oferta cultural realizada en los municipios.</v>
      </c>
      <c r="AX191" s="30" t="str">
        <f ca="1">IFERROR(__xludf.DUMMYFUNCTION("""COMPUTED_VALUE"""),"Taller")</f>
        <v>Taller</v>
      </c>
      <c r="AY191" s="30" t="str">
        <f ca="1">IFERROR(__xludf.DUMMYFUNCTION("""COMPUTED_VALUE"""),"Mediación")</f>
        <v>Mediación</v>
      </c>
      <c r="AZ191" s="30"/>
      <c r="BA191" s="30"/>
      <c r="BB191" s="30"/>
      <c r="BC191" s="30">
        <f ca="1">IFERROR(__xludf.DUMMYFUNCTION("""COMPUTED_VALUE"""),0)</f>
        <v>0</v>
      </c>
      <c r="BD191" s="30"/>
      <c r="BE191" s="30"/>
      <c r="BF191" s="30" t="b">
        <f ca="1">IFERROR(__xludf.DUMMYFUNCTION("""COMPUTED_VALUE"""),FALSE)</f>
        <v>0</v>
      </c>
      <c r="BG191" s="30"/>
      <c r="BH191" s="30"/>
      <c r="BI191" s="30"/>
      <c r="BJ191" s="30"/>
      <c r="BK191" s="30"/>
      <c r="BL191" s="30"/>
      <c r="BM191" s="30" t="str">
        <f ca="1">IFERROR(__xludf.DUMMYFUNCTION("""COMPUTED_VALUE"""),"No")</f>
        <v>No</v>
      </c>
      <c r="BN191" s="30"/>
      <c r="BO191" s="30" t="str">
        <f ca="1">IFERROR(__xludf.DUMMYFUNCTION("""COMPUTED_VALUE"""),"a07f9b5e")</f>
        <v>a07f9b5e</v>
      </c>
      <c r="BP191" s="29" t="str">
        <f ca="1">IFERROR(__xludf.DUMMYFUNCTION("""COMPUTED_VALUE"""),"León")</f>
        <v>León</v>
      </c>
      <c r="BQ191" s="30" t="str">
        <f ca="1">IFERROR(__xludf.DUMMYFUNCTION("""COMPUTED_VALUE"""),"Urbano")</f>
        <v>Urbano</v>
      </c>
      <c r="BR191" s="30"/>
      <c r="BS191" s="30"/>
      <c r="BT191" s="30" t="str">
        <f ca="1">IFERROR(__xludf.DUMMYFUNCTION("""COMPUTED_VALUE"""),"La Martinica")</f>
        <v>La Martinica</v>
      </c>
      <c r="BU191" s="30" t="str">
        <f ca="1">IFERROR(__xludf.DUMMYFUNCTION("""COMPUTED_VALUE"""),"No")</f>
        <v>No</v>
      </c>
      <c r="BV191" s="30" t="str">
        <f ca="1">IFERROR(__xludf.DUMMYFUNCTION("""COMPUTED_VALUE"""),"No")</f>
        <v>No</v>
      </c>
      <c r="BW191" s="30">
        <f ca="1">IFERROR(__xludf.DUMMYFUNCTION("""COMPUTED_VALUE"""),50)</f>
        <v>50</v>
      </c>
      <c r="BX191" s="30"/>
      <c r="BY191" s="30">
        <f ca="1">IFERROR(__xludf.DUMMYFUNCTION("""COMPUTED_VALUE"""),50)</f>
        <v>50</v>
      </c>
      <c r="BZ191" s="30" t="str">
        <f ca="1">IFERROR(__xludf.DUMMYFUNCTION("""COMPUTED_VALUE"""),"La Martinica")</f>
        <v>La Martinica</v>
      </c>
      <c r="CA191" s="30" t="str">
        <f ca="1">IFERROR(__xludf.DUMMYFUNCTION("""COMPUTED_VALUE"""),"No")</f>
        <v>No</v>
      </c>
      <c r="CB191" s="30" t="str">
        <f ca="1">IFERROR(__xludf.DUMMYFUNCTION("""COMPUTED_VALUE"""),"No")</f>
        <v>No</v>
      </c>
      <c r="CC191" s="30" t="str">
        <f ca="1">IFERROR(__xludf.DUMMYFUNCTION("""COMPUTED_VALUE"""),"488a42e9")</f>
        <v>488a42e9</v>
      </c>
      <c r="CD191" s="29" t="str">
        <f ca="1">IFERROR(__xludf.DUMMYFUNCTION("""COMPUTED_VALUE"""),"Jóvenes (18 a 29 años)")</f>
        <v>Jóvenes (18 a 29 años)</v>
      </c>
      <c r="CE191" s="30" t="str">
        <f ca="1">IFERROR(__xludf.DUMMYFUNCTION("""COMPUTED_VALUE"""),"Dato global")</f>
        <v>Dato global</v>
      </c>
      <c r="CF191" s="30" t="str">
        <f ca="1">IFERROR(__xludf.DUMMYFUNCTION("""COMPUTED_VALUE"""),"Ninguno (Población General)")</f>
        <v>Ninguno (Población General)</v>
      </c>
      <c r="CG191" s="30">
        <f ca="1">IFERROR(__xludf.DUMMYFUNCTION("""COMPUTED_VALUE"""),5)</f>
        <v>5</v>
      </c>
      <c r="CI191" s="30" t="str">
        <f ca="1">IFERROR(__xludf.DUMMYFUNCTION("""COMPUTED_VALUE"""),"ef6dfb93")</f>
        <v>ef6dfb93</v>
      </c>
      <c r="CJ191" s="29" t="str">
        <f ca="1">IFERROR(__xludf.DUMMYFUNCTION("""COMPUTED_VALUE"""),"Regitro_Evidencia_Images/ef6dfb93.Archivo_Evidencia.181506.jpg")</f>
        <v>Regitro_Evidencia_Images/ef6dfb93.Archivo_Evidencia.181506.jpg</v>
      </c>
      <c r="CK191" s="30" t="str">
        <f ca="1">IFERROR(__xludf.DUMMYFUNCTION("""COMPUTED_VALUE"""),"Foto")</f>
        <v>Foto</v>
      </c>
      <c r="CL191" s="30"/>
      <c r="CM191" s="30" t="str">
        <f ca="1">IFERROR(__xludf.DUMMYFUNCTION("""COMPUTED_VALUE"""),"León")</f>
        <v>León</v>
      </c>
      <c r="CN191" s="32" t="e">
        <f ca="1"/>
        <v>#NAME?</v>
      </c>
      <c r="CO191" s="32" t="e">
        <f ca="1"/>
        <v>#NAME?</v>
      </c>
      <c r="CP191" s="32" t="e">
        <f ca="1"/>
        <v>#NAME?</v>
      </c>
      <c r="CQ191" s="32" t="e">
        <f ca="1"/>
        <v>#NAME?</v>
      </c>
      <c r="CR191" s="30" t="e">
        <f ca="1"/>
        <v>#NAME?</v>
      </c>
      <c r="CS191" s="30" t="str">
        <f ca="1">IFERROR(__xludf.DUMMYFUNCTION("""COMPUTED_VALUE"""),"Ninguno (Población General), Ninguno (Población General)")</f>
        <v>Ninguno (Población General), Ninguno (Población General)</v>
      </c>
    </row>
    <row r="192" spans="1:97" ht="13">
      <c r="A192" s="29" t="str">
        <f ca="1">IFERROR(__xludf.DUMMYFUNCTION("""COMPUTED_VALUE"""),"ACT-SCJB27190")</f>
        <v>ACT-SCJB27190</v>
      </c>
      <c r="B192" s="30" t="str">
        <f ca="1">IFERROR(__xludf.DUMMYFUNCTION("""COMPUTED_VALUE"""),"SC-260705-123536")</f>
        <v>SC-260705-123536</v>
      </c>
      <c r="C192" s="62">
        <f ca="1">IFERROR(__xludf.DUMMYFUNCTION("""COMPUTED_VALUE"""),46208.5247222222)</f>
        <v>46208.524722222202</v>
      </c>
      <c r="D192" s="30">
        <f ca="1">IFERROR(__xludf.DUMMYFUNCTION("""COMPUTED_VALUE"""),92)</f>
        <v>92</v>
      </c>
      <c r="E192" s="30" t="str">
        <f ca="1">IFERROR(__xludf.DUMMYFUNCTION("""COMPUTED_VALUE"""),"PB3572")</f>
        <v>PB3572</v>
      </c>
      <c r="F19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2" s="30" t="str">
        <f ca="1">IFERROR(__xludf.DUMMYFUNCTION("""COMPUTED_VALUE"""),"SUBSECRETARÍA DE DESARROLLO Y PROMOCIÓN ARTÍSTICA Y CULTURAL")</f>
        <v>SUBSECRETARÍA DE DESARROLLO Y PROMOCIÓN ARTÍSTICA Y CULTURAL</v>
      </c>
      <c r="I192" s="34" t="str">
        <f ca="1">IFERROR(__xludf.DUMMYFUNCTION("""COMPUTED_VALUE"""),"DIRECCIÓN GENERAL DE MUSEOS, ARTES VISUALES Y EXPOSICIONES")</f>
        <v>DIRECCIÓN GENERAL DE MUSEOS, ARTES VISUALES Y EXPOSICIONES</v>
      </c>
      <c r="J192" s="30" t="str">
        <f ca="1">IFERROR(__xludf.DUMMYFUNCTION("""COMPUTED_VALUE"""),"Número de Actividades realizadas")</f>
        <v>Número de Actividades realizadas</v>
      </c>
      <c r="K192" s="30">
        <f ca="1">IFERROR(__xludf.DUMMYFUNCTION("""COMPUTED_VALUE"""),800)</f>
        <v>800</v>
      </c>
      <c r="L192" s="30" t="str">
        <f ca="1">IFERROR(__xludf.DUMMYFUNCTION("""COMPUTED_VALUE"""),"Artística")</f>
        <v>Artística</v>
      </c>
      <c r="M192" s="30" t="str">
        <f ca="1">IFERROR(__xludf.DUMMYFUNCTION("""COMPUTED_VALUE"""),"Sound Hill")</f>
        <v>Sound Hill</v>
      </c>
      <c r="N192" s="30" t="str">
        <f ca="1">IFERROR(__xludf.DUMMYFUNCTION("""COMPUTED_VALUE"""),"Actividad artística de taller familiar, corresponsabilidad con la exposición bajo el signo de saturno.")</f>
        <v>Actividad artística de taller familiar, corresponsabilidad con la exposición bajo el signo de saturno.</v>
      </c>
      <c r="O192" s="30" t="str">
        <f ca="1">IFERROR(__xludf.DUMMYFUNCTION("""COMPUTED_VALUE"""),"Otras")</f>
        <v>Otras</v>
      </c>
      <c r="P192" s="33">
        <f ca="1">IFERROR(__xludf.DUMMYFUNCTION("""COMPUTED_VALUE"""),46120)</f>
        <v>46120</v>
      </c>
      <c r="Q192" s="33">
        <f ca="1">IFERROR(__xludf.DUMMYFUNCTION("""COMPUTED_VALUE"""),46142)</f>
        <v>46142</v>
      </c>
      <c r="R192" s="30">
        <f ca="1">IFERROR(__xludf.DUMMYFUNCTION("""COMPUTED_VALUE"""),4)</f>
        <v>4</v>
      </c>
      <c r="S192" s="30" t="str">
        <f ca="1">IFERROR(__xludf.DUMMYFUNCTION("""COMPUTED_VALUE"""),"Cultura comunitaria")</f>
        <v>Cultura comunitaria</v>
      </c>
      <c r="T192" s="30" t="str">
        <f ca="1">IFERROR(__xludf.DUMMYFUNCTION("""COMPUTED_VALUE"""),"Mediación cultural")</f>
        <v>Mediación cultural</v>
      </c>
      <c r="U192" s="30" t="str">
        <f ca="1">IFERROR(__xludf.DUMMYFUNCTION("""COMPUTED_VALUE"""),"Taller")</f>
        <v>Taller</v>
      </c>
      <c r="V192" s="30" t="str">
        <f ca="1">IFERROR(__xludf.DUMMYFUNCTION("""COMPUTED_VALUE"""),"Ninguna")</f>
        <v>Ninguna</v>
      </c>
      <c r="W192" s="30" t="str">
        <f ca="1">IFERROR(__xludf.DUMMYFUNCTION("""COMPUTED_VALUE"""),"Presencial")</f>
        <v>Presencial</v>
      </c>
      <c r="X192" s="30" t="str">
        <f ca="1">IFERROR(__xludf.DUMMYFUNCTION("""COMPUTED_VALUE"""),"Espacio a Cargo de la Secretaría")</f>
        <v>Espacio a Cargo de la Secretaría</v>
      </c>
      <c r="Y192" s="30" t="str">
        <f ca="1">IFERROR(__xludf.DUMMYFUNCTION("""COMPUTED_VALUE"""),"8")</f>
        <v>8</v>
      </c>
      <c r="Z192" s="30"/>
      <c r="AA192" s="30"/>
      <c r="AB192" s="30" t="b">
        <f ca="1">IFERROR(__xludf.DUMMYFUNCTION("""COMPUTED_VALUE"""),FALSE)</f>
        <v>0</v>
      </c>
      <c r="AC192" s="30"/>
      <c r="AD192" s="30" t="b">
        <f ca="1">IFERROR(__xludf.DUMMYFUNCTION("""COMPUTED_VALUE"""),FALSE)</f>
        <v>0</v>
      </c>
      <c r="AE192" s="30"/>
      <c r="AF192" s="30" t="b">
        <f ca="1">IFERROR(__xludf.DUMMYFUNCTION("""COMPUTED_VALUE"""),FALSE)</f>
        <v>0</v>
      </c>
      <c r="AG192" s="30"/>
      <c r="AH192" s="30" t="str">
        <f ca="1">IFERROR(__xludf.DUMMYFUNCTION("""COMPUTED_VALUE"""),"Sin costo")</f>
        <v>Sin costo</v>
      </c>
      <c r="AI192" s="30"/>
      <c r="AJ192" s="30"/>
      <c r="AK192" s="30"/>
      <c r="AL192" s="30" t="str">
        <f ca="1">IFERROR(__xludf.DUMMYFUNCTION("""COMPUTED_VALUE"""),"ccardonav@guanajuato.gob.mx")</f>
        <v>ccardonav@guanajuato.gob.mx</v>
      </c>
      <c r="AM192" s="30" t="str">
        <f ca="1">IFERROR(__xludf.DUMMYFUNCTION("""COMPUTED_VALUE"""),"Arraigo y empoderamiento cultural de comunidades.")</f>
        <v>Arraigo y empoderamiento cultural de comunidades.</v>
      </c>
      <c r="AN192" s="30" t="str">
        <f ca="1">IFERROR(__xludf.DUMMYFUNCTION("""COMPUTED_VALUE"""),"2 Igualdad")</f>
        <v>2 Igualdad</v>
      </c>
      <c r="AO192" s="30" t="str">
        <f ca="1">IFERROR(__xludf.DUMMYFUNCTION("""COMPUTED_VALUE"""),"2.4 Reducir brechas de desigualdad")</f>
        <v>2.4 Reducir brechas de desigualdad</v>
      </c>
      <c r="AP192" s="30" t="str">
        <f ca="1">IFERROR(__xludf.DUMMYFUNCTION("""COMPUTED_VALUE"""),"2.4.3 Descentralización de la oferta cultural")</f>
        <v>2.4.3 Descentralización de la oferta cultural</v>
      </c>
      <c r="AQ192" s="30" t="str">
        <f ca="1">IFERROR(__xludf.DUMMYFUNCTION("""COMPUTED_VALUE"""),"2.4.3.1 Impulsar el desarrollo artístico y cultural entre infancias y juventudes")</f>
        <v>2.4.3.1 Impulsar el desarrollo artístico y cultural entre infancias y juventudes</v>
      </c>
      <c r="AR192" s="30" t="str">
        <f ca="1">IFERROR(__xludf.DUMMYFUNCTION("""COMPUTED_VALUE"""),"Ninguno")</f>
        <v>Ninguno</v>
      </c>
      <c r="AS192" s="30"/>
      <c r="AT192" s="30" t="str">
        <f ca="1">IFERROR(__xludf.DUMMYFUNCTION("""COMPUTED_VALUE"""),"Fortalecimiento de la participación ciudadana y la mediación cultural")</f>
        <v>Fortalecimiento de la participación ciudadana y la mediación cultural</v>
      </c>
      <c r="AU192" s="30" t="str">
        <f ca="1">IFERROR(__xludf.DUMMYFUNCTION("""COMPUTED_VALUE"""),"Fortalecimiento del diálogo, la mediación y las capacidades de las redes comunitarias.")</f>
        <v>Fortalecimiento del diálogo, la mediación y las capacidades de las redes comunitarias.</v>
      </c>
      <c r="AV19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2" s="30" t="str">
        <f ca="1">IFERROR(__xludf.DUMMYFUNCTION("""COMPUTED_VALUE"""),"Incrementar en 25% la oferta cultural realizada en los municipios.")</f>
        <v>Incrementar en 25% la oferta cultural realizada en los municipios.</v>
      </c>
      <c r="AX192" s="30" t="str">
        <f ca="1">IFERROR(__xludf.DUMMYFUNCTION("""COMPUTED_VALUE"""),"Taller")</f>
        <v>Taller</v>
      </c>
      <c r="AY192" s="30" t="str">
        <f ca="1">IFERROR(__xludf.DUMMYFUNCTION("""COMPUTED_VALUE"""),"Mediación")</f>
        <v>Mediación</v>
      </c>
      <c r="AZ192" s="30"/>
      <c r="BA192" s="30"/>
      <c r="BB192" s="30"/>
      <c r="BC192" s="30">
        <f ca="1">IFERROR(__xludf.DUMMYFUNCTION("""COMPUTED_VALUE"""),0)</f>
        <v>0</v>
      </c>
      <c r="BD192" s="30"/>
      <c r="BE192" s="30"/>
      <c r="BF192" s="30" t="b">
        <f ca="1">IFERROR(__xludf.DUMMYFUNCTION("""COMPUTED_VALUE"""),FALSE)</f>
        <v>0</v>
      </c>
      <c r="BG192" s="30"/>
      <c r="BH192" s="30"/>
      <c r="BI192" s="30"/>
      <c r="BJ192" s="30"/>
      <c r="BK192" s="30"/>
      <c r="BL192" s="30"/>
      <c r="BM192" s="30" t="str">
        <f ca="1">IFERROR(__xludf.DUMMYFUNCTION("""COMPUTED_VALUE"""),"No")</f>
        <v>No</v>
      </c>
      <c r="BN192" s="30"/>
      <c r="BO192" s="30" t="str">
        <f ca="1">IFERROR(__xludf.DUMMYFUNCTION("""COMPUTED_VALUE"""),"25b47f2c")</f>
        <v>25b47f2c</v>
      </c>
      <c r="BP192" s="29" t="str">
        <f ca="1">IFERROR(__xludf.DUMMYFUNCTION("""COMPUTED_VALUE"""),"León")</f>
        <v>León</v>
      </c>
      <c r="BQ192" s="30" t="str">
        <f ca="1">IFERROR(__xludf.DUMMYFUNCTION("""COMPUTED_VALUE"""),"Urbano")</f>
        <v>Urbano</v>
      </c>
      <c r="BR192" s="30"/>
      <c r="BS192" s="30"/>
      <c r="BT192" s="30" t="str">
        <f ca="1">IFERROR(__xludf.DUMMYFUNCTION("""COMPUTED_VALUE"""),"La Martinica")</f>
        <v>La Martinica</v>
      </c>
      <c r="BU192" s="30" t="str">
        <f ca="1">IFERROR(__xludf.DUMMYFUNCTION("""COMPUTED_VALUE"""),"No")</f>
        <v>No</v>
      </c>
      <c r="BV192" s="30" t="str">
        <f ca="1">IFERROR(__xludf.DUMMYFUNCTION("""COMPUTED_VALUE"""),"No")</f>
        <v>No</v>
      </c>
      <c r="BW192" s="30">
        <f ca="1">IFERROR(__xludf.DUMMYFUNCTION("""COMPUTED_VALUE"""),50)</f>
        <v>50</v>
      </c>
      <c r="BX192" s="30"/>
      <c r="BY192" s="30">
        <f ca="1">IFERROR(__xludf.DUMMYFUNCTION("""COMPUTED_VALUE"""),50)</f>
        <v>50</v>
      </c>
      <c r="BZ192" s="30" t="str">
        <f ca="1">IFERROR(__xludf.DUMMYFUNCTION("""COMPUTED_VALUE"""),"La Martinica")</f>
        <v>La Martinica</v>
      </c>
      <c r="CA192" s="30" t="str">
        <f ca="1">IFERROR(__xludf.DUMMYFUNCTION("""COMPUTED_VALUE"""),"No")</f>
        <v>No</v>
      </c>
      <c r="CB192" s="30" t="str">
        <f ca="1">IFERROR(__xludf.DUMMYFUNCTION("""COMPUTED_VALUE"""),"No")</f>
        <v>No</v>
      </c>
      <c r="CC192" s="30" t="str">
        <f ca="1">IFERROR(__xludf.DUMMYFUNCTION("""COMPUTED_VALUE"""),"e86e0b41")</f>
        <v>e86e0b41</v>
      </c>
      <c r="CD192" s="29" t="str">
        <f ca="1">IFERROR(__xludf.DUMMYFUNCTION("""COMPUTED_VALUE"""),"Adultos (30 a 59 años)")</f>
        <v>Adultos (30 a 59 años)</v>
      </c>
      <c r="CE192" s="30" t="str">
        <f ca="1">IFERROR(__xludf.DUMMYFUNCTION("""COMPUTED_VALUE"""),"Dato global")</f>
        <v>Dato global</v>
      </c>
      <c r="CF192" s="30" t="str">
        <f ca="1">IFERROR(__xludf.DUMMYFUNCTION("""COMPUTED_VALUE"""),"Ninguno (Población General)")</f>
        <v>Ninguno (Población General)</v>
      </c>
      <c r="CG192" s="30">
        <f ca="1">IFERROR(__xludf.DUMMYFUNCTION("""COMPUTED_VALUE"""),8)</f>
        <v>8</v>
      </c>
      <c r="CI192" s="30" t="str">
        <f ca="1">IFERROR(__xludf.DUMMYFUNCTION("""COMPUTED_VALUE"""),"ed5365c3")</f>
        <v>ed5365c3</v>
      </c>
      <c r="CJ192" s="29" t="str">
        <f ca="1">IFERROR(__xludf.DUMMYFUNCTION("""COMPUTED_VALUE"""),"Regitro_Evidencia_Images/ed5365c3.Archivo_Evidencia.184802.jpg")</f>
        <v>Regitro_Evidencia_Images/ed5365c3.Archivo_Evidencia.184802.jpg</v>
      </c>
      <c r="CK192" s="30" t="str">
        <f ca="1">IFERROR(__xludf.DUMMYFUNCTION("""COMPUTED_VALUE"""),"Foto")</f>
        <v>Foto</v>
      </c>
      <c r="CL192" s="30"/>
      <c r="CM192" s="30" t="str">
        <f ca="1">IFERROR(__xludf.DUMMYFUNCTION("""COMPUTED_VALUE"""),"León")</f>
        <v>León</v>
      </c>
      <c r="CN192" s="32" t="e">
        <f ca="1"/>
        <v>#NAME?</v>
      </c>
      <c r="CO192" s="32" t="e">
        <f ca="1"/>
        <v>#NAME?</v>
      </c>
      <c r="CP192" s="32" t="e">
        <f ca="1"/>
        <v>#NAME?</v>
      </c>
      <c r="CQ192" s="32" t="e">
        <f ca="1"/>
        <v>#NAME?</v>
      </c>
      <c r="CR192" s="30" t="e">
        <f ca="1"/>
        <v>#NAME?</v>
      </c>
      <c r="CS192" s="30" t="str">
        <f ca="1">IFERROR(__xludf.DUMMYFUNCTION("""COMPUTED_VALUE"""),"Ninguno (Población General), Ninguno (Población General)")</f>
        <v>Ninguno (Población General), Ninguno (Población General)</v>
      </c>
    </row>
    <row r="193" spans="1:97" ht="13">
      <c r="A193" s="29" t="str">
        <f ca="1">IFERROR(__xludf.DUMMYFUNCTION("""COMPUTED_VALUE"""),"ACT-SCEO45859")</f>
        <v>ACT-SCEO45859</v>
      </c>
      <c r="B193" s="30" t="str">
        <f ca="1">IFERROR(__xludf.DUMMYFUNCTION("""COMPUTED_VALUE"""),"SC-260705-124025")</f>
        <v>SC-260705-124025</v>
      </c>
      <c r="C193" s="62">
        <f ca="1">IFERROR(__xludf.DUMMYFUNCTION("""COMPUTED_VALUE"""),46208.5280671296)</f>
        <v>46208.528067129599</v>
      </c>
      <c r="D193" s="30">
        <f ca="1">IFERROR(__xludf.DUMMYFUNCTION("""COMPUTED_VALUE"""),92)</f>
        <v>92</v>
      </c>
      <c r="E193" s="30" t="str">
        <f ca="1">IFERROR(__xludf.DUMMYFUNCTION("""COMPUTED_VALUE"""),"PB3572")</f>
        <v>PB3572</v>
      </c>
      <c r="F19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3" s="30" t="str">
        <f ca="1">IFERROR(__xludf.DUMMYFUNCTION("""COMPUTED_VALUE"""),"SUBSECRETARÍA DE DESARROLLO Y PROMOCIÓN ARTÍSTICA Y CULTURAL")</f>
        <v>SUBSECRETARÍA DE DESARROLLO Y PROMOCIÓN ARTÍSTICA Y CULTURAL</v>
      </c>
      <c r="I193" s="34" t="str">
        <f ca="1">IFERROR(__xludf.DUMMYFUNCTION("""COMPUTED_VALUE"""),"DIRECCIÓN GENERAL DE MUSEOS, ARTES VISUALES Y EXPOSICIONES")</f>
        <v>DIRECCIÓN GENERAL DE MUSEOS, ARTES VISUALES Y EXPOSICIONES</v>
      </c>
      <c r="J193" s="30" t="str">
        <f ca="1">IFERROR(__xludf.DUMMYFUNCTION("""COMPUTED_VALUE"""),"Número de Actividades realizadas")</f>
        <v>Número de Actividades realizadas</v>
      </c>
      <c r="K193" s="30">
        <f ca="1">IFERROR(__xludf.DUMMYFUNCTION("""COMPUTED_VALUE"""),800)</f>
        <v>800</v>
      </c>
      <c r="L193" s="30" t="str">
        <f ca="1">IFERROR(__xludf.DUMMYFUNCTION("""COMPUTED_VALUE"""),"Artística")</f>
        <v>Artística</v>
      </c>
      <c r="M193" s="30" t="str">
        <f ca="1">IFERROR(__xludf.DUMMYFUNCTION("""COMPUTED_VALUE"""),"Noche misteriosa en el Museo.")</f>
        <v>Noche misteriosa en el Museo.</v>
      </c>
      <c r="N193" s="30" t="str">
        <f ca="1">IFERROR(__xludf.DUMMYFUNCTION("""COMPUTED_VALUE"""),"Actividad artistica de infancias.")</f>
        <v>Actividad artistica de infancias.</v>
      </c>
      <c r="O193" s="30" t="str">
        <f ca="1">IFERROR(__xludf.DUMMYFUNCTION("""COMPUTED_VALUE"""),"Única")</f>
        <v>Única</v>
      </c>
      <c r="P193" s="33">
        <f ca="1">IFERROR(__xludf.DUMMYFUNCTION("""COMPUTED_VALUE"""),46136)</f>
        <v>46136</v>
      </c>
      <c r="Q193" s="33">
        <f ca="1">IFERROR(__xludf.DUMMYFUNCTION("""COMPUTED_VALUE"""),46136)</f>
        <v>46136</v>
      </c>
      <c r="R193" s="30">
        <f ca="1">IFERROR(__xludf.DUMMYFUNCTION("""COMPUTED_VALUE"""),1)</f>
        <v>1</v>
      </c>
      <c r="S193" s="30" t="str">
        <f ca="1">IFERROR(__xludf.DUMMYFUNCTION("""COMPUTED_VALUE"""),"Cultura comunitaria")</f>
        <v>Cultura comunitaria</v>
      </c>
      <c r="T193" s="30" t="str">
        <f ca="1">IFERROR(__xludf.DUMMYFUNCTION("""COMPUTED_VALUE"""),"Mediación cultural")</f>
        <v>Mediación cultural</v>
      </c>
      <c r="U193" s="30" t="str">
        <f ca="1">IFERROR(__xludf.DUMMYFUNCTION("""COMPUTED_VALUE"""),"Taller")</f>
        <v>Taller</v>
      </c>
      <c r="V193" s="30" t="str">
        <f ca="1">IFERROR(__xludf.DUMMYFUNCTION("""COMPUTED_VALUE"""),"Ninguna")</f>
        <v>Ninguna</v>
      </c>
      <c r="W193" s="30" t="str">
        <f ca="1">IFERROR(__xludf.DUMMYFUNCTION("""COMPUTED_VALUE"""),"Presencial")</f>
        <v>Presencial</v>
      </c>
      <c r="X193" s="30" t="str">
        <f ca="1">IFERROR(__xludf.DUMMYFUNCTION("""COMPUTED_VALUE"""),"Espacio a Cargo de la Secretaría")</f>
        <v>Espacio a Cargo de la Secretaría</v>
      </c>
      <c r="Y193" s="30" t="str">
        <f ca="1">IFERROR(__xludf.DUMMYFUNCTION("""COMPUTED_VALUE"""),"8")</f>
        <v>8</v>
      </c>
      <c r="Z193" s="30"/>
      <c r="AA193" s="30"/>
      <c r="AB193" s="30" t="b">
        <f ca="1">IFERROR(__xludf.DUMMYFUNCTION("""COMPUTED_VALUE"""),FALSE)</f>
        <v>0</v>
      </c>
      <c r="AC193" s="30"/>
      <c r="AD193" s="30" t="b">
        <f ca="1">IFERROR(__xludf.DUMMYFUNCTION("""COMPUTED_VALUE"""),FALSE)</f>
        <v>0</v>
      </c>
      <c r="AE193" s="30"/>
      <c r="AF193" s="30" t="b">
        <f ca="1">IFERROR(__xludf.DUMMYFUNCTION("""COMPUTED_VALUE"""),FALSE)</f>
        <v>0</v>
      </c>
      <c r="AG193" s="30"/>
      <c r="AH193" s="30" t="str">
        <f ca="1">IFERROR(__xludf.DUMMYFUNCTION("""COMPUTED_VALUE"""),"Sin costo")</f>
        <v>Sin costo</v>
      </c>
      <c r="AI193" s="30"/>
      <c r="AJ193" s="30"/>
      <c r="AK193" s="30"/>
      <c r="AL193" s="30" t="str">
        <f ca="1">IFERROR(__xludf.DUMMYFUNCTION("""COMPUTED_VALUE"""),"ccardonav@guanajuato.gob.mx")</f>
        <v>ccardonav@guanajuato.gob.mx</v>
      </c>
      <c r="AM193" s="30" t="str">
        <f ca="1">IFERROR(__xludf.DUMMYFUNCTION("""COMPUTED_VALUE"""),"Arraigo y empoderamiento cultural de comunidades.")</f>
        <v>Arraigo y empoderamiento cultural de comunidades.</v>
      </c>
      <c r="AN193" s="30" t="str">
        <f ca="1">IFERROR(__xludf.DUMMYFUNCTION("""COMPUTED_VALUE"""),"2 Igualdad")</f>
        <v>2 Igualdad</v>
      </c>
      <c r="AO193" s="30" t="str">
        <f ca="1">IFERROR(__xludf.DUMMYFUNCTION("""COMPUTED_VALUE"""),"2.4 Reducir brechas de desigualdad")</f>
        <v>2.4 Reducir brechas de desigualdad</v>
      </c>
      <c r="AP193" s="30" t="str">
        <f ca="1">IFERROR(__xludf.DUMMYFUNCTION("""COMPUTED_VALUE"""),"2.4.3 Descentralización de la oferta cultural")</f>
        <v>2.4.3 Descentralización de la oferta cultural</v>
      </c>
      <c r="AQ193" s="30" t="str">
        <f ca="1">IFERROR(__xludf.DUMMYFUNCTION("""COMPUTED_VALUE"""),"2.4.3.1 Impulsar el desarrollo artístico y cultural entre infancias y juventudes")</f>
        <v>2.4.3.1 Impulsar el desarrollo artístico y cultural entre infancias y juventudes</v>
      </c>
      <c r="AR193" s="30" t="str">
        <f ca="1">IFERROR(__xludf.DUMMYFUNCTION("""COMPUTED_VALUE"""),"Inclusión")</f>
        <v>Inclusión</v>
      </c>
      <c r="AS193" s="30" t="str">
        <f ca="1">IFERROR(__xludf.DUMMYFUNCTION("""COMPUTED_VALUE"""),"NNA (Niñas, Niños y Adolescentes)")</f>
        <v>NNA (Niñas, Niños y Adolescentes)</v>
      </c>
      <c r="AT193" s="30" t="str">
        <f ca="1">IFERROR(__xludf.DUMMYFUNCTION("""COMPUTED_VALUE"""),"Fortalecimiento de la participación ciudadana y la mediación cultural")</f>
        <v>Fortalecimiento de la participación ciudadana y la mediación cultural</v>
      </c>
      <c r="AU193" s="30" t="str">
        <f ca="1">IFERROR(__xludf.DUMMYFUNCTION("""COMPUTED_VALUE"""),"Fortalecimiento del diálogo, la mediación y las capacidades de las redes comunitarias.")</f>
        <v>Fortalecimiento del diálogo, la mediación y las capacidades de las redes comunitarias.</v>
      </c>
      <c r="AV19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3" s="30" t="str">
        <f ca="1">IFERROR(__xludf.DUMMYFUNCTION("""COMPUTED_VALUE"""),"Incrementar en 25% la oferta cultural realizada en los municipios.")</f>
        <v>Incrementar en 25% la oferta cultural realizada en los municipios.</v>
      </c>
      <c r="AX193" s="30" t="str">
        <f ca="1">IFERROR(__xludf.DUMMYFUNCTION("""COMPUTED_VALUE"""),"Taller")</f>
        <v>Taller</v>
      </c>
      <c r="AY193" s="30" t="str">
        <f ca="1">IFERROR(__xludf.DUMMYFUNCTION("""COMPUTED_VALUE"""),"Mediación")</f>
        <v>Mediación</v>
      </c>
      <c r="AZ193" s="30"/>
      <c r="BA193" s="30"/>
      <c r="BB193" s="30"/>
      <c r="BC193" s="30">
        <f ca="1">IFERROR(__xludf.DUMMYFUNCTION("""COMPUTED_VALUE"""),0)</f>
        <v>0</v>
      </c>
      <c r="BD193" s="30"/>
      <c r="BE193" s="30"/>
      <c r="BF193" s="30" t="b">
        <f ca="1">IFERROR(__xludf.DUMMYFUNCTION("""COMPUTED_VALUE"""),FALSE)</f>
        <v>0</v>
      </c>
      <c r="BG193" s="30"/>
      <c r="BH193" s="30"/>
      <c r="BI193" s="30"/>
      <c r="BJ193" s="30"/>
      <c r="BK193" s="30"/>
      <c r="BL193" s="30"/>
      <c r="BM193" s="30" t="str">
        <f ca="1">IFERROR(__xludf.DUMMYFUNCTION("""COMPUTED_VALUE"""),"No")</f>
        <v>No</v>
      </c>
      <c r="BN193" s="30"/>
      <c r="BO193" s="30" t="str">
        <f ca="1">IFERROR(__xludf.DUMMYFUNCTION("""COMPUTED_VALUE"""),"ea8501d9")</f>
        <v>ea8501d9</v>
      </c>
      <c r="BP193" s="29" t="str">
        <f ca="1">IFERROR(__xludf.DUMMYFUNCTION("""COMPUTED_VALUE"""),"León")</f>
        <v>León</v>
      </c>
      <c r="BQ193" s="30" t="str">
        <f ca="1">IFERROR(__xludf.DUMMYFUNCTION("""COMPUTED_VALUE"""),"Urbano")</f>
        <v>Urbano</v>
      </c>
      <c r="BR193" s="30"/>
      <c r="BS193" s="30"/>
      <c r="BT193" s="30" t="str">
        <f ca="1">IFERROR(__xludf.DUMMYFUNCTION("""COMPUTED_VALUE"""),"La Martinica")</f>
        <v>La Martinica</v>
      </c>
      <c r="BU193" s="30" t="str">
        <f ca="1">IFERROR(__xludf.DUMMYFUNCTION("""COMPUTED_VALUE"""),"No")</f>
        <v>No</v>
      </c>
      <c r="BV193" s="30" t="str">
        <f ca="1">IFERROR(__xludf.DUMMYFUNCTION("""COMPUTED_VALUE"""),"No")</f>
        <v>No</v>
      </c>
      <c r="BW193" s="30">
        <f ca="1">IFERROR(__xludf.DUMMYFUNCTION("""COMPUTED_VALUE"""),42)</f>
        <v>42</v>
      </c>
      <c r="BX193" s="30"/>
      <c r="BY193" s="30">
        <f ca="1">IFERROR(__xludf.DUMMYFUNCTION("""COMPUTED_VALUE"""),42)</f>
        <v>42</v>
      </c>
      <c r="BZ193" s="30" t="str">
        <f ca="1">IFERROR(__xludf.DUMMYFUNCTION("""COMPUTED_VALUE"""),"La Martinica")</f>
        <v>La Martinica</v>
      </c>
      <c r="CA193" s="30" t="str">
        <f ca="1">IFERROR(__xludf.DUMMYFUNCTION("""COMPUTED_VALUE"""),"No")</f>
        <v>No</v>
      </c>
      <c r="CB193" s="30" t="str">
        <f ca="1">IFERROR(__xludf.DUMMYFUNCTION("""COMPUTED_VALUE"""),"No")</f>
        <v>No</v>
      </c>
      <c r="CC193" s="30" t="str">
        <f ca="1">IFERROR(__xludf.DUMMYFUNCTION("""COMPUTED_VALUE"""),"f2291527")</f>
        <v>f2291527</v>
      </c>
      <c r="CD193" s="29" t="str">
        <f ca="1">IFERROR(__xludf.DUMMYFUNCTION("""COMPUTED_VALUE"""),"Adultos Mayores (60 años o más)")</f>
        <v>Adultos Mayores (60 años o más)</v>
      </c>
      <c r="CE193" s="30" t="str">
        <f ca="1">IFERROR(__xludf.DUMMYFUNCTION("""COMPUTED_VALUE"""),"Dato global")</f>
        <v>Dato global</v>
      </c>
      <c r="CF193" s="30" t="str">
        <f ca="1">IFERROR(__xludf.DUMMYFUNCTION("""COMPUTED_VALUE"""),"Ninguno (Población General)")</f>
        <v>Ninguno (Población General)</v>
      </c>
      <c r="CG193" s="30">
        <f ca="1">IFERROR(__xludf.DUMMYFUNCTION("""COMPUTED_VALUE"""),5)</f>
        <v>5</v>
      </c>
      <c r="CI193" s="30" t="str">
        <f ca="1">IFERROR(__xludf.DUMMYFUNCTION("""COMPUTED_VALUE"""),"f7e3b40c")</f>
        <v>f7e3b40c</v>
      </c>
      <c r="CJ193" s="29" t="str">
        <f ca="1">IFERROR(__xludf.DUMMYFUNCTION("""COMPUTED_VALUE"""),"Regitro_Evidencia_Images/f7e3b40c.Archivo_Evidencia.190034.jpg")</f>
        <v>Regitro_Evidencia_Images/f7e3b40c.Archivo_Evidencia.190034.jpg</v>
      </c>
      <c r="CK193" s="30" t="str">
        <f ca="1">IFERROR(__xludf.DUMMYFUNCTION("""COMPUTED_VALUE"""),"Foto")</f>
        <v>Foto</v>
      </c>
      <c r="CL193" s="30"/>
      <c r="CM193" s="30" t="str">
        <f ca="1">IFERROR(__xludf.DUMMYFUNCTION("""COMPUTED_VALUE"""),"León")</f>
        <v>León</v>
      </c>
      <c r="CN193" s="32" t="e">
        <f ca="1"/>
        <v>#NAME?</v>
      </c>
      <c r="CO193" s="32" t="e">
        <f ca="1"/>
        <v>#NAME?</v>
      </c>
      <c r="CP193" s="32" t="e">
        <f ca="1"/>
        <v>#NAME?</v>
      </c>
      <c r="CQ193" s="32" t="e">
        <f ca="1"/>
        <v>#NAME?</v>
      </c>
      <c r="CR193" s="30" t="e">
        <f ca="1"/>
        <v>#NAME?</v>
      </c>
      <c r="CS193" s="30" t="str">
        <f ca="1">IFERROR(__xludf.DUMMYFUNCTION("""COMPUTED_VALUE"""),"Ninguno (Población General), Ninguno (Población General)")</f>
        <v>Ninguno (Población General), Ninguno (Población General)</v>
      </c>
    </row>
    <row r="194" spans="1:97" ht="13">
      <c r="A194" s="29" t="str">
        <f ca="1">IFERROR(__xludf.DUMMYFUNCTION("""COMPUTED_VALUE"""),"ACT-SCJW36296")</f>
        <v>ACT-SCJW36296</v>
      </c>
      <c r="B194" s="30" t="str">
        <f ca="1">IFERROR(__xludf.DUMMYFUNCTION("""COMPUTED_VALUE"""),"SC-260705-124443")</f>
        <v>SC-260705-124443</v>
      </c>
      <c r="C194" s="62">
        <f ca="1">IFERROR(__xludf.DUMMYFUNCTION("""COMPUTED_VALUE"""),46208.5310532407)</f>
        <v>46208.531053240702</v>
      </c>
      <c r="D194" s="30">
        <f ca="1">IFERROR(__xludf.DUMMYFUNCTION("""COMPUTED_VALUE"""),92)</f>
        <v>92</v>
      </c>
      <c r="E194" s="30" t="str">
        <f ca="1">IFERROR(__xludf.DUMMYFUNCTION("""COMPUTED_VALUE"""),"PB3572")</f>
        <v>PB3572</v>
      </c>
      <c r="F19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4" s="30" t="str">
        <f ca="1">IFERROR(__xludf.DUMMYFUNCTION("""COMPUTED_VALUE"""),"SUBSECRETARÍA DE DESARROLLO Y PROMOCIÓN ARTÍSTICA Y CULTURAL")</f>
        <v>SUBSECRETARÍA DE DESARROLLO Y PROMOCIÓN ARTÍSTICA Y CULTURAL</v>
      </c>
      <c r="I194" s="34" t="str">
        <f ca="1">IFERROR(__xludf.DUMMYFUNCTION("""COMPUTED_VALUE"""),"DIRECCIÓN GENERAL DE MUSEOS, ARTES VISUALES Y EXPOSICIONES")</f>
        <v>DIRECCIÓN GENERAL DE MUSEOS, ARTES VISUALES Y EXPOSICIONES</v>
      </c>
      <c r="J194" s="30" t="str">
        <f ca="1">IFERROR(__xludf.DUMMYFUNCTION("""COMPUTED_VALUE"""),"Número de Actividades realizadas")</f>
        <v>Número de Actividades realizadas</v>
      </c>
      <c r="K194" s="30">
        <f ca="1">IFERROR(__xludf.DUMMYFUNCTION("""COMPUTED_VALUE"""),800)</f>
        <v>800</v>
      </c>
      <c r="L194" s="30" t="str">
        <f ca="1">IFERROR(__xludf.DUMMYFUNCTION("""COMPUTED_VALUE"""),"Cultural")</f>
        <v>Cultural</v>
      </c>
      <c r="M194" s="30" t="str">
        <f ca="1">IFERROR(__xludf.DUMMYFUNCTION("""COMPUTED_VALUE"""),"Visita ""UPN""")</f>
        <v>Visita "UPN"</v>
      </c>
      <c r="N194" s="30" t="str">
        <f ca="1">IFERROR(__xludf.DUMMYFUNCTION("""COMPUTED_VALUE"""),"Visita mediada")</f>
        <v>Visita mediada</v>
      </c>
      <c r="O194" s="30" t="str">
        <f ca="1">IFERROR(__xludf.DUMMYFUNCTION("""COMPUTED_VALUE"""),"Única")</f>
        <v>Única</v>
      </c>
      <c r="P194" s="33">
        <f ca="1">IFERROR(__xludf.DUMMYFUNCTION("""COMPUTED_VALUE"""),46148)</f>
        <v>46148</v>
      </c>
      <c r="Q194" s="33">
        <f ca="1">IFERROR(__xludf.DUMMYFUNCTION("""COMPUTED_VALUE"""),46148)</f>
        <v>46148</v>
      </c>
      <c r="R194" s="30">
        <f ca="1">IFERROR(__xludf.DUMMYFUNCTION("""COMPUTED_VALUE"""),1)</f>
        <v>1</v>
      </c>
      <c r="S194" s="30" t="str">
        <f ca="1">IFERROR(__xludf.DUMMYFUNCTION("""COMPUTED_VALUE"""),"Cultura comunitaria")</f>
        <v>Cultura comunitaria</v>
      </c>
      <c r="T194" s="30" t="str">
        <f ca="1">IFERROR(__xludf.DUMMYFUNCTION("""COMPUTED_VALUE"""),"Mediación cultural")</f>
        <v>Mediación cultural</v>
      </c>
      <c r="U194" s="30" t="str">
        <f ca="1">IFERROR(__xludf.DUMMYFUNCTION("""COMPUTED_VALUE"""),"Visitas escolares")</f>
        <v>Visitas escolares</v>
      </c>
      <c r="V194" s="30" t="str">
        <f ca="1">IFERROR(__xludf.DUMMYFUNCTION("""COMPUTED_VALUE"""),"Ninguna")</f>
        <v>Ninguna</v>
      </c>
      <c r="W194" s="30" t="str">
        <f ca="1">IFERROR(__xludf.DUMMYFUNCTION("""COMPUTED_VALUE"""),"Presencial")</f>
        <v>Presencial</v>
      </c>
      <c r="X194" s="30" t="str">
        <f ca="1">IFERROR(__xludf.DUMMYFUNCTION("""COMPUTED_VALUE"""),"Espacio a Cargo de la Secretaría")</f>
        <v>Espacio a Cargo de la Secretaría</v>
      </c>
      <c r="Y194" s="30" t="str">
        <f ca="1">IFERROR(__xludf.DUMMYFUNCTION("""COMPUTED_VALUE"""),"8")</f>
        <v>8</v>
      </c>
      <c r="Z194" s="30"/>
      <c r="AA194" s="30"/>
      <c r="AB194" s="30" t="b">
        <f ca="1">IFERROR(__xludf.DUMMYFUNCTION("""COMPUTED_VALUE"""),FALSE)</f>
        <v>0</v>
      </c>
      <c r="AC194" s="30"/>
      <c r="AD194" s="30" t="b">
        <f ca="1">IFERROR(__xludf.DUMMYFUNCTION("""COMPUTED_VALUE"""),FALSE)</f>
        <v>0</v>
      </c>
      <c r="AE194" s="30"/>
      <c r="AF194" s="30" t="b">
        <f ca="1">IFERROR(__xludf.DUMMYFUNCTION("""COMPUTED_VALUE"""),FALSE)</f>
        <v>0</v>
      </c>
      <c r="AG194" s="30"/>
      <c r="AH194" s="30" t="str">
        <f ca="1">IFERROR(__xludf.DUMMYFUNCTION("""COMPUTED_VALUE"""),"Sin costo")</f>
        <v>Sin costo</v>
      </c>
      <c r="AI194" s="30"/>
      <c r="AJ194" s="30"/>
      <c r="AK194" s="30"/>
      <c r="AL194" s="30" t="str">
        <f ca="1">IFERROR(__xludf.DUMMYFUNCTION("""COMPUTED_VALUE"""),"ccardonav@guanajuato.gob.mx")</f>
        <v>ccardonav@guanajuato.gob.mx</v>
      </c>
      <c r="AM194" s="30" t="str">
        <f ca="1">IFERROR(__xludf.DUMMYFUNCTION("""COMPUTED_VALUE"""),"Arraigo y empoderamiento cultural de comunidades.")</f>
        <v>Arraigo y empoderamiento cultural de comunidades.</v>
      </c>
      <c r="AN194" s="30" t="str">
        <f ca="1">IFERROR(__xludf.DUMMYFUNCTION("""COMPUTED_VALUE"""),"2 Igualdad")</f>
        <v>2 Igualdad</v>
      </c>
      <c r="AO194" s="30" t="str">
        <f ca="1">IFERROR(__xludf.DUMMYFUNCTION("""COMPUTED_VALUE"""),"2.4 Reducir brechas de desigualdad")</f>
        <v>2.4 Reducir brechas de desigualdad</v>
      </c>
      <c r="AP194" s="30" t="str">
        <f ca="1">IFERROR(__xludf.DUMMYFUNCTION("""COMPUTED_VALUE"""),"2.4.3 Descentralización de la oferta cultural")</f>
        <v>2.4.3 Descentralización de la oferta cultural</v>
      </c>
      <c r="AQ194" s="30" t="str">
        <f ca="1">IFERROR(__xludf.DUMMYFUNCTION("""COMPUTED_VALUE"""),"2.4.3.1 Impulsar el desarrollo artístico y cultural entre infancias y juventudes")</f>
        <v>2.4.3.1 Impulsar el desarrollo artístico y cultural entre infancias y juventudes</v>
      </c>
      <c r="AR194" s="30" t="str">
        <f ca="1">IFERROR(__xludf.DUMMYFUNCTION("""COMPUTED_VALUE"""),"Ninguno")</f>
        <v>Ninguno</v>
      </c>
      <c r="AS194" s="30"/>
      <c r="AT194" s="30" t="str">
        <f ca="1">IFERROR(__xludf.DUMMYFUNCTION("""COMPUTED_VALUE"""),"Fortalecimiento de la participación ciudadana y la mediación cultural")</f>
        <v>Fortalecimiento de la participación ciudadana y la mediación cultural</v>
      </c>
      <c r="AU194" s="30" t="str">
        <f ca="1">IFERROR(__xludf.DUMMYFUNCTION("""COMPUTED_VALUE"""),"Fortalecimiento del diálogo, la mediación y las capacidades de las redes comunitarias.")</f>
        <v>Fortalecimiento del diálogo, la mediación y las capacidades de las redes comunitarias.</v>
      </c>
      <c r="AV19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4" s="30" t="str">
        <f ca="1">IFERROR(__xludf.DUMMYFUNCTION("""COMPUTED_VALUE"""),"Incrementar en 25% la oferta cultural realizada en los municipios.")</f>
        <v>Incrementar en 25% la oferta cultural realizada en los municipios.</v>
      </c>
      <c r="AX194" s="30" t="str">
        <f ca="1">IFERROR(__xludf.DUMMYFUNCTION("""COMPUTED_VALUE"""),"Visitas escolares")</f>
        <v>Visitas escolares</v>
      </c>
      <c r="AY194" s="30" t="str">
        <f ca="1">IFERROR(__xludf.DUMMYFUNCTION("""COMPUTED_VALUE"""),"Mediación")</f>
        <v>Mediación</v>
      </c>
      <c r="AZ194" s="30"/>
      <c r="BA194" s="30"/>
      <c r="BB194" s="30"/>
      <c r="BC194" s="30">
        <f ca="1">IFERROR(__xludf.DUMMYFUNCTION("""COMPUTED_VALUE"""),0)</f>
        <v>0</v>
      </c>
      <c r="BD194" s="30"/>
      <c r="BE194" s="30"/>
      <c r="BF194" s="30" t="b">
        <f ca="1">IFERROR(__xludf.DUMMYFUNCTION("""COMPUTED_VALUE"""),FALSE)</f>
        <v>0</v>
      </c>
      <c r="BG194" s="30"/>
      <c r="BH194" s="30"/>
      <c r="BI194" s="30"/>
      <c r="BJ194" s="30"/>
      <c r="BK194" s="30"/>
      <c r="BL194" s="30"/>
      <c r="BM194" s="30" t="str">
        <f ca="1">IFERROR(__xludf.DUMMYFUNCTION("""COMPUTED_VALUE"""),"No")</f>
        <v>No</v>
      </c>
      <c r="BN194" s="30"/>
      <c r="BO194" s="30" t="str">
        <f ca="1">IFERROR(__xludf.DUMMYFUNCTION("""COMPUTED_VALUE"""),"c9427865")</f>
        <v>c9427865</v>
      </c>
      <c r="BP194" s="29" t="str">
        <f ca="1">IFERROR(__xludf.DUMMYFUNCTION("""COMPUTED_VALUE"""),"León")</f>
        <v>León</v>
      </c>
      <c r="BQ194" s="30" t="str">
        <f ca="1">IFERROR(__xludf.DUMMYFUNCTION("""COMPUTED_VALUE"""),"Urbano")</f>
        <v>Urbano</v>
      </c>
      <c r="BR194" s="30"/>
      <c r="BS194" s="30"/>
      <c r="BT194" s="30" t="str">
        <f ca="1">IFERROR(__xludf.DUMMYFUNCTION("""COMPUTED_VALUE"""),"La Martinica")</f>
        <v>La Martinica</v>
      </c>
      <c r="BU194" s="30" t="str">
        <f ca="1">IFERROR(__xludf.DUMMYFUNCTION("""COMPUTED_VALUE"""),"No")</f>
        <v>No</v>
      </c>
      <c r="BV194" s="30" t="str">
        <f ca="1">IFERROR(__xludf.DUMMYFUNCTION("""COMPUTED_VALUE"""),"No")</f>
        <v>No</v>
      </c>
      <c r="BW194" s="30">
        <f ca="1">IFERROR(__xludf.DUMMYFUNCTION("""COMPUTED_VALUE"""),43)</f>
        <v>43</v>
      </c>
      <c r="BX194" s="30"/>
      <c r="BY194" s="30">
        <f ca="1">IFERROR(__xludf.DUMMYFUNCTION("""COMPUTED_VALUE"""),43)</f>
        <v>43</v>
      </c>
      <c r="BZ194" s="30" t="str">
        <f ca="1">IFERROR(__xludf.DUMMYFUNCTION("""COMPUTED_VALUE"""),"La Martinica")</f>
        <v>La Martinica</v>
      </c>
      <c r="CA194" s="30" t="str">
        <f ca="1">IFERROR(__xludf.DUMMYFUNCTION("""COMPUTED_VALUE"""),"No")</f>
        <v>No</v>
      </c>
      <c r="CB194" s="30" t="str">
        <f ca="1">IFERROR(__xludf.DUMMYFUNCTION("""COMPUTED_VALUE"""),"No")</f>
        <v>No</v>
      </c>
      <c r="CC194" s="30" t="str">
        <f ca="1">IFERROR(__xludf.DUMMYFUNCTION("""COMPUTED_VALUE"""),"c2e210e9")</f>
        <v>c2e210e9</v>
      </c>
      <c r="CD194" s="29" t="str">
        <f ca="1">IFERROR(__xludf.DUMMYFUNCTION("""COMPUTED_VALUE"""),"Adultos (30 a 59 años)")</f>
        <v>Adultos (30 a 59 años)</v>
      </c>
      <c r="CE194" s="30" t="str">
        <f ca="1">IFERROR(__xludf.DUMMYFUNCTION("""COMPUTED_VALUE"""),"Dato global")</f>
        <v>Dato global</v>
      </c>
      <c r="CF194" s="30" t="str">
        <f ca="1">IFERROR(__xludf.DUMMYFUNCTION("""COMPUTED_VALUE"""),"Ninguno (Población General)")</f>
        <v>Ninguno (Población General)</v>
      </c>
      <c r="CG194" s="30">
        <f ca="1">IFERROR(__xludf.DUMMYFUNCTION("""COMPUTED_VALUE"""),20)</f>
        <v>20</v>
      </c>
      <c r="CI194" s="30" t="str">
        <f ca="1">IFERROR(__xludf.DUMMYFUNCTION("""COMPUTED_VALUE"""),"7d6fbf72")</f>
        <v>7d6fbf72</v>
      </c>
      <c r="CJ194" s="29" t="str">
        <f ca="1">IFERROR(__xludf.DUMMYFUNCTION("""COMPUTED_VALUE"""),"Regitro_Evidencia_Images/7d6fbf72.Archivo_Evidencia.215503.jpg")</f>
        <v>Regitro_Evidencia_Images/7d6fbf72.Archivo_Evidencia.215503.jpg</v>
      </c>
      <c r="CK194" s="30" t="str">
        <f ca="1">IFERROR(__xludf.DUMMYFUNCTION("""COMPUTED_VALUE"""),"Foto")</f>
        <v>Foto</v>
      </c>
      <c r="CL194" s="30"/>
      <c r="CM194" s="30" t="str">
        <f ca="1">IFERROR(__xludf.DUMMYFUNCTION("""COMPUTED_VALUE"""),"León")</f>
        <v>León</v>
      </c>
      <c r="CN194" s="32" t="e">
        <f ca="1"/>
        <v>#NAME?</v>
      </c>
      <c r="CO194" s="32" t="e">
        <f ca="1"/>
        <v>#NAME?</v>
      </c>
      <c r="CP194" s="32" t="e">
        <f ca="1"/>
        <v>#NAME?</v>
      </c>
      <c r="CQ194" s="32" t="e">
        <f ca="1"/>
        <v>#NAME?</v>
      </c>
      <c r="CR194" s="30" t="e">
        <f ca="1"/>
        <v>#NAME?</v>
      </c>
      <c r="CS194" s="30" t="str">
        <f ca="1">IFERROR(__xludf.DUMMYFUNCTION("""COMPUTED_VALUE"""),"Ninguno (Población General), Ninguno (Población General)")</f>
        <v>Ninguno (Población General), Ninguno (Población General)</v>
      </c>
    </row>
    <row r="195" spans="1:97" ht="13">
      <c r="A195" s="29" t="str">
        <f ca="1">IFERROR(__xludf.DUMMYFUNCTION("""COMPUTED_VALUE"""),"ACT-SCPH90627")</f>
        <v>ACT-SCPH90627</v>
      </c>
      <c r="B195" s="30" t="str">
        <f ca="1">IFERROR(__xludf.DUMMYFUNCTION("""COMPUTED_VALUE"""),"SC-260705-125950")</f>
        <v>SC-260705-125950</v>
      </c>
      <c r="C195" s="62">
        <f ca="1">IFERROR(__xludf.DUMMYFUNCTION("""COMPUTED_VALUE"""),46208.5415509259)</f>
        <v>46208.541550925896</v>
      </c>
      <c r="D195" s="30">
        <f ca="1">IFERROR(__xludf.DUMMYFUNCTION("""COMPUTED_VALUE"""),92)</f>
        <v>92</v>
      </c>
      <c r="E195" s="30" t="str">
        <f ca="1">IFERROR(__xludf.DUMMYFUNCTION("""COMPUTED_VALUE"""),"PB3572")</f>
        <v>PB3572</v>
      </c>
      <c r="F19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5" s="30" t="str">
        <f ca="1">IFERROR(__xludf.DUMMYFUNCTION("""COMPUTED_VALUE"""),"SUBSECRETARÍA DE DESARROLLO Y PROMOCIÓN ARTÍSTICA Y CULTURAL")</f>
        <v>SUBSECRETARÍA DE DESARROLLO Y PROMOCIÓN ARTÍSTICA Y CULTURAL</v>
      </c>
      <c r="I195" s="34" t="str">
        <f ca="1">IFERROR(__xludf.DUMMYFUNCTION("""COMPUTED_VALUE"""),"DIRECCIÓN GENERAL DE MUSEOS, ARTES VISUALES Y EXPOSICIONES")</f>
        <v>DIRECCIÓN GENERAL DE MUSEOS, ARTES VISUALES Y EXPOSICIONES</v>
      </c>
      <c r="J195" s="30" t="str">
        <f ca="1">IFERROR(__xludf.DUMMYFUNCTION("""COMPUTED_VALUE"""),"Número de Actividades realizadas")</f>
        <v>Número de Actividades realizadas</v>
      </c>
      <c r="K195" s="30">
        <f ca="1">IFERROR(__xludf.DUMMYFUNCTION("""COMPUTED_VALUE"""),800)</f>
        <v>800</v>
      </c>
      <c r="L195" s="30" t="str">
        <f ca="1">IFERROR(__xludf.DUMMYFUNCTION("""COMPUTED_VALUE"""),"Cultural")</f>
        <v>Cultural</v>
      </c>
      <c r="M195" s="30" t="str">
        <f ca="1">IFERROR(__xludf.DUMMYFUNCTION("""COMPUTED_VALUE"""),"Visita ""UPN""")</f>
        <v>Visita "UPN"</v>
      </c>
      <c r="N195" s="30" t="str">
        <f ca="1">IFERROR(__xludf.DUMMYFUNCTION("""COMPUTED_VALUE"""),"Visita mediada")</f>
        <v>Visita mediada</v>
      </c>
      <c r="O195" s="30" t="str">
        <f ca="1">IFERROR(__xludf.DUMMYFUNCTION("""COMPUTED_VALUE"""),"Única")</f>
        <v>Única</v>
      </c>
      <c r="P195" s="33">
        <f ca="1">IFERROR(__xludf.DUMMYFUNCTION("""COMPUTED_VALUE"""),46148)</f>
        <v>46148</v>
      </c>
      <c r="Q195" s="33">
        <f ca="1">IFERROR(__xludf.DUMMYFUNCTION("""COMPUTED_VALUE"""),46148)</f>
        <v>46148</v>
      </c>
      <c r="R195" s="30">
        <f ca="1">IFERROR(__xludf.DUMMYFUNCTION("""COMPUTED_VALUE"""),1)</f>
        <v>1</v>
      </c>
      <c r="S195" s="30" t="str">
        <f ca="1">IFERROR(__xludf.DUMMYFUNCTION("""COMPUTED_VALUE"""),"Cultura comunitaria")</f>
        <v>Cultura comunitaria</v>
      </c>
      <c r="T195" s="30" t="str">
        <f ca="1">IFERROR(__xludf.DUMMYFUNCTION("""COMPUTED_VALUE"""),"Mediación cultural")</f>
        <v>Mediación cultural</v>
      </c>
      <c r="U195" s="30" t="str">
        <f ca="1">IFERROR(__xludf.DUMMYFUNCTION("""COMPUTED_VALUE"""),"Visitas escolares")</f>
        <v>Visitas escolares</v>
      </c>
      <c r="V195" s="30" t="str">
        <f ca="1">IFERROR(__xludf.DUMMYFUNCTION("""COMPUTED_VALUE"""),"Ninguna")</f>
        <v>Ninguna</v>
      </c>
      <c r="W195" s="30" t="str">
        <f ca="1">IFERROR(__xludf.DUMMYFUNCTION("""COMPUTED_VALUE"""),"Presencial")</f>
        <v>Presencial</v>
      </c>
      <c r="X195" s="30" t="str">
        <f ca="1">IFERROR(__xludf.DUMMYFUNCTION("""COMPUTED_VALUE"""),"Espacio a Cargo de la Secretaría")</f>
        <v>Espacio a Cargo de la Secretaría</v>
      </c>
      <c r="Y195" s="30" t="str">
        <f ca="1">IFERROR(__xludf.DUMMYFUNCTION("""COMPUTED_VALUE"""),"8")</f>
        <v>8</v>
      </c>
      <c r="Z195" s="30"/>
      <c r="AA195" s="30"/>
      <c r="AB195" s="30" t="b">
        <f ca="1">IFERROR(__xludf.DUMMYFUNCTION("""COMPUTED_VALUE"""),FALSE)</f>
        <v>0</v>
      </c>
      <c r="AC195" s="30"/>
      <c r="AD195" s="30" t="b">
        <f ca="1">IFERROR(__xludf.DUMMYFUNCTION("""COMPUTED_VALUE"""),FALSE)</f>
        <v>0</v>
      </c>
      <c r="AE195" s="30"/>
      <c r="AF195" s="30" t="b">
        <f ca="1">IFERROR(__xludf.DUMMYFUNCTION("""COMPUTED_VALUE"""),FALSE)</f>
        <v>0</v>
      </c>
      <c r="AG195" s="30"/>
      <c r="AH195" s="30" t="str">
        <f ca="1">IFERROR(__xludf.DUMMYFUNCTION("""COMPUTED_VALUE"""),"Sin costo")</f>
        <v>Sin costo</v>
      </c>
      <c r="AI195" s="30"/>
      <c r="AJ195" s="30"/>
      <c r="AK195" s="30"/>
      <c r="AL195" s="30" t="str">
        <f ca="1">IFERROR(__xludf.DUMMYFUNCTION("""COMPUTED_VALUE"""),"ccardonav@guanajuato.gob.mx")</f>
        <v>ccardonav@guanajuato.gob.mx</v>
      </c>
      <c r="AM195" s="30" t="str">
        <f ca="1">IFERROR(__xludf.DUMMYFUNCTION("""COMPUTED_VALUE"""),"Arraigo y empoderamiento cultural de comunidades.")</f>
        <v>Arraigo y empoderamiento cultural de comunidades.</v>
      </c>
      <c r="AN195" s="30" t="str">
        <f ca="1">IFERROR(__xludf.DUMMYFUNCTION("""COMPUTED_VALUE"""),"2 Igualdad")</f>
        <v>2 Igualdad</v>
      </c>
      <c r="AO195" s="30" t="str">
        <f ca="1">IFERROR(__xludf.DUMMYFUNCTION("""COMPUTED_VALUE"""),"2.4 Reducir brechas de desigualdad")</f>
        <v>2.4 Reducir brechas de desigualdad</v>
      </c>
      <c r="AP195" s="30" t="str">
        <f ca="1">IFERROR(__xludf.DUMMYFUNCTION("""COMPUTED_VALUE"""),"2.4.3 Descentralización de la oferta cultural")</f>
        <v>2.4.3 Descentralización de la oferta cultural</v>
      </c>
      <c r="AQ195" s="30" t="str">
        <f ca="1">IFERROR(__xludf.DUMMYFUNCTION("""COMPUTED_VALUE"""),"2.4.3.1 Impulsar el desarrollo artístico y cultural entre infancias y juventudes")</f>
        <v>2.4.3.1 Impulsar el desarrollo artístico y cultural entre infancias y juventudes</v>
      </c>
      <c r="AR195" s="30" t="str">
        <f ca="1">IFERROR(__xludf.DUMMYFUNCTION("""COMPUTED_VALUE"""),"Ninguno")</f>
        <v>Ninguno</v>
      </c>
      <c r="AS195" s="30"/>
      <c r="AT195" s="30" t="str">
        <f ca="1">IFERROR(__xludf.DUMMYFUNCTION("""COMPUTED_VALUE"""),"Fortalecimiento de la participación ciudadana y la mediación cultural")</f>
        <v>Fortalecimiento de la participación ciudadana y la mediación cultural</v>
      </c>
      <c r="AU195" s="30" t="str">
        <f ca="1">IFERROR(__xludf.DUMMYFUNCTION("""COMPUTED_VALUE"""),"Fortalecimiento del diálogo, la mediación y las capacidades de las redes comunitarias.")</f>
        <v>Fortalecimiento del diálogo, la mediación y las capacidades de las redes comunitarias.</v>
      </c>
      <c r="AV19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5" s="30" t="str">
        <f ca="1">IFERROR(__xludf.DUMMYFUNCTION("""COMPUTED_VALUE"""),"Incrementar en 25% la oferta cultural realizada en los municipios.")</f>
        <v>Incrementar en 25% la oferta cultural realizada en los municipios.</v>
      </c>
      <c r="AX195" s="30" t="str">
        <f ca="1">IFERROR(__xludf.DUMMYFUNCTION("""COMPUTED_VALUE"""),"Visitas escolares")</f>
        <v>Visitas escolares</v>
      </c>
      <c r="AY195" s="30" t="str">
        <f ca="1">IFERROR(__xludf.DUMMYFUNCTION("""COMPUTED_VALUE"""),"Mediación")</f>
        <v>Mediación</v>
      </c>
      <c r="AZ195" s="30"/>
      <c r="BA195" s="30"/>
      <c r="BB195" s="30"/>
      <c r="BC195" s="30">
        <f ca="1">IFERROR(__xludf.DUMMYFUNCTION("""COMPUTED_VALUE"""),0)</f>
        <v>0</v>
      </c>
      <c r="BD195" s="30"/>
      <c r="BE195" s="30"/>
      <c r="BF195" s="30" t="b">
        <f ca="1">IFERROR(__xludf.DUMMYFUNCTION("""COMPUTED_VALUE"""),FALSE)</f>
        <v>0</v>
      </c>
      <c r="BG195" s="30"/>
      <c r="BH195" s="30"/>
      <c r="BI195" s="30"/>
      <c r="BJ195" s="30"/>
      <c r="BK195" s="30"/>
      <c r="BL195" s="30"/>
      <c r="BM195" s="30" t="str">
        <f ca="1">IFERROR(__xludf.DUMMYFUNCTION("""COMPUTED_VALUE"""),"No")</f>
        <v>No</v>
      </c>
      <c r="BN195" s="30"/>
      <c r="BO195" s="30" t="str">
        <f ca="1">IFERROR(__xludf.DUMMYFUNCTION("""COMPUTED_VALUE"""),"b38f2f94")</f>
        <v>b38f2f94</v>
      </c>
      <c r="BP195" s="29" t="str">
        <f ca="1">IFERROR(__xludf.DUMMYFUNCTION("""COMPUTED_VALUE"""),"León")</f>
        <v>León</v>
      </c>
      <c r="BQ195" s="30" t="str">
        <f ca="1">IFERROR(__xludf.DUMMYFUNCTION("""COMPUTED_VALUE"""),"Urbano")</f>
        <v>Urbano</v>
      </c>
      <c r="BR195" s="30"/>
      <c r="BS195" s="30"/>
      <c r="BT195" s="30" t="str">
        <f ca="1">IFERROR(__xludf.DUMMYFUNCTION("""COMPUTED_VALUE"""),"La Martinica")</f>
        <v>La Martinica</v>
      </c>
      <c r="BU195" s="30" t="str">
        <f ca="1">IFERROR(__xludf.DUMMYFUNCTION("""COMPUTED_VALUE"""),"No")</f>
        <v>No</v>
      </c>
      <c r="BV195" s="30" t="str">
        <f ca="1">IFERROR(__xludf.DUMMYFUNCTION("""COMPUTED_VALUE"""),"No")</f>
        <v>No</v>
      </c>
      <c r="BW195" s="30">
        <f ca="1">IFERROR(__xludf.DUMMYFUNCTION("""COMPUTED_VALUE"""),50)</f>
        <v>50</v>
      </c>
      <c r="BX195" s="30"/>
      <c r="BY195" s="30">
        <f ca="1">IFERROR(__xludf.DUMMYFUNCTION("""COMPUTED_VALUE"""),50)</f>
        <v>50</v>
      </c>
      <c r="BZ195" s="30" t="str">
        <f ca="1">IFERROR(__xludf.DUMMYFUNCTION("""COMPUTED_VALUE"""),"La Martinica")</f>
        <v>La Martinica</v>
      </c>
      <c r="CA195" s="30" t="str">
        <f ca="1">IFERROR(__xludf.DUMMYFUNCTION("""COMPUTED_VALUE"""),"No")</f>
        <v>No</v>
      </c>
      <c r="CB195" s="30" t="str">
        <f ca="1">IFERROR(__xludf.DUMMYFUNCTION("""COMPUTED_VALUE"""),"No")</f>
        <v>No</v>
      </c>
      <c r="CC195" s="30" t="str">
        <f ca="1">IFERROR(__xludf.DUMMYFUNCTION("""COMPUTED_VALUE"""),"5f1920d2")</f>
        <v>5f1920d2</v>
      </c>
      <c r="CD195" s="29" t="str">
        <f ca="1">IFERROR(__xludf.DUMMYFUNCTION("""COMPUTED_VALUE"""),"Adultos Mayores (60 años o más)")</f>
        <v>Adultos Mayores (60 años o más)</v>
      </c>
      <c r="CE195" s="30" t="str">
        <f ca="1">IFERROR(__xludf.DUMMYFUNCTION("""COMPUTED_VALUE"""),"Dato global")</f>
        <v>Dato global</v>
      </c>
      <c r="CF195" s="30" t="str">
        <f ca="1">IFERROR(__xludf.DUMMYFUNCTION("""COMPUTED_VALUE"""),"Ninguno (Población General)")</f>
        <v>Ninguno (Población General)</v>
      </c>
      <c r="CG195" s="30">
        <f ca="1">IFERROR(__xludf.DUMMYFUNCTION("""COMPUTED_VALUE"""),40)</f>
        <v>40</v>
      </c>
      <c r="CI195" s="30" t="str">
        <f ca="1">IFERROR(__xludf.DUMMYFUNCTION("""COMPUTED_VALUE"""),"51959d5b")</f>
        <v>51959d5b</v>
      </c>
      <c r="CJ195" s="29" t="str">
        <f ca="1">IFERROR(__xludf.DUMMYFUNCTION("""COMPUTED_VALUE"""),"Regitro_Evidencia_Images/51959d5b.Archivo_Evidencia.202624.jpg")</f>
        <v>Regitro_Evidencia_Images/51959d5b.Archivo_Evidencia.202624.jpg</v>
      </c>
      <c r="CK195" s="30" t="str">
        <f ca="1">IFERROR(__xludf.DUMMYFUNCTION("""COMPUTED_VALUE"""),"Foto")</f>
        <v>Foto</v>
      </c>
      <c r="CL195" s="30"/>
      <c r="CM195" s="30" t="str">
        <f ca="1">IFERROR(__xludf.DUMMYFUNCTION("""COMPUTED_VALUE"""),"León")</f>
        <v>León</v>
      </c>
      <c r="CN195" s="32" t="e">
        <f ca="1"/>
        <v>#NAME?</v>
      </c>
      <c r="CO195" s="32" t="e">
        <f ca="1"/>
        <v>#NAME?</v>
      </c>
      <c r="CP195" s="32" t="e">
        <f ca="1"/>
        <v>#NAME?</v>
      </c>
      <c r="CQ195" s="32" t="e">
        <f ca="1"/>
        <v>#NAME?</v>
      </c>
      <c r="CR195" s="30" t="e">
        <f ca="1"/>
        <v>#NAME?</v>
      </c>
      <c r="CS195" s="30" t="str">
        <f ca="1">IFERROR(__xludf.DUMMYFUNCTION("""COMPUTED_VALUE"""),"Ninguno (Población General), Ninguno (Población General)")</f>
        <v>Ninguno (Población General), Ninguno (Población General)</v>
      </c>
    </row>
    <row r="196" spans="1:97" ht="13">
      <c r="A196" s="29" t="str">
        <f ca="1">IFERROR(__xludf.DUMMYFUNCTION("""COMPUTED_VALUE"""),"ACT-SCPN85383")</f>
        <v>ACT-SCPN85383</v>
      </c>
      <c r="B196" s="30" t="str">
        <f ca="1">IFERROR(__xludf.DUMMYFUNCTION("""COMPUTED_VALUE"""),"SC-260705-130839")</f>
        <v>SC-260705-130839</v>
      </c>
      <c r="C196" s="62">
        <f ca="1">IFERROR(__xludf.DUMMYFUNCTION("""COMPUTED_VALUE"""),46208.5476736111)</f>
        <v>46208.547673611101</v>
      </c>
      <c r="D196" s="30">
        <f ca="1">IFERROR(__xludf.DUMMYFUNCTION("""COMPUTED_VALUE"""),92)</f>
        <v>92</v>
      </c>
      <c r="E196" s="30" t="str">
        <f ca="1">IFERROR(__xludf.DUMMYFUNCTION("""COMPUTED_VALUE"""),"PB3572")</f>
        <v>PB3572</v>
      </c>
      <c r="F19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6" s="30" t="str">
        <f ca="1">IFERROR(__xludf.DUMMYFUNCTION("""COMPUTED_VALUE"""),"SUBSECRETARÍA DE DESARROLLO Y PROMOCIÓN ARTÍSTICA Y CULTURAL")</f>
        <v>SUBSECRETARÍA DE DESARROLLO Y PROMOCIÓN ARTÍSTICA Y CULTURAL</v>
      </c>
      <c r="I196" s="34" t="str">
        <f ca="1">IFERROR(__xludf.DUMMYFUNCTION("""COMPUTED_VALUE"""),"DIRECCIÓN GENERAL DE MUSEOS, ARTES VISUALES Y EXPOSICIONES")</f>
        <v>DIRECCIÓN GENERAL DE MUSEOS, ARTES VISUALES Y EXPOSICIONES</v>
      </c>
      <c r="J196" s="30" t="str">
        <f ca="1">IFERROR(__xludf.DUMMYFUNCTION("""COMPUTED_VALUE"""),"Número de Actividades realizadas")</f>
        <v>Número de Actividades realizadas</v>
      </c>
      <c r="K196" s="30">
        <f ca="1">IFERROR(__xludf.DUMMYFUNCTION("""COMPUTED_VALUE"""),800)</f>
        <v>800</v>
      </c>
      <c r="L196" s="30" t="str">
        <f ca="1">IFERROR(__xludf.DUMMYFUNCTION("""COMPUTED_VALUE"""),"Cultural")</f>
        <v>Cultural</v>
      </c>
      <c r="M196" s="30" t="str">
        <f ca="1">IFERROR(__xludf.DUMMYFUNCTION("""COMPUTED_VALUE"""),"Visita escolar ""PREPARATORIA OFICIAL""")</f>
        <v>Visita escolar "PREPARATORIA OFICIAL"</v>
      </c>
      <c r="N196" s="30" t="str">
        <f ca="1">IFERROR(__xludf.DUMMYFUNCTION("""COMPUTED_VALUE"""),"Visita mediada")</f>
        <v>Visita mediada</v>
      </c>
      <c r="O196" s="30" t="str">
        <f ca="1">IFERROR(__xludf.DUMMYFUNCTION("""COMPUTED_VALUE"""),"Única")</f>
        <v>Única</v>
      </c>
      <c r="P196" s="33">
        <f ca="1">IFERROR(__xludf.DUMMYFUNCTION("""COMPUTED_VALUE"""),46149)</f>
        <v>46149</v>
      </c>
      <c r="Q196" s="33">
        <f ca="1">IFERROR(__xludf.DUMMYFUNCTION("""COMPUTED_VALUE"""),46149)</f>
        <v>46149</v>
      </c>
      <c r="R196" s="30">
        <f ca="1">IFERROR(__xludf.DUMMYFUNCTION("""COMPUTED_VALUE"""),1)</f>
        <v>1</v>
      </c>
      <c r="S196" s="30" t="str">
        <f ca="1">IFERROR(__xludf.DUMMYFUNCTION("""COMPUTED_VALUE"""),"Cultura comunitaria")</f>
        <v>Cultura comunitaria</v>
      </c>
      <c r="T196" s="30" t="str">
        <f ca="1">IFERROR(__xludf.DUMMYFUNCTION("""COMPUTED_VALUE"""),"Mediación cultural")</f>
        <v>Mediación cultural</v>
      </c>
      <c r="U196" s="30" t="str">
        <f ca="1">IFERROR(__xludf.DUMMYFUNCTION("""COMPUTED_VALUE"""),"Visitas escolares")</f>
        <v>Visitas escolares</v>
      </c>
      <c r="V196" s="30" t="str">
        <f ca="1">IFERROR(__xludf.DUMMYFUNCTION("""COMPUTED_VALUE"""),"Ninguna")</f>
        <v>Ninguna</v>
      </c>
      <c r="W196" s="30" t="str">
        <f ca="1">IFERROR(__xludf.DUMMYFUNCTION("""COMPUTED_VALUE"""),"Presencial")</f>
        <v>Presencial</v>
      </c>
      <c r="X196" s="30" t="str">
        <f ca="1">IFERROR(__xludf.DUMMYFUNCTION("""COMPUTED_VALUE"""),"Espacio a Cargo de la Secretaría")</f>
        <v>Espacio a Cargo de la Secretaría</v>
      </c>
      <c r="Y196" s="30" t="str">
        <f ca="1">IFERROR(__xludf.DUMMYFUNCTION("""COMPUTED_VALUE"""),"8")</f>
        <v>8</v>
      </c>
      <c r="Z196" s="30"/>
      <c r="AA196" s="30"/>
      <c r="AB196" s="30" t="b">
        <f ca="1">IFERROR(__xludf.DUMMYFUNCTION("""COMPUTED_VALUE"""),FALSE)</f>
        <v>0</v>
      </c>
      <c r="AC196" s="30"/>
      <c r="AD196" s="30" t="b">
        <f ca="1">IFERROR(__xludf.DUMMYFUNCTION("""COMPUTED_VALUE"""),FALSE)</f>
        <v>0</v>
      </c>
      <c r="AE196" s="30"/>
      <c r="AF196" s="30" t="b">
        <f ca="1">IFERROR(__xludf.DUMMYFUNCTION("""COMPUTED_VALUE"""),FALSE)</f>
        <v>0</v>
      </c>
      <c r="AG196" s="30"/>
      <c r="AH196" s="30" t="str">
        <f ca="1">IFERROR(__xludf.DUMMYFUNCTION("""COMPUTED_VALUE"""),"Sin costo")</f>
        <v>Sin costo</v>
      </c>
      <c r="AI196" s="30"/>
      <c r="AJ196" s="30"/>
      <c r="AK196" s="30"/>
      <c r="AL196" s="30" t="str">
        <f ca="1">IFERROR(__xludf.DUMMYFUNCTION("""COMPUTED_VALUE"""),"ccardonav@guanajuato.gob.mx")</f>
        <v>ccardonav@guanajuato.gob.mx</v>
      </c>
      <c r="AM196" s="30" t="str">
        <f ca="1">IFERROR(__xludf.DUMMYFUNCTION("""COMPUTED_VALUE"""),"Arraigo y empoderamiento cultural de comunidades.")</f>
        <v>Arraigo y empoderamiento cultural de comunidades.</v>
      </c>
      <c r="AN196" s="30" t="str">
        <f ca="1">IFERROR(__xludf.DUMMYFUNCTION("""COMPUTED_VALUE"""),"2 Igualdad")</f>
        <v>2 Igualdad</v>
      </c>
      <c r="AO196" s="30" t="str">
        <f ca="1">IFERROR(__xludf.DUMMYFUNCTION("""COMPUTED_VALUE"""),"2.4 Reducir brechas de desigualdad")</f>
        <v>2.4 Reducir brechas de desigualdad</v>
      </c>
      <c r="AP196" s="30" t="str">
        <f ca="1">IFERROR(__xludf.DUMMYFUNCTION("""COMPUTED_VALUE"""),"2.4.3 Descentralización de la oferta cultural")</f>
        <v>2.4.3 Descentralización de la oferta cultural</v>
      </c>
      <c r="AQ196" s="30" t="str">
        <f ca="1">IFERROR(__xludf.DUMMYFUNCTION("""COMPUTED_VALUE"""),"2.4.3.1 Impulsar el desarrollo artístico y cultural entre infancias y juventudes")</f>
        <v>2.4.3.1 Impulsar el desarrollo artístico y cultural entre infancias y juventudes</v>
      </c>
      <c r="AR196" s="30" t="str">
        <f ca="1">IFERROR(__xludf.DUMMYFUNCTION("""COMPUTED_VALUE"""),"Ninguno")</f>
        <v>Ninguno</v>
      </c>
      <c r="AS196" s="30"/>
      <c r="AT196" s="30" t="str">
        <f ca="1">IFERROR(__xludf.DUMMYFUNCTION("""COMPUTED_VALUE"""),"Fortalecimiento de la participación ciudadana y la mediación cultural")</f>
        <v>Fortalecimiento de la participación ciudadana y la mediación cultural</v>
      </c>
      <c r="AU196" s="30" t="str">
        <f ca="1">IFERROR(__xludf.DUMMYFUNCTION("""COMPUTED_VALUE"""),"Fortalecimiento del diálogo, la mediación y las capacidades de las redes comunitarias.")</f>
        <v>Fortalecimiento del diálogo, la mediación y las capacidades de las redes comunitarias.</v>
      </c>
      <c r="AV19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6" s="30" t="str">
        <f ca="1">IFERROR(__xludf.DUMMYFUNCTION("""COMPUTED_VALUE"""),"Incrementar en 25% la oferta cultural realizada en los municipios.")</f>
        <v>Incrementar en 25% la oferta cultural realizada en los municipios.</v>
      </c>
      <c r="AX196" s="30" t="str">
        <f ca="1">IFERROR(__xludf.DUMMYFUNCTION("""COMPUTED_VALUE"""),"Visitas escolares")</f>
        <v>Visitas escolares</v>
      </c>
      <c r="AY196" s="30" t="str">
        <f ca="1">IFERROR(__xludf.DUMMYFUNCTION("""COMPUTED_VALUE"""),"Mediación")</f>
        <v>Mediación</v>
      </c>
      <c r="AZ196" s="30"/>
      <c r="BA196" s="30"/>
      <c r="BB196" s="30"/>
      <c r="BC196" s="30">
        <f ca="1">IFERROR(__xludf.DUMMYFUNCTION("""COMPUTED_VALUE"""),0)</f>
        <v>0</v>
      </c>
      <c r="BD196" s="30"/>
      <c r="BE196" s="30"/>
      <c r="BF196" s="30" t="b">
        <f ca="1">IFERROR(__xludf.DUMMYFUNCTION("""COMPUTED_VALUE"""),FALSE)</f>
        <v>0</v>
      </c>
      <c r="BG196" s="30"/>
      <c r="BH196" s="30"/>
      <c r="BI196" s="30"/>
      <c r="BJ196" s="30"/>
      <c r="BK196" s="30"/>
      <c r="BL196" s="30"/>
      <c r="BM196" s="30" t="str">
        <f ca="1">IFERROR(__xludf.DUMMYFUNCTION("""COMPUTED_VALUE"""),"No")</f>
        <v>No</v>
      </c>
      <c r="BN196" s="30"/>
      <c r="BO196" s="30" t="str">
        <f ca="1">IFERROR(__xludf.DUMMYFUNCTION("""COMPUTED_VALUE"""),"492b84a0")</f>
        <v>492b84a0</v>
      </c>
      <c r="BP196" s="29" t="str">
        <f ca="1">IFERROR(__xludf.DUMMYFUNCTION("""COMPUTED_VALUE"""),"León")</f>
        <v>León</v>
      </c>
      <c r="BQ196" s="30" t="str">
        <f ca="1">IFERROR(__xludf.DUMMYFUNCTION("""COMPUTED_VALUE"""),"Urbano")</f>
        <v>Urbano</v>
      </c>
      <c r="BR196" s="30"/>
      <c r="BS196" s="30"/>
      <c r="BT196" s="30" t="str">
        <f ca="1">IFERROR(__xludf.DUMMYFUNCTION("""COMPUTED_VALUE"""),"La Martinica")</f>
        <v>La Martinica</v>
      </c>
      <c r="BU196" s="30" t="str">
        <f ca="1">IFERROR(__xludf.DUMMYFUNCTION("""COMPUTED_VALUE"""),"No")</f>
        <v>No</v>
      </c>
      <c r="BV196" s="30" t="str">
        <f ca="1">IFERROR(__xludf.DUMMYFUNCTION("""COMPUTED_VALUE"""),"No")</f>
        <v>No</v>
      </c>
      <c r="BW196" s="30">
        <f ca="1">IFERROR(__xludf.DUMMYFUNCTION("""COMPUTED_VALUE"""),51)</f>
        <v>51</v>
      </c>
      <c r="BX196" s="30"/>
      <c r="BY196" s="30">
        <f ca="1">IFERROR(__xludf.DUMMYFUNCTION("""COMPUTED_VALUE"""),51)</f>
        <v>51</v>
      </c>
      <c r="BZ196" s="30" t="str">
        <f ca="1">IFERROR(__xludf.DUMMYFUNCTION("""COMPUTED_VALUE"""),"La Martinica")</f>
        <v>La Martinica</v>
      </c>
      <c r="CA196" s="30" t="str">
        <f ca="1">IFERROR(__xludf.DUMMYFUNCTION("""COMPUTED_VALUE"""),"No")</f>
        <v>No</v>
      </c>
      <c r="CB196" s="30" t="str">
        <f ca="1">IFERROR(__xludf.DUMMYFUNCTION("""COMPUTED_VALUE"""),"No")</f>
        <v>No</v>
      </c>
      <c r="CC196" s="30" t="str">
        <f ca="1">IFERROR(__xludf.DUMMYFUNCTION("""COMPUTED_VALUE"""),"0ad3265f")</f>
        <v>0ad3265f</v>
      </c>
      <c r="CD196" s="29" t="str">
        <f ca="1">IFERROR(__xludf.DUMMYFUNCTION("""COMPUTED_VALUE"""),"Adultos (30 a 59 años)")</f>
        <v>Adultos (30 a 59 años)</v>
      </c>
      <c r="CE196" s="30" t="str">
        <f ca="1">IFERROR(__xludf.DUMMYFUNCTION("""COMPUTED_VALUE"""),"Dato global")</f>
        <v>Dato global</v>
      </c>
      <c r="CF196" s="30" t="str">
        <f ca="1">IFERROR(__xludf.DUMMYFUNCTION("""COMPUTED_VALUE"""),"Comunidad LGBTIQ+")</f>
        <v>Comunidad LGBTIQ+</v>
      </c>
      <c r="CG196" s="30">
        <f ca="1">IFERROR(__xludf.DUMMYFUNCTION("""COMPUTED_VALUE"""),24)</f>
        <v>24</v>
      </c>
      <c r="CI196" s="30" t="str">
        <f ca="1">IFERROR(__xludf.DUMMYFUNCTION("""COMPUTED_VALUE"""),"13c4f81b")</f>
        <v>13c4f81b</v>
      </c>
      <c r="CJ196" s="29" t="str">
        <f ca="1">IFERROR(__xludf.DUMMYFUNCTION("""COMPUTED_VALUE"""),"Regitro_Evidencia_Images/13c4f81b.Archivo_Evidencia.203048.jpg")</f>
        <v>Regitro_Evidencia_Images/13c4f81b.Archivo_Evidencia.203048.jpg</v>
      </c>
      <c r="CK196" s="30" t="str">
        <f ca="1">IFERROR(__xludf.DUMMYFUNCTION("""COMPUTED_VALUE"""),"Foto")</f>
        <v>Foto</v>
      </c>
      <c r="CL196" s="30"/>
      <c r="CM196" s="30" t="str">
        <f ca="1">IFERROR(__xludf.DUMMYFUNCTION("""COMPUTED_VALUE"""),"León")</f>
        <v>León</v>
      </c>
      <c r="CN196" s="32" t="e">
        <f ca="1"/>
        <v>#NAME?</v>
      </c>
      <c r="CO196" s="32" t="e">
        <f ca="1"/>
        <v>#NAME?</v>
      </c>
      <c r="CP196" s="32" t="e">
        <f ca="1"/>
        <v>#NAME?</v>
      </c>
      <c r="CQ196" s="32" t="e">
        <f ca="1"/>
        <v>#NAME?</v>
      </c>
      <c r="CR196" s="30" t="e">
        <f ca="1"/>
        <v>#NAME?</v>
      </c>
      <c r="CS196" s="30" t="str">
        <f ca="1">IFERROR(__xludf.DUMMYFUNCTION("""COMPUTED_VALUE"""),"Ninguno (Población General), Ninguno (Población General)")</f>
        <v>Ninguno (Población General), Ninguno (Población General)</v>
      </c>
    </row>
    <row r="197" spans="1:97" ht="13">
      <c r="A197" s="29" t="str">
        <f ca="1">IFERROR(__xludf.DUMMYFUNCTION("""COMPUTED_VALUE"""),"ACT-SCAD89173")</f>
        <v>ACT-SCAD89173</v>
      </c>
      <c r="B197" s="30" t="str">
        <f ca="1">IFERROR(__xludf.DUMMYFUNCTION("""COMPUTED_VALUE"""),"SC-260705-131255")</f>
        <v>SC-260705-131255</v>
      </c>
      <c r="C197" s="62">
        <f ca="1">IFERROR(__xludf.DUMMYFUNCTION("""COMPUTED_VALUE"""),46208.550636574)</f>
        <v>46208.550636574</v>
      </c>
      <c r="D197" s="30">
        <f ca="1">IFERROR(__xludf.DUMMYFUNCTION("""COMPUTED_VALUE"""),92)</f>
        <v>92</v>
      </c>
      <c r="E197" s="30" t="str">
        <f ca="1">IFERROR(__xludf.DUMMYFUNCTION("""COMPUTED_VALUE"""),"PB3572")</f>
        <v>PB3572</v>
      </c>
      <c r="F19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7" s="30" t="str">
        <f ca="1">IFERROR(__xludf.DUMMYFUNCTION("""COMPUTED_VALUE"""),"SUBSECRETARÍA DE DESARROLLO Y PROMOCIÓN ARTÍSTICA Y CULTURAL")</f>
        <v>SUBSECRETARÍA DE DESARROLLO Y PROMOCIÓN ARTÍSTICA Y CULTURAL</v>
      </c>
      <c r="I197" s="34" t="str">
        <f ca="1">IFERROR(__xludf.DUMMYFUNCTION("""COMPUTED_VALUE"""),"DIRECCIÓN GENERAL DE MUSEOS, ARTES VISUALES Y EXPOSICIONES")</f>
        <v>DIRECCIÓN GENERAL DE MUSEOS, ARTES VISUALES Y EXPOSICIONES</v>
      </c>
      <c r="J197" s="30" t="str">
        <f ca="1">IFERROR(__xludf.DUMMYFUNCTION("""COMPUTED_VALUE"""),"Número de Actividades realizadas")</f>
        <v>Número de Actividades realizadas</v>
      </c>
      <c r="K197" s="30">
        <f ca="1">IFERROR(__xludf.DUMMYFUNCTION("""COMPUTED_VALUE"""),800)</f>
        <v>800</v>
      </c>
      <c r="L197" s="30" t="str">
        <f ca="1">IFERROR(__xludf.DUMMYFUNCTION("""COMPUTED_VALUE"""),"Cultural")</f>
        <v>Cultural</v>
      </c>
      <c r="M197" s="30" t="str">
        <f ca="1">IFERROR(__xludf.DUMMYFUNCTION("""COMPUTED_VALUE"""),"Visita escolar ""PREPARATORIA OFICIAL""")</f>
        <v>Visita escolar "PREPARATORIA OFICIAL"</v>
      </c>
      <c r="N197" s="30" t="str">
        <f ca="1">IFERROR(__xludf.DUMMYFUNCTION("""COMPUTED_VALUE"""),"Visita Mediada")</f>
        <v>Visita Mediada</v>
      </c>
      <c r="O197" s="30" t="str">
        <f ca="1">IFERROR(__xludf.DUMMYFUNCTION("""COMPUTED_VALUE"""),"Única")</f>
        <v>Única</v>
      </c>
      <c r="P197" s="33">
        <f ca="1">IFERROR(__xludf.DUMMYFUNCTION("""COMPUTED_VALUE"""),46149)</f>
        <v>46149</v>
      </c>
      <c r="Q197" s="33">
        <f ca="1">IFERROR(__xludf.DUMMYFUNCTION("""COMPUTED_VALUE"""),46149)</f>
        <v>46149</v>
      </c>
      <c r="R197" s="30">
        <f ca="1">IFERROR(__xludf.DUMMYFUNCTION("""COMPUTED_VALUE"""),1)</f>
        <v>1</v>
      </c>
      <c r="S197" s="30" t="str">
        <f ca="1">IFERROR(__xludf.DUMMYFUNCTION("""COMPUTED_VALUE"""),"Cultura comunitaria")</f>
        <v>Cultura comunitaria</v>
      </c>
      <c r="T197" s="30" t="str">
        <f ca="1">IFERROR(__xludf.DUMMYFUNCTION("""COMPUTED_VALUE"""),"Mediación cultural")</f>
        <v>Mediación cultural</v>
      </c>
      <c r="U197" s="30" t="str">
        <f ca="1">IFERROR(__xludf.DUMMYFUNCTION("""COMPUTED_VALUE"""),"Visitas escolares")</f>
        <v>Visitas escolares</v>
      </c>
      <c r="V197" s="30" t="str">
        <f ca="1">IFERROR(__xludf.DUMMYFUNCTION("""COMPUTED_VALUE"""),"Ninguna")</f>
        <v>Ninguna</v>
      </c>
      <c r="W197" s="30" t="str">
        <f ca="1">IFERROR(__xludf.DUMMYFUNCTION("""COMPUTED_VALUE"""),"Presencial")</f>
        <v>Presencial</v>
      </c>
      <c r="X197" s="30" t="str">
        <f ca="1">IFERROR(__xludf.DUMMYFUNCTION("""COMPUTED_VALUE"""),"Espacio a Cargo de la Secretaría")</f>
        <v>Espacio a Cargo de la Secretaría</v>
      </c>
      <c r="Y197" s="30" t="str">
        <f ca="1">IFERROR(__xludf.DUMMYFUNCTION("""COMPUTED_VALUE"""),"8")</f>
        <v>8</v>
      </c>
      <c r="Z197" s="30"/>
      <c r="AA197" s="30"/>
      <c r="AB197" s="30" t="b">
        <f ca="1">IFERROR(__xludf.DUMMYFUNCTION("""COMPUTED_VALUE"""),FALSE)</f>
        <v>0</v>
      </c>
      <c r="AC197" s="30"/>
      <c r="AD197" s="30" t="b">
        <f ca="1">IFERROR(__xludf.DUMMYFUNCTION("""COMPUTED_VALUE"""),FALSE)</f>
        <v>0</v>
      </c>
      <c r="AE197" s="30"/>
      <c r="AF197" s="30" t="b">
        <f ca="1">IFERROR(__xludf.DUMMYFUNCTION("""COMPUTED_VALUE"""),FALSE)</f>
        <v>0</v>
      </c>
      <c r="AG197" s="30"/>
      <c r="AH197" s="30" t="str">
        <f ca="1">IFERROR(__xludf.DUMMYFUNCTION("""COMPUTED_VALUE"""),"Sin costo")</f>
        <v>Sin costo</v>
      </c>
      <c r="AI197" s="30"/>
      <c r="AJ197" s="30"/>
      <c r="AK197" s="30"/>
      <c r="AL197" s="30" t="str">
        <f ca="1">IFERROR(__xludf.DUMMYFUNCTION("""COMPUTED_VALUE"""),"ccardonav@guanajuato.gob.mx")</f>
        <v>ccardonav@guanajuato.gob.mx</v>
      </c>
      <c r="AM197" s="30" t="str">
        <f ca="1">IFERROR(__xludf.DUMMYFUNCTION("""COMPUTED_VALUE"""),"Arraigo y empoderamiento cultural de comunidades.")</f>
        <v>Arraigo y empoderamiento cultural de comunidades.</v>
      </c>
      <c r="AN197" s="30" t="str">
        <f ca="1">IFERROR(__xludf.DUMMYFUNCTION("""COMPUTED_VALUE"""),"2 Igualdad")</f>
        <v>2 Igualdad</v>
      </c>
      <c r="AO197" s="30" t="str">
        <f ca="1">IFERROR(__xludf.DUMMYFUNCTION("""COMPUTED_VALUE"""),"2.4 Reducir brechas de desigualdad")</f>
        <v>2.4 Reducir brechas de desigualdad</v>
      </c>
      <c r="AP197" s="30" t="str">
        <f ca="1">IFERROR(__xludf.DUMMYFUNCTION("""COMPUTED_VALUE"""),"2.4.3 Descentralización de la oferta cultural")</f>
        <v>2.4.3 Descentralización de la oferta cultural</v>
      </c>
      <c r="AQ197" s="30" t="str">
        <f ca="1">IFERROR(__xludf.DUMMYFUNCTION("""COMPUTED_VALUE"""),"2.4.3.1 Impulsar el desarrollo artístico y cultural entre infancias y juventudes")</f>
        <v>2.4.3.1 Impulsar el desarrollo artístico y cultural entre infancias y juventudes</v>
      </c>
      <c r="AR197" s="30" t="str">
        <f ca="1">IFERROR(__xludf.DUMMYFUNCTION("""COMPUTED_VALUE"""),"Ninguno")</f>
        <v>Ninguno</v>
      </c>
      <c r="AS197" s="30"/>
      <c r="AT197" s="30" t="str">
        <f ca="1">IFERROR(__xludf.DUMMYFUNCTION("""COMPUTED_VALUE"""),"Fortalecimiento de la participación ciudadana y la mediación cultural")</f>
        <v>Fortalecimiento de la participación ciudadana y la mediación cultural</v>
      </c>
      <c r="AU197" s="30" t="str">
        <f ca="1">IFERROR(__xludf.DUMMYFUNCTION("""COMPUTED_VALUE"""),"Fortalecimiento del diálogo, la mediación y las capacidades de las redes comunitarias.")</f>
        <v>Fortalecimiento del diálogo, la mediación y las capacidades de las redes comunitarias.</v>
      </c>
      <c r="AV19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7" s="30" t="str">
        <f ca="1">IFERROR(__xludf.DUMMYFUNCTION("""COMPUTED_VALUE"""),"Incrementar en 25% la oferta cultural realizada en los municipios.")</f>
        <v>Incrementar en 25% la oferta cultural realizada en los municipios.</v>
      </c>
      <c r="AX197" s="30" t="str">
        <f ca="1">IFERROR(__xludf.DUMMYFUNCTION("""COMPUTED_VALUE"""),"Visitas escolares")</f>
        <v>Visitas escolares</v>
      </c>
      <c r="AY197" s="30" t="str">
        <f ca="1">IFERROR(__xludf.DUMMYFUNCTION("""COMPUTED_VALUE"""),"Mediación")</f>
        <v>Mediación</v>
      </c>
      <c r="AZ197" s="30"/>
      <c r="BA197" s="30"/>
      <c r="BB197" s="30"/>
      <c r="BC197" s="30">
        <f ca="1">IFERROR(__xludf.DUMMYFUNCTION("""COMPUTED_VALUE"""),0)</f>
        <v>0</v>
      </c>
      <c r="BD197" s="30"/>
      <c r="BE197" s="30"/>
      <c r="BF197" s="30" t="b">
        <f ca="1">IFERROR(__xludf.DUMMYFUNCTION("""COMPUTED_VALUE"""),FALSE)</f>
        <v>0</v>
      </c>
      <c r="BG197" s="30"/>
      <c r="BH197" s="30"/>
      <c r="BI197" s="30"/>
      <c r="BJ197" s="30"/>
      <c r="BK197" s="30"/>
      <c r="BL197" s="30"/>
      <c r="BM197" s="30" t="str">
        <f ca="1">IFERROR(__xludf.DUMMYFUNCTION("""COMPUTED_VALUE"""),"No")</f>
        <v>No</v>
      </c>
      <c r="BN197" s="30"/>
      <c r="BO197" s="30" t="str">
        <f ca="1">IFERROR(__xludf.DUMMYFUNCTION("""COMPUTED_VALUE"""),"f60c1105")</f>
        <v>f60c1105</v>
      </c>
      <c r="BP197" s="29" t="str">
        <f ca="1">IFERROR(__xludf.DUMMYFUNCTION("""COMPUTED_VALUE"""),"León")</f>
        <v>León</v>
      </c>
      <c r="BQ197" s="30" t="str">
        <f ca="1">IFERROR(__xludf.DUMMYFUNCTION("""COMPUTED_VALUE"""),"Urbano")</f>
        <v>Urbano</v>
      </c>
      <c r="BR197" s="30"/>
      <c r="BS197" s="30"/>
      <c r="BT197" s="30" t="str">
        <f ca="1">IFERROR(__xludf.DUMMYFUNCTION("""COMPUTED_VALUE"""),"La Martinica")</f>
        <v>La Martinica</v>
      </c>
      <c r="BU197" s="30" t="str">
        <f ca="1">IFERROR(__xludf.DUMMYFUNCTION("""COMPUTED_VALUE"""),"No")</f>
        <v>No</v>
      </c>
      <c r="BV197" s="30" t="str">
        <f ca="1">IFERROR(__xludf.DUMMYFUNCTION("""COMPUTED_VALUE"""),"No")</f>
        <v>No</v>
      </c>
      <c r="BW197" s="30">
        <f ca="1">IFERROR(__xludf.DUMMYFUNCTION("""COMPUTED_VALUE"""),43)</f>
        <v>43</v>
      </c>
      <c r="BX197" s="30"/>
      <c r="BY197" s="30">
        <f ca="1">IFERROR(__xludf.DUMMYFUNCTION("""COMPUTED_VALUE"""),43)</f>
        <v>43</v>
      </c>
      <c r="BZ197" s="30" t="str">
        <f ca="1">IFERROR(__xludf.DUMMYFUNCTION("""COMPUTED_VALUE"""),"La Martinica")</f>
        <v>La Martinica</v>
      </c>
      <c r="CA197" s="30" t="str">
        <f ca="1">IFERROR(__xludf.DUMMYFUNCTION("""COMPUTED_VALUE"""),"No")</f>
        <v>No</v>
      </c>
      <c r="CB197" s="30" t="str">
        <f ca="1">IFERROR(__xludf.DUMMYFUNCTION("""COMPUTED_VALUE"""),"No")</f>
        <v>No</v>
      </c>
      <c r="CC197" s="30" t="str">
        <f ca="1">IFERROR(__xludf.DUMMYFUNCTION("""COMPUTED_VALUE"""),"2071ddd9")</f>
        <v>2071ddd9</v>
      </c>
      <c r="CD197" s="29" t="str">
        <f ca="1">IFERROR(__xludf.DUMMYFUNCTION("""COMPUTED_VALUE"""),"Adultos (30 a 59 años)")</f>
        <v>Adultos (30 a 59 años)</v>
      </c>
      <c r="CE197" s="30" t="str">
        <f ca="1">IFERROR(__xludf.DUMMYFUNCTION("""COMPUTED_VALUE"""),"Dato global")</f>
        <v>Dato global</v>
      </c>
      <c r="CF197" s="30" t="str">
        <f ca="1">IFERROR(__xludf.DUMMYFUNCTION("""COMPUTED_VALUE"""),"Comunidad LGBTIQ+")</f>
        <v>Comunidad LGBTIQ+</v>
      </c>
      <c r="CG197" s="30">
        <f ca="1">IFERROR(__xludf.DUMMYFUNCTION("""COMPUTED_VALUE"""),8)</f>
        <v>8</v>
      </c>
      <c r="CI197" s="30" t="str">
        <f ca="1">IFERROR(__xludf.DUMMYFUNCTION("""COMPUTED_VALUE"""),"abd8495a")</f>
        <v>abd8495a</v>
      </c>
      <c r="CJ197" s="29" t="str">
        <f ca="1">IFERROR(__xludf.DUMMYFUNCTION("""COMPUTED_VALUE"""),"Regitro_Evidencia_Images/abd8495a.Archivo_Evidencia.203637.jpg")</f>
        <v>Regitro_Evidencia_Images/abd8495a.Archivo_Evidencia.203637.jpg</v>
      </c>
      <c r="CK197" s="30" t="str">
        <f ca="1">IFERROR(__xludf.DUMMYFUNCTION("""COMPUTED_VALUE"""),"Foto")</f>
        <v>Foto</v>
      </c>
      <c r="CL197" s="30"/>
      <c r="CM197" s="30" t="str">
        <f ca="1">IFERROR(__xludf.DUMMYFUNCTION("""COMPUTED_VALUE"""),"León")</f>
        <v>León</v>
      </c>
      <c r="CN197" s="32" t="e">
        <f ca="1"/>
        <v>#NAME?</v>
      </c>
      <c r="CO197" s="32" t="e">
        <f ca="1"/>
        <v>#NAME?</v>
      </c>
      <c r="CP197" s="32" t="e">
        <f ca="1"/>
        <v>#NAME?</v>
      </c>
      <c r="CQ197" s="32" t="e">
        <f ca="1"/>
        <v>#NAME?</v>
      </c>
      <c r="CR197" s="30" t="e">
        <f ca="1"/>
        <v>#NAME?</v>
      </c>
      <c r="CS197" s="30" t="str">
        <f ca="1">IFERROR(__xludf.DUMMYFUNCTION("""COMPUTED_VALUE"""),"Ninguno (Población General), Ninguno (Población General)")</f>
        <v>Ninguno (Población General), Ninguno (Población General)</v>
      </c>
    </row>
    <row r="198" spans="1:97" ht="13">
      <c r="A198" s="29" t="str">
        <f ca="1">IFERROR(__xludf.DUMMYFUNCTION("""COMPUTED_VALUE"""),"ACT-SCFR38877")</f>
        <v>ACT-SCFR38877</v>
      </c>
      <c r="B198" s="30" t="str">
        <f ca="1">IFERROR(__xludf.DUMMYFUNCTION("""COMPUTED_VALUE"""),"SC-260705-131608")</f>
        <v>SC-260705-131608</v>
      </c>
      <c r="C198" s="62">
        <f ca="1">IFERROR(__xludf.DUMMYFUNCTION("""COMPUTED_VALUE"""),46208.5528703703)</f>
        <v>46208.552870370302</v>
      </c>
      <c r="D198" s="30">
        <f ca="1">IFERROR(__xludf.DUMMYFUNCTION("""COMPUTED_VALUE"""),92)</f>
        <v>92</v>
      </c>
      <c r="E198" s="30" t="str">
        <f ca="1">IFERROR(__xludf.DUMMYFUNCTION("""COMPUTED_VALUE"""),"PB3572")</f>
        <v>PB3572</v>
      </c>
      <c r="F19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8" s="30" t="str">
        <f ca="1">IFERROR(__xludf.DUMMYFUNCTION("""COMPUTED_VALUE"""),"SUBSECRETARÍA DE DESARROLLO Y PROMOCIÓN ARTÍSTICA Y CULTURAL")</f>
        <v>SUBSECRETARÍA DE DESARROLLO Y PROMOCIÓN ARTÍSTICA Y CULTURAL</v>
      </c>
      <c r="I198" s="34" t="str">
        <f ca="1">IFERROR(__xludf.DUMMYFUNCTION("""COMPUTED_VALUE"""),"DIRECCIÓN GENERAL DE MUSEOS, ARTES VISUALES Y EXPOSICIONES")</f>
        <v>DIRECCIÓN GENERAL DE MUSEOS, ARTES VISUALES Y EXPOSICIONES</v>
      </c>
      <c r="J198" s="30" t="str">
        <f ca="1">IFERROR(__xludf.DUMMYFUNCTION("""COMPUTED_VALUE"""),"Número de Actividades realizadas")</f>
        <v>Número de Actividades realizadas</v>
      </c>
      <c r="K198" s="30">
        <f ca="1">IFERROR(__xludf.DUMMYFUNCTION("""COMPUTED_VALUE"""),800)</f>
        <v>800</v>
      </c>
      <c r="L198" s="30" t="str">
        <f ca="1">IFERROR(__xludf.DUMMYFUNCTION("""COMPUTED_VALUE"""),"Cultural")</f>
        <v>Cultural</v>
      </c>
      <c r="M198" s="30" t="str">
        <f ca="1">IFERROR(__xludf.DUMMYFUNCTION("""COMPUTED_VALUE"""),"Visita Escolar ""SEC. TEC. 50""")</f>
        <v>Visita Escolar "SEC. TEC. 50"</v>
      </c>
      <c r="N198" s="30" t="str">
        <f ca="1">IFERROR(__xludf.DUMMYFUNCTION("""COMPUTED_VALUE"""),"Visita Mediada")</f>
        <v>Visita Mediada</v>
      </c>
      <c r="O198" s="30" t="str">
        <f ca="1">IFERROR(__xludf.DUMMYFUNCTION("""COMPUTED_VALUE"""),"Única")</f>
        <v>Única</v>
      </c>
      <c r="P198" s="33">
        <f ca="1">IFERROR(__xludf.DUMMYFUNCTION("""COMPUTED_VALUE"""),46154)</f>
        <v>46154</v>
      </c>
      <c r="Q198" s="33">
        <f ca="1">IFERROR(__xludf.DUMMYFUNCTION("""COMPUTED_VALUE"""),46154)</f>
        <v>46154</v>
      </c>
      <c r="R198" s="30">
        <f ca="1">IFERROR(__xludf.DUMMYFUNCTION("""COMPUTED_VALUE"""),1)</f>
        <v>1</v>
      </c>
      <c r="S198" s="30" t="str">
        <f ca="1">IFERROR(__xludf.DUMMYFUNCTION("""COMPUTED_VALUE"""),"Cultura comunitaria")</f>
        <v>Cultura comunitaria</v>
      </c>
      <c r="T198" s="30" t="str">
        <f ca="1">IFERROR(__xludf.DUMMYFUNCTION("""COMPUTED_VALUE"""),"Mediación cultural")</f>
        <v>Mediación cultural</v>
      </c>
      <c r="U198" s="30" t="str">
        <f ca="1">IFERROR(__xludf.DUMMYFUNCTION("""COMPUTED_VALUE"""),"Visitas escolares")</f>
        <v>Visitas escolares</v>
      </c>
      <c r="V198" s="30" t="str">
        <f ca="1">IFERROR(__xludf.DUMMYFUNCTION("""COMPUTED_VALUE"""),"Ninguna")</f>
        <v>Ninguna</v>
      </c>
      <c r="W198" s="30" t="str">
        <f ca="1">IFERROR(__xludf.DUMMYFUNCTION("""COMPUTED_VALUE"""),"Presencial")</f>
        <v>Presencial</v>
      </c>
      <c r="X198" s="30" t="str">
        <f ca="1">IFERROR(__xludf.DUMMYFUNCTION("""COMPUTED_VALUE"""),"Espacio a Cargo de la Secretaría")</f>
        <v>Espacio a Cargo de la Secretaría</v>
      </c>
      <c r="Y198" s="30" t="str">
        <f ca="1">IFERROR(__xludf.DUMMYFUNCTION("""COMPUTED_VALUE"""),"8")</f>
        <v>8</v>
      </c>
      <c r="Z198" s="30"/>
      <c r="AA198" s="30"/>
      <c r="AB198" s="30" t="b">
        <f ca="1">IFERROR(__xludf.DUMMYFUNCTION("""COMPUTED_VALUE"""),FALSE)</f>
        <v>0</v>
      </c>
      <c r="AC198" s="30"/>
      <c r="AD198" s="30" t="b">
        <f ca="1">IFERROR(__xludf.DUMMYFUNCTION("""COMPUTED_VALUE"""),FALSE)</f>
        <v>0</v>
      </c>
      <c r="AE198" s="30"/>
      <c r="AF198" s="30" t="b">
        <f ca="1">IFERROR(__xludf.DUMMYFUNCTION("""COMPUTED_VALUE"""),FALSE)</f>
        <v>0</v>
      </c>
      <c r="AG198" s="30"/>
      <c r="AH198" s="30" t="str">
        <f ca="1">IFERROR(__xludf.DUMMYFUNCTION("""COMPUTED_VALUE"""),"Sin costo")</f>
        <v>Sin costo</v>
      </c>
      <c r="AI198" s="30"/>
      <c r="AJ198" s="30"/>
      <c r="AK198" s="30"/>
      <c r="AL198" s="30" t="str">
        <f ca="1">IFERROR(__xludf.DUMMYFUNCTION("""COMPUTED_VALUE"""),"ccardonav@guanajuato.gob.mx")</f>
        <v>ccardonav@guanajuato.gob.mx</v>
      </c>
      <c r="AM198" s="30" t="str">
        <f ca="1">IFERROR(__xludf.DUMMYFUNCTION("""COMPUTED_VALUE"""),"Arraigo y empoderamiento cultural de comunidades.")</f>
        <v>Arraigo y empoderamiento cultural de comunidades.</v>
      </c>
      <c r="AN198" s="30" t="str">
        <f ca="1">IFERROR(__xludf.DUMMYFUNCTION("""COMPUTED_VALUE"""),"2 Igualdad")</f>
        <v>2 Igualdad</v>
      </c>
      <c r="AO198" s="30" t="str">
        <f ca="1">IFERROR(__xludf.DUMMYFUNCTION("""COMPUTED_VALUE"""),"2.4 Reducir brechas de desigualdad")</f>
        <v>2.4 Reducir brechas de desigualdad</v>
      </c>
      <c r="AP198" s="30" t="str">
        <f ca="1">IFERROR(__xludf.DUMMYFUNCTION("""COMPUTED_VALUE"""),"2.4.3 Descentralización de la oferta cultural")</f>
        <v>2.4.3 Descentralización de la oferta cultural</v>
      </c>
      <c r="AQ198" s="30" t="str">
        <f ca="1">IFERROR(__xludf.DUMMYFUNCTION("""COMPUTED_VALUE"""),"2.4.3.1 Impulsar el desarrollo artístico y cultural entre infancias y juventudes")</f>
        <v>2.4.3.1 Impulsar el desarrollo artístico y cultural entre infancias y juventudes</v>
      </c>
      <c r="AR198" s="30" t="str">
        <f ca="1">IFERROR(__xludf.DUMMYFUNCTION("""COMPUTED_VALUE"""),"Ninguno")</f>
        <v>Ninguno</v>
      </c>
      <c r="AS198" s="30"/>
      <c r="AT198" s="30" t="str">
        <f ca="1">IFERROR(__xludf.DUMMYFUNCTION("""COMPUTED_VALUE"""),"Fortalecimiento de la participación ciudadana y la mediación cultural")</f>
        <v>Fortalecimiento de la participación ciudadana y la mediación cultural</v>
      </c>
      <c r="AU198" s="30" t="str">
        <f ca="1">IFERROR(__xludf.DUMMYFUNCTION("""COMPUTED_VALUE"""),"Fortalecimiento del diálogo, la mediación y las capacidades de las redes comunitarias.")</f>
        <v>Fortalecimiento del diálogo, la mediación y las capacidades de las redes comunitarias.</v>
      </c>
      <c r="AV19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8" s="30" t="str">
        <f ca="1">IFERROR(__xludf.DUMMYFUNCTION("""COMPUTED_VALUE"""),"Incrementar en 25% la oferta cultural realizada en los municipios.")</f>
        <v>Incrementar en 25% la oferta cultural realizada en los municipios.</v>
      </c>
      <c r="AX198" s="30" t="str">
        <f ca="1">IFERROR(__xludf.DUMMYFUNCTION("""COMPUTED_VALUE"""),"Visitas escolares")</f>
        <v>Visitas escolares</v>
      </c>
      <c r="AY198" s="30" t="str">
        <f ca="1">IFERROR(__xludf.DUMMYFUNCTION("""COMPUTED_VALUE"""),"Mediación")</f>
        <v>Mediación</v>
      </c>
      <c r="AZ198" s="30"/>
      <c r="BA198" s="30"/>
      <c r="BB198" s="30"/>
      <c r="BC198" s="30">
        <f ca="1">IFERROR(__xludf.DUMMYFUNCTION("""COMPUTED_VALUE"""),0)</f>
        <v>0</v>
      </c>
      <c r="BD198" s="30"/>
      <c r="BE198" s="30"/>
      <c r="BF198" s="30" t="b">
        <f ca="1">IFERROR(__xludf.DUMMYFUNCTION("""COMPUTED_VALUE"""),FALSE)</f>
        <v>0</v>
      </c>
      <c r="BG198" s="30"/>
      <c r="BH198" s="30"/>
      <c r="BI198" s="30"/>
      <c r="BJ198" s="30"/>
      <c r="BK198" s="30"/>
      <c r="BL198" s="30"/>
      <c r="BM198" s="30" t="str">
        <f ca="1">IFERROR(__xludf.DUMMYFUNCTION("""COMPUTED_VALUE"""),"No")</f>
        <v>No</v>
      </c>
      <c r="BN198" s="30"/>
      <c r="BO198" s="30" t="str">
        <f ca="1">IFERROR(__xludf.DUMMYFUNCTION("""COMPUTED_VALUE"""),"7c1bd3dc")</f>
        <v>7c1bd3dc</v>
      </c>
      <c r="BP198" s="29" t="str">
        <f ca="1">IFERROR(__xludf.DUMMYFUNCTION("""COMPUTED_VALUE"""),"León")</f>
        <v>León</v>
      </c>
      <c r="BQ198" s="30" t="str">
        <f ca="1">IFERROR(__xludf.DUMMYFUNCTION("""COMPUTED_VALUE"""),"Urbano")</f>
        <v>Urbano</v>
      </c>
      <c r="BR198" s="30"/>
      <c r="BS198" s="30"/>
      <c r="BT198" s="30" t="str">
        <f ca="1">IFERROR(__xludf.DUMMYFUNCTION("""COMPUTED_VALUE"""),"La Martinica")</f>
        <v>La Martinica</v>
      </c>
      <c r="BU198" s="30" t="str">
        <f ca="1">IFERROR(__xludf.DUMMYFUNCTION("""COMPUTED_VALUE"""),"No")</f>
        <v>No</v>
      </c>
      <c r="BV198" s="30" t="str">
        <f ca="1">IFERROR(__xludf.DUMMYFUNCTION("""COMPUTED_VALUE"""),"No")</f>
        <v>No</v>
      </c>
      <c r="BW198" s="30">
        <f ca="1">IFERROR(__xludf.DUMMYFUNCTION("""COMPUTED_VALUE"""),70)</f>
        <v>70</v>
      </c>
      <c r="BX198" s="30"/>
      <c r="BY198" s="30">
        <f ca="1">IFERROR(__xludf.DUMMYFUNCTION("""COMPUTED_VALUE"""),70)</f>
        <v>70</v>
      </c>
      <c r="BZ198" s="30" t="str">
        <f ca="1">IFERROR(__xludf.DUMMYFUNCTION("""COMPUTED_VALUE"""),"La Martinica")</f>
        <v>La Martinica</v>
      </c>
      <c r="CA198" s="30" t="str">
        <f ca="1">IFERROR(__xludf.DUMMYFUNCTION("""COMPUTED_VALUE"""),"No")</f>
        <v>No</v>
      </c>
      <c r="CB198" s="30" t="str">
        <f ca="1">IFERROR(__xludf.DUMMYFUNCTION("""COMPUTED_VALUE"""),"No")</f>
        <v>No</v>
      </c>
      <c r="CC198" s="30" t="str">
        <f ca="1">IFERROR(__xludf.DUMMYFUNCTION("""COMPUTED_VALUE"""),"5985a572")</f>
        <v>5985a572</v>
      </c>
      <c r="CD198" s="29" t="str">
        <f ca="1">IFERROR(__xludf.DUMMYFUNCTION("""COMPUTED_VALUE"""),"Jóvenes (18 a 29 años)")</f>
        <v>Jóvenes (18 a 29 años)</v>
      </c>
      <c r="CE198" s="30" t="str">
        <f ca="1">IFERROR(__xludf.DUMMYFUNCTION("""COMPUTED_VALUE"""),"Dato global")</f>
        <v>Dato global</v>
      </c>
      <c r="CF198" s="30" t="str">
        <f ca="1">IFERROR(__xludf.DUMMYFUNCTION("""COMPUTED_VALUE"""),"Ninguno (Población General)")</f>
        <v>Ninguno (Población General)</v>
      </c>
      <c r="CG198" s="30">
        <f ca="1">IFERROR(__xludf.DUMMYFUNCTION("""COMPUTED_VALUE"""),10)</f>
        <v>10</v>
      </c>
      <c r="CI198" s="30" t="str">
        <f ca="1">IFERROR(__xludf.DUMMYFUNCTION("""COMPUTED_VALUE"""),"bfa3bae7")</f>
        <v>bfa3bae7</v>
      </c>
      <c r="CJ198" s="29" t="str">
        <f ca="1">IFERROR(__xludf.DUMMYFUNCTION("""COMPUTED_VALUE"""),"Regitro_Evidencia_Images/bfa3bae7.Archivo_Evidencia.204449.jpg")</f>
        <v>Regitro_Evidencia_Images/bfa3bae7.Archivo_Evidencia.204449.jpg</v>
      </c>
      <c r="CK198" s="30" t="str">
        <f ca="1">IFERROR(__xludf.DUMMYFUNCTION("""COMPUTED_VALUE"""),"Foto")</f>
        <v>Foto</v>
      </c>
      <c r="CL198" s="30"/>
      <c r="CM198" s="30" t="str">
        <f ca="1">IFERROR(__xludf.DUMMYFUNCTION("""COMPUTED_VALUE"""),"León")</f>
        <v>León</v>
      </c>
      <c r="CN198" s="32" t="e">
        <f ca="1"/>
        <v>#NAME?</v>
      </c>
      <c r="CO198" s="32" t="e">
        <f ca="1"/>
        <v>#NAME?</v>
      </c>
      <c r="CP198" s="32" t="e">
        <f ca="1"/>
        <v>#NAME?</v>
      </c>
      <c r="CQ198" s="32" t="e">
        <f ca="1"/>
        <v>#NAME?</v>
      </c>
      <c r="CR198" s="30" t="e">
        <f ca="1"/>
        <v>#NAME?</v>
      </c>
      <c r="CS198" s="30" t="str">
        <f ca="1">IFERROR(__xludf.DUMMYFUNCTION("""COMPUTED_VALUE"""),"Ninguno (Población General), Ninguno (Población General)")</f>
        <v>Ninguno (Población General), Ninguno (Población General)</v>
      </c>
    </row>
    <row r="199" spans="1:97" ht="13">
      <c r="A199" s="29" t="str">
        <f ca="1">IFERROR(__xludf.DUMMYFUNCTION("""COMPUTED_VALUE"""),"ACT-SCOC68941")</f>
        <v>ACT-SCOC68941</v>
      </c>
      <c r="B199" s="30" t="str">
        <f ca="1">IFERROR(__xludf.DUMMYFUNCTION("""COMPUTED_VALUE"""),"SC-260705-132023")</f>
        <v>SC-260705-132023</v>
      </c>
      <c r="C199" s="62">
        <f ca="1">IFERROR(__xludf.DUMMYFUNCTION("""COMPUTED_VALUE"""),46208.5558217592)</f>
        <v>46208.555821759197</v>
      </c>
      <c r="D199" s="30">
        <f ca="1">IFERROR(__xludf.DUMMYFUNCTION("""COMPUTED_VALUE"""),92)</f>
        <v>92</v>
      </c>
      <c r="E199" s="30" t="str">
        <f ca="1">IFERROR(__xludf.DUMMYFUNCTION("""COMPUTED_VALUE"""),"PB3572")</f>
        <v>PB3572</v>
      </c>
      <c r="F19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19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199" s="30" t="str">
        <f ca="1">IFERROR(__xludf.DUMMYFUNCTION("""COMPUTED_VALUE"""),"SUBSECRETARÍA DE DESARROLLO Y PROMOCIÓN ARTÍSTICA Y CULTURAL")</f>
        <v>SUBSECRETARÍA DE DESARROLLO Y PROMOCIÓN ARTÍSTICA Y CULTURAL</v>
      </c>
      <c r="I199" s="34" t="str">
        <f ca="1">IFERROR(__xludf.DUMMYFUNCTION("""COMPUTED_VALUE"""),"DIRECCIÓN GENERAL DE MUSEOS, ARTES VISUALES Y EXPOSICIONES")</f>
        <v>DIRECCIÓN GENERAL DE MUSEOS, ARTES VISUALES Y EXPOSICIONES</v>
      </c>
      <c r="J199" s="30" t="str">
        <f ca="1">IFERROR(__xludf.DUMMYFUNCTION("""COMPUTED_VALUE"""),"Número de Actividades realizadas")</f>
        <v>Número de Actividades realizadas</v>
      </c>
      <c r="K199" s="30">
        <f ca="1">IFERROR(__xludf.DUMMYFUNCTION("""COMPUTED_VALUE"""),800)</f>
        <v>800</v>
      </c>
      <c r="L199" s="30" t="str">
        <f ca="1">IFERROR(__xludf.DUMMYFUNCTION("""COMPUTED_VALUE"""),"Cultural")</f>
        <v>Cultural</v>
      </c>
      <c r="M199" s="30" t="str">
        <f ca="1">IFERROR(__xludf.DUMMYFUNCTION("""COMPUTED_VALUE"""),"Visita escolar ""SABES ZANGARRO""")</f>
        <v>Visita escolar "SABES ZANGARRO"</v>
      </c>
      <c r="N199" s="30" t="str">
        <f ca="1">IFERROR(__xludf.DUMMYFUNCTION("""COMPUTED_VALUE"""),"Visita Mediada")</f>
        <v>Visita Mediada</v>
      </c>
      <c r="O199" s="30" t="str">
        <f ca="1">IFERROR(__xludf.DUMMYFUNCTION("""COMPUTED_VALUE"""),"Única")</f>
        <v>Única</v>
      </c>
      <c r="P199" s="33">
        <f ca="1">IFERROR(__xludf.DUMMYFUNCTION("""COMPUTED_VALUE"""),46156)</f>
        <v>46156</v>
      </c>
      <c r="Q199" s="33">
        <f ca="1">IFERROR(__xludf.DUMMYFUNCTION("""COMPUTED_VALUE"""),46156)</f>
        <v>46156</v>
      </c>
      <c r="R199" s="30">
        <f ca="1">IFERROR(__xludf.DUMMYFUNCTION("""COMPUTED_VALUE"""),1)</f>
        <v>1</v>
      </c>
      <c r="S199" s="30" t="str">
        <f ca="1">IFERROR(__xludf.DUMMYFUNCTION("""COMPUTED_VALUE"""),"Cultura comunitaria")</f>
        <v>Cultura comunitaria</v>
      </c>
      <c r="T199" s="30" t="str">
        <f ca="1">IFERROR(__xludf.DUMMYFUNCTION("""COMPUTED_VALUE"""),"Mediación cultural")</f>
        <v>Mediación cultural</v>
      </c>
      <c r="U199" s="30" t="str">
        <f ca="1">IFERROR(__xludf.DUMMYFUNCTION("""COMPUTED_VALUE"""),"Visitas escolares")</f>
        <v>Visitas escolares</v>
      </c>
      <c r="V199" s="30" t="str">
        <f ca="1">IFERROR(__xludf.DUMMYFUNCTION("""COMPUTED_VALUE"""),"Ninguna")</f>
        <v>Ninguna</v>
      </c>
      <c r="W199" s="30" t="str">
        <f ca="1">IFERROR(__xludf.DUMMYFUNCTION("""COMPUTED_VALUE"""),"Presencial")</f>
        <v>Presencial</v>
      </c>
      <c r="X199" s="30" t="str">
        <f ca="1">IFERROR(__xludf.DUMMYFUNCTION("""COMPUTED_VALUE"""),"Espacio a Cargo de la Secretaría")</f>
        <v>Espacio a Cargo de la Secretaría</v>
      </c>
      <c r="Y199" s="30" t="str">
        <f ca="1">IFERROR(__xludf.DUMMYFUNCTION("""COMPUTED_VALUE"""),"8")</f>
        <v>8</v>
      </c>
      <c r="Z199" s="30"/>
      <c r="AA199" s="30"/>
      <c r="AB199" s="30" t="b">
        <f ca="1">IFERROR(__xludf.DUMMYFUNCTION("""COMPUTED_VALUE"""),FALSE)</f>
        <v>0</v>
      </c>
      <c r="AC199" s="30"/>
      <c r="AD199" s="30" t="b">
        <f ca="1">IFERROR(__xludf.DUMMYFUNCTION("""COMPUTED_VALUE"""),FALSE)</f>
        <v>0</v>
      </c>
      <c r="AE199" s="30"/>
      <c r="AF199" s="30" t="b">
        <f ca="1">IFERROR(__xludf.DUMMYFUNCTION("""COMPUTED_VALUE"""),FALSE)</f>
        <v>0</v>
      </c>
      <c r="AG199" s="30"/>
      <c r="AH199" s="30" t="str">
        <f ca="1">IFERROR(__xludf.DUMMYFUNCTION("""COMPUTED_VALUE"""),"Sin costo")</f>
        <v>Sin costo</v>
      </c>
      <c r="AI199" s="30"/>
      <c r="AJ199" s="30"/>
      <c r="AK199" s="30"/>
      <c r="AL199" s="30" t="str">
        <f ca="1">IFERROR(__xludf.DUMMYFUNCTION("""COMPUTED_VALUE"""),"ccardonav@guanajuato.gob.mx")</f>
        <v>ccardonav@guanajuato.gob.mx</v>
      </c>
      <c r="AM199" s="30" t="str">
        <f ca="1">IFERROR(__xludf.DUMMYFUNCTION("""COMPUTED_VALUE"""),"Arraigo y empoderamiento cultural de comunidades.")</f>
        <v>Arraigo y empoderamiento cultural de comunidades.</v>
      </c>
      <c r="AN199" s="30" t="str">
        <f ca="1">IFERROR(__xludf.DUMMYFUNCTION("""COMPUTED_VALUE"""),"2 Igualdad")</f>
        <v>2 Igualdad</v>
      </c>
      <c r="AO199" s="30" t="str">
        <f ca="1">IFERROR(__xludf.DUMMYFUNCTION("""COMPUTED_VALUE"""),"2.4 Reducir brechas de desigualdad")</f>
        <v>2.4 Reducir brechas de desigualdad</v>
      </c>
      <c r="AP199" s="30" t="str">
        <f ca="1">IFERROR(__xludf.DUMMYFUNCTION("""COMPUTED_VALUE"""),"2.4.3 Descentralización de la oferta cultural")</f>
        <v>2.4.3 Descentralización de la oferta cultural</v>
      </c>
      <c r="AQ199" s="30" t="str">
        <f ca="1">IFERROR(__xludf.DUMMYFUNCTION("""COMPUTED_VALUE"""),"2.4.3.1 Impulsar el desarrollo artístico y cultural entre infancias y juventudes")</f>
        <v>2.4.3.1 Impulsar el desarrollo artístico y cultural entre infancias y juventudes</v>
      </c>
      <c r="AR199" s="30" t="str">
        <f ca="1">IFERROR(__xludf.DUMMYFUNCTION("""COMPUTED_VALUE"""),"Ninguno")</f>
        <v>Ninguno</v>
      </c>
      <c r="AS199" s="30"/>
      <c r="AT199" s="30" t="str">
        <f ca="1">IFERROR(__xludf.DUMMYFUNCTION("""COMPUTED_VALUE"""),"Fortalecimiento de la participación ciudadana y la mediación cultural")</f>
        <v>Fortalecimiento de la participación ciudadana y la mediación cultural</v>
      </c>
      <c r="AU199" s="30" t="str">
        <f ca="1">IFERROR(__xludf.DUMMYFUNCTION("""COMPUTED_VALUE"""),"Fortalecimiento del diálogo, la mediación y las capacidades de las redes comunitarias.")</f>
        <v>Fortalecimiento del diálogo, la mediación y las capacidades de las redes comunitarias.</v>
      </c>
      <c r="AV19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199" s="30" t="str">
        <f ca="1">IFERROR(__xludf.DUMMYFUNCTION("""COMPUTED_VALUE"""),"Incrementar en 25% la oferta cultural realizada en los municipios.")</f>
        <v>Incrementar en 25% la oferta cultural realizada en los municipios.</v>
      </c>
      <c r="AX199" s="30" t="str">
        <f ca="1">IFERROR(__xludf.DUMMYFUNCTION("""COMPUTED_VALUE"""),"Visitas escolares")</f>
        <v>Visitas escolares</v>
      </c>
      <c r="AY199" s="30" t="str">
        <f ca="1">IFERROR(__xludf.DUMMYFUNCTION("""COMPUTED_VALUE"""),"Mediación")</f>
        <v>Mediación</v>
      </c>
      <c r="AZ199" s="30"/>
      <c r="BA199" s="30"/>
      <c r="BB199" s="30"/>
      <c r="BC199" s="30">
        <f ca="1">IFERROR(__xludf.DUMMYFUNCTION("""COMPUTED_VALUE"""),0)</f>
        <v>0</v>
      </c>
      <c r="BD199" s="30"/>
      <c r="BE199" s="30"/>
      <c r="BF199" s="30" t="b">
        <f ca="1">IFERROR(__xludf.DUMMYFUNCTION("""COMPUTED_VALUE"""),FALSE)</f>
        <v>0</v>
      </c>
      <c r="BG199" s="30"/>
      <c r="BH199" s="30"/>
      <c r="BI199" s="30"/>
      <c r="BJ199" s="30"/>
      <c r="BK199" s="30"/>
      <c r="BL199" s="30"/>
      <c r="BM199" s="30" t="str">
        <f ca="1">IFERROR(__xludf.DUMMYFUNCTION("""COMPUTED_VALUE"""),"No")</f>
        <v>No</v>
      </c>
      <c r="BN199" s="30"/>
      <c r="BO199" s="30" t="str">
        <f ca="1">IFERROR(__xludf.DUMMYFUNCTION("""COMPUTED_VALUE"""),"2f9a81d5")</f>
        <v>2f9a81d5</v>
      </c>
      <c r="BP199" s="29" t="str">
        <f ca="1">IFERROR(__xludf.DUMMYFUNCTION("""COMPUTED_VALUE"""),"León")</f>
        <v>León</v>
      </c>
      <c r="BQ199" s="30" t="str">
        <f ca="1">IFERROR(__xludf.DUMMYFUNCTION("""COMPUTED_VALUE"""),"Urbano")</f>
        <v>Urbano</v>
      </c>
      <c r="BR199" s="30"/>
      <c r="BS199" s="30"/>
      <c r="BT199" s="30" t="str">
        <f ca="1">IFERROR(__xludf.DUMMYFUNCTION("""COMPUTED_VALUE"""),"La Martinica")</f>
        <v>La Martinica</v>
      </c>
      <c r="BU199" s="30" t="str">
        <f ca="1">IFERROR(__xludf.DUMMYFUNCTION("""COMPUTED_VALUE"""),"No")</f>
        <v>No</v>
      </c>
      <c r="BV199" s="30" t="str">
        <f ca="1">IFERROR(__xludf.DUMMYFUNCTION("""COMPUTED_VALUE"""),"No")</f>
        <v>No</v>
      </c>
      <c r="BW199" s="30">
        <f ca="1">IFERROR(__xludf.DUMMYFUNCTION("""COMPUTED_VALUE"""),60)</f>
        <v>60</v>
      </c>
      <c r="BX199" s="30"/>
      <c r="BY199" s="30">
        <f ca="1">IFERROR(__xludf.DUMMYFUNCTION("""COMPUTED_VALUE"""),60)</f>
        <v>60</v>
      </c>
      <c r="BZ199" s="30" t="str">
        <f ca="1">IFERROR(__xludf.DUMMYFUNCTION("""COMPUTED_VALUE"""),"La Martinica")</f>
        <v>La Martinica</v>
      </c>
      <c r="CA199" s="30" t="str">
        <f ca="1">IFERROR(__xludf.DUMMYFUNCTION("""COMPUTED_VALUE"""),"No")</f>
        <v>No</v>
      </c>
      <c r="CB199" s="30" t="str">
        <f ca="1">IFERROR(__xludf.DUMMYFUNCTION("""COMPUTED_VALUE"""),"No")</f>
        <v>No</v>
      </c>
      <c r="CC199" s="30" t="str">
        <f ca="1">IFERROR(__xludf.DUMMYFUNCTION("""COMPUTED_VALUE"""),"3f18d890")</f>
        <v>3f18d890</v>
      </c>
      <c r="CD199" s="29" t="str">
        <f ca="1">IFERROR(__xludf.DUMMYFUNCTION("""COMPUTED_VALUE"""),"Adultos (30 a 59 años)")</f>
        <v>Adultos (30 a 59 años)</v>
      </c>
      <c r="CE199" s="30" t="str">
        <f ca="1">IFERROR(__xludf.DUMMYFUNCTION("""COMPUTED_VALUE"""),"Dato global")</f>
        <v>Dato global</v>
      </c>
      <c r="CF199" s="30" t="str">
        <f ca="1">IFERROR(__xludf.DUMMYFUNCTION("""COMPUTED_VALUE"""),"Ninguno (Población General)")</f>
        <v>Ninguno (Población General)</v>
      </c>
      <c r="CG199" s="30">
        <f ca="1">IFERROR(__xludf.DUMMYFUNCTION("""COMPUTED_VALUE"""),10)</f>
        <v>10</v>
      </c>
      <c r="CI199" s="30" t="str">
        <f ca="1">IFERROR(__xludf.DUMMYFUNCTION("""COMPUTED_VALUE"""),"f393ea5c")</f>
        <v>f393ea5c</v>
      </c>
      <c r="CJ199" s="29" t="str">
        <f ca="1">IFERROR(__xludf.DUMMYFUNCTION("""COMPUTED_VALUE"""),"Regitro_Evidencia_Images/f393ea5c.Archivo_Evidencia.171845.jpg")</f>
        <v>Regitro_Evidencia_Images/f393ea5c.Archivo_Evidencia.171845.jpg</v>
      </c>
      <c r="CK199" s="30" t="str">
        <f ca="1">IFERROR(__xludf.DUMMYFUNCTION("""COMPUTED_VALUE"""),"Foto")</f>
        <v>Foto</v>
      </c>
      <c r="CL199" s="30"/>
      <c r="CM199" s="30" t="str">
        <f ca="1">IFERROR(__xludf.DUMMYFUNCTION("""COMPUTED_VALUE"""),"León")</f>
        <v>León</v>
      </c>
      <c r="CN199" s="32" t="e">
        <f ca="1"/>
        <v>#NAME?</v>
      </c>
      <c r="CO199" s="32" t="e">
        <f ca="1"/>
        <v>#NAME?</v>
      </c>
      <c r="CP199" s="32" t="e">
        <f ca="1"/>
        <v>#NAME?</v>
      </c>
      <c r="CQ199" s="32" t="e">
        <f ca="1"/>
        <v>#NAME?</v>
      </c>
      <c r="CR199" s="30" t="e">
        <f ca="1"/>
        <v>#NAME?</v>
      </c>
      <c r="CS199" s="30" t="str">
        <f ca="1">IFERROR(__xludf.DUMMYFUNCTION("""COMPUTED_VALUE"""),"Ninguno (Población General), Ninguno (Población General)")</f>
        <v>Ninguno (Población General), Ninguno (Población General)</v>
      </c>
    </row>
    <row r="200" spans="1:97" ht="13">
      <c r="A200" s="29" t="str">
        <f ca="1">IFERROR(__xludf.DUMMYFUNCTION("""COMPUTED_VALUE"""),"ACT-SCUD84258")</f>
        <v>ACT-SCUD84258</v>
      </c>
      <c r="B200" s="30" t="str">
        <f ca="1">IFERROR(__xludf.DUMMYFUNCTION("""COMPUTED_VALUE"""),"SC-260705-132353")</f>
        <v>SC-260705-132353</v>
      </c>
      <c r="C200" s="62">
        <f ca="1">IFERROR(__xludf.DUMMYFUNCTION("""COMPUTED_VALUE"""),46208.5582523148)</f>
        <v>46208.558252314797</v>
      </c>
      <c r="D200" s="30">
        <f ca="1">IFERROR(__xludf.DUMMYFUNCTION("""COMPUTED_VALUE"""),92)</f>
        <v>92</v>
      </c>
      <c r="E200" s="30" t="str">
        <f ca="1">IFERROR(__xludf.DUMMYFUNCTION("""COMPUTED_VALUE"""),"PB3572")</f>
        <v>PB3572</v>
      </c>
      <c r="F20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0" s="30" t="str">
        <f ca="1">IFERROR(__xludf.DUMMYFUNCTION("""COMPUTED_VALUE"""),"SUBSECRETARÍA DE DESARROLLO Y PROMOCIÓN ARTÍSTICA Y CULTURAL")</f>
        <v>SUBSECRETARÍA DE DESARROLLO Y PROMOCIÓN ARTÍSTICA Y CULTURAL</v>
      </c>
      <c r="I200" s="34" t="str">
        <f ca="1">IFERROR(__xludf.DUMMYFUNCTION("""COMPUTED_VALUE"""),"DIRECCIÓN GENERAL DE MUSEOS, ARTES VISUALES Y EXPOSICIONES")</f>
        <v>DIRECCIÓN GENERAL DE MUSEOS, ARTES VISUALES Y EXPOSICIONES</v>
      </c>
      <c r="J200" s="30" t="str">
        <f ca="1">IFERROR(__xludf.DUMMYFUNCTION("""COMPUTED_VALUE"""),"Número de Actividades realizadas")</f>
        <v>Número de Actividades realizadas</v>
      </c>
      <c r="K200" s="30">
        <f ca="1">IFERROR(__xludf.DUMMYFUNCTION("""COMPUTED_VALUE"""),800)</f>
        <v>800</v>
      </c>
      <c r="L200" s="30" t="str">
        <f ca="1">IFERROR(__xludf.DUMMYFUNCTION("""COMPUTED_VALUE"""),"Cultural")</f>
        <v>Cultural</v>
      </c>
      <c r="M200" s="30" t="str">
        <f ca="1">IFERROR(__xludf.DUMMYFUNCTION("""COMPUTED_VALUE"""),"Visita Escolar ""TELESECUNDARIA 1003 RUTAS CULTURALES""")</f>
        <v>Visita Escolar "TELESECUNDARIA 1003 RUTAS CULTURALES"</v>
      </c>
      <c r="N200" s="30" t="str">
        <f ca="1">IFERROR(__xludf.DUMMYFUNCTION("""COMPUTED_VALUE"""),"Visita Mediada")</f>
        <v>Visita Mediada</v>
      </c>
      <c r="O200" s="30" t="str">
        <f ca="1">IFERROR(__xludf.DUMMYFUNCTION("""COMPUTED_VALUE"""),"Única")</f>
        <v>Única</v>
      </c>
      <c r="P200" s="33">
        <f ca="1">IFERROR(__xludf.DUMMYFUNCTION("""COMPUTED_VALUE"""),46161)</f>
        <v>46161</v>
      </c>
      <c r="Q200" s="33">
        <f ca="1">IFERROR(__xludf.DUMMYFUNCTION("""COMPUTED_VALUE"""),46161)</f>
        <v>46161</v>
      </c>
      <c r="R200" s="30">
        <f ca="1">IFERROR(__xludf.DUMMYFUNCTION("""COMPUTED_VALUE"""),1)</f>
        <v>1</v>
      </c>
      <c r="S200" s="30" t="str">
        <f ca="1">IFERROR(__xludf.DUMMYFUNCTION("""COMPUTED_VALUE"""),"Cultura comunitaria")</f>
        <v>Cultura comunitaria</v>
      </c>
      <c r="T200" s="30" t="str">
        <f ca="1">IFERROR(__xludf.DUMMYFUNCTION("""COMPUTED_VALUE"""),"Mediación cultural")</f>
        <v>Mediación cultural</v>
      </c>
      <c r="U200" s="30" t="str">
        <f ca="1">IFERROR(__xludf.DUMMYFUNCTION("""COMPUTED_VALUE"""),"Visitas escolares")</f>
        <v>Visitas escolares</v>
      </c>
      <c r="V200" s="30" t="str">
        <f ca="1">IFERROR(__xludf.DUMMYFUNCTION("""COMPUTED_VALUE"""),"Ninguna")</f>
        <v>Ninguna</v>
      </c>
      <c r="W200" s="30" t="str">
        <f ca="1">IFERROR(__xludf.DUMMYFUNCTION("""COMPUTED_VALUE"""),"Presencial")</f>
        <v>Presencial</v>
      </c>
      <c r="X200" s="30" t="str">
        <f ca="1">IFERROR(__xludf.DUMMYFUNCTION("""COMPUTED_VALUE"""),"Espacio a Cargo de la Secretaría")</f>
        <v>Espacio a Cargo de la Secretaría</v>
      </c>
      <c r="Y200" s="30" t="str">
        <f ca="1">IFERROR(__xludf.DUMMYFUNCTION("""COMPUTED_VALUE"""),"8")</f>
        <v>8</v>
      </c>
      <c r="Z200" s="30"/>
      <c r="AA200" s="30"/>
      <c r="AB200" s="30" t="b">
        <f ca="1">IFERROR(__xludf.DUMMYFUNCTION("""COMPUTED_VALUE"""),FALSE)</f>
        <v>0</v>
      </c>
      <c r="AC200" s="30"/>
      <c r="AD200" s="30" t="b">
        <f ca="1">IFERROR(__xludf.DUMMYFUNCTION("""COMPUTED_VALUE"""),FALSE)</f>
        <v>0</v>
      </c>
      <c r="AE200" s="30"/>
      <c r="AF200" s="30" t="b">
        <f ca="1">IFERROR(__xludf.DUMMYFUNCTION("""COMPUTED_VALUE"""),FALSE)</f>
        <v>0</v>
      </c>
      <c r="AG200" s="30"/>
      <c r="AH200" s="30" t="str">
        <f ca="1">IFERROR(__xludf.DUMMYFUNCTION("""COMPUTED_VALUE"""),"Sin costo")</f>
        <v>Sin costo</v>
      </c>
      <c r="AI200" s="30"/>
      <c r="AJ200" s="30"/>
      <c r="AK200" s="30"/>
      <c r="AL200" s="30" t="str">
        <f ca="1">IFERROR(__xludf.DUMMYFUNCTION("""COMPUTED_VALUE"""),"ccardonav@guanajuato.gob.mx")</f>
        <v>ccardonav@guanajuato.gob.mx</v>
      </c>
      <c r="AM200" s="30" t="str">
        <f ca="1">IFERROR(__xludf.DUMMYFUNCTION("""COMPUTED_VALUE"""),"Arraigo y empoderamiento cultural de comunidades.")</f>
        <v>Arraigo y empoderamiento cultural de comunidades.</v>
      </c>
      <c r="AN200" s="30" t="str">
        <f ca="1">IFERROR(__xludf.DUMMYFUNCTION("""COMPUTED_VALUE"""),"2 Igualdad")</f>
        <v>2 Igualdad</v>
      </c>
      <c r="AO200" s="30" t="str">
        <f ca="1">IFERROR(__xludf.DUMMYFUNCTION("""COMPUTED_VALUE"""),"2.4 Reducir brechas de desigualdad")</f>
        <v>2.4 Reducir brechas de desigualdad</v>
      </c>
      <c r="AP200" s="30" t="str">
        <f ca="1">IFERROR(__xludf.DUMMYFUNCTION("""COMPUTED_VALUE"""),"2.4.3 Descentralización de la oferta cultural")</f>
        <v>2.4.3 Descentralización de la oferta cultural</v>
      </c>
      <c r="AQ200" s="30" t="str">
        <f ca="1">IFERROR(__xludf.DUMMYFUNCTION("""COMPUTED_VALUE"""),"2.4.3.1 Impulsar el desarrollo artístico y cultural entre infancias y juventudes")</f>
        <v>2.4.3.1 Impulsar el desarrollo artístico y cultural entre infancias y juventudes</v>
      </c>
      <c r="AR200" s="30" t="str">
        <f ca="1">IFERROR(__xludf.DUMMYFUNCTION("""COMPUTED_VALUE"""),"Ninguno")</f>
        <v>Ninguno</v>
      </c>
      <c r="AS200" s="30"/>
      <c r="AT200" s="30" t="str">
        <f ca="1">IFERROR(__xludf.DUMMYFUNCTION("""COMPUTED_VALUE"""),"Fortalecimiento de la participación ciudadana y la mediación cultural")</f>
        <v>Fortalecimiento de la participación ciudadana y la mediación cultural</v>
      </c>
      <c r="AU200" s="30" t="str">
        <f ca="1">IFERROR(__xludf.DUMMYFUNCTION("""COMPUTED_VALUE"""),"Fortalecimiento del diálogo, la mediación y las capacidades de las redes comunitarias.")</f>
        <v>Fortalecimiento del diálogo, la mediación y las capacidades de las redes comunitarias.</v>
      </c>
      <c r="AV200"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0" s="30" t="str">
        <f ca="1">IFERROR(__xludf.DUMMYFUNCTION("""COMPUTED_VALUE"""),"Incrementar en 25% la oferta cultural realizada en los municipios.")</f>
        <v>Incrementar en 25% la oferta cultural realizada en los municipios.</v>
      </c>
      <c r="AX200" s="30" t="str">
        <f ca="1">IFERROR(__xludf.DUMMYFUNCTION("""COMPUTED_VALUE"""),"Visitas escolares")</f>
        <v>Visitas escolares</v>
      </c>
      <c r="AY200" s="30" t="str">
        <f ca="1">IFERROR(__xludf.DUMMYFUNCTION("""COMPUTED_VALUE"""),"Mediación")</f>
        <v>Mediación</v>
      </c>
      <c r="AZ200" s="30"/>
      <c r="BA200" s="30"/>
      <c r="BB200" s="30"/>
      <c r="BC200" s="30">
        <f ca="1">IFERROR(__xludf.DUMMYFUNCTION("""COMPUTED_VALUE"""),0)</f>
        <v>0</v>
      </c>
      <c r="BD200" s="30"/>
      <c r="BE200" s="30"/>
      <c r="BF200" s="30" t="b">
        <f ca="1">IFERROR(__xludf.DUMMYFUNCTION("""COMPUTED_VALUE"""),FALSE)</f>
        <v>0</v>
      </c>
      <c r="BG200" s="30"/>
      <c r="BH200" s="30"/>
      <c r="BI200" s="30"/>
      <c r="BJ200" s="30"/>
      <c r="BK200" s="30"/>
      <c r="BL200" s="30"/>
      <c r="BM200" s="30" t="str">
        <f ca="1">IFERROR(__xludf.DUMMYFUNCTION("""COMPUTED_VALUE"""),"No")</f>
        <v>No</v>
      </c>
      <c r="BN200" s="30"/>
      <c r="BO200" s="30" t="str">
        <f ca="1">IFERROR(__xludf.DUMMYFUNCTION("""COMPUTED_VALUE"""),"c07af695")</f>
        <v>c07af695</v>
      </c>
      <c r="BP200" s="29" t="str">
        <f ca="1">IFERROR(__xludf.DUMMYFUNCTION("""COMPUTED_VALUE"""),"León")</f>
        <v>León</v>
      </c>
      <c r="BQ200" s="30" t="str">
        <f ca="1">IFERROR(__xludf.DUMMYFUNCTION("""COMPUTED_VALUE"""),"Urbano")</f>
        <v>Urbano</v>
      </c>
      <c r="BR200" s="30"/>
      <c r="BS200" s="30"/>
      <c r="BT200" s="30" t="str">
        <f ca="1">IFERROR(__xludf.DUMMYFUNCTION("""COMPUTED_VALUE"""),"La Martinica")</f>
        <v>La Martinica</v>
      </c>
      <c r="BU200" s="30" t="str">
        <f ca="1">IFERROR(__xludf.DUMMYFUNCTION("""COMPUTED_VALUE"""),"No")</f>
        <v>No</v>
      </c>
      <c r="BV200" s="30" t="str">
        <f ca="1">IFERROR(__xludf.DUMMYFUNCTION("""COMPUTED_VALUE"""),"No")</f>
        <v>No</v>
      </c>
      <c r="BW200" s="30">
        <f ca="1">IFERROR(__xludf.DUMMYFUNCTION("""COMPUTED_VALUE"""),42)</f>
        <v>42</v>
      </c>
      <c r="BX200" s="30"/>
      <c r="BY200" s="30">
        <f ca="1">IFERROR(__xludf.DUMMYFUNCTION("""COMPUTED_VALUE"""),42)</f>
        <v>42</v>
      </c>
      <c r="BZ200" s="30" t="str">
        <f ca="1">IFERROR(__xludf.DUMMYFUNCTION("""COMPUTED_VALUE"""),"La Martinica")</f>
        <v>La Martinica</v>
      </c>
      <c r="CA200" s="30" t="str">
        <f ca="1">IFERROR(__xludf.DUMMYFUNCTION("""COMPUTED_VALUE"""),"No")</f>
        <v>No</v>
      </c>
      <c r="CB200" s="30" t="str">
        <f ca="1">IFERROR(__xludf.DUMMYFUNCTION("""COMPUTED_VALUE"""),"No")</f>
        <v>No</v>
      </c>
      <c r="CC200" s="30" t="str">
        <f ca="1">IFERROR(__xludf.DUMMYFUNCTION("""COMPUTED_VALUE"""),"d286667f")</f>
        <v>d286667f</v>
      </c>
      <c r="CD200" s="29" t="str">
        <f ca="1">IFERROR(__xludf.DUMMYFUNCTION("""COMPUTED_VALUE"""),"Adultos Mayores (60 años o más)")</f>
        <v>Adultos Mayores (60 años o más)</v>
      </c>
      <c r="CE200" s="30" t="str">
        <f ca="1">IFERROR(__xludf.DUMMYFUNCTION("""COMPUTED_VALUE"""),"Dato global")</f>
        <v>Dato global</v>
      </c>
      <c r="CF200" s="30" t="str">
        <f ca="1">IFERROR(__xludf.DUMMYFUNCTION("""COMPUTED_VALUE"""),"Ninguno (Población General)")</f>
        <v>Ninguno (Población General)</v>
      </c>
      <c r="CG200" s="30">
        <f ca="1">IFERROR(__xludf.DUMMYFUNCTION("""COMPUTED_VALUE"""),14)</f>
        <v>14</v>
      </c>
      <c r="CI200" s="30" t="str">
        <f ca="1">IFERROR(__xludf.DUMMYFUNCTION("""COMPUTED_VALUE"""),"e39993c5")</f>
        <v>e39993c5</v>
      </c>
      <c r="CJ200" s="29" t="str">
        <f ca="1">IFERROR(__xludf.DUMMYFUNCTION("""COMPUTED_VALUE"""),"Regitro_Evidencia_Images/e39993c5.Archivo_Evidencia.181132.jpg")</f>
        <v>Regitro_Evidencia_Images/e39993c5.Archivo_Evidencia.181132.jpg</v>
      </c>
      <c r="CK200" s="30" t="str">
        <f ca="1">IFERROR(__xludf.DUMMYFUNCTION("""COMPUTED_VALUE"""),"Foto")</f>
        <v>Foto</v>
      </c>
      <c r="CL200" s="30"/>
      <c r="CM200" s="30" t="str">
        <f ca="1">IFERROR(__xludf.DUMMYFUNCTION("""COMPUTED_VALUE"""),"León")</f>
        <v>León</v>
      </c>
      <c r="CN200" s="32" t="e">
        <f ca="1"/>
        <v>#NAME?</v>
      </c>
      <c r="CO200" s="32" t="e">
        <f ca="1"/>
        <v>#NAME?</v>
      </c>
      <c r="CP200" s="32" t="e">
        <f ca="1"/>
        <v>#NAME?</v>
      </c>
      <c r="CQ200" s="32" t="e">
        <f ca="1"/>
        <v>#NAME?</v>
      </c>
      <c r="CR200" s="30" t="e">
        <f ca="1"/>
        <v>#NAME?</v>
      </c>
      <c r="CS200" s="30" t="str">
        <f ca="1">IFERROR(__xludf.DUMMYFUNCTION("""COMPUTED_VALUE"""),"Ninguno (Población General), Ninguno (Población General), Ninguno (Población General)")</f>
        <v>Ninguno (Población General), Ninguno (Población General), Ninguno (Población General)</v>
      </c>
    </row>
    <row r="201" spans="1:97" ht="13">
      <c r="A201" s="29" t="str">
        <f ca="1">IFERROR(__xludf.DUMMYFUNCTION("""COMPUTED_VALUE"""),"ACT-SCUI45342")</f>
        <v>ACT-SCUI45342</v>
      </c>
      <c r="B201" s="30" t="str">
        <f ca="1">IFERROR(__xludf.DUMMYFUNCTION("""COMPUTED_VALUE"""),"SC-260705-132800")</f>
        <v>SC-260705-132800</v>
      </c>
      <c r="C201" s="62">
        <f ca="1">IFERROR(__xludf.DUMMYFUNCTION("""COMPUTED_VALUE"""),46208.5611111111)</f>
        <v>46208.561111111099</v>
      </c>
      <c r="D201" s="30">
        <f ca="1">IFERROR(__xludf.DUMMYFUNCTION("""COMPUTED_VALUE"""),92)</f>
        <v>92</v>
      </c>
      <c r="E201" s="30" t="str">
        <f ca="1">IFERROR(__xludf.DUMMYFUNCTION("""COMPUTED_VALUE"""),"PB3572")</f>
        <v>PB3572</v>
      </c>
      <c r="F20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1" s="30" t="str">
        <f ca="1">IFERROR(__xludf.DUMMYFUNCTION("""COMPUTED_VALUE"""),"SUBSECRETARÍA DE DESARROLLO Y PROMOCIÓN ARTÍSTICA Y CULTURAL")</f>
        <v>SUBSECRETARÍA DE DESARROLLO Y PROMOCIÓN ARTÍSTICA Y CULTURAL</v>
      </c>
      <c r="I201" s="34" t="str">
        <f ca="1">IFERROR(__xludf.DUMMYFUNCTION("""COMPUTED_VALUE"""),"DIRECCIÓN GENERAL DE MUSEOS, ARTES VISUALES Y EXPOSICIONES")</f>
        <v>DIRECCIÓN GENERAL DE MUSEOS, ARTES VISUALES Y EXPOSICIONES</v>
      </c>
      <c r="J201" s="30" t="str">
        <f ca="1">IFERROR(__xludf.DUMMYFUNCTION("""COMPUTED_VALUE"""),"Número de Actividades realizadas")</f>
        <v>Número de Actividades realizadas</v>
      </c>
      <c r="K201" s="30">
        <f ca="1">IFERROR(__xludf.DUMMYFUNCTION("""COMPUTED_VALUE"""),800)</f>
        <v>800</v>
      </c>
      <c r="L201" s="30" t="str">
        <f ca="1">IFERROR(__xludf.DUMMYFUNCTION("""COMPUTED_VALUE"""),"Cultural")</f>
        <v>Cultural</v>
      </c>
      <c r="M201" s="30" t="str">
        <f ca="1">IFERROR(__xludf.DUMMYFUNCTION("""COMPUTED_VALUE"""),"Visita escolar ""PREPARATORIA OFICIAL""")</f>
        <v>Visita escolar "PREPARATORIA OFICIAL"</v>
      </c>
      <c r="N201" s="30" t="str">
        <f ca="1">IFERROR(__xludf.DUMMYFUNCTION("""COMPUTED_VALUE"""),"Visita Mediada")</f>
        <v>Visita Mediada</v>
      </c>
      <c r="O201" s="30" t="str">
        <f ca="1">IFERROR(__xludf.DUMMYFUNCTION("""COMPUTED_VALUE"""),"Única")</f>
        <v>Única</v>
      </c>
      <c r="P201" s="33">
        <f ca="1">IFERROR(__xludf.DUMMYFUNCTION("""COMPUTED_VALUE"""),46163)</f>
        <v>46163</v>
      </c>
      <c r="Q201" s="33">
        <f ca="1">IFERROR(__xludf.DUMMYFUNCTION("""COMPUTED_VALUE"""),46163)</f>
        <v>46163</v>
      </c>
      <c r="R201" s="30">
        <f ca="1">IFERROR(__xludf.DUMMYFUNCTION("""COMPUTED_VALUE"""),1)</f>
        <v>1</v>
      </c>
      <c r="S201" s="30" t="str">
        <f ca="1">IFERROR(__xludf.DUMMYFUNCTION("""COMPUTED_VALUE"""),"Cultura comunitaria")</f>
        <v>Cultura comunitaria</v>
      </c>
      <c r="T201" s="30" t="str">
        <f ca="1">IFERROR(__xludf.DUMMYFUNCTION("""COMPUTED_VALUE"""),"Mediación cultural")</f>
        <v>Mediación cultural</v>
      </c>
      <c r="U201" s="30" t="str">
        <f ca="1">IFERROR(__xludf.DUMMYFUNCTION("""COMPUTED_VALUE"""),"Visitas escolares")</f>
        <v>Visitas escolares</v>
      </c>
      <c r="V201" s="30" t="str">
        <f ca="1">IFERROR(__xludf.DUMMYFUNCTION("""COMPUTED_VALUE"""),"Ninguna")</f>
        <v>Ninguna</v>
      </c>
      <c r="W201" s="30" t="str">
        <f ca="1">IFERROR(__xludf.DUMMYFUNCTION("""COMPUTED_VALUE"""),"Presencial")</f>
        <v>Presencial</v>
      </c>
      <c r="X201" s="30" t="str">
        <f ca="1">IFERROR(__xludf.DUMMYFUNCTION("""COMPUTED_VALUE"""),"Espacio a Cargo de la Secretaría")</f>
        <v>Espacio a Cargo de la Secretaría</v>
      </c>
      <c r="Y201" s="30" t="str">
        <f ca="1">IFERROR(__xludf.DUMMYFUNCTION("""COMPUTED_VALUE"""),"8")</f>
        <v>8</v>
      </c>
      <c r="Z201" s="30"/>
      <c r="AA201" s="30"/>
      <c r="AB201" s="30" t="b">
        <f ca="1">IFERROR(__xludf.DUMMYFUNCTION("""COMPUTED_VALUE"""),FALSE)</f>
        <v>0</v>
      </c>
      <c r="AC201" s="30"/>
      <c r="AD201" s="30" t="b">
        <f ca="1">IFERROR(__xludf.DUMMYFUNCTION("""COMPUTED_VALUE"""),FALSE)</f>
        <v>0</v>
      </c>
      <c r="AE201" s="30"/>
      <c r="AF201" s="30" t="b">
        <f ca="1">IFERROR(__xludf.DUMMYFUNCTION("""COMPUTED_VALUE"""),FALSE)</f>
        <v>0</v>
      </c>
      <c r="AG201" s="30"/>
      <c r="AH201" s="30" t="str">
        <f ca="1">IFERROR(__xludf.DUMMYFUNCTION("""COMPUTED_VALUE"""),"Sin costo")</f>
        <v>Sin costo</v>
      </c>
      <c r="AI201" s="30"/>
      <c r="AJ201" s="30"/>
      <c r="AK201" s="30"/>
      <c r="AL201" s="30" t="str">
        <f ca="1">IFERROR(__xludf.DUMMYFUNCTION("""COMPUTED_VALUE"""),"ccardonav@guanajuato.gob.mx")</f>
        <v>ccardonav@guanajuato.gob.mx</v>
      </c>
      <c r="AM201" s="30" t="str">
        <f ca="1">IFERROR(__xludf.DUMMYFUNCTION("""COMPUTED_VALUE"""),"Arraigo y empoderamiento cultural de comunidades.")</f>
        <v>Arraigo y empoderamiento cultural de comunidades.</v>
      </c>
      <c r="AN201" s="30" t="str">
        <f ca="1">IFERROR(__xludf.DUMMYFUNCTION("""COMPUTED_VALUE"""),"2 Igualdad")</f>
        <v>2 Igualdad</v>
      </c>
      <c r="AO201" s="30" t="str">
        <f ca="1">IFERROR(__xludf.DUMMYFUNCTION("""COMPUTED_VALUE"""),"2.4 Reducir brechas de desigualdad")</f>
        <v>2.4 Reducir brechas de desigualdad</v>
      </c>
      <c r="AP201" s="30" t="str">
        <f ca="1">IFERROR(__xludf.DUMMYFUNCTION("""COMPUTED_VALUE"""),"2.4.3 Descentralización de la oferta cultural")</f>
        <v>2.4.3 Descentralización de la oferta cultural</v>
      </c>
      <c r="AQ201" s="30" t="str">
        <f ca="1">IFERROR(__xludf.DUMMYFUNCTION("""COMPUTED_VALUE"""),"2.4.3.1 Impulsar el desarrollo artístico y cultural entre infancias y juventudes")</f>
        <v>2.4.3.1 Impulsar el desarrollo artístico y cultural entre infancias y juventudes</v>
      </c>
      <c r="AR201" s="30" t="str">
        <f ca="1">IFERROR(__xludf.DUMMYFUNCTION("""COMPUTED_VALUE"""),"Ninguno")</f>
        <v>Ninguno</v>
      </c>
      <c r="AS201" s="30"/>
      <c r="AT201" s="30" t="str">
        <f ca="1">IFERROR(__xludf.DUMMYFUNCTION("""COMPUTED_VALUE"""),"Fortalecimiento de la participación ciudadana y la mediación cultural")</f>
        <v>Fortalecimiento de la participación ciudadana y la mediación cultural</v>
      </c>
      <c r="AU201" s="30" t="str">
        <f ca="1">IFERROR(__xludf.DUMMYFUNCTION("""COMPUTED_VALUE"""),"Fortalecimiento del diálogo, la mediación y las capacidades de las redes comunitarias.")</f>
        <v>Fortalecimiento del diálogo, la mediación y las capacidades de las redes comunitarias.</v>
      </c>
      <c r="AV20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1" s="30" t="str">
        <f ca="1">IFERROR(__xludf.DUMMYFUNCTION("""COMPUTED_VALUE"""),"Incrementar en 25% la oferta cultural realizada en los municipios.")</f>
        <v>Incrementar en 25% la oferta cultural realizada en los municipios.</v>
      </c>
      <c r="AX201" s="30" t="str">
        <f ca="1">IFERROR(__xludf.DUMMYFUNCTION("""COMPUTED_VALUE"""),"Visitas escolares")</f>
        <v>Visitas escolares</v>
      </c>
      <c r="AY201" s="30" t="str">
        <f ca="1">IFERROR(__xludf.DUMMYFUNCTION("""COMPUTED_VALUE"""),"Mediación")</f>
        <v>Mediación</v>
      </c>
      <c r="AZ201" s="30"/>
      <c r="BA201" s="30"/>
      <c r="BB201" s="30"/>
      <c r="BC201" s="30">
        <f ca="1">IFERROR(__xludf.DUMMYFUNCTION("""COMPUTED_VALUE"""),0)</f>
        <v>0</v>
      </c>
      <c r="BD201" s="30"/>
      <c r="BE201" s="30"/>
      <c r="BF201" s="30" t="b">
        <f ca="1">IFERROR(__xludf.DUMMYFUNCTION("""COMPUTED_VALUE"""),FALSE)</f>
        <v>0</v>
      </c>
      <c r="BG201" s="30"/>
      <c r="BH201" s="30"/>
      <c r="BI201" s="30"/>
      <c r="BJ201" s="30"/>
      <c r="BK201" s="30"/>
      <c r="BL201" s="30"/>
      <c r="BM201" s="30" t="str">
        <f ca="1">IFERROR(__xludf.DUMMYFUNCTION("""COMPUTED_VALUE"""),"No")</f>
        <v>No</v>
      </c>
      <c r="BN201" s="30"/>
      <c r="BO201" s="30" t="str">
        <f ca="1">IFERROR(__xludf.DUMMYFUNCTION("""COMPUTED_VALUE"""),"95144d5a")</f>
        <v>95144d5a</v>
      </c>
      <c r="BP201" s="29" t="str">
        <f ca="1">IFERROR(__xludf.DUMMYFUNCTION("""COMPUTED_VALUE"""),"León")</f>
        <v>León</v>
      </c>
      <c r="BQ201" s="30" t="str">
        <f ca="1">IFERROR(__xludf.DUMMYFUNCTION("""COMPUTED_VALUE"""),"Urbano")</f>
        <v>Urbano</v>
      </c>
      <c r="BR201" s="30"/>
      <c r="BS201" s="30"/>
      <c r="BT201" s="30" t="str">
        <f ca="1">IFERROR(__xludf.DUMMYFUNCTION("""COMPUTED_VALUE"""),"La Martinica")</f>
        <v>La Martinica</v>
      </c>
      <c r="BU201" s="30" t="str">
        <f ca="1">IFERROR(__xludf.DUMMYFUNCTION("""COMPUTED_VALUE"""),"No")</f>
        <v>No</v>
      </c>
      <c r="BV201" s="30" t="str">
        <f ca="1">IFERROR(__xludf.DUMMYFUNCTION("""COMPUTED_VALUE"""),"No")</f>
        <v>No</v>
      </c>
      <c r="BW201" s="30">
        <f ca="1">IFERROR(__xludf.DUMMYFUNCTION("""COMPUTED_VALUE"""),42)</f>
        <v>42</v>
      </c>
      <c r="BX201" s="30"/>
      <c r="BY201" s="30">
        <f ca="1">IFERROR(__xludf.DUMMYFUNCTION("""COMPUTED_VALUE"""),42)</f>
        <v>42</v>
      </c>
      <c r="BZ201" s="30" t="str">
        <f ca="1">IFERROR(__xludf.DUMMYFUNCTION("""COMPUTED_VALUE"""),"La Martinica")</f>
        <v>La Martinica</v>
      </c>
      <c r="CA201" s="30" t="str">
        <f ca="1">IFERROR(__xludf.DUMMYFUNCTION("""COMPUTED_VALUE"""),"No")</f>
        <v>No</v>
      </c>
      <c r="CB201" s="30" t="str">
        <f ca="1">IFERROR(__xludf.DUMMYFUNCTION("""COMPUTED_VALUE"""),"No")</f>
        <v>No</v>
      </c>
      <c r="CC201" s="30" t="str">
        <f ca="1">IFERROR(__xludf.DUMMYFUNCTION("""COMPUTED_VALUE"""),"ad2964a3")</f>
        <v>ad2964a3</v>
      </c>
      <c r="CD201" s="29" t="str">
        <f ca="1">IFERROR(__xludf.DUMMYFUNCTION("""COMPUTED_VALUE"""),"Adultos (30 a 59 años)")</f>
        <v>Adultos (30 a 59 años)</v>
      </c>
      <c r="CE201" s="30" t="str">
        <f ca="1">IFERROR(__xludf.DUMMYFUNCTION("""COMPUTED_VALUE"""),"Dato global")</f>
        <v>Dato global</v>
      </c>
      <c r="CF201" s="30" t="str">
        <f ca="1">IFERROR(__xludf.DUMMYFUNCTION("""COMPUTED_VALUE"""),"Comunidad LGBTIQ+")</f>
        <v>Comunidad LGBTIQ+</v>
      </c>
      <c r="CG201" s="30">
        <f ca="1">IFERROR(__xludf.DUMMYFUNCTION("""COMPUTED_VALUE"""),7)</f>
        <v>7</v>
      </c>
      <c r="CI201" s="30" t="str">
        <f ca="1">IFERROR(__xludf.DUMMYFUNCTION("""COMPUTED_VALUE"""),"445e8dc6")</f>
        <v>445e8dc6</v>
      </c>
      <c r="CJ201" s="29" t="str">
        <f ca="1">IFERROR(__xludf.DUMMYFUNCTION("""COMPUTED_VALUE"""),"Regitro_Evidencia_Images/445e8dc6.Archivo_Evidencia.164252.jpg")</f>
        <v>Regitro_Evidencia_Images/445e8dc6.Archivo_Evidencia.164252.jpg</v>
      </c>
      <c r="CK201" s="30" t="str">
        <f ca="1">IFERROR(__xludf.DUMMYFUNCTION("""COMPUTED_VALUE"""),"Foto")</f>
        <v>Foto</v>
      </c>
      <c r="CL201" s="30"/>
      <c r="CM201" s="30" t="str">
        <f ca="1">IFERROR(__xludf.DUMMYFUNCTION("""COMPUTED_VALUE"""),"León")</f>
        <v>León</v>
      </c>
      <c r="CN201" s="32" t="e">
        <f ca="1"/>
        <v>#NAME?</v>
      </c>
      <c r="CO201" s="32" t="e">
        <f ca="1"/>
        <v>#NAME?</v>
      </c>
      <c r="CP201" s="32" t="e">
        <f ca="1"/>
        <v>#NAME?</v>
      </c>
      <c r="CQ201" s="32" t="e">
        <f ca="1"/>
        <v>#NAME?</v>
      </c>
      <c r="CR201" s="30" t="e">
        <f ca="1"/>
        <v>#NAME?</v>
      </c>
      <c r="CS201" s="30" t="str">
        <f ca="1">IFERROR(__xludf.DUMMYFUNCTION("""COMPUTED_VALUE"""),"Ninguno (Población General), Ninguno (Población General)")</f>
        <v>Ninguno (Población General), Ninguno (Población General)</v>
      </c>
    </row>
    <row r="202" spans="1:97" ht="13">
      <c r="A202" s="29" t="str">
        <f ca="1">IFERROR(__xludf.DUMMYFUNCTION("""COMPUTED_VALUE"""),"ACT-SCBR82299")</f>
        <v>ACT-SCBR82299</v>
      </c>
      <c r="B202" s="30" t="str">
        <f ca="1">IFERROR(__xludf.DUMMYFUNCTION("""COMPUTED_VALUE"""),"SC-260705-133155")</f>
        <v>SC-260705-133155</v>
      </c>
      <c r="C202" s="62">
        <f ca="1">IFERROR(__xludf.DUMMYFUNCTION("""COMPUTED_VALUE"""),46208.5638310185)</f>
        <v>46208.563831018502</v>
      </c>
      <c r="D202" s="30">
        <f ca="1">IFERROR(__xludf.DUMMYFUNCTION("""COMPUTED_VALUE"""),92)</f>
        <v>92</v>
      </c>
      <c r="E202" s="30" t="str">
        <f ca="1">IFERROR(__xludf.DUMMYFUNCTION("""COMPUTED_VALUE"""),"PB3572")</f>
        <v>PB3572</v>
      </c>
      <c r="F20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2" s="30" t="str">
        <f ca="1">IFERROR(__xludf.DUMMYFUNCTION("""COMPUTED_VALUE"""),"SUBSECRETARÍA DE DESARROLLO Y PROMOCIÓN ARTÍSTICA Y CULTURAL")</f>
        <v>SUBSECRETARÍA DE DESARROLLO Y PROMOCIÓN ARTÍSTICA Y CULTURAL</v>
      </c>
      <c r="I202" s="34" t="str">
        <f ca="1">IFERROR(__xludf.DUMMYFUNCTION("""COMPUTED_VALUE"""),"DIRECCIÓN GENERAL DE MUSEOS, ARTES VISUALES Y EXPOSICIONES")</f>
        <v>DIRECCIÓN GENERAL DE MUSEOS, ARTES VISUALES Y EXPOSICIONES</v>
      </c>
      <c r="J202" s="30" t="str">
        <f ca="1">IFERROR(__xludf.DUMMYFUNCTION("""COMPUTED_VALUE"""),"Número de Actividades realizadas")</f>
        <v>Número de Actividades realizadas</v>
      </c>
      <c r="K202" s="30">
        <f ca="1">IFERROR(__xludf.DUMMYFUNCTION("""COMPUTED_VALUE"""),800)</f>
        <v>800</v>
      </c>
      <c r="L202" s="30" t="str">
        <f ca="1">IFERROR(__xludf.DUMMYFUNCTION("""COMPUTED_VALUE"""),"Cultural")</f>
        <v>Cultural</v>
      </c>
      <c r="M202" s="30" t="str">
        <f ca="1">IFERROR(__xludf.DUMMYFUNCTION("""COMPUTED_VALUE"""),"Visita escolar ""PREPARATORIA OFICIAL""")</f>
        <v>Visita escolar "PREPARATORIA OFICIAL"</v>
      </c>
      <c r="N202" s="30" t="str">
        <f ca="1">IFERROR(__xludf.DUMMYFUNCTION("""COMPUTED_VALUE"""),"Visita Mediada")</f>
        <v>Visita Mediada</v>
      </c>
      <c r="O202" s="30" t="str">
        <f ca="1">IFERROR(__xludf.DUMMYFUNCTION("""COMPUTED_VALUE"""),"Única")</f>
        <v>Única</v>
      </c>
      <c r="P202" s="33">
        <f ca="1">IFERROR(__xludf.DUMMYFUNCTION("""COMPUTED_VALUE"""),46163)</f>
        <v>46163</v>
      </c>
      <c r="Q202" s="33">
        <f ca="1">IFERROR(__xludf.DUMMYFUNCTION("""COMPUTED_VALUE"""),46163)</f>
        <v>46163</v>
      </c>
      <c r="R202" s="30">
        <f ca="1">IFERROR(__xludf.DUMMYFUNCTION("""COMPUTED_VALUE"""),1)</f>
        <v>1</v>
      </c>
      <c r="S202" s="30" t="str">
        <f ca="1">IFERROR(__xludf.DUMMYFUNCTION("""COMPUTED_VALUE"""),"Cultura comunitaria")</f>
        <v>Cultura comunitaria</v>
      </c>
      <c r="T202" s="30" t="str">
        <f ca="1">IFERROR(__xludf.DUMMYFUNCTION("""COMPUTED_VALUE"""),"Mediación cultural")</f>
        <v>Mediación cultural</v>
      </c>
      <c r="U202" s="30" t="str">
        <f ca="1">IFERROR(__xludf.DUMMYFUNCTION("""COMPUTED_VALUE"""),"Visitas escolares")</f>
        <v>Visitas escolares</v>
      </c>
      <c r="V202" s="30" t="str">
        <f ca="1">IFERROR(__xludf.DUMMYFUNCTION("""COMPUTED_VALUE"""),"Ninguna")</f>
        <v>Ninguna</v>
      </c>
      <c r="W202" s="30" t="str">
        <f ca="1">IFERROR(__xludf.DUMMYFUNCTION("""COMPUTED_VALUE"""),"Presencial")</f>
        <v>Presencial</v>
      </c>
      <c r="X202" s="30" t="str">
        <f ca="1">IFERROR(__xludf.DUMMYFUNCTION("""COMPUTED_VALUE"""),"Espacio a Cargo de la Secretaría")</f>
        <v>Espacio a Cargo de la Secretaría</v>
      </c>
      <c r="Y202" s="30" t="str">
        <f ca="1">IFERROR(__xludf.DUMMYFUNCTION("""COMPUTED_VALUE"""),"8")</f>
        <v>8</v>
      </c>
      <c r="Z202" s="30"/>
      <c r="AA202" s="30"/>
      <c r="AB202" s="30" t="b">
        <f ca="1">IFERROR(__xludf.DUMMYFUNCTION("""COMPUTED_VALUE"""),FALSE)</f>
        <v>0</v>
      </c>
      <c r="AC202" s="30"/>
      <c r="AD202" s="30" t="b">
        <f ca="1">IFERROR(__xludf.DUMMYFUNCTION("""COMPUTED_VALUE"""),FALSE)</f>
        <v>0</v>
      </c>
      <c r="AE202" s="30"/>
      <c r="AF202" s="30" t="b">
        <f ca="1">IFERROR(__xludf.DUMMYFUNCTION("""COMPUTED_VALUE"""),FALSE)</f>
        <v>0</v>
      </c>
      <c r="AG202" s="30"/>
      <c r="AH202" s="30" t="str">
        <f ca="1">IFERROR(__xludf.DUMMYFUNCTION("""COMPUTED_VALUE"""),"Sin costo")</f>
        <v>Sin costo</v>
      </c>
      <c r="AI202" s="30"/>
      <c r="AJ202" s="30"/>
      <c r="AK202" s="30"/>
      <c r="AL202" s="30" t="str">
        <f ca="1">IFERROR(__xludf.DUMMYFUNCTION("""COMPUTED_VALUE"""),"ccardonav@guanajuato.gob.mx")</f>
        <v>ccardonav@guanajuato.gob.mx</v>
      </c>
      <c r="AM202" s="30" t="str">
        <f ca="1">IFERROR(__xludf.DUMMYFUNCTION("""COMPUTED_VALUE"""),"Arraigo y empoderamiento cultural de comunidades.")</f>
        <v>Arraigo y empoderamiento cultural de comunidades.</v>
      </c>
      <c r="AN202" s="30" t="str">
        <f ca="1">IFERROR(__xludf.DUMMYFUNCTION("""COMPUTED_VALUE"""),"2 Igualdad")</f>
        <v>2 Igualdad</v>
      </c>
      <c r="AO202" s="30" t="str">
        <f ca="1">IFERROR(__xludf.DUMMYFUNCTION("""COMPUTED_VALUE"""),"2.4 Reducir brechas de desigualdad")</f>
        <v>2.4 Reducir brechas de desigualdad</v>
      </c>
      <c r="AP202" s="30" t="str">
        <f ca="1">IFERROR(__xludf.DUMMYFUNCTION("""COMPUTED_VALUE"""),"2.4.3 Descentralización de la oferta cultural")</f>
        <v>2.4.3 Descentralización de la oferta cultural</v>
      </c>
      <c r="AQ202" s="30" t="str">
        <f ca="1">IFERROR(__xludf.DUMMYFUNCTION("""COMPUTED_VALUE"""),"2.4.3.1 Impulsar el desarrollo artístico y cultural entre infancias y juventudes")</f>
        <v>2.4.3.1 Impulsar el desarrollo artístico y cultural entre infancias y juventudes</v>
      </c>
      <c r="AR202" s="30" t="str">
        <f ca="1">IFERROR(__xludf.DUMMYFUNCTION("""COMPUTED_VALUE"""),"Ninguno")</f>
        <v>Ninguno</v>
      </c>
      <c r="AS202" s="30"/>
      <c r="AT202" s="30" t="str">
        <f ca="1">IFERROR(__xludf.DUMMYFUNCTION("""COMPUTED_VALUE"""),"Fortalecimiento de la participación ciudadana y la mediación cultural")</f>
        <v>Fortalecimiento de la participación ciudadana y la mediación cultural</v>
      </c>
      <c r="AU202" s="30" t="str">
        <f ca="1">IFERROR(__xludf.DUMMYFUNCTION("""COMPUTED_VALUE"""),"Fortalecimiento del diálogo, la mediación y las capacidades de las redes comunitarias.")</f>
        <v>Fortalecimiento del diálogo, la mediación y las capacidades de las redes comunitarias.</v>
      </c>
      <c r="AV20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2" s="30" t="str">
        <f ca="1">IFERROR(__xludf.DUMMYFUNCTION("""COMPUTED_VALUE"""),"Incrementar en 25% la oferta cultural realizada en los municipios.")</f>
        <v>Incrementar en 25% la oferta cultural realizada en los municipios.</v>
      </c>
      <c r="AX202" s="30" t="str">
        <f ca="1">IFERROR(__xludf.DUMMYFUNCTION("""COMPUTED_VALUE"""),"Visitas escolares")</f>
        <v>Visitas escolares</v>
      </c>
      <c r="AY202" s="30" t="str">
        <f ca="1">IFERROR(__xludf.DUMMYFUNCTION("""COMPUTED_VALUE"""),"Mediación")</f>
        <v>Mediación</v>
      </c>
      <c r="AZ202" s="30"/>
      <c r="BA202" s="30"/>
      <c r="BB202" s="30"/>
      <c r="BC202" s="30">
        <f ca="1">IFERROR(__xludf.DUMMYFUNCTION("""COMPUTED_VALUE"""),0)</f>
        <v>0</v>
      </c>
      <c r="BD202" s="30"/>
      <c r="BE202" s="30"/>
      <c r="BF202" s="30" t="b">
        <f ca="1">IFERROR(__xludf.DUMMYFUNCTION("""COMPUTED_VALUE"""),FALSE)</f>
        <v>0</v>
      </c>
      <c r="BG202" s="30"/>
      <c r="BH202" s="30"/>
      <c r="BI202" s="30"/>
      <c r="BJ202" s="30"/>
      <c r="BK202" s="30"/>
      <c r="BL202" s="30"/>
      <c r="BM202" s="30" t="str">
        <f ca="1">IFERROR(__xludf.DUMMYFUNCTION("""COMPUTED_VALUE"""),"No")</f>
        <v>No</v>
      </c>
      <c r="BN202" s="30"/>
      <c r="BO202" s="30" t="str">
        <f ca="1">IFERROR(__xludf.DUMMYFUNCTION("""COMPUTED_VALUE"""),"0d7ba978")</f>
        <v>0d7ba978</v>
      </c>
      <c r="BP202" s="29" t="str">
        <f ca="1">IFERROR(__xludf.DUMMYFUNCTION("""COMPUTED_VALUE"""),"León")</f>
        <v>León</v>
      </c>
      <c r="BQ202" s="30" t="str">
        <f ca="1">IFERROR(__xludf.DUMMYFUNCTION("""COMPUTED_VALUE"""),"Urbano")</f>
        <v>Urbano</v>
      </c>
      <c r="BR202" s="30"/>
      <c r="BS202" s="30"/>
      <c r="BT202" s="30" t="str">
        <f ca="1">IFERROR(__xludf.DUMMYFUNCTION("""COMPUTED_VALUE"""),"La Martinica")</f>
        <v>La Martinica</v>
      </c>
      <c r="BU202" s="30" t="str">
        <f ca="1">IFERROR(__xludf.DUMMYFUNCTION("""COMPUTED_VALUE"""),"No")</f>
        <v>No</v>
      </c>
      <c r="BV202" s="30" t="str">
        <f ca="1">IFERROR(__xludf.DUMMYFUNCTION("""COMPUTED_VALUE"""),"No")</f>
        <v>No</v>
      </c>
      <c r="BW202" s="30">
        <f ca="1">IFERROR(__xludf.DUMMYFUNCTION("""COMPUTED_VALUE"""),220)</f>
        <v>220</v>
      </c>
      <c r="BX202" s="30">
        <f ca="1">IFERROR(__xludf.DUMMYFUNCTION("""COMPUTED_VALUE"""),220)</f>
        <v>220</v>
      </c>
      <c r="BY202" s="30">
        <f ca="1">IFERROR(__xludf.DUMMYFUNCTION("""COMPUTED_VALUE"""),0)</f>
        <v>0</v>
      </c>
      <c r="BZ202" s="30" t="str">
        <f ca="1">IFERROR(__xludf.DUMMYFUNCTION("""COMPUTED_VALUE"""),"La Martinica")</f>
        <v>La Martinica</v>
      </c>
      <c r="CA202" s="30" t="str">
        <f ca="1">IFERROR(__xludf.DUMMYFUNCTION("""COMPUTED_VALUE"""),"No")</f>
        <v>No</v>
      </c>
      <c r="CB202" s="30" t="str">
        <f ca="1">IFERROR(__xludf.DUMMYFUNCTION("""COMPUTED_VALUE"""),"No")</f>
        <v>No</v>
      </c>
      <c r="CC202" s="30" t="str">
        <f ca="1">IFERROR(__xludf.DUMMYFUNCTION("""COMPUTED_VALUE"""),"9aa5d9c1")</f>
        <v>9aa5d9c1</v>
      </c>
      <c r="CD202" s="29" t="str">
        <f ca="1">IFERROR(__xludf.DUMMYFUNCTION("""COMPUTED_VALUE"""),"Niñas y Niños (6 a 12 años)")</f>
        <v>Niñas y Niños (6 a 12 años)</v>
      </c>
      <c r="CE202" s="30" t="str">
        <f ca="1">IFERROR(__xludf.DUMMYFUNCTION("""COMPUTED_VALUE"""),"Dato global")</f>
        <v>Dato global</v>
      </c>
      <c r="CF202" s="30" t="str">
        <f ca="1">IFERROR(__xludf.DUMMYFUNCTION("""COMPUTED_VALUE"""),"Ninguno (Población General)")</f>
        <v>Ninguno (Población General)</v>
      </c>
      <c r="CG202" s="30">
        <f ca="1">IFERROR(__xludf.DUMMYFUNCTION("""COMPUTED_VALUE"""),15)</f>
        <v>15</v>
      </c>
      <c r="CI202" s="30" t="str">
        <f ca="1">IFERROR(__xludf.DUMMYFUNCTION("""COMPUTED_VALUE"""),"0aa7ba04")</f>
        <v>0aa7ba04</v>
      </c>
      <c r="CJ202" s="29" t="str">
        <f ca="1">IFERROR(__xludf.DUMMYFUNCTION("""COMPUTED_VALUE"""),"Regitro_Evidencia_Files_/0aa7ba04.Archivo_Evidencia.164921. Madero__")</f>
        <v>Regitro_Evidencia_Files_/0aa7ba04.Archivo_Evidencia.164921. Madero__</v>
      </c>
      <c r="CK202" s="30" t="str">
        <f ca="1">IFERROR(__xludf.DUMMYFUNCTION("""COMPUTED_VALUE"""),"Foto")</f>
        <v>Foto</v>
      </c>
      <c r="CL202" s="30"/>
      <c r="CM202" s="30" t="str">
        <f ca="1">IFERROR(__xludf.DUMMYFUNCTION("""COMPUTED_VALUE"""),"León")</f>
        <v>León</v>
      </c>
      <c r="CN202" s="32" t="e">
        <f ca="1"/>
        <v>#NAME?</v>
      </c>
      <c r="CO202" s="32" t="e">
        <f ca="1"/>
        <v>#NAME?</v>
      </c>
      <c r="CP202" s="32" t="e">
        <f ca="1"/>
        <v>#NAME?</v>
      </c>
      <c r="CQ202" s="32" t="e">
        <f ca="1"/>
        <v>#NAME?</v>
      </c>
      <c r="CR202" s="30" t="e">
        <f ca="1"/>
        <v>#NAME?</v>
      </c>
      <c r="CS202" s="30" t="str">
        <f ca="1">IFERROR(__xludf.DUMMYFUNCTION("""COMPUTED_VALUE"""),"Ninguno (Población General)")</f>
        <v>Ninguno (Población General)</v>
      </c>
    </row>
    <row r="203" spans="1:97" ht="13">
      <c r="A203" s="29" t="str">
        <f ca="1">IFERROR(__xludf.DUMMYFUNCTION("""COMPUTED_VALUE"""),"ACT-SCWV39108")</f>
        <v>ACT-SCWV39108</v>
      </c>
      <c r="B203" s="30" t="str">
        <f ca="1">IFERROR(__xludf.DUMMYFUNCTION("""COMPUTED_VALUE"""),"SC-260706-094255")</f>
        <v>SC-260706-094255</v>
      </c>
      <c r="C203" s="62">
        <f ca="1">IFERROR(__xludf.DUMMYFUNCTION("""COMPUTED_VALUE"""),46209.4048032407)</f>
        <v>46209.404803240701</v>
      </c>
      <c r="D203" s="30">
        <f ca="1">IFERROR(__xludf.DUMMYFUNCTION("""COMPUTED_VALUE"""),92)</f>
        <v>92</v>
      </c>
      <c r="E203" s="30" t="str">
        <f ca="1">IFERROR(__xludf.DUMMYFUNCTION("""COMPUTED_VALUE"""),"PB3572")</f>
        <v>PB3572</v>
      </c>
      <c r="F20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3" s="30" t="str">
        <f ca="1">IFERROR(__xludf.DUMMYFUNCTION("""COMPUTED_VALUE"""),"SUBSECRETARÍA DE DESARROLLO Y PROMOCIÓN ARTÍSTICA Y CULTURAL")</f>
        <v>SUBSECRETARÍA DE DESARROLLO Y PROMOCIÓN ARTÍSTICA Y CULTURAL</v>
      </c>
      <c r="I203" s="34" t="str">
        <f ca="1">IFERROR(__xludf.DUMMYFUNCTION("""COMPUTED_VALUE"""),"DIRECCIÓN GENERAL DE MUSEOS, ARTES VISUALES Y EXPOSICIONES")</f>
        <v>DIRECCIÓN GENERAL DE MUSEOS, ARTES VISUALES Y EXPOSICIONES</v>
      </c>
      <c r="J203" s="30" t="str">
        <f ca="1">IFERROR(__xludf.DUMMYFUNCTION("""COMPUTED_VALUE"""),"Número de Actividades realizadas")</f>
        <v>Número de Actividades realizadas</v>
      </c>
      <c r="K203" s="30">
        <f ca="1">IFERROR(__xludf.DUMMYFUNCTION("""COMPUTED_VALUE"""),800)</f>
        <v>800</v>
      </c>
      <c r="L203" s="30" t="str">
        <f ca="1">IFERROR(__xludf.DUMMYFUNCTION("""COMPUTED_VALUE"""),"Cultural")</f>
        <v>Cultural</v>
      </c>
      <c r="M203" s="30" t="str">
        <f ca="1">IFERROR(__xludf.DUMMYFUNCTION("""COMPUTED_VALUE"""),"Visita escolar ""INSTITUTO IGNACIO MONTES DE OCA""")</f>
        <v>Visita escolar "INSTITUTO IGNACIO MONTES DE OCA"</v>
      </c>
      <c r="N203" s="30" t="str">
        <f ca="1">IFERROR(__xludf.DUMMYFUNCTION("""COMPUTED_VALUE"""),"Visita mediada")</f>
        <v>Visita mediada</v>
      </c>
      <c r="O203" s="30" t="str">
        <f ca="1">IFERROR(__xludf.DUMMYFUNCTION("""COMPUTED_VALUE"""),"Única")</f>
        <v>Única</v>
      </c>
      <c r="P203" s="33">
        <f ca="1">IFERROR(__xludf.DUMMYFUNCTION("""COMPUTED_VALUE"""),46164)</f>
        <v>46164</v>
      </c>
      <c r="Q203" s="33">
        <f ca="1">IFERROR(__xludf.DUMMYFUNCTION("""COMPUTED_VALUE"""),46164)</f>
        <v>46164</v>
      </c>
      <c r="R203" s="30">
        <f ca="1">IFERROR(__xludf.DUMMYFUNCTION("""COMPUTED_VALUE"""),1)</f>
        <v>1</v>
      </c>
      <c r="S203" s="30" t="str">
        <f ca="1">IFERROR(__xludf.DUMMYFUNCTION("""COMPUTED_VALUE"""),"Cultura comunitaria")</f>
        <v>Cultura comunitaria</v>
      </c>
      <c r="T203" s="30" t="str">
        <f ca="1">IFERROR(__xludf.DUMMYFUNCTION("""COMPUTED_VALUE"""),"Mediación cultural")</f>
        <v>Mediación cultural</v>
      </c>
      <c r="U203" s="30" t="str">
        <f ca="1">IFERROR(__xludf.DUMMYFUNCTION("""COMPUTED_VALUE"""),"Visitas escolares")</f>
        <v>Visitas escolares</v>
      </c>
      <c r="V203" s="30" t="str">
        <f ca="1">IFERROR(__xludf.DUMMYFUNCTION("""COMPUTED_VALUE"""),"Ninguna")</f>
        <v>Ninguna</v>
      </c>
      <c r="W203" s="30" t="str">
        <f ca="1">IFERROR(__xludf.DUMMYFUNCTION("""COMPUTED_VALUE"""),"Presencial")</f>
        <v>Presencial</v>
      </c>
      <c r="X203" s="30" t="str">
        <f ca="1">IFERROR(__xludf.DUMMYFUNCTION("""COMPUTED_VALUE"""),"Espacio a Cargo de la Secretaría")</f>
        <v>Espacio a Cargo de la Secretaría</v>
      </c>
      <c r="Y203" s="30" t="str">
        <f ca="1">IFERROR(__xludf.DUMMYFUNCTION("""COMPUTED_VALUE"""),"8")</f>
        <v>8</v>
      </c>
      <c r="Z203" s="30"/>
      <c r="AA203" s="30"/>
      <c r="AB203" s="30" t="b">
        <f ca="1">IFERROR(__xludf.DUMMYFUNCTION("""COMPUTED_VALUE"""),FALSE)</f>
        <v>0</v>
      </c>
      <c r="AC203" s="30"/>
      <c r="AD203" s="30" t="b">
        <f ca="1">IFERROR(__xludf.DUMMYFUNCTION("""COMPUTED_VALUE"""),FALSE)</f>
        <v>0</v>
      </c>
      <c r="AE203" s="30"/>
      <c r="AF203" s="30" t="b">
        <f ca="1">IFERROR(__xludf.DUMMYFUNCTION("""COMPUTED_VALUE"""),FALSE)</f>
        <v>0</v>
      </c>
      <c r="AG203" s="30"/>
      <c r="AH203" s="30" t="str">
        <f ca="1">IFERROR(__xludf.DUMMYFUNCTION("""COMPUTED_VALUE"""),"Sin costo")</f>
        <v>Sin costo</v>
      </c>
      <c r="AI203" s="30"/>
      <c r="AJ203" s="30"/>
      <c r="AK203" s="30"/>
      <c r="AL203" s="30" t="str">
        <f ca="1">IFERROR(__xludf.DUMMYFUNCTION("""COMPUTED_VALUE"""),"ccardonav@guanajuato.gob.mx")</f>
        <v>ccardonav@guanajuato.gob.mx</v>
      </c>
      <c r="AM203" s="30" t="str">
        <f ca="1">IFERROR(__xludf.DUMMYFUNCTION("""COMPUTED_VALUE"""),"Arraigo y empoderamiento cultural de comunidades.")</f>
        <v>Arraigo y empoderamiento cultural de comunidades.</v>
      </c>
      <c r="AN203" s="30" t="str">
        <f ca="1">IFERROR(__xludf.DUMMYFUNCTION("""COMPUTED_VALUE"""),"2 Igualdad")</f>
        <v>2 Igualdad</v>
      </c>
      <c r="AO203" s="30" t="str">
        <f ca="1">IFERROR(__xludf.DUMMYFUNCTION("""COMPUTED_VALUE"""),"2.4 Reducir brechas de desigualdad")</f>
        <v>2.4 Reducir brechas de desigualdad</v>
      </c>
      <c r="AP203" s="30" t="str">
        <f ca="1">IFERROR(__xludf.DUMMYFUNCTION("""COMPUTED_VALUE"""),"2.4.3 Descentralización de la oferta cultural")</f>
        <v>2.4.3 Descentralización de la oferta cultural</v>
      </c>
      <c r="AQ203" s="30" t="str">
        <f ca="1">IFERROR(__xludf.DUMMYFUNCTION("""COMPUTED_VALUE"""),"2.4.3.1 Impulsar el desarrollo artístico y cultural entre infancias y juventudes")</f>
        <v>2.4.3.1 Impulsar el desarrollo artístico y cultural entre infancias y juventudes</v>
      </c>
      <c r="AR203" s="30" t="str">
        <f ca="1">IFERROR(__xludf.DUMMYFUNCTION("""COMPUTED_VALUE"""),"Ninguno")</f>
        <v>Ninguno</v>
      </c>
      <c r="AS203" s="30"/>
      <c r="AT203" s="30" t="str">
        <f ca="1">IFERROR(__xludf.DUMMYFUNCTION("""COMPUTED_VALUE"""),"Fortalecimiento de la participación ciudadana y la mediación cultural")</f>
        <v>Fortalecimiento de la participación ciudadana y la mediación cultural</v>
      </c>
      <c r="AU203" s="30" t="str">
        <f ca="1">IFERROR(__xludf.DUMMYFUNCTION("""COMPUTED_VALUE"""),"Fortalecimiento del diálogo, la mediación y las capacidades de las redes comunitarias.")</f>
        <v>Fortalecimiento del diálogo, la mediación y las capacidades de las redes comunitarias.</v>
      </c>
      <c r="AV20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3" s="30" t="str">
        <f ca="1">IFERROR(__xludf.DUMMYFUNCTION("""COMPUTED_VALUE"""),"Incrementar en 25% la oferta cultural realizada en los municipios.")</f>
        <v>Incrementar en 25% la oferta cultural realizada en los municipios.</v>
      </c>
      <c r="AX203" s="30" t="str">
        <f ca="1">IFERROR(__xludf.DUMMYFUNCTION("""COMPUTED_VALUE"""),"Visitas escolares")</f>
        <v>Visitas escolares</v>
      </c>
      <c r="AY203" s="30" t="str">
        <f ca="1">IFERROR(__xludf.DUMMYFUNCTION("""COMPUTED_VALUE"""),"Mediación")</f>
        <v>Mediación</v>
      </c>
      <c r="AZ203" s="30"/>
      <c r="BA203" s="30"/>
      <c r="BB203" s="30"/>
      <c r="BC203" s="30">
        <f ca="1">IFERROR(__xludf.DUMMYFUNCTION("""COMPUTED_VALUE"""),0)</f>
        <v>0</v>
      </c>
      <c r="BD203" s="30"/>
      <c r="BE203" s="30"/>
      <c r="BF203" s="30" t="b">
        <f ca="1">IFERROR(__xludf.DUMMYFUNCTION("""COMPUTED_VALUE"""),FALSE)</f>
        <v>0</v>
      </c>
      <c r="BG203" s="30"/>
      <c r="BH203" s="30"/>
      <c r="BI203" s="30"/>
      <c r="BJ203" s="30"/>
      <c r="BK203" s="30"/>
      <c r="BL203" s="30"/>
      <c r="BM203" s="30" t="str">
        <f ca="1">IFERROR(__xludf.DUMMYFUNCTION("""COMPUTED_VALUE"""),"No")</f>
        <v>No</v>
      </c>
      <c r="BN203" s="30"/>
      <c r="BO203" s="30" t="str">
        <f ca="1">IFERROR(__xludf.DUMMYFUNCTION("""COMPUTED_VALUE"""),"7e3ff1fb")</f>
        <v>7e3ff1fb</v>
      </c>
      <c r="BP203" s="29" t="str">
        <f ca="1">IFERROR(__xludf.DUMMYFUNCTION("""COMPUTED_VALUE"""),"León")</f>
        <v>León</v>
      </c>
      <c r="BQ203" s="30" t="str">
        <f ca="1">IFERROR(__xludf.DUMMYFUNCTION("""COMPUTED_VALUE"""),"Urbano")</f>
        <v>Urbano</v>
      </c>
      <c r="BR203" s="30"/>
      <c r="BS203" s="30"/>
      <c r="BT203" s="30" t="str">
        <f ca="1">IFERROR(__xludf.DUMMYFUNCTION("""COMPUTED_VALUE"""),"La Martinica")</f>
        <v>La Martinica</v>
      </c>
      <c r="BU203" s="30" t="str">
        <f ca="1">IFERROR(__xludf.DUMMYFUNCTION("""COMPUTED_VALUE"""),"No")</f>
        <v>No</v>
      </c>
      <c r="BV203" s="30" t="str">
        <f ca="1">IFERROR(__xludf.DUMMYFUNCTION("""COMPUTED_VALUE"""),"No")</f>
        <v>No</v>
      </c>
      <c r="BW203" s="30">
        <f ca="1">IFERROR(__xludf.DUMMYFUNCTION("""COMPUTED_VALUE"""),75)</f>
        <v>75</v>
      </c>
      <c r="BX203" s="30"/>
      <c r="BY203" s="30">
        <f ca="1">IFERROR(__xludf.DUMMYFUNCTION("""COMPUTED_VALUE"""),75)</f>
        <v>75</v>
      </c>
      <c r="BZ203" s="30" t="str">
        <f ca="1">IFERROR(__xludf.DUMMYFUNCTION("""COMPUTED_VALUE"""),"La Martinica")</f>
        <v>La Martinica</v>
      </c>
      <c r="CA203" s="30" t="str">
        <f ca="1">IFERROR(__xludf.DUMMYFUNCTION("""COMPUTED_VALUE"""),"No")</f>
        <v>No</v>
      </c>
      <c r="CB203" s="30" t="str">
        <f ca="1">IFERROR(__xludf.DUMMYFUNCTION("""COMPUTED_VALUE"""),"No")</f>
        <v>No</v>
      </c>
      <c r="CC203" s="30" t="str">
        <f ca="1">IFERROR(__xludf.DUMMYFUNCTION("""COMPUTED_VALUE"""),"1687ff54")</f>
        <v>1687ff54</v>
      </c>
      <c r="CD203" s="29" t="str">
        <f ca="1">IFERROR(__xludf.DUMMYFUNCTION("""COMPUTED_VALUE"""),"Adultos (30 a 59 años)")</f>
        <v>Adultos (30 a 59 años)</v>
      </c>
      <c r="CE203" s="30" t="str">
        <f ca="1">IFERROR(__xludf.DUMMYFUNCTION("""COMPUTED_VALUE"""),"Dato global")</f>
        <v>Dato global</v>
      </c>
      <c r="CF203" s="30" t="str">
        <f ca="1">IFERROR(__xludf.DUMMYFUNCTION("""COMPUTED_VALUE"""),"Ninguno (Población General)")</f>
        <v>Ninguno (Población General)</v>
      </c>
      <c r="CG203" s="30">
        <f ca="1">IFERROR(__xludf.DUMMYFUNCTION("""COMPUTED_VALUE"""),25)</f>
        <v>25</v>
      </c>
      <c r="CI203" s="30" t="str">
        <f ca="1">IFERROR(__xludf.DUMMYFUNCTION("""COMPUTED_VALUE"""),"49c7fd45")</f>
        <v>49c7fd45</v>
      </c>
      <c r="CJ203" s="29"/>
      <c r="CK203" s="30" t="str">
        <f ca="1">IFERROR(__xludf.DUMMYFUNCTION("""COMPUTED_VALUE"""),"Foto")</f>
        <v>Foto</v>
      </c>
      <c r="CL203" s="30"/>
      <c r="CM203" s="30" t="str">
        <f ca="1">IFERROR(__xludf.DUMMYFUNCTION("""COMPUTED_VALUE"""),"León")</f>
        <v>León</v>
      </c>
      <c r="CN203" s="32" t="e">
        <f ca="1"/>
        <v>#NAME?</v>
      </c>
      <c r="CO203" s="32" t="e">
        <f ca="1"/>
        <v>#NAME?</v>
      </c>
      <c r="CP203" s="32" t="e">
        <f ca="1"/>
        <v>#NAME?</v>
      </c>
      <c r="CQ203" s="32" t="e">
        <f ca="1"/>
        <v>#NAME?</v>
      </c>
      <c r="CR203" s="30" t="e">
        <f ca="1"/>
        <v>#NAME?</v>
      </c>
      <c r="CS203" s="30" t="str">
        <f ca="1">IFERROR(__xludf.DUMMYFUNCTION("""COMPUTED_VALUE"""),"Ninguno (Población General)")</f>
        <v>Ninguno (Población General)</v>
      </c>
    </row>
    <row r="204" spans="1:97" ht="13">
      <c r="A204" s="29" t="str">
        <f ca="1">IFERROR(__xludf.DUMMYFUNCTION("""COMPUTED_VALUE"""),"ACT-SCFY04264")</f>
        <v>ACT-SCFY04264</v>
      </c>
      <c r="B204" s="30" t="str">
        <f ca="1">IFERROR(__xludf.DUMMYFUNCTION("""COMPUTED_VALUE"""),"SC-260706-094807")</f>
        <v>SC-260706-094807</v>
      </c>
      <c r="C204" s="62">
        <f ca="1">IFERROR(__xludf.DUMMYFUNCTION("""COMPUTED_VALUE"""),46209.4084143518)</f>
        <v>46209.408414351798</v>
      </c>
      <c r="D204" s="30">
        <f ca="1">IFERROR(__xludf.DUMMYFUNCTION("""COMPUTED_VALUE"""),92)</f>
        <v>92</v>
      </c>
      <c r="E204" s="30" t="str">
        <f ca="1">IFERROR(__xludf.DUMMYFUNCTION("""COMPUTED_VALUE"""),"PB3572")</f>
        <v>PB3572</v>
      </c>
      <c r="F20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4" s="30" t="str">
        <f ca="1">IFERROR(__xludf.DUMMYFUNCTION("""COMPUTED_VALUE"""),"SUBSECRETARÍA DE DESARROLLO Y PROMOCIÓN ARTÍSTICA Y CULTURAL")</f>
        <v>SUBSECRETARÍA DE DESARROLLO Y PROMOCIÓN ARTÍSTICA Y CULTURAL</v>
      </c>
      <c r="I204" s="34" t="str">
        <f ca="1">IFERROR(__xludf.DUMMYFUNCTION("""COMPUTED_VALUE"""),"DIRECCIÓN GENERAL DE MUSEOS, ARTES VISUALES Y EXPOSICIONES")</f>
        <v>DIRECCIÓN GENERAL DE MUSEOS, ARTES VISUALES Y EXPOSICIONES</v>
      </c>
      <c r="J204" s="30" t="str">
        <f ca="1">IFERROR(__xludf.DUMMYFUNCTION("""COMPUTED_VALUE"""),"Número de Actividades realizadas")</f>
        <v>Número de Actividades realizadas</v>
      </c>
      <c r="K204" s="30">
        <f ca="1">IFERROR(__xludf.DUMMYFUNCTION("""COMPUTED_VALUE"""),800)</f>
        <v>800</v>
      </c>
      <c r="L204" s="30" t="str">
        <f ca="1">IFERROR(__xludf.DUMMYFUNCTION("""COMPUTED_VALUE"""),"Cultural")</f>
        <v>Cultural</v>
      </c>
      <c r="M204" s="30" t="str">
        <f ca="1">IFERROR(__xludf.DUMMYFUNCTION("""COMPUTED_VALUE"""),"Visita escolar ""INSTITUTO IGNACIO MONTES DE OCA""")</f>
        <v>Visita escolar "INSTITUTO IGNACIO MONTES DE OCA"</v>
      </c>
      <c r="N204" s="30" t="str">
        <f ca="1">IFERROR(__xludf.DUMMYFUNCTION("""COMPUTED_VALUE"""),"Visita Mediada")</f>
        <v>Visita Mediada</v>
      </c>
      <c r="O204" s="30" t="str">
        <f ca="1">IFERROR(__xludf.DUMMYFUNCTION("""COMPUTED_VALUE"""),"Única")</f>
        <v>Única</v>
      </c>
      <c r="P204" s="33">
        <f ca="1">IFERROR(__xludf.DUMMYFUNCTION("""COMPUTED_VALUE"""),46164)</f>
        <v>46164</v>
      </c>
      <c r="Q204" s="33">
        <f ca="1">IFERROR(__xludf.DUMMYFUNCTION("""COMPUTED_VALUE"""),46164)</f>
        <v>46164</v>
      </c>
      <c r="R204" s="30">
        <f ca="1">IFERROR(__xludf.DUMMYFUNCTION("""COMPUTED_VALUE"""),1)</f>
        <v>1</v>
      </c>
      <c r="S204" s="30" t="str">
        <f ca="1">IFERROR(__xludf.DUMMYFUNCTION("""COMPUTED_VALUE"""),"Cultura comunitaria")</f>
        <v>Cultura comunitaria</v>
      </c>
      <c r="T204" s="30" t="str">
        <f ca="1">IFERROR(__xludf.DUMMYFUNCTION("""COMPUTED_VALUE"""),"Mediación cultural")</f>
        <v>Mediación cultural</v>
      </c>
      <c r="U204" s="30" t="str">
        <f ca="1">IFERROR(__xludf.DUMMYFUNCTION("""COMPUTED_VALUE"""),"Visitas escolares")</f>
        <v>Visitas escolares</v>
      </c>
      <c r="V204" s="30" t="str">
        <f ca="1">IFERROR(__xludf.DUMMYFUNCTION("""COMPUTED_VALUE"""),"Ninguna")</f>
        <v>Ninguna</v>
      </c>
      <c r="W204" s="30" t="str">
        <f ca="1">IFERROR(__xludf.DUMMYFUNCTION("""COMPUTED_VALUE"""),"Presencial")</f>
        <v>Presencial</v>
      </c>
      <c r="X204" s="30" t="str">
        <f ca="1">IFERROR(__xludf.DUMMYFUNCTION("""COMPUTED_VALUE"""),"Espacio a Cargo de la Secretaría")</f>
        <v>Espacio a Cargo de la Secretaría</v>
      </c>
      <c r="Y204" s="30" t="str">
        <f ca="1">IFERROR(__xludf.DUMMYFUNCTION("""COMPUTED_VALUE"""),"8")</f>
        <v>8</v>
      </c>
      <c r="Z204" s="30"/>
      <c r="AA204" s="30"/>
      <c r="AB204" s="30" t="b">
        <f ca="1">IFERROR(__xludf.DUMMYFUNCTION("""COMPUTED_VALUE"""),FALSE)</f>
        <v>0</v>
      </c>
      <c r="AC204" s="30"/>
      <c r="AD204" s="30" t="b">
        <f ca="1">IFERROR(__xludf.DUMMYFUNCTION("""COMPUTED_VALUE"""),FALSE)</f>
        <v>0</v>
      </c>
      <c r="AE204" s="30"/>
      <c r="AF204" s="30" t="b">
        <f ca="1">IFERROR(__xludf.DUMMYFUNCTION("""COMPUTED_VALUE"""),FALSE)</f>
        <v>0</v>
      </c>
      <c r="AG204" s="30"/>
      <c r="AH204" s="30" t="str">
        <f ca="1">IFERROR(__xludf.DUMMYFUNCTION("""COMPUTED_VALUE"""),"Sin costo")</f>
        <v>Sin costo</v>
      </c>
      <c r="AI204" s="30"/>
      <c r="AJ204" s="30"/>
      <c r="AK204" s="30"/>
      <c r="AL204" s="30" t="str">
        <f ca="1">IFERROR(__xludf.DUMMYFUNCTION("""COMPUTED_VALUE"""),"ccardonav@guanajuato.gob.mx")</f>
        <v>ccardonav@guanajuato.gob.mx</v>
      </c>
      <c r="AM204" s="30" t="str">
        <f ca="1">IFERROR(__xludf.DUMMYFUNCTION("""COMPUTED_VALUE"""),"Arraigo y empoderamiento cultural de comunidades.")</f>
        <v>Arraigo y empoderamiento cultural de comunidades.</v>
      </c>
      <c r="AN204" s="30" t="str">
        <f ca="1">IFERROR(__xludf.DUMMYFUNCTION("""COMPUTED_VALUE"""),"2 Igualdad")</f>
        <v>2 Igualdad</v>
      </c>
      <c r="AO204" s="30" t="str">
        <f ca="1">IFERROR(__xludf.DUMMYFUNCTION("""COMPUTED_VALUE"""),"2.4 Reducir brechas de desigualdad")</f>
        <v>2.4 Reducir brechas de desigualdad</v>
      </c>
      <c r="AP204" s="30" t="str">
        <f ca="1">IFERROR(__xludf.DUMMYFUNCTION("""COMPUTED_VALUE"""),"2.4.3 Descentralización de la oferta cultural")</f>
        <v>2.4.3 Descentralización de la oferta cultural</v>
      </c>
      <c r="AQ204" s="30" t="str">
        <f ca="1">IFERROR(__xludf.DUMMYFUNCTION("""COMPUTED_VALUE"""),"2.4.3.1 Impulsar el desarrollo artístico y cultural entre infancias y juventudes")</f>
        <v>2.4.3.1 Impulsar el desarrollo artístico y cultural entre infancias y juventudes</v>
      </c>
      <c r="AR204" s="30" t="str">
        <f ca="1">IFERROR(__xludf.DUMMYFUNCTION("""COMPUTED_VALUE"""),"Ninguno")</f>
        <v>Ninguno</v>
      </c>
      <c r="AS204" s="30"/>
      <c r="AT204" s="30" t="str">
        <f ca="1">IFERROR(__xludf.DUMMYFUNCTION("""COMPUTED_VALUE"""),"Fortalecimiento de la participación ciudadana y la mediación cultural")</f>
        <v>Fortalecimiento de la participación ciudadana y la mediación cultural</v>
      </c>
      <c r="AU204" s="30" t="str">
        <f ca="1">IFERROR(__xludf.DUMMYFUNCTION("""COMPUTED_VALUE"""),"Fortalecimiento del diálogo, la mediación y las capacidades de las redes comunitarias.")</f>
        <v>Fortalecimiento del diálogo, la mediación y las capacidades de las redes comunitarias.</v>
      </c>
      <c r="AV20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4" s="30" t="str">
        <f ca="1">IFERROR(__xludf.DUMMYFUNCTION("""COMPUTED_VALUE"""),"Incrementar en 25% la oferta cultural realizada en los municipios.")</f>
        <v>Incrementar en 25% la oferta cultural realizada en los municipios.</v>
      </c>
      <c r="AX204" s="30" t="str">
        <f ca="1">IFERROR(__xludf.DUMMYFUNCTION("""COMPUTED_VALUE"""),"Visitas escolares")</f>
        <v>Visitas escolares</v>
      </c>
      <c r="AY204" s="30" t="str">
        <f ca="1">IFERROR(__xludf.DUMMYFUNCTION("""COMPUTED_VALUE"""),"Mediación")</f>
        <v>Mediación</v>
      </c>
      <c r="AZ204" s="30"/>
      <c r="BA204" s="30"/>
      <c r="BB204" s="30"/>
      <c r="BC204" s="30">
        <f ca="1">IFERROR(__xludf.DUMMYFUNCTION("""COMPUTED_VALUE"""),0)</f>
        <v>0</v>
      </c>
      <c r="BD204" s="30"/>
      <c r="BE204" s="30"/>
      <c r="BF204" s="30" t="b">
        <f ca="1">IFERROR(__xludf.DUMMYFUNCTION("""COMPUTED_VALUE"""),FALSE)</f>
        <v>0</v>
      </c>
      <c r="BG204" s="30"/>
      <c r="BH204" s="30"/>
      <c r="BI204" s="30"/>
      <c r="BJ204" s="30"/>
      <c r="BK204" s="30"/>
      <c r="BL204" s="30"/>
      <c r="BM204" s="30" t="str">
        <f ca="1">IFERROR(__xludf.DUMMYFUNCTION("""COMPUTED_VALUE"""),"No")</f>
        <v>No</v>
      </c>
      <c r="BN204" s="30"/>
      <c r="BO204" s="30" t="str">
        <f ca="1">IFERROR(__xludf.DUMMYFUNCTION("""COMPUTED_VALUE"""),"cbf5d6b6")</f>
        <v>cbf5d6b6</v>
      </c>
      <c r="BP204" s="29" t="str">
        <f ca="1">IFERROR(__xludf.DUMMYFUNCTION("""COMPUTED_VALUE"""),"León")</f>
        <v>León</v>
      </c>
      <c r="BQ204" s="30" t="str">
        <f ca="1">IFERROR(__xludf.DUMMYFUNCTION("""COMPUTED_VALUE"""),"Urbano")</f>
        <v>Urbano</v>
      </c>
      <c r="BR204" s="30"/>
      <c r="BS204" s="30"/>
      <c r="BT204" s="30" t="str">
        <f ca="1">IFERROR(__xludf.DUMMYFUNCTION("""COMPUTED_VALUE"""),"La Martinica")</f>
        <v>La Martinica</v>
      </c>
      <c r="BU204" s="30" t="str">
        <f ca="1">IFERROR(__xludf.DUMMYFUNCTION("""COMPUTED_VALUE"""),"No")</f>
        <v>No</v>
      </c>
      <c r="BV204" s="30" t="str">
        <f ca="1">IFERROR(__xludf.DUMMYFUNCTION("""COMPUTED_VALUE"""),"No")</f>
        <v>No</v>
      </c>
      <c r="BW204" s="30">
        <f ca="1">IFERROR(__xludf.DUMMYFUNCTION("""COMPUTED_VALUE"""),43)</f>
        <v>43</v>
      </c>
      <c r="BX204" s="30"/>
      <c r="BY204" s="30">
        <f ca="1">IFERROR(__xludf.DUMMYFUNCTION("""COMPUTED_VALUE"""),43)</f>
        <v>43</v>
      </c>
      <c r="BZ204" s="30" t="str">
        <f ca="1">IFERROR(__xludf.DUMMYFUNCTION("""COMPUTED_VALUE"""),"La Martinica")</f>
        <v>La Martinica</v>
      </c>
      <c r="CA204" s="30" t="str">
        <f ca="1">IFERROR(__xludf.DUMMYFUNCTION("""COMPUTED_VALUE"""),"No")</f>
        <v>No</v>
      </c>
      <c r="CB204" s="30" t="str">
        <f ca="1">IFERROR(__xludf.DUMMYFUNCTION("""COMPUTED_VALUE"""),"No")</f>
        <v>No</v>
      </c>
      <c r="CC204" s="30" t="str">
        <f ca="1">IFERROR(__xludf.DUMMYFUNCTION("""COMPUTED_VALUE"""),"a50e5d57")</f>
        <v>a50e5d57</v>
      </c>
      <c r="CD204" s="29" t="str">
        <f ca="1">IFERROR(__xludf.DUMMYFUNCTION("""COMPUTED_VALUE"""),"Adultos Mayores (60 años o más)")</f>
        <v>Adultos Mayores (60 años o más)</v>
      </c>
      <c r="CE204" s="30" t="str">
        <f ca="1">IFERROR(__xludf.DUMMYFUNCTION("""COMPUTED_VALUE"""),"Dato global")</f>
        <v>Dato global</v>
      </c>
      <c r="CF204" s="30" t="str">
        <f ca="1">IFERROR(__xludf.DUMMYFUNCTION("""COMPUTED_VALUE"""),"Ninguno (Población General)")</f>
        <v>Ninguno (Población General)</v>
      </c>
      <c r="CG204" s="30">
        <f ca="1">IFERROR(__xludf.DUMMYFUNCTION("""COMPUTED_VALUE"""),30)</f>
        <v>30</v>
      </c>
      <c r="CI204" s="30" t="str">
        <f ca="1">IFERROR(__xludf.DUMMYFUNCTION("""COMPUTED_VALUE"""),"5a26a4cc")</f>
        <v>5a26a4cc</v>
      </c>
      <c r="CJ204" s="29" t="str">
        <f ca="1">IFERROR(__xludf.DUMMYFUNCTION("""COMPUTED_VALUE"""),"Regitro_Evidencia_Images/5a26a4cc.Archivo_Evidencia.170759.jpg")</f>
        <v>Regitro_Evidencia_Images/5a26a4cc.Archivo_Evidencia.170759.jpg</v>
      </c>
      <c r="CK204" s="30" t="str">
        <f ca="1">IFERROR(__xludf.DUMMYFUNCTION("""COMPUTED_VALUE"""),"Foto")</f>
        <v>Foto</v>
      </c>
      <c r="CL204" s="30"/>
      <c r="CM204" s="30" t="str">
        <f ca="1">IFERROR(__xludf.DUMMYFUNCTION("""COMPUTED_VALUE"""),"León")</f>
        <v>León</v>
      </c>
      <c r="CN204" s="32" t="e">
        <f ca="1"/>
        <v>#NAME?</v>
      </c>
      <c r="CO204" s="32" t="e">
        <f ca="1"/>
        <v>#NAME?</v>
      </c>
      <c r="CP204" s="32" t="e">
        <f ca="1"/>
        <v>#NAME?</v>
      </c>
      <c r="CQ204" s="32" t="e">
        <f ca="1"/>
        <v>#NAME?</v>
      </c>
      <c r="CR204" s="30" t="e">
        <f ca="1"/>
        <v>#NAME?</v>
      </c>
      <c r="CS204" s="30" t="str">
        <f ca="1">IFERROR(__xludf.DUMMYFUNCTION("""COMPUTED_VALUE"""),"Ninguno (Población General), Ninguno (Población General)")</f>
        <v>Ninguno (Población General), Ninguno (Población General)</v>
      </c>
    </row>
    <row r="205" spans="1:97" ht="13">
      <c r="A205" s="29" t="str">
        <f ca="1">IFERROR(__xludf.DUMMYFUNCTION("""COMPUTED_VALUE"""),"ACT-SCID84291")</f>
        <v>ACT-SCID84291</v>
      </c>
      <c r="B205" s="30" t="str">
        <f ca="1">IFERROR(__xludf.DUMMYFUNCTION("""COMPUTED_VALUE"""),"SC-260706-101524")</f>
        <v>SC-260706-101524</v>
      </c>
      <c r="C205" s="62">
        <f ca="1">IFERROR(__xludf.DUMMYFUNCTION("""COMPUTED_VALUE"""),46209.4273611111)</f>
        <v>46209.427361111098</v>
      </c>
      <c r="D205" s="30">
        <f ca="1">IFERROR(__xludf.DUMMYFUNCTION("""COMPUTED_VALUE"""),92)</f>
        <v>92</v>
      </c>
      <c r="E205" s="30" t="str">
        <f ca="1">IFERROR(__xludf.DUMMYFUNCTION("""COMPUTED_VALUE"""),"PB3572")</f>
        <v>PB3572</v>
      </c>
      <c r="F20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5" s="30" t="str">
        <f ca="1">IFERROR(__xludf.DUMMYFUNCTION("""COMPUTED_VALUE"""),"SUBSECRETARÍA DE DESARROLLO Y PROMOCIÓN ARTÍSTICA Y CULTURAL")</f>
        <v>SUBSECRETARÍA DE DESARROLLO Y PROMOCIÓN ARTÍSTICA Y CULTURAL</v>
      </c>
      <c r="I205" s="34" t="str">
        <f ca="1">IFERROR(__xludf.DUMMYFUNCTION("""COMPUTED_VALUE"""),"DIRECCIÓN GENERAL DE MUSEOS, ARTES VISUALES Y EXPOSICIONES")</f>
        <v>DIRECCIÓN GENERAL DE MUSEOS, ARTES VISUALES Y EXPOSICIONES</v>
      </c>
      <c r="J205" s="30" t="str">
        <f ca="1">IFERROR(__xludf.DUMMYFUNCTION("""COMPUTED_VALUE"""),"Número de Actividades realizadas")</f>
        <v>Número de Actividades realizadas</v>
      </c>
      <c r="K205" s="30">
        <f ca="1">IFERROR(__xludf.DUMMYFUNCTION("""COMPUTED_VALUE"""),800)</f>
        <v>800</v>
      </c>
      <c r="L205" s="30" t="str">
        <f ca="1">IFERROR(__xludf.DUMMYFUNCTION("""COMPUTED_VALUE"""),"Cultural")</f>
        <v>Cultural</v>
      </c>
      <c r="M205" s="30" t="str">
        <f ca="1">IFERROR(__xludf.DUMMYFUNCTION("""COMPUTED_VALUE"""),"Noche de Museos")</f>
        <v>Noche de Museos</v>
      </c>
      <c r="N205" s="30" t="str">
        <f ca="1">IFERROR(__xludf.DUMMYFUNCTION("""COMPUTED_VALUE"""),"Visita Mediada")</f>
        <v>Visita Mediada</v>
      </c>
      <c r="O205" s="30" t="str">
        <f ca="1">IFERROR(__xludf.DUMMYFUNCTION("""COMPUTED_VALUE"""),"Única")</f>
        <v>Única</v>
      </c>
      <c r="P205" s="33">
        <f ca="1">IFERROR(__xludf.DUMMYFUNCTION("""COMPUTED_VALUE"""),46168)</f>
        <v>46168</v>
      </c>
      <c r="Q205" s="33">
        <f ca="1">IFERROR(__xludf.DUMMYFUNCTION("""COMPUTED_VALUE"""),46168)</f>
        <v>46168</v>
      </c>
      <c r="R205" s="30">
        <f ca="1">IFERROR(__xludf.DUMMYFUNCTION("""COMPUTED_VALUE"""),1)</f>
        <v>1</v>
      </c>
      <c r="S205" s="30" t="str">
        <f ca="1">IFERROR(__xludf.DUMMYFUNCTION("""COMPUTED_VALUE"""),"Cultura comunitaria")</f>
        <v>Cultura comunitaria</v>
      </c>
      <c r="T205" s="30" t="str">
        <f ca="1">IFERROR(__xludf.DUMMYFUNCTION("""COMPUTED_VALUE"""),"Mediación cultural")</f>
        <v>Mediación cultural</v>
      </c>
      <c r="U205" s="30" t="str">
        <f ca="1">IFERROR(__xludf.DUMMYFUNCTION("""COMPUTED_VALUE"""),"Visitas guiadas")</f>
        <v>Visitas guiadas</v>
      </c>
      <c r="V205" s="30" t="str">
        <f ca="1">IFERROR(__xludf.DUMMYFUNCTION("""COMPUTED_VALUE"""),"Ninguna")</f>
        <v>Ninguna</v>
      </c>
      <c r="W205" s="30" t="str">
        <f ca="1">IFERROR(__xludf.DUMMYFUNCTION("""COMPUTED_VALUE"""),"Presencial")</f>
        <v>Presencial</v>
      </c>
      <c r="X205" s="30" t="str">
        <f ca="1">IFERROR(__xludf.DUMMYFUNCTION("""COMPUTED_VALUE"""),"Espacio a Cargo de la Secretaría")</f>
        <v>Espacio a Cargo de la Secretaría</v>
      </c>
      <c r="Y205" s="30" t="str">
        <f ca="1">IFERROR(__xludf.DUMMYFUNCTION("""COMPUTED_VALUE"""),"8")</f>
        <v>8</v>
      </c>
      <c r="Z205" s="30"/>
      <c r="AA205" s="30"/>
      <c r="AB205" s="30" t="b">
        <f ca="1">IFERROR(__xludf.DUMMYFUNCTION("""COMPUTED_VALUE"""),FALSE)</f>
        <v>0</v>
      </c>
      <c r="AC205" s="30"/>
      <c r="AD205" s="30" t="b">
        <f ca="1">IFERROR(__xludf.DUMMYFUNCTION("""COMPUTED_VALUE"""),FALSE)</f>
        <v>0</v>
      </c>
      <c r="AE205" s="30"/>
      <c r="AF205" s="30" t="b">
        <f ca="1">IFERROR(__xludf.DUMMYFUNCTION("""COMPUTED_VALUE"""),FALSE)</f>
        <v>0</v>
      </c>
      <c r="AG205" s="30"/>
      <c r="AH205" s="30" t="str">
        <f ca="1">IFERROR(__xludf.DUMMYFUNCTION("""COMPUTED_VALUE"""),"Sin costo")</f>
        <v>Sin costo</v>
      </c>
      <c r="AI205" s="30"/>
      <c r="AJ205" s="30"/>
      <c r="AK205" s="30"/>
      <c r="AL205" s="30" t="str">
        <f ca="1">IFERROR(__xludf.DUMMYFUNCTION("""COMPUTED_VALUE"""),"ccardonav@guanajuato.gob.mx")</f>
        <v>ccardonav@guanajuato.gob.mx</v>
      </c>
      <c r="AM205" s="30" t="str">
        <f ca="1">IFERROR(__xludf.DUMMYFUNCTION("""COMPUTED_VALUE"""),"Arraigo y empoderamiento cultural de comunidades.")</f>
        <v>Arraigo y empoderamiento cultural de comunidades.</v>
      </c>
      <c r="AN205" s="30" t="str">
        <f ca="1">IFERROR(__xludf.DUMMYFUNCTION("""COMPUTED_VALUE"""),"2 Igualdad")</f>
        <v>2 Igualdad</v>
      </c>
      <c r="AO205" s="30" t="str">
        <f ca="1">IFERROR(__xludf.DUMMYFUNCTION("""COMPUTED_VALUE"""),"2.4 Reducir brechas de desigualdad")</f>
        <v>2.4 Reducir brechas de desigualdad</v>
      </c>
      <c r="AP205" s="30" t="str">
        <f ca="1">IFERROR(__xludf.DUMMYFUNCTION("""COMPUTED_VALUE"""),"2.4.3 Descentralización de la oferta cultural")</f>
        <v>2.4.3 Descentralización de la oferta cultural</v>
      </c>
      <c r="AQ205" s="30" t="str">
        <f ca="1">IFERROR(__xludf.DUMMYFUNCTION("""COMPUTED_VALUE"""),"2.4.3.1 Impulsar el desarrollo artístico y cultural entre infancias y juventudes")</f>
        <v>2.4.3.1 Impulsar el desarrollo artístico y cultural entre infancias y juventudes</v>
      </c>
      <c r="AR205" s="30" t="str">
        <f ca="1">IFERROR(__xludf.DUMMYFUNCTION("""COMPUTED_VALUE"""),"Ninguno")</f>
        <v>Ninguno</v>
      </c>
      <c r="AS205" s="30"/>
      <c r="AT205" s="30" t="str">
        <f ca="1">IFERROR(__xludf.DUMMYFUNCTION("""COMPUTED_VALUE"""),"Fortalecimiento de la participación ciudadana y la mediación cultural")</f>
        <v>Fortalecimiento de la participación ciudadana y la mediación cultural</v>
      </c>
      <c r="AU205" s="30" t="str">
        <f ca="1">IFERROR(__xludf.DUMMYFUNCTION("""COMPUTED_VALUE"""),"Fortalecimiento del diálogo, la mediación y las capacidades de las redes comunitarias.")</f>
        <v>Fortalecimiento del diálogo, la mediación y las capacidades de las redes comunitarias.</v>
      </c>
      <c r="AV20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5" s="30" t="str">
        <f ca="1">IFERROR(__xludf.DUMMYFUNCTION("""COMPUTED_VALUE"""),"Incrementar en 25% la oferta cultural realizada en los municipios.")</f>
        <v>Incrementar en 25% la oferta cultural realizada en los municipios.</v>
      </c>
      <c r="AX205" s="30" t="str">
        <f ca="1">IFERROR(__xludf.DUMMYFUNCTION("""COMPUTED_VALUE"""),"Visitas guiadas")</f>
        <v>Visitas guiadas</v>
      </c>
      <c r="AY205" s="30" t="str">
        <f ca="1">IFERROR(__xludf.DUMMYFUNCTION("""COMPUTED_VALUE"""),"Mediación")</f>
        <v>Mediación</v>
      </c>
      <c r="AZ205" s="30"/>
      <c r="BA205" s="30"/>
      <c r="BB205" s="30"/>
      <c r="BC205" s="30">
        <f ca="1">IFERROR(__xludf.DUMMYFUNCTION("""COMPUTED_VALUE"""),0)</f>
        <v>0</v>
      </c>
      <c r="BD205" s="30"/>
      <c r="BE205" s="30"/>
      <c r="BF205" s="30" t="b">
        <f ca="1">IFERROR(__xludf.DUMMYFUNCTION("""COMPUTED_VALUE"""),FALSE)</f>
        <v>0</v>
      </c>
      <c r="BG205" s="30"/>
      <c r="BH205" s="30"/>
      <c r="BI205" s="30"/>
      <c r="BJ205" s="30"/>
      <c r="BK205" s="30"/>
      <c r="BL205" s="30"/>
      <c r="BM205" s="30" t="str">
        <f ca="1">IFERROR(__xludf.DUMMYFUNCTION("""COMPUTED_VALUE"""),"No")</f>
        <v>No</v>
      </c>
      <c r="BN205" s="30"/>
      <c r="BO205" s="30" t="str">
        <f ca="1">IFERROR(__xludf.DUMMYFUNCTION("""COMPUTED_VALUE"""),"58772078")</f>
        <v>58772078</v>
      </c>
      <c r="BP205" s="29" t="str">
        <f ca="1">IFERROR(__xludf.DUMMYFUNCTION("""COMPUTED_VALUE"""),"León")</f>
        <v>León</v>
      </c>
      <c r="BQ205" s="30" t="str">
        <f ca="1">IFERROR(__xludf.DUMMYFUNCTION("""COMPUTED_VALUE"""),"Urbano")</f>
        <v>Urbano</v>
      </c>
      <c r="BR205" s="30"/>
      <c r="BS205" s="30"/>
      <c r="BT205" s="30" t="str">
        <f ca="1">IFERROR(__xludf.DUMMYFUNCTION("""COMPUTED_VALUE"""),"La Martinica")</f>
        <v>La Martinica</v>
      </c>
      <c r="BU205" s="30" t="str">
        <f ca="1">IFERROR(__xludf.DUMMYFUNCTION("""COMPUTED_VALUE"""),"No")</f>
        <v>No</v>
      </c>
      <c r="BV205" s="30" t="str">
        <f ca="1">IFERROR(__xludf.DUMMYFUNCTION("""COMPUTED_VALUE"""),"No")</f>
        <v>No</v>
      </c>
      <c r="BW205" s="30">
        <f ca="1">IFERROR(__xludf.DUMMYFUNCTION("""COMPUTED_VALUE"""),41)</f>
        <v>41</v>
      </c>
      <c r="BX205" s="30"/>
      <c r="BY205" s="30">
        <f ca="1">IFERROR(__xludf.DUMMYFUNCTION("""COMPUTED_VALUE"""),41)</f>
        <v>41</v>
      </c>
      <c r="BZ205" s="30" t="str">
        <f ca="1">IFERROR(__xludf.DUMMYFUNCTION("""COMPUTED_VALUE"""),"La Martinica")</f>
        <v>La Martinica</v>
      </c>
      <c r="CA205" s="30" t="str">
        <f ca="1">IFERROR(__xludf.DUMMYFUNCTION("""COMPUTED_VALUE"""),"No")</f>
        <v>No</v>
      </c>
      <c r="CB205" s="30" t="str">
        <f ca="1">IFERROR(__xludf.DUMMYFUNCTION("""COMPUTED_VALUE"""),"No")</f>
        <v>No</v>
      </c>
      <c r="CC205" s="30" t="str">
        <f ca="1">IFERROR(__xludf.DUMMYFUNCTION("""COMPUTED_VALUE"""),"869e455a")</f>
        <v>869e455a</v>
      </c>
      <c r="CD205" s="29" t="str">
        <f ca="1">IFERROR(__xludf.DUMMYFUNCTION("""COMPUTED_VALUE"""),"Niñas y Niños (6 a 12 años)")</f>
        <v>Niñas y Niños (6 a 12 años)</v>
      </c>
      <c r="CE205" s="30" t="str">
        <f ca="1">IFERROR(__xludf.DUMMYFUNCTION("""COMPUTED_VALUE"""),"Dato global")</f>
        <v>Dato global</v>
      </c>
      <c r="CF205" s="30" t="str">
        <f ca="1">IFERROR(__xludf.DUMMYFUNCTION("""COMPUTED_VALUE"""),"Ninguno (Población General)")</f>
        <v>Ninguno (Población General)</v>
      </c>
      <c r="CG205" s="30">
        <f ca="1">IFERROR(__xludf.DUMMYFUNCTION("""COMPUTED_VALUE"""),15)</f>
        <v>15</v>
      </c>
      <c r="CI205" s="30" t="str">
        <f ca="1">IFERROR(__xludf.DUMMYFUNCTION("""COMPUTED_VALUE"""),"489b1931")</f>
        <v>489b1931</v>
      </c>
      <c r="CJ205" s="29" t="str">
        <f ca="1">IFERROR(__xludf.DUMMYFUNCTION("""COMPUTED_VALUE"""),"Regitro_Evidencia_Images/489b1931.Archivo_Evidencia.172626.jpg")</f>
        <v>Regitro_Evidencia_Images/489b1931.Archivo_Evidencia.172626.jpg</v>
      </c>
      <c r="CK205" s="30" t="str">
        <f ca="1">IFERROR(__xludf.DUMMYFUNCTION("""COMPUTED_VALUE"""),"Foto")</f>
        <v>Foto</v>
      </c>
      <c r="CL205" s="30"/>
      <c r="CM205" s="30" t="str">
        <f ca="1">IFERROR(__xludf.DUMMYFUNCTION("""COMPUTED_VALUE"""),"León")</f>
        <v>León</v>
      </c>
      <c r="CN205" s="32" t="e">
        <f ca="1"/>
        <v>#NAME?</v>
      </c>
      <c r="CO205" s="32" t="e">
        <f ca="1"/>
        <v>#NAME?</v>
      </c>
      <c r="CP205" s="32" t="e">
        <f ca="1"/>
        <v>#NAME?</v>
      </c>
      <c r="CQ205" s="32" t="e">
        <f ca="1"/>
        <v>#NAME?</v>
      </c>
      <c r="CR205" s="30" t="e">
        <f ca="1"/>
        <v>#NAME?</v>
      </c>
      <c r="CS205" s="30" t="str">
        <f ca="1">IFERROR(__xludf.DUMMYFUNCTION("""COMPUTED_VALUE"""),"Ninguno (Población General), Ninguno (Población General)")</f>
        <v>Ninguno (Población General), Ninguno (Población General)</v>
      </c>
    </row>
    <row r="206" spans="1:97" ht="13">
      <c r="A206" s="29" t="str">
        <f ca="1">IFERROR(__xludf.DUMMYFUNCTION("""COMPUTED_VALUE"""),"ACT-SCVP63501")</f>
        <v>ACT-SCVP63501</v>
      </c>
      <c r="B206" s="30" t="str">
        <f ca="1">IFERROR(__xludf.DUMMYFUNCTION("""COMPUTED_VALUE"""),"SC-260706-102811")</f>
        <v>SC-260706-102811</v>
      </c>
      <c r="C206" s="62">
        <f ca="1">IFERROR(__xludf.DUMMYFUNCTION("""COMPUTED_VALUE"""),46209.4362384259)</f>
        <v>46209.4362384259</v>
      </c>
      <c r="D206" s="30">
        <f ca="1">IFERROR(__xludf.DUMMYFUNCTION("""COMPUTED_VALUE"""),92)</f>
        <v>92</v>
      </c>
      <c r="E206" s="30" t="str">
        <f ca="1">IFERROR(__xludf.DUMMYFUNCTION("""COMPUTED_VALUE"""),"PB3572")</f>
        <v>PB3572</v>
      </c>
      <c r="F20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6" s="30" t="str">
        <f ca="1">IFERROR(__xludf.DUMMYFUNCTION("""COMPUTED_VALUE"""),"SUBSECRETARÍA DE DESARROLLO Y PROMOCIÓN ARTÍSTICA Y CULTURAL")</f>
        <v>SUBSECRETARÍA DE DESARROLLO Y PROMOCIÓN ARTÍSTICA Y CULTURAL</v>
      </c>
      <c r="I206" s="34" t="str">
        <f ca="1">IFERROR(__xludf.DUMMYFUNCTION("""COMPUTED_VALUE"""),"DIRECCIÓN GENERAL DE MUSEOS, ARTES VISUALES Y EXPOSICIONES")</f>
        <v>DIRECCIÓN GENERAL DE MUSEOS, ARTES VISUALES Y EXPOSICIONES</v>
      </c>
      <c r="J206" s="30" t="str">
        <f ca="1">IFERROR(__xludf.DUMMYFUNCTION("""COMPUTED_VALUE"""),"Número de Actividades realizadas")</f>
        <v>Número de Actividades realizadas</v>
      </c>
      <c r="K206" s="30">
        <f ca="1">IFERROR(__xludf.DUMMYFUNCTION("""COMPUTED_VALUE"""),800)</f>
        <v>800</v>
      </c>
      <c r="L206" s="30" t="str">
        <f ca="1">IFERROR(__xludf.DUMMYFUNCTION("""COMPUTED_VALUE"""),"Cultural")</f>
        <v>Cultural</v>
      </c>
      <c r="M206" s="30" t="str">
        <f ca="1">IFERROR(__xludf.DUMMYFUNCTION("""COMPUTED_VALUE"""),"Visita Escolar ""MIGUEL BERNAL JIMÉNEZ""")</f>
        <v>Visita Escolar "MIGUEL BERNAL JIMÉNEZ"</v>
      </c>
      <c r="N206" s="30" t="str">
        <f ca="1">IFERROR(__xludf.DUMMYFUNCTION("""COMPUTED_VALUE"""),"Visita Mediada")</f>
        <v>Visita Mediada</v>
      </c>
      <c r="O206" s="30" t="str">
        <f ca="1">IFERROR(__xludf.DUMMYFUNCTION("""COMPUTED_VALUE"""),"Única")</f>
        <v>Única</v>
      </c>
      <c r="P206" s="33">
        <f ca="1">IFERROR(__xludf.DUMMYFUNCTION("""COMPUTED_VALUE"""),46169)</f>
        <v>46169</v>
      </c>
      <c r="Q206" s="33">
        <f ca="1">IFERROR(__xludf.DUMMYFUNCTION("""COMPUTED_VALUE"""),46169)</f>
        <v>46169</v>
      </c>
      <c r="R206" s="30">
        <f ca="1">IFERROR(__xludf.DUMMYFUNCTION("""COMPUTED_VALUE"""),1)</f>
        <v>1</v>
      </c>
      <c r="S206" s="30" t="str">
        <f ca="1">IFERROR(__xludf.DUMMYFUNCTION("""COMPUTED_VALUE"""),"Cultura comunitaria")</f>
        <v>Cultura comunitaria</v>
      </c>
      <c r="T206" s="30" t="str">
        <f ca="1">IFERROR(__xludf.DUMMYFUNCTION("""COMPUTED_VALUE"""),"Mediación cultural")</f>
        <v>Mediación cultural</v>
      </c>
      <c r="U206" s="30" t="str">
        <f ca="1">IFERROR(__xludf.DUMMYFUNCTION("""COMPUTED_VALUE"""),"Visitas escolares")</f>
        <v>Visitas escolares</v>
      </c>
      <c r="V206" s="30" t="str">
        <f ca="1">IFERROR(__xludf.DUMMYFUNCTION("""COMPUTED_VALUE"""),"Ninguna")</f>
        <v>Ninguna</v>
      </c>
      <c r="W206" s="30" t="str">
        <f ca="1">IFERROR(__xludf.DUMMYFUNCTION("""COMPUTED_VALUE"""),"Presencial")</f>
        <v>Presencial</v>
      </c>
      <c r="X206" s="30" t="str">
        <f ca="1">IFERROR(__xludf.DUMMYFUNCTION("""COMPUTED_VALUE"""),"Espacio a Cargo de la Secretaría")</f>
        <v>Espacio a Cargo de la Secretaría</v>
      </c>
      <c r="Y206" s="30" t="str">
        <f ca="1">IFERROR(__xludf.DUMMYFUNCTION("""COMPUTED_VALUE"""),"8")</f>
        <v>8</v>
      </c>
      <c r="Z206" s="30"/>
      <c r="AA206" s="30"/>
      <c r="AB206" s="30" t="b">
        <f ca="1">IFERROR(__xludf.DUMMYFUNCTION("""COMPUTED_VALUE"""),FALSE)</f>
        <v>0</v>
      </c>
      <c r="AC206" s="30"/>
      <c r="AD206" s="30" t="b">
        <f ca="1">IFERROR(__xludf.DUMMYFUNCTION("""COMPUTED_VALUE"""),FALSE)</f>
        <v>0</v>
      </c>
      <c r="AE206" s="30"/>
      <c r="AF206" s="30" t="b">
        <f ca="1">IFERROR(__xludf.DUMMYFUNCTION("""COMPUTED_VALUE"""),FALSE)</f>
        <v>0</v>
      </c>
      <c r="AG206" s="30"/>
      <c r="AH206" s="30" t="str">
        <f ca="1">IFERROR(__xludf.DUMMYFUNCTION("""COMPUTED_VALUE"""),"Sin costo")</f>
        <v>Sin costo</v>
      </c>
      <c r="AI206" s="30"/>
      <c r="AJ206" s="30"/>
      <c r="AK206" s="30"/>
      <c r="AL206" s="30" t="str">
        <f ca="1">IFERROR(__xludf.DUMMYFUNCTION("""COMPUTED_VALUE"""),"ccardonav@guanajuato.gob.mx")</f>
        <v>ccardonav@guanajuato.gob.mx</v>
      </c>
      <c r="AM206" s="30" t="str">
        <f ca="1">IFERROR(__xludf.DUMMYFUNCTION("""COMPUTED_VALUE"""),"Arraigo y empoderamiento cultural de comunidades.")</f>
        <v>Arraigo y empoderamiento cultural de comunidades.</v>
      </c>
      <c r="AN206" s="30" t="str">
        <f ca="1">IFERROR(__xludf.DUMMYFUNCTION("""COMPUTED_VALUE"""),"2 Igualdad")</f>
        <v>2 Igualdad</v>
      </c>
      <c r="AO206" s="30" t="str">
        <f ca="1">IFERROR(__xludf.DUMMYFUNCTION("""COMPUTED_VALUE"""),"2.4 Reducir brechas de desigualdad")</f>
        <v>2.4 Reducir brechas de desigualdad</v>
      </c>
      <c r="AP206" s="30" t="str">
        <f ca="1">IFERROR(__xludf.DUMMYFUNCTION("""COMPUTED_VALUE"""),"2.4.3 Descentralización de la oferta cultural")</f>
        <v>2.4.3 Descentralización de la oferta cultural</v>
      </c>
      <c r="AQ206" s="30" t="str">
        <f ca="1">IFERROR(__xludf.DUMMYFUNCTION("""COMPUTED_VALUE"""),"2.4.3.1 Impulsar el desarrollo artístico y cultural entre infancias y juventudes")</f>
        <v>2.4.3.1 Impulsar el desarrollo artístico y cultural entre infancias y juventudes</v>
      </c>
      <c r="AR206" s="30" t="str">
        <f ca="1">IFERROR(__xludf.DUMMYFUNCTION("""COMPUTED_VALUE"""),"Ninguno")</f>
        <v>Ninguno</v>
      </c>
      <c r="AS206" s="30"/>
      <c r="AT206" s="30" t="str">
        <f ca="1">IFERROR(__xludf.DUMMYFUNCTION("""COMPUTED_VALUE"""),"Fortalecimiento de la participación ciudadana y la mediación cultural")</f>
        <v>Fortalecimiento de la participación ciudadana y la mediación cultural</v>
      </c>
      <c r="AU206" s="30" t="str">
        <f ca="1">IFERROR(__xludf.DUMMYFUNCTION("""COMPUTED_VALUE"""),"Fortalecimiento del diálogo, la mediación y las capacidades de las redes comunitarias.")</f>
        <v>Fortalecimiento del diálogo, la mediación y las capacidades de las redes comunitarias.</v>
      </c>
      <c r="AV20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6" s="30" t="str">
        <f ca="1">IFERROR(__xludf.DUMMYFUNCTION("""COMPUTED_VALUE"""),"Incrementar en 25% la oferta cultural realizada en los municipios.")</f>
        <v>Incrementar en 25% la oferta cultural realizada en los municipios.</v>
      </c>
      <c r="AX206" s="30" t="str">
        <f ca="1">IFERROR(__xludf.DUMMYFUNCTION("""COMPUTED_VALUE"""),"Visitas escolares")</f>
        <v>Visitas escolares</v>
      </c>
      <c r="AY206" s="30" t="str">
        <f ca="1">IFERROR(__xludf.DUMMYFUNCTION("""COMPUTED_VALUE"""),"Mediación")</f>
        <v>Mediación</v>
      </c>
      <c r="AZ206" s="30"/>
      <c r="BA206" s="30"/>
      <c r="BB206" s="30"/>
      <c r="BC206" s="30">
        <f ca="1">IFERROR(__xludf.DUMMYFUNCTION("""COMPUTED_VALUE"""),0)</f>
        <v>0</v>
      </c>
      <c r="BD206" s="30"/>
      <c r="BE206" s="30"/>
      <c r="BF206" s="30" t="b">
        <f ca="1">IFERROR(__xludf.DUMMYFUNCTION("""COMPUTED_VALUE"""),FALSE)</f>
        <v>0</v>
      </c>
      <c r="BG206" s="30"/>
      <c r="BH206" s="30"/>
      <c r="BI206" s="30"/>
      <c r="BJ206" s="30"/>
      <c r="BK206" s="30"/>
      <c r="BL206" s="30"/>
      <c r="BM206" s="30" t="str">
        <f ca="1">IFERROR(__xludf.DUMMYFUNCTION("""COMPUTED_VALUE"""),"No")</f>
        <v>No</v>
      </c>
      <c r="BN206" s="30"/>
      <c r="BO206" s="30" t="str">
        <f ca="1">IFERROR(__xludf.DUMMYFUNCTION("""COMPUTED_VALUE"""),"13e4c0a0")</f>
        <v>13e4c0a0</v>
      </c>
      <c r="BP206" s="29" t="str">
        <f ca="1">IFERROR(__xludf.DUMMYFUNCTION("""COMPUTED_VALUE"""),"León")</f>
        <v>León</v>
      </c>
      <c r="BQ206" s="30" t="str">
        <f ca="1">IFERROR(__xludf.DUMMYFUNCTION("""COMPUTED_VALUE"""),"Urbano")</f>
        <v>Urbano</v>
      </c>
      <c r="BR206" s="30"/>
      <c r="BS206" s="30"/>
      <c r="BT206" s="30" t="str">
        <f ca="1">IFERROR(__xludf.DUMMYFUNCTION("""COMPUTED_VALUE"""),"La Martinica")</f>
        <v>La Martinica</v>
      </c>
      <c r="BU206" s="30" t="str">
        <f ca="1">IFERROR(__xludf.DUMMYFUNCTION("""COMPUTED_VALUE"""),"No")</f>
        <v>No</v>
      </c>
      <c r="BV206" s="30" t="str">
        <f ca="1">IFERROR(__xludf.DUMMYFUNCTION("""COMPUTED_VALUE"""),"No")</f>
        <v>No</v>
      </c>
      <c r="BW206" s="30">
        <f ca="1">IFERROR(__xludf.DUMMYFUNCTION("""COMPUTED_VALUE"""),49)</f>
        <v>49</v>
      </c>
      <c r="BX206" s="30"/>
      <c r="BY206" s="30">
        <f ca="1">IFERROR(__xludf.DUMMYFUNCTION("""COMPUTED_VALUE"""),49)</f>
        <v>49</v>
      </c>
      <c r="BZ206" s="30" t="str">
        <f ca="1">IFERROR(__xludf.DUMMYFUNCTION("""COMPUTED_VALUE"""),"La Martinica")</f>
        <v>La Martinica</v>
      </c>
      <c r="CA206" s="30" t="str">
        <f ca="1">IFERROR(__xludf.DUMMYFUNCTION("""COMPUTED_VALUE"""),"No")</f>
        <v>No</v>
      </c>
      <c r="CB206" s="30" t="str">
        <f ca="1">IFERROR(__xludf.DUMMYFUNCTION("""COMPUTED_VALUE"""),"No")</f>
        <v>No</v>
      </c>
      <c r="CC206" s="30" t="str">
        <f ca="1">IFERROR(__xludf.DUMMYFUNCTION("""COMPUTED_VALUE"""),"ff64693a")</f>
        <v>ff64693a</v>
      </c>
      <c r="CD206" s="29" t="str">
        <f ca="1">IFERROR(__xludf.DUMMYFUNCTION("""COMPUTED_VALUE"""),"Jóvenes (18 a 29 años)")</f>
        <v>Jóvenes (18 a 29 años)</v>
      </c>
      <c r="CE206" s="30" t="str">
        <f ca="1">IFERROR(__xludf.DUMMYFUNCTION("""COMPUTED_VALUE"""),"Dato global")</f>
        <v>Dato global</v>
      </c>
      <c r="CF206" s="30" t="str">
        <f ca="1">IFERROR(__xludf.DUMMYFUNCTION("""COMPUTED_VALUE"""),"Ninguno (Población General)")</f>
        <v>Ninguno (Población General)</v>
      </c>
      <c r="CG206" s="30">
        <f ca="1">IFERROR(__xludf.DUMMYFUNCTION("""COMPUTED_VALUE"""),5)</f>
        <v>5</v>
      </c>
      <c r="CI206" s="30" t="str">
        <f ca="1">IFERROR(__xludf.DUMMYFUNCTION("""COMPUTED_VALUE"""),"ba1cc7f1")</f>
        <v>ba1cc7f1</v>
      </c>
      <c r="CJ206" s="29" t="str">
        <f ca="1">IFERROR(__xludf.DUMMYFUNCTION("""COMPUTED_VALUE"""),"Regitro_Evidencia_Images/ba1cc7f1.Archivo_Evidencia.173401.jpg")</f>
        <v>Regitro_Evidencia_Images/ba1cc7f1.Archivo_Evidencia.173401.jpg</v>
      </c>
      <c r="CK206" s="30" t="str">
        <f ca="1">IFERROR(__xludf.DUMMYFUNCTION("""COMPUTED_VALUE"""),"Foto")</f>
        <v>Foto</v>
      </c>
      <c r="CL206" s="30"/>
      <c r="CM206" s="30" t="str">
        <f ca="1">IFERROR(__xludf.DUMMYFUNCTION("""COMPUTED_VALUE"""),"León")</f>
        <v>León</v>
      </c>
      <c r="CN206" s="32" t="e">
        <f ca="1"/>
        <v>#NAME?</v>
      </c>
      <c r="CO206" s="32" t="e">
        <f ca="1"/>
        <v>#NAME?</v>
      </c>
      <c r="CP206" s="32" t="e">
        <f ca="1"/>
        <v>#NAME?</v>
      </c>
      <c r="CQ206" s="32" t="e">
        <f ca="1"/>
        <v>#NAME?</v>
      </c>
      <c r="CR206" s="30" t="e">
        <f ca="1"/>
        <v>#NAME?</v>
      </c>
      <c r="CS206"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207" spans="1:97" ht="13">
      <c r="A207" s="29" t="str">
        <f ca="1">IFERROR(__xludf.DUMMYFUNCTION("""COMPUTED_VALUE"""),"ACT-SCYN16296")</f>
        <v>ACT-SCYN16296</v>
      </c>
      <c r="B207" s="30" t="str">
        <f ca="1">IFERROR(__xludf.DUMMYFUNCTION("""COMPUTED_VALUE"""),"SC-260706-103237")</f>
        <v>SC-260706-103237</v>
      </c>
      <c r="C207" s="62">
        <f ca="1">IFERROR(__xludf.DUMMYFUNCTION("""COMPUTED_VALUE"""),46209.4393171296)</f>
        <v>46209.439317129603</v>
      </c>
      <c r="D207" s="30">
        <f ca="1">IFERROR(__xludf.DUMMYFUNCTION("""COMPUTED_VALUE"""),92)</f>
        <v>92</v>
      </c>
      <c r="E207" s="30" t="str">
        <f ca="1">IFERROR(__xludf.DUMMYFUNCTION("""COMPUTED_VALUE"""),"PB3572")</f>
        <v>PB3572</v>
      </c>
      <c r="F20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7" s="30" t="str">
        <f ca="1">IFERROR(__xludf.DUMMYFUNCTION("""COMPUTED_VALUE"""),"SUBSECRETARÍA DE DESARROLLO Y PROMOCIÓN ARTÍSTICA Y CULTURAL")</f>
        <v>SUBSECRETARÍA DE DESARROLLO Y PROMOCIÓN ARTÍSTICA Y CULTURAL</v>
      </c>
      <c r="I207" s="34" t="str">
        <f ca="1">IFERROR(__xludf.DUMMYFUNCTION("""COMPUTED_VALUE"""),"DIRECCIÓN GENERAL DE MUSEOS, ARTES VISUALES Y EXPOSICIONES")</f>
        <v>DIRECCIÓN GENERAL DE MUSEOS, ARTES VISUALES Y EXPOSICIONES</v>
      </c>
      <c r="J207" s="30" t="str">
        <f ca="1">IFERROR(__xludf.DUMMYFUNCTION("""COMPUTED_VALUE"""),"Número de Actividades realizadas")</f>
        <v>Número de Actividades realizadas</v>
      </c>
      <c r="K207" s="30">
        <f ca="1">IFERROR(__xludf.DUMMYFUNCTION("""COMPUTED_VALUE"""),800)</f>
        <v>800</v>
      </c>
      <c r="L207" s="30" t="str">
        <f ca="1">IFERROR(__xludf.DUMMYFUNCTION("""COMPUTED_VALUE"""),"Cultural")</f>
        <v>Cultural</v>
      </c>
      <c r="M207" s="30" t="str">
        <f ca="1">IFERROR(__xludf.DUMMYFUNCTION("""COMPUTED_VALUE"""),"1 EEM ""Encuentro Estatal de Museos 2026""")</f>
        <v>1 EEM "Encuentro Estatal de Museos 2026"</v>
      </c>
      <c r="N207" s="30" t="str">
        <f ca="1">IFERROR(__xludf.DUMMYFUNCTION("""COMPUTED_VALUE"""),"Visita Mediada")</f>
        <v>Visita Mediada</v>
      </c>
      <c r="O207" s="30" t="str">
        <f ca="1">IFERROR(__xludf.DUMMYFUNCTION("""COMPUTED_VALUE"""),"Única")</f>
        <v>Única</v>
      </c>
      <c r="P207" s="33">
        <f ca="1">IFERROR(__xludf.DUMMYFUNCTION("""COMPUTED_VALUE"""),46170)</f>
        <v>46170</v>
      </c>
      <c r="Q207" s="33">
        <f ca="1">IFERROR(__xludf.DUMMYFUNCTION("""COMPUTED_VALUE"""),46170)</f>
        <v>46170</v>
      </c>
      <c r="R207" s="30">
        <f ca="1">IFERROR(__xludf.DUMMYFUNCTION("""COMPUTED_VALUE"""),1)</f>
        <v>1</v>
      </c>
      <c r="S207" s="30" t="str">
        <f ca="1">IFERROR(__xludf.DUMMYFUNCTION("""COMPUTED_VALUE"""),"Cultura comunitaria")</f>
        <v>Cultura comunitaria</v>
      </c>
      <c r="T207" s="30" t="str">
        <f ca="1">IFERROR(__xludf.DUMMYFUNCTION("""COMPUTED_VALUE"""),"Mediación cultural")</f>
        <v>Mediación cultural</v>
      </c>
      <c r="U207" s="30" t="str">
        <f ca="1">IFERROR(__xludf.DUMMYFUNCTION("""COMPUTED_VALUE"""),"Visitas guiadas")</f>
        <v>Visitas guiadas</v>
      </c>
      <c r="V207" s="30" t="str">
        <f ca="1">IFERROR(__xludf.DUMMYFUNCTION("""COMPUTED_VALUE"""),"Ninguna")</f>
        <v>Ninguna</v>
      </c>
      <c r="W207" s="30" t="str">
        <f ca="1">IFERROR(__xludf.DUMMYFUNCTION("""COMPUTED_VALUE"""),"Presencial")</f>
        <v>Presencial</v>
      </c>
      <c r="X207" s="30" t="str">
        <f ca="1">IFERROR(__xludf.DUMMYFUNCTION("""COMPUTED_VALUE"""),"Espacio a Cargo de la Secretaría")</f>
        <v>Espacio a Cargo de la Secretaría</v>
      </c>
      <c r="Y207" s="30" t="str">
        <f ca="1">IFERROR(__xludf.DUMMYFUNCTION("""COMPUTED_VALUE"""),"8")</f>
        <v>8</v>
      </c>
      <c r="Z207" s="30"/>
      <c r="AA207" s="30"/>
      <c r="AB207" s="30" t="b">
        <f ca="1">IFERROR(__xludf.DUMMYFUNCTION("""COMPUTED_VALUE"""),FALSE)</f>
        <v>0</v>
      </c>
      <c r="AC207" s="30"/>
      <c r="AD207" s="30" t="b">
        <f ca="1">IFERROR(__xludf.DUMMYFUNCTION("""COMPUTED_VALUE"""),FALSE)</f>
        <v>0</v>
      </c>
      <c r="AE207" s="30"/>
      <c r="AF207" s="30" t="b">
        <f ca="1">IFERROR(__xludf.DUMMYFUNCTION("""COMPUTED_VALUE"""),FALSE)</f>
        <v>0</v>
      </c>
      <c r="AG207" s="30"/>
      <c r="AH207" s="30" t="str">
        <f ca="1">IFERROR(__xludf.DUMMYFUNCTION("""COMPUTED_VALUE"""),"Sin costo")</f>
        <v>Sin costo</v>
      </c>
      <c r="AI207" s="30"/>
      <c r="AJ207" s="30"/>
      <c r="AK207" s="30"/>
      <c r="AL207" s="30" t="str">
        <f ca="1">IFERROR(__xludf.DUMMYFUNCTION("""COMPUTED_VALUE"""),"ccardonav@guanajuato.gob.mx")</f>
        <v>ccardonav@guanajuato.gob.mx</v>
      </c>
      <c r="AM207" s="30" t="str">
        <f ca="1">IFERROR(__xludf.DUMMYFUNCTION("""COMPUTED_VALUE"""),"Arraigo y empoderamiento cultural de comunidades.")</f>
        <v>Arraigo y empoderamiento cultural de comunidades.</v>
      </c>
      <c r="AN207" s="30" t="str">
        <f ca="1">IFERROR(__xludf.DUMMYFUNCTION("""COMPUTED_VALUE"""),"2 Igualdad")</f>
        <v>2 Igualdad</v>
      </c>
      <c r="AO207" s="30" t="str">
        <f ca="1">IFERROR(__xludf.DUMMYFUNCTION("""COMPUTED_VALUE"""),"2.4 Reducir brechas de desigualdad")</f>
        <v>2.4 Reducir brechas de desigualdad</v>
      </c>
      <c r="AP207" s="30" t="str">
        <f ca="1">IFERROR(__xludf.DUMMYFUNCTION("""COMPUTED_VALUE"""),"2.4.3 Descentralización de la oferta cultural")</f>
        <v>2.4.3 Descentralización de la oferta cultural</v>
      </c>
      <c r="AQ207" s="30" t="str">
        <f ca="1">IFERROR(__xludf.DUMMYFUNCTION("""COMPUTED_VALUE"""),"2.4.3.1 Impulsar el desarrollo artístico y cultural entre infancias y juventudes")</f>
        <v>2.4.3.1 Impulsar el desarrollo artístico y cultural entre infancias y juventudes</v>
      </c>
      <c r="AR207" s="30" t="str">
        <f ca="1">IFERROR(__xludf.DUMMYFUNCTION("""COMPUTED_VALUE"""),"Ninguno")</f>
        <v>Ninguno</v>
      </c>
      <c r="AS207" s="30"/>
      <c r="AT207" s="30" t="str">
        <f ca="1">IFERROR(__xludf.DUMMYFUNCTION("""COMPUTED_VALUE"""),"Fortalecimiento de la participación ciudadana y la mediación cultural")</f>
        <v>Fortalecimiento de la participación ciudadana y la mediación cultural</v>
      </c>
      <c r="AU207" s="30" t="str">
        <f ca="1">IFERROR(__xludf.DUMMYFUNCTION("""COMPUTED_VALUE"""),"Fortalecimiento del diálogo, la mediación y las capacidades de las redes comunitarias.")</f>
        <v>Fortalecimiento del diálogo, la mediación y las capacidades de las redes comunitarias.</v>
      </c>
      <c r="AV20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7" s="30" t="str">
        <f ca="1">IFERROR(__xludf.DUMMYFUNCTION("""COMPUTED_VALUE"""),"Incrementar en 25% la oferta cultural realizada en los municipios.")</f>
        <v>Incrementar en 25% la oferta cultural realizada en los municipios.</v>
      </c>
      <c r="AX207" s="30" t="str">
        <f ca="1">IFERROR(__xludf.DUMMYFUNCTION("""COMPUTED_VALUE"""),"Visitas guiadas")</f>
        <v>Visitas guiadas</v>
      </c>
      <c r="AY207" s="30" t="str">
        <f ca="1">IFERROR(__xludf.DUMMYFUNCTION("""COMPUTED_VALUE"""),"Mediación")</f>
        <v>Mediación</v>
      </c>
      <c r="AZ207" s="30"/>
      <c r="BA207" s="30"/>
      <c r="BB207" s="30"/>
      <c r="BC207" s="30">
        <f ca="1">IFERROR(__xludf.DUMMYFUNCTION("""COMPUTED_VALUE"""),0)</f>
        <v>0</v>
      </c>
      <c r="BD207" s="30"/>
      <c r="BE207" s="30"/>
      <c r="BF207" s="30" t="b">
        <f ca="1">IFERROR(__xludf.DUMMYFUNCTION("""COMPUTED_VALUE"""),FALSE)</f>
        <v>0</v>
      </c>
      <c r="BG207" s="30"/>
      <c r="BH207" s="30"/>
      <c r="BI207" s="30"/>
      <c r="BJ207" s="30"/>
      <c r="BK207" s="30"/>
      <c r="BL207" s="30"/>
      <c r="BM207" s="30" t="str">
        <f ca="1">IFERROR(__xludf.DUMMYFUNCTION("""COMPUTED_VALUE"""),"No")</f>
        <v>No</v>
      </c>
      <c r="BN207" s="30"/>
      <c r="BO207" s="30" t="str">
        <f ca="1">IFERROR(__xludf.DUMMYFUNCTION("""COMPUTED_VALUE"""),"570cfba6")</f>
        <v>570cfba6</v>
      </c>
      <c r="BP207" s="29" t="str">
        <f ca="1">IFERROR(__xludf.DUMMYFUNCTION("""COMPUTED_VALUE"""),"León")</f>
        <v>León</v>
      </c>
      <c r="BQ207" s="30" t="str">
        <f ca="1">IFERROR(__xludf.DUMMYFUNCTION("""COMPUTED_VALUE"""),"Urbano")</f>
        <v>Urbano</v>
      </c>
      <c r="BR207" s="30"/>
      <c r="BS207" s="30"/>
      <c r="BT207" s="30" t="str">
        <f ca="1">IFERROR(__xludf.DUMMYFUNCTION("""COMPUTED_VALUE"""),"La Martinica")</f>
        <v>La Martinica</v>
      </c>
      <c r="BU207" s="30" t="str">
        <f ca="1">IFERROR(__xludf.DUMMYFUNCTION("""COMPUTED_VALUE"""),"No")</f>
        <v>No</v>
      </c>
      <c r="BV207" s="30" t="str">
        <f ca="1">IFERROR(__xludf.DUMMYFUNCTION("""COMPUTED_VALUE"""),"No")</f>
        <v>No</v>
      </c>
      <c r="BW207" s="30">
        <f ca="1">IFERROR(__xludf.DUMMYFUNCTION("""COMPUTED_VALUE"""),8)</f>
        <v>8</v>
      </c>
      <c r="BX207" s="30">
        <f ca="1">IFERROR(__xludf.DUMMYFUNCTION("""COMPUTED_VALUE"""),8)</f>
        <v>8</v>
      </c>
      <c r="BY207" s="30">
        <f ca="1">IFERROR(__xludf.DUMMYFUNCTION("""COMPUTED_VALUE"""),0)</f>
        <v>0</v>
      </c>
      <c r="BZ207" s="30" t="str">
        <f ca="1">IFERROR(__xludf.DUMMYFUNCTION("""COMPUTED_VALUE"""),"La Martinica")</f>
        <v>La Martinica</v>
      </c>
      <c r="CA207" s="30" t="str">
        <f ca="1">IFERROR(__xludf.DUMMYFUNCTION("""COMPUTED_VALUE"""),"No")</f>
        <v>No</v>
      </c>
      <c r="CB207" s="30" t="str">
        <f ca="1">IFERROR(__xludf.DUMMYFUNCTION("""COMPUTED_VALUE"""),"No")</f>
        <v>No</v>
      </c>
      <c r="CC207" s="30" t="str">
        <f ca="1">IFERROR(__xludf.DUMMYFUNCTION("""COMPUTED_VALUE"""),"4000d7be")</f>
        <v>4000d7be</v>
      </c>
      <c r="CD207" s="29" t="str">
        <f ca="1">IFERROR(__xludf.DUMMYFUNCTION("""COMPUTED_VALUE"""),"Adultos (30 a 59 años)")</f>
        <v>Adultos (30 a 59 años)</v>
      </c>
      <c r="CE207" s="30" t="str">
        <f ca="1">IFERROR(__xludf.DUMMYFUNCTION("""COMPUTED_VALUE"""),"Dato global")</f>
        <v>Dato global</v>
      </c>
      <c r="CF207" s="30" t="str">
        <f ca="1">IFERROR(__xludf.DUMMYFUNCTION("""COMPUTED_VALUE"""),"Ninguno (Población General)")</f>
        <v>Ninguno (Población General)</v>
      </c>
      <c r="CG207" s="30">
        <f ca="1">IFERROR(__xludf.DUMMYFUNCTION("""COMPUTED_VALUE"""),10)</f>
        <v>10</v>
      </c>
      <c r="CI207" s="30" t="str">
        <f ca="1">IFERROR(__xludf.DUMMYFUNCTION("""COMPUTED_VALUE"""),"ccdb4a29")</f>
        <v>ccdb4a29</v>
      </c>
      <c r="CJ207" s="29" t="str">
        <f ca="1">IFERROR(__xludf.DUMMYFUNCTION("""COMPUTED_VALUE"""),"Regitro_Evidencia_Images/ccdb4a29.Archivo_Evidencia.181744.jpg")</f>
        <v>Regitro_Evidencia_Images/ccdb4a29.Archivo_Evidencia.181744.jpg</v>
      </c>
      <c r="CK207" s="30" t="str">
        <f ca="1">IFERROR(__xludf.DUMMYFUNCTION("""COMPUTED_VALUE"""),"Foto")</f>
        <v>Foto</v>
      </c>
      <c r="CL207" s="30"/>
      <c r="CM207" s="30" t="str">
        <f ca="1">IFERROR(__xludf.DUMMYFUNCTION("""COMPUTED_VALUE"""),"León")</f>
        <v>León</v>
      </c>
      <c r="CN207" s="32" t="e">
        <f ca="1"/>
        <v>#NAME?</v>
      </c>
      <c r="CO207" s="32" t="e">
        <f ca="1"/>
        <v>#NAME?</v>
      </c>
      <c r="CP207" s="32" t="e">
        <f ca="1"/>
        <v>#NAME?</v>
      </c>
      <c r="CQ207" s="32" t="e">
        <f ca="1"/>
        <v>#NAME?</v>
      </c>
      <c r="CR207" s="30" t="e">
        <f ca="1"/>
        <v>#NAME?</v>
      </c>
      <c r="CS207" s="30" t="str">
        <f ca="1">IFERROR(__xludf.DUMMYFUNCTION("""COMPUTED_VALUE"""),"Ninguno (Población General), Ninguno (Población General)")</f>
        <v>Ninguno (Población General), Ninguno (Población General)</v>
      </c>
    </row>
    <row r="208" spans="1:97" ht="13">
      <c r="A208" s="29" t="str">
        <f ca="1">IFERROR(__xludf.DUMMYFUNCTION("""COMPUTED_VALUE"""),"ACT-SCWK56570")</f>
        <v>ACT-SCWK56570</v>
      </c>
      <c r="B208" s="30" t="str">
        <f ca="1">IFERROR(__xludf.DUMMYFUNCTION("""COMPUTED_VALUE"""),"SC-260706-104242")</f>
        <v>SC-260706-104242</v>
      </c>
      <c r="C208" s="62">
        <f ca="1">IFERROR(__xludf.DUMMYFUNCTION("""COMPUTED_VALUE"""),46209.4463194444)</f>
        <v>46209.446319444403</v>
      </c>
      <c r="D208" s="30">
        <f ca="1">IFERROR(__xludf.DUMMYFUNCTION("""COMPUTED_VALUE"""),92)</f>
        <v>92</v>
      </c>
      <c r="E208" s="30" t="str">
        <f ca="1">IFERROR(__xludf.DUMMYFUNCTION("""COMPUTED_VALUE"""),"PB3572")</f>
        <v>PB3572</v>
      </c>
      <c r="F20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8" s="30" t="str">
        <f ca="1">IFERROR(__xludf.DUMMYFUNCTION("""COMPUTED_VALUE"""),"SUBSECRETARÍA DE DESARROLLO Y PROMOCIÓN ARTÍSTICA Y CULTURAL")</f>
        <v>SUBSECRETARÍA DE DESARROLLO Y PROMOCIÓN ARTÍSTICA Y CULTURAL</v>
      </c>
      <c r="I208" s="34" t="str">
        <f ca="1">IFERROR(__xludf.DUMMYFUNCTION("""COMPUTED_VALUE"""),"DIRECCIÓN GENERAL DE MUSEOS, ARTES VISUALES Y EXPOSICIONES")</f>
        <v>DIRECCIÓN GENERAL DE MUSEOS, ARTES VISUALES Y EXPOSICIONES</v>
      </c>
      <c r="J208" s="30" t="str">
        <f ca="1">IFERROR(__xludf.DUMMYFUNCTION("""COMPUTED_VALUE"""),"Número de Actividades realizadas")</f>
        <v>Número de Actividades realizadas</v>
      </c>
      <c r="K208" s="30">
        <f ca="1">IFERROR(__xludf.DUMMYFUNCTION("""COMPUTED_VALUE"""),800)</f>
        <v>800</v>
      </c>
      <c r="L208" s="30" t="str">
        <f ca="1">IFERROR(__xludf.DUMMYFUNCTION("""COMPUTED_VALUE"""),"Cultural")</f>
        <v>Cultural</v>
      </c>
      <c r="M208" s="30" t="str">
        <f ca="1">IFERROR(__xludf.DUMMYFUNCTION("""COMPUTED_VALUE"""),"1 EEM ""Encuentro Estatal de Museos 2026""")</f>
        <v>1 EEM "Encuentro Estatal de Museos 2026"</v>
      </c>
      <c r="N208" s="30" t="str">
        <f ca="1">IFERROR(__xludf.DUMMYFUNCTION("""COMPUTED_VALUE"""),"Visita Mediada")</f>
        <v>Visita Mediada</v>
      </c>
      <c r="O208" s="30" t="str">
        <f ca="1">IFERROR(__xludf.DUMMYFUNCTION("""COMPUTED_VALUE"""),"Única")</f>
        <v>Única</v>
      </c>
      <c r="P208" s="33">
        <f ca="1">IFERROR(__xludf.DUMMYFUNCTION("""COMPUTED_VALUE"""),46170)</f>
        <v>46170</v>
      </c>
      <c r="Q208" s="33">
        <f ca="1">IFERROR(__xludf.DUMMYFUNCTION("""COMPUTED_VALUE"""),46170)</f>
        <v>46170</v>
      </c>
      <c r="R208" s="30">
        <f ca="1">IFERROR(__xludf.DUMMYFUNCTION("""COMPUTED_VALUE"""),1)</f>
        <v>1</v>
      </c>
      <c r="S208" s="30" t="str">
        <f ca="1">IFERROR(__xludf.DUMMYFUNCTION("""COMPUTED_VALUE"""),"Cultura comunitaria")</f>
        <v>Cultura comunitaria</v>
      </c>
      <c r="T208" s="30" t="str">
        <f ca="1">IFERROR(__xludf.DUMMYFUNCTION("""COMPUTED_VALUE"""),"Mediación cultural")</f>
        <v>Mediación cultural</v>
      </c>
      <c r="U208" s="30" t="str">
        <f ca="1">IFERROR(__xludf.DUMMYFUNCTION("""COMPUTED_VALUE"""),"Visitas guiadas")</f>
        <v>Visitas guiadas</v>
      </c>
      <c r="V208" s="30" t="str">
        <f ca="1">IFERROR(__xludf.DUMMYFUNCTION("""COMPUTED_VALUE"""),"Ninguna")</f>
        <v>Ninguna</v>
      </c>
      <c r="W208" s="30" t="str">
        <f ca="1">IFERROR(__xludf.DUMMYFUNCTION("""COMPUTED_VALUE"""),"Presencial")</f>
        <v>Presencial</v>
      </c>
      <c r="X208" s="30" t="str">
        <f ca="1">IFERROR(__xludf.DUMMYFUNCTION("""COMPUTED_VALUE"""),"Espacio a Cargo de la Secretaría")</f>
        <v>Espacio a Cargo de la Secretaría</v>
      </c>
      <c r="Y208" s="30" t="str">
        <f ca="1">IFERROR(__xludf.DUMMYFUNCTION("""COMPUTED_VALUE"""),"8")</f>
        <v>8</v>
      </c>
      <c r="Z208" s="30"/>
      <c r="AA208" s="30"/>
      <c r="AB208" s="30" t="b">
        <f ca="1">IFERROR(__xludf.DUMMYFUNCTION("""COMPUTED_VALUE"""),FALSE)</f>
        <v>0</v>
      </c>
      <c r="AC208" s="30"/>
      <c r="AD208" s="30" t="b">
        <f ca="1">IFERROR(__xludf.DUMMYFUNCTION("""COMPUTED_VALUE"""),FALSE)</f>
        <v>0</v>
      </c>
      <c r="AE208" s="30"/>
      <c r="AF208" s="30" t="b">
        <f ca="1">IFERROR(__xludf.DUMMYFUNCTION("""COMPUTED_VALUE"""),FALSE)</f>
        <v>0</v>
      </c>
      <c r="AG208" s="30"/>
      <c r="AH208" s="30" t="str">
        <f ca="1">IFERROR(__xludf.DUMMYFUNCTION("""COMPUTED_VALUE"""),"Sin costo")</f>
        <v>Sin costo</v>
      </c>
      <c r="AI208" s="30"/>
      <c r="AJ208" s="30"/>
      <c r="AK208" s="30"/>
      <c r="AL208" s="30" t="str">
        <f ca="1">IFERROR(__xludf.DUMMYFUNCTION("""COMPUTED_VALUE"""),"ccardonav@guanajuato.gob.mx")</f>
        <v>ccardonav@guanajuato.gob.mx</v>
      </c>
      <c r="AM208" s="30" t="str">
        <f ca="1">IFERROR(__xludf.DUMMYFUNCTION("""COMPUTED_VALUE"""),"Arraigo y empoderamiento cultural de comunidades.")</f>
        <v>Arraigo y empoderamiento cultural de comunidades.</v>
      </c>
      <c r="AN208" s="30" t="str">
        <f ca="1">IFERROR(__xludf.DUMMYFUNCTION("""COMPUTED_VALUE"""),"2 Igualdad")</f>
        <v>2 Igualdad</v>
      </c>
      <c r="AO208" s="30" t="str">
        <f ca="1">IFERROR(__xludf.DUMMYFUNCTION("""COMPUTED_VALUE"""),"2.4 Reducir brechas de desigualdad")</f>
        <v>2.4 Reducir brechas de desigualdad</v>
      </c>
      <c r="AP208" s="30" t="str">
        <f ca="1">IFERROR(__xludf.DUMMYFUNCTION("""COMPUTED_VALUE"""),"2.4.3 Descentralización de la oferta cultural")</f>
        <v>2.4.3 Descentralización de la oferta cultural</v>
      </c>
      <c r="AQ208" s="30" t="str">
        <f ca="1">IFERROR(__xludf.DUMMYFUNCTION("""COMPUTED_VALUE"""),"2.4.3.1 Impulsar el desarrollo artístico y cultural entre infancias y juventudes")</f>
        <v>2.4.3.1 Impulsar el desarrollo artístico y cultural entre infancias y juventudes</v>
      </c>
      <c r="AR208" s="30" t="str">
        <f ca="1">IFERROR(__xludf.DUMMYFUNCTION("""COMPUTED_VALUE"""),"Ninguno")</f>
        <v>Ninguno</v>
      </c>
      <c r="AS208" s="30"/>
      <c r="AT208" s="30" t="str">
        <f ca="1">IFERROR(__xludf.DUMMYFUNCTION("""COMPUTED_VALUE"""),"Fortalecimiento de la participación ciudadana y la mediación cultural")</f>
        <v>Fortalecimiento de la participación ciudadana y la mediación cultural</v>
      </c>
      <c r="AU208" s="30" t="str">
        <f ca="1">IFERROR(__xludf.DUMMYFUNCTION("""COMPUTED_VALUE"""),"Fortalecimiento del diálogo, la mediación y las capacidades de las redes comunitarias.")</f>
        <v>Fortalecimiento del diálogo, la mediación y las capacidades de las redes comunitarias.</v>
      </c>
      <c r="AV20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8" s="30" t="str">
        <f ca="1">IFERROR(__xludf.DUMMYFUNCTION("""COMPUTED_VALUE"""),"Incrementar en 25% la oferta cultural realizada en los municipios.")</f>
        <v>Incrementar en 25% la oferta cultural realizada en los municipios.</v>
      </c>
      <c r="AX208" s="30" t="str">
        <f ca="1">IFERROR(__xludf.DUMMYFUNCTION("""COMPUTED_VALUE"""),"Visitas guiadas")</f>
        <v>Visitas guiadas</v>
      </c>
      <c r="AY208" s="30" t="str">
        <f ca="1">IFERROR(__xludf.DUMMYFUNCTION("""COMPUTED_VALUE"""),"Mediación")</f>
        <v>Mediación</v>
      </c>
      <c r="AZ208" s="30"/>
      <c r="BA208" s="30"/>
      <c r="BB208" s="30"/>
      <c r="BC208" s="30">
        <f ca="1">IFERROR(__xludf.DUMMYFUNCTION("""COMPUTED_VALUE"""),0)</f>
        <v>0</v>
      </c>
      <c r="BD208" s="30"/>
      <c r="BE208" s="30"/>
      <c r="BF208" s="30" t="b">
        <f ca="1">IFERROR(__xludf.DUMMYFUNCTION("""COMPUTED_VALUE"""),FALSE)</f>
        <v>0</v>
      </c>
      <c r="BG208" s="30"/>
      <c r="BH208" s="30"/>
      <c r="BI208" s="30"/>
      <c r="BJ208" s="30"/>
      <c r="BK208" s="30"/>
      <c r="BL208" s="30"/>
      <c r="BM208" s="30" t="str">
        <f ca="1">IFERROR(__xludf.DUMMYFUNCTION("""COMPUTED_VALUE"""),"No")</f>
        <v>No</v>
      </c>
      <c r="BN208" s="30"/>
      <c r="BO208" s="30" t="str">
        <f ca="1">IFERROR(__xludf.DUMMYFUNCTION("""COMPUTED_VALUE"""),"eb438725")</f>
        <v>eb438725</v>
      </c>
      <c r="BP208" s="29" t="str">
        <f ca="1">IFERROR(__xludf.DUMMYFUNCTION("""COMPUTED_VALUE"""),"León")</f>
        <v>León</v>
      </c>
      <c r="BQ208" s="30" t="str">
        <f ca="1">IFERROR(__xludf.DUMMYFUNCTION("""COMPUTED_VALUE"""),"Urbano")</f>
        <v>Urbano</v>
      </c>
      <c r="BR208" s="30"/>
      <c r="BS208" s="30"/>
      <c r="BT208" s="30" t="str">
        <f ca="1">IFERROR(__xludf.DUMMYFUNCTION("""COMPUTED_VALUE"""),"La Martinica")</f>
        <v>La Martinica</v>
      </c>
      <c r="BU208" s="30" t="str">
        <f ca="1">IFERROR(__xludf.DUMMYFUNCTION("""COMPUTED_VALUE"""),"No")</f>
        <v>No</v>
      </c>
      <c r="BV208" s="30" t="str">
        <f ca="1">IFERROR(__xludf.DUMMYFUNCTION("""COMPUTED_VALUE"""),"No")</f>
        <v>No</v>
      </c>
      <c r="BW208" s="30">
        <f ca="1">IFERROR(__xludf.DUMMYFUNCTION("""COMPUTED_VALUE"""),41)</f>
        <v>41</v>
      </c>
      <c r="BX208" s="30">
        <f ca="1">IFERROR(__xludf.DUMMYFUNCTION("""COMPUTED_VALUE"""),41)</f>
        <v>41</v>
      </c>
      <c r="BY208" s="30">
        <f ca="1">IFERROR(__xludf.DUMMYFUNCTION("""COMPUTED_VALUE"""),0)</f>
        <v>0</v>
      </c>
      <c r="BZ208" s="30" t="str">
        <f ca="1">IFERROR(__xludf.DUMMYFUNCTION("""COMPUTED_VALUE"""),"La Martinica")</f>
        <v>La Martinica</v>
      </c>
      <c r="CA208" s="30" t="str">
        <f ca="1">IFERROR(__xludf.DUMMYFUNCTION("""COMPUTED_VALUE"""),"No")</f>
        <v>No</v>
      </c>
      <c r="CB208" s="30" t="str">
        <f ca="1">IFERROR(__xludf.DUMMYFUNCTION("""COMPUTED_VALUE"""),"No")</f>
        <v>No</v>
      </c>
      <c r="CC208" s="30" t="str">
        <f ca="1">IFERROR(__xludf.DUMMYFUNCTION("""COMPUTED_VALUE"""),"6db4fe48")</f>
        <v>6db4fe48</v>
      </c>
      <c r="CD208" s="29" t="str">
        <f ca="1">IFERROR(__xludf.DUMMYFUNCTION("""COMPUTED_VALUE"""),"Jóvenes (18 a 29 años)")</f>
        <v>Jóvenes (18 a 29 años)</v>
      </c>
      <c r="CE208" s="30" t="str">
        <f ca="1">IFERROR(__xludf.DUMMYFUNCTION("""COMPUTED_VALUE"""),"Dato global")</f>
        <v>Dato global</v>
      </c>
      <c r="CF208" s="30" t="str">
        <f ca="1">IFERROR(__xludf.DUMMYFUNCTION("""COMPUTED_VALUE"""),"Ninguno (Población General)")</f>
        <v>Ninguno (Población General)</v>
      </c>
      <c r="CG208" s="30">
        <f ca="1">IFERROR(__xludf.DUMMYFUNCTION("""COMPUTED_VALUE"""),23)</f>
        <v>23</v>
      </c>
      <c r="CI208" s="30" t="str">
        <f ca="1">IFERROR(__xludf.DUMMYFUNCTION("""COMPUTED_VALUE"""),"d5b688bf")</f>
        <v>d5b688bf</v>
      </c>
      <c r="CJ208" s="29" t="str">
        <f ca="1">IFERROR(__xludf.DUMMYFUNCTION("""COMPUTED_VALUE"""),"Regitro_Evidencia_Images/d5b688bf.Archivo_Evidencia.182128.jpg")</f>
        <v>Regitro_Evidencia_Images/d5b688bf.Archivo_Evidencia.182128.jpg</v>
      </c>
      <c r="CK208" s="30" t="str">
        <f ca="1">IFERROR(__xludf.DUMMYFUNCTION("""COMPUTED_VALUE"""),"Foto")</f>
        <v>Foto</v>
      </c>
      <c r="CL208" s="30"/>
      <c r="CM208" s="30" t="str">
        <f ca="1">IFERROR(__xludf.DUMMYFUNCTION("""COMPUTED_VALUE"""),"León")</f>
        <v>León</v>
      </c>
      <c r="CN208" s="32" t="e">
        <f ca="1"/>
        <v>#NAME?</v>
      </c>
      <c r="CO208" s="32" t="e">
        <f ca="1"/>
        <v>#NAME?</v>
      </c>
      <c r="CP208" s="32" t="e">
        <f ca="1"/>
        <v>#NAME?</v>
      </c>
      <c r="CQ208" s="32" t="e">
        <f ca="1"/>
        <v>#NAME?</v>
      </c>
      <c r="CR208" s="30" t="e">
        <f ca="1"/>
        <v>#NAME?</v>
      </c>
      <c r="CS208" s="30" t="str">
        <f ca="1">IFERROR(__xludf.DUMMYFUNCTION("""COMPUTED_VALUE"""),"Ninguno (Población General), Ninguno (Población General)")</f>
        <v>Ninguno (Población General), Ninguno (Población General)</v>
      </c>
    </row>
    <row r="209" spans="1:97" ht="13">
      <c r="A209" s="29" t="str">
        <f ca="1">IFERROR(__xludf.DUMMYFUNCTION("""COMPUTED_VALUE"""),"ACT-SCAX49507")</f>
        <v>ACT-SCAX49507</v>
      </c>
      <c r="B209" s="30" t="str">
        <f ca="1">IFERROR(__xludf.DUMMYFUNCTION("""COMPUTED_VALUE"""),"SC-260706-104805")</f>
        <v>SC-260706-104805</v>
      </c>
      <c r="C209" s="62">
        <f ca="1">IFERROR(__xludf.DUMMYFUNCTION("""COMPUTED_VALUE"""),46209.4500578703)</f>
        <v>46209.450057870301</v>
      </c>
      <c r="D209" s="30">
        <f ca="1">IFERROR(__xludf.DUMMYFUNCTION("""COMPUTED_VALUE"""),92)</f>
        <v>92</v>
      </c>
      <c r="E209" s="30" t="str">
        <f ca="1">IFERROR(__xludf.DUMMYFUNCTION("""COMPUTED_VALUE"""),"PB3572")</f>
        <v>PB3572</v>
      </c>
      <c r="F20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0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09" s="30" t="str">
        <f ca="1">IFERROR(__xludf.DUMMYFUNCTION("""COMPUTED_VALUE"""),"SUBSECRETARÍA DE DESARROLLO Y PROMOCIÓN ARTÍSTICA Y CULTURAL")</f>
        <v>SUBSECRETARÍA DE DESARROLLO Y PROMOCIÓN ARTÍSTICA Y CULTURAL</v>
      </c>
      <c r="I209" s="34" t="str">
        <f ca="1">IFERROR(__xludf.DUMMYFUNCTION("""COMPUTED_VALUE"""),"DIRECCIÓN GENERAL DE MUSEOS, ARTES VISUALES Y EXPOSICIONES")</f>
        <v>DIRECCIÓN GENERAL DE MUSEOS, ARTES VISUALES Y EXPOSICIONES</v>
      </c>
      <c r="J209" s="30" t="str">
        <f ca="1">IFERROR(__xludf.DUMMYFUNCTION("""COMPUTED_VALUE"""),"Número de Actividades realizadas")</f>
        <v>Número de Actividades realizadas</v>
      </c>
      <c r="K209" s="30">
        <f ca="1">IFERROR(__xludf.DUMMYFUNCTION("""COMPUTED_VALUE"""),800)</f>
        <v>800</v>
      </c>
      <c r="L209" s="30" t="str">
        <f ca="1">IFERROR(__xludf.DUMMYFUNCTION("""COMPUTED_VALUE"""),"Cultural")</f>
        <v>Cultural</v>
      </c>
      <c r="M209" s="30" t="str">
        <f ca="1">IFERROR(__xludf.DUMMYFUNCTION("""COMPUTED_VALUE"""),"Visita Escolar "" Escuela 18 de Marzo""")</f>
        <v>Visita Escolar " Escuela 18 de Marzo"</v>
      </c>
      <c r="N209" s="30" t="str">
        <f ca="1">IFERROR(__xludf.DUMMYFUNCTION("""COMPUTED_VALUE"""),"Visita Mediada")</f>
        <v>Visita Mediada</v>
      </c>
      <c r="O209" s="30" t="str">
        <f ca="1">IFERROR(__xludf.DUMMYFUNCTION("""COMPUTED_VALUE"""),"Única")</f>
        <v>Única</v>
      </c>
      <c r="P209" s="33">
        <f ca="1">IFERROR(__xludf.DUMMYFUNCTION("""COMPUTED_VALUE"""),46171)</f>
        <v>46171</v>
      </c>
      <c r="Q209" s="33">
        <f ca="1">IFERROR(__xludf.DUMMYFUNCTION("""COMPUTED_VALUE"""),46171)</f>
        <v>46171</v>
      </c>
      <c r="R209" s="30">
        <f ca="1">IFERROR(__xludf.DUMMYFUNCTION("""COMPUTED_VALUE"""),1)</f>
        <v>1</v>
      </c>
      <c r="S209" s="30" t="str">
        <f ca="1">IFERROR(__xludf.DUMMYFUNCTION("""COMPUTED_VALUE"""),"Cultura comunitaria")</f>
        <v>Cultura comunitaria</v>
      </c>
      <c r="T209" s="30" t="str">
        <f ca="1">IFERROR(__xludf.DUMMYFUNCTION("""COMPUTED_VALUE"""),"Mediación cultural")</f>
        <v>Mediación cultural</v>
      </c>
      <c r="U209" s="30" t="str">
        <f ca="1">IFERROR(__xludf.DUMMYFUNCTION("""COMPUTED_VALUE"""),"Visitas escolares")</f>
        <v>Visitas escolares</v>
      </c>
      <c r="V209" s="30" t="str">
        <f ca="1">IFERROR(__xludf.DUMMYFUNCTION("""COMPUTED_VALUE"""),"Ninguna")</f>
        <v>Ninguna</v>
      </c>
      <c r="W209" s="30" t="str">
        <f ca="1">IFERROR(__xludf.DUMMYFUNCTION("""COMPUTED_VALUE"""),"Presencial")</f>
        <v>Presencial</v>
      </c>
      <c r="X209" s="30" t="str">
        <f ca="1">IFERROR(__xludf.DUMMYFUNCTION("""COMPUTED_VALUE"""),"Espacio a Cargo de la Secretaría")</f>
        <v>Espacio a Cargo de la Secretaría</v>
      </c>
      <c r="Y209" s="30" t="str">
        <f ca="1">IFERROR(__xludf.DUMMYFUNCTION("""COMPUTED_VALUE"""),"8")</f>
        <v>8</v>
      </c>
      <c r="Z209" s="30"/>
      <c r="AA209" s="30"/>
      <c r="AB209" s="30" t="b">
        <f ca="1">IFERROR(__xludf.DUMMYFUNCTION("""COMPUTED_VALUE"""),FALSE)</f>
        <v>0</v>
      </c>
      <c r="AC209" s="30"/>
      <c r="AD209" s="30" t="b">
        <f ca="1">IFERROR(__xludf.DUMMYFUNCTION("""COMPUTED_VALUE"""),FALSE)</f>
        <v>0</v>
      </c>
      <c r="AE209" s="30"/>
      <c r="AF209" s="30" t="b">
        <f ca="1">IFERROR(__xludf.DUMMYFUNCTION("""COMPUTED_VALUE"""),FALSE)</f>
        <v>0</v>
      </c>
      <c r="AG209" s="30"/>
      <c r="AH209" s="30" t="str">
        <f ca="1">IFERROR(__xludf.DUMMYFUNCTION("""COMPUTED_VALUE"""),"Sin costo")</f>
        <v>Sin costo</v>
      </c>
      <c r="AI209" s="30"/>
      <c r="AJ209" s="30"/>
      <c r="AK209" s="30"/>
      <c r="AL209" s="30" t="str">
        <f ca="1">IFERROR(__xludf.DUMMYFUNCTION("""COMPUTED_VALUE"""),"ccardonav@guanajuato.gob.mx")</f>
        <v>ccardonav@guanajuato.gob.mx</v>
      </c>
      <c r="AM209" s="30" t="str">
        <f ca="1">IFERROR(__xludf.DUMMYFUNCTION("""COMPUTED_VALUE"""),"Arraigo y empoderamiento cultural de comunidades.")</f>
        <v>Arraigo y empoderamiento cultural de comunidades.</v>
      </c>
      <c r="AN209" s="30" t="str">
        <f ca="1">IFERROR(__xludf.DUMMYFUNCTION("""COMPUTED_VALUE"""),"2 Igualdad")</f>
        <v>2 Igualdad</v>
      </c>
      <c r="AO209" s="30" t="str">
        <f ca="1">IFERROR(__xludf.DUMMYFUNCTION("""COMPUTED_VALUE"""),"2.4 Reducir brechas de desigualdad")</f>
        <v>2.4 Reducir brechas de desigualdad</v>
      </c>
      <c r="AP209" s="30" t="str">
        <f ca="1">IFERROR(__xludf.DUMMYFUNCTION("""COMPUTED_VALUE"""),"2.4.3 Descentralización de la oferta cultural")</f>
        <v>2.4.3 Descentralización de la oferta cultural</v>
      </c>
      <c r="AQ209" s="30" t="str">
        <f ca="1">IFERROR(__xludf.DUMMYFUNCTION("""COMPUTED_VALUE"""),"2.4.3.1 Impulsar el desarrollo artístico y cultural entre infancias y juventudes")</f>
        <v>2.4.3.1 Impulsar el desarrollo artístico y cultural entre infancias y juventudes</v>
      </c>
      <c r="AR209" s="30" t="str">
        <f ca="1">IFERROR(__xludf.DUMMYFUNCTION("""COMPUTED_VALUE"""),"Ninguno")</f>
        <v>Ninguno</v>
      </c>
      <c r="AS209" s="30"/>
      <c r="AT209" s="30" t="str">
        <f ca="1">IFERROR(__xludf.DUMMYFUNCTION("""COMPUTED_VALUE"""),"Fortalecimiento de la participación ciudadana y la mediación cultural")</f>
        <v>Fortalecimiento de la participación ciudadana y la mediación cultural</v>
      </c>
      <c r="AU209" s="30" t="str">
        <f ca="1">IFERROR(__xludf.DUMMYFUNCTION("""COMPUTED_VALUE"""),"Fortalecimiento del diálogo, la mediación y las capacidades de las redes comunitarias.")</f>
        <v>Fortalecimiento del diálogo, la mediación y las capacidades de las redes comunitarias.</v>
      </c>
      <c r="AV20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09" s="30" t="str">
        <f ca="1">IFERROR(__xludf.DUMMYFUNCTION("""COMPUTED_VALUE"""),"Incrementar en 25% la oferta cultural realizada en los municipios.")</f>
        <v>Incrementar en 25% la oferta cultural realizada en los municipios.</v>
      </c>
      <c r="AX209" s="30" t="str">
        <f ca="1">IFERROR(__xludf.DUMMYFUNCTION("""COMPUTED_VALUE"""),"Visitas escolares")</f>
        <v>Visitas escolares</v>
      </c>
      <c r="AY209" s="30" t="str">
        <f ca="1">IFERROR(__xludf.DUMMYFUNCTION("""COMPUTED_VALUE"""),"Mediación")</f>
        <v>Mediación</v>
      </c>
      <c r="AZ209" s="30"/>
      <c r="BA209" s="30"/>
      <c r="BB209" s="30"/>
      <c r="BC209" s="30">
        <f ca="1">IFERROR(__xludf.DUMMYFUNCTION("""COMPUTED_VALUE"""),0)</f>
        <v>0</v>
      </c>
      <c r="BD209" s="30"/>
      <c r="BE209" s="30"/>
      <c r="BF209" s="30" t="b">
        <f ca="1">IFERROR(__xludf.DUMMYFUNCTION("""COMPUTED_VALUE"""),FALSE)</f>
        <v>0</v>
      </c>
      <c r="BG209" s="30"/>
      <c r="BH209" s="30"/>
      <c r="BI209" s="30"/>
      <c r="BJ209" s="30"/>
      <c r="BK209" s="30"/>
      <c r="BL209" s="30"/>
      <c r="BM209" s="30" t="str">
        <f ca="1">IFERROR(__xludf.DUMMYFUNCTION("""COMPUTED_VALUE"""),"No")</f>
        <v>No</v>
      </c>
      <c r="BN209" s="30"/>
      <c r="BO209" s="30" t="str">
        <f ca="1">IFERROR(__xludf.DUMMYFUNCTION("""COMPUTED_VALUE"""),"102cf3cf")</f>
        <v>102cf3cf</v>
      </c>
      <c r="BP209" s="29" t="str">
        <f ca="1">IFERROR(__xludf.DUMMYFUNCTION("""COMPUTED_VALUE"""),"León")</f>
        <v>León</v>
      </c>
      <c r="BQ209" s="30" t="str">
        <f ca="1">IFERROR(__xludf.DUMMYFUNCTION("""COMPUTED_VALUE"""),"Urbano")</f>
        <v>Urbano</v>
      </c>
      <c r="BR209" s="30"/>
      <c r="BS209" s="30"/>
      <c r="BT209" s="30" t="str">
        <f ca="1">IFERROR(__xludf.DUMMYFUNCTION("""COMPUTED_VALUE"""),"La Martinica")</f>
        <v>La Martinica</v>
      </c>
      <c r="BU209" s="30" t="str">
        <f ca="1">IFERROR(__xludf.DUMMYFUNCTION("""COMPUTED_VALUE"""),"No")</f>
        <v>No</v>
      </c>
      <c r="BV209" s="30" t="str">
        <f ca="1">IFERROR(__xludf.DUMMYFUNCTION("""COMPUTED_VALUE"""),"No")</f>
        <v>No</v>
      </c>
      <c r="BW209" s="30">
        <f ca="1">IFERROR(__xludf.DUMMYFUNCTION("""COMPUTED_VALUE"""),43)</f>
        <v>43</v>
      </c>
      <c r="BX209" s="30"/>
      <c r="BY209" s="30">
        <f ca="1">IFERROR(__xludf.DUMMYFUNCTION("""COMPUTED_VALUE"""),43)</f>
        <v>43</v>
      </c>
      <c r="BZ209" s="30" t="str">
        <f ca="1">IFERROR(__xludf.DUMMYFUNCTION("""COMPUTED_VALUE"""),"La Martinica")</f>
        <v>La Martinica</v>
      </c>
      <c r="CA209" s="30" t="str">
        <f ca="1">IFERROR(__xludf.DUMMYFUNCTION("""COMPUTED_VALUE"""),"No")</f>
        <v>No</v>
      </c>
      <c r="CB209" s="30" t="str">
        <f ca="1">IFERROR(__xludf.DUMMYFUNCTION("""COMPUTED_VALUE"""),"No")</f>
        <v>No</v>
      </c>
      <c r="CC209" s="30" t="str">
        <f ca="1">IFERROR(__xludf.DUMMYFUNCTION("""COMPUTED_VALUE"""),"855720d4")</f>
        <v>855720d4</v>
      </c>
      <c r="CD209" s="29" t="str">
        <f ca="1">IFERROR(__xludf.DUMMYFUNCTION("""COMPUTED_VALUE"""),"Niñas y Niños (6 a 12 años)")</f>
        <v>Niñas y Niños (6 a 12 años)</v>
      </c>
      <c r="CE209" s="30" t="str">
        <f ca="1">IFERROR(__xludf.DUMMYFUNCTION("""COMPUTED_VALUE"""),"Dato global")</f>
        <v>Dato global</v>
      </c>
      <c r="CF209" s="30" t="str">
        <f ca="1">IFERROR(__xludf.DUMMYFUNCTION("""COMPUTED_VALUE"""),"Comunidad LGBTIQ+")</f>
        <v>Comunidad LGBTIQ+</v>
      </c>
      <c r="CG209" s="30">
        <f ca="1">IFERROR(__xludf.DUMMYFUNCTION("""COMPUTED_VALUE"""),20)</f>
        <v>20</v>
      </c>
      <c r="CI209" s="30" t="str">
        <f ca="1">IFERROR(__xludf.DUMMYFUNCTION("""COMPUTED_VALUE"""),"3974cc84")</f>
        <v>3974cc84</v>
      </c>
      <c r="CJ209" s="29" t="str">
        <f ca="1">IFERROR(__xludf.DUMMYFUNCTION("""COMPUTED_VALUE"""),"Regitro_Evidencia_Images/3974cc84.Archivo_Evidencia.183235.jpg")</f>
        <v>Regitro_Evidencia_Images/3974cc84.Archivo_Evidencia.183235.jpg</v>
      </c>
      <c r="CK209" s="30" t="str">
        <f ca="1">IFERROR(__xludf.DUMMYFUNCTION("""COMPUTED_VALUE"""),"Foto")</f>
        <v>Foto</v>
      </c>
      <c r="CL209" s="30"/>
      <c r="CM209" s="30" t="str">
        <f ca="1">IFERROR(__xludf.DUMMYFUNCTION("""COMPUTED_VALUE"""),"León")</f>
        <v>León</v>
      </c>
      <c r="CN209" s="32" t="e">
        <f ca="1"/>
        <v>#NAME?</v>
      </c>
      <c r="CO209" s="32" t="e">
        <f ca="1"/>
        <v>#NAME?</v>
      </c>
      <c r="CP209" s="32" t="e">
        <f ca="1"/>
        <v>#NAME?</v>
      </c>
      <c r="CQ209" s="32" t="e">
        <f ca="1"/>
        <v>#NAME?</v>
      </c>
      <c r="CR209" s="30" t="e">
        <f ca="1"/>
        <v>#NAME?</v>
      </c>
      <c r="CS209" s="30" t="str">
        <f ca="1">IFERROR(__xludf.DUMMYFUNCTION("""COMPUTED_VALUE"""),"Ninguno (Población General), Ninguno (Población General)")</f>
        <v>Ninguno (Población General), Ninguno (Población General)</v>
      </c>
    </row>
    <row r="210" spans="1:97" ht="13">
      <c r="A210" s="29" t="str">
        <f ca="1">IFERROR(__xludf.DUMMYFUNCTION("""COMPUTED_VALUE"""),"ACT-SCBV35787")</f>
        <v>ACT-SCBV35787</v>
      </c>
      <c r="B210" s="30" t="str">
        <f ca="1">IFERROR(__xludf.DUMMYFUNCTION("""COMPUTED_VALUE"""),"SC-260706-105945")</f>
        <v>SC-260706-105945</v>
      </c>
      <c r="C210" s="62">
        <f ca="1">IFERROR(__xludf.DUMMYFUNCTION("""COMPUTED_VALUE"""),46209.4581597222)</f>
        <v>46209.458159722199</v>
      </c>
      <c r="D210" s="30">
        <f ca="1">IFERROR(__xludf.DUMMYFUNCTION("""COMPUTED_VALUE"""),92)</f>
        <v>92</v>
      </c>
      <c r="E210" s="30" t="str">
        <f ca="1">IFERROR(__xludf.DUMMYFUNCTION("""COMPUTED_VALUE"""),"PB3572")</f>
        <v>PB3572</v>
      </c>
      <c r="F21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0" s="30" t="str">
        <f ca="1">IFERROR(__xludf.DUMMYFUNCTION("""COMPUTED_VALUE"""),"SUBSECRETARÍA DE DESARROLLO Y PROMOCIÓN ARTÍSTICA Y CULTURAL")</f>
        <v>SUBSECRETARÍA DE DESARROLLO Y PROMOCIÓN ARTÍSTICA Y CULTURAL</v>
      </c>
      <c r="I210" s="34" t="str">
        <f ca="1">IFERROR(__xludf.DUMMYFUNCTION("""COMPUTED_VALUE"""),"DIRECCIÓN GENERAL DE MUSEOS, ARTES VISUALES Y EXPOSICIONES")</f>
        <v>DIRECCIÓN GENERAL DE MUSEOS, ARTES VISUALES Y EXPOSICIONES</v>
      </c>
      <c r="J210" s="30" t="str">
        <f ca="1">IFERROR(__xludf.DUMMYFUNCTION("""COMPUTED_VALUE"""),"Número de Actividades realizadas")</f>
        <v>Número de Actividades realizadas</v>
      </c>
      <c r="K210" s="30">
        <f ca="1">IFERROR(__xludf.DUMMYFUNCTION("""COMPUTED_VALUE"""),800)</f>
        <v>800</v>
      </c>
      <c r="L210" s="30" t="str">
        <f ca="1">IFERROR(__xludf.DUMMYFUNCTION("""COMPUTED_VALUE"""),"Artística")</f>
        <v>Artística</v>
      </c>
      <c r="M210" s="30" t="str">
        <f ca="1">IFERROR(__xludf.DUMMYFUNCTION("""COMPUTED_VALUE"""),"EL LIBRO COMO TERRITORIO ARTÍSTICO")</f>
        <v>EL LIBRO COMO TERRITORIO ARTÍSTICO</v>
      </c>
      <c r="N210" s="30" t="str">
        <f ca="1">IFERROR(__xludf.DUMMYFUNCTION("""COMPUTED_VALUE"""),"Taller especializado para artistas.")</f>
        <v>Taller especializado para artistas.</v>
      </c>
      <c r="O210" s="30" t="str">
        <f ca="1">IFERROR(__xludf.DUMMYFUNCTION("""COMPUTED_VALUE"""),"Semanal")</f>
        <v>Semanal</v>
      </c>
      <c r="P210" s="33">
        <f ca="1">IFERROR(__xludf.DUMMYFUNCTION("""COMPUTED_VALUE"""),46157)</f>
        <v>46157</v>
      </c>
      <c r="Q210" s="33">
        <f ca="1">IFERROR(__xludf.DUMMYFUNCTION("""COMPUTED_VALUE"""),46256)</f>
        <v>46256</v>
      </c>
      <c r="R210" s="30">
        <f ca="1">IFERROR(__xludf.DUMMYFUNCTION("""COMPUTED_VALUE"""),15)</f>
        <v>15</v>
      </c>
      <c r="S210" s="30" t="str">
        <f ca="1">IFERROR(__xludf.DUMMYFUNCTION("""COMPUTED_VALUE"""),"Artes visuales")</f>
        <v>Artes visuales</v>
      </c>
      <c r="T210" s="30" t="str">
        <f ca="1">IFERROR(__xludf.DUMMYFUNCTION("""COMPUTED_VALUE"""),"Grabado")</f>
        <v>Grabado</v>
      </c>
      <c r="U210" s="30" t="str">
        <f ca="1">IFERROR(__xludf.DUMMYFUNCTION("""COMPUTED_VALUE"""),"Curso")</f>
        <v>Curso</v>
      </c>
      <c r="V210" s="30" t="str">
        <f ca="1">IFERROR(__xludf.DUMMYFUNCTION("""COMPUTED_VALUE"""),"Ninguna")</f>
        <v>Ninguna</v>
      </c>
      <c r="W210" s="30" t="str">
        <f ca="1">IFERROR(__xludf.DUMMYFUNCTION("""COMPUTED_VALUE"""),"Presencial")</f>
        <v>Presencial</v>
      </c>
      <c r="X210" s="30" t="str">
        <f ca="1">IFERROR(__xludf.DUMMYFUNCTION("""COMPUTED_VALUE"""),"Espacio a Cargo de la Secretaría")</f>
        <v>Espacio a Cargo de la Secretaría</v>
      </c>
      <c r="Y210" s="30" t="str">
        <f ca="1">IFERROR(__xludf.DUMMYFUNCTION("""COMPUTED_VALUE"""),"8")</f>
        <v>8</v>
      </c>
      <c r="Z210" s="30"/>
      <c r="AA210" s="30"/>
      <c r="AB210" s="30" t="b">
        <f ca="1">IFERROR(__xludf.DUMMYFUNCTION("""COMPUTED_VALUE"""),TRUE)</f>
        <v>1</v>
      </c>
      <c r="AC210" s="30"/>
      <c r="AD210" s="30" t="b">
        <f ca="1">IFERROR(__xludf.DUMMYFUNCTION("""COMPUTED_VALUE"""),TRUE)</f>
        <v>1</v>
      </c>
      <c r="AE210" s="30">
        <f ca="1">IFERROR(__xludf.DUMMYFUNCTION("""COMPUTED_VALUE"""),1)</f>
        <v>1</v>
      </c>
      <c r="AF210" s="30" t="b">
        <f ca="1">IFERROR(__xludf.DUMMYFUNCTION("""COMPUTED_VALUE"""),FALSE)</f>
        <v>0</v>
      </c>
      <c r="AG210" s="30"/>
      <c r="AH210" s="30" t="str">
        <f ca="1">IFERROR(__xludf.DUMMYFUNCTION("""COMPUTED_VALUE"""),"Con costo")</f>
        <v>Con costo</v>
      </c>
      <c r="AI210" s="30">
        <f ca="1">IFERROR(__xludf.DUMMYFUNCTION("""COMPUTED_VALUE"""),2293)</f>
        <v>2293</v>
      </c>
      <c r="AJ210" s="30">
        <f ca="1">IFERROR(__xludf.DUMMYFUNCTION("""COMPUTED_VALUE"""),3058)</f>
        <v>3058</v>
      </c>
      <c r="AK210" s="30" t="str">
        <f ca="1">IFERROR(__xludf.DUMMYFUNCTION("""COMPUTED_VALUE"""),"Preferente: $2,293.00: General: $3,058.00")</f>
        <v>Preferente: $2,293.00: General: $3,058.00</v>
      </c>
      <c r="AL210" s="30" t="str">
        <f ca="1">IFERROR(__xludf.DUMMYFUNCTION("""COMPUTED_VALUE"""),"ccardonav@guanajuato.gob.mx")</f>
        <v>ccardonav@guanajuato.gob.mx</v>
      </c>
      <c r="AM210" s="30" t="str">
        <f ca="1">IFERROR(__xludf.DUMMYFUNCTION("""COMPUTED_VALUE"""),"Arraigo y empoderamiento cultural de comunidades.")</f>
        <v>Arraigo y empoderamiento cultural de comunidades.</v>
      </c>
      <c r="AN210" s="30" t="str">
        <f ca="1">IFERROR(__xludf.DUMMYFUNCTION("""COMPUTED_VALUE"""),"2 Igualdad")</f>
        <v>2 Igualdad</v>
      </c>
      <c r="AO210" s="30" t="str">
        <f ca="1">IFERROR(__xludf.DUMMYFUNCTION("""COMPUTED_VALUE"""),"2.4 Reducir brechas de desigualdad")</f>
        <v>2.4 Reducir brechas de desigualdad</v>
      </c>
      <c r="AP210" s="30" t="str">
        <f ca="1">IFERROR(__xludf.DUMMYFUNCTION("""COMPUTED_VALUE"""),"2.4.3 Descentralización de la oferta cultural")</f>
        <v>2.4.3 Descentralización de la oferta cultural</v>
      </c>
      <c r="AQ210" s="30" t="str">
        <f ca="1">IFERROR(__xludf.DUMMYFUNCTION("""COMPUTED_VALUE"""),"2.4.3.3 Incidir en el involucramiento de las personas con el ecosistema cultural")</f>
        <v>2.4.3.3 Incidir en el involucramiento de las personas con el ecosistema cultural</v>
      </c>
      <c r="AR210" s="30" t="str">
        <f ca="1">IFERROR(__xludf.DUMMYFUNCTION("""COMPUTED_VALUE"""),"Ninguno")</f>
        <v>Ninguno</v>
      </c>
      <c r="AS210" s="30"/>
      <c r="AT210" s="30" t="str">
        <f ca="1">IFERROR(__xludf.DUMMYFUNCTION("""COMPUTED_VALUE"""),"Fortalecimiento de la participación ciudadana y la mediación cultural")</f>
        <v>Fortalecimiento de la participación ciudadana y la mediación cultural</v>
      </c>
      <c r="AU210" s="30" t="str">
        <f ca="1">IFERROR(__xludf.DUMMYFUNCTION("""COMPUTED_VALUE"""),"Impulso a la ampliación de la oferta cultural en los territorios.")</f>
        <v>Impulso a la ampliación de la oferta cultural en los territorios.</v>
      </c>
      <c r="AV21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10" s="30" t="str">
        <f ca="1">IFERROR(__xludf.DUMMYFUNCTION("""COMPUTED_VALUE"""),"Incrementar en 25% la oferta cultural realizada en los municipios.")</f>
        <v>Incrementar en 25% la oferta cultural realizada en los municipios.</v>
      </c>
      <c r="AX210" s="30" t="str">
        <f ca="1">IFERROR(__xludf.DUMMYFUNCTION("""COMPUTED_VALUE"""),"Curso")</f>
        <v>Curso</v>
      </c>
      <c r="AY210" s="30" t="str">
        <f ca="1">IFERROR(__xludf.DUMMYFUNCTION("""COMPUTED_VALUE"""),"Formación")</f>
        <v>Formación</v>
      </c>
      <c r="AZ210" s="30" t="str">
        <f ca="1">IFERROR(__xludf.DUMMYFUNCTION("""COMPUTED_VALUE"""),"Formación")</f>
        <v>Formación</v>
      </c>
      <c r="BA210" s="30"/>
      <c r="BB210" s="30"/>
      <c r="BC210" s="30">
        <f ca="1">IFERROR(__xludf.DUMMYFUNCTION("""COMPUTED_VALUE"""),0)</f>
        <v>0</v>
      </c>
      <c r="BD210" s="30"/>
      <c r="BE210" s="30"/>
      <c r="BF210" s="30" t="b">
        <f ca="1">IFERROR(__xludf.DUMMYFUNCTION("""COMPUTED_VALUE"""),FALSE)</f>
        <v>0</v>
      </c>
      <c r="BG210" s="30"/>
      <c r="BH210" s="30"/>
      <c r="BI210" s="30"/>
      <c r="BJ210" s="30"/>
      <c r="BK210" s="30"/>
      <c r="BL210" s="30"/>
      <c r="BM210" s="30" t="str">
        <f ca="1">IFERROR(__xludf.DUMMYFUNCTION("""COMPUTED_VALUE"""),"No")</f>
        <v>No</v>
      </c>
      <c r="BN210" s="30"/>
      <c r="BO210" s="30" t="str">
        <f ca="1">IFERROR(__xludf.DUMMYFUNCTION("""COMPUTED_VALUE"""),"d7a737e1")</f>
        <v>d7a737e1</v>
      </c>
      <c r="BP210" s="29" t="str">
        <f ca="1">IFERROR(__xludf.DUMMYFUNCTION("""COMPUTED_VALUE"""),"León")</f>
        <v>León</v>
      </c>
      <c r="BQ210" s="30" t="str">
        <f ca="1">IFERROR(__xludf.DUMMYFUNCTION("""COMPUTED_VALUE"""),"Urbano")</f>
        <v>Urbano</v>
      </c>
      <c r="BR210" s="30"/>
      <c r="BS210" s="30"/>
      <c r="BT210" s="30" t="str">
        <f ca="1">IFERROR(__xludf.DUMMYFUNCTION("""COMPUTED_VALUE"""),"La Martinica")</f>
        <v>La Martinica</v>
      </c>
      <c r="BU210" s="30" t="str">
        <f ca="1">IFERROR(__xludf.DUMMYFUNCTION("""COMPUTED_VALUE"""),"No")</f>
        <v>No</v>
      </c>
      <c r="BV210" s="30" t="str">
        <f ca="1">IFERROR(__xludf.DUMMYFUNCTION("""COMPUTED_VALUE"""),"No")</f>
        <v>No</v>
      </c>
      <c r="BW210" s="30">
        <f ca="1">IFERROR(__xludf.DUMMYFUNCTION("""COMPUTED_VALUE"""),39)</f>
        <v>39</v>
      </c>
      <c r="BX210" s="30"/>
      <c r="BY210" s="30">
        <f ca="1">IFERROR(__xludf.DUMMYFUNCTION("""COMPUTED_VALUE"""),39)</f>
        <v>39</v>
      </c>
      <c r="BZ210" s="30" t="str">
        <f ca="1">IFERROR(__xludf.DUMMYFUNCTION("""COMPUTED_VALUE"""),"La Martinica")</f>
        <v>La Martinica</v>
      </c>
      <c r="CA210" s="30" t="str">
        <f ca="1">IFERROR(__xludf.DUMMYFUNCTION("""COMPUTED_VALUE"""),"No")</f>
        <v>No</v>
      </c>
      <c r="CB210" s="30" t="str">
        <f ca="1">IFERROR(__xludf.DUMMYFUNCTION("""COMPUTED_VALUE"""),"No")</f>
        <v>No</v>
      </c>
      <c r="CC210" s="30" t="str">
        <f ca="1">IFERROR(__xludf.DUMMYFUNCTION("""COMPUTED_VALUE"""),"d7cf7a54")</f>
        <v>d7cf7a54</v>
      </c>
      <c r="CD210" s="29" t="str">
        <f ca="1">IFERROR(__xludf.DUMMYFUNCTION("""COMPUTED_VALUE"""),"Adolescentes (13 a 17 años)")</f>
        <v>Adolescentes (13 a 17 años)</v>
      </c>
      <c r="CE210" s="30" t="str">
        <f ca="1">IFERROR(__xludf.DUMMYFUNCTION("""COMPUTED_VALUE"""),"Dato global")</f>
        <v>Dato global</v>
      </c>
      <c r="CF210" s="30" t="str">
        <f ca="1">IFERROR(__xludf.DUMMYFUNCTION("""COMPUTED_VALUE"""),"Comunidad LGBTIQ+")</f>
        <v>Comunidad LGBTIQ+</v>
      </c>
      <c r="CG210" s="30">
        <f ca="1">IFERROR(__xludf.DUMMYFUNCTION("""COMPUTED_VALUE"""),22)</f>
        <v>22</v>
      </c>
      <c r="CI210" s="30" t="str">
        <f ca="1">IFERROR(__xludf.DUMMYFUNCTION("""COMPUTED_VALUE"""),"48941566")</f>
        <v>48941566</v>
      </c>
      <c r="CJ210" s="29" t="str">
        <f ca="1">IFERROR(__xludf.DUMMYFUNCTION("""COMPUTED_VALUE"""),"Regitro_Evidencia_Images/48941566.Archivo_Evidencia.184014.jpg")</f>
        <v>Regitro_Evidencia_Images/48941566.Archivo_Evidencia.184014.jpg</v>
      </c>
      <c r="CK210" s="30" t="str">
        <f ca="1">IFERROR(__xludf.DUMMYFUNCTION("""COMPUTED_VALUE"""),"Foto")</f>
        <v>Foto</v>
      </c>
      <c r="CL210" s="30"/>
      <c r="CM210" s="30" t="str">
        <f ca="1">IFERROR(__xludf.DUMMYFUNCTION("""COMPUTED_VALUE"""),"León")</f>
        <v>León</v>
      </c>
      <c r="CN210" s="32" t="e">
        <f ca="1"/>
        <v>#NAME?</v>
      </c>
      <c r="CO210" s="32" t="e">
        <f ca="1"/>
        <v>#NAME?</v>
      </c>
      <c r="CP210" s="32" t="e">
        <f ca="1"/>
        <v>#NAME?</v>
      </c>
      <c r="CQ210" s="32" t="e">
        <f ca="1"/>
        <v>#NAME?</v>
      </c>
      <c r="CR210" s="30" t="e">
        <f ca="1"/>
        <v>#NAME?</v>
      </c>
      <c r="CS210" s="30" t="str">
        <f ca="1">IFERROR(__xludf.DUMMYFUNCTION("""COMPUTED_VALUE"""),"Ninguno (Población General), Ninguno (Población General)")</f>
        <v>Ninguno (Población General), Ninguno (Población General)</v>
      </c>
    </row>
    <row r="211" spans="1:97" ht="13">
      <c r="A211" s="29" t="str">
        <f ca="1">IFERROR(__xludf.DUMMYFUNCTION("""COMPUTED_VALUE"""),"ACT-SCCG56880")</f>
        <v>ACT-SCCG56880</v>
      </c>
      <c r="B211" s="30" t="str">
        <f ca="1">IFERROR(__xludf.DUMMYFUNCTION("""COMPUTED_VALUE"""),"SC-260706-111539")</f>
        <v>SC-260706-111539</v>
      </c>
      <c r="C211" s="62">
        <f ca="1">IFERROR(__xludf.DUMMYFUNCTION("""COMPUTED_VALUE"""),46209.4692013888)</f>
        <v>46209.469201388798</v>
      </c>
      <c r="D211" s="30">
        <f ca="1">IFERROR(__xludf.DUMMYFUNCTION("""COMPUTED_VALUE"""),92)</f>
        <v>92</v>
      </c>
      <c r="E211" s="30" t="str">
        <f ca="1">IFERROR(__xludf.DUMMYFUNCTION("""COMPUTED_VALUE"""),"PB3572")</f>
        <v>PB3572</v>
      </c>
      <c r="F21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1" s="30" t="str">
        <f ca="1">IFERROR(__xludf.DUMMYFUNCTION("""COMPUTED_VALUE"""),"SUBSECRETARÍA DE DESARROLLO Y PROMOCIÓN ARTÍSTICA Y CULTURAL")</f>
        <v>SUBSECRETARÍA DE DESARROLLO Y PROMOCIÓN ARTÍSTICA Y CULTURAL</v>
      </c>
      <c r="I211" s="34" t="str">
        <f ca="1">IFERROR(__xludf.DUMMYFUNCTION("""COMPUTED_VALUE"""),"DIRECCIÓN GENERAL DE MUSEOS, ARTES VISUALES Y EXPOSICIONES")</f>
        <v>DIRECCIÓN GENERAL DE MUSEOS, ARTES VISUALES Y EXPOSICIONES</v>
      </c>
      <c r="J211" s="30" t="str">
        <f ca="1">IFERROR(__xludf.DUMMYFUNCTION("""COMPUTED_VALUE"""),"Número de Actividades realizadas")</f>
        <v>Número de Actividades realizadas</v>
      </c>
      <c r="K211" s="30">
        <f ca="1">IFERROR(__xludf.DUMMYFUNCTION("""COMPUTED_VALUE"""),800)</f>
        <v>800</v>
      </c>
      <c r="L211" s="30" t="str">
        <f ca="1">IFERROR(__xludf.DUMMYFUNCTION("""COMPUTED_VALUE"""),"Cultural")</f>
        <v>Cultural</v>
      </c>
      <c r="M211" s="30" t="str">
        <f ca="1">IFERROR(__xludf.DUMMYFUNCTION("""COMPUTED_VALUE"""),"Programa día internacional de los museos, Rally y tendedero")</f>
        <v>Programa día internacional de los museos, Rally y tendedero</v>
      </c>
      <c r="N211" s="30" t="str">
        <f ca="1">IFERROR(__xludf.DUMMYFUNCTION("""COMPUTED_VALUE"""),"Actividad artístico-cultural.")</f>
        <v>Actividad artístico-cultural.</v>
      </c>
      <c r="O211" s="30" t="str">
        <f ca="1">IFERROR(__xludf.DUMMYFUNCTION("""COMPUTED_VALUE"""),"Semanal")</f>
        <v>Semanal</v>
      </c>
      <c r="P211" s="33">
        <f ca="1">IFERROR(__xludf.DUMMYFUNCTION("""COMPUTED_VALUE"""),46158)</f>
        <v>46158</v>
      </c>
      <c r="Q211" s="33">
        <f ca="1">IFERROR(__xludf.DUMMYFUNCTION("""COMPUTED_VALUE"""),46166)</f>
        <v>46166</v>
      </c>
      <c r="R211" s="30">
        <f ca="1">IFERROR(__xludf.DUMMYFUNCTION("""COMPUTED_VALUE"""),4)</f>
        <v>4</v>
      </c>
      <c r="S211" s="30" t="str">
        <f ca="1">IFERROR(__xludf.DUMMYFUNCTION("""COMPUTED_VALUE"""),"Cultura comunitaria")</f>
        <v>Cultura comunitaria</v>
      </c>
      <c r="T211" s="30" t="str">
        <f ca="1">IFERROR(__xludf.DUMMYFUNCTION("""COMPUTED_VALUE"""),"Mediación cultural")</f>
        <v>Mediación cultural</v>
      </c>
      <c r="U211" s="30" t="str">
        <f ca="1">IFERROR(__xludf.DUMMYFUNCTION("""COMPUTED_VALUE"""),"Taller")</f>
        <v>Taller</v>
      </c>
      <c r="V211" s="30" t="str">
        <f ca="1">IFERROR(__xludf.DUMMYFUNCTION("""COMPUTED_VALUE"""),"Ninguna")</f>
        <v>Ninguna</v>
      </c>
      <c r="W211" s="30" t="str">
        <f ca="1">IFERROR(__xludf.DUMMYFUNCTION("""COMPUTED_VALUE"""),"Presencial")</f>
        <v>Presencial</v>
      </c>
      <c r="X211" s="30" t="str">
        <f ca="1">IFERROR(__xludf.DUMMYFUNCTION("""COMPUTED_VALUE"""),"Espacio a Cargo de la Secretaría")</f>
        <v>Espacio a Cargo de la Secretaría</v>
      </c>
      <c r="Y211" s="30" t="str">
        <f ca="1">IFERROR(__xludf.DUMMYFUNCTION("""COMPUTED_VALUE"""),"8")</f>
        <v>8</v>
      </c>
      <c r="Z211" s="30"/>
      <c r="AA211" s="30"/>
      <c r="AB211" s="30" t="b">
        <f ca="1">IFERROR(__xludf.DUMMYFUNCTION("""COMPUTED_VALUE"""),FALSE)</f>
        <v>0</v>
      </c>
      <c r="AC211" s="30"/>
      <c r="AD211" s="30" t="b">
        <f ca="1">IFERROR(__xludf.DUMMYFUNCTION("""COMPUTED_VALUE"""),FALSE)</f>
        <v>0</v>
      </c>
      <c r="AE211" s="30"/>
      <c r="AF211" s="30" t="b">
        <f ca="1">IFERROR(__xludf.DUMMYFUNCTION("""COMPUTED_VALUE"""),FALSE)</f>
        <v>0</v>
      </c>
      <c r="AG211" s="30"/>
      <c r="AH211" s="30" t="str">
        <f ca="1">IFERROR(__xludf.DUMMYFUNCTION("""COMPUTED_VALUE"""),"Sin costo")</f>
        <v>Sin costo</v>
      </c>
      <c r="AI211" s="30"/>
      <c r="AJ211" s="30"/>
      <c r="AK211" s="30"/>
      <c r="AL211" s="30" t="str">
        <f ca="1">IFERROR(__xludf.DUMMYFUNCTION("""COMPUTED_VALUE"""),"ccardonav@guanajuato.gob.mx")</f>
        <v>ccardonav@guanajuato.gob.mx</v>
      </c>
      <c r="AM211" s="30" t="str">
        <f ca="1">IFERROR(__xludf.DUMMYFUNCTION("""COMPUTED_VALUE"""),"Arraigo y empoderamiento cultural de comunidades.")</f>
        <v>Arraigo y empoderamiento cultural de comunidades.</v>
      </c>
      <c r="AN211" s="30" t="str">
        <f ca="1">IFERROR(__xludf.DUMMYFUNCTION("""COMPUTED_VALUE"""),"2 Igualdad")</f>
        <v>2 Igualdad</v>
      </c>
      <c r="AO211" s="30" t="str">
        <f ca="1">IFERROR(__xludf.DUMMYFUNCTION("""COMPUTED_VALUE"""),"2.4 Reducir brechas de desigualdad")</f>
        <v>2.4 Reducir brechas de desigualdad</v>
      </c>
      <c r="AP211" s="30" t="str">
        <f ca="1">IFERROR(__xludf.DUMMYFUNCTION("""COMPUTED_VALUE"""),"2.4.3 Descentralización de la oferta cultural")</f>
        <v>2.4.3 Descentralización de la oferta cultural</v>
      </c>
      <c r="AQ211" s="30" t="str">
        <f ca="1">IFERROR(__xludf.DUMMYFUNCTION("""COMPUTED_VALUE"""),"2.4.3.1 Impulsar el desarrollo artístico y cultural entre infancias y juventudes")</f>
        <v>2.4.3.1 Impulsar el desarrollo artístico y cultural entre infancias y juventudes</v>
      </c>
      <c r="AR211" s="30" t="str">
        <f ca="1">IFERROR(__xludf.DUMMYFUNCTION("""COMPUTED_VALUE"""),"Ninguno")</f>
        <v>Ninguno</v>
      </c>
      <c r="AS211" s="30"/>
      <c r="AT211" s="30" t="str">
        <f ca="1">IFERROR(__xludf.DUMMYFUNCTION("""COMPUTED_VALUE"""),"Fortalecimiento de la participación ciudadana y la mediación cultural")</f>
        <v>Fortalecimiento de la participación ciudadana y la mediación cultural</v>
      </c>
      <c r="AU211" s="30" t="str">
        <f ca="1">IFERROR(__xludf.DUMMYFUNCTION("""COMPUTED_VALUE"""),"Fortalecimiento del diálogo, la mediación y las capacidades de las redes comunitarias.")</f>
        <v>Fortalecimiento del diálogo, la mediación y las capacidades de las redes comunitarias.</v>
      </c>
      <c r="AV21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1" s="30" t="str">
        <f ca="1">IFERROR(__xludf.DUMMYFUNCTION("""COMPUTED_VALUE"""),"Incrementar en 25% la oferta cultural realizada en los municipios.")</f>
        <v>Incrementar en 25% la oferta cultural realizada en los municipios.</v>
      </c>
      <c r="AX211" s="30" t="str">
        <f ca="1">IFERROR(__xludf.DUMMYFUNCTION("""COMPUTED_VALUE"""),"Taller")</f>
        <v>Taller</v>
      </c>
      <c r="AY211" s="30" t="str">
        <f ca="1">IFERROR(__xludf.DUMMYFUNCTION("""COMPUTED_VALUE"""),"Mediación")</f>
        <v>Mediación</v>
      </c>
      <c r="AZ211" s="30"/>
      <c r="BA211" s="30"/>
      <c r="BB211" s="30"/>
      <c r="BC211" s="30">
        <f ca="1">IFERROR(__xludf.DUMMYFUNCTION("""COMPUTED_VALUE"""),0)</f>
        <v>0</v>
      </c>
      <c r="BD211" s="30"/>
      <c r="BE211" s="30"/>
      <c r="BF211" s="30" t="b">
        <f ca="1">IFERROR(__xludf.DUMMYFUNCTION("""COMPUTED_VALUE"""),FALSE)</f>
        <v>0</v>
      </c>
      <c r="BG211" s="30"/>
      <c r="BH211" s="30"/>
      <c r="BI211" s="30"/>
      <c r="BJ211" s="30"/>
      <c r="BK211" s="30"/>
      <c r="BL211" s="30"/>
      <c r="BM211" s="30" t="str">
        <f ca="1">IFERROR(__xludf.DUMMYFUNCTION("""COMPUTED_VALUE"""),"No")</f>
        <v>No</v>
      </c>
      <c r="BN211" s="30"/>
      <c r="BO211" s="30" t="str">
        <f ca="1">IFERROR(__xludf.DUMMYFUNCTION("""COMPUTED_VALUE"""),"fe27bd99")</f>
        <v>fe27bd99</v>
      </c>
      <c r="BP211" s="29" t="str">
        <f ca="1">IFERROR(__xludf.DUMMYFUNCTION("""COMPUTED_VALUE"""),"León")</f>
        <v>León</v>
      </c>
      <c r="BQ211" s="30" t="str">
        <f ca="1">IFERROR(__xludf.DUMMYFUNCTION("""COMPUTED_VALUE"""),"Urbano")</f>
        <v>Urbano</v>
      </c>
      <c r="BR211" s="30"/>
      <c r="BS211" s="30"/>
      <c r="BT211" s="30" t="str">
        <f ca="1">IFERROR(__xludf.DUMMYFUNCTION("""COMPUTED_VALUE"""),"La Martinica")</f>
        <v>La Martinica</v>
      </c>
      <c r="BU211" s="30" t="str">
        <f ca="1">IFERROR(__xludf.DUMMYFUNCTION("""COMPUTED_VALUE"""),"No")</f>
        <v>No</v>
      </c>
      <c r="BV211" s="30" t="str">
        <f ca="1">IFERROR(__xludf.DUMMYFUNCTION("""COMPUTED_VALUE"""),"No")</f>
        <v>No</v>
      </c>
      <c r="BW211" s="30">
        <f ca="1">IFERROR(__xludf.DUMMYFUNCTION("""COMPUTED_VALUE"""),52)</f>
        <v>52</v>
      </c>
      <c r="BX211" s="30"/>
      <c r="BY211" s="30">
        <f ca="1">IFERROR(__xludf.DUMMYFUNCTION("""COMPUTED_VALUE"""),52)</f>
        <v>52</v>
      </c>
      <c r="BZ211" s="30" t="str">
        <f ca="1">IFERROR(__xludf.DUMMYFUNCTION("""COMPUTED_VALUE"""),"La Martinica")</f>
        <v>La Martinica</v>
      </c>
      <c r="CA211" s="30" t="str">
        <f ca="1">IFERROR(__xludf.DUMMYFUNCTION("""COMPUTED_VALUE"""),"No")</f>
        <v>No</v>
      </c>
      <c r="CB211" s="30" t="str">
        <f ca="1">IFERROR(__xludf.DUMMYFUNCTION("""COMPUTED_VALUE"""),"No")</f>
        <v>No</v>
      </c>
      <c r="CC211" s="30" t="str">
        <f ca="1">IFERROR(__xludf.DUMMYFUNCTION("""COMPUTED_VALUE"""),"ee0328cb")</f>
        <v>ee0328cb</v>
      </c>
      <c r="CD211" s="29" t="str">
        <f ca="1">IFERROR(__xludf.DUMMYFUNCTION("""COMPUTED_VALUE"""),"Jóvenes (18 a 29 años)")</f>
        <v>Jóvenes (18 a 29 años)</v>
      </c>
      <c r="CE211" s="30" t="str">
        <f ca="1">IFERROR(__xludf.DUMMYFUNCTION("""COMPUTED_VALUE"""),"Dato global")</f>
        <v>Dato global</v>
      </c>
      <c r="CF211" s="30" t="str">
        <f ca="1">IFERROR(__xludf.DUMMYFUNCTION("""COMPUTED_VALUE"""),"Comunidad LGBTIQ+")</f>
        <v>Comunidad LGBTIQ+</v>
      </c>
      <c r="CG211" s="30">
        <f ca="1">IFERROR(__xludf.DUMMYFUNCTION("""COMPUTED_VALUE"""),50)</f>
        <v>50</v>
      </c>
      <c r="CI211" s="30" t="str">
        <f ca="1">IFERROR(__xludf.DUMMYFUNCTION("""COMPUTED_VALUE"""),"f775d99f")</f>
        <v>f775d99f</v>
      </c>
      <c r="CJ211" s="29" t="str">
        <f ca="1">IFERROR(__xludf.DUMMYFUNCTION("""COMPUTED_VALUE"""),"Regitro_Evidencia_Images/f775d99f.Archivo_Evidencia.185042.jpg")</f>
        <v>Regitro_Evidencia_Images/f775d99f.Archivo_Evidencia.185042.jpg</v>
      </c>
      <c r="CK211" s="30" t="str">
        <f ca="1">IFERROR(__xludf.DUMMYFUNCTION("""COMPUTED_VALUE"""),"Foto")</f>
        <v>Foto</v>
      </c>
      <c r="CL211" s="30"/>
      <c r="CM211" s="30" t="str">
        <f ca="1">IFERROR(__xludf.DUMMYFUNCTION("""COMPUTED_VALUE"""),"León")</f>
        <v>León</v>
      </c>
      <c r="CN211" s="32" t="e">
        <f ca="1"/>
        <v>#NAME?</v>
      </c>
      <c r="CO211" s="32" t="e">
        <f ca="1"/>
        <v>#NAME?</v>
      </c>
      <c r="CP211" s="32" t="e">
        <f ca="1"/>
        <v>#NAME?</v>
      </c>
      <c r="CQ211" s="32" t="e">
        <f ca="1"/>
        <v>#NAME?</v>
      </c>
      <c r="CR211" s="30" t="e">
        <f ca="1"/>
        <v>#NAME?</v>
      </c>
      <c r="CS211" s="30" t="str">
        <f ca="1">IFERROR(__xludf.DUMMYFUNCTION("""COMPUTED_VALUE"""),"Ninguno (Población General), Ninguno (Población General)")</f>
        <v>Ninguno (Población General), Ninguno (Población General)</v>
      </c>
    </row>
    <row r="212" spans="1:97" ht="13">
      <c r="A212" s="29" t="str">
        <f ca="1">IFERROR(__xludf.DUMMYFUNCTION("""COMPUTED_VALUE"""),"ACT-SCGH08916")</f>
        <v>ACT-SCGH08916</v>
      </c>
      <c r="B212" s="30" t="str">
        <f ca="1">IFERROR(__xludf.DUMMYFUNCTION("""COMPUTED_VALUE"""),"SC-260706-114145")</f>
        <v>SC-260706-114145</v>
      </c>
      <c r="C212" s="62">
        <f ca="1">IFERROR(__xludf.DUMMYFUNCTION("""COMPUTED_VALUE"""),46209.4873263888)</f>
        <v>46209.4873263888</v>
      </c>
      <c r="D212" s="30">
        <f ca="1">IFERROR(__xludf.DUMMYFUNCTION("""COMPUTED_VALUE"""),92)</f>
        <v>92</v>
      </c>
      <c r="E212" s="30" t="str">
        <f ca="1">IFERROR(__xludf.DUMMYFUNCTION("""COMPUTED_VALUE"""),"PB3572")</f>
        <v>PB3572</v>
      </c>
      <c r="F21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2" s="30" t="str">
        <f ca="1">IFERROR(__xludf.DUMMYFUNCTION("""COMPUTED_VALUE"""),"SUBSECRETARÍA DE DESARROLLO Y PROMOCIÓN ARTÍSTICA Y CULTURAL")</f>
        <v>SUBSECRETARÍA DE DESARROLLO Y PROMOCIÓN ARTÍSTICA Y CULTURAL</v>
      </c>
      <c r="I212" s="34" t="str">
        <f ca="1">IFERROR(__xludf.DUMMYFUNCTION("""COMPUTED_VALUE"""),"DIRECCIÓN GENERAL DE MUSEOS, ARTES VISUALES Y EXPOSICIONES")</f>
        <v>DIRECCIÓN GENERAL DE MUSEOS, ARTES VISUALES Y EXPOSICIONES</v>
      </c>
      <c r="J212" s="30" t="str">
        <f ca="1">IFERROR(__xludf.DUMMYFUNCTION("""COMPUTED_VALUE"""),"Número de Actividades realizadas")</f>
        <v>Número de Actividades realizadas</v>
      </c>
      <c r="K212" s="30">
        <f ca="1">IFERROR(__xludf.DUMMYFUNCTION("""COMPUTED_VALUE"""),800)</f>
        <v>800</v>
      </c>
      <c r="L212" s="30" t="str">
        <f ca="1">IFERROR(__xludf.DUMMYFUNCTION("""COMPUTED_VALUE"""),"Cultural")</f>
        <v>Cultural</v>
      </c>
      <c r="M212" s="30" t="str">
        <f ca="1">IFERROR(__xludf.DUMMYFUNCTION("""COMPUTED_VALUE"""),"Visita Escolar "" Escuela Benito Juarez""")</f>
        <v>Visita Escolar " Escuela Benito Juarez"</v>
      </c>
      <c r="N212" s="30" t="str">
        <f ca="1">IFERROR(__xludf.DUMMYFUNCTION("""COMPUTED_VALUE"""),"Visita Mediada")</f>
        <v>Visita Mediada</v>
      </c>
      <c r="O212" s="30" t="str">
        <f ca="1">IFERROR(__xludf.DUMMYFUNCTION("""COMPUTED_VALUE"""),"Única")</f>
        <v>Única</v>
      </c>
      <c r="P212" s="33">
        <f ca="1">IFERROR(__xludf.DUMMYFUNCTION("""COMPUTED_VALUE"""),46177)</f>
        <v>46177</v>
      </c>
      <c r="Q212" s="33">
        <f ca="1">IFERROR(__xludf.DUMMYFUNCTION("""COMPUTED_VALUE"""),46177)</f>
        <v>46177</v>
      </c>
      <c r="R212" s="30">
        <f ca="1">IFERROR(__xludf.DUMMYFUNCTION("""COMPUTED_VALUE"""),1)</f>
        <v>1</v>
      </c>
      <c r="S212" s="30" t="str">
        <f ca="1">IFERROR(__xludf.DUMMYFUNCTION("""COMPUTED_VALUE"""),"Cultura comunitaria")</f>
        <v>Cultura comunitaria</v>
      </c>
      <c r="T212" s="30" t="str">
        <f ca="1">IFERROR(__xludf.DUMMYFUNCTION("""COMPUTED_VALUE"""),"Mediación cultural")</f>
        <v>Mediación cultural</v>
      </c>
      <c r="U212" s="30" t="str">
        <f ca="1">IFERROR(__xludf.DUMMYFUNCTION("""COMPUTED_VALUE"""),"Visitas escolares")</f>
        <v>Visitas escolares</v>
      </c>
      <c r="V212" s="30" t="str">
        <f ca="1">IFERROR(__xludf.DUMMYFUNCTION("""COMPUTED_VALUE"""),"Ninguna")</f>
        <v>Ninguna</v>
      </c>
      <c r="W212" s="30" t="str">
        <f ca="1">IFERROR(__xludf.DUMMYFUNCTION("""COMPUTED_VALUE"""),"Presencial")</f>
        <v>Presencial</v>
      </c>
      <c r="X212" s="30" t="str">
        <f ca="1">IFERROR(__xludf.DUMMYFUNCTION("""COMPUTED_VALUE"""),"Espacio a Cargo de la Secretaría")</f>
        <v>Espacio a Cargo de la Secretaría</v>
      </c>
      <c r="Y212" s="30" t="str">
        <f ca="1">IFERROR(__xludf.DUMMYFUNCTION("""COMPUTED_VALUE"""),"8")</f>
        <v>8</v>
      </c>
      <c r="Z212" s="30"/>
      <c r="AA212" s="30"/>
      <c r="AB212" s="30" t="b">
        <f ca="1">IFERROR(__xludf.DUMMYFUNCTION("""COMPUTED_VALUE"""),FALSE)</f>
        <v>0</v>
      </c>
      <c r="AC212" s="30"/>
      <c r="AD212" s="30" t="b">
        <f ca="1">IFERROR(__xludf.DUMMYFUNCTION("""COMPUTED_VALUE"""),FALSE)</f>
        <v>0</v>
      </c>
      <c r="AE212" s="30"/>
      <c r="AF212" s="30" t="b">
        <f ca="1">IFERROR(__xludf.DUMMYFUNCTION("""COMPUTED_VALUE"""),FALSE)</f>
        <v>0</v>
      </c>
      <c r="AG212" s="30"/>
      <c r="AH212" s="30" t="str">
        <f ca="1">IFERROR(__xludf.DUMMYFUNCTION("""COMPUTED_VALUE"""),"Sin costo")</f>
        <v>Sin costo</v>
      </c>
      <c r="AI212" s="30"/>
      <c r="AJ212" s="30"/>
      <c r="AK212" s="30"/>
      <c r="AL212" s="30" t="str">
        <f ca="1">IFERROR(__xludf.DUMMYFUNCTION("""COMPUTED_VALUE"""),"ccardonav@guanajuato.gob.mx")</f>
        <v>ccardonav@guanajuato.gob.mx</v>
      </c>
      <c r="AM212" s="30" t="str">
        <f ca="1">IFERROR(__xludf.DUMMYFUNCTION("""COMPUTED_VALUE"""),"Arraigo y empoderamiento cultural de comunidades.")</f>
        <v>Arraigo y empoderamiento cultural de comunidades.</v>
      </c>
      <c r="AN212" s="30" t="str">
        <f ca="1">IFERROR(__xludf.DUMMYFUNCTION("""COMPUTED_VALUE"""),"2 Igualdad")</f>
        <v>2 Igualdad</v>
      </c>
      <c r="AO212" s="30" t="str">
        <f ca="1">IFERROR(__xludf.DUMMYFUNCTION("""COMPUTED_VALUE"""),"2.4 Reducir brechas de desigualdad")</f>
        <v>2.4 Reducir brechas de desigualdad</v>
      </c>
      <c r="AP212" s="30" t="str">
        <f ca="1">IFERROR(__xludf.DUMMYFUNCTION("""COMPUTED_VALUE"""),"2.4.3 Descentralización de la oferta cultural")</f>
        <v>2.4.3 Descentralización de la oferta cultural</v>
      </c>
      <c r="AQ212" s="30" t="str">
        <f ca="1">IFERROR(__xludf.DUMMYFUNCTION("""COMPUTED_VALUE"""),"2.4.3.1 Impulsar el desarrollo artístico y cultural entre infancias y juventudes")</f>
        <v>2.4.3.1 Impulsar el desarrollo artístico y cultural entre infancias y juventudes</v>
      </c>
      <c r="AR212" s="30" t="str">
        <f ca="1">IFERROR(__xludf.DUMMYFUNCTION("""COMPUTED_VALUE"""),"Ninguno")</f>
        <v>Ninguno</v>
      </c>
      <c r="AS212" s="30"/>
      <c r="AT212" s="30" t="str">
        <f ca="1">IFERROR(__xludf.DUMMYFUNCTION("""COMPUTED_VALUE"""),"Fortalecimiento de la participación ciudadana y la mediación cultural")</f>
        <v>Fortalecimiento de la participación ciudadana y la mediación cultural</v>
      </c>
      <c r="AU212" s="30" t="str">
        <f ca="1">IFERROR(__xludf.DUMMYFUNCTION("""COMPUTED_VALUE"""),"Fortalecimiento del diálogo, la mediación y las capacidades de las redes comunitarias.")</f>
        <v>Fortalecimiento del diálogo, la mediación y las capacidades de las redes comunitarias.</v>
      </c>
      <c r="AV21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2" s="30" t="str">
        <f ca="1">IFERROR(__xludf.DUMMYFUNCTION("""COMPUTED_VALUE"""),"Incrementar en 25% la oferta cultural realizada en los municipios.")</f>
        <v>Incrementar en 25% la oferta cultural realizada en los municipios.</v>
      </c>
      <c r="AX212" s="30" t="str">
        <f ca="1">IFERROR(__xludf.DUMMYFUNCTION("""COMPUTED_VALUE"""),"Visitas escolares")</f>
        <v>Visitas escolares</v>
      </c>
      <c r="AY212" s="30" t="str">
        <f ca="1">IFERROR(__xludf.DUMMYFUNCTION("""COMPUTED_VALUE"""),"Mediación")</f>
        <v>Mediación</v>
      </c>
      <c r="AZ212" s="30"/>
      <c r="BA212" s="30"/>
      <c r="BB212" s="30"/>
      <c r="BC212" s="30">
        <f ca="1">IFERROR(__xludf.DUMMYFUNCTION("""COMPUTED_VALUE"""),0)</f>
        <v>0</v>
      </c>
      <c r="BD212" s="30"/>
      <c r="BE212" s="30"/>
      <c r="BF212" s="30" t="b">
        <f ca="1">IFERROR(__xludf.DUMMYFUNCTION("""COMPUTED_VALUE"""),FALSE)</f>
        <v>0</v>
      </c>
      <c r="BG212" s="30"/>
      <c r="BH212" s="30"/>
      <c r="BI212" s="30"/>
      <c r="BJ212" s="30"/>
      <c r="BK212" s="30"/>
      <c r="BL212" s="30"/>
      <c r="BM212" s="30" t="str">
        <f ca="1">IFERROR(__xludf.DUMMYFUNCTION("""COMPUTED_VALUE"""),"No")</f>
        <v>No</v>
      </c>
      <c r="BN212" s="30"/>
      <c r="BO212" s="30" t="str">
        <f ca="1">IFERROR(__xludf.DUMMYFUNCTION("""COMPUTED_VALUE"""),"96e25dfd")</f>
        <v>96e25dfd</v>
      </c>
      <c r="BP212" s="29" t="str">
        <f ca="1">IFERROR(__xludf.DUMMYFUNCTION("""COMPUTED_VALUE"""),"León")</f>
        <v>León</v>
      </c>
      <c r="BQ212" s="30" t="str">
        <f ca="1">IFERROR(__xludf.DUMMYFUNCTION("""COMPUTED_VALUE"""),"Urbano")</f>
        <v>Urbano</v>
      </c>
      <c r="BR212" s="30"/>
      <c r="BS212" s="30"/>
      <c r="BT212" s="30" t="str">
        <f ca="1">IFERROR(__xludf.DUMMYFUNCTION("""COMPUTED_VALUE"""),"La Martinica")</f>
        <v>La Martinica</v>
      </c>
      <c r="BU212" s="30" t="str">
        <f ca="1">IFERROR(__xludf.DUMMYFUNCTION("""COMPUTED_VALUE"""),"No")</f>
        <v>No</v>
      </c>
      <c r="BV212" s="30" t="str">
        <f ca="1">IFERROR(__xludf.DUMMYFUNCTION("""COMPUTED_VALUE"""),"No")</f>
        <v>No</v>
      </c>
      <c r="BW212" s="30">
        <f ca="1">IFERROR(__xludf.DUMMYFUNCTION("""COMPUTED_VALUE"""),52)</f>
        <v>52</v>
      </c>
      <c r="BX212" s="30"/>
      <c r="BY212" s="30">
        <f ca="1">IFERROR(__xludf.DUMMYFUNCTION("""COMPUTED_VALUE"""),52)</f>
        <v>52</v>
      </c>
      <c r="BZ212" s="30" t="str">
        <f ca="1">IFERROR(__xludf.DUMMYFUNCTION("""COMPUTED_VALUE"""),"La Martinica")</f>
        <v>La Martinica</v>
      </c>
      <c r="CA212" s="30" t="str">
        <f ca="1">IFERROR(__xludf.DUMMYFUNCTION("""COMPUTED_VALUE"""),"No")</f>
        <v>No</v>
      </c>
      <c r="CB212" s="30" t="str">
        <f ca="1">IFERROR(__xludf.DUMMYFUNCTION("""COMPUTED_VALUE"""),"No")</f>
        <v>No</v>
      </c>
      <c r="CC212" s="30" t="str">
        <f ca="1">IFERROR(__xludf.DUMMYFUNCTION("""COMPUTED_VALUE"""),"e97a3724")</f>
        <v>e97a3724</v>
      </c>
      <c r="CD212" s="29" t="str">
        <f ca="1">IFERROR(__xludf.DUMMYFUNCTION("""COMPUTED_VALUE"""),"Adultos (30 a 59 años)")</f>
        <v>Adultos (30 a 59 años)</v>
      </c>
      <c r="CE212" s="30" t="str">
        <f ca="1">IFERROR(__xludf.DUMMYFUNCTION("""COMPUTED_VALUE"""),"Dato global")</f>
        <v>Dato global</v>
      </c>
      <c r="CF212" s="30" t="str">
        <f ca="1">IFERROR(__xludf.DUMMYFUNCTION("""COMPUTED_VALUE"""),"Comunidad LGBTIQ+")</f>
        <v>Comunidad LGBTIQ+</v>
      </c>
      <c r="CG212" s="30">
        <f ca="1">IFERROR(__xludf.DUMMYFUNCTION("""COMPUTED_VALUE"""),50)</f>
        <v>50</v>
      </c>
      <c r="CI212" s="30" t="str">
        <f ca="1">IFERROR(__xludf.DUMMYFUNCTION("""COMPUTED_VALUE"""),"de698edb")</f>
        <v>de698edb</v>
      </c>
      <c r="CJ212" s="29" t="str">
        <f ca="1">IFERROR(__xludf.DUMMYFUNCTION("""COMPUTED_VALUE"""),"Regitro_Evidencia_Files_/de698edb.Archivo_Evidencia.190417. Coros Voces del Alma y Acordes del Corazón")</f>
        <v>Regitro_Evidencia_Files_/de698edb.Archivo_Evidencia.190417. Coros Voces del Alma y Acordes del Corazón</v>
      </c>
      <c r="CK212" s="30" t="str">
        <f ca="1">IFERROR(__xludf.DUMMYFUNCTION("""COMPUTED_VALUE"""),"Foto")</f>
        <v>Foto</v>
      </c>
      <c r="CL212" s="30"/>
      <c r="CM212" s="30" t="str">
        <f ca="1">IFERROR(__xludf.DUMMYFUNCTION("""COMPUTED_VALUE"""),"León")</f>
        <v>León</v>
      </c>
      <c r="CN212" s="32" t="e">
        <f ca="1"/>
        <v>#NAME?</v>
      </c>
      <c r="CO212" s="32" t="e">
        <f ca="1"/>
        <v>#NAME?</v>
      </c>
      <c r="CP212" s="32" t="e">
        <f ca="1"/>
        <v>#NAME?</v>
      </c>
      <c r="CQ212" s="32" t="e">
        <f ca="1"/>
        <v>#NAME?</v>
      </c>
      <c r="CR212" s="30" t="e">
        <f ca="1"/>
        <v>#NAME?</v>
      </c>
      <c r="CS212" s="30" t="str">
        <f ca="1">IFERROR(__xludf.DUMMYFUNCTION("""COMPUTED_VALUE"""),"Ninguno (Población General), Ninguno (Población General)")</f>
        <v>Ninguno (Población General), Ninguno (Población General)</v>
      </c>
    </row>
    <row r="213" spans="1:97" ht="13">
      <c r="A213" s="29" t="str">
        <f ca="1">IFERROR(__xludf.DUMMYFUNCTION("""COMPUTED_VALUE"""),"ACT-SCCT66497")</f>
        <v>ACT-SCCT66497</v>
      </c>
      <c r="B213" s="30" t="str">
        <f ca="1">IFERROR(__xludf.DUMMYFUNCTION("""COMPUTED_VALUE"""),"SC-260706-114541")</f>
        <v>SC-260706-114541</v>
      </c>
      <c r="C213" s="62">
        <f ca="1">IFERROR(__xludf.DUMMYFUNCTION("""COMPUTED_VALUE"""),46209.4900578703)</f>
        <v>46209.490057870302</v>
      </c>
      <c r="D213" s="30">
        <f ca="1">IFERROR(__xludf.DUMMYFUNCTION("""COMPUTED_VALUE"""),92)</f>
        <v>92</v>
      </c>
      <c r="E213" s="30" t="str">
        <f ca="1">IFERROR(__xludf.DUMMYFUNCTION("""COMPUTED_VALUE"""),"PB3572")</f>
        <v>PB3572</v>
      </c>
      <c r="F21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3" s="30" t="str">
        <f ca="1">IFERROR(__xludf.DUMMYFUNCTION("""COMPUTED_VALUE"""),"SUBSECRETARÍA DE DESARROLLO Y PROMOCIÓN ARTÍSTICA Y CULTURAL")</f>
        <v>SUBSECRETARÍA DE DESARROLLO Y PROMOCIÓN ARTÍSTICA Y CULTURAL</v>
      </c>
      <c r="I213" s="34" t="str">
        <f ca="1">IFERROR(__xludf.DUMMYFUNCTION("""COMPUTED_VALUE"""),"DIRECCIÓN GENERAL DE MUSEOS, ARTES VISUALES Y EXPOSICIONES")</f>
        <v>DIRECCIÓN GENERAL DE MUSEOS, ARTES VISUALES Y EXPOSICIONES</v>
      </c>
      <c r="J213" s="30" t="str">
        <f ca="1">IFERROR(__xludf.DUMMYFUNCTION("""COMPUTED_VALUE"""),"Número de Actividades realizadas")</f>
        <v>Número de Actividades realizadas</v>
      </c>
      <c r="K213" s="30">
        <f ca="1">IFERROR(__xludf.DUMMYFUNCTION("""COMPUTED_VALUE"""),800)</f>
        <v>800</v>
      </c>
      <c r="L213" s="30" t="str">
        <f ca="1">IFERROR(__xludf.DUMMYFUNCTION("""COMPUTED_VALUE"""),"Cultural")</f>
        <v>Cultural</v>
      </c>
      <c r="M213" s="30" t="str">
        <f ca="1">IFERROR(__xludf.DUMMYFUNCTION("""COMPUTED_VALUE"""),"Visita Escolar "" Escuela Benito Juarez""")</f>
        <v>Visita Escolar " Escuela Benito Juarez"</v>
      </c>
      <c r="N213" s="30" t="str">
        <f ca="1">IFERROR(__xludf.DUMMYFUNCTION("""COMPUTED_VALUE"""),"Visita Mediada")</f>
        <v>Visita Mediada</v>
      </c>
      <c r="O213" s="30" t="str">
        <f ca="1">IFERROR(__xludf.DUMMYFUNCTION("""COMPUTED_VALUE"""),"Única")</f>
        <v>Única</v>
      </c>
      <c r="P213" s="33">
        <f ca="1">IFERROR(__xludf.DUMMYFUNCTION("""COMPUTED_VALUE"""),46177)</f>
        <v>46177</v>
      </c>
      <c r="Q213" s="33">
        <f ca="1">IFERROR(__xludf.DUMMYFUNCTION("""COMPUTED_VALUE"""),46177)</f>
        <v>46177</v>
      </c>
      <c r="R213" s="30">
        <f ca="1">IFERROR(__xludf.DUMMYFUNCTION("""COMPUTED_VALUE"""),1)</f>
        <v>1</v>
      </c>
      <c r="S213" s="30" t="str">
        <f ca="1">IFERROR(__xludf.DUMMYFUNCTION("""COMPUTED_VALUE"""),"Cultura comunitaria")</f>
        <v>Cultura comunitaria</v>
      </c>
      <c r="T213" s="30" t="str">
        <f ca="1">IFERROR(__xludf.DUMMYFUNCTION("""COMPUTED_VALUE"""),"Mediación cultural")</f>
        <v>Mediación cultural</v>
      </c>
      <c r="U213" s="30" t="str">
        <f ca="1">IFERROR(__xludf.DUMMYFUNCTION("""COMPUTED_VALUE"""),"Visitas escolares")</f>
        <v>Visitas escolares</v>
      </c>
      <c r="V213" s="30" t="str">
        <f ca="1">IFERROR(__xludf.DUMMYFUNCTION("""COMPUTED_VALUE"""),"Ninguna")</f>
        <v>Ninguna</v>
      </c>
      <c r="W213" s="30" t="str">
        <f ca="1">IFERROR(__xludf.DUMMYFUNCTION("""COMPUTED_VALUE"""),"Presencial")</f>
        <v>Presencial</v>
      </c>
      <c r="X213" s="30" t="str">
        <f ca="1">IFERROR(__xludf.DUMMYFUNCTION("""COMPUTED_VALUE"""),"Espacio a Cargo de la Secretaría")</f>
        <v>Espacio a Cargo de la Secretaría</v>
      </c>
      <c r="Y213" s="30" t="str">
        <f ca="1">IFERROR(__xludf.DUMMYFUNCTION("""COMPUTED_VALUE"""),"8")</f>
        <v>8</v>
      </c>
      <c r="Z213" s="30"/>
      <c r="AA213" s="30"/>
      <c r="AB213" s="30" t="b">
        <f ca="1">IFERROR(__xludf.DUMMYFUNCTION("""COMPUTED_VALUE"""),FALSE)</f>
        <v>0</v>
      </c>
      <c r="AC213" s="30"/>
      <c r="AD213" s="30" t="b">
        <f ca="1">IFERROR(__xludf.DUMMYFUNCTION("""COMPUTED_VALUE"""),FALSE)</f>
        <v>0</v>
      </c>
      <c r="AE213" s="30"/>
      <c r="AF213" s="30" t="b">
        <f ca="1">IFERROR(__xludf.DUMMYFUNCTION("""COMPUTED_VALUE"""),FALSE)</f>
        <v>0</v>
      </c>
      <c r="AG213" s="30"/>
      <c r="AH213" s="30" t="str">
        <f ca="1">IFERROR(__xludf.DUMMYFUNCTION("""COMPUTED_VALUE"""),"Sin costo")</f>
        <v>Sin costo</v>
      </c>
      <c r="AI213" s="30"/>
      <c r="AJ213" s="30"/>
      <c r="AK213" s="30"/>
      <c r="AL213" s="30" t="str">
        <f ca="1">IFERROR(__xludf.DUMMYFUNCTION("""COMPUTED_VALUE"""),"ccardonav@guanajuato.gob.mx")</f>
        <v>ccardonav@guanajuato.gob.mx</v>
      </c>
      <c r="AM213" s="30" t="str">
        <f ca="1">IFERROR(__xludf.DUMMYFUNCTION("""COMPUTED_VALUE"""),"Arraigo y empoderamiento cultural de comunidades.")</f>
        <v>Arraigo y empoderamiento cultural de comunidades.</v>
      </c>
      <c r="AN213" s="30" t="str">
        <f ca="1">IFERROR(__xludf.DUMMYFUNCTION("""COMPUTED_VALUE"""),"2 Igualdad")</f>
        <v>2 Igualdad</v>
      </c>
      <c r="AO213" s="30" t="str">
        <f ca="1">IFERROR(__xludf.DUMMYFUNCTION("""COMPUTED_VALUE"""),"2.4 Reducir brechas de desigualdad")</f>
        <v>2.4 Reducir brechas de desigualdad</v>
      </c>
      <c r="AP213" s="30" t="str">
        <f ca="1">IFERROR(__xludf.DUMMYFUNCTION("""COMPUTED_VALUE"""),"2.4.3 Descentralización de la oferta cultural")</f>
        <v>2.4.3 Descentralización de la oferta cultural</v>
      </c>
      <c r="AQ213" s="30" t="str">
        <f ca="1">IFERROR(__xludf.DUMMYFUNCTION("""COMPUTED_VALUE"""),"2.4.3.1 Impulsar el desarrollo artístico y cultural entre infancias y juventudes")</f>
        <v>2.4.3.1 Impulsar el desarrollo artístico y cultural entre infancias y juventudes</v>
      </c>
      <c r="AR213" s="30" t="str">
        <f ca="1">IFERROR(__xludf.DUMMYFUNCTION("""COMPUTED_VALUE"""),"Ninguno")</f>
        <v>Ninguno</v>
      </c>
      <c r="AS213" s="30"/>
      <c r="AT213" s="30" t="str">
        <f ca="1">IFERROR(__xludf.DUMMYFUNCTION("""COMPUTED_VALUE"""),"Fortalecimiento de la participación ciudadana y la mediación cultural")</f>
        <v>Fortalecimiento de la participación ciudadana y la mediación cultural</v>
      </c>
      <c r="AU213" s="30" t="str">
        <f ca="1">IFERROR(__xludf.DUMMYFUNCTION("""COMPUTED_VALUE"""),"Fortalecimiento del diálogo, la mediación y las capacidades de las redes comunitarias.")</f>
        <v>Fortalecimiento del diálogo, la mediación y las capacidades de las redes comunitarias.</v>
      </c>
      <c r="AV21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3" s="30" t="str">
        <f ca="1">IFERROR(__xludf.DUMMYFUNCTION("""COMPUTED_VALUE"""),"Incrementar en 25% la oferta cultural realizada en los municipios.")</f>
        <v>Incrementar en 25% la oferta cultural realizada en los municipios.</v>
      </c>
      <c r="AX213" s="30" t="str">
        <f ca="1">IFERROR(__xludf.DUMMYFUNCTION("""COMPUTED_VALUE"""),"Visitas escolares")</f>
        <v>Visitas escolares</v>
      </c>
      <c r="AY213" s="30" t="str">
        <f ca="1">IFERROR(__xludf.DUMMYFUNCTION("""COMPUTED_VALUE"""),"Mediación")</f>
        <v>Mediación</v>
      </c>
      <c r="AZ213" s="30"/>
      <c r="BA213" s="30"/>
      <c r="BB213" s="30"/>
      <c r="BC213" s="30">
        <f ca="1">IFERROR(__xludf.DUMMYFUNCTION("""COMPUTED_VALUE"""),0)</f>
        <v>0</v>
      </c>
      <c r="BD213" s="30"/>
      <c r="BE213" s="30"/>
      <c r="BF213" s="30" t="b">
        <f ca="1">IFERROR(__xludf.DUMMYFUNCTION("""COMPUTED_VALUE"""),FALSE)</f>
        <v>0</v>
      </c>
      <c r="BG213" s="30"/>
      <c r="BH213" s="30"/>
      <c r="BI213" s="30"/>
      <c r="BJ213" s="30"/>
      <c r="BK213" s="30"/>
      <c r="BL213" s="30"/>
      <c r="BM213" s="30" t="str">
        <f ca="1">IFERROR(__xludf.DUMMYFUNCTION("""COMPUTED_VALUE"""),"No")</f>
        <v>No</v>
      </c>
      <c r="BN213" s="30"/>
      <c r="BO213" s="30" t="str">
        <f ca="1">IFERROR(__xludf.DUMMYFUNCTION("""COMPUTED_VALUE"""),"138abada")</f>
        <v>138abada</v>
      </c>
      <c r="BP213" s="29" t="str">
        <f ca="1">IFERROR(__xludf.DUMMYFUNCTION("""COMPUTED_VALUE"""),"León")</f>
        <v>León</v>
      </c>
      <c r="BQ213" s="30" t="str">
        <f ca="1">IFERROR(__xludf.DUMMYFUNCTION("""COMPUTED_VALUE"""),"Urbano")</f>
        <v>Urbano</v>
      </c>
      <c r="BR213" s="30"/>
      <c r="BS213" s="30"/>
      <c r="BT213" s="30" t="str">
        <f ca="1">IFERROR(__xludf.DUMMYFUNCTION("""COMPUTED_VALUE"""),"La Martinica")</f>
        <v>La Martinica</v>
      </c>
      <c r="BU213" s="30" t="str">
        <f ca="1">IFERROR(__xludf.DUMMYFUNCTION("""COMPUTED_VALUE"""),"No")</f>
        <v>No</v>
      </c>
      <c r="BV213" s="30" t="str">
        <f ca="1">IFERROR(__xludf.DUMMYFUNCTION("""COMPUTED_VALUE"""),"No")</f>
        <v>No</v>
      </c>
      <c r="BW213" s="30">
        <f ca="1">IFERROR(__xludf.DUMMYFUNCTION("""COMPUTED_VALUE"""),135)</f>
        <v>135</v>
      </c>
      <c r="BX213" s="30"/>
      <c r="BY213" s="30">
        <f ca="1">IFERROR(__xludf.DUMMYFUNCTION("""COMPUTED_VALUE"""),135)</f>
        <v>135</v>
      </c>
      <c r="BZ213" s="30" t="str">
        <f ca="1">IFERROR(__xludf.DUMMYFUNCTION("""COMPUTED_VALUE"""),"La Martinica")</f>
        <v>La Martinica</v>
      </c>
      <c r="CA213" s="30" t="str">
        <f ca="1">IFERROR(__xludf.DUMMYFUNCTION("""COMPUTED_VALUE"""),"No")</f>
        <v>No</v>
      </c>
      <c r="CB213" s="30" t="str">
        <f ca="1">IFERROR(__xludf.DUMMYFUNCTION("""COMPUTED_VALUE"""),"No")</f>
        <v>No</v>
      </c>
      <c r="CC213" s="30" t="str">
        <f ca="1">IFERROR(__xludf.DUMMYFUNCTION("""COMPUTED_VALUE"""),"b15bd70c")</f>
        <v>b15bd70c</v>
      </c>
      <c r="CD213" s="29" t="str">
        <f ca="1">IFERROR(__xludf.DUMMYFUNCTION("""COMPUTED_VALUE"""),"Niñas y Niños (6 a 12 años)")</f>
        <v>Niñas y Niños (6 a 12 años)</v>
      </c>
      <c r="CE213" s="30" t="str">
        <f ca="1">IFERROR(__xludf.DUMMYFUNCTION("""COMPUTED_VALUE"""),"Dato global")</f>
        <v>Dato global</v>
      </c>
      <c r="CF213" s="30" t="str">
        <f ca="1">IFERROR(__xludf.DUMMYFUNCTION("""COMPUTED_VALUE"""),"Jóvenes en riesgo")</f>
        <v>Jóvenes en riesgo</v>
      </c>
      <c r="CG213" s="30">
        <f ca="1">IFERROR(__xludf.DUMMYFUNCTION("""COMPUTED_VALUE"""),13)</f>
        <v>13</v>
      </c>
      <c r="CI213" s="30" t="str">
        <f ca="1">IFERROR(__xludf.DUMMYFUNCTION("""COMPUTED_VALUE"""),"cd2e5e10")</f>
        <v>cd2e5e10</v>
      </c>
      <c r="CJ213" s="29" t="str">
        <f ca="1">IFERROR(__xludf.DUMMYFUNCTION("""COMPUTED_VALUE"""),"Regitro_Evidencia_Images/cd2e5e10.Archivo_Evidencia.213445.jpg")</f>
        <v>Regitro_Evidencia_Images/cd2e5e10.Archivo_Evidencia.213445.jpg</v>
      </c>
      <c r="CK213" s="30" t="str">
        <f ca="1">IFERROR(__xludf.DUMMYFUNCTION("""COMPUTED_VALUE"""),"Foto")</f>
        <v>Foto</v>
      </c>
      <c r="CL213" s="30"/>
      <c r="CM213" s="30" t="str">
        <f ca="1">IFERROR(__xludf.DUMMYFUNCTION("""COMPUTED_VALUE"""),"León")</f>
        <v>León</v>
      </c>
      <c r="CN213" s="32" t="e">
        <f ca="1"/>
        <v>#NAME?</v>
      </c>
      <c r="CO213" s="32" t="e">
        <f ca="1"/>
        <v>#NAME?</v>
      </c>
      <c r="CP213" s="32" t="e">
        <f ca="1"/>
        <v>#NAME?</v>
      </c>
      <c r="CQ213" s="32" t="e">
        <f ca="1"/>
        <v>#NAME?</v>
      </c>
      <c r="CR213" s="30" t="e">
        <f ca="1"/>
        <v>#NAME?</v>
      </c>
      <c r="CS213" s="30" t="str">
        <f ca="1">IFERROR(__xludf.DUMMYFUNCTION("""COMPUTED_VALUE"""),"Ninguno (Población General), Ninguno (Población General)")</f>
        <v>Ninguno (Población General), Ninguno (Población General)</v>
      </c>
    </row>
    <row r="214" spans="1:97" ht="13">
      <c r="A214" s="29" t="str">
        <f ca="1">IFERROR(__xludf.DUMMYFUNCTION("""COMPUTED_VALUE"""),"ACT-SCPA84703")</f>
        <v>ACT-SCPA84703</v>
      </c>
      <c r="B214" s="30" t="str">
        <f ca="1">IFERROR(__xludf.DUMMYFUNCTION("""COMPUTED_VALUE"""),"SC-260706-114901")</f>
        <v>SC-260706-114901</v>
      </c>
      <c r="C214" s="62">
        <f ca="1">IFERROR(__xludf.DUMMYFUNCTION("""COMPUTED_VALUE"""),46209.4923726851)</f>
        <v>46209.492372685098</v>
      </c>
      <c r="D214" s="30">
        <f ca="1">IFERROR(__xludf.DUMMYFUNCTION("""COMPUTED_VALUE"""),92)</f>
        <v>92</v>
      </c>
      <c r="E214" s="30" t="str">
        <f ca="1">IFERROR(__xludf.DUMMYFUNCTION("""COMPUTED_VALUE"""),"PB3572")</f>
        <v>PB3572</v>
      </c>
      <c r="F21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4" s="30" t="str">
        <f ca="1">IFERROR(__xludf.DUMMYFUNCTION("""COMPUTED_VALUE"""),"SUBSECRETARÍA DE DESARROLLO Y PROMOCIÓN ARTÍSTICA Y CULTURAL")</f>
        <v>SUBSECRETARÍA DE DESARROLLO Y PROMOCIÓN ARTÍSTICA Y CULTURAL</v>
      </c>
      <c r="I214" s="34" t="str">
        <f ca="1">IFERROR(__xludf.DUMMYFUNCTION("""COMPUTED_VALUE"""),"DIRECCIÓN GENERAL DE MUSEOS, ARTES VISUALES Y EXPOSICIONES")</f>
        <v>DIRECCIÓN GENERAL DE MUSEOS, ARTES VISUALES Y EXPOSICIONES</v>
      </c>
      <c r="J214" s="30" t="str">
        <f ca="1">IFERROR(__xludf.DUMMYFUNCTION("""COMPUTED_VALUE"""),"Número de Actividades realizadas")</f>
        <v>Número de Actividades realizadas</v>
      </c>
      <c r="K214" s="30">
        <f ca="1">IFERROR(__xludf.DUMMYFUNCTION("""COMPUTED_VALUE"""),800)</f>
        <v>800</v>
      </c>
      <c r="L214" s="30" t="str">
        <f ca="1">IFERROR(__xludf.DUMMYFUNCTION("""COMPUTED_VALUE"""),"Cultural")</f>
        <v>Cultural</v>
      </c>
      <c r="M214" s="30" t="str">
        <f ca="1">IFERROR(__xludf.DUMMYFUNCTION("""COMPUTED_VALUE"""),"Visita escolar "" Escuela TÉCNICA #46""")</f>
        <v>Visita escolar " Escuela TÉCNICA #46"</v>
      </c>
      <c r="N214" s="30" t="str">
        <f ca="1">IFERROR(__xludf.DUMMYFUNCTION("""COMPUTED_VALUE"""),"Visita Mediada")</f>
        <v>Visita Mediada</v>
      </c>
      <c r="O214" s="30" t="str">
        <f ca="1">IFERROR(__xludf.DUMMYFUNCTION("""COMPUTED_VALUE"""),"Única")</f>
        <v>Única</v>
      </c>
      <c r="P214" s="33">
        <f ca="1">IFERROR(__xludf.DUMMYFUNCTION("""COMPUTED_VALUE"""),46177)</f>
        <v>46177</v>
      </c>
      <c r="Q214" s="33">
        <f ca="1">IFERROR(__xludf.DUMMYFUNCTION("""COMPUTED_VALUE"""),46177)</f>
        <v>46177</v>
      </c>
      <c r="R214" s="30">
        <f ca="1">IFERROR(__xludf.DUMMYFUNCTION("""COMPUTED_VALUE"""),1)</f>
        <v>1</v>
      </c>
      <c r="S214" s="30" t="str">
        <f ca="1">IFERROR(__xludf.DUMMYFUNCTION("""COMPUTED_VALUE"""),"Cultura comunitaria")</f>
        <v>Cultura comunitaria</v>
      </c>
      <c r="T214" s="30" t="str">
        <f ca="1">IFERROR(__xludf.DUMMYFUNCTION("""COMPUTED_VALUE"""),"Mediación cultural")</f>
        <v>Mediación cultural</v>
      </c>
      <c r="U214" s="30" t="str">
        <f ca="1">IFERROR(__xludf.DUMMYFUNCTION("""COMPUTED_VALUE"""),"Visitas escolares")</f>
        <v>Visitas escolares</v>
      </c>
      <c r="V214" s="30" t="str">
        <f ca="1">IFERROR(__xludf.DUMMYFUNCTION("""COMPUTED_VALUE"""),"Ninguna")</f>
        <v>Ninguna</v>
      </c>
      <c r="W214" s="30" t="str">
        <f ca="1">IFERROR(__xludf.DUMMYFUNCTION("""COMPUTED_VALUE"""),"Presencial")</f>
        <v>Presencial</v>
      </c>
      <c r="X214" s="30" t="str">
        <f ca="1">IFERROR(__xludf.DUMMYFUNCTION("""COMPUTED_VALUE"""),"Espacio a Cargo de la Secretaría")</f>
        <v>Espacio a Cargo de la Secretaría</v>
      </c>
      <c r="Y214" s="30" t="str">
        <f ca="1">IFERROR(__xludf.DUMMYFUNCTION("""COMPUTED_VALUE"""),"8")</f>
        <v>8</v>
      </c>
      <c r="Z214" s="30"/>
      <c r="AA214" s="30"/>
      <c r="AB214" s="30" t="b">
        <f ca="1">IFERROR(__xludf.DUMMYFUNCTION("""COMPUTED_VALUE"""),FALSE)</f>
        <v>0</v>
      </c>
      <c r="AC214" s="30"/>
      <c r="AD214" s="30" t="b">
        <f ca="1">IFERROR(__xludf.DUMMYFUNCTION("""COMPUTED_VALUE"""),FALSE)</f>
        <v>0</v>
      </c>
      <c r="AE214" s="30"/>
      <c r="AF214" s="30" t="b">
        <f ca="1">IFERROR(__xludf.DUMMYFUNCTION("""COMPUTED_VALUE"""),FALSE)</f>
        <v>0</v>
      </c>
      <c r="AG214" s="30"/>
      <c r="AH214" s="30" t="str">
        <f ca="1">IFERROR(__xludf.DUMMYFUNCTION("""COMPUTED_VALUE"""),"Sin costo")</f>
        <v>Sin costo</v>
      </c>
      <c r="AI214" s="30"/>
      <c r="AJ214" s="30"/>
      <c r="AK214" s="30"/>
      <c r="AL214" s="30" t="str">
        <f ca="1">IFERROR(__xludf.DUMMYFUNCTION("""COMPUTED_VALUE"""),"ccardonav@guanajuato.gob.mx")</f>
        <v>ccardonav@guanajuato.gob.mx</v>
      </c>
      <c r="AM214" s="30" t="str">
        <f ca="1">IFERROR(__xludf.DUMMYFUNCTION("""COMPUTED_VALUE"""),"Arraigo y empoderamiento cultural de comunidades.")</f>
        <v>Arraigo y empoderamiento cultural de comunidades.</v>
      </c>
      <c r="AN214" s="30" t="str">
        <f ca="1">IFERROR(__xludf.DUMMYFUNCTION("""COMPUTED_VALUE"""),"2 Igualdad")</f>
        <v>2 Igualdad</v>
      </c>
      <c r="AO214" s="30" t="str">
        <f ca="1">IFERROR(__xludf.DUMMYFUNCTION("""COMPUTED_VALUE"""),"2.4 Reducir brechas de desigualdad")</f>
        <v>2.4 Reducir brechas de desigualdad</v>
      </c>
      <c r="AP214" s="30" t="str">
        <f ca="1">IFERROR(__xludf.DUMMYFUNCTION("""COMPUTED_VALUE"""),"2.4.3 Descentralización de la oferta cultural")</f>
        <v>2.4.3 Descentralización de la oferta cultural</v>
      </c>
      <c r="AQ214" s="30" t="str">
        <f ca="1">IFERROR(__xludf.DUMMYFUNCTION("""COMPUTED_VALUE"""),"2.4.3.1 Impulsar el desarrollo artístico y cultural entre infancias y juventudes")</f>
        <v>2.4.3.1 Impulsar el desarrollo artístico y cultural entre infancias y juventudes</v>
      </c>
      <c r="AR214" s="30" t="str">
        <f ca="1">IFERROR(__xludf.DUMMYFUNCTION("""COMPUTED_VALUE"""),"Ninguno")</f>
        <v>Ninguno</v>
      </c>
      <c r="AS214" s="30"/>
      <c r="AT214" s="30" t="str">
        <f ca="1">IFERROR(__xludf.DUMMYFUNCTION("""COMPUTED_VALUE"""),"Fortalecimiento de la participación ciudadana y la mediación cultural")</f>
        <v>Fortalecimiento de la participación ciudadana y la mediación cultural</v>
      </c>
      <c r="AU214" s="30" t="str">
        <f ca="1">IFERROR(__xludf.DUMMYFUNCTION("""COMPUTED_VALUE"""),"Fortalecimiento del diálogo, la mediación y las capacidades de las redes comunitarias.")</f>
        <v>Fortalecimiento del diálogo, la mediación y las capacidades de las redes comunitarias.</v>
      </c>
      <c r="AV21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4" s="30" t="str">
        <f ca="1">IFERROR(__xludf.DUMMYFUNCTION("""COMPUTED_VALUE"""),"Incrementar en 25% la oferta cultural realizada en los municipios.")</f>
        <v>Incrementar en 25% la oferta cultural realizada en los municipios.</v>
      </c>
      <c r="AX214" s="30" t="str">
        <f ca="1">IFERROR(__xludf.DUMMYFUNCTION("""COMPUTED_VALUE"""),"Visitas escolares")</f>
        <v>Visitas escolares</v>
      </c>
      <c r="AY214" s="30" t="str">
        <f ca="1">IFERROR(__xludf.DUMMYFUNCTION("""COMPUTED_VALUE"""),"Mediación")</f>
        <v>Mediación</v>
      </c>
      <c r="AZ214" s="30"/>
      <c r="BA214" s="30"/>
      <c r="BB214" s="30"/>
      <c r="BC214" s="30">
        <f ca="1">IFERROR(__xludf.DUMMYFUNCTION("""COMPUTED_VALUE"""),0)</f>
        <v>0</v>
      </c>
      <c r="BD214" s="30"/>
      <c r="BE214" s="30"/>
      <c r="BF214" s="30" t="b">
        <f ca="1">IFERROR(__xludf.DUMMYFUNCTION("""COMPUTED_VALUE"""),FALSE)</f>
        <v>0</v>
      </c>
      <c r="BG214" s="30"/>
      <c r="BH214" s="30"/>
      <c r="BI214" s="30"/>
      <c r="BJ214" s="30"/>
      <c r="BK214" s="30"/>
      <c r="BL214" s="30"/>
      <c r="BM214" s="30" t="str">
        <f ca="1">IFERROR(__xludf.DUMMYFUNCTION("""COMPUTED_VALUE"""),"No")</f>
        <v>No</v>
      </c>
      <c r="BN214" s="30"/>
      <c r="BO214" s="30" t="str">
        <f ca="1">IFERROR(__xludf.DUMMYFUNCTION("""COMPUTED_VALUE"""),"c36dbb30")</f>
        <v>c36dbb30</v>
      </c>
      <c r="BP214" s="29" t="str">
        <f ca="1">IFERROR(__xludf.DUMMYFUNCTION("""COMPUTED_VALUE"""),"León")</f>
        <v>León</v>
      </c>
      <c r="BQ214" s="30" t="str">
        <f ca="1">IFERROR(__xludf.DUMMYFUNCTION("""COMPUTED_VALUE"""),"Urbano")</f>
        <v>Urbano</v>
      </c>
      <c r="BR214" s="30"/>
      <c r="BS214" s="30"/>
      <c r="BT214" s="30" t="str">
        <f ca="1">IFERROR(__xludf.DUMMYFUNCTION("""COMPUTED_VALUE"""),"La Martinica")</f>
        <v>La Martinica</v>
      </c>
      <c r="BU214" s="30" t="str">
        <f ca="1">IFERROR(__xludf.DUMMYFUNCTION("""COMPUTED_VALUE"""),"No")</f>
        <v>No</v>
      </c>
      <c r="BV214" s="30" t="str">
        <f ca="1">IFERROR(__xludf.DUMMYFUNCTION("""COMPUTED_VALUE"""),"No")</f>
        <v>No</v>
      </c>
      <c r="BW214" s="30">
        <f ca="1">IFERROR(__xludf.DUMMYFUNCTION("""COMPUTED_VALUE"""),83)</f>
        <v>83</v>
      </c>
      <c r="BX214" s="30"/>
      <c r="BY214" s="30">
        <f ca="1">IFERROR(__xludf.DUMMYFUNCTION("""COMPUTED_VALUE"""),83)</f>
        <v>83</v>
      </c>
      <c r="BZ214" s="30" t="str">
        <f ca="1">IFERROR(__xludf.DUMMYFUNCTION("""COMPUTED_VALUE"""),"La Martinica")</f>
        <v>La Martinica</v>
      </c>
      <c r="CA214" s="30" t="str">
        <f ca="1">IFERROR(__xludf.DUMMYFUNCTION("""COMPUTED_VALUE"""),"No")</f>
        <v>No</v>
      </c>
      <c r="CB214" s="30" t="str">
        <f ca="1">IFERROR(__xludf.DUMMYFUNCTION("""COMPUTED_VALUE"""),"No")</f>
        <v>No</v>
      </c>
      <c r="CC214" s="30" t="str">
        <f ca="1">IFERROR(__xludf.DUMMYFUNCTION("""COMPUTED_VALUE"""),"31733048")</f>
        <v>31733048</v>
      </c>
      <c r="CD214" s="29" t="str">
        <f ca="1">IFERROR(__xludf.DUMMYFUNCTION("""COMPUTED_VALUE"""),"Niñas y Niños (6 a 12 años)")</f>
        <v>Niñas y Niños (6 a 12 años)</v>
      </c>
      <c r="CE214" s="30" t="str">
        <f ca="1">IFERROR(__xludf.DUMMYFUNCTION("""COMPUTED_VALUE"""),"Dato global")</f>
        <v>Dato global</v>
      </c>
      <c r="CF214" s="30" t="str">
        <f ca="1">IFERROR(__xludf.DUMMYFUNCTION("""COMPUTED_VALUE"""),"Jóvenes en riesgo")</f>
        <v>Jóvenes en riesgo</v>
      </c>
      <c r="CG214" s="30">
        <f ca="1">IFERROR(__xludf.DUMMYFUNCTION("""COMPUTED_VALUE"""),37)</f>
        <v>37</v>
      </c>
      <c r="CI214" s="30" t="str">
        <f ca="1">IFERROR(__xludf.DUMMYFUNCTION("""COMPUTED_VALUE"""),"78c33f63")</f>
        <v>78c33f63</v>
      </c>
      <c r="CJ214" s="29" t="str">
        <f ca="1">IFERROR(__xludf.DUMMYFUNCTION("""COMPUTED_VALUE"""),"Regitro_Evidencia_Images/78c33f63.Archivo_Evidencia.215202.jpg")</f>
        <v>Regitro_Evidencia_Images/78c33f63.Archivo_Evidencia.215202.jpg</v>
      </c>
      <c r="CK214" s="30" t="str">
        <f ca="1">IFERROR(__xludf.DUMMYFUNCTION("""COMPUTED_VALUE"""),"Foto")</f>
        <v>Foto</v>
      </c>
      <c r="CL214" s="30"/>
      <c r="CM214" s="30" t="str">
        <f ca="1">IFERROR(__xludf.DUMMYFUNCTION("""COMPUTED_VALUE"""),"León")</f>
        <v>León</v>
      </c>
      <c r="CN214" s="32" t="e">
        <f ca="1"/>
        <v>#NAME?</v>
      </c>
      <c r="CO214" s="32" t="e">
        <f ca="1"/>
        <v>#NAME?</v>
      </c>
      <c r="CP214" s="32" t="e">
        <f ca="1"/>
        <v>#NAME?</v>
      </c>
      <c r="CQ214" s="32" t="e">
        <f ca="1"/>
        <v>#NAME?</v>
      </c>
      <c r="CR214" s="30" t="e">
        <f ca="1"/>
        <v>#NAME?</v>
      </c>
      <c r="CS214" s="30" t="str">
        <f ca="1">IFERROR(__xludf.DUMMYFUNCTION("""COMPUTED_VALUE"""),"Ninguno (Población General), Ninguno (Población General)")</f>
        <v>Ninguno (Población General), Ninguno (Población General)</v>
      </c>
    </row>
    <row r="215" spans="1:97" ht="13">
      <c r="A215" s="29" t="str">
        <f ca="1">IFERROR(__xludf.DUMMYFUNCTION("""COMPUTED_VALUE"""),"ACT-SCNX70930")</f>
        <v>ACT-SCNX70930</v>
      </c>
      <c r="B215" s="30" t="str">
        <f ca="1">IFERROR(__xludf.DUMMYFUNCTION("""COMPUTED_VALUE"""),"SC-260706-115213")</f>
        <v>SC-260706-115213</v>
      </c>
      <c r="C215" s="62">
        <f ca="1">IFERROR(__xludf.DUMMYFUNCTION("""COMPUTED_VALUE"""),46209.4945949074)</f>
        <v>46209.494594907403</v>
      </c>
      <c r="D215" s="30">
        <f ca="1">IFERROR(__xludf.DUMMYFUNCTION("""COMPUTED_VALUE"""),92)</f>
        <v>92</v>
      </c>
      <c r="E215" s="30" t="str">
        <f ca="1">IFERROR(__xludf.DUMMYFUNCTION("""COMPUTED_VALUE"""),"PB3572")</f>
        <v>PB3572</v>
      </c>
      <c r="F21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5" s="30" t="str">
        <f ca="1">IFERROR(__xludf.DUMMYFUNCTION("""COMPUTED_VALUE"""),"SUBSECRETARÍA DE DESARROLLO Y PROMOCIÓN ARTÍSTICA Y CULTURAL")</f>
        <v>SUBSECRETARÍA DE DESARROLLO Y PROMOCIÓN ARTÍSTICA Y CULTURAL</v>
      </c>
      <c r="I215" s="34" t="str">
        <f ca="1">IFERROR(__xludf.DUMMYFUNCTION("""COMPUTED_VALUE"""),"DIRECCIÓN GENERAL DE MUSEOS, ARTES VISUALES Y EXPOSICIONES")</f>
        <v>DIRECCIÓN GENERAL DE MUSEOS, ARTES VISUALES Y EXPOSICIONES</v>
      </c>
      <c r="J215" s="30" t="str">
        <f ca="1">IFERROR(__xludf.DUMMYFUNCTION("""COMPUTED_VALUE"""),"Número de Actividades realizadas")</f>
        <v>Número de Actividades realizadas</v>
      </c>
      <c r="K215" s="30">
        <f ca="1">IFERROR(__xludf.DUMMYFUNCTION("""COMPUTED_VALUE"""),800)</f>
        <v>800</v>
      </c>
      <c r="L215" s="30" t="str">
        <f ca="1">IFERROR(__xludf.DUMMYFUNCTION("""COMPUTED_VALUE"""),"Cultural")</f>
        <v>Cultural</v>
      </c>
      <c r="M215" s="30" t="str">
        <f ca="1">IFERROR(__xludf.DUMMYFUNCTION("""COMPUTED_VALUE"""),"Visita escolar "" Escuela TÉCNICA #46""")</f>
        <v>Visita escolar " Escuela TÉCNICA #46"</v>
      </c>
      <c r="N215" s="30" t="str">
        <f ca="1">IFERROR(__xludf.DUMMYFUNCTION("""COMPUTED_VALUE"""),"Visita Mediada")</f>
        <v>Visita Mediada</v>
      </c>
      <c r="O215" s="30" t="str">
        <f ca="1">IFERROR(__xludf.DUMMYFUNCTION("""COMPUTED_VALUE"""),"Única")</f>
        <v>Única</v>
      </c>
      <c r="P215" s="33">
        <f ca="1">IFERROR(__xludf.DUMMYFUNCTION("""COMPUTED_VALUE"""),46177)</f>
        <v>46177</v>
      </c>
      <c r="Q215" s="33">
        <f ca="1">IFERROR(__xludf.DUMMYFUNCTION("""COMPUTED_VALUE"""),46177)</f>
        <v>46177</v>
      </c>
      <c r="R215" s="30">
        <f ca="1">IFERROR(__xludf.DUMMYFUNCTION("""COMPUTED_VALUE"""),1)</f>
        <v>1</v>
      </c>
      <c r="S215" s="30" t="str">
        <f ca="1">IFERROR(__xludf.DUMMYFUNCTION("""COMPUTED_VALUE"""),"Cultura comunitaria")</f>
        <v>Cultura comunitaria</v>
      </c>
      <c r="T215" s="30" t="str">
        <f ca="1">IFERROR(__xludf.DUMMYFUNCTION("""COMPUTED_VALUE"""),"Mediación cultural")</f>
        <v>Mediación cultural</v>
      </c>
      <c r="U215" s="30" t="str">
        <f ca="1">IFERROR(__xludf.DUMMYFUNCTION("""COMPUTED_VALUE"""),"Visitas escolares")</f>
        <v>Visitas escolares</v>
      </c>
      <c r="V215" s="30" t="str">
        <f ca="1">IFERROR(__xludf.DUMMYFUNCTION("""COMPUTED_VALUE"""),"Ninguna")</f>
        <v>Ninguna</v>
      </c>
      <c r="W215" s="30" t="str">
        <f ca="1">IFERROR(__xludf.DUMMYFUNCTION("""COMPUTED_VALUE"""),"Presencial")</f>
        <v>Presencial</v>
      </c>
      <c r="X215" s="30" t="str">
        <f ca="1">IFERROR(__xludf.DUMMYFUNCTION("""COMPUTED_VALUE"""),"Espacio a Cargo de la Secretaría")</f>
        <v>Espacio a Cargo de la Secretaría</v>
      </c>
      <c r="Y215" s="30" t="str">
        <f ca="1">IFERROR(__xludf.DUMMYFUNCTION("""COMPUTED_VALUE"""),"8")</f>
        <v>8</v>
      </c>
      <c r="Z215" s="30"/>
      <c r="AA215" s="30"/>
      <c r="AB215" s="30" t="b">
        <f ca="1">IFERROR(__xludf.DUMMYFUNCTION("""COMPUTED_VALUE"""),FALSE)</f>
        <v>0</v>
      </c>
      <c r="AC215" s="30"/>
      <c r="AD215" s="30" t="b">
        <f ca="1">IFERROR(__xludf.DUMMYFUNCTION("""COMPUTED_VALUE"""),FALSE)</f>
        <v>0</v>
      </c>
      <c r="AE215" s="30"/>
      <c r="AF215" s="30" t="b">
        <f ca="1">IFERROR(__xludf.DUMMYFUNCTION("""COMPUTED_VALUE"""),FALSE)</f>
        <v>0</v>
      </c>
      <c r="AG215" s="30"/>
      <c r="AH215" s="30" t="str">
        <f ca="1">IFERROR(__xludf.DUMMYFUNCTION("""COMPUTED_VALUE"""),"Sin costo")</f>
        <v>Sin costo</v>
      </c>
      <c r="AI215" s="30"/>
      <c r="AJ215" s="30"/>
      <c r="AK215" s="30"/>
      <c r="AL215" s="30" t="str">
        <f ca="1">IFERROR(__xludf.DUMMYFUNCTION("""COMPUTED_VALUE"""),"ccardonav@guanajuato.gob.mx")</f>
        <v>ccardonav@guanajuato.gob.mx</v>
      </c>
      <c r="AM215" s="30" t="str">
        <f ca="1">IFERROR(__xludf.DUMMYFUNCTION("""COMPUTED_VALUE"""),"Arraigo y empoderamiento cultural de comunidades.")</f>
        <v>Arraigo y empoderamiento cultural de comunidades.</v>
      </c>
      <c r="AN215" s="30" t="str">
        <f ca="1">IFERROR(__xludf.DUMMYFUNCTION("""COMPUTED_VALUE"""),"2 Igualdad")</f>
        <v>2 Igualdad</v>
      </c>
      <c r="AO215" s="30" t="str">
        <f ca="1">IFERROR(__xludf.DUMMYFUNCTION("""COMPUTED_VALUE"""),"2.4 Reducir brechas de desigualdad")</f>
        <v>2.4 Reducir brechas de desigualdad</v>
      </c>
      <c r="AP215" s="30" t="str">
        <f ca="1">IFERROR(__xludf.DUMMYFUNCTION("""COMPUTED_VALUE"""),"2.4.3 Descentralización de la oferta cultural")</f>
        <v>2.4.3 Descentralización de la oferta cultural</v>
      </c>
      <c r="AQ215" s="30" t="str">
        <f ca="1">IFERROR(__xludf.DUMMYFUNCTION("""COMPUTED_VALUE"""),"2.4.3.1 Impulsar el desarrollo artístico y cultural entre infancias y juventudes")</f>
        <v>2.4.3.1 Impulsar el desarrollo artístico y cultural entre infancias y juventudes</v>
      </c>
      <c r="AR215" s="30" t="str">
        <f ca="1">IFERROR(__xludf.DUMMYFUNCTION("""COMPUTED_VALUE"""),"Ninguno")</f>
        <v>Ninguno</v>
      </c>
      <c r="AS215" s="30"/>
      <c r="AT215" s="30" t="str">
        <f ca="1">IFERROR(__xludf.DUMMYFUNCTION("""COMPUTED_VALUE"""),"Fortalecimiento de la participación ciudadana y la mediación cultural")</f>
        <v>Fortalecimiento de la participación ciudadana y la mediación cultural</v>
      </c>
      <c r="AU215" s="30" t="str">
        <f ca="1">IFERROR(__xludf.DUMMYFUNCTION("""COMPUTED_VALUE"""),"Fortalecimiento del diálogo, la mediación y las capacidades de las redes comunitarias.")</f>
        <v>Fortalecimiento del diálogo, la mediación y las capacidades de las redes comunitarias.</v>
      </c>
      <c r="AV21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5" s="30" t="str">
        <f ca="1">IFERROR(__xludf.DUMMYFUNCTION("""COMPUTED_VALUE"""),"Incrementar en 25% la oferta cultural realizada en los municipios.")</f>
        <v>Incrementar en 25% la oferta cultural realizada en los municipios.</v>
      </c>
      <c r="AX215" s="30" t="str">
        <f ca="1">IFERROR(__xludf.DUMMYFUNCTION("""COMPUTED_VALUE"""),"Visitas escolares")</f>
        <v>Visitas escolares</v>
      </c>
      <c r="AY215" s="30" t="str">
        <f ca="1">IFERROR(__xludf.DUMMYFUNCTION("""COMPUTED_VALUE"""),"Mediación")</f>
        <v>Mediación</v>
      </c>
      <c r="AZ215" s="30"/>
      <c r="BA215" s="30"/>
      <c r="BB215" s="30"/>
      <c r="BC215" s="30">
        <f ca="1">IFERROR(__xludf.DUMMYFUNCTION("""COMPUTED_VALUE"""),0)</f>
        <v>0</v>
      </c>
      <c r="BD215" s="30"/>
      <c r="BE215" s="30"/>
      <c r="BF215" s="30" t="b">
        <f ca="1">IFERROR(__xludf.DUMMYFUNCTION("""COMPUTED_VALUE"""),FALSE)</f>
        <v>0</v>
      </c>
      <c r="BG215" s="30"/>
      <c r="BH215" s="30"/>
      <c r="BI215" s="30"/>
      <c r="BJ215" s="30"/>
      <c r="BK215" s="30"/>
      <c r="BL215" s="30"/>
      <c r="BM215" s="30" t="str">
        <f ca="1">IFERROR(__xludf.DUMMYFUNCTION("""COMPUTED_VALUE"""),"No")</f>
        <v>No</v>
      </c>
      <c r="BN215" s="30"/>
      <c r="BO215" s="30" t="str">
        <f ca="1">IFERROR(__xludf.DUMMYFUNCTION("""COMPUTED_VALUE"""),"c98e0fa8")</f>
        <v>c98e0fa8</v>
      </c>
      <c r="BP215" s="29" t="str">
        <f ca="1">IFERROR(__xludf.DUMMYFUNCTION("""COMPUTED_VALUE"""),"León")</f>
        <v>León</v>
      </c>
      <c r="BQ215" s="30" t="str">
        <f ca="1">IFERROR(__xludf.DUMMYFUNCTION("""COMPUTED_VALUE"""),"Urbano")</f>
        <v>Urbano</v>
      </c>
      <c r="BR215" s="30"/>
      <c r="BS215" s="30"/>
      <c r="BT215" s="30" t="str">
        <f ca="1">IFERROR(__xludf.DUMMYFUNCTION("""COMPUTED_VALUE"""),"La Martinica")</f>
        <v>La Martinica</v>
      </c>
      <c r="BU215" s="30" t="str">
        <f ca="1">IFERROR(__xludf.DUMMYFUNCTION("""COMPUTED_VALUE"""),"No")</f>
        <v>No</v>
      </c>
      <c r="BV215" s="30" t="str">
        <f ca="1">IFERROR(__xludf.DUMMYFUNCTION("""COMPUTED_VALUE"""),"No")</f>
        <v>No</v>
      </c>
      <c r="BW215" s="30">
        <f ca="1">IFERROR(__xludf.DUMMYFUNCTION("""COMPUTED_VALUE"""),92)</f>
        <v>92</v>
      </c>
      <c r="BX215" s="30"/>
      <c r="BY215" s="30">
        <f ca="1">IFERROR(__xludf.DUMMYFUNCTION("""COMPUTED_VALUE"""),92)</f>
        <v>92</v>
      </c>
      <c r="BZ215" s="30" t="str">
        <f ca="1">IFERROR(__xludf.DUMMYFUNCTION("""COMPUTED_VALUE"""),"La Martinica")</f>
        <v>La Martinica</v>
      </c>
      <c r="CA215" s="30" t="str">
        <f ca="1">IFERROR(__xludf.DUMMYFUNCTION("""COMPUTED_VALUE"""),"No")</f>
        <v>No</v>
      </c>
      <c r="CB215" s="30" t="str">
        <f ca="1">IFERROR(__xludf.DUMMYFUNCTION("""COMPUTED_VALUE"""),"No")</f>
        <v>No</v>
      </c>
      <c r="CC215" s="30" t="str">
        <f ca="1">IFERROR(__xludf.DUMMYFUNCTION("""COMPUTED_VALUE"""),"de746233")</f>
        <v>de746233</v>
      </c>
      <c r="CD215" s="29" t="str">
        <f ca="1">IFERROR(__xludf.DUMMYFUNCTION("""COMPUTED_VALUE"""),"Niñas y Niños (6 a 12 años)")</f>
        <v>Niñas y Niños (6 a 12 años)</v>
      </c>
      <c r="CE215" s="30" t="str">
        <f ca="1">IFERROR(__xludf.DUMMYFUNCTION("""COMPUTED_VALUE"""),"Dato global")</f>
        <v>Dato global</v>
      </c>
      <c r="CF215" s="30" t="str">
        <f ca="1">IFERROR(__xludf.DUMMYFUNCTION("""COMPUTED_VALUE"""),"Jóvenes en riesgo")</f>
        <v>Jóvenes en riesgo</v>
      </c>
      <c r="CG215" s="30">
        <f ca="1">IFERROR(__xludf.DUMMYFUNCTION("""COMPUTED_VALUE"""),80)</f>
        <v>80</v>
      </c>
      <c r="CI215" s="30" t="str">
        <f ca="1">IFERROR(__xludf.DUMMYFUNCTION("""COMPUTED_VALUE"""),"8264bcc8")</f>
        <v>8264bcc8</v>
      </c>
      <c r="CJ215" s="29" t="str">
        <f ca="1">IFERROR(__xludf.DUMMYFUNCTION("""COMPUTED_VALUE"""),"Regitro_Evidencia_Images/8264bcc8.Archivo_Evidencia.225857.jpg")</f>
        <v>Regitro_Evidencia_Images/8264bcc8.Archivo_Evidencia.225857.jpg</v>
      </c>
      <c r="CK215" s="30" t="str">
        <f ca="1">IFERROR(__xludf.DUMMYFUNCTION("""COMPUTED_VALUE"""),"Foto")</f>
        <v>Foto</v>
      </c>
      <c r="CL215" s="30" t="str">
        <f ca="1">IFERROR(__xludf.DUMMYFUNCTION("""COMPUTED_VALUE"""),"Fotografía de semblanza de la exposición")</f>
        <v>Fotografía de semblanza de la exposición</v>
      </c>
      <c r="CM215" s="30" t="str">
        <f ca="1">IFERROR(__xludf.DUMMYFUNCTION("""COMPUTED_VALUE"""),"León")</f>
        <v>León</v>
      </c>
      <c r="CN215" s="32" t="e">
        <f ca="1"/>
        <v>#NAME?</v>
      </c>
      <c r="CO215" s="32" t="e">
        <f ca="1"/>
        <v>#NAME?</v>
      </c>
      <c r="CP215" s="32" t="e">
        <f ca="1"/>
        <v>#NAME?</v>
      </c>
      <c r="CQ215" s="32" t="e">
        <f ca="1"/>
        <v>#NAME?</v>
      </c>
      <c r="CR215" s="30" t="e">
        <f ca="1"/>
        <v>#NAME?</v>
      </c>
      <c r="CS215" s="30" t="str">
        <f ca="1">IFERROR(__xludf.DUMMYFUNCTION("""COMPUTED_VALUE"""),"Ninguno (Población General), Ninguno (Población General)")</f>
        <v>Ninguno (Población General), Ninguno (Población General)</v>
      </c>
    </row>
    <row r="216" spans="1:97" ht="13">
      <c r="A216" s="29" t="str">
        <f ca="1">IFERROR(__xludf.DUMMYFUNCTION("""COMPUTED_VALUE"""),"ACT-SCXF06033")</f>
        <v>ACT-SCXF06033</v>
      </c>
      <c r="B216" s="30" t="str">
        <f ca="1">IFERROR(__xludf.DUMMYFUNCTION("""COMPUTED_VALUE"""),"SC-260706-115725")</f>
        <v>SC-260706-115725</v>
      </c>
      <c r="C216" s="62">
        <f ca="1">IFERROR(__xludf.DUMMYFUNCTION("""COMPUTED_VALUE"""),46209.4982060185)</f>
        <v>46209.498206018499</v>
      </c>
      <c r="D216" s="30">
        <f ca="1">IFERROR(__xludf.DUMMYFUNCTION("""COMPUTED_VALUE"""),92)</f>
        <v>92</v>
      </c>
      <c r="E216" s="30" t="str">
        <f ca="1">IFERROR(__xludf.DUMMYFUNCTION("""COMPUTED_VALUE"""),"PB3572")</f>
        <v>PB3572</v>
      </c>
      <c r="F21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6" s="30" t="str">
        <f ca="1">IFERROR(__xludf.DUMMYFUNCTION("""COMPUTED_VALUE"""),"SUBSECRETARÍA DE DESARROLLO Y PROMOCIÓN ARTÍSTICA Y CULTURAL")</f>
        <v>SUBSECRETARÍA DE DESARROLLO Y PROMOCIÓN ARTÍSTICA Y CULTURAL</v>
      </c>
      <c r="I216" s="34" t="str">
        <f ca="1">IFERROR(__xludf.DUMMYFUNCTION("""COMPUTED_VALUE"""),"DIRECCIÓN GENERAL DE MUSEOS, ARTES VISUALES Y EXPOSICIONES")</f>
        <v>DIRECCIÓN GENERAL DE MUSEOS, ARTES VISUALES Y EXPOSICIONES</v>
      </c>
      <c r="J216" s="30" t="str">
        <f ca="1">IFERROR(__xludf.DUMMYFUNCTION("""COMPUTED_VALUE"""),"Número de Actividades realizadas")</f>
        <v>Número de Actividades realizadas</v>
      </c>
      <c r="K216" s="30">
        <f ca="1">IFERROR(__xludf.DUMMYFUNCTION("""COMPUTED_VALUE"""),800)</f>
        <v>800</v>
      </c>
      <c r="L216" s="30" t="str">
        <f ca="1">IFERROR(__xludf.DUMMYFUNCTION("""COMPUTED_VALUE"""),"Cultural")</f>
        <v>Cultural</v>
      </c>
      <c r="M216" s="30" t="str">
        <f ca="1">IFERROR(__xludf.DUMMYFUNCTION("""COMPUTED_VALUE"""),"Visita Escolar ""SABES GRAL. CÁNDIDO NAVARRO""")</f>
        <v>Visita Escolar "SABES GRAL. CÁNDIDO NAVARRO"</v>
      </c>
      <c r="N216" s="30" t="str">
        <f ca="1">IFERROR(__xludf.DUMMYFUNCTION("""COMPUTED_VALUE"""),"Visita mediada")</f>
        <v>Visita mediada</v>
      </c>
      <c r="O216" s="30" t="str">
        <f ca="1">IFERROR(__xludf.DUMMYFUNCTION("""COMPUTED_VALUE"""),"Única")</f>
        <v>Única</v>
      </c>
      <c r="P216" s="33">
        <f ca="1">IFERROR(__xludf.DUMMYFUNCTION("""COMPUTED_VALUE"""),46178)</f>
        <v>46178</v>
      </c>
      <c r="Q216" s="33">
        <f ca="1">IFERROR(__xludf.DUMMYFUNCTION("""COMPUTED_VALUE"""),46178)</f>
        <v>46178</v>
      </c>
      <c r="R216" s="30">
        <f ca="1">IFERROR(__xludf.DUMMYFUNCTION("""COMPUTED_VALUE"""),1)</f>
        <v>1</v>
      </c>
      <c r="S216" s="30" t="str">
        <f ca="1">IFERROR(__xludf.DUMMYFUNCTION("""COMPUTED_VALUE"""),"Cultura comunitaria")</f>
        <v>Cultura comunitaria</v>
      </c>
      <c r="T216" s="30" t="str">
        <f ca="1">IFERROR(__xludf.DUMMYFUNCTION("""COMPUTED_VALUE"""),"Mediación cultural")</f>
        <v>Mediación cultural</v>
      </c>
      <c r="U216" s="30" t="str">
        <f ca="1">IFERROR(__xludf.DUMMYFUNCTION("""COMPUTED_VALUE"""),"Visitas escolares")</f>
        <v>Visitas escolares</v>
      </c>
      <c r="V216" s="30" t="str">
        <f ca="1">IFERROR(__xludf.DUMMYFUNCTION("""COMPUTED_VALUE"""),"Ninguna")</f>
        <v>Ninguna</v>
      </c>
      <c r="W216" s="30" t="str">
        <f ca="1">IFERROR(__xludf.DUMMYFUNCTION("""COMPUTED_VALUE"""),"Presencial")</f>
        <v>Presencial</v>
      </c>
      <c r="X216" s="30" t="str">
        <f ca="1">IFERROR(__xludf.DUMMYFUNCTION("""COMPUTED_VALUE"""),"Espacio a Cargo de la Secretaría")</f>
        <v>Espacio a Cargo de la Secretaría</v>
      </c>
      <c r="Y216" s="30" t="str">
        <f ca="1">IFERROR(__xludf.DUMMYFUNCTION("""COMPUTED_VALUE"""),"8")</f>
        <v>8</v>
      </c>
      <c r="Z216" s="30"/>
      <c r="AA216" s="30"/>
      <c r="AB216" s="30" t="b">
        <f ca="1">IFERROR(__xludf.DUMMYFUNCTION("""COMPUTED_VALUE"""),FALSE)</f>
        <v>0</v>
      </c>
      <c r="AC216" s="30"/>
      <c r="AD216" s="30" t="b">
        <f ca="1">IFERROR(__xludf.DUMMYFUNCTION("""COMPUTED_VALUE"""),FALSE)</f>
        <v>0</v>
      </c>
      <c r="AE216" s="30"/>
      <c r="AF216" s="30" t="b">
        <f ca="1">IFERROR(__xludf.DUMMYFUNCTION("""COMPUTED_VALUE"""),FALSE)</f>
        <v>0</v>
      </c>
      <c r="AG216" s="30"/>
      <c r="AH216" s="30" t="str">
        <f ca="1">IFERROR(__xludf.DUMMYFUNCTION("""COMPUTED_VALUE"""),"Sin costo")</f>
        <v>Sin costo</v>
      </c>
      <c r="AI216" s="30"/>
      <c r="AJ216" s="30"/>
      <c r="AK216" s="30"/>
      <c r="AL216" s="30" t="str">
        <f ca="1">IFERROR(__xludf.DUMMYFUNCTION("""COMPUTED_VALUE"""),"ccardonav@guanajuato.gob.mx")</f>
        <v>ccardonav@guanajuato.gob.mx</v>
      </c>
      <c r="AM216" s="30" t="str">
        <f ca="1">IFERROR(__xludf.DUMMYFUNCTION("""COMPUTED_VALUE"""),"Arraigo y empoderamiento cultural de comunidades.")</f>
        <v>Arraigo y empoderamiento cultural de comunidades.</v>
      </c>
      <c r="AN216" s="30" t="str">
        <f ca="1">IFERROR(__xludf.DUMMYFUNCTION("""COMPUTED_VALUE"""),"2 Igualdad")</f>
        <v>2 Igualdad</v>
      </c>
      <c r="AO216" s="30" t="str">
        <f ca="1">IFERROR(__xludf.DUMMYFUNCTION("""COMPUTED_VALUE"""),"2.4 Reducir brechas de desigualdad")</f>
        <v>2.4 Reducir brechas de desigualdad</v>
      </c>
      <c r="AP216" s="30" t="str">
        <f ca="1">IFERROR(__xludf.DUMMYFUNCTION("""COMPUTED_VALUE"""),"2.4.3 Descentralización de la oferta cultural")</f>
        <v>2.4.3 Descentralización de la oferta cultural</v>
      </c>
      <c r="AQ216" s="30" t="str">
        <f ca="1">IFERROR(__xludf.DUMMYFUNCTION("""COMPUTED_VALUE"""),"2.4.3.1 Impulsar el desarrollo artístico y cultural entre infancias y juventudes")</f>
        <v>2.4.3.1 Impulsar el desarrollo artístico y cultural entre infancias y juventudes</v>
      </c>
      <c r="AR216" s="30" t="str">
        <f ca="1">IFERROR(__xludf.DUMMYFUNCTION("""COMPUTED_VALUE"""),"Ninguno")</f>
        <v>Ninguno</v>
      </c>
      <c r="AS216" s="30"/>
      <c r="AT216" s="30" t="str">
        <f ca="1">IFERROR(__xludf.DUMMYFUNCTION("""COMPUTED_VALUE"""),"Fortalecimiento de la participación ciudadana y la mediación cultural")</f>
        <v>Fortalecimiento de la participación ciudadana y la mediación cultural</v>
      </c>
      <c r="AU216" s="30" t="str">
        <f ca="1">IFERROR(__xludf.DUMMYFUNCTION("""COMPUTED_VALUE"""),"Fortalecimiento del diálogo, la mediación y las capacidades de las redes comunitarias.")</f>
        <v>Fortalecimiento del diálogo, la mediación y las capacidades de las redes comunitarias.</v>
      </c>
      <c r="AV21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6" s="30" t="str">
        <f ca="1">IFERROR(__xludf.DUMMYFUNCTION("""COMPUTED_VALUE"""),"Incrementar en 25% la oferta cultural realizada en los municipios.")</f>
        <v>Incrementar en 25% la oferta cultural realizada en los municipios.</v>
      </c>
      <c r="AX216" s="30" t="str">
        <f ca="1">IFERROR(__xludf.DUMMYFUNCTION("""COMPUTED_VALUE"""),"Visitas escolares")</f>
        <v>Visitas escolares</v>
      </c>
      <c r="AY216" s="30" t="str">
        <f ca="1">IFERROR(__xludf.DUMMYFUNCTION("""COMPUTED_VALUE"""),"Mediación")</f>
        <v>Mediación</v>
      </c>
      <c r="AZ216" s="30"/>
      <c r="BA216" s="30"/>
      <c r="BB216" s="30"/>
      <c r="BC216" s="30">
        <f ca="1">IFERROR(__xludf.DUMMYFUNCTION("""COMPUTED_VALUE"""),0)</f>
        <v>0</v>
      </c>
      <c r="BD216" s="30"/>
      <c r="BE216" s="30"/>
      <c r="BF216" s="30" t="b">
        <f ca="1">IFERROR(__xludf.DUMMYFUNCTION("""COMPUTED_VALUE"""),FALSE)</f>
        <v>0</v>
      </c>
      <c r="BG216" s="30"/>
      <c r="BH216" s="30"/>
      <c r="BI216" s="30"/>
      <c r="BJ216" s="30"/>
      <c r="BK216" s="30"/>
      <c r="BL216" s="30"/>
      <c r="BM216" s="30" t="str">
        <f ca="1">IFERROR(__xludf.DUMMYFUNCTION("""COMPUTED_VALUE"""),"No")</f>
        <v>No</v>
      </c>
      <c r="BN216" s="30"/>
      <c r="BO216" s="30" t="str">
        <f ca="1">IFERROR(__xludf.DUMMYFUNCTION("""COMPUTED_VALUE"""),"459aac2c")</f>
        <v>459aac2c</v>
      </c>
      <c r="BP216" s="29" t="str">
        <f ca="1">IFERROR(__xludf.DUMMYFUNCTION("""COMPUTED_VALUE"""),"León")</f>
        <v>León</v>
      </c>
      <c r="BQ216" s="30" t="str">
        <f ca="1">IFERROR(__xludf.DUMMYFUNCTION("""COMPUTED_VALUE"""),"Urbano")</f>
        <v>Urbano</v>
      </c>
      <c r="BR216" s="30"/>
      <c r="BS216" s="30"/>
      <c r="BT216" s="30" t="str">
        <f ca="1">IFERROR(__xludf.DUMMYFUNCTION("""COMPUTED_VALUE"""),"La Martinica")</f>
        <v>La Martinica</v>
      </c>
      <c r="BU216" s="30" t="str">
        <f ca="1">IFERROR(__xludf.DUMMYFUNCTION("""COMPUTED_VALUE"""),"No")</f>
        <v>No</v>
      </c>
      <c r="BV216" s="30" t="str">
        <f ca="1">IFERROR(__xludf.DUMMYFUNCTION("""COMPUTED_VALUE"""),"No")</f>
        <v>No</v>
      </c>
      <c r="BW216" s="30">
        <f ca="1">IFERROR(__xludf.DUMMYFUNCTION("""COMPUTED_VALUE"""),83)</f>
        <v>83</v>
      </c>
      <c r="BX216" s="30"/>
      <c r="BY216" s="30">
        <f ca="1">IFERROR(__xludf.DUMMYFUNCTION("""COMPUTED_VALUE"""),83)</f>
        <v>83</v>
      </c>
      <c r="BZ216" s="30" t="str">
        <f ca="1">IFERROR(__xludf.DUMMYFUNCTION("""COMPUTED_VALUE"""),"La Martinica")</f>
        <v>La Martinica</v>
      </c>
      <c r="CA216" s="30" t="str">
        <f ca="1">IFERROR(__xludf.DUMMYFUNCTION("""COMPUTED_VALUE"""),"No")</f>
        <v>No</v>
      </c>
      <c r="CB216" s="30" t="str">
        <f ca="1">IFERROR(__xludf.DUMMYFUNCTION("""COMPUTED_VALUE"""),"No")</f>
        <v>No</v>
      </c>
      <c r="CC216" s="30" t="str">
        <f ca="1">IFERROR(__xludf.DUMMYFUNCTION("""COMPUTED_VALUE"""),"2184d714")</f>
        <v>2184d714</v>
      </c>
      <c r="CD216" s="29" t="str">
        <f ca="1">IFERROR(__xludf.DUMMYFUNCTION("""COMPUTED_VALUE"""),"Niñas y Niños (6 a 12 años)")</f>
        <v>Niñas y Niños (6 a 12 años)</v>
      </c>
      <c r="CE216" s="30" t="str">
        <f ca="1">IFERROR(__xludf.DUMMYFUNCTION("""COMPUTED_VALUE"""),"Dato global")</f>
        <v>Dato global</v>
      </c>
      <c r="CF216" s="30" t="str">
        <f ca="1">IFERROR(__xludf.DUMMYFUNCTION("""COMPUTED_VALUE"""),"Jóvenes en riesgo")</f>
        <v>Jóvenes en riesgo</v>
      </c>
      <c r="CG216" s="30">
        <f ca="1">IFERROR(__xludf.DUMMYFUNCTION("""COMPUTED_VALUE"""),25)</f>
        <v>25</v>
      </c>
      <c r="CI216" s="30" t="str">
        <f ca="1">IFERROR(__xludf.DUMMYFUNCTION("""COMPUTED_VALUE"""),"9f65ec20")</f>
        <v>9f65ec20</v>
      </c>
      <c r="CJ216" s="29" t="str">
        <f ca="1">IFERROR(__xludf.DUMMYFUNCTION("""COMPUTED_VALUE"""),"Regitro_Evidencia_Images/9f65ec20.Archivo_Evidencia.190354.jpg")</f>
        <v>Regitro_Evidencia_Images/9f65ec20.Archivo_Evidencia.190354.jpg</v>
      </c>
      <c r="CK216" s="30" t="str">
        <f ca="1">IFERROR(__xludf.DUMMYFUNCTION("""COMPUTED_VALUE"""),"Foto")</f>
        <v>Foto</v>
      </c>
      <c r="CL216" s="30" t="str">
        <f ca="1">IFERROR(__xludf.DUMMYFUNCTION("""COMPUTED_VALUE"""),"Esta fotografía documenta una sesión práctica de trabajo dentro del taller, destacando la aplicación directa de los contenidos aprendidos.")</f>
        <v>Esta fotografía documenta una sesión práctica de trabajo dentro del taller, destacando la aplicación directa de los contenidos aprendidos.</v>
      </c>
      <c r="CM216" s="30" t="str">
        <f ca="1">IFERROR(__xludf.DUMMYFUNCTION("""COMPUTED_VALUE"""),"León")</f>
        <v>León</v>
      </c>
      <c r="CN216" s="32" t="e">
        <f ca="1"/>
        <v>#NAME?</v>
      </c>
      <c r="CO216" s="32" t="e">
        <f ca="1"/>
        <v>#NAME?</v>
      </c>
      <c r="CP216" s="32" t="e">
        <f ca="1"/>
        <v>#NAME?</v>
      </c>
      <c r="CQ216" s="32" t="e">
        <f ca="1"/>
        <v>#NAME?</v>
      </c>
      <c r="CR216" s="30" t="e">
        <f ca="1"/>
        <v>#NAME?</v>
      </c>
      <c r="CS216" s="30" t="str">
        <f ca="1">IFERROR(__xludf.DUMMYFUNCTION("""COMPUTED_VALUE"""),"Ninguno (Población General), Ninguno (Población General)")</f>
        <v>Ninguno (Población General), Ninguno (Población General)</v>
      </c>
    </row>
    <row r="217" spans="1:97" ht="13">
      <c r="A217" s="29" t="str">
        <f ca="1">IFERROR(__xludf.DUMMYFUNCTION("""COMPUTED_VALUE"""),"ACT-SCYE97931")</f>
        <v>ACT-SCYE97931</v>
      </c>
      <c r="B217" s="30" t="str">
        <f ca="1">IFERROR(__xludf.DUMMYFUNCTION("""COMPUTED_VALUE"""),"SC-260706-120928")</f>
        <v>SC-260706-120928</v>
      </c>
      <c r="C217" s="62">
        <f ca="1">IFERROR(__xludf.DUMMYFUNCTION("""COMPUTED_VALUE"""),46209.506574074)</f>
        <v>46209.506574074003</v>
      </c>
      <c r="D217" s="30">
        <f ca="1">IFERROR(__xludf.DUMMYFUNCTION("""COMPUTED_VALUE"""),92)</f>
        <v>92</v>
      </c>
      <c r="E217" s="30" t="str">
        <f ca="1">IFERROR(__xludf.DUMMYFUNCTION("""COMPUTED_VALUE"""),"PB3572")</f>
        <v>PB3572</v>
      </c>
      <c r="F21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7" s="30" t="str">
        <f ca="1">IFERROR(__xludf.DUMMYFUNCTION("""COMPUTED_VALUE"""),"SUBSECRETARÍA DE DESARROLLO Y PROMOCIÓN ARTÍSTICA Y CULTURAL")</f>
        <v>SUBSECRETARÍA DE DESARROLLO Y PROMOCIÓN ARTÍSTICA Y CULTURAL</v>
      </c>
      <c r="I217" s="34" t="str">
        <f ca="1">IFERROR(__xludf.DUMMYFUNCTION("""COMPUTED_VALUE"""),"DIRECCIÓN GENERAL DE MUSEOS, ARTES VISUALES Y EXPOSICIONES")</f>
        <v>DIRECCIÓN GENERAL DE MUSEOS, ARTES VISUALES Y EXPOSICIONES</v>
      </c>
      <c r="J217" s="30" t="str">
        <f ca="1">IFERROR(__xludf.DUMMYFUNCTION("""COMPUTED_VALUE"""),"Número de Actividades realizadas")</f>
        <v>Número de Actividades realizadas</v>
      </c>
      <c r="K217" s="30">
        <f ca="1">IFERROR(__xludf.DUMMYFUNCTION("""COMPUTED_VALUE"""),800)</f>
        <v>800</v>
      </c>
      <c r="L217" s="30" t="str">
        <f ca="1">IFERROR(__xludf.DUMMYFUNCTION("""COMPUTED_VALUE"""),"Cultural")</f>
        <v>Cultural</v>
      </c>
      <c r="M217" s="30" t="str">
        <f ca="1">IFERROR(__xludf.DUMMYFUNCTION("""COMPUTED_VALUE"""),"Visita Escolar "" Gabriela Mistral""")</f>
        <v>Visita Escolar " Gabriela Mistral"</v>
      </c>
      <c r="N217" s="30" t="str">
        <f ca="1">IFERROR(__xludf.DUMMYFUNCTION("""COMPUTED_VALUE"""),"Visita Mediada")</f>
        <v>Visita Mediada</v>
      </c>
      <c r="O217" s="30" t="str">
        <f ca="1">IFERROR(__xludf.DUMMYFUNCTION("""COMPUTED_VALUE"""),"Única")</f>
        <v>Única</v>
      </c>
      <c r="P217" s="33">
        <f ca="1">IFERROR(__xludf.DUMMYFUNCTION("""COMPUTED_VALUE"""),46209)</f>
        <v>46209</v>
      </c>
      <c r="Q217" s="33">
        <f ca="1">IFERROR(__xludf.DUMMYFUNCTION("""COMPUTED_VALUE"""),46209)</f>
        <v>46209</v>
      </c>
      <c r="R217" s="30">
        <f ca="1">IFERROR(__xludf.DUMMYFUNCTION("""COMPUTED_VALUE"""),1)</f>
        <v>1</v>
      </c>
      <c r="S217" s="30" t="str">
        <f ca="1">IFERROR(__xludf.DUMMYFUNCTION("""COMPUTED_VALUE"""),"Cultura comunitaria")</f>
        <v>Cultura comunitaria</v>
      </c>
      <c r="T217" s="30" t="str">
        <f ca="1">IFERROR(__xludf.DUMMYFUNCTION("""COMPUTED_VALUE"""),"Mediación cultural")</f>
        <v>Mediación cultural</v>
      </c>
      <c r="U217" s="30" t="str">
        <f ca="1">IFERROR(__xludf.DUMMYFUNCTION("""COMPUTED_VALUE"""),"Visitas escolares")</f>
        <v>Visitas escolares</v>
      </c>
      <c r="V217" s="30" t="str">
        <f ca="1">IFERROR(__xludf.DUMMYFUNCTION("""COMPUTED_VALUE"""),"Ninguna")</f>
        <v>Ninguna</v>
      </c>
      <c r="W217" s="30" t="str">
        <f ca="1">IFERROR(__xludf.DUMMYFUNCTION("""COMPUTED_VALUE"""),"Presencial")</f>
        <v>Presencial</v>
      </c>
      <c r="X217" s="30" t="str">
        <f ca="1">IFERROR(__xludf.DUMMYFUNCTION("""COMPUTED_VALUE"""),"Espacio a Cargo de la Secretaría")</f>
        <v>Espacio a Cargo de la Secretaría</v>
      </c>
      <c r="Y217" s="30" t="str">
        <f ca="1">IFERROR(__xludf.DUMMYFUNCTION("""COMPUTED_VALUE"""),"8")</f>
        <v>8</v>
      </c>
      <c r="Z217" s="30"/>
      <c r="AA217" s="30"/>
      <c r="AB217" s="30" t="b">
        <f ca="1">IFERROR(__xludf.DUMMYFUNCTION("""COMPUTED_VALUE"""),FALSE)</f>
        <v>0</v>
      </c>
      <c r="AC217" s="30"/>
      <c r="AD217" s="30" t="b">
        <f ca="1">IFERROR(__xludf.DUMMYFUNCTION("""COMPUTED_VALUE"""),FALSE)</f>
        <v>0</v>
      </c>
      <c r="AE217" s="30"/>
      <c r="AF217" s="30" t="b">
        <f ca="1">IFERROR(__xludf.DUMMYFUNCTION("""COMPUTED_VALUE"""),FALSE)</f>
        <v>0</v>
      </c>
      <c r="AG217" s="30"/>
      <c r="AH217" s="30" t="str">
        <f ca="1">IFERROR(__xludf.DUMMYFUNCTION("""COMPUTED_VALUE"""),"Sin costo")</f>
        <v>Sin costo</v>
      </c>
      <c r="AI217" s="30"/>
      <c r="AJ217" s="30"/>
      <c r="AK217" s="30"/>
      <c r="AL217" s="30" t="str">
        <f ca="1">IFERROR(__xludf.DUMMYFUNCTION("""COMPUTED_VALUE"""),"ccardonav@guanajuato.gob.mx")</f>
        <v>ccardonav@guanajuato.gob.mx</v>
      </c>
      <c r="AM217" s="30" t="str">
        <f ca="1">IFERROR(__xludf.DUMMYFUNCTION("""COMPUTED_VALUE"""),"Arraigo y empoderamiento cultural de comunidades.")</f>
        <v>Arraigo y empoderamiento cultural de comunidades.</v>
      </c>
      <c r="AN217" s="30" t="str">
        <f ca="1">IFERROR(__xludf.DUMMYFUNCTION("""COMPUTED_VALUE"""),"2 Igualdad")</f>
        <v>2 Igualdad</v>
      </c>
      <c r="AO217" s="30" t="str">
        <f ca="1">IFERROR(__xludf.DUMMYFUNCTION("""COMPUTED_VALUE"""),"2.4 Reducir brechas de desigualdad")</f>
        <v>2.4 Reducir brechas de desigualdad</v>
      </c>
      <c r="AP217" s="30" t="str">
        <f ca="1">IFERROR(__xludf.DUMMYFUNCTION("""COMPUTED_VALUE"""),"2.4.3 Descentralización de la oferta cultural")</f>
        <v>2.4.3 Descentralización de la oferta cultural</v>
      </c>
      <c r="AQ217" s="30" t="str">
        <f ca="1">IFERROR(__xludf.DUMMYFUNCTION("""COMPUTED_VALUE"""),"2.4.3.1 Impulsar el desarrollo artístico y cultural entre infancias y juventudes")</f>
        <v>2.4.3.1 Impulsar el desarrollo artístico y cultural entre infancias y juventudes</v>
      </c>
      <c r="AR217" s="30" t="str">
        <f ca="1">IFERROR(__xludf.DUMMYFUNCTION("""COMPUTED_VALUE"""),"Ninguno")</f>
        <v>Ninguno</v>
      </c>
      <c r="AS217" s="30"/>
      <c r="AT217" s="30" t="str">
        <f ca="1">IFERROR(__xludf.DUMMYFUNCTION("""COMPUTED_VALUE"""),"Fortalecimiento de la participación ciudadana y la mediación cultural")</f>
        <v>Fortalecimiento de la participación ciudadana y la mediación cultural</v>
      </c>
      <c r="AU217" s="30" t="str">
        <f ca="1">IFERROR(__xludf.DUMMYFUNCTION("""COMPUTED_VALUE"""),"Fortalecimiento del diálogo, la mediación y las capacidades de las redes comunitarias.")</f>
        <v>Fortalecimiento del diálogo, la mediación y las capacidades de las redes comunitarias.</v>
      </c>
      <c r="AV21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7" s="30" t="str">
        <f ca="1">IFERROR(__xludf.DUMMYFUNCTION("""COMPUTED_VALUE"""),"Incrementar en 25% la oferta cultural realizada en los municipios.")</f>
        <v>Incrementar en 25% la oferta cultural realizada en los municipios.</v>
      </c>
      <c r="AX217" s="30" t="str">
        <f ca="1">IFERROR(__xludf.DUMMYFUNCTION("""COMPUTED_VALUE"""),"Visitas escolares")</f>
        <v>Visitas escolares</v>
      </c>
      <c r="AY217" s="30" t="str">
        <f ca="1">IFERROR(__xludf.DUMMYFUNCTION("""COMPUTED_VALUE"""),"Mediación")</f>
        <v>Mediación</v>
      </c>
      <c r="AZ217" s="30"/>
      <c r="BA217" s="30"/>
      <c r="BB217" s="30"/>
      <c r="BC217" s="30">
        <f ca="1">IFERROR(__xludf.DUMMYFUNCTION("""COMPUTED_VALUE"""),0)</f>
        <v>0</v>
      </c>
      <c r="BD217" s="30"/>
      <c r="BE217" s="30"/>
      <c r="BF217" s="30" t="b">
        <f ca="1">IFERROR(__xludf.DUMMYFUNCTION("""COMPUTED_VALUE"""),FALSE)</f>
        <v>0</v>
      </c>
      <c r="BG217" s="30"/>
      <c r="BH217" s="30"/>
      <c r="BI217" s="30"/>
      <c r="BJ217" s="30"/>
      <c r="BK217" s="30"/>
      <c r="BL217" s="30"/>
      <c r="BM217" s="30" t="str">
        <f ca="1">IFERROR(__xludf.DUMMYFUNCTION("""COMPUTED_VALUE"""),"No")</f>
        <v>No</v>
      </c>
      <c r="BN217" s="30"/>
      <c r="BO217" s="30" t="str">
        <f ca="1">IFERROR(__xludf.DUMMYFUNCTION("""COMPUTED_VALUE"""),"234b1ad8")</f>
        <v>234b1ad8</v>
      </c>
      <c r="BP217" s="29" t="str">
        <f ca="1">IFERROR(__xludf.DUMMYFUNCTION("""COMPUTED_VALUE"""),"León")</f>
        <v>León</v>
      </c>
      <c r="BQ217" s="30" t="str">
        <f ca="1">IFERROR(__xludf.DUMMYFUNCTION("""COMPUTED_VALUE"""),"Urbano")</f>
        <v>Urbano</v>
      </c>
      <c r="BR217" s="30"/>
      <c r="BS217" s="30"/>
      <c r="BT217" s="30" t="str">
        <f ca="1">IFERROR(__xludf.DUMMYFUNCTION("""COMPUTED_VALUE"""),"La Martinica")</f>
        <v>La Martinica</v>
      </c>
      <c r="BU217" s="30" t="str">
        <f ca="1">IFERROR(__xludf.DUMMYFUNCTION("""COMPUTED_VALUE"""),"No")</f>
        <v>No</v>
      </c>
      <c r="BV217" s="30" t="str">
        <f ca="1">IFERROR(__xludf.DUMMYFUNCTION("""COMPUTED_VALUE"""),"No")</f>
        <v>No</v>
      </c>
      <c r="BW217" s="30">
        <f ca="1">IFERROR(__xludf.DUMMYFUNCTION("""COMPUTED_VALUE"""),47)</f>
        <v>47</v>
      </c>
      <c r="BX217" s="30"/>
      <c r="BY217" s="30">
        <f ca="1">IFERROR(__xludf.DUMMYFUNCTION("""COMPUTED_VALUE"""),47)</f>
        <v>47</v>
      </c>
      <c r="BZ217" s="30" t="str">
        <f ca="1">IFERROR(__xludf.DUMMYFUNCTION("""COMPUTED_VALUE"""),"La Martinica")</f>
        <v>La Martinica</v>
      </c>
      <c r="CA217" s="30" t="str">
        <f ca="1">IFERROR(__xludf.DUMMYFUNCTION("""COMPUTED_VALUE"""),"No")</f>
        <v>No</v>
      </c>
      <c r="CB217" s="30" t="str">
        <f ca="1">IFERROR(__xludf.DUMMYFUNCTION("""COMPUTED_VALUE"""),"No")</f>
        <v>No</v>
      </c>
      <c r="CC217" s="30" t="str">
        <f ca="1">IFERROR(__xludf.DUMMYFUNCTION("""COMPUTED_VALUE"""),"d470f517")</f>
        <v>d470f517</v>
      </c>
      <c r="CD217" s="29" t="str">
        <f ca="1">IFERROR(__xludf.DUMMYFUNCTION("""COMPUTED_VALUE"""),"Niñas y Niños (6 a 12 años)")</f>
        <v>Niñas y Niños (6 a 12 años)</v>
      </c>
      <c r="CE217" s="30" t="str">
        <f ca="1">IFERROR(__xludf.DUMMYFUNCTION("""COMPUTED_VALUE"""),"Dato global")</f>
        <v>Dato global</v>
      </c>
      <c r="CF217" s="30" t="str">
        <f ca="1">IFERROR(__xludf.DUMMYFUNCTION("""COMPUTED_VALUE"""),"Jóvenes en riesgo")</f>
        <v>Jóvenes en riesgo</v>
      </c>
      <c r="CG217" s="30">
        <f ca="1">IFERROR(__xludf.DUMMYFUNCTION("""COMPUTED_VALUE"""),31)</f>
        <v>31</v>
      </c>
      <c r="CI217" s="30" t="str">
        <f ca="1">IFERROR(__xludf.DUMMYFUNCTION("""COMPUTED_VALUE"""),"7928522a")</f>
        <v>7928522a</v>
      </c>
      <c r="CJ217" s="29" t="str">
        <f ca="1">IFERROR(__xludf.DUMMYFUNCTION("""COMPUTED_VALUE"""),"Regitro_Evidencia_Images/7928522a.Archivo_Evidencia.190400.jpg")</f>
        <v>Regitro_Evidencia_Images/7928522a.Archivo_Evidencia.190400.jpg</v>
      </c>
      <c r="CK217" s="30" t="str">
        <f ca="1">IFERROR(__xludf.DUMMYFUNCTION("""COMPUTED_VALUE"""),"Foto")</f>
        <v>Foto</v>
      </c>
      <c r="CL217" s="30" t="str">
        <f ca="1">IFERROR(__xludf.DUMMYFUNCTION("""COMPUTED_VALUE"""),"Evidencia de las sesiones impartidas")</f>
        <v>Evidencia de las sesiones impartidas</v>
      </c>
      <c r="CM217" s="30" t="str">
        <f ca="1">IFERROR(__xludf.DUMMYFUNCTION("""COMPUTED_VALUE"""),"León")</f>
        <v>León</v>
      </c>
      <c r="CN217" s="32" t="e">
        <f ca="1"/>
        <v>#NAME?</v>
      </c>
      <c r="CO217" s="32" t="e">
        <f ca="1"/>
        <v>#NAME?</v>
      </c>
      <c r="CP217" s="32" t="e">
        <f ca="1"/>
        <v>#NAME?</v>
      </c>
      <c r="CQ217" s="32" t="e">
        <f ca="1"/>
        <v>#NAME?</v>
      </c>
      <c r="CR217" s="30" t="e">
        <f ca="1"/>
        <v>#NAME?</v>
      </c>
      <c r="CS217" s="30" t="str">
        <f ca="1">IFERROR(__xludf.DUMMYFUNCTION("""COMPUTED_VALUE"""),"Ninguno (Población General), Ninguno (Población General)")</f>
        <v>Ninguno (Población General), Ninguno (Población General)</v>
      </c>
    </row>
    <row r="218" spans="1:97" ht="13">
      <c r="A218" s="29" t="str">
        <f ca="1">IFERROR(__xludf.DUMMYFUNCTION("""COMPUTED_VALUE"""),"ACT-SCYZ76922")</f>
        <v>ACT-SCYZ76922</v>
      </c>
      <c r="B218" s="30" t="str">
        <f ca="1">IFERROR(__xludf.DUMMYFUNCTION("""COMPUTED_VALUE"""),"SC-260706-121930")</f>
        <v>SC-260706-121930</v>
      </c>
      <c r="C218" s="62">
        <f ca="1">IFERROR(__xludf.DUMMYFUNCTION("""COMPUTED_VALUE"""),46209.5135416666)</f>
        <v>46209.513541666602</v>
      </c>
      <c r="D218" s="30">
        <f ca="1">IFERROR(__xludf.DUMMYFUNCTION("""COMPUTED_VALUE"""),92)</f>
        <v>92</v>
      </c>
      <c r="E218" s="30" t="str">
        <f ca="1">IFERROR(__xludf.DUMMYFUNCTION("""COMPUTED_VALUE"""),"PB3572")</f>
        <v>PB3572</v>
      </c>
      <c r="F21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8" s="30" t="str">
        <f ca="1">IFERROR(__xludf.DUMMYFUNCTION("""COMPUTED_VALUE"""),"SUBSECRETARÍA DE DESARROLLO Y PROMOCIÓN ARTÍSTICA Y CULTURAL")</f>
        <v>SUBSECRETARÍA DE DESARROLLO Y PROMOCIÓN ARTÍSTICA Y CULTURAL</v>
      </c>
      <c r="I218" s="34" t="str">
        <f ca="1">IFERROR(__xludf.DUMMYFUNCTION("""COMPUTED_VALUE"""),"DIRECCIÓN GENERAL DE MUSEOS, ARTES VISUALES Y EXPOSICIONES")</f>
        <v>DIRECCIÓN GENERAL DE MUSEOS, ARTES VISUALES Y EXPOSICIONES</v>
      </c>
      <c r="J218" s="30" t="str">
        <f ca="1">IFERROR(__xludf.DUMMYFUNCTION("""COMPUTED_VALUE"""),"Número de Actividades realizadas")</f>
        <v>Número de Actividades realizadas</v>
      </c>
      <c r="K218" s="30">
        <f ca="1">IFERROR(__xludf.DUMMYFUNCTION("""COMPUTED_VALUE"""),800)</f>
        <v>800</v>
      </c>
      <c r="L218" s="30" t="str">
        <f ca="1">IFERROR(__xludf.DUMMYFUNCTION("""COMPUTED_VALUE"""),"Cultural")</f>
        <v>Cultural</v>
      </c>
      <c r="M218" s="30" t="str">
        <f ca="1">IFERROR(__xludf.DUMMYFUNCTION("""COMPUTED_VALUE"""),"Visita Escolar "" Escuela 20 de Noviembre""")</f>
        <v>Visita Escolar " Escuela 20 de Noviembre"</v>
      </c>
      <c r="N218" s="30" t="str">
        <f ca="1">IFERROR(__xludf.DUMMYFUNCTION("""COMPUTED_VALUE"""),"Visita Mediada")</f>
        <v>Visita Mediada</v>
      </c>
      <c r="O218" s="30" t="str">
        <f ca="1">IFERROR(__xludf.DUMMYFUNCTION("""COMPUTED_VALUE"""),"Única")</f>
        <v>Única</v>
      </c>
      <c r="P218" s="33">
        <f ca="1">IFERROR(__xludf.DUMMYFUNCTION("""COMPUTED_VALUE"""),46192)</f>
        <v>46192</v>
      </c>
      <c r="Q218" s="33">
        <f ca="1">IFERROR(__xludf.DUMMYFUNCTION("""COMPUTED_VALUE"""),46192)</f>
        <v>46192</v>
      </c>
      <c r="R218" s="30">
        <f ca="1">IFERROR(__xludf.DUMMYFUNCTION("""COMPUTED_VALUE"""),1)</f>
        <v>1</v>
      </c>
      <c r="S218" s="30" t="str">
        <f ca="1">IFERROR(__xludf.DUMMYFUNCTION("""COMPUTED_VALUE"""),"Cultura comunitaria")</f>
        <v>Cultura comunitaria</v>
      </c>
      <c r="T218" s="30" t="str">
        <f ca="1">IFERROR(__xludf.DUMMYFUNCTION("""COMPUTED_VALUE"""),"Mediación cultural")</f>
        <v>Mediación cultural</v>
      </c>
      <c r="U218" s="30" t="str">
        <f ca="1">IFERROR(__xludf.DUMMYFUNCTION("""COMPUTED_VALUE"""),"Visitas escolares")</f>
        <v>Visitas escolares</v>
      </c>
      <c r="V218" s="30" t="str">
        <f ca="1">IFERROR(__xludf.DUMMYFUNCTION("""COMPUTED_VALUE"""),"Ninguna")</f>
        <v>Ninguna</v>
      </c>
      <c r="W218" s="30" t="str">
        <f ca="1">IFERROR(__xludf.DUMMYFUNCTION("""COMPUTED_VALUE"""),"Presencial")</f>
        <v>Presencial</v>
      </c>
      <c r="X218" s="30" t="str">
        <f ca="1">IFERROR(__xludf.DUMMYFUNCTION("""COMPUTED_VALUE"""),"Espacio a Cargo de la Secretaría")</f>
        <v>Espacio a Cargo de la Secretaría</v>
      </c>
      <c r="Y218" s="30" t="str">
        <f ca="1">IFERROR(__xludf.DUMMYFUNCTION("""COMPUTED_VALUE"""),"8")</f>
        <v>8</v>
      </c>
      <c r="Z218" s="30"/>
      <c r="AA218" s="30"/>
      <c r="AB218" s="30" t="b">
        <f ca="1">IFERROR(__xludf.DUMMYFUNCTION("""COMPUTED_VALUE"""),FALSE)</f>
        <v>0</v>
      </c>
      <c r="AC218" s="30"/>
      <c r="AD218" s="30" t="b">
        <f ca="1">IFERROR(__xludf.DUMMYFUNCTION("""COMPUTED_VALUE"""),FALSE)</f>
        <v>0</v>
      </c>
      <c r="AE218" s="30"/>
      <c r="AF218" s="30" t="b">
        <f ca="1">IFERROR(__xludf.DUMMYFUNCTION("""COMPUTED_VALUE"""),FALSE)</f>
        <v>0</v>
      </c>
      <c r="AG218" s="30"/>
      <c r="AH218" s="30" t="str">
        <f ca="1">IFERROR(__xludf.DUMMYFUNCTION("""COMPUTED_VALUE"""),"Sin costo")</f>
        <v>Sin costo</v>
      </c>
      <c r="AI218" s="30"/>
      <c r="AJ218" s="30"/>
      <c r="AK218" s="30"/>
      <c r="AL218" s="30" t="str">
        <f ca="1">IFERROR(__xludf.DUMMYFUNCTION("""COMPUTED_VALUE"""),"ccardonav@guanajuato.gob.mx")</f>
        <v>ccardonav@guanajuato.gob.mx</v>
      </c>
      <c r="AM218" s="30" t="str">
        <f ca="1">IFERROR(__xludf.DUMMYFUNCTION("""COMPUTED_VALUE"""),"Arraigo y empoderamiento cultural de comunidades.")</f>
        <v>Arraigo y empoderamiento cultural de comunidades.</v>
      </c>
      <c r="AN218" s="30" t="str">
        <f ca="1">IFERROR(__xludf.DUMMYFUNCTION("""COMPUTED_VALUE"""),"2 Igualdad")</f>
        <v>2 Igualdad</v>
      </c>
      <c r="AO218" s="30" t="str">
        <f ca="1">IFERROR(__xludf.DUMMYFUNCTION("""COMPUTED_VALUE"""),"2.4 Reducir brechas de desigualdad")</f>
        <v>2.4 Reducir brechas de desigualdad</v>
      </c>
      <c r="AP218" s="30" t="str">
        <f ca="1">IFERROR(__xludf.DUMMYFUNCTION("""COMPUTED_VALUE"""),"2.4.3 Descentralización de la oferta cultural")</f>
        <v>2.4.3 Descentralización de la oferta cultural</v>
      </c>
      <c r="AQ218" s="30" t="str">
        <f ca="1">IFERROR(__xludf.DUMMYFUNCTION("""COMPUTED_VALUE"""),"2.4.3.1 Impulsar el desarrollo artístico y cultural entre infancias y juventudes")</f>
        <v>2.4.3.1 Impulsar el desarrollo artístico y cultural entre infancias y juventudes</v>
      </c>
      <c r="AR218" s="30" t="str">
        <f ca="1">IFERROR(__xludf.DUMMYFUNCTION("""COMPUTED_VALUE"""),"Ninguno")</f>
        <v>Ninguno</v>
      </c>
      <c r="AS218" s="30"/>
      <c r="AT218" s="30" t="str">
        <f ca="1">IFERROR(__xludf.DUMMYFUNCTION("""COMPUTED_VALUE"""),"Fortalecimiento de la participación ciudadana y la mediación cultural")</f>
        <v>Fortalecimiento de la participación ciudadana y la mediación cultural</v>
      </c>
      <c r="AU218" s="30" t="str">
        <f ca="1">IFERROR(__xludf.DUMMYFUNCTION("""COMPUTED_VALUE"""),"Fortalecimiento del diálogo, la mediación y las capacidades de las redes comunitarias.")</f>
        <v>Fortalecimiento del diálogo, la mediación y las capacidades de las redes comunitarias.</v>
      </c>
      <c r="AV21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8" s="30" t="str">
        <f ca="1">IFERROR(__xludf.DUMMYFUNCTION("""COMPUTED_VALUE"""),"Incrementar en 25% la oferta cultural realizada en los municipios.")</f>
        <v>Incrementar en 25% la oferta cultural realizada en los municipios.</v>
      </c>
      <c r="AX218" s="30" t="str">
        <f ca="1">IFERROR(__xludf.DUMMYFUNCTION("""COMPUTED_VALUE"""),"Visitas escolares")</f>
        <v>Visitas escolares</v>
      </c>
      <c r="AY218" s="30" t="str">
        <f ca="1">IFERROR(__xludf.DUMMYFUNCTION("""COMPUTED_VALUE"""),"Mediación")</f>
        <v>Mediación</v>
      </c>
      <c r="AZ218" s="30"/>
      <c r="BA218" s="30"/>
      <c r="BB218" s="30"/>
      <c r="BC218" s="30">
        <f ca="1">IFERROR(__xludf.DUMMYFUNCTION("""COMPUTED_VALUE"""),0)</f>
        <v>0</v>
      </c>
      <c r="BD218" s="30"/>
      <c r="BE218" s="30"/>
      <c r="BF218" s="30" t="b">
        <f ca="1">IFERROR(__xludf.DUMMYFUNCTION("""COMPUTED_VALUE"""),FALSE)</f>
        <v>0</v>
      </c>
      <c r="BG218" s="30"/>
      <c r="BH218" s="30"/>
      <c r="BI218" s="30"/>
      <c r="BJ218" s="30"/>
      <c r="BK218" s="30"/>
      <c r="BL218" s="30"/>
      <c r="BM218" s="30" t="str">
        <f ca="1">IFERROR(__xludf.DUMMYFUNCTION("""COMPUTED_VALUE"""),"No")</f>
        <v>No</v>
      </c>
      <c r="BN218" s="30"/>
      <c r="BO218" s="30" t="str">
        <f ca="1">IFERROR(__xludf.DUMMYFUNCTION("""COMPUTED_VALUE"""),"cd2b4d63")</f>
        <v>cd2b4d63</v>
      </c>
      <c r="BP218" s="29" t="str">
        <f ca="1">IFERROR(__xludf.DUMMYFUNCTION("""COMPUTED_VALUE"""),"León")</f>
        <v>León</v>
      </c>
      <c r="BQ218" s="30" t="str">
        <f ca="1">IFERROR(__xludf.DUMMYFUNCTION("""COMPUTED_VALUE"""),"Urbano")</f>
        <v>Urbano</v>
      </c>
      <c r="BR218" s="30"/>
      <c r="BS218" s="30"/>
      <c r="BT218" s="30" t="str">
        <f ca="1">IFERROR(__xludf.DUMMYFUNCTION("""COMPUTED_VALUE"""),"La Martinica")</f>
        <v>La Martinica</v>
      </c>
      <c r="BU218" s="30" t="str">
        <f ca="1">IFERROR(__xludf.DUMMYFUNCTION("""COMPUTED_VALUE"""),"No")</f>
        <v>No</v>
      </c>
      <c r="BV218" s="30" t="str">
        <f ca="1">IFERROR(__xludf.DUMMYFUNCTION("""COMPUTED_VALUE"""),"No")</f>
        <v>No</v>
      </c>
      <c r="BW218" s="30">
        <f ca="1">IFERROR(__xludf.DUMMYFUNCTION("""COMPUTED_VALUE"""),37)</f>
        <v>37</v>
      </c>
      <c r="BX218" s="30"/>
      <c r="BY218" s="30">
        <f ca="1">IFERROR(__xludf.DUMMYFUNCTION("""COMPUTED_VALUE"""),37)</f>
        <v>37</v>
      </c>
      <c r="BZ218" s="30" t="str">
        <f ca="1">IFERROR(__xludf.DUMMYFUNCTION("""COMPUTED_VALUE"""),"La Martinica")</f>
        <v>La Martinica</v>
      </c>
      <c r="CA218" s="30" t="str">
        <f ca="1">IFERROR(__xludf.DUMMYFUNCTION("""COMPUTED_VALUE"""),"No")</f>
        <v>No</v>
      </c>
      <c r="CB218" s="30" t="str">
        <f ca="1">IFERROR(__xludf.DUMMYFUNCTION("""COMPUTED_VALUE"""),"No")</f>
        <v>No</v>
      </c>
      <c r="CC218" s="30" t="str">
        <f ca="1">IFERROR(__xludf.DUMMYFUNCTION("""COMPUTED_VALUE"""),"04fce989")</f>
        <v>04fce989</v>
      </c>
      <c r="CD218" s="29" t="str">
        <f ca="1">IFERROR(__xludf.DUMMYFUNCTION("""COMPUTED_VALUE"""),"Niñas y Niños (6 a 12 años)")</f>
        <v>Niñas y Niños (6 a 12 años)</v>
      </c>
      <c r="CE218" s="30" t="str">
        <f ca="1">IFERROR(__xludf.DUMMYFUNCTION("""COMPUTED_VALUE"""),"Dato global")</f>
        <v>Dato global</v>
      </c>
      <c r="CF218" s="30" t="str">
        <f ca="1">IFERROR(__xludf.DUMMYFUNCTION("""COMPUTED_VALUE"""),"Jóvenes en riesgo")</f>
        <v>Jóvenes en riesgo</v>
      </c>
      <c r="CG218" s="30">
        <f ca="1">IFERROR(__xludf.DUMMYFUNCTION("""COMPUTED_VALUE"""),29)</f>
        <v>29</v>
      </c>
      <c r="CI218" s="30" t="str">
        <f ca="1">IFERROR(__xludf.DUMMYFUNCTION("""COMPUTED_VALUE"""),"65192986")</f>
        <v>65192986</v>
      </c>
      <c r="CJ218" s="29" t="str">
        <f ca="1">IFERROR(__xludf.DUMMYFUNCTION("""COMPUTED_VALUE"""),"Regitro_Evidencia_Images/65192986.Archivo_Evidencia.194019.jpg")</f>
        <v>Regitro_Evidencia_Images/65192986.Archivo_Evidencia.194019.jpg</v>
      </c>
      <c r="CK218" s="30" t="str">
        <f ca="1">IFERROR(__xludf.DUMMYFUNCTION("""COMPUTED_VALUE"""),"Foto")</f>
        <v>Foto</v>
      </c>
      <c r="CL218" s="30" t="str">
        <f ca="1">IFERROR(__xludf.DUMMYFUNCTION("""COMPUTED_VALUE"""),"La fotografía muestra una sesión práctica dentro de un taller de grabado.")</f>
        <v>La fotografía muestra una sesión práctica dentro de un taller de grabado.</v>
      </c>
      <c r="CM218" s="30" t="str">
        <f ca="1">IFERROR(__xludf.DUMMYFUNCTION("""COMPUTED_VALUE"""),"León")</f>
        <v>León</v>
      </c>
      <c r="CN218" s="32" t="e">
        <f ca="1"/>
        <v>#NAME?</v>
      </c>
      <c r="CO218" s="32" t="e">
        <f ca="1"/>
        <v>#NAME?</v>
      </c>
      <c r="CP218" s="32" t="e">
        <f ca="1"/>
        <v>#NAME?</v>
      </c>
      <c r="CQ218" s="32" t="e">
        <f ca="1"/>
        <v>#NAME?</v>
      </c>
      <c r="CR218" s="30" t="e">
        <f ca="1"/>
        <v>#NAME?</v>
      </c>
      <c r="CS218" s="30" t="str">
        <f ca="1">IFERROR(__xludf.DUMMYFUNCTION("""COMPUTED_VALUE"""),"Ninguno (Población General), Ninguno (Población General)")</f>
        <v>Ninguno (Población General), Ninguno (Población General)</v>
      </c>
    </row>
    <row r="219" spans="1:97" ht="13">
      <c r="A219" s="29" t="str">
        <f ca="1">IFERROR(__xludf.DUMMYFUNCTION("""COMPUTED_VALUE"""),"ACT-SCYV98198")</f>
        <v>ACT-SCYV98198</v>
      </c>
      <c r="B219" s="30" t="str">
        <f ca="1">IFERROR(__xludf.DUMMYFUNCTION("""COMPUTED_VALUE"""),"SC-260706-122409")</f>
        <v>SC-260706-122409</v>
      </c>
      <c r="C219" s="62">
        <f ca="1">IFERROR(__xludf.DUMMYFUNCTION("""COMPUTED_VALUE"""),46209.5167708333)</f>
        <v>46209.516770833303</v>
      </c>
      <c r="D219" s="30">
        <f ca="1">IFERROR(__xludf.DUMMYFUNCTION("""COMPUTED_VALUE"""),92)</f>
        <v>92</v>
      </c>
      <c r="E219" s="30" t="str">
        <f ca="1">IFERROR(__xludf.DUMMYFUNCTION("""COMPUTED_VALUE"""),"PB3572")</f>
        <v>PB3572</v>
      </c>
      <c r="F21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1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19" s="30" t="str">
        <f ca="1">IFERROR(__xludf.DUMMYFUNCTION("""COMPUTED_VALUE"""),"SUBSECRETARÍA DE DESARROLLO Y PROMOCIÓN ARTÍSTICA Y CULTURAL")</f>
        <v>SUBSECRETARÍA DE DESARROLLO Y PROMOCIÓN ARTÍSTICA Y CULTURAL</v>
      </c>
      <c r="I219" s="34" t="str">
        <f ca="1">IFERROR(__xludf.DUMMYFUNCTION("""COMPUTED_VALUE"""),"DIRECCIÓN GENERAL DE MUSEOS, ARTES VISUALES Y EXPOSICIONES")</f>
        <v>DIRECCIÓN GENERAL DE MUSEOS, ARTES VISUALES Y EXPOSICIONES</v>
      </c>
      <c r="J219" s="30" t="str">
        <f ca="1">IFERROR(__xludf.DUMMYFUNCTION("""COMPUTED_VALUE"""),"Número de Actividades realizadas")</f>
        <v>Número de Actividades realizadas</v>
      </c>
      <c r="K219" s="30">
        <f ca="1">IFERROR(__xludf.DUMMYFUNCTION("""COMPUTED_VALUE"""),800)</f>
        <v>800</v>
      </c>
      <c r="L219" s="30" t="str">
        <f ca="1">IFERROR(__xludf.DUMMYFUNCTION("""COMPUTED_VALUE"""),"Cultural")</f>
        <v>Cultural</v>
      </c>
      <c r="M219" s="30" t="str">
        <f ca="1">IFERROR(__xludf.DUMMYFUNCTION("""COMPUTED_VALUE"""),"Visita Escolar "" Gabriela Mistral""")</f>
        <v>Visita Escolar " Gabriela Mistral"</v>
      </c>
      <c r="N219" s="30" t="str">
        <f ca="1">IFERROR(__xludf.DUMMYFUNCTION("""COMPUTED_VALUE"""),"Visita Mediada")</f>
        <v>Visita Mediada</v>
      </c>
      <c r="O219" s="30" t="str">
        <f ca="1">IFERROR(__xludf.DUMMYFUNCTION("""COMPUTED_VALUE"""),"Única")</f>
        <v>Única</v>
      </c>
      <c r="P219" s="33">
        <f ca="1">IFERROR(__xludf.DUMMYFUNCTION("""COMPUTED_VALUE"""),46192)</f>
        <v>46192</v>
      </c>
      <c r="Q219" s="33">
        <f ca="1">IFERROR(__xludf.DUMMYFUNCTION("""COMPUTED_VALUE"""),46192)</f>
        <v>46192</v>
      </c>
      <c r="R219" s="30">
        <f ca="1">IFERROR(__xludf.DUMMYFUNCTION("""COMPUTED_VALUE"""),1)</f>
        <v>1</v>
      </c>
      <c r="S219" s="30" t="str">
        <f ca="1">IFERROR(__xludf.DUMMYFUNCTION("""COMPUTED_VALUE"""),"Cultura comunitaria")</f>
        <v>Cultura comunitaria</v>
      </c>
      <c r="T219" s="30" t="str">
        <f ca="1">IFERROR(__xludf.DUMMYFUNCTION("""COMPUTED_VALUE"""),"Mediación cultural")</f>
        <v>Mediación cultural</v>
      </c>
      <c r="U219" s="30" t="str">
        <f ca="1">IFERROR(__xludf.DUMMYFUNCTION("""COMPUTED_VALUE"""),"Visitas escolares")</f>
        <v>Visitas escolares</v>
      </c>
      <c r="V219" s="30" t="str">
        <f ca="1">IFERROR(__xludf.DUMMYFUNCTION("""COMPUTED_VALUE"""),"Ninguna")</f>
        <v>Ninguna</v>
      </c>
      <c r="W219" s="30" t="str">
        <f ca="1">IFERROR(__xludf.DUMMYFUNCTION("""COMPUTED_VALUE"""),"Presencial")</f>
        <v>Presencial</v>
      </c>
      <c r="X219" s="30" t="str">
        <f ca="1">IFERROR(__xludf.DUMMYFUNCTION("""COMPUTED_VALUE"""),"Espacio a Cargo de la Secretaría")</f>
        <v>Espacio a Cargo de la Secretaría</v>
      </c>
      <c r="Y219" s="30" t="str">
        <f ca="1">IFERROR(__xludf.DUMMYFUNCTION("""COMPUTED_VALUE"""),"8")</f>
        <v>8</v>
      </c>
      <c r="Z219" s="30"/>
      <c r="AA219" s="30"/>
      <c r="AB219" s="30" t="b">
        <f ca="1">IFERROR(__xludf.DUMMYFUNCTION("""COMPUTED_VALUE"""),FALSE)</f>
        <v>0</v>
      </c>
      <c r="AC219" s="30"/>
      <c r="AD219" s="30" t="b">
        <f ca="1">IFERROR(__xludf.DUMMYFUNCTION("""COMPUTED_VALUE"""),FALSE)</f>
        <v>0</v>
      </c>
      <c r="AE219" s="30"/>
      <c r="AF219" s="30" t="b">
        <f ca="1">IFERROR(__xludf.DUMMYFUNCTION("""COMPUTED_VALUE"""),FALSE)</f>
        <v>0</v>
      </c>
      <c r="AG219" s="30"/>
      <c r="AH219" s="30" t="str">
        <f ca="1">IFERROR(__xludf.DUMMYFUNCTION("""COMPUTED_VALUE"""),"Sin costo")</f>
        <v>Sin costo</v>
      </c>
      <c r="AI219" s="30"/>
      <c r="AJ219" s="30"/>
      <c r="AK219" s="30"/>
      <c r="AL219" s="30" t="str">
        <f ca="1">IFERROR(__xludf.DUMMYFUNCTION("""COMPUTED_VALUE"""),"ccardonav@guanajuato.gob.mx")</f>
        <v>ccardonav@guanajuato.gob.mx</v>
      </c>
      <c r="AM219" s="30" t="str">
        <f ca="1">IFERROR(__xludf.DUMMYFUNCTION("""COMPUTED_VALUE"""),"Arraigo y empoderamiento cultural de comunidades.")</f>
        <v>Arraigo y empoderamiento cultural de comunidades.</v>
      </c>
      <c r="AN219" s="30" t="str">
        <f ca="1">IFERROR(__xludf.DUMMYFUNCTION("""COMPUTED_VALUE"""),"2 Igualdad")</f>
        <v>2 Igualdad</v>
      </c>
      <c r="AO219" s="30" t="str">
        <f ca="1">IFERROR(__xludf.DUMMYFUNCTION("""COMPUTED_VALUE"""),"2.4 Reducir brechas de desigualdad")</f>
        <v>2.4 Reducir brechas de desigualdad</v>
      </c>
      <c r="AP219" s="30" t="str">
        <f ca="1">IFERROR(__xludf.DUMMYFUNCTION("""COMPUTED_VALUE"""),"2.4.3 Descentralización de la oferta cultural")</f>
        <v>2.4.3 Descentralización de la oferta cultural</v>
      </c>
      <c r="AQ219" s="30" t="str">
        <f ca="1">IFERROR(__xludf.DUMMYFUNCTION("""COMPUTED_VALUE"""),"2.4.3.1 Impulsar el desarrollo artístico y cultural entre infancias y juventudes")</f>
        <v>2.4.3.1 Impulsar el desarrollo artístico y cultural entre infancias y juventudes</v>
      </c>
      <c r="AR219" s="30" t="str">
        <f ca="1">IFERROR(__xludf.DUMMYFUNCTION("""COMPUTED_VALUE"""),"Ninguno")</f>
        <v>Ninguno</v>
      </c>
      <c r="AS219" s="30"/>
      <c r="AT219" s="30" t="str">
        <f ca="1">IFERROR(__xludf.DUMMYFUNCTION("""COMPUTED_VALUE"""),"Fortalecimiento de la participación ciudadana y la mediación cultural")</f>
        <v>Fortalecimiento de la participación ciudadana y la mediación cultural</v>
      </c>
      <c r="AU219" s="30" t="str">
        <f ca="1">IFERROR(__xludf.DUMMYFUNCTION("""COMPUTED_VALUE"""),"Fortalecimiento del diálogo, la mediación y las capacidades de las redes comunitarias.")</f>
        <v>Fortalecimiento del diálogo, la mediación y las capacidades de las redes comunitarias.</v>
      </c>
      <c r="AV21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19" s="30" t="str">
        <f ca="1">IFERROR(__xludf.DUMMYFUNCTION("""COMPUTED_VALUE"""),"Incrementar en 25% la oferta cultural realizada en los municipios.")</f>
        <v>Incrementar en 25% la oferta cultural realizada en los municipios.</v>
      </c>
      <c r="AX219" s="30" t="str">
        <f ca="1">IFERROR(__xludf.DUMMYFUNCTION("""COMPUTED_VALUE"""),"Visitas escolares")</f>
        <v>Visitas escolares</v>
      </c>
      <c r="AY219" s="30" t="str">
        <f ca="1">IFERROR(__xludf.DUMMYFUNCTION("""COMPUTED_VALUE"""),"Mediación")</f>
        <v>Mediación</v>
      </c>
      <c r="AZ219" s="30"/>
      <c r="BA219" s="30"/>
      <c r="BB219" s="30"/>
      <c r="BC219" s="30">
        <f ca="1">IFERROR(__xludf.DUMMYFUNCTION("""COMPUTED_VALUE"""),0)</f>
        <v>0</v>
      </c>
      <c r="BD219" s="30"/>
      <c r="BE219" s="30"/>
      <c r="BF219" s="30" t="b">
        <f ca="1">IFERROR(__xludf.DUMMYFUNCTION("""COMPUTED_VALUE"""),FALSE)</f>
        <v>0</v>
      </c>
      <c r="BG219" s="30"/>
      <c r="BH219" s="30"/>
      <c r="BI219" s="30"/>
      <c r="BJ219" s="30"/>
      <c r="BK219" s="30"/>
      <c r="BL219" s="30"/>
      <c r="BM219" s="30" t="str">
        <f ca="1">IFERROR(__xludf.DUMMYFUNCTION("""COMPUTED_VALUE"""),"No")</f>
        <v>No</v>
      </c>
      <c r="BN219" s="30"/>
      <c r="BO219" s="30" t="str">
        <f ca="1">IFERROR(__xludf.DUMMYFUNCTION("""COMPUTED_VALUE"""),"2d380e90")</f>
        <v>2d380e90</v>
      </c>
      <c r="BP219" s="29" t="str">
        <f ca="1">IFERROR(__xludf.DUMMYFUNCTION("""COMPUTED_VALUE"""),"León")</f>
        <v>León</v>
      </c>
      <c r="BQ219" s="30" t="str">
        <f ca="1">IFERROR(__xludf.DUMMYFUNCTION("""COMPUTED_VALUE"""),"Urbano")</f>
        <v>Urbano</v>
      </c>
      <c r="BR219" s="30"/>
      <c r="BS219" s="30"/>
      <c r="BT219" s="30" t="str">
        <f ca="1">IFERROR(__xludf.DUMMYFUNCTION("""COMPUTED_VALUE"""),"La Martinica")</f>
        <v>La Martinica</v>
      </c>
      <c r="BU219" s="30" t="str">
        <f ca="1">IFERROR(__xludf.DUMMYFUNCTION("""COMPUTED_VALUE"""),"No")</f>
        <v>No</v>
      </c>
      <c r="BV219" s="30" t="str">
        <f ca="1">IFERROR(__xludf.DUMMYFUNCTION("""COMPUTED_VALUE"""),"No")</f>
        <v>No</v>
      </c>
      <c r="BW219" s="30">
        <f ca="1">IFERROR(__xludf.DUMMYFUNCTION("""COMPUTED_VALUE"""),122)</f>
        <v>122</v>
      </c>
      <c r="BX219" s="30"/>
      <c r="BY219" s="30">
        <f ca="1">IFERROR(__xludf.DUMMYFUNCTION("""COMPUTED_VALUE"""),122)</f>
        <v>122</v>
      </c>
      <c r="BZ219" s="30" t="str">
        <f ca="1">IFERROR(__xludf.DUMMYFUNCTION("""COMPUTED_VALUE"""),"La Martinica")</f>
        <v>La Martinica</v>
      </c>
      <c r="CA219" s="30" t="str">
        <f ca="1">IFERROR(__xludf.DUMMYFUNCTION("""COMPUTED_VALUE"""),"No")</f>
        <v>No</v>
      </c>
      <c r="CB219" s="30" t="str">
        <f ca="1">IFERROR(__xludf.DUMMYFUNCTION("""COMPUTED_VALUE"""),"No")</f>
        <v>No</v>
      </c>
      <c r="CC219" s="30" t="str">
        <f ca="1">IFERROR(__xludf.DUMMYFUNCTION("""COMPUTED_VALUE"""),"3fb4299f")</f>
        <v>3fb4299f</v>
      </c>
      <c r="CD219" s="29" t="str">
        <f ca="1">IFERROR(__xludf.DUMMYFUNCTION("""COMPUTED_VALUE"""),"Jóvenes (18 a 29 años)")</f>
        <v>Jóvenes (18 a 29 años)</v>
      </c>
      <c r="CE219" s="30" t="str">
        <f ca="1">IFERROR(__xludf.DUMMYFUNCTION("""COMPUTED_VALUE"""),"Dato global")</f>
        <v>Dato global</v>
      </c>
      <c r="CF219" s="30" t="str">
        <f ca="1">IFERROR(__xludf.DUMMYFUNCTION("""COMPUTED_VALUE"""),"Ninguno (Población General)")</f>
        <v>Ninguno (Población General)</v>
      </c>
      <c r="CG219" s="30">
        <f ca="1">IFERROR(__xludf.DUMMYFUNCTION("""COMPUTED_VALUE"""),5)</f>
        <v>5</v>
      </c>
      <c r="CI219" s="30" t="str">
        <f ca="1">IFERROR(__xludf.DUMMYFUNCTION("""COMPUTED_VALUE"""),"d8005629")</f>
        <v>d8005629</v>
      </c>
      <c r="CJ219" s="29" t="str">
        <f ca="1">IFERROR(__xludf.DUMMYFUNCTION("""COMPUTED_VALUE"""),"Regitro_Evidencia_Images/d8005629.Archivo_Evidencia.194023.jpg")</f>
        <v>Regitro_Evidencia_Images/d8005629.Archivo_Evidencia.194023.jpg</v>
      </c>
      <c r="CK219" s="30" t="str">
        <f ca="1">IFERROR(__xludf.DUMMYFUNCTION("""COMPUTED_VALUE"""),"Foto")</f>
        <v>Foto</v>
      </c>
      <c r="CL219" s="30" t="str">
        <f ca="1">IFERROR(__xludf.DUMMYFUNCTION("""COMPUTED_VALUE"""),"La fotografía captura un entorno dinámico de aprendizaje y producción artística implementando lo aprendido.")</f>
        <v>La fotografía captura un entorno dinámico de aprendizaje y producción artística implementando lo aprendido.</v>
      </c>
      <c r="CM219" s="30" t="str">
        <f ca="1">IFERROR(__xludf.DUMMYFUNCTION("""COMPUTED_VALUE"""),"León")</f>
        <v>León</v>
      </c>
      <c r="CN219" s="32" t="e">
        <f ca="1"/>
        <v>#NAME?</v>
      </c>
      <c r="CO219" s="32" t="e">
        <f ca="1"/>
        <v>#NAME?</v>
      </c>
      <c r="CP219" s="32" t="e">
        <f ca="1"/>
        <v>#NAME?</v>
      </c>
      <c r="CQ219" s="32" t="e">
        <f ca="1"/>
        <v>#NAME?</v>
      </c>
      <c r="CR219" s="30" t="e">
        <f ca="1"/>
        <v>#NAME?</v>
      </c>
      <c r="CS219" s="30" t="str">
        <f ca="1">IFERROR(__xludf.DUMMYFUNCTION("""COMPUTED_VALUE"""),"Ninguno (Población General), Ninguno (Población General), Ninguno (Población General)")</f>
        <v>Ninguno (Población General), Ninguno (Población General), Ninguno (Población General)</v>
      </c>
    </row>
    <row r="220" spans="1:97" ht="13">
      <c r="A220" s="29" t="str">
        <f ca="1">IFERROR(__xludf.DUMMYFUNCTION("""COMPUTED_VALUE"""),"ACT-SCGK42453")</f>
        <v>ACT-SCGK42453</v>
      </c>
      <c r="B220" s="30" t="str">
        <f ca="1">IFERROR(__xludf.DUMMYFUNCTION("""COMPUTED_VALUE"""),"SC-260706-122730")</f>
        <v>SC-260706-122730</v>
      </c>
      <c r="C220" s="62">
        <f ca="1">IFERROR(__xludf.DUMMYFUNCTION("""COMPUTED_VALUE"""),46209.5190972222)</f>
        <v>46209.519097222197</v>
      </c>
      <c r="D220" s="30">
        <f ca="1">IFERROR(__xludf.DUMMYFUNCTION("""COMPUTED_VALUE"""),92)</f>
        <v>92</v>
      </c>
      <c r="E220" s="30" t="str">
        <f ca="1">IFERROR(__xludf.DUMMYFUNCTION("""COMPUTED_VALUE"""),"PB3572")</f>
        <v>PB3572</v>
      </c>
      <c r="F22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0" s="30" t="str">
        <f ca="1">IFERROR(__xludf.DUMMYFUNCTION("""COMPUTED_VALUE"""),"SUBSECRETARÍA DE DESARROLLO Y PROMOCIÓN ARTÍSTICA Y CULTURAL")</f>
        <v>SUBSECRETARÍA DE DESARROLLO Y PROMOCIÓN ARTÍSTICA Y CULTURAL</v>
      </c>
      <c r="I220" s="34" t="str">
        <f ca="1">IFERROR(__xludf.DUMMYFUNCTION("""COMPUTED_VALUE"""),"DIRECCIÓN GENERAL DE MUSEOS, ARTES VISUALES Y EXPOSICIONES")</f>
        <v>DIRECCIÓN GENERAL DE MUSEOS, ARTES VISUALES Y EXPOSICIONES</v>
      </c>
      <c r="J220" s="30" t="str">
        <f ca="1">IFERROR(__xludf.DUMMYFUNCTION("""COMPUTED_VALUE"""),"Número de Actividades realizadas")</f>
        <v>Número de Actividades realizadas</v>
      </c>
      <c r="K220" s="30">
        <f ca="1">IFERROR(__xludf.DUMMYFUNCTION("""COMPUTED_VALUE"""),800)</f>
        <v>800</v>
      </c>
      <c r="L220" s="30" t="str">
        <f ca="1">IFERROR(__xludf.DUMMYFUNCTION("""COMPUTED_VALUE"""),"Cultural")</f>
        <v>Cultural</v>
      </c>
      <c r="M220" s="30" t="str">
        <f ca="1">IFERROR(__xludf.DUMMYFUNCTION("""COMPUTED_VALUE"""),"Visita Escolar ""Preparatoria Alonso Espino""")</f>
        <v>Visita Escolar "Preparatoria Alonso Espino"</v>
      </c>
      <c r="N220" s="30" t="str">
        <f ca="1">IFERROR(__xludf.DUMMYFUNCTION("""COMPUTED_VALUE"""),"Visita Mediada")</f>
        <v>Visita Mediada</v>
      </c>
      <c r="O220" s="30" t="str">
        <f ca="1">IFERROR(__xludf.DUMMYFUNCTION("""COMPUTED_VALUE"""),"Única")</f>
        <v>Única</v>
      </c>
      <c r="P220" s="33">
        <f ca="1">IFERROR(__xludf.DUMMYFUNCTION("""COMPUTED_VALUE"""),46197)</f>
        <v>46197</v>
      </c>
      <c r="Q220" s="33">
        <f ca="1">IFERROR(__xludf.DUMMYFUNCTION("""COMPUTED_VALUE"""),46197)</f>
        <v>46197</v>
      </c>
      <c r="R220" s="30">
        <f ca="1">IFERROR(__xludf.DUMMYFUNCTION("""COMPUTED_VALUE"""),1)</f>
        <v>1</v>
      </c>
      <c r="S220" s="30" t="str">
        <f ca="1">IFERROR(__xludf.DUMMYFUNCTION("""COMPUTED_VALUE"""),"Cultura comunitaria")</f>
        <v>Cultura comunitaria</v>
      </c>
      <c r="T220" s="30" t="str">
        <f ca="1">IFERROR(__xludf.DUMMYFUNCTION("""COMPUTED_VALUE"""),"Mediación cultural")</f>
        <v>Mediación cultural</v>
      </c>
      <c r="U220" s="30" t="str">
        <f ca="1">IFERROR(__xludf.DUMMYFUNCTION("""COMPUTED_VALUE"""),"Visitas escolares")</f>
        <v>Visitas escolares</v>
      </c>
      <c r="V220" s="30" t="str">
        <f ca="1">IFERROR(__xludf.DUMMYFUNCTION("""COMPUTED_VALUE"""),"Ninguna")</f>
        <v>Ninguna</v>
      </c>
      <c r="W220" s="30" t="str">
        <f ca="1">IFERROR(__xludf.DUMMYFUNCTION("""COMPUTED_VALUE"""),"Presencial")</f>
        <v>Presencial</v>
      </c>
      <c r="X220" s="30" t="str">
        <f ca="1">IFERROR(__xludf.DUMMYFUNCTION("""COMPUTED_VALUE"""),"Espacio a Cargo de la Secretaría")</f>
        <v>Espacio a Cargo de la Secretaría</v>
      </c>
      <c r="Y220" s="30" t="str">
        <f ca="1">IFERROR(__xludf.DUMMYFUNCTION("""COMPUTED_VALUE"""),"8")</f>
        <v>8</v>
      </c>
      <c r="Z220" s="30"/>
      <c r="AA220" s="30"/>
      <c r="AB220" s="30" t="b">
        <f ca="1">IFERROR(__xludf.DUMMYFUNCTION("""COMPUTED_VALUE"""),FALSE)</f>
        <v>0</v>
      </c>
      <c r="AC220" s="30"/>
      <c r="AD220" s="30" t="b">
        <f ca="1">IFERROR(__xludf.DUMMYFUNCTION("""COMPUTED_VALUE"""),FALSE)</f>
        <v>0</v>
      </c>
      <c r="AE220" s="30"/>
      <c r="AF220" s="30" t="b">
        <f ca="1">IFERROR(__xludf.DUMMYFUNCTION("""COMPUTED_VALUE"""),FALSE)</f>
        <v>0</v>
      </c>
      <c r="AG220" s="30"/>
      <c r="AH220" s="30" t="str">
        <f ca="1">IFERROR(__xludf.DUMMYFUNCTION("""COMPUTED_VALUE"""),"Sin costo")</f>
        <v>Sin costo</v>
      </c>
      <c r="AI220" s="30"/>
      <c r="AJ220" s="30"/>
      <c r="AK220" s="30"/>
      <c r="AL220" s="30" t="str">
        <f ca="1">IFERROR(__xludf.DUMMYFUNCTION("""COMPUTED_VALUE"""),"ccardonav@guanajuato.gob.mx")</f>
        <v>ccardonav@guanajuato.gob.mx</v>
      </c>
      <c r="AM220" s="30" t="str">
        <f ca="1">IFERROR(__xludf.DUMMYFUNCTION("""COMPUTED_VALUE"""),"Arraigo y empoderamiento cultural de comunidades.")</f>
        <v>Arraigo y empoderamiento cultural de comunidades.</v>
      </c>
      <c r="AN220" s="30" t="str">
        <f ca="1">IFERROR(__xludf.DUMMYFUNCTION("""COMPUTED_VALUE"""),"2 Igualdad")</f>
        <v>2 Igualdad</v>
      </c>
      <c r="AO220" s="30" t="str">
        <f ca="1">IFERROR(__xludf.DUMMYFUNCTION("""COMPUTED_VALUE"""),"2.4 Reducir brechas de desigualdad")</f>
        <v>2.4 Reducir brechas de desigualdad</v>
      </c>
      <c r="AP220" s="30" t="str">
        <f ca="1">IFERROR(__xludf.DUMMYFUNCTION("""COMPUTED_VALUE"""),"2.4.3 Descentralización de la oferta cultural")</f>
        <v>2.4.3 Descentralización de la oferta cultural</v>
      </c>
      <c r="AQ220" s="30" t="str">
        <f ca="1">IFERROR(__xludf.DUMMYFUNCTION("""COMPUTED_VALUE"""),"2.4.3.1 Impulsar el desarrollo artístico y cultural entre infancias y juventudes")</f>
        <v>2.4.3.1 Impulsar el desarrollo artístico y cultural entre infancias y juventudes</v>
      </c>
      <c r="AR220" s="30" t="str">
        <f ca="1">IFERROR(__xludf.DUMMYFUNCTION("""COMPUTED_VALUE"""),"Ninguno")</f>
        <v>Ninguno</v>
      </c>
      <c r="AS220" s="30"/>
      <c r="AT220" s="30" t="str">
        <f ca="1">IFERROR(__xludf.DUMMYFUNCTION("""COMPUTED_VALUE"""),"Fortalecimiento de la participación ciudadana y la mediación cultural")</f>
        <v>Fortalecimiento de la participación ciudadana y la mediación cultural</v>
      </c>
      <c r="AU220" s="30" t="str">
        <f ca="1">IFERROR(__xludf.DUMMYFUNCTION("""COMPUTED_VALUE"""),"Fortalecimiento del diálogo, la mediación y las capacidades de las redes comunitarias.")</f>
        <v>Fortalecimiento del diálogo, la mediación y las capacidades de las redes comunitarias.</v>
      </c>
      <c r="AV220"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20" s="30" t="str">
        <f ca="1">IFERROR(__xludf.DUMMYFUNCTION("""COMPUTED_VALUE"""),"Incrementar en 25% la oferta cultural realizada en los municipios.")</f>
        <v>Incrementar en 25% la oferta cultural realizada en los municipios.</v>
      </c>
      <c r="AX220" s="30" t="str">
        <f ca="1">IFERROR(__xludf.DUMMYFUNCTION("""COMPUTED_VALUE"""),"Visitas escolares")</f>
        <v>Visitas escolares</v>
      </c>
      <c r="AY220" s="30" t="str">
        <f ca="1">IFERROR(__xludf.DUMMYFUNCTION("""COMPUTED_VALUE"""),"Mediación")</f>
        <v>Mediación</v>
      </c>
      <c r="AZ220" s="30"/>
      <c r="BA220" s="30"/>
      <c r="BB220" s="30"/>
      <c r="BC220" s="30">
        <f ca="1">IFERROR(__xludf.DUMMYFUNCTION("""COMPUTED_VALUE"""),0)</f>
        <v>0</v>
      </c>
      <c r="BD220" s="30"/>
      <c r="BE220" s="30"/>
      <c r="BF220" s="30" t="b">
        <f ca="1">IFERROR(__xludf.DUMMYFUNCTION("""COMPUTED_VALUE"""),FALSE)</f>
        <v>0</v>
      </c>
      <c r="BG220" s="30"/>
      <c r="BH220" s="30"/>
      <c r="BI220" s="30"/>
      <c r="BJ220" s="30"/>
      <c r="BK220" s="30"/>
      <c r="BL220" s="30"/>
      <c r="BM220" s="30" t="str">
        <f ca="1">IFERROR(__xludf.DUMMYFUNCTION("""COMPUTED_VALUE"""),"No")</f>
        <v>No</v>
      </c>
      <c r="BN220" s="30"/>
      <c r="BO220" s="30" t="str">
        <f ca="1">IFERROR(__xludf.DUMMYFUNCTION("""COMPUTED_VALUE"""),"7549335b")</f>
        <v>7549335b</v>
      </c>
      <c r="BP220" s="29" t="str">
        <f ca="1">IFERROR(__xludf.DUMMYFUNCTION("""COMPUTED_VALUE"""),"León")</f>
        <v>León</v>
      </c>
      <c r="BQ220" s="30" t="str">
        <f ca="1">IFERROR(__xludf.DUMMYFUNCTION("""COMPUTED_VALUE"""),"Urbano")</f>
        <v>Urbano</v>
      </c>
      <c r="BR220" s="30"/>
      <c r="BS220" s="30"/>
      <c r="BT220" s="30" t="str">
        <f ca="1">IFERROR(__xludf.DUMMYFUNCTION("""COMPUTED_VALUE"""),"La Martinica")</f>
        <v>La Martinica</v>
      </c>
      <c r="BU220" s="30" t="str">
        <f ca="1">IFERROR(__xludf.DUMMYFUNCTION("""COMPUTED_VALUE"""),"No")</f>
        <v>No</v>
      </c>
      <c r="BV220" s="30" t="str">
        <f ca="1">IFERROR(__xludf.DUMMYFUNCTION("""COMPUTED_VALUE"""),"No")</f>
        <v>No</v>
      </c>
      <c r="BW220" s="30">
        <f ca="1">IFERROR(__xludf.DUMMYFUNCTION("""COMPUTED_VALUE"""),4)</f>
        <v>4</v>
      </c>
      <c r="BX220" s="30">
        <f ca="1">IFERROR(__xludf.DUMMYFUNCTION("""COMPUTED_VALUE"""),4)</f>
        <v>4</v>
      </c>
      <c r="BY220" s="30">
        <f ca="1">IFERROR(__xludf.DUMMYFUNCTION("""COMPUTED_VALUE"""),0)</f>
        <v>0</v>
      </c>
      <c r="BZ220" s="30" t="str">
        <f ca="1">IFERROR(__xludf.DUMMYFUNCTION("""COMPUTED_VALUE"""),"La Martinica")</f>
        <v>La Martinica</v>
      </c>
      <c r="CA220" s="30" t="str">
        <f ca="1">IFERROR(__xludf.DUMMYFUNCTION("""COMPUTED_VALUE"""),"No")</f>
        <v>No</v>
      </c>
      <c r="CB220" s="30" t="str">
        <f ca="1">IFERROR(__xludf.DUMMYFUNCTION("""COMPUTED_VALUE"""),"No")</f>
        <v>No</v>
      </c>
      <c r="CC220" s="30" t="str">
        <f ca="1">IFERROR(__xludf.DUMMYFUNCTION("""COMPUTED_VALUE"""),"fe792afa")</f>
        <v>fe792afa</v>
      </c>
      <c r="CD220" s="29" t="str">
        <f ca="1">IFERROR(__xludf.DUMMYFUNCTION("""COMPUTED_VALUE"""),"Adultos (30 a 59 años)")</f>
        <v>Adultos (30 a 59 años)</v>
      </c>
      <c r="CE220" s="30" t="str">
        <f ca="1">IFERROR(__xludf.DUMMYFUNCTION("""COMPUTED_VALUE"""),"Dato global")</f>
        <v>Dato global</v>
      </c>
      <c r="CF220" s="30" t="str">
        <f ca="1">IFERROR(__xludf.DUMMYFUNCTION("""COMPUTED_VALUE"""),"Ninguno (Población General)")</f>
        <v>Ninguno (Población General)</v>
      </c>
      <c r="CG220" s="30">
        <f ca="1">IFERROR(__xludf.DUMMYFUNCTION("""COMPUTED_VALUE"""),5)</f>
        <v>5</v>
      </c>
      <c r="CI220" s="30" t="str">
        <f ca="1">IFERROR(__xludf.DUMMYFUNCTION("""COMPUTED_VALUE"""),"976700ca")</f>
        <v>976700ca</v>
      </c>
      <c r="CJ220" s="29" t="str">
        <f ca="1">IFERROR(__xludf.DUMMYFUNCTION("""COMPUTED_VALUE"""),"Regitro_Evidencia_Images/976700ca.Archivo_Evidencia.200844.jpg")</f>
        <v>Regitro_Evidencia_Images/976700ca.Archivo_Evidencia.200844.jpg</v>
      </c>
      <c r="CK220" s="30" t="str">
        <f ca="1">IFERROR(__xludf.DUMMYFUNCTION("""COMPUTED_VALUE"""),"Foto")</f>
        <v>Foto</v>
      </c>
      <c r="CL220" s="30" t="str">
        <f ca="1">IFERROR(__xludf.DUMMYFUNCTION("""COMPUTED_VALUE"""),"Laboratorio donde el cuerpo se aborda como un territorio vivo de mitos, mandatos y patrones.")</f>
        <v>Laboratorio donde el cuerpo se aborda como un territorio vivo de mitos, mandatos y patrones.</v>
      </c>
      <c r="CM220" s="30" t="str">
        <f ca="1">IFERROR(__xludf.DUMMYFUNCTION("""COMPUTED_VALUE"""),"León")</f>
        <v>León</v>
      </c>
      <c r="CN220" s="32" t="e">
        <f ca="1"/>
        <v>#NAME?</v>
      </c>
      <c r="CO220" s="32" t="e">
        <f ca="1"/>
        <v>#NAME?</v>
      </c>
      <c r="CP220" s="32" t="e">
        <f ca="1"/>
        <v>#NAME?</v>
      </c>
      <c r="CQ220" s="32" t="e">
        <f ca="1"/>
        <v>#NAME?</v>
      </c>
      <c r="CR220" s="30" t="e">
        <f ca="1"/>
        <v>#NAME?</v>
      </c>
      <c r="CS220"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221" spans="1:97" ht="13">
      <c r="A221" s="29" t="str">
        <f ca="1">IFERROR(__xludf.DUMMYFUNCTION("""COMPUTED_VALUE"""),"ACT-SCHE24369")</f>
        <v>ACT-SCHE24369</v>
      </c>
      <c r="B221" s="30" t="str">
        <f ca="1">IFERROR(__xludf.DUMMYFUNCTION("""COMPUTED_VALUE"""),"SC-260706-123253")</f>
        <v>SC-260706-123253</v>
      </c>
      <c r="C221" s="62">
        <f ca="1">IFERROR(__xludf.DUMMYFUNCTION("""COMPUTED_VALUE"""),46209.5228356481)</f>
        <v>46209.522835648102</v>
      </c>
      <c r="D221" s="30">
        <f ca="1">IFERROR(__xludf.DUMMYFUNCTION("""COMPUTED_VALUE"""),92)</f>
        <v>92</v>
      </c>
      <c r="E221" s="30" t="str">
        <f ca="1">IFERROR(__xludf.DUMMYFUNCTION("""COMPUTED_VALUE"""),"PB3572")</f>
        <v>PB3572</v>
      </c>
      <c r="F22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1" s="30" t="str">
        <f ca="1">IFERROR(__xludf.DUMMYFUNCTION("""COMPUTED_VALUE"""),"SUBSECRETARÍA DE DESARROLLO Y PROMOCIÓN ARTÍSTICA Y CULTURAL")</f>
        <v>SUBSECRETARÍA DE DESARROLLO Y PROMOCIÓN ARTÍSTICA Y CULTURAL</v>
      </c>
      <c r="I221" s="34" t="str">
        <f ca="1">IFERROR(__xludf.DUMMYFUNCTION("""COMPUTED_VALUE"""),"DIRECCIÓN GENERAL DE MUSEOS, ARTES VISUALES Y EXPOSICIONES")</f>
        <v>DIRECCIÓN GENERAL DE MUSEOS, ARTES VISUALES Y EXPOSICIONES</v>
      </c>
      <c r="J221" s="30" t="str">
        <f ca="1">IFERROR(__xludf.DUMMYFUNCTION("""COMPUTED_VALUE"""),"Número de Actividades realizadas")</f>
        <v>Número de Actividades realizadas</v>
      </c>
      <c r="K221" s="30">
        <f ca="1">IFERROR(__xludf.DUMMYFUNCTION("""COMPUTED_VALUE"""),800)</f>
        <v>800</v>
      </c>
      <c r="L221" s="30" t="str">
        <f ca="1">IFERROR(__xludf.DUMMYFUNCTION("""COMPUTED_VALUE"""),"Cultural")</f>
        <v>Cultural</v>
      </c>
      <c r="M221" s="30" t="str">
        <f ca="1">IFERROR(__xludf.DUMMYFUNCTION("""COMPUTED_VALUE"""),"Visita escolar "" Colegio Nueva Juventud""")</f>
        <v>Visita escolar " Colegio Nueva Juventud"</v>
      </c>
      <c r="N221" s="30" t="str">
        <f ca="1">IFERROR(__xludf.DUMMYFUNCTION("""COMPUTED_VALUE"""),"Visita Mediada")</f>
        <v>Visita Mediada</v>
      </c>
      <c r="O221" s="30" t="str">
        <f ca="1">IFERROR(__xludf.DUMMYFUNCTION("""COMPUTED_VALUE"""),"Única")</f>
        <v>Única</v>
      </c>
      <c r="P221" s="33">
        <f ca="1">IFERROR(__xludf.DUMMYFUNCTION("""COMPUTED_VALUE"""),46199)</f>
        <v>46199</v>
      </c>
      <c r="Q221" s="33">
        <f ca="1">IFERROR(__xludf.DUMMYFUNCTION("""COMPUTED_VALUE"""),46199)</f>
        <v>46199</v>
      </c>
      <c r="R221" s="30">
        <f ca="1">IFERROR(__xludf.DUMMYFUNCTION("""COMPUTED_VALUE"""),1)</f>
        <v>1</v>
      </c>
      <c r="S221" s="30" t="str">
        <f ca="1">IFERROR(__xludf.DUMMYFUNCTION("""COMPUTED_VALUE"""),"Cultura comunitaria")</f>
        <v>Cultura comunitaria</v>
      </c>
      <c r="T221" s="30" t="str">
        <f ca="1">IFERROR(__xludf.DUMMYFUNCTION("""COMPUTED_VALUE"""),"Mediación cultural")</f>
        <v>Mediación cultural</v>
      </c>
      <c r="U221" s="30" t="str">
        <f ca="1">IFERROR(__xludf.DUMMYFUNCTION("""COMPUTED_VALUE"""),"Visitas escolares")</f>
        <v>Visitas escolares</v>
      </c>
      <c r="V221" s="30" t="str">
        <f ca="1">IFERROR(__xludf.DUMMYFUNCTION("""COMPUTED_VALUE"""),"Ninguna")</f>
        <v>Ninguna</v>
      </c>
      <c r="W221" s="30" t="str">
        <f ca="1">IFERROR(__xludf.DUMMYFUNCTION("""COMPUTED_VALUE"""),"Presencial")</f>
        <v>Presencial</v>
      </c>
      <c r="X221" s="30" t="str">
        <f ca="1">IFERROR(__xludf.DUMMYFUNCTION("""COMPUTED_VALUE"""),"Espacio a Cargo de la Secretaría")</f>
        <v>Espacio a Cargo de la Secretaría</v>
      </c>
      <c r="Y221" s="30" t="str">
        <f ca="1">IFERROR(__xludf.DUMMYFUNCTION("""COMPUTED_VALUE"""),"8")</f>
        <v>8</v>
      </c>
      <c r="Z221" s="30"/>
      <c r="AA221" s="30"/>
      <c r="AB221" s="30" t="b">
        <f ca="1">IFERROR(__xludf.DUMMYFUNCTION("""COMPUTED_VALUE"""),FALSE)</f>
        <v>0</v>
      </c>
      <c r="AC221" s="30"/>
      <c r="AD221" s="30" t="b">
        <f ca="1">IFERROR(__xludf.DUMMYFUNCTION("""COMPUTED_VALUE"""),FALSE)</f>
        <v>0</v>
      </c>
      <c r="AE221" s="30"/>
      <c r="AF221" s="30" t="b">
        <f ca="1">IFERROR(__xludf.DUMMYFUNCTION("""COMPUTED_VALUE"""),FALSE)</f>
        <v>0</v>
      </c>
      <c r="AG221" s="30"/>
      <c r="AH221" s="30" t="str">
        <f ca="1">IFERROR(__xludf.DUMMYFUNCTION("""COMPUTED_VALUE"""),"Sin costo")</f>
        <v>Sin costo</v>
      </c>
      <c r="AI221" s="30"/>
      <c r="AJ221" s="30"/>
      <c r="AK221" s="30"/>
      <c r="AL221" s="30" t="str">
        <f ca="1">IFERROR(__xludf.DUMMYFUNCTION("""COMPUTED_VALUE"""),"ccardonav@guanajuato.gob.mx")</f>
        <v>ccardonav@guanajuato.gob.mx</v>
      </c>
      <c r="AM221" s="30" t="str">
        <f ca="1">IFERROR(__xludf.DUMMYFUNCTION("""COMPUTED_VALUE"""),"Arraigo y empoderamiento cultural de comunidades.")</f>
        <v>Arraigo y empoderamiento cultural de comunidades.</v>
      </c>
      <c r="AN221" s="30" t="str">
        <f ca="1">IFERROR(__xludf.DUMMYFUNCTION("""COMPUTED_VALUE"""),"2 Igualdad")</f>
        <v>2 Igualdad</v>
      </c>
      <c r="AO221" s="30" t="str">
        <f ca="1">IFERROR(__xludf.DUMMYFUNCTION("""COMPUTED_VALUE"""),"2.4 Reducir brechas de desigualdad")</f>
        <v>2.4 Reducir brechas de desigualdad</v>
      </c>
      <c r="AP221" s="30" t="str">
        <f ca="1">IFERROR(__xludf.DUMMYFUNCTION("""COMPUTED_VALUE"""),"2.4.3 Descentralización de la oferta cultural")</f>
        <v>2.4.3 Descentralización de la oferta cultural</v>
      </c>
      <c r="AQ221" s="30" t="str">
        <f ca="1">IFERROR(__xludf.DUMMYFUNCTION("""COMPUTED_VALUE"""),"2.4.3.1 Impulsar el desarrollo artístico y cultural entre infancias y juventudes")</f>
        <v>2.4.3.1 Impulsar el desarrollo artístico y cultural entre infancias y juventudes</v>
      </c>
      <c r="AR221" s="30" t="str">
        <f ca="1">IFERROR(__xludf.DUMMYFUNCTION("""COMPUTED_VALUE"""),"Ninguno")</f>
        <v>Ninguno</v>
      </c>
      <c r="AS221" s="30"/>
      <c r="AT221" s="30" t="str">
        <f ca="1">IFERROR(__xludf.DUMMYFUNCTION("""COMPUTED_VALUE"""),"Fortalecimiento de la participación ciudadana y la mediación cultural")</f>
        <v>Fortalecimiento de la participación ciudadana y la mediación cultural</v>
      </c>
      <c r="AU221" s="30" t="str">
        <f ca="1">IFERROR(__xludf.DUMMYFUNCTION("""COMPUTED_VALUE"""),"Fortalecimiento del diálogo, la mediación y las capacidades de las redes comunitarias.")</f>
        <v>Fortalecimiento del diálogo, la mediación y las capacidades de las redes comunitarias.</v>
      </c>
      <c r="AV22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21" s="30" t="str">
        <f ca="1">IFERROR(__xludf.DUMMYFUNCTION("""COMPUTED_VALUE"""),"Incrementar en 25% la oferta cultural realizada en los municipios.")</f>
        <v>Incrementar en 25% la oferta cultural realizada en los municipios.</v>
      </c>
      <c r="AX221" s="30" t="str">
        <f ca="1">IFERROR(__xludf.DUMMYFUNCTION("""COMPUTED_VALUE"""),"Visitas escolares")</f>
        <v>Visitas escolares</v>
      </c>
      <c r="AY221" s="30" t="str">
        <f ca="1">IFERROR(__xludf.DUMMYFUNCTION("""COMPUTED_VALUE"""),"Mediación")</f>
        <v>Mediación</v>
      </c>
      <c r="AZ221" s="30"/>
      <c r="BA221" s="30"/>
      <c r="BB221" s="30"/>
      <c r="BC221" s="30">
        <f ca="1">IFERROR(__xludf.DUMMYFUNCTION("""COMPUTED_VALUE"""),0)</f>
        <v>0</v>
      </c>
      <c r="BD221" s="30"/>
      <c r="BE221" s="30"/>
      <c r="BF221" s="30" t="b">
        <f ca="1">IFERROR(__xludf.DUMMYFUNCTION("""COMPUTED_VALUE"""),FALSE)</f>
        <v>0</v>
      </c>
      <c r="BG221" s="30"/>
      <c r="BH221" s="30"/>
      <c r="BI221" s="30"/>
      <c r="BJ221" s="30"/>
      <c r="BK221" s="30"/>
      <c r="BL221" s="30"/>
      <c r="BM221" s="30" t="str">
        <f ca="1">IFERROR(__xludf.DUMMYFUNCTION("""COMPUTED_VALUE"""),"No")</f>
        <v>No</v>
      </c>
      <c r="BN221" s="30"/>
      <c r="BO221" s="30" t="str">
        <f ca="1">IFERROR(__xludf.DUMMYFUNCTION("""COMPUTED_VALUE"""),"07c5fdb3")</f>
        <v>07c5fdb3</v>
      </c>
      <c r="BP221" s="29" t="str">
        <f ca="1">IFERROR(__xludf.DUMMYFUNCTION("""COMPUTED_VALUE"""),"León")</f>
        <v>León</v>
      </c>
      <c r="BQ221" s="30" t="str">
        <f ca="1">IFERROR(__xludf.DUMMYFUNCTION("""COMPUTED_VALUE"""),"Urbano")</f>
        <v>Urbano</v>
      </c>
      <c r="BR221" s="30"/>
      <c r="BS221" s="30"/>
      <c r="BT221" s="30" t="str">
        <f ca="1">IFERROR(__xludf.DUMMYFUNCTION("""COMPUTED_VALUE"""),"La Martinica")</f>
        <v>La Martinica</v>
      </c>
      <c r="BU221" s="30" t="str">
        <f ca="1">IFERROR(__xludf.DUMMYFUNCTION("""COMPUTED_VALUE"""),"No")</f>
        <v>No</v>
      </c>
      <c r="BV221" s="30" t="str">
        <f ca="1">IFERROR(__xludf.DUMMYFUNCTION("""COMPUTED_VALUE"""),"No")</f>
        <v>No</v>
      </c>
      <c r="BW221" s="30">
        <f ca="1">IFERROR(__xludf.DUMMYFUNCTION("""COMPUTED_VALUE"""),24)</f>
        <v>24</v>
      </c>
      <c r="BX221" s="30">
        <f ca="1">IFERROR(__xludf.DUMMYFUNCTION("""COMPUTED_VALUE"""),24)</f>
        <v>24</v>
      </c>
      <c r="BY221" s="30">
        <f ca="1">IFERROR(__xludf.DUMMYFUNCTION("""COMPUTED_VALUE"""),0)</f>
        <v>0</v>
      </c>
      <c r="BZ221" s="30" t="str">
        <f ca="1">IFERROR(__xludf.DUMMYFUNCTION("""COMPUTED_VALUE"""),"La Martinica")</f>
        <v>La Martinica</v>
      </c>
      <c r="CA221" s="30" t="str">
        <f ca="1">IFERROR(__xludf.DUMMYFUNCTION("""COMPUTED_VALUE"""),"No")</f>
        <v>No</v>
      </c>
      <c r="CB221" s="30" t="str">
        <f ca="1">IFERROR(__xludf.DUMMYFUNCTION("""COMPUTED_VALUE"""),"No")</f>
        <v>No</v>
      </c>
      <c r="CC221" s="30" t="str">
        <f ca="1">IFERROR(__xludf.DUMMYFUNCTION("""COMPUTED_VALUE"""),"ad63fbf1")</f>
        <v>ad63fbf1</v>
      </c>
      <c r="CD221" s="29" t="str">
        <f ca="1">IFERROR(__xludf.DUMMYFUNCTION("""COMPUTED_VALUE"""),"Adultos Mayores (60 años o más)")</f>
        <v>Adultos Mayores (60 años o más)</v>
      </c>
      <c r="CE221" s="30" t="str">
        <f ca="1">IFERROR(__xludf.DUMMYFUNCTION("""COMPUTED_VALUE"""),"Dato global")</f>
        <v>Dato global</v>
      </c>
      <c r="CF221" s="30" t="str">
        <f ca="1">IFERROR(__xludf.DUMMYFUNCTION("""COMPUTED_VALUE"""),"Ninguno (Población General)")</f>
        <v>Ninguno (Población General)</v>
      </c>
      <c r="CG221" s="30">
        <f ca="1">IFERROR(__xludf.DUMMYFUNCTION("""COMPUTED_VALUE"""),5)</f>
        <v>5</v>
      </c>
      <c r="CI221" s="30" t="str">
        <f ca="1">IFERROR(__xludf.DUMMYFUNCTION("""COMPUTED_VALUE"""),"f82976ab")</f>
        <v>f82976ab</v>
      </c>
      <c r="CJ221" s="29" t="str">
        <f ca="1">IFERROR(__xludf.DUMMYFUNCTION("""COMPUTED_VALUE"""),"Regitro_Evidencia_Images/f82976ab.Archivo_Evidencia.215920.jpg")</f>
        <v>Regitro_Evidencia_Images/f82976ab.Archivo_Evidencia.215920.jpg</v>
      </c>
      <c r="CK221" s="30" t="str">
        <f ca="1">IFERROR(__xludf.DUMMYFUNCTION("""COMPUTED_VALUE"""),"Foto")</f>
        <v>Foto</v>
      </c>
      <c r="CL221" s="30" t="str">
        <f ca="1">IFERROR(__xludf.DUMMYFUNCTION("""COMPUTED_VALUE"""),"Foto que muestra una sesión práctica de estampación y transferencia botánica.")</f>
        <v>Foto que muestra una sesión práctica de estampación y transferencia botánica.</v>
      </c>
      <c r="CM221" s="30" t="str">
        <f ca="1">IFERROR(__xludf.DUMMYFUNCTION("""COMPUTED_VALUE"""),"León")</f>
        <v>León</v>
      </c>
      <c r="CN221" s="32" t="e">
        <f ca="1"/>
        <v>#NAME?</v>
      </c>
      <c r="CO221" s="32" t="e">
        <f ca="1"/>
        <v>#NAME?</v>
      </c>
      <c r="CP221" s="32" t="e">
        <f ca="1"/>
        <v>#NAME?</v>
      </c>
      <c r="CQ221" s="32" t="e">
        <f ca="1"/>
        <v>#NAME?</v>
      </c>
      <c r="CR221" s="30" t="e">
        <f ca="1"/>
        <v>#NAME?</v>
      </c>
      <c r="CS221"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222" spans="1:97" ht="13">
      <c r="A222" s="29" t="str">
        <f ca="1">IFERROR(__xludf.DUMMYFUNCTION("""COMPUTED_VALUE"""),"ACT-SCMQ02384")</f>
        <v>ACT-SCMQ02384</v>
      </c>
      <c r="B222" s="30" t="str">
        <f ca="1">IFERROR(__xludf.DUMMYFUNCTION("""COMPUTED_VALUE"""),"SC-260706-123549")</f>
        <v>SC-260706-123549</v>
      </c>
      <c r="C222" s="62">
        <f ca="1">IFERROR(__xludf.DUMMYFUNCTION("""COMPUTED_VALUE"""),46209.5248726851)</f>
        <v>46209.524872685099</v>
      </c>
      <c r="D222" s="30">
        <f ca="1">IFERROR(__xludf.DUMMYFUNCTION("""COMPUTED_VALUE"""),92)</f>
        <v>92</v>
      </c>
      <c r="E222" s="30" t="str">
        <f ca="1">IFERROR(__xludf.DUMMYFUNCTION("""COMPUTED_VALUE"""),"PB3572")</f>
        <v>PB3572</v>
      </c>
      <c r="F22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2" s="30" t="str">
        <f ca="1">IFERROR(__xludf.DUMMYFUNCTION("""COMPUTED_VALUE"""),"SUBSECRETARÍA DE DESARROLLO Y PROMOCIÓN ARTÍSTICA Y CULTURAL")</f>
        <v>SUBSECRETARÍA DE DESARROLLO Y PROMOCIÓN ARTÍSTICA Y CULTURAL</v>
      </c>
      <c r="I222" s="34" t="str">
        <f ca="1">IFERROR(__xludf.DUMMYFUNCTION("""COMPUTED_VALUE"""),"DIRECCIÓN GENERAL DE MUSEOS, ARTES VISUALES Y EXPOSICIONES")</f>
        <v>DIRECCIÓN GENERAL DE MUSEOS, ARTES VISUALES Y EXPOSICIONES</v>
      </c>
      <c r="J222" s="30" t="str">
        <f ca="1">IFERROR(__xludf.DUMMYFUNCTION("""COMPUTED_VALUE"""),"Número de Actividades realizadas")</f>
        <v>Número de Actividades realizadas</v>
      </c>
      <c r="K222" s="30">
        <f ca="1">IFERROR(__xludf.DUMMYFUNCTION("""COMPUTED_VALUE"""),800)</f>
        <v>800</v>
      </c>
      <c r="L222" s="30" t="str">
        <f ca="1">IFERROR(__xludf.DUMMYFUNCTION("""COMPUTED_VALUE"""),"Cultural")</f>
        <v>Cultural</v>
      </c>
      <c r="M222" s="30" t="str">
        <f ca="1">IFERROR(__xludf.DUMMYFUNCTION("""COMPUTED_VALUE"""),"Visita Escolar "" JUAN MANUEL CERVANTES IMAZ""")</f>
        <v>Visita Escolar " JUAN MANUEL CERVANTES IMAZ"</v>
      </c>
      <c r="N222" s="30" t="str">
        <f ca="1">IFERROR(__xludf.DUMMYFUNCTION("""COMPUTED_VALUE"""),"Visita Mediada")</f>
        <v>Visita Mediada</v>
      </c>
      <c r="O222" s="30" t="str">
        <f ca="1">IFERROR(__xludf.DUMMYFUNCTION("""COMPUTED_VALUE"""),"Única")</f>
        <v>Única</v>
      </c>
      <c r="P222" s="33">
        <f ca="1">IFERROR(__xludf.DUMMYFUNCTION("""COMPUTED_VALUE"""),46203)</f>
        <v>46203</v>
      </c>
      <c r="Q222" s="33">
        <f ca="1">IFERROR(__xludf.DUMMYFUNCTION("""COMPUTED_VALUE"""),46203)</f>
        <v>46203</v>
      </c>
      <c r="R222" s="30">
        <f ca="1">IFERROR(__xludf.DUMMYFUNCTION("""COMPUTED_VALUE"""),1)</f>
        <v>1</v>
      </c>
      <c r="S222" s="30" t="str">
        <f ca="1">IFERROR(__xludf.DUMMYFUNCTION("""COMPUTED_VALUE"""),"Cultura comunitaria")</f>
        <v>Cultura comunitaria</v>
      </c>
      <c r="T222" s="30" t="str">
        <f ca="1">IFERROR(__xludf.DUMMYFUNCTION("""COMPUTED_VALUE"""),"Mediación cultural")</f>
        <v>Mediación cultural</v>
      </c>
      <c r="U222" s="30" t="str">
        <f ca="1">IFERROR(__xludf.DUMMYFUNCTION("""COMPUTED_VALUE"""),"Visitas escolares")</f>
        <v>Visitas escolares</v>
      </c>
      <c r="V222" s="30" t="str">
        <f ca="1">IFERROR(__xludf.DUMMYFUNCTION("""COMPUTED_VALUE"""),"Ninguna")</f>
        <v>Ninguna</v>
      </c>
      <c r="W222" s="30" t="str">
        <f ca="1">IFERROR(__xludf.DUMMYFUNCTION("""COMPUTED_VALUE"""),"Presencial")</f>
        <v>Presencial</v>
      </c>
      <c r="X222" s="30" t="str">
        <f ca="1">IFERROR(__xludf.DUMMYFUNCTION("""COMPUTED_VALUE"""),"Espacio a Cargo de la Secretaría")</f>
        <v>Espacio a Cargo de la Secretaría</v>
      </c>
      <c r="Y222" s="30" t="str">
        <f ca="1">IFERROR(__xludf.DUMMYFUNCTION("""COMPUTED_VALUE"""),"8")</f>
        <v>8</v>
      </c>
      <c r="Z222" s="30"/>
      <c r="AA222" s="30"/>
      <c r="AB222" s="30" t="b">
        <f ca="1">IFERROR(__xludf.DUMMYFUNCTION("""COMPUTED_VALUE"""),FALSE)</f>
        <v>0</v>
      </c>
      <c r="AC222" s="30"/>
      <c r="AD222" s="30" t="b">
        <f ca="1">IFERROR(__xludf.DUMMYFUNCTION("""COMPUTED_VALUE"""),FALSE)</f>
        <v>0</v>
      </c>
      <c r="AE222" s="30"/>
      <c r="AF222" s="30" t="b">
        <f ca="1">IFERROR(__xludf.DUMMYFUNCTION("""COMPUTED_VALUE"""),FALSE)</f>
        <v>0</v>
      </c>
      <c r="AG222" s="30"/>
      <c r="AH222" s="30" t="str">
        <f ca="1">IFERROR(__xludf.DUMMYFUNCTION("""COMPUTED_VALUE"""),"Sin costo")</f>
        <v>Sin costo</v>
      </c>
      <c r="AI222" s="30"/>
      <c r="AJ222" s="30"/>
      <c r="AK222" s="30"/>
      <c r="AL222" s="30" t="str">
        <f ca="1">IFERROR(__xludf.DUMMYFUNCTION("""COMPUTED_VALUE"""),"ccardonav@guanajuato.gob.mx")</f>
        <v>ccardonav@guanajuato.gob.mx</v>
      </c>
      <c r="AM222" s="30" t="str">
        <f ca="1">IFERROR(__xludf.DUMMYFUNCTION("""COMPUTED_VALUE"""),"Arraigo y empoderamiento cultural de comunidades.")</f>
        <v>Arraigo y empoderamiento cultural de comunidades.</v>
      </c>
      <c r="AN222" s="30" t="str">
        <f ca="1">IFERROR(__xludf.DUMMYFUNCTION("""COMPUTED_VALUE"""),"2 Igualdad")</f>
        <v>2 Igualdad</v>
      </c>
      <c r="AO222" s="30" t="str">
        <f ca="1">IFERROR(__xludf.DUMMYFUNCTION("""COMPUTED_VALUE"""),"2.4 Reducir brechas de desigualdad")</f>
        <v>2.4 Reducir brechas de desigualdad</v>
      </c>
      <c r="AP222" s="30" t="str">
        <f ca="1">IFERROR(__xludf.DUMMYFUNCTION("""COMPUTED_VALUE"""),"2.4.3 Descentralización de la oferta cultural")</f>
        <v>2.4.3 Descentralización de la oferta cultural</v>
      </c>
      <c r="AQ222" s="30" t="str">
        <f ca="1">IFERROR(__xludf.DUMMYFUNCTION("""COMPUTED_VALUE"""),"2.4.3.1 Impulsar el desarrollo artístico y cultural entre infancias y juventudes")</f>
        <v>2.4.3.1 Impulsar el desarrollo artístico y cultural entre infancias y juventudes</v>
      </c>
      <c r="AR222" s="30" t="str">
        <f ca="1">IFERROR(__xludf.DUMMYFUNCTION("""COMPUTED_VALUE"""),"Ninguno")</f>
        <v>Ninguno</v>
      </c>
      <c r="AS222" s="30"/>
      <c r="AT222" s="30" t="str">
        <f ca="1">IFERROR(__xludf.DUMMYFUNCTION("""COMPUTED_VALUE"""),"Fortalecimiento de la participación ciudadana y la mediación cultural")</f>
        <v>Fortalecimiento de la participación ciudadana y la mediación cultural</v>
      </c>
      <c r="AU222" s="30" t="str">
        <f ca="1">IFERROR(__xludf.DUMMYFUNCTION("""COMPUTED_VALUE"""),"Fortalecimiento del diálogo, la mediación y las capacidades de las redes comunitarias.")</f>
        <v>Fortalecimiento del diálogo, la mediación y las capacidades de las redes comunitarias.</v>
      </c>
      <c r="AV22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22" s="30" t="str">
        <f ca="1">IFERROR(__xludf.DUMMYFUNCTION("""COMPUTED_VALUE"""),"Incrementar en 25% la oferta cultural realizada en los municipios.")</f>
        <v>Incrementar en 25% la oferta cultural realizada en los municipios.</v>
      </c>
      <c r="AX222" s="30" t="str">
        <f ca="1">IFERROR(__xludf.DUMMYFUNCTION("""COMPUTED_VALUE"""),"Visitas escolares")</f>
        <v>Visitas escolares</v>
      </c>
      <c r="AY222" s="30" t="str">
        <f ca="1">IFERROR(__xludf.DUMMYFUNCTION("""COMPUTED_VALUE"""),"Mediación")</f>
        <v>Mediación</v>
      </c>
      <c r="AZ222" s="30"/>
      <c r="BA222" s="30"/>
      <c r="BB222" s="30"/>
      <c r="BC222" s="30">
        <f ca="1">IFERROR(__xludf.DUMMYFUNCTION("""COMPUTED_VALUE"""),0)</f>
        <v>0</v>
      </c>
      <c r="BD222" s="30"/>
      <c r="BE222" s="30"/>
      <c r="BF222" s="30" t="b">
        <f ca="1">IFERROR(__xludf.DUMMYFUNCTION("""COMPUTED_VALUE"""),FALSE)</f>
        <v>0</v>
      </c>
      <c r="BG222" s="30"/>
      <c r="BH222" s="30"/>
      <c r="BI222" s="30"/>
      <c r="BJ222" s="30"/>
      <c r="BK222" s="30"/>
      <c r="BL222" s="30"/>
      <c r="BM222" s="30" t="str">
        <f ca="1">IFERROR(__xludf.DUMMYFUNCTION("""COMPUTED_VALUE"""),"No")</f>
        <v>No</v>
      </c>
      <c r="BN222" s="30"/>
      <c r="BO222" s="30" t="str">
        <f ca="1">IFERROR(__xludf.DUMMYFUNCTION("""COMPUTED_VALUE"""),"717fd5b4")</f>
        <v>717fd5b4</v>
      </c>
      <c r="BP222" s="29" t="str">
        <f ca="1">IFERROR(__xludf.DUMMYFUNCTION("""COMPUTED_VALUE"""),"León")</f>
        <v>León</v>
      </c>
      <c r="BQ222" s="30" t="str">
        <f ca="1">IFERROR(__xludf.DUMMYFUNCTION("""COMPUTED_VALUE"""),"Urbano")</f>
        <v>Urbano</v>
      </c>
      <c r="BR222" s="30"/>
      <c r="BS222" s="30"/>
      <c r="BT222" s="30" t="str">
        <f ca="1">IFERROR(__xludf.DUMMYFUNCTION("""COMPUTED_VALUE"""),"La Martinica")</f>
        <v>La Martinica</v>
      </c>
      <c r="BU222" s="30" t="str">
        <f ca="1">IFERROR(__xludf.DUMMYFUNCTION("""COMPUTED_VALUE"""),"No")</f>
        <v>No</v>
      </c>
      <c r="BV222" s="30" t="str">
        <f ca="1">IFERROR(__xludf.DUMMYFUNCTION("""COMPUTED_VALUE"""),"No")</f>
        <v>No</v>
      </c>
      <c r="BW222" s="30">
        <f ca="1">IFERROR(__xludf.DUMMYFUNCTION("""COMPUTED_VALUE"""),19)</f>
        <v>19</v>
      </c>
      <c r="BX222" s="30">
        <f ca="1">IFERROR(__xludf.DUMMYFUNCTION("""COMPUTED_VALUE"""),19)</f>
        <v>19</v>
      </c>
      <c r="BY222" s="30">
        <f ca="1">IFERROR(__xludf.DUMMYFUNCTION("""COMPUTED_VALUE"""),0)</f>
        <v>0</v>
      </c>
      <c r="BZ222" s="30" t="str">
        <f ca="1">IFERROR(__xludf.DUMMYFUNCTION("""COMPUTED_VALUE"""),"La Martinica")</f>
        <v>La Martinica</v>
      </c>
      <c r="CA222" s="30" t="str">
        <f ca="1">IFERROR(__xludf.DUMMYFUNCTION("""COMPUTED_VALUE"""),"No")</f>
        <v>No</v>
      </c>
      <c r="CB222" s="30" t="str">
        <f ca="1">IFERROR(__xludf.DUMMYFUNCTION("""COMPUTED_VALUE"""),"No")</f>
        <v>No</v>
      </c>
      <c r="CC222" s="30" t="str">
        <f ca="1">IFERROR(__xludf.DUMMYFUNCTION("""COMPUTED_VALUE"""),"071acb34")</f>
        <v>071acb34</v>
      </c>
      <c r="CD222" s="29" t="str">
        <f ca="1">IFERROR(__xludf.DUMMYFUNCTION("""COMPUTED_VALUE"""),"Jóvenes (18 a 29 años)")</f>
        <v>Jóvenes (18 a 29 años)</v>
      </c>
      <c r="CE222" s="30" t="str">
        <f ca="1">IFERROR(__xludf.DUMMYFUNCTION("""COMPUTED_VALUE"""),"Dato global")</f>
        <v>Dato global</v>
      </c>
      <c r="CF222" s="30" t="str">
        <f ca="1">IFERROR(__xludf.DUMMYFUNCTION("""COMPUTED_VALUE"""),"Ninguno (Población General)")</f>
        <v>Ninguno (Población General)</v>
      </c>
      <c r="CG222" s="30">
        <f ca="1">IFERROR(__xludf.DUMMYFUNCTION("""COMPUTED_VALUE"""),9)</f>
        <v>9</v>
      </c>
      <c r="CI222" s="30" t="str">
        <f ca="1">IFERROR(__xludf.DUMMYFUNCTION("""COMPUTED_VALUE"""),"7ed77c04")</f>
        <v>7ed77c04</v>
      </c>
      <c r="CJ222" s="29" t="str">
        <f ca="1">IFERROR(__xludf.DUMMYFUNCTION("""COMPUTED_VALUE"""),"Regitro_Evidencia_Images/7ed77c04.Archivo_Evidencia.215924.jpg")</f>
        <v>Regitro_Evidencia_Images/7ed77c04.Archivo_Evidencia.215924.jpg</v>
      </c>
      <c r="CK222" s="30" t="str">
        <f ca="1">IFERROR(__xludf.DUMMYFUNCTION("""COMPUTED_VALUE"""),"Foto")</f>
        <v>Foto</v>
      </c>
      <c r="CL222" s="30" t="str">
        <f ca="1">IFERROR(__xludf.DUMMYFUNCTION("""COMPUTED_VALUE"""),"Esta imagen documenta un momento de aprendizaje colectivo donde varios talleristas se reúnen alrededor de la mesa de trabajo.")</f>
        <v>Esta imagen documenta un momento de aprendizaje colectivo donde varios talleristas se reúnen alrededor de la mesa de trabajo.</v>
      </c>
      <c r="CM222" s="30" t="str">
        <f ca="1">IFERROR(__xludf.DUMMYFUNCTION("""COMPUTED_VALUE"""),"León")</f>
        <v>León</v>
      </c>
      <c r="CN222" s="32" t="e">
        <f ca="1"/>
        <v>#NAME?</v>
      </c>
      <c r="CO222" s="32" t="e">
        <f ca="1"/>
        <v>#NAME?</v>
      </c>
      <c r="CP222" s="32" t="e">
        <f ca="1"/>
        <v>#NAME?</v>
      </c>
      <c r="CQ222" s="32" t="e">
        <f ca="1"/>
        <v>#NAME?</v>
      </c>
      <c r="CR222" s="30" t="e">
        <f ca="1"/>
        <v>#NAME?</v>
      </c>
      <c r="CS222" s="30" t="str">
        <f ca="1">IFERROR(__xludf.DUMMYFUNCTION("""COMPUTED_VALUE"""),"Ninguno (Población General), Ninguno (Población General), Ninguno (Población General)")</f>
        <v>Ninguno (Población General), Ninguno (Población General), Ninguno (Población General)</v>
      </c>
    </row>
    <row r="223" spans="1:97" ht="13">
      <c r="A223" s="29" t="str">
        <f ca="1">IFERROR(__xludf.DUMMYFUNCTION("""COMPUTED_VALUE"""),"ACT-SCXN37407")</f>
        <v>ACT-SCXN37407</v>
      </c>
      <c r="B223" s="30" t="str">
        <f ca="1">IFERROR(__xludf.DUMMYFUNCTION("""COMPUTED_VALUE"""),"SC-260706-123943")</f>
        <v>SC-260706-123943</v>
      </c>
      <c r="C223" s="62">
        <f ca="1">IFERROR(__xludf.DUMMYFUNCTION("""COMPUTED_VALUE"""),46209.5275810185)</f>
        <v>46209.527581018498</v>
      </c>
      <c r="D223" s="30">
        <f ca="1">IFERROR(__xludf.DUMMYFUNCTION("""COMPUTED_VALUE"""),92)</f>
        <v>92</v>
      </c>
      <c r="E223" s="30" t="str">
        <f ca="1">IFERROR(__xludf.DUMMYFUNCTION("""COMPUTED_VALUE"""),"PB3572")</f>
        <v>PB3572</v>
      </c>
      <c r="F22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3" s="30" t="str">
        <f ca="1">IFERROR(__xludf.DUMMYFUNCTION("""COMPUTED_VALUE"""),"SUBSECRETARÍA DE DESARROLLO Y PROMOCIÓN ARTÍSTICA Y CULTURAL")</f>
        <v>SUBSECRETARÍA DE DESARROLLO Y PROMOCIÓN ARTÍSTICA Y CULTURAL</v>
      </c>
      <c r="I223" s="34" t="str">
        <f ca="1">IFERROR(__xludf.DUMMYFUNCTION("""COMPUTED_VALUE"""),"DIRECCIÓN GENERAL DE MUSEOS, ARTES VISUALES Y EXPOSICIONES")</f>
        <v>DIRECCIÓN GENERAL DE MUSEOS, ARTES VISUALES Y EXPOSICIONES</v>
      </c>
      <c r="J223" s="30" t="str">
        <f ca="1">IFERROR(__xludf.DUMMYFUNCTION("""COMPUTED_VALUE"""),"Número de Actividades realizadas")</f>
        <v>Número de Actividades realizadas</v>
      </c>
      <c r="K223" s="30">
        <f ca="1">IFERROR(__xludf.DUMMYFUNCTION("""COMPUTED_VALUE"""),800)</f>
        <v>800</v>
      </c>
      <c r="L223" s="30" t="str">
        <f ca="1">IFERROR(__xludf.DUMMYFUNCTION("""COMPUTED_VALUE"""),"Artística")</f>
        <v>Artística</v>
      </c>
      <c r="M223" s="30" t="str">
        <f ca="1">IFERROR(__xludf.DUMMYFUNCTION("""COMPUTED_VALUE"""),"Fotografía espírita")</f>
        <v>Fotografía espírita</v>
      </c>
      <c r="N223" s="30" t="str">
        <f ca="1">IFERROR(__xludf.DUMMYFUNCTION("""COMPUTED_VALUE"""),"Actividad artística de taller familiar, corresponsabilidad con la exposición bajo el signo de saturno.")</f>
        <v>Actividad artística de taller familiar, corresponsabilidad con la exposición bajo el signo de saturno.</v>
      </c>
      <c r="O223" s="30" t="str">
        <f ca="1">IFERROR(__xludf.DUMMYFUNCTION("""COMPUTED_VALUE"""),"Semanal")</f>
        <v>Semanal</v>
      </c>
      <c r="P223" s="33">
        <f ca="1">IFERROR(__xludf.DUMMYFUNCTION("""COMPUTED_VALUE"""),46179)</f>
        <v>46179</v>
      </c>
      <c r="Q223" s="33">
        <f ca="1">IFERROR(__xludf.DUMMYFUNCTION("""COMPUTED_VALUE"""),46201)</f>
        <v>46201</v>
      </c>
      <c r="R223" s="30">
        <f ca="1">IFERROR(__xludf.DUMMYFUNCTION("""COMPUTED_VALUE"""),3)</f>
        <v>3</v>
      </c>
      <c r="S223" s="30" t="str">
        <f ca="1">IFERROR(__xludf.DUMMYFUNCTION("""COMPUTED_VALUE"""),"Cultura comunitaria")</f>
        <v>Cultura comunitaria</v>
      </c>
      <c r="T223" s="30" t="str">
        <f ca="1">IFERROR(__xludf.DUMMYFUNCTION("""COMPUTED_VALUE"""),"Mediación cultural")</f>
        <v>Mediación cultural</v>
      </c>
      <c r="U223" s="30" t="str">
        <f ca="1">IFERROR(__xludf.DUMMYFUNCTION("""COMPUTED_VALUE"""),"Taller")</f>
        <v>Taller</v>
      </c>
      <c r="V223" s="30" t="str">
        <f ca="1">IFERROR(__xludf.DUMMYFUNCTION("""COMPUTED_VALUE"""),"Ninguna")</f>
        <v>Ninguna</v>
      </c>
      <c r="W223" s="30" t="str">
        <f ca="1">IFERROR(__xludf.DUMMYFUNCTION("""COMPUTED_VALUE"""),"Presencial")</f>
        <v>Presencial</v>
      </c>
      <c r="X223" s="30" t="str">
        <f ca="1">IFERROR(__xludf.DUMMYFUNCTION("""COMPUTED_VALUE"""),"Espacio a Cargo de la Secretaría")</f>
        <v>Espacio a Cargo de la Secretaría</v>
      </c>
      <c r="Y223" s="30" t="str">
        <f ca="1">IFERROR(__xludf.DUMMYFUNCTION("""COMPUTED_VALUE"""),"8")</f>
        <v>8</v>
      </c>
      <c r="Z223" s="30"/>
      <c r="AA223" s="30"/>
      <c r="AB223" s="30" t="b">
        <f ca="1">IFERROR(__xludf.DUMMYFUNCTION("""COMPUTED_VALUE"""),FALSE)</f>
        <v>0</v>
      </c>
      <c r="AC223" s="30"/>
      <c r="AD223" s="30" t="b">
        <f ca="1">IFERROR(__xludf.DUMMYFUNCTION("""COMPUTED_VALUE"""),FALSE)</f>
        <v>0</v>
      </c>
      <c r="AE223" s="30"/>
      <c r="AF223" s="30" t="b">
        <f ca="1">IFERROR(__xludf.DUMMYFUNCTION("""COMPUTED_VALUE"""),FALSE)</f>
        <v>0</v>
      </c>
      <c r="AG223" s="30"/>
      <c r="AH223" s="30" t="str">
        <f ca="1">IFERROR(__xludf.DUMMYFUNCTION("""COMPUTED_VALUE"""),"Sin costo")</f>
        <v>Sin costo</v>
      </c>
      <c r="AI223" s="30"/>
      <c r="AJ223" s="30"/>
      <c r="AK223" s="30"/>
      <c r="AL223" s="30" t="str">
        <f ca="1">IFERROR(__xludf.DUMMYFUNCTION("""COMPUTED_VALUE"""),"ccardonav@guanajuato.gob.mx")</f>
        <v>ccardonav@guanajuato.gob.mx</v>
      </c>
      <c r="AM223" s="30" t="str">
        <f ca="1">IFERROR(__xludf.DUMMYFUNCTION("""COMPUTED_VALUE"""),"Arraigo y empoderamiento cultural de comunidades.")</f>
        <v>Arraigo y empoderamiento cultural de comunidades.</v>
      </c>
      <c r="AN223" s="30" t="str">
        <f ca="1">IFERROR(__xludf.DUMMYFUNCTION("""COMPUTED_VALUE"""),"2 Igualdad")</f>
        <v>2 Igualdad</v>
      </c>
      <c r="AO223" s="30" t="str">
        <f ca="1">IFERROR(__xludf.DUMMYFUNCTION("""COMPUTED_VALUE"""),"2.4 Reducir brechas de desigualdad")</f>
        <v>2.4 Reducir brechas de desigualdad</v>
      </c>
      <c r="AP223" s="30" t="str">
        <f ca="1">IFERROR(__xludf.DUMMYFUNCTION("""COMPUTED_VALUE"""),"2.4.3 Descentralización de la oferta cultural")</f>
        <v>2.4.3 Descentralización de la oferta cultural</v>
      </c>
      <c r="AQ223" s="30" t="str">
        <f ca="1">IFERROR(__xludf.DUMMYFUNCTION("""COMPUTED_VALUE"""),"2.4.3.1 Impulsar el desarrollo artístico y cultural entre infancias y juventudes")</f>
        <v>2.4.3.1 Impulsar el desarrollo artístico y cultural entre infancias y juventudes</v>
      </c>
      <c r="AR223" s="30" t="str">
        <f ca="1">IFERROR(__xludf.DUMMYFUNCTION("""COMPUTED_VALUE"""),"Ninguno")</f>
        <v>Ninguno</v>
      </c>
      <c r="AS223" s="30"/>
      <c r="AT223" s="30" t="str">
        <f ca="1">IFERROR(__xludf.DUMMYFUNCTION("""COMPUTED_VALUE"""),"Fortalecimiento de la participación ciudadana y la mediación cultural")</f>
        <v>Fortalecimiento de la participación ciudadana y la mediación cultural</v>
      </c>
      <c r="AU223" s="30" t="str">
        <f ca="1">IFERROR(__xludf.DUMMYFUNCTION("""COMPUTED_VALUE"""),"Fortalecimiento del diálogo, la mediación y las capacidades de las redes comunitarias.")</f>
        <v>Fortalecimiento del diálogo, la mediación y las capacidades de las redes comunitarias.</v>
      </c>
      <c r="AV22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23" s="30" t="str">
        <f ca="1">IFERROR(__xludf.DUMMYFUNCTION("""COMPUTED_VALUE"""),"Incrementar en 25% la oferta cultural realizada en los municipios.")</f>
        <v>Incrementar en 25% la oferta cultural realizada en los municipios.</v>
      </c>
      <c r="AX223" s="30" t="str">
        <f ca="1">IFERROR(__xludf.DUMMYFUNCTION("""COMPUTED_VALUE"""),"Taller")</f>
        <v>Taller</v>
      </c>
      <c r="AY223" s="30" t="str">
        <f ca="1">IFERROR(__xludf.DUMMYFUNCTION("""COMPUTED_VALUE"""),"Mediación")</f>
        <v>Mediación</v>
      </c>
      <c r="AZ223" s="30"/>
      <c r="BA223" s="30"/>
      <c r="BB223" s="30"/>
      <c r="BC223" s="30">
        <f ca="1">IFERROR(__xludf.DUMMYFUNCTION("""COMPUTED_VALUE"""),0)</f>
        <v>0</v>
      </c>
      <c r="BD223" s="30"/>
      <c r="BE223" s="30"/>
      <c r="BF223" s="30" t="b">
        <f ca="1">IFERROR(__xludf.DUMMYFUNCTION("""COMPUTED_VALUE"""),FALSE)</f>
        <v>0</v>
      </c>
      <c r="BG223" s="30"/>
      <c r="BH223" s="30"/>
      <c r="BI223" s="30"/>
      <c r="BJ223" s="30"/>
      <c r="BK223" s="30"/>
      <c r="BL223" s="30"/>
      <c r="BM223" s="30" t="str">
        <f ca="1">IFERROR(__xludf.DUMMYFUNCTION("""COMPUTED_VALUE"""),"No")</f>
        <v>No</v>
      </c>
      <c r="BN223" s="30"/>
      <c r="BO223" s="30" t="str">
        <f ca="1">IFERROR(__xludf.DUMMYFUNCTION("""COMPUTED_VALUE"""),"e4989bb4")</f>
        <v>e4989bb4</v>
      </c>
      <c r="BP223" s="29" t="str">
        <f ca="1">IFERROR(__xludf.DUMMYFUNCTION("""COMPUTED_VALUE"""),"León")</f>
        <v>León</v>
      </c>
      <c r="BQ223" s="30" t="str">
        <f ca="1">IFERROR(__xludf.DUMMYFUNCTION("""COMPUTED_VALUE"""),"Urbano")</f>
        <v>Urbano</v>
      </c>
      <c r="BR223" s="30"/>
      <c r="BS223" s="30"/>
      <c r="BT223" s="30" t="str">
        <f ca="1">IFERROR(__xludf.DUMMYFUNCTION("""COMPUTED_VALUE"""),"La Martinica")</f>
        <v>La Martinica</v>
      </c>
      <c r="BU223" s="30" t="str">
        <f ca="1">IFERROR(__xludf.DUMMYFUNCTION("""COMPUTED_VALUE"""),"No")</f>
        <v>No</v>
      </c>
      <c r="BV223" s="30" t="str">
        <f ca="1">IFERROR(__xludf.DUMMYFUNCTION("""COMPUTED_VALUE"""),"No")</f>
        <v>No</v>
      </c>
      <c r="BW223" s="30">
        <f ca="1">IFERROR(__xludf.DUMMYFUNCTION("""COMPUTED_VALUE"""),25)</f>
        <v>25</v>
      </c>
      <c r="BX223" s="30">
        <f ca="1">IFERROR(__xludf.DUMMYFUNCTION("""COMPUTED_VALUE"""),25)</f>
        <v>25</v>
      </c>
      <c r="BY223" s="30">
        <f ca="1">IFERROR(__xludf.DUMMYFUNCTION("""COMPUTED_VALUE"""),0)</f>
        <v>0</v>
      </c>
      <c r="BZ223" s="30" t="str">
        <f ca="1">IFERROR(__xludf.DUMMYFUNCTION("""COMPUTED_VALUE"""),"La Martinica")</f>
        <v>La Martinica</v>
      </c>
      <c r="CA223" s="30" t="str">
        <f ca="1">IFERROR(__xludf.DUMMYFUNCTION("""COMPUTED_VALUE"""),"No")</f>
        <v>No</v>
      </c>
      <c r="CB223" s="30" t="str">
        <f ca="1">IFERROR(__xludf.DUMMYFUNCTION("""COMPUTED_VALUE"""),"No")</f>
        <v>No</v>
      </c>
      <c r="CC223" s="30" t="str">
        <f ca="1">IFERROR(__xludf.DUMMYFUNCTION("""COMPUTED_VALUE"""),"5d3f5450")</f>
        <v>5d3f5450</v>
      </c>
      <c r="CD223" s="29" t="str">
        <f ca="1">IFERROR(__xludf.DUMMYFUNCTION("""COMPUTED_VALUE"""),"Adultos (30 a 59 años)")</f>
        <v>Adultos (30 a 59 años)</v>
      </c>
      <c r="CE223" s="30" t="str">
        <f ca="1">IFERROR(__xludf.DUMMYFUNCTION("""COMPUTED_VALUE"""),"Dato global")</f>
        <v>Dato global</v>
      </c>
      <c r="CF223" s="30" t="str">
        <f ca="1">IFERROR(__xludf.DUMMYFUNCTION("""COMPUTED_VALUE"""),"Ninguno (Población General)")</f>
        <v>Ninguno (Población General)</v>
      </c>
      <c r="CG223" s="30">
        <f ca="1">IFERROR(__xludf.DUMMYFUNCTION("""COMPUTED_VALUE"""),5)</f>
        <v>5</v>
      </c>
      <c r="CI223" s="30" t="str">
        <f ca="1">IFERROR(__xludf.DUMMYFUNCTION("""COMPUTED_VALUE"""),"684ddbfd")</f>
        <v>684ddbfd</v>
      </c>
      <c r="CJ223" s="29" t="str">
        <f ca="1">IFERROR(__xludf.DUMMYFUNCTION("""COMPUTED_VALUE"""),"Regitro_Evidencia_Images/684ddbfd.Archivo_Evidencia.223019.png")</f>
        <v>Regitro_Evidencia_Images/684ddbfd.Archivo_Evidencia.223019.png</v>
      </c>
      <c r="CK223" s="30" t="str">
        <f ca="1">IFERROR(__xludf.DUMMYFUNCTION("""COMPUTED_VALUE"""),"Foto")</f>
        <v>Foto</v>
      </c>
      <c r="CL223" s="30" t="str">
        <f ca="1">IFERROR(__xludf.DUMMYFUNCTION("""COMPUTED_VALUE"""),"Evidencia de las sesiones virtuales.")</f>
        <v>Evidencia de las sesiones virtuales.</v>
      </c>
      <c r="CM223" s="30" t="str">
        <f ca="1">IFERROR(__xludf.DUMMYFUNCTION("""COMPUTED_VALUE"""),"León")</f>
        <v>León</v>
      </c>
      <c r="CN223" s="32" t="e">
        <f ca="1"/>
        <v>#NAME?</v>
      </c>
      <c r="CO223" s="32" t="e">
        <f ca="1"/>
        <v>#NAME?</v>
      </c>
      <c r="CP223" s="32" t="e">
        <f ca="1"/>
        <v>#NAME?</v>
      </c>
      <c r="CQ223" s="32" t="e">
        <f ca="1"/>
        <v>#NAME?</v>
      </c>
      <c r="CR223" s="30" t="e">
        <f ca="1"/>
        <v>#NAME?</v>
      </c>
      <c r="CS223" s="30" t="str">
        <f ca="1">IFERROR(__xludf.DUMMYFUNCTION("""COMPUTED_VALUE"""),"Ninguno (Población General)")</f>
        <v>Ninguno (Población General)</v>
      </c>
    </row>
    <row r="224" spans="1:97" ht="13">
      <c r="A224" s="29" t="str">
        <f ca="1">IFERROR(__xludf.DUMMYFUNCTION("""COMPUTED_VALUE"""),"ACT-SCVB95206")</f>
        <v>ACT-SCVB95206</v>
      </c>
      <c r="B224" s="30" t="str">
        <f ca="1">IFERROR(__xludf.DUMMYFUNCTION("""COMPUTED_VALUE"""),"SC-260706-124710")</f>
        <v>SC-260706-124710</v>
      </c>
      <c r="C224" s="62">
        <f ca="1">IFERROR(__xludf.DUMMYFUNCTION("""COMPUTED_VALUE"""),46209.5327546296)</f>
        <v>46209.532754629603</v>
      </c>
      <c r="D224" s="30">
        <f ca="1">IFERROR(__xludf.DUMMYFUNCTION("""COMPUTED_VALUE"""),92)</f>
        <v>92</v>
      </c>
      <c r="E224" s="30" t="str">
        <f ca="1">IFERROR(__xludf.DUMMYFUNCTION("""COMPUTED_VALUE"""),"PB3572")</f>
        <v>PB3572</v>
      </c>
      <c r="F22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4" s="30" t="str">
        <f ca="1">IFERROR(__xludf.DUMMYFUNCTION("""COMPUTED_VALUE"""),"SUBSECRETARÍA DE DESARROLLO Y PROMOCIÓN ARTÍSTICA Y CULTURAL")</f>
        <v>SUBSECRETARÍA DE DESARROLLO Y PROMOCIÓN ARTÍSTICA Y CULTURAL</v>
      </c>
      <c r="I224" s="34" t="str">
        <f ca="1">IFERROR(__xludf.DUMMYFUNCTION("""COMPUTED_VALUE"""),"DIRECCIÓN GENERAL DE MUSEOS, ARTES VISUALES Y EXPOSICIONES")</f>
        <v>DIRECCIÓN GENERAL DE MUSEOS, ARTES VISUALES Y EXPOSICIONES</v>
      </c>
      <c r="J224" s="30" t="str">
        <f ca="1">IFERROR(__xludf.DUMMYFUNCTION("""COMPUTED_VALUE"""),"Número de Actividades realizadas")</f>
        <v>Número de Actividades realizadas</v>
      </c>
      <c r="K224" s="30">
        <f ca="1">IFERROR(__xludf.DUMMYFUNCTION("""COMPUTED_VALUE"""),800)</f>
        <v>800</v>
      </c>
      <c r="L224" s="30" t="str">
        <f ca="1">IFERROR(__xludf.DUMMYFUNCTION("""COMPUTED_VALUE"""),"Artística")</f>
        <v>Artística</v>
      </c>
      <c r="M224" s="30" t="str">
        <f ca="1">IFERROR(__xludf.DUMMYFUNCTION("""COMPUTED_VALUE"""),"Retrato de Lupe Marín ""Pitonisa""")</f>
        <v>Retrato de Lupe Marín "Pitonisa"</v>
      </c>
      <c r="N224" s="30" t="str">
        <f ca="1">IFERROR(__xludf.DUMMYFUNCTION("""COMPUTED_VALUE"""),"Actividad artística de taller familiar, corresponsabilidad con la exposición bajo el signo de saturno.")</f>
        <v>Actividad artística de taller familiar, corresponsabilidad con la exposición bajo el signo de saturno.</v>
      </c>
      <c r="O224" s="30" t="str">
        <f ca="1">IFERROR(__xludf.DUMMYFUNCTION("""COMPUTED_VALUE"""),"Semanal")</f>
        <v>Semanal</v>
      </c>
      <c r="P224" s="33">
        <f ca="1">IFERROR(__xludf.DUMMYFUNCTION("""COMPUTED_VALUE"""),46180)</f>
        <v>46180</v>
      </c>
      <c r="Q224" s="33">
        <f ca="1">IFERROR(__xludf.DUMMYFUNCTION("""COMPUTED_VALUE"""),46201)</f>
        <v>46201</v>
      </c>
      <c r="R224" s="30">
        <f ca="1">IFERROR(__xludf.DUMMYFUNCTION("""COMPUTED_VALUE"""),4)</f>
        <v>4</v>
      </c>
      <c r="S224" s="30" t="str">
        <f ca="1">IFERROR(__xludf.DUMMYFUNCTION("""COMPUTED_VALUE"""),"Cultura comunitaria")</f>
        <v>Cultura comunitaria</v>
      </c>
      <c r="T224" s="30" t="str">
        <f ca="1">IFERROR(__xludf.DUMMYFUNCTION("""COMPUTED_VALUE"""),"Mediación cultural")</f>
        <v>Mediación cultural</v>
      </c>
      <c r="U224" s="30" t="str">
        <f ca="1">IFERROR(__xludf.DUMMYFUNCTION("""COMPUTED_VALUE"""),"Taller")</f>
        <v>Taller</v>
      </c>
      <c r="V224" s="30" t="str">
        <f ca="1">IFERROR(__xludf.DUMMYFUNCTION("""COMPUTED_VALUE"""),"Ninguna")</f>
        <v>Ninguna</v>
      </c>
      <c r="W224" s="30" t="str">
        <f ca="1">IFERROR(__xludf.DUMMYFUNCTION("""COMPUTED_VALUE"""),"Presencial")</f>
        <v>Presencial</v>
      </c>
      <c r="X224" s="30" t="str">
        <f ca="1">IFERROR(__xludf.DUMMYFUNCTION("""COMPUTED_VALUE"""),"Espacio a Cargo de la Secretaría")</f>
        <v>Espacio a Cargo de la Secretaría</v>
      </c>
      <c r="Y224" s="30" t="str">
        <f ca="1">IFERROR(__xludf.DUMMYFUNCTION("""COMPUTED_VALUE"""),"8")</f>
        <v>8</v>
      </c>
      <c r="Z224" s="30"/>
      <c r="AA224" s="30"/>
      <c r="AB224" s="30" t="b">
        <f ca="1">IFERROR(__xludf.DUMMYFUNCTION("""COMPUTED_VALUE"""),FALSE)</f>
        <v>0</v>
      </c>
      <c r="AC224" s="30"/>
      <c r="AD224" s="30" t="b">
        <f ca="1">IFERROR(__xludf.DUMMYFUNCTION("""COMPUTED_VALUE"""),FALSE)</f>
        <v>0</v>
      </c>
      <c r="AE224" s="30"/>
      <c r="AF224" s="30" t="b">
        <f ca="1">IFERROR(__xludf.DUMMYFUNCTION("""COMPUTED_VALUE"""),FALSE)</f>
        <v>0</v>
      </c>
      <c r="AG224" s="30"/>
      <c r="AH224" s="30" t="str">
        <f ca="1">IFERROR(__xludf.DUMMYFUNCTION("""COMPUTED_VALUE"""),"Sin costo")</f>
        <v>Sin costo</v>
      </c>
      <c r="AI224" s="30"/>
      <c r="AJ224" s="30"/>
      <c r="AK224" s="30"/>
      <c r="AL224" s="30" t="str">
        <f ca="1">IFERROR(__xludf.DUMMYFUNCTION("""COMPUTED_VALUE"""),"ccardonav@guanajuato.gob.mx")</f>
        <v>ccardonav@guanajuato.gob.mx</v>
      </c>
      <c r="AM224" s="30" t="str">
        <f ca="1">IFERROR(__xludf.DUMMYFUNCTION("""COMPUTED_VALUE"""),"Arraigo y empoderamiento cultural de comunidades.")</f>
        <v>Arraigo y empoderamiento cultural de comunidades.</v>
      </c>
      <c r="AN224" s="30" t="str">
        <f ca="1">IFERROR(__xludf.DUMMYFUNCTION("""COMPUTED_VALUE"""),"2 Igualdad")</f>
        <v>2 Igualdad</v>
      </c>
      <c r="AO224" s="30" t="str">
        <f ca="1">IFERROR(__xludf.DUMMYFUNCTION("""COMPUTED_VALUE"""),"2.4 Reducir brechas de desigualdad")</f>
        <v>2.4 Reducir brechas de desigualdad</v>
      </c>
      <c r="AP224" s="30" t="str">
        <f ca="1">IFERROR(__xludf.DUMMYFUNCTION("""COMPUTED_VALUE"""),"2.4.3 Descentralización de la oferta cultural")</f>
        <v>2.4.3 Descentralización de la oferta cultural</v>
      </c>
      <c r="AQ224" s="30" t="str">
        <f ca="1">IFERROR(__xludf.DUMMYFUNCTION("""COMPUTED_VALUE"""),"2.4.3.1 Impulsar el desarrollo artístico y cultural entre infancias y juventudes")</f>
        <v>2.4.3.1 Impulsar el desarrollo artístico y cultural entre infancias y juventudes</v>
      </c>
      <c r="AR224" s="30" t="str">
        <f ca="1">IFERROR(__xludf.DUMMYFUNCTION("""COMPUTED_VALUE"""),"Ninguno")</f>
        <v>Ninguno</v>
      </c>
      <c r="AS224" s="30"/>
      <c r="AT224" s="30" t="str">
        <f ca="1">IFERROR(__xludf.DUMMYFUNCTION("""COMPUTED_VALUE"""),"Fortalecimiento de la participación ciudadana y la mediación cultural")</f>
        <v>Fortalecimiento de la participación ciudadana y la mediación cultural</v>
      </c>
      <c r="AU224" s="30" t="str">
        <f ca="1">IFERROR(__xludf.DUMMYFUNCTION("""COMPUTED_VALUE"""),"Fortalecimiento del diálogo, la mediación y las capacidades de las redes comunitarias.")</f>
        <v>Fortalecimiento del diálogo, la mediación y las capacidades de las redes comunitarias.</v>
      </c>
      <c r="AV22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24" s="30" t="str">
        <f ca="1">IFERROR(__xludf.DUMMYFUNCTION("""COMPUTED_VALUE"""),"Incrementar en 25% la oferta cultural realizada en los municipios.")</f>
        <v>Incrementar en 25% la oferta cultural realizada en los municipios.</v>
      </c>
      <c r="AX224" s="30" t="str">
        <f ca="1">IFERROR(__xludf.DUMMYFUNCTION("""COMPUTED_VALUE"""),"Taller")</f>
        <v>Taller</v>
      </c>
      <c r="AY224" s="30" t="str">
        <f ca="1">IFERROR(__xludf.DUMMYFUNCTION("""COMPUTED_VALUE"""),"Mediación")</f>
        <v>Mediación</v>
      </c>
      <c r="AZ224" s="30"/>
      <c r="BA224" s="30"/>
      <c r="BB224" s="30"/>
      <c r="BC224" s="30">
        <f ca="1">IFERROR(__xludf.DUMMYFUNCTION("""COMPUTED_VALUE"""),0)</f>
        <v>0</v>
      </c>
      <c r="BD224" s="30"/>
      <c r="BE224" s="30"/>
      <c r="BF224" s="30" t="b">
        <f ca="1">IFERROR(__xludf.DUMMYFUNCTION("""COMPUTED_VALUE"""),FALSE)</f>
        <v>0</v>
      </c>
      <c r="BG224" s="30"/>
      <c r="BH224" s="30"/>
      <c r="BI224" s="30"/>
      <c r="BJ224" s="30"/>
      <c r="BK224" s="30"/>
      <c r="BL224" s="30"/>
      <c r="BM224" s="30" t="str">
        <f ca="1">IFERROR(__xludf.DUMMYFUNCTION("""COMPUTED_VALUE"""),"No")</f>
        <v>No</v>
      </c>
      <c r="BN224" s="30"/>
      <c r="BO224" s="30" t="str">
        <f ca="1">IFERROR(__xludf.DUMMYFUNCTION("""COMPUTED_VALUE"""),"67602eee")</f>
        <v>67602eee</v>
      </c>
      <c r="BP224" s="29" t="str">
        <f ca="1">IFERROR(__xludf.DUMMYFUNCTION("""COMPUTED_VALUE"""),"León")</f>
        <v>León</v>
      </c>
      <c r="BQ224" s="30" t="str">
        <f ca="1">IFERROR(__xludf.DUMMYFUNCTION("""COMPUTED_VALUE"""),"Urbano")</f>
        <v>Urbano</v>
      </c>
      <c r="BR224" s="30"/>
      <c r="BS224" s="30"/>
      <c r="BT224" s="30" t="str">
        <f ca="1">IFERROR(__xludf.DUMMYFUNCTION("""COMPUTED_VALUE"""),"La Martinica")</f>
        <v>La Martinica</v>
      </c>
      <c r="BU224" s="30" t="str">
        <f ca="1">IFERROR(__xludf.DUMMYFUNCTION("""COMPUTED_VALUE"""),"No")</f>
        <v>No</v>
      </c>
      <c r="BV224" s="30" t="str">
        <f ca="1">IFERROR(__xludf.DUMMYFUNCTION("""COMPUTED_VALUE"""),"No")</f>
        <v>No</v>
      </c>
      <c r="BW224" s="30">
        <f ca="1">IFERROR(__xludf.DUMMYFUNCTION("""COMPUTED_VALUE"""),369)</f>
        <v>369</v>
      </c>
      <c r="BX224" s="30"/>
      <c r="BY224" s="30">
        <f ca="1">IFERROR(__xludf.DUMMYFUNCTION("""COMPUTED_VALUE"""),369)</f>
        <v>369</v>
      </c>
      <c r="BZ224" s="30" t="str">
        <f ca="1">IFERROR(__xludf.DUMMYFUNCTION("""COMPUTED_VALUE"""),"La Martinica")</f>
        <v>La Martinica</v>
      </c>
      <c r="CA224" s="30" t="str">
        <f ca="1">IFERROR(__xludf.DUMMYFUNCTION("""COMPUTED_VALUE"""),"No")</f>
        <v>No</v>
      </c>
      <c r="CB224" s="30" t="str">
        <f ca="1">IFERROR(__xludf.DUMMYFUNCTION("""COMPUTED_VALUE"""),"No")</f>
        <v>No</v>
      </c>
      <c r="CC224" s="30" t="str">
        <f ca="1">IFERROR(__xludf.DUMMYFUNCTION("""COMPUTED_VALUE"""),"f66dac1f")</f>
        <v>f66dac1f</v>
      </c>
      <c r="CD224" s="29" t="str">
        <f ca="1">IFERROR(__xludf.DUMMYFUNCTION("""COMPUTED_VALUE"""),"Adultos Mayores (60 años o más)")</f>
        <v>Adultos Mayores (60 años o más)</v>
      </c>
      <c r="CE224" s="30" t="str">
        <f ca="1">IFERROR(__xludf.DUMMYFUNCTION("""COMPUTED_VALUE"""),"Dato global")</f>
        <v>Dato global</v>
      </c>
      <c r="CF224" s="30" t="str">
        <f ca="1">IFERROR(__xludf.DUMMYFUNCTION("""COMPUTED_VALUE"""),"Ninguno (Población General)")</f>
        <v>Ninguno (Población General)</v>
      </c>
      <c r="CG224" s="30">
        <f ca="1">IFERROR(__xludf.DUMMYFUNCTION("""COMPUTED_VALUE"""),15)</f>
        <v>15</v>
      </c>
      <c r="CI224" s="30" t="str">
        <f ca="1">IFERROR(__xludf.DUMMYFUNCTION("""COMPUTED_VALUE"""),"c1dc8ce2")</f>
        <v>c1dc8ce2</v>
      </c>
      <c r="CJ224" s="29" t="str">
        <f ca="1">IFERROR(__xludf.DUMMYFUNCTION("""COMPUTED_VALUE"""),"Regitro_Evidencia_Images/c1dc8ce2.Archivo_Evidencia.223024.png")</f>
        <v>Regitro_Evidencia_Images/c1dc8ce2.Archivo_Evidencia.223024.png</v>
      </c>
      <c r="CK224" s="30" t="str">
        <f ca="1">IFERROR(__xludf.DUMMYFUNCTION("""COMPUTED_VALUE"""),"Foto")</f>
        <v>Foto</v>
      </c>
      <c r="CL224" s="30" t="str">
        <f ca="1">IFERROR(__xludf.DUMMYFUNCTION("""COMPUTED_VALUE"""),"Evidencia de la participación de los asistentes en las sesiones virtuales.")</f>
        <v>Evidencia de la participación de los asistentes en las sesiones virtuales.</v>
      </c>
      <c r="CM224" s="30" t="str">
        <f ca="1">IFERROR(__xludf.DUMMYFUNCTION("""COMPUTED_VALUE"""),"León")</f>
        <v>León</v>
      </c>
      <c r="CN224" s="32" t="e">
        <f ca="1"/>
        <v>#NAME?</v>
      </c>
      <c r="CO224" s="32" t="e">
        <f ca="1"/>
        <v>#NAME?</v>
      </c>
      <c r="CP224" s="32" t="e">
        <f ca="1"/>
        <v>#NAME?</v>
      </c>
      <c r="CQ224" s="32" t="e">
        <f ca="1"/>
        <v>#NAME?</v>
      </c>
      <c r="CR224" s="30" t="e">
        <f ca="1"/>
        <v>#NAME?</v>
      </c>
      <c r="CS224" s="30" t="str">
        <f ca="1">IFERROR(__xludf.DUMMYFUNCTION("""COMPUTED_VALUE"""),"Ninguno (Población General)")</f>
        <v>Ninguno (Población General)</v>
      </c>
    </row>
    <row r="225" spans="1:97" ht="13">
      <c r="A225" s="29" t="str">
        <f ca="1">IFERROR(__xludf.DUMMYFUNCTION("""COMPUTED_VALUE"""),"ACT-SCEP49266")</f>
        <v>ACT-SCEP49266</v>
      </c>
      <c r="B225" s="30" t="str">
        <f ca="1">IFERROR(__xludf.DUMMYFUNCTION("""COMPUTED_VALUE"""),"SC-260706-140845")</f>
        <v>SC-260706-140845</v>
      </c>
      <c r="C225" s="62">
        <f ca="1">IFERROR(__xludf.DUMMYFUNCTION("""COMPUTED_VALUE"""),46209.5894097222)</f>
        <v>46209.589409722197</v>
      </c>
      <c r="D225" s="30">
        <f ca="1">IFERROR(__xludf.DUMMYFUNCTION("""COMPUTED_VALUE"""),92)</f>
        <v>92</v>
      </c>
      <c r="E225" s="30" t="str">
        <f ca="1">IFERROR(__xludf.DUMMYFUNCTION("""COMPUTED_VALUE"""),"PB3572")</f>
        <v>PB3572</v>
      </c>
      <c r="F22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5" s="30" t="str">
        <f ca="1">IFERROR(__xludf.DUMMYFUNCTION("""COMPUTED_VALUE"""),"SUBSECRETARÍA DE DESARROLLO Y PROMOCIÓN ARTÍSTICA Y CULTURAL")</f>
        <v>SUBSECRETARÍA DE DESARROLLO Y PROMOCIÓN ARTÍSTICA Y CULTURAL</v>
      </c>
      <c r="I225" s="34" t="str">
        <f ca="1">IFERROR(__xludf.DUMMYFUNCTION("""COMPUTED_VALUE"""),"DIRECCIÓN GENERAL DE MUSEOS, ARTES VISUALES Y EXPOSICIONES")</f>
        <v>DIRECCIÓN GENERAL DE MUSEOS, ARTES VISUALES Y EXPOSICIONES</v>
      </c>
      <c r="J225" s="30" t="str">
        <f ca="1">IFERROR(__xludf.DUMMYFUNCTION("""COMPUTED_VALUE"""),"Número de Actividades realizadas")</f>
        <v>Número de Actividades realizadas</v>
      </c>
      <c r="K225" s="30">
        <f ca="1">IFERROR(__xludf.DUMMYFUNCTION("""COMPUTED_VALUE"""),800)</f>
        <v>800</v>
      </c>
      <c r="L225" s="30" t="str">
        <f ca="1">IFERROR(__xludf.DUMMYFUNCTION("""COMPUTED_VALUE"""),"Artística")</f>
        <v>Artística</v>
      </c>
      <c r="M225" s="30" t="str">
        <f ca="1">IFERROR(__xludf.DUMMYFUNCTION("""COMPUTED_VALUE"""),"Collage de Kandisky")</f>
        <v>Collage de Kandisky</v>
      </c>
      <c r="N225" s="30" t="str">
        <f ca="1">IFERROR(__xludf.DUMMYFUNCTION("""COMPUTED_VALUE"""),"Actividad artística de taller familiar, corresponsabilidad con la exposición bajo el signo de saturno.")</f>
        <v>Actividad artística de taller familiar, corresponsabilidad con la exposición bajo el signo de saturno.</v>
      </c>
      <c r="O225" s="30" t="str">
        <f ca="1">IFERROR(__xludf.DUMMYFUNCTION("""COMPUTED_VALUE"""),"Semanal")</f>
        <v>Semanal</v>
      </c>
      <c r="P225" s="33">
        <f ca="1">IFERROR(__xludf.DUMMYFUNCTION("""COMPUTED_VALUE"""),46179)</f>
        <v>46179</v>
      </c>
      <c r="Q225" s="33">
        <f ca="1">IFERROR(__xludf.DUMMYFUNCTION("""COMPUTED_VALUE"""),46200)</f>
        <v>46200</v>
      </c>
      <c r="R225" s="30">
        <f ca="1">IFERROR(__xludf.DUMMYFUNCTION("""COMPUTED_VALUE"""),4)</f>
        <v>4</v>
      </c>
      <c r="S225" s="30" t="str">
        <f ca="1">IFERROR(__xludf.DUMMYFUNCTION("""COMPUTED_VALUE"""),"Cultura comunitaria")</f>
        <v>Cultura comunitaria</v>
      </c>
      <c r="T225" s="30" t="str">
        <f ca="1">IFERROR(__xludf.DUMMYFUNCTION("""COMPUTED_VALUE"""),"Mediación cultural")</f>
        <v>Mediación cultural</v>
      </c>
      <c r="U225" s="30" t="str">
        <f ca="1">IFERROR(__xludf.DUMMYFUNCTION("""COMPUTED_VALUE"""),"Taller")</f>
        <v>Taller</v>
      </c>
      <c r="V225" s="30" t="str">
        <f ca="1">IFERROR(__xludf.DUMMYFUNCTION("""COMPUTED_VALUE"""),"Ninguna")</f>
        <v>Ninguna</v>
      </c>
      <c r="W225" s="30" t="str">
        <f ca="1">IFERROR(__xludf.DUMMYFUNCTION("""COMPUTED_VALUE"""),"Presencial")</f>
        <v>Presencial</v>
      </c>
      <c r="X225" s="30" t="str">
        <f ca="1">IFERROR(__xludf.DUMMYFUNCTION("""COMPUTED_VALUE"""),"Espacio a Cargo de la Secretaría")</f>
        <v>Espacio a Cargo de la Secretaría</v>
      </c>
      <c r="Y225" s="30" t="str">
        <f ca="1">IFERROR(__xludf.DUMMYFUNCTION("""COMPUTED_VALUE"""),"8")</f>
        <v>8</v>
      </c>
      <c r="Z225" s="30"/>
      <c r="AA225" s="30"/>
      <c r="AB225" s="30" t="b">
        <f ca="1">IFERROR(__xludf.DUMMYFUNCTION("""COMPUTED_VALUE"""),FALSE)</f>
        <v>0</v>
      </c>
      <c r="AC225" s="30"/>
      <c r="AD225" s="30" t="b">
        <f ca="1">IFERROR(__xludf.DUMMYFUNCTION("""COMPUTED_VALUE"""),FALSE)</f>
        <v>0</v>
      </c>
      <c r="AE225" s="30"/>
      <c r="AF225" s="30" t="b">
        <f ca="1">IFERROR(__xludf.DUMMYFUNCTION("""COMPUTED_VALUE"""),FALSE)</f>
        <v>0</v>
      </c>
      <c r="AG225" s="30"/>
      <c r="AH225" s="30" t="str">
        <f ca="1">IFERROR(__xludf.DUMMYFUNCTION("""COMPUTED_VALUE"""),"Sin costo")</f>
        <v>Sin costo</v>
      </c>
      <c r="AI225" s="30"/>
      <c r="AJ225" s="30"/>
      <c r="AK225" s="30"/>
      <c r="AL225" s="30" t="str">
        <f ca="1">IFERROR(__xludf.DUMMYFUNCTION("""COMPUTED_VALUE"""),"ccardonav@guanajuato.gob.mx")</f>
        <v>ccardonav@guanajuato.gob.mx</v>
      </c>
      <c r="AM225" s="30" t="str">
        <f ca="1">IFERROR(__xludf.DUMMYFUNCTION("""COMPUTED_VALUE"""),"Arraigo y empoderamiento cultural de comunidades.")</f>
        <v>Arraigo y empoderamiento cultural de comunidades.</v>
      </c>
      <c r="AN225" s="30" t="str">
        <f ca="1">IFERROR(__xludf.DUMMYFUNCTION("""COMPUTED_VALUE"""),"2 Igualdad")</f>
        <v>2 Igualdad</v>
      </c>
      <c r="AO225" s="30" t="str">
        <f ca="1">IFERROR(__xludf.DUMMYFUNCTION("""COMPUTED_VALUE"""),"2.4 Reducir brechas de desigualdad")</f>
        <v>2.4 Reducir brechas de desigualdad</v>
      </c>
      <c r="AP225" s="30" t="str">
        <f ca="1">IFERROR(__xludf.DUMMYFUNCTION("""COMPUTED_VALUE"""),"2.4.3 Descentralización de la oferta cultural")</f>
        <v>2.4.3 Descentralización de la oferta cultural</v>
      </c>
      <c r="AQ225" s="30" t="str">
        <f ca="1">IFERROR(__xludf.DUMMYFUNCTION("""COMPUTED_VALUE"""),"2.4.3.1 Impulsar el desarrollo artístico y cultural entre infancias y juventudes")</f>
        <v>2.4.3.1 Impulsar el desarrollo artístico y cultural entre infancias y juventudes</v>
      </c>
      <c r="AR225" s="30" t="str">
        <f ca="1">IFERROR(__xludf.DUMMYFUNCTION("""COMPUTED_VALUE"""),"Ninguno")</f>
        <v>Ninguno</v>
      </c>
      <c r="AS225" s="30"/>
      <c r="AT225" s="30" t="str">
        <f ca="1">IFERROR(__xludf.DUMMYFUNCTION("""COMPUTED_VALUE"""),"Fortalecimiento de la participación ciudadana y la mediación cultural")</f>
        <v>Fortalecimiento de la participación ciudadana y la mediación cultural</v>
      </c>
      <c r="AU225" s="30" t="str">
        <f ca="1">IFERROR(__xludf.DUMMYFUNCTION("""COMPUTED_VALUE"""),"Fortalecimiento del diálogo, la mediación y las capacidades de las redes comunitarias.")</f>
        <v>Fortalecimiento del diálogo, la mediación y las capacidades de las redes comunitarias.</v>
      </c>
      <c r="AV22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25" s="30" t="str">
        <f ca="1">IFERROR(__xludf.DUMMYFUNCTION("""COMPUTED_VALUE"""),"Incrementar en 25% la oferta cultural realizada en los municipios.")</f>
        <v>Incrementar en 25% la oferta cultural realizada en los municipios.</v>
      </c>
      <c r="AX225" s="30" t="str">
        <f ca="1">IFERROR(__xludf.DUMMYFUNCTION("""COMPUTED_VALUE"""),"Taller")</f>
        <v>Taller</v>
      </c>
      <c r="AY225" s="30" t="str">
        <f ca="1">IFERROR(__xludf.DUMMYFUNCTION("""COMPUTED_VALUE"""),"Mediación")</f>
        <v>Mediación</v>
      </c>
      <c r="AZ225" s="30"/>
      <c r="BA225" s="30"/>
      <c r="BB225" s="30"/>
      <c r="BC225" s="30">
        <f ca="1">IFERROR(__xludf.DUMMYFUNCTION("""COMPUTED_VALUE"""),0)</f>
        <v>0</v>
      </c>
      <c r="BD225" s="30"/>
      <c r="BE225" s="30"/>
      <c r="BF225" s="30" t="b">
        <f ca="1">IFERROR(__xludf.DUMMYFUNCTION("""COMPUTED_VALUE"""),FALSE)</f>
        <v>0</v>
      </c>
      <c r="BG225" s="30"/>
      <c r="BH225" s="30"/>
      <c r="BI225" s="30"/>
      <c r="BJ225" s="30"/>
      <c r="BK225" s="30"/>
      <c r="BL225" s="30"/>
      <c r="BM225" s="30" t="str">
        <f ca="1">IFERROR(__xludf.DUMMYFUNCTION("""COMPUTED_VALUE"""),"No")</f>
        <v>No</v>
      </c>
      <c r="BN225" s="30"/>
      <c r="BO225" s="30" t="str">
        <f ca="1">IFERROR(__xludf.DUMMYFUNCTION("""COMPUTED_VALUE"""),"125efa4c")</f>
        <v>125efa4c</v>
      </c>
      <c r="BP225" s="29" t="str">
        <f ca="1">IFERROR(__xludf.DUMMYFUNCTION("""COMPUTED_VALUE"""),"León")</f>
        <v>León</v>
      </c>
      <c r="BQ225" s="30" t="str">
        <f ca="1">IFERROR(__xludf.DUMMYFUNCTION("""COMPUTED_VALUE"""),"Urbano")</f>
        <v>Urbano</v>
      </c>
      <c r="BR225" s="30"/>
      <c r="BS225" s="30"/>
      <c r="BT225" s="30" t="str">
        <f ca="1">IFERROR(__xludf.DUMMYFUNCTION("""COMPUTED_VALUE"""),"La Martinica")</f>
        <v>La Martinica</v>
      </c>
      <c r="BU225" s="30" t="str">
        <f ca="1">IFERROR(__xludf.DUMMYFUNCTION("""COMPUTED_VALUE"""),"No")</f>
        <v>No</v>
      </c>
      <c r="BV225" s="30" t="str">
        <f ca="1">IFERROR(__xludf.DUMMYFUNCTION("""COMPUTED_VALUE"""),"No")</f>
        <v>No</v>
      </c>
      <c r="BW225" s="30">
        <f ca="1">IFERROR(__xludf.DUMMYFUNCTION("""COMPUTED_VALUE"""),9)</f>
        <v>9</v>
      </c>
      <c r="BX225" s="30"/>
      <c r="BY225" s="30">
        <f ca="1">IFERROR(__xludf.DUMMYFUNCTION("""COMPUTED_VALUE"""),9)</f>
        <v>9</v>
      </c>
      <c r="BZ225" s="30" t="str">
        <f ca="1">IFERROR(__xludf.DUMMYFUNCTION("""COMPUTED_VALUE"""),"La Martinica")</f>
        <v>La Martinica</v>
      </c>
      <c r="CA225" s="30" t="str">
        <f ca="1">IFERROR(__xludf.DUMMYFUNCTION("""COMPUTED_VALUE"""),"No")</f>
        <v>No</v>
      </c>
      <c r="CB225" s="30" t="str">
        <f ca="1">IFERROR(__xludf.DUMMYFUNCTION("""COMPUTED_VALUE"""),"No")</f>
        <v>No</v>
      </c>
      <c r="CC225" s="30" t="str">
        <f ca="1">IFERROR(__xludf.DUMMYFUNCTION("""COMPUTED_VALUE"""),"c480a65e")</f>
        <v>c480a65e</v>
      </c>
      <c r="CD225" s="29" t="str">
        <f ca="1">IFERROR(__xludf.DUMMYFUNCTION("""COMPUTED_VALUE"""),"Niñas y Niños (6 a 12 años)")</f>
        <v>Niñas y Niños (6 a 12 años)</v>
      </c>
      <c r="CE225" s="30" t="str">
        <f ca="1">IFERROR(__xludf.DUMMYFUNCTION("""COMPUTED_VALUE"""),"Dato global")</f>
        <v>Dato global</v>
      </c>
      <c r="CF225" s="30" t="str">
        <f ca="1">IFERROR(__xludf.DUMMYFUNCTION("""COMPUTED_VALUE"""),"Ninguno (Población General)")</f>
        <v>Ninguno (Población General)</v>
      </c>
      <c r="CG225" s="30">
        <f ca="1">IFERROR(__xludf.DUMMYFUNCTION("""COMPUTED_VALUE"""),18)</f>
        <v>18</v>
      </c>
      <c r="CI225" s="30" t="str">
        <f ca="1">IFERROR(__xludf.DUMMYFUNCTION("""COMPUTED_VALUE"""),"100bbeea")</f>
        <v>100bbeea</v>
      </c>
      <c r="CJ225" s="29" t="str">
        <f ca="1">IFERROR(__xludf.DUMMYFUNCTION("""COMPUTED_VALUE"""),"Regitro_Evidencia_Images/100bbeea.Archivo_Evidencia.225900.jpg")</f>
        <v>Regitro_Evidencia_Images/100bbeea.Archivo_Evidencia.225900.jpg</v>
      </c>
      <c r="CK225" s="30" t="str">
        <f ca="1">IFERROR(__xludf.DUMMYFUNCTION("""COMPUTED_VALUE"""),"Foto")</f>
        <v>Foto</v>
      </c>
      <c r="CL225" s="30"/>
      <c r="CM225" s="30" t="str">
        <f ca="1">IFERROR(__xludf.DUMMYFUNCTION("""COMPUTED_VALUE"""),"León")</f>
        <v>León</v>
      </c>
      <c r="CN225" s="32" t="e">
        <f ca="1"/>
        <v>#NAME?</v>
      </c>
      <c r="CO225" s="32" t="e">
        <f ca="1"/>
        <v>#NAME?</v>
      </c>
      <c r="CP225" s="32" t="e">
        <f ca="1"/>
        <v>#NAME?</v>
      </c>
      <c r="CQ225" s="32" t="e">
        <f ca="1"/>
        <v>#NAME?</v>
      </c>
      <c r="CR225" s="30" t="e">
        <f ca="1"/>
        <v>#NAME?</v>
      </c>
      <c r="CS225" s="30" t="str">
        <f ca="1">IFERROR(__xludf.DUMMYFUNCTION("""COMPUTED_VALUE"""),"Ninguno (Población General)")</f>
        <v>Ninguno (Población General)</v>
      </c>
    </row>
    <row r="226" spans="1:97" ht="13">
      <c r="A226" s="29" t="str">
        <f ca="1">IFERROR(__xludf.DUMMYFUNCTION("""COMPUTED_VALUE"""),"ACT-SCWB71791")</f>
        <v>ACT-SCWB71791</v>
      </c>
      <c r="B226" s="30" t="str">
        <f ca="1">IFERROR(__xludf.DUMMYFUNCTION("""COMPUTED_VALUE"""),"SC-260706-141322")</f>
        <v>SC-260706-141322</v>
      </c>
      <c r="C226" s="62">
        <f ca="1">IFERROR(__xludf.DUMMYFUNCTION("""COMPUTED_VALUE"""),46209.5926157407)</f>
        <v>46209.592615740701</v>
      </c>
      <c r="D226" s="30">
        <f ca="1">IFERROR(__xludf.DUMMYFUNCTION("""COMPUTED_VALUE"""),92)</f>
        <v>92</v>
      </c>
      <c r="E226" s="30" t="str">
        <f ca="1">IFERROR(__xludf.DUMMYFUNCTION("""COMPUTED_VALUE"""),"PB3572")</f>
        <v>PB3572</v>
      </c>
      <c r="F22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6" s="30" t="str">
        <f ca="1">IFERROR(__xludf.DUMMYFUNCTION("""COMPUTED_VALUE"""),"SUBSECRETARÍA DE DESARROLLO Y PROMOCIÓN ARTÍSTICA Y CULTURAL")</f>
        <v>SUBSECRETARÍA DE DESARROLLO Y PROMOCIÓN ARTÍSTICA Y CULTURAL</v>
      </c>
      <c r="I226" s="34" t="str">
        <f ca="1">IFERROR(__xludf.DUMMYFUNCTION("""COMPUTED_VALUE"""),"DIRECCIÓN GENERAL DE MUSEOS, ARTES VISUALES Y EXPOSICIONES")</f>
        <v>DIRECCIÓN GENERAL DE MUSEOS, ARTES VISUALES Y EXPOSICIONES</v>
      </c>
      <c r="J226" s="30" t="str">
        <f ca="1">IFERROR(__xludf.DUMMYFUNCTION("""COMPUTED_VALUE"""),"Número de Actividades realizadas")</f>
        <v>Número de Actividades realizadas</v>
      </c>
      <c r="K226" s="30">
        <f ca="1">IFERROR(__xludf.DUMMYFUNCTION("""COMPUTED_VALUE"""),800)</f>
        <v>800</v>
      </c>
      <c r="L226" s="30" t="str">
        <f ca="1">IFERROR(__xludf.DUMMYFUNCTION("""COMPUTED_VALUE"""),"Artística")</f>
        <v>Artística</v>
      </c>
      <c r="M226" s="30" t="str">
        <f ca="1">IFERROR(__xludf.DUMMYFUNCTION("""COMPUTED_VALUE"""),"Dibujo de Roberto Montenegro")</f>
        <v>Dibujo de Roberto Montenegro</v>
      </c>
      <c r="N226" s="30" t="str">
        <f ca="1">IFERROR(__xludf.DUMMYFUNCTION("""COMPUTED_VALUE"""),"Actividad artística de taller familiar, corresponsabilidad con la exposición bajo el signo de saturno.")</f>
        <v>Actividad artística de taller familiar, corresponsabilidad con la exposición bajo el signo de saturno.</v>
      </c>
      <c r="O226" s="30" t="str">
        <f ca="1">IFERROR(__xludf.DUMMYFUNCTION("""COMPUTED_VALUE"""),"Semanal")</f>
        <v>Semanal</v>
      </c>
      <c r="P226" s="33">
        <f ca="1">IFERROR(__xludf.DUMMYFUNCTION("""COMPUTED_VALUE"""),46180)</f>
        <v>46180</v>
      </c>
      <c r="Q226" s="33">
        <f ca="1">IFERROR(__xludf.DUMMYFUNCTION("""COMPUTED_VALUE"""),46201)</f>
        <v>46201</v>
      </c>
      <c r="R226" s="30">
        <f ca="1">IFERROR(__xludf.DUMMYFUNCTION("""COMPUTED_VALUE"""),3)</f>
        <v>3</v>
      </c>
      <c r="S226" s="30" t="str">
        <f ca="1">IFERROR(__xludf.DUMMYFUNCTION("""COMPUTED_VALUE"""),"Cultura comunitaria")</f>
        <v>Cultura comunitaria</v>
      </c>
      <c r="T226" s="30" t="str">
        <f ca="1">IFERROR(__xludf.DUMMYFUNCTION("""COMPUTED_VALUE"""),"Mediación cultural")</f>
        <v>Mediación cultural</v>
      </c>
      <c r="U226" s="30" t="str">
        <f ca="1">IFERROR(__xludf.DUMMYFUNCTION("""COMPUTED_VALUE"""),"Taller")</f>
        <v>Taller</v>
      </c>
      <c r="V226" s="30" t="str">
        <f ca="1">IFERROR(__xludf.DUMMYFUNCTION("""COMPUTED_VALUE"""),"Ninguna")</f>
        <v>Ninguna</v>
      </c>
      <c r="W226" s="30" t="str">
        <f ca="1">IFERROR(__xludf.DUMMYFUNCTION("""COMPUTED_VALUE"""),"Presencial")</f>
        <v>Presencial</v>
      </c>
      <c r="X226" s="30" t="str">
        <f ca="1">IFERROR(__xludf.DUMMYFUNCTION("""COMPUTED_VALUE"""),"Espacio a Cargo de la Secretaría")</f>
        <v>Espacio a Cargo de la Secretaría</v>
      </c>
      <c r="Y226" s="30" t="str">
        <f ca="1">IFERROR(__xludf.DUMMYFUNCTION("""COMPUTED_VALUE"""),"8")</f>
        <v>8</v>
      </c>
      <c r="Z226" s="30"/>
      <c r="AA226" s="30"/>
      <c r="AB226" s="30" t="b">
        <f ca="1">IFERROR(__xludf.DUMMYFUNCTION("""COMPUTED_VALUE"""),FALSE)</f>
        <v>0</v>
      </c>
      <c r="AC226" s="30"/>
      <c r="AD226" s="30" t="b">
        <f ca="1">IFERROR(__xludf.DUMMYFUNCTION("""COMPUTED_VALUE"""),FALSE)</f>
        <v>0</v>
      </c>
      <c r="AE226" s="30"/>
      <c r="AF226" s="30" t="b">
        <f ca="1">IFERROR(__xludf.DUMMYFUNCTION("""COMPUTED_VALUE"""),FALSE)</f>
        <v>0</v>
      </c>
      <c r="AG226" s="30"/>
      <c r="AH226" s="30" t="str">
        <f ca="1">IFERROR(__xludf.DUMMYFUNCTION("""COMPUTED_VALUE"""),"Sin costo")</f>
        <v>Sin costo</v>
      </c>
      <c r="AI226" s="30"/>
      <c r="AJ226" s="30"/>
      <c r="AK226" s="30"/>
      <c r="AL226" s="30" t="str">
        <f ca="1">IFERROR(__xludf.DUMMYFUNCTION("""COMPUTED_VALUE"""),"ccardonav@guanajuato.gob.mx")</f>
        <v>ccardonav@guanajuato.gob.mx</v>
      </c>
      <c r="AM226" s="30" t="str">
        <f ca="1">IFERROR(__xludf.DUMMYFUNCTION("""COMPUTED_VALUE"""),"Arraigo y empoderamiento cultural de comunidades.")</f>
        <v>Arraigo y empoderamiento cultural de comunidades.</v>
      </c>
      <c r="AN226" s="30" t="str">
        <f ca="1">IFERROR(__xludf.DUMMYFUNCTION("""COMPUTED_VALUE"""),"2 Igualdad")</f>
        <v>2 Igualdad</v>
      </c>
      <c r="AO226" s="30" t="str">
        <f ca="1">IFERROR(__xludf.DUMMYFUNCTION("""COMPUTED_VALUE"""),"2.4 Reducir brechas de desigualdad")</f>
        <v>2.4 Reducir brechas de desigualdad</v>
      </c>
      <c r="AP226" s="30" t="str">
        <f ca="1">IFERROR(__xludf.DUMMYFUNCTION("""COMPUTED_VALUE"""),"2.4.3 Descentralización de la oferta cultural")</f>
        <v>2.4.3 Descentralización de la oferta cultural</v>
      </c>
      <c r="AQ226" s="30" t="str">
        <f ca="1">IFERROR(__xludf.DUMMYFUNCTION("""COMPUTED_VALUE"""),"2.4.3.1 Impulsar el desarrollo artístico y cultural entre infancias y juventudes")</f>
        <v>2.4.3.1 Impulsar el desarrollo artístico y cultural entre infancias y juventudes</v>
      </c>
      <c r="AR226" s="30" t="str">
        <f ca="1">IFERROR(__xludf.DUMMYFUNCTION("""COMPUTED_VALUE"""),"Ninguno")</f>
        <v>Ninguno</v>
      </c>
      <c r="AS226" s="30"/>
      <c r="AT226" s="30" t="str">
        <f ca="1">IFERROR(__xludf.DUMMYFUNCTION("""COMPUTED_VALUE"""),"Fortalecimiento de la participación ciudadana y la mediación cultural")</f>
        <v>Fortalecimiento de la participación ciudadana y la mediación cultural</v>
      </c>
      <c r="AU226" s="30" t="str">
        <f ca="1">IFERROR(__xludf.DUMMYFUNCTION("""COMPUTED_VALUE"""),"Fortalecimiento del diálogo, la mediación y las capacidades de las redes comunitarias.")</f>
        <v>Fortalecimiento del diálogo, la mediación y las capacidades de las redes comunitarias.</v>
      </c>
      <c r="AV22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26" s="30" t="str">
        <f ca="1">IFERROR(__xludf.DUMMYFUNCTION("""COMPUTED_VALUE"""),"Incrementar en 25% la oferta cultural realizada en los municipios.")</f>
        <v>Incrementar en 25% la oferta cultural realizada en los municipios.</v>
      </c>
      <c r="AX226" s="30" t="str">
        <f ca="1">IFERROR(__xludf.DUMMYFUNCTION("""COMPUTED_VALUE"""),"Taller")</f>
        <v>Taller</v>
      </c>
      <c r="AY226" s="30" t="str">
        <f ca="1">IFERROR(__xludf.DUMMYFUNCTION("""COMPUTED_VALUE"""),"Mediación")</f>
        <v>Mediación</v>
      </c>
      <c r="AZ226" s="30"/>
      <c r="BA226" s="30"/>
      <c r="BB226" s="30"/>
      <c r="BC226" s="30">
        <f ca="1">IFERROR(__xludf.DUMMYFUNCTION("""COMPUTED_VALUE"""),0)</f>
        <v>0</v>
      </c>
      <c r="BD226" s="30"/>
      <c r="BE226" s="30"/>
      <c r="BF226" s="30" t="b">
        <f ca="1">IFERROR(__xludf.DUMMYFUNCTION("""COMPUTED_VALUE"""),FALSE)</f>
        <v>0</v>
      </c>
      <c r="BG226" s="30"/>
      <c r="BH226" s="30"/>
      <c r="BI226" s="30"/>
      <c r="BJ226" s="30"/>
      <c r="BK226" s="30"/>
      <c r="BL226" s="30"/>
      <c r="BM226" s="30" t="str">
        <f ca="1">IFERROR(__xludf.DUMMYFUNCTION("""COMPUTED_VALUE"""),"No")</f>
        <v>No</v>
      </c>
      <c r="BN226" s="30"/>
      <c r="BO226" s="30" t="str">
        <f ca="1">IFERROR(__xludf.DUMMYFUNCTION("""COMPUTED_VALUE"""),"e949d942")</f>
        <v>e949d942</v>
      </c>
      <c r="BP226" s="29" t="str">
        <f ca="1">IFERROR(__xludf.DUMMYFUNCTION("""COMPUTED_VALUE"""),"León")</f>
        <v>León</v>
      </c>
      <c r="BQ226" s="30" t="str">
        <f ca="1">IFERROR(__xludf.DUMMYFUNCTION("""COMPUTED_VALUE"""),"Urbano")</f>
        <v>Urbano</v>
      </c>
      <c r="BR226" s="30"/>
      <c r="BS226" s="30"/>
      <c r="BT226" s="30" t="str">
        <f ca="1">IFERROR(__xludf.DUMMYFUNCTION("""COMPUTED_VALUE"""),"La Martinica")</f>
        <v>La Martinica</v>
      </c>
      <c r="BU226" s="30" t="str">
        <f ca="1">IFERROR(__xludf.DUMMYFUNCTION("""COMPUTED_VALUE"""),"No")</f>
        <v>No</v>
      </c>
      <c r="BV226" s="30" t="str">
        <f ca="1">IFERROR(__xludf.DUMMYFUNCTION("""COMPUTED_VALUE"""),"No")</f>
        <v>No</v>
      </c>
      <c r="BW226" s="30">
        <f ca="1">IFERROR(__xludf.DUMMYFUNCTION("""COMPUTED_VALUE"""),40)</f>
        <v>40</v>
      </c>
      <c r="BX226" s="30"/>
      <c r="BY226" s="30">
        <f ca="1">IFERROR(__xludf.DUMMYFUNCTION("""COMPUTED_VALUE"""),40)</f>
        <v>40</v>
      </c>
      <c r="BZ226" s="30" t="str">
        <f ca="1">IFERROR(__xludf.DUMMYFUNCTION("""COMPUTED_VALUE"""),"La Martinica")</f>
        <v>La Martinica</v>
      </c>
      <c r="CA226" s="30" t="str">
        <f ca="1">IFERROR(__xludf.DUMMYFUNCTION("""COMPUTED_VALUE"""),"No")</f>
        <v>No</v>
      </c>
      <c r="CB226" s="30" t="str">
        <f ca="1">IFERROR(__xludf.DUMMYFUNCTION("""COMPUTED_VALUE"""),"No")</f>
        <v>No</v>
      </c>
      <c r="CC226" s="30" t="str">
        <f ca="1">IFERROR(__xludf.DUMMYFUNCTION("""COMPUTED_VALUE"""),"bbc2657f")</f>
        <v>bbc2657f</v>
      </c>
      <c r="CD226" s="29" t="str">
        <f ca="1">IFERROR(__xludf.DUMMYFUNCTION("""COMPUTED_VALUE"""),"Adolescentes (13 a 17 años)")</f>
        <v>Adolescentes (13 a 17 años)</v>
      </c>
      <c r="CE226" s="30" t="str">
        <f ca="1">IFERROR(__xludf.DUMMYFUNCTION("""COMPUTED_VALUE"""),"Dato global")</f>
        <v>Dato global</v>
      </c>
      <c r="CF226" s="30" t="str">
        <f ca="1">IFERROR(__xludf.DUMMYFUNCTION("""COMPUTED_VALUE"""),"Ninguno (Población General)")</f>
        <v>Ninguno (Población General)</v>
      </c>
      <c r="CG226" s="30">
        <f ca="1">IFERROR(__xludf.DUMMYFUNCTION("""COMPUTED_VALUE"""),5)</f>
        <v>5</v>
      </c>
      <c r="CI226" s="30" t="str">
        <f ca="1">IFERROR(__xludf.DUMMYFUNCTION("""COMPUTED_VALUE"""),"d327b48c")</f>
        <v>d327b48c</v>
      </c>
      <c r="CJ226" s="29" t="str">
        <f ca="1">IFERROR(__xludf.DUMMYFUNCTION("""COMPUTED_VALUE"""),"Regitro_Evidencia_Files_/d327b48c.Archivo_Evidencia.231029.pdf")</f>
        <v>Regitro_Evidencia_Files_/d327b48c.Archivo_Evidencia.231029.pdf</v>
      </c>
      <c r="CK226" s="30" t="str">
        <f ca="1">IFERROR(__xludf.DUMMYFUNCTION("""COMPUTED_VALUE"""),"PDF")</f>
        <v>PDF</v>
      </c>
      <c r="CL226" s="30" t="str">
        <f ca="1">IFERROR(__xludf.DUMMYFUNCTION("""COMPUTED_VALUE"""),"Reporte de evidencias")</f>
        <v>Reporte de evidencias</v>
      </c>
      <c r="CM226" s="30" t="str">
        <f ca="1">IFERROR(__xludf.DUMMYFUNCTION("""COMPUTED_VALUE"""),"Silao de la Victoria")</f>
        <v>Silao de la Victoria</v>
      </c>
      <c r="CN226" s="32" t="e">
        <f ca="1"/>
        <v>#NAME?</v>
      </c>
      <c r="CO226" s="32" t="e">
        <f ca="1"/>
        <v>#NAME?</v>
      </c>
      <c r="CP226" s="32" t="e">
        <f ca="1"/>
        <v>#NAME?</v>
      </c>
      <c r="CQ226" s="32" t="e">
        <f ca="1"/>
        <v>#NAME?</v>
      </c>
      <c r="CR226" s="30" t="e">
        <f ca="1"/>
        <v>#NAME?</v>
      </c>
      <c r="CS226" s="30" t="str">
        <f ca="1">IFERROR(__xludf.DUMMYFUNCTION("""COMPUTED_VALUE"""),"Ninguno (Población General), Ninguno (Población General)")</f>
        <v>Ninguno (Población General), Ninguno (Población General)</v>
      </c>
    </row>
    <row r="227" spans="1:97" ht="13">
      <c r="A227" s="29" t="str">
        <f ca="1">IFERROR(__xludf.DUMMYFUNCTION("""COMPUTED_VALUE"""),"ACT-SCRL38727")</f>
        <v>ACT-SCRL38727</v>
      </c>
      <c r="B227" s="30" t="str">
        <f ca="1">IFERROR(__xludf.DUMMYFUNCTION("""COMPUTED_VALUE"""),"SC-260707-115446")</f>
        <v>SC-260707-115446</v>
      </c>
      <c r="C227" s="62">
        <f ca="1">IFERROR(__xludf.DUMMYFUNCTION("""COMPUTED_VALUE"""),46210.4963657407)</f>
        <v>46210.496365740699</v>
      </c>
      <c r="D227" s="30">
        <f ca="1">IFERROR(__xludf.DUMMYFUNCTION("""COMPUTED_VALUE"""),91)</f>
        <v>91</v>
      </c>
      <c r="E227" s="30" t="str">
        <f ca="1">IFERROR(__xludf.DUMMYFUNCTION("""COMPUTED_VALUE"""),"PB3572")</f>
        <v>PB3572</v>
      </c>
      <c r="F22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7"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227" s="30" t="str">
        <f ca="1">IFERROR(__xludf.DUMMYFUNCTION("""COMPUTED_VALUE"""),"SUBSECRETARÍA DE DESARROLLO Y PROMOCIÓN ARTÍSTICA Y CULTURAL")</f>
        <v>SUBSECRETARÍA DE DESARROLLO Y PROMOCIÓN ARTÍSTICA Y CULTURAL</v>
      </c>
      <c r="I227" s="34" t="str">
        <f ca="1">IFERROR(__xludf.DUMMYFUNCTION("""COMPUTED_VALUE"""),"DIRECCIÓN GENERAL DE MUSEOS, ARTES VISUALES Y EXPOSICIONES")</f>
        <v>DIRECCIÓN GENERAL DE MUSEOS, ARTES VISUALES Y EXPOSICIONES</v>
      </c>
      <c r="J227" s="30" t="str">
        <f ca="1">IFERROR(__xludf.DUMMYFUNCTION("""COMPUTED_VALUE"""),"Número de Exposiciones inauguradas")</f>
        <v>Número de Exposiciones inauguradas</v>
      </c>
      <c r="K227" s="30">
        <f ca="1">IFERROR(__xludf.DUMMYFUNCTION("""COMPUTED_VALUE"""),28)</f>
        <v>28</v>
      </c>
      <c r="L227" s="30" t="str">
        <f ca="1">IFERROR(__xludf.DUMMYFUNCTION("""COMPUTED_VALUE"""),"Artística")</f>
        <v>Artística</v>
      </c>
      <c r="M227" s="30" t="str">
        <f ca="1">IFERROR(__xludf.DUMMYFUNCTION("""COMPUTED_VALUE"""),"Inauguracion de la Exposición:  ""Habitar ese bosque""")</f>
        <v>Inauguracion de la Exposición:  "Habitar ese bosque"</v>
      </c>
      <c r="N227" s="30" t="str">
        <f ca="1">IFERROR(__xludf.DUMMYFUNCTION("""COMPUTED_VALUE"""),"Inauguración de la exposición temporal ""Habitar ese bosque"". Camila Apaez y Miguel Mesa A través de la cerámica, el sonido y la exploración sensorial, esta muestra propone un viaje íntimo que invita a reflexionar sobre la identidad, la materia y la form"&amp;"a en que percibimos nuestro entorno. Un recorrido que evoca paisajes sutiles: bosques silenciosos, raíces profundas y atmósferas que se sienten más allá de lo visible.")</f>
        <v>Inauguración de la exposición temporal "Habitar ese bosque". Camila Apaez y Miguel Mesa A través de la cerámica, el sonido y la exploración sensorial, esta muestra propone un viaje íntimo que invita a reflexionar sobre la identidad, la materia y la forma en que percibimos nuestro entorno. Un recorrido que evoca paisajes sutiles: bosques silenciosos, raíces profundas y atmósferas que se sienten más allá de lo visible.</v>
      </c>
      <c r="O227" s="30" t="str">
        <f ca="1">IFERROR(__xludf.DUMMYFUNCTION("""COMPUTED_VALUE"""),"Única")</f>
        <v>Única</v>
      </c>
      <c r="P227" s="33">
        <f ca="1">IFERROR(__xludf.DUMMYFUNCTION("""COMPUTED_VALUE"""),46137)</f>
        <v>46137</v>
      </c>
      <c r="Q227" s="33">
        <f ca="1">IFERROR(__xludf.DUMMYFUNCTION("""COMPUTED_VALUE"""),46137)</f>
        <v>46137</v>
      </c>
      <c r="R227" s="30">
        <f ca="1">IFERROR(__xludf.DUMMYFUNCTION("""COMPUTED_VALUE"""),1)</f>
        <v>1</v>
      </c>
      <c r="S227" s="30" t="str">
        <f ca="1">IFERROR(__xludf.DUMMYFUNCTION("""COMPUTED_VALUE"""),"Artes visuales")</f>
        <v>Artes visuales</v>
      </c>
      <c r="T227" s="30" t="str">
        <f ca="1">IFERROR(__xludf.DUMMYFUNCTION("""COMPUTED_VALUE"""),"Instalación")</f>
        <v>Instalación</v>
      </c>
      <c r="U227" s="30" t="str">
        <f ca="1">IFERROR(__xludf.DUMMYFUNCTION("""COMPUTED_VALUE"""),"Exposición")</f>
        <v>Exposición</v>
      </c>
      <c r="V227" s="30" t="str">
        <f ca="1">IFERROR(__xludf.DUMMYFUNCTION("""COMPUTED_VALUE"""),"Ninguna")</f>
        <v>Ninguna</v>
      </c>
      <c r="W227" s="30" t="str">
        <f ca="1">IFERROR(__xludf.DUMMYFUNCTION("""COMPUTED_VALUE"""),"Presencial")</f>
        <v>Presencial</v>
      </c>
      <c r="X227" s="30" t="str">
        <f ca="1">IFERROR(__xludf.DUMMYFUNCTION("""COMPUTED_VALUE"""),"Espacio a Cargo de la Secretaría")</f>
        <v>Espacio a Cargo de la Secretaría</v>
      </c>
      <c r="Y227" s="30" t="str">
        <f ca="1">IFERROR(__xludf.DUMMYFUNCTION("""COMPUTED_VALUE"""),"8")</f>
        <v>8</v>
      </c>
      <c r="Z227" s="30"/>
      <c r="AA227" s="30"/>
      <c r="AB227" s="30" t="b">
        <f ca="1">IFERROR(__xludf.DUMMYFUNCTION("""COMPUTED_VALUE"""),FALSE)</f>
        <v>0</v>
      </c>
      <c r="AC227" s="30"/>
      <c r="AD227" s="30" t="b">
        <f ca="1">IFERROR(__xludf.DUMMYFUNCTION("""COMPUTED_VALUE"""),TRUE)</f>
        <v>1</v>
      </c>
      <c r="AE227" s="30">
        <f ca="1">IFERROR(__xludf.DUMMYFUNCTION("""COMPUTED_VALUE"""),1)</f>
        <v>1</v>
      </c>
      <c r="AF227" s="30" t="b">
        <f ca="1">IFERROR(__xludf.DUMMYFUNCTION("""COMPUTED_VALUE"""),FALSE)</f>
        <v>0</v>
      </c>
      <c r="AG227" s="30"/>
      <c r="AH227" s="30" t="str">
        <f ca="1">IFERROR(__xludf.DUMMYFUNCTION("""COMPUTED_VALUE"""),"Sin costo")</f>
        <v>Sin costo</v>
      </c>
      <c r="AI227" s="30"/>
      <c r="AJ227" s="30"/>
      <c r="AK227" s="30"/>
      <c r="AL227" s="30" t="str">
        <f ca="1">IFERROR(__xludf.DUMMYFUNCTION("""COMPUTED_VALUE"""),"ccardonav@guanajuato.gob.mx")</f>
        <v>ccardonav@guanajuato.gob.mx</v>
      </c>
      <c r="AM227" s="30" t="str">
        <f ca="1">IFERROR(__xludf.DUMMYFUNCTION("""COMPUTED_VALUE"""),"Creación de la Secretaría de Cultura, con una visión social de la política cultural.")</f>
        <v>Creación de la Secretaría de Cultura, con una visión social de la política cultural.</v>
      </c>
      <c r="AN227" s="30" t="str">
        <f ca="1">IFERROR(__xludf.DUMMYFUNCTION("""COMPUTED_VALUE"""),"2 Igualdad")</f>
        <v>2 Igualdad</v>
      </c>
      <c r="AO227" s="30" t="str">
        <f ca="1">IFERROR(__xludf.DUMMYFUNCTION("""COMPUTED_VALUE"""),"2.4 Reducir brechas de desigualdad")</f>
        <v>2.4 Reducir brechas de desigualdad</v>
      </c>
      <c r="AP227" s="30" t="str">
        <f ca="1">IFERROR(__xludf.DUMMYFUNCTION("""COMPUTED_VALUE"""),"2.4.3 Descentralización de la oferta cultural")</f>
        <v>2.4.3 Descentralización de la oferta cultural</v>
      </c>
      <c r="AQ227" s="30" t="str">
        <f ca="1">IFERROR(__xludf.DUMMYFUNCTION("""COMPUTED_VALUE"""),"2.4.3.3 Incidir en el involucramiento de las personas con el ecosistema cultural")</f>
        <v>2.4.3.3 Incidir en el involucramiento de las personas con el ecosistema cultural</v>
      </c>
      <c r="AR227" s="30" t="str">
        <f ca="1">IFERROR(__xludf.DUMMYFUNCTION("""COMPUTED_VALUE"""),"Ninguno")</f>
        <v>Ninguno</v>
      </c>
      <c r="AS227" s="30"/>
      <c r="AT227" s="30" t="str">
        <f ca="1">IFERROR(__xludf.DUMMYFUNCTION("""COMPUTED_VALUE"""),"Fortalecimiento de la participación ciudadana y la mediación cultural")</f>
        <v>Fortalecimiento de la participación ciudadana y la mediación cultural</v>
      </c>
      <c r="AU227" s="30" t="str">
        <f ca="1">IFERROR(__xludf.DUMMYFUNCTION("""COMPUTED_VALUE"""),"Impulso a la ampliación de la oferta cultural en los territorios.")</f>
        <v>Impulso a la ampliación de la oferta cultural en los territorios.</v>
      </c>
      <c r="AV22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27" s="30" t="str">
        <f ca="1">IFERROR(__xludf.DUMMYFUNCTION("""COMPUTED_VALUE"""),"Incrementar en 25% la oferta cultural realizada en los municipios.")</f>
        <v>Incrementar en 25% la oferta cultural realizada en los municipios.</v>
      </c>
      <c r="AX227" s="30" t="str">
        <f ca="1">IFERROR(__xludf.DUMMYFUNCTION("""COMPUTED_VALUE"""),"Exposición")</f>
        <v>Exposición</v>
      </c>
      <c r="AY227" s="30" t="str">
        <f ca="1">IFERROR(__xludf.DUMMYFUNCTION("""COMPUTED_VALUE"""),"Circulación / Exhibición")</f>
        <v>Circulación / Exhibición</v>
      </c>
      <c r="AZ227" s="30"/>
      <c r="BA227" s="30"/>
      <c r="BB227" s="30"/>
      <c r="BC227" s="30">
        <f ca="1">IFERROR(__xludf.DUMMYFUNCTION("""COMPUTED_VALUE"""),0)</f>
        <v>0</v>
      </c>
      <c r="BD227" s="30"/>
      <c r="BE227" s="30"/>
      <c r="BF227" s="30" t="b">
        <f ca="1">IFERROR(__xludf.DUMMYFUNCTION("""COMPUTED_VALUE"""),FALSE)</f>
        <v>0</v>
      </c>
      <c r="BG227" s="30"/>
      <c r="BH227" s="30"/>
      <c r="BI227" s="30"/>
      <c r="BJ227" s="30"/>
      <c r="BK227" s="30"/>
      <c r="BL227" s="30" t="str">
        <f ca="1">IFERROR(__xludf.DUMMYFUNCTION("""COMPUTED_VALUE"""),"Contrato de Prestación de Servicios")</f>
        <v>Contrato de Prestación de Servicios</v>
      </c>
      <c r="BM227" s="30" t="str">
        <f ca="1">IFERROR(__xludf.DUMMYFUNCTION("""COMPUTED_VALUE"""),"Sí")</f>
        <v>Sí</v>
      </c>
      <c r="BN227" s="30" t="str">
        <f ca="1">IFERROR(__xludf.DUMMYFUNCTION("""COMPUTED_VALUE"""),"Gestión de recursos económicos")</f>
        <v>Gestión de recursos económicos</v>
      </c>
      <c r="BO227" s="30" t="str">
        <f ca="1">IFERROR(__xludf.DUMMYFUNCTION("""COMPUTED_VALUE"""),"0aeeecf8")</f>
        <v>0aeeecf8</v>
      </c>
      <c r="BP227" s="29" t="str">
        <f ca="1">IFERROR(__xludf.DUMMYFUNCTION("""COMPUTED_VALUE"""),"León")</f>
        <v>León</v>
      </c>
      <c r="BQ227" s="30" t="str">
        <f ca="1">IFERROR(__xludf.DUMMYFUNCTION("""COMPUTED_VALUE"""),"Urbano")</f>
        <v>Urbano</v>
      </c>
      <c r="BR227" s="30"/>
      <c r="BS227" s="30"/>
      <c r="BT227" s="30" t="str">
        <f ca="1">IFERROR(__xludf.DUMMYFUNCTION("""COMPUTED_VALUE"""),"La Martinica")</f>
        <v>La Martinica</v>
      </c>
      <c r="BU227" s="30" t="str">
        <f ca="1">IFERROR(__xludf.DUMMYFUNCTION("""COMPUTED_VALUE"""),"No")</f>
        <v>No</v>
      </c>
      <c r="BV227" s="30" t="str">
        <f ca="1">IFERROR(__xludf.DUMMYFUNCTION("""COMPUTED_VALUE"""),"No")</f>
        <v>No</v>
      </c>
      <c r="BW227" s="30">
        <f ca="1">IFERROR(__xludf.DUMMYFUNCTION("""COMPUTED_VALUE"""),220)</f>
        <v>220</v>
      </c>
      <c r="BX227" s="30"/>
      <c r="BY227" s="30">
        <f ca="1">IFERROR(__xludf.DUMMYFUNCTION("""COMPUTED_VALUE"""),220)</f>
        <v>220</v>
      </c>
      <c r="BZ227" s="30" t="str">
        <f ca="1">IFERROR(__xludf.DUMMYFUNCTION("""COMPUTED_VALUE"""),"La Martinica")</f>
        <v>La Martinica</v>
      </c>
      <c r="CA227" s="30" t="str">
        <f ca="1">IFERROR(__xludf.DUMMYFUNCTION("""COMPUTED_VALUE"""),"No")</f>
        <v>No</v>
      </c>
      <c r="CB227" s="30" t="str">
        <f ca="1">IFERROR(__xludf.DUMMYFUNCTION("""COMPUTED_VALUE"""),"No")</f>
        <v>No</v>
      </c>
      <c r="CC227" s="30" t="str">
        <f ca="1">IFERROR(__xludf.DUMMYFUNCTION("""COMPUTED_VALUE"""),"4a04f664")</f>
        <v>4a04f664</v>
      </c>
      <c r="CD227" s="29" t="str">
        <f ca="1">IFERROR(__xludf.DUMMYFUNCTION("""COMPUTED_VALUE"""),"Niñas y Niños (6 a 12 años)")</f>
        <v>Niñas y Niños (6 a 12 años)</v>
      </c>
      <c r="CE227" s="30" t="str">
        <f ca="1">IFERROR(__xludf.DUMMYFUNCTION("""COMPUTED_VALUE"""),"Dato global")</f>
        <v>Dato global</v>
      </c>
      <c r="CF227" s="30" t="str">
        <f ca="1">IFERROR(__xludf.DUMMYFUNCTION("""COMPUTED_VALUE"""),"Ninguno (Población General)")</f>
        <v>Ninguno (Población General)</v>
      </c>
      <c r="CG227" s="30">
        <f ca="1">IFERROR(__xludf.DUMMYFUNCTION("""COMPUTED_VALUE"""),3)</f>
        <v>3</v>
      </c>
      <c r="CI227" s="30" t="str">
        <f ca="1">IFERROR(__xludf.DUMMYFUNCTION("""COMPUTED_VALUE"""),"2afd1571")</f>
        <v>2afd1571</v>
      </c>
      <c r="CJ227" s="29" t="str">
        <f ca="1">IFERROR(__xludf.DUMMYFUNCTION("""COMPUTED_VALUE"""),"Regitro_Evidencia_Images/2afd1571.Archivo_Evidencia.174526.jpg")</f>
        <v>Regitro_Evidencia_Images/2afd1571.Archivo_Evidencia.174526.jpg</v>
      </c>
      <c r="CK227" s="30" t="str">
        <f ca="1">IFERROR(__xludf.DUMMYFUNCTION("""COMPUTED_VALUE"""),"Foto")</f>
        <v>Foto</v>
      </c>
      <c r="CL227" s="30" t="str">
        <f ca="1">IFERROR(__xludf.DUMMYFUNCTION("""COMPUTED_VALUE"""),"La imagen registra la sesión de trabajo colaborativo e interactivo con el grupo.")</f>
        <v>La imagen registra la sesión de trabajo colaborativo e interactivo con el grupo.</v>
      </c>
      <c r="CM227" s="30" t="str">
        <f ca="1">IFERROR(__xludf.DUMMYFUNCTION("""COMPUTED_VALUE"""),"Purísima del Rincón")</f>
        <v>Purísima del Rincón</v>
      </c>
      <c r="CN227" s="32" t="e">
        <f ca="1"/>
        <v>#NAME?</v>
      </c>
      <c r="CO227" s="32" t="e">
        <f ca="1"/>
        <v>#NAME?</v>
      </c>
      <c r="CP227" s="32" t="e">
        <f ca="1"/>
        <v>#NAME?</v>
      </c>
      <c r="CQ227" s="32" t="e">
        <f ca="1"/>
        <v>#NAME?</v>
      </c>
      <c r="CR227" s="30" t="e">
        <f ca="1"/>
        <v>#NAME?</v>
      </c>
      <c r="CS227" s="30" t="str">
        <f ca="1">IFERROR(__xludf.DUMMYFUNCTION("""COMPUTED_VALUE"""),"Ninguno (Población General)")</f>
        <v>Ninguno (Población General)</v>
      </c>
    </row>
    <row r="228" spans="1:97" ht="13">
      <c r="A228" s="29" t="str">
        <f ca="1">IFERROR(__xludf.DUMMYFUNCTION("""COMPUTED_VALUE"""),"ACT-SCUA40620")</f>
        <v>ACT-SCUA40620</v>
      </c>
      <c r="B228" s="30" t="str">
        <f ca="1">IFERROR(__xludf.DUMMYFUNCTION("""COMPUTED_VALUE"""),"SC-260707-120431")</f>
        <v>SC-260707-120431</v>
      </c>
      <c r="C228" s="62">
        <f ca="1">IFERROR(__xludf.DUMMYFUNCTION("""COMPUTED_VALUE"""),46210.503136574)</f>
        <v>46210.503136574</v>
      </c>
      <c r="D228" s="30">
        <f ca="1">IFERROR(__xludf.DUMMYFUNCTION("""COMPUTED_VALUE"""),92)</f>
        <v>92</v>
      </c>
      <c r="E228" s="30" t="str">
        <f ca="1">IFERROR(__xludf.DUMMYFUNCTION("""COMPUTED_VALUE"""),"PB3572")</f>
        <v>PB3572</v>
      </c>
      <c r="F22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8" s="30" t="str">
        <f ca="1">IFERROR(__xludf.DUMMYFUNCTION("""COMPUTED_VALUE"""),"SUBSECRETARÍA DE DESARROLLO Y PROMOCIÓN ARTÍSTICA Y CULTURAL")</f>
        <v>SUBSECRETARÍA DE DESARROLLO Y PROMOCIÓN ARTÍSTICA Y CULTURAL</v>
      </c>
      <c r="I228" s="34" t="str">
        <f ca="1">IFERROR(__xludf.DUMMYFUNCTION("""COMPUTED_VALUE"""),"DIRECCIÓN GENERAL DE MUSEOS, ARTES VISUALES Y EXPOSICIONES")</f>
        <v>DIRECCIÓN GENERAL DE MUSEOS, ARTES VISUALES Y EXPOSICIONES</v>
      </c>
      <c r="J228" s="30" t="str">
        <f ca="1">IFERROR(__xludf.DUMMYFUNCTION("""COMPUTED_VALUE"""),"Número de Actividades realizadas")</f>
        <v>Número de Actividades realizadas</v>
      </c>
      <c r="K228" s="30">
        <f ca="1">IFERROR(__xludf.DUMMYFUNCTION("""COMPUTED_VALUE"""),800)</f>
        <v>800</v>
      </c>
      <c r="L228" s="30" t="str">
        <f ca="1">IFERROR(__xludf.DUMMYFUNCTION("""COMPUTED_VALUE"""),"Cultural")</f>
        <v>Cultural</v>
      </c>
      <c r="M228" s="30" t="str">
        <f ca="1">IFERROR(__xludf.DUMMYFUNCTION("""COMPUTED_VALUE"""),"Préstamos de espacios y visita guiada a la exposición temporal: Bajo el Signo de Saturno. Adivinación en el arte.")</f>
        <v>Préstamos de espacios y visita guiada a la exposición temporal: Bajo el Signo de Saturno. Adivinación en el arte.</v>
      </c>
      <c r="N228" s="30" t="str">
        <f ca="1">IFERROR(__xludf.DUMMYFUNCTION("""COMPUTED_VALUE"""),"Recibimos al grupo del  Diplomado en Historia del Arte de la Universidad la Salle Bajío y posteriormente visitamos la exposición temporal Bajo el Signo de Saturno. Adivinación en el arte.")</f>
        <v>Recibimos al grupo del  Diplomado en Historia del Arte de la Universidad la Salle Bajío y posteriormente visitamos la exposición temporal Bajo el Signo de Saturno. Adivinación en el arte.</v>
      </c>
      <c r="O228" s="30" t="str">
        <f ca="1">IFERROR(__xludf.DUMMYFUNCTION("""COMPUTED_VALUE"""),"Única")</f>
        <v>Única</v>
      </c>
      <c r="P228" s="33">
        <f ca="1">IFERROR(__xludf.DUMMYFUNCTION("""COMPUTED_VALUE"""),46151)</f>
        <v>46151</v>
      </c>
      <c r="Q228" s="33">
        <f ca="1">IFERROR(__xludf.DUMMYFUNCTION("""COMPUTED_VALUE"""),46151)</f>
        <v>46151</v>
      </c>
      <c r="R228" s="30">
        <f ca="1">IFERROR(__xludf.DUMMYFUNCTION("""COMPUTED_VALUE"""),1)</f>
        <v>1</v>
      </c>
      <c r="S228" s="30" t="str">
        <f ca="1">IFERROR(__xludf.DUMMYFUNCTION("""COMPUTED_VALUE"""),"Cultura comunitaria")</f>
        <v>Cultura comunitaria</v>
      </c>
      <c r="T228" s="30" t="str">
        <f ca="1">IFERROR(__xludf.DUMMYFUNCTION("""COMPUTED_VALUE"""),"Mediación cultural")</f>
        <v>Mediación cultural</v>
      </c>
      <c r="U228" s="30" t="str">
        <f ca="1">IFERROR(__xludf.DUMMYFUNCTION("""COMPUTED_VALUE"""),"Visitas guiadas")</f>
        <v>Visitas guiadas</v>
      </c>
      <c r="V228" s="30" t="str">
        <f ca="1">IFERROR(__xludf.DUMMYFUNCTION("""COMPUTED_VALUE"""),"Ninguna")</f>
        <v>Ninguna</v>
      </c>
      <c r="W228" s="30" t="str">
        <f ca="1">IFERROR(__xludf.DUMMYFUNCTION("""COMPUTED_VALUE"""),"Presencial")</f>
        <v>Presencial</v>
      </c>
      <c r="X228" s="30" t="str">
        <f ca="1">IFERROR(__xludf.DUMMYFUNCTION("""COMPUTED_VALUE"""),"Espacio a Cargo de la Secretaría")</f>
        <v>Espacio a Cargo de la Secretaría</v>
      </c>
      <c r="Y228" s="30" t="str">
        <f ca="1">IFERROR(__xludf.DUMMYFUNCTION("""COMPUTED_VALUE"""),"8")</f>
        <v>8</v>
      </c>
      <c r="Z228" s="30"/>
      <c r="AA228" s="30"/>
      <c r="AB228" s="30" t="b">
        <f ca="1">IFERROR(__xludf.DUMMYFUNCTION("""COMPUTED_VALUE"""),FALSE)</f>
        <v>0</v>
      </c>
      <c r="AC228" s="30"/>
      <c r="AD228" s="30" t="b">
        <f ca="1">IFERROR(__xludf.DUMMYFUNCTION("""COMPUTED_VALUE"""),FALSE)</f>
        <v>0</v>
      </c>
      <c r="AE228" s="30"/>
      <c r="AF228" s="30" t="b">
        <f ca="1">IFERROR(__xludf.DUMMYFUNCTION("""COMPUTED_VALUE"""),FALSE)</f>
        <v>0</v>
      </c>
      <c r="AG228" s="30"/>
      <c r="AH228" s="30" t="str">
        <f ca="1">IFERROR(__xludf.DUMMYFUNCTION("""COMPUTED_VALUE"""),"Sin costo")</f>
        <v>Sin costo</v>
      </c>
      <c r="AI228" s="30"/>
      <c r="AJ228" s="30"/>
      <c r="AK228" s="30"/>
      <c r="AL228" s="30" t="str">
        <f ca="1">IFERROR(__xludf.DUMMYFUNCTION("""COMPUTED_VALUE"""),"ccardonav@guanajuato.gob.mx")</f>
        <v>ccardonav@guanajuato.gob.mx</v>
      </c>
      <c r="AM228"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228" s="30" t="str">
        <f ca="1">IFERROR(__xludf.DUMMYFUNCTION("""COMPUTED_VALUE"""),"2 Igualdad")</f>
        <v>2 Igualdad</v>
      </c>
      <c r="AO228" s="30" t="str">
        <f ca="1">IFERROR(__xludf.DUMMYFUNCTION("""COMPUTED_VALUE"""),"2.4 Reducir brechas de desigualdad")</f>
        <v>2.4 Reducir brechas de desigualdad</v>
      </c>
      <c r="AP228" s="30" t="str">
        <f ca="1">IFERROR(__xludf.DUMMYFUNCTION("""COMPUTED_VALUE"""),"2.4.3 Descentralización de la oferta cultural")</f>
        <v>2.4.3 Descentralización de la oferta cultural</v>
      </c>
      <c r="AQ228" s="30" t="str">
        <f ca="1">IFERROR(__xludf.DUMMYFUNCTION("""COMPUTED_VALUE"""),"2.4.3.3 Incidir en el involucramiento de las personas con el ecosistema cultural")</f>
        <v>2.4.3.3 Incidir en el involucramiento de las personas con el ecosistema cultural</v>
      </c>
      <c r="AR228" s="30" t="str">
        <f ca="1">IFERROR(__xludf.DUMMYFUNCTION("""COMPUTED_VALUE"""),"Ninguno")</f>
        <v>Ninguno</v>
      </c>
      <c r="AS228" s="30"/>
      <c r="AT228" s="30" t="str">
        <f ca="1">IFERROR(__xludf.DUMMYFUNCTION("""COMPUTED_VALUE"""),"Fortalecimiento de la participación ciudadana y la mediación cultural")</f>
        <v>Fortalecimiento de la participación ciudadana y la mediación cultural</v>
      </c>
      <c r="AU228" s="30" t="str">
        <f ca="1">IFERROR(__xludf.DUMMYFUNCTION("""COMPUTED_VALUE"""),"Impulso a la ampliación de la oferta cultural en los territorios.")</f>
        <v>Impulso a la ampliación de la oferta cultural en los territorios.</v>
      </c>
      <c r="AV22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28" s="30" t="str">
        <f ca="1">IFERROR(__xludf.DUMMYFUNCTION("""COMPUTED_VALUE"""),"Incrementar en 25% la oferta cultural realizada en los municipios.")</f>
        <v>Incrementar en 25% la oferta cultural realizada en los municipios.</v>
      </c>
      <c r="AX228" s="30" t="str">
        <f ca="1">IFERROR(__xludf.DUMMYFUNCTION("""COMPUTED_VALUE"""),"Visitas guiadas")</f>
        <v>Visitas guiadas</v>
      </c>
      <c r="AY228" s="30" t="str">
        <f ca="1">IFERROR(__xludf.DUMMYFUNCTION("""COMPUTED_VALUE"""),"Mediación")</f>
        <v>Mediación</v>
      </c>
      <c r="AZ228" s="30"/>
      <c r="BA228" s="30"/>
      <c r="BB228" s="30"/>
      <c r="BC228" s="30">
        <f ca="1">IFERROR(__xludf.DUMMYFUNCTION("""COMPUTED_VALUE"""),0)</f>
        <v>0</v>
      </c>
      <c r="BD228" s="30"/>
      <c r="BE228" s="30"/>
      <c r="BF228" s="30" t="b">
        <f ca="1">IFERROR(__xludf.DUMMYFUNCTION("""COMPUTED_VALUE"""),FALSE)</f>
        <v>0</v>
      </c>
      <c r="BG228" s="30"/>
      <c r="BH228" s="30"/>
      <c r="BI228" s="30"/>
      <c r="BJ228" s="30"/>
      <c r="BK228" s="30"/>
      <c r="BL228" s="30"/>
      <c r="BM228" s="30" t="str">
        <f ca="1">IFERROR(__xludf.DUMMYFUNCTION("""COMPUTED_VALUE"""),"No")</f>
        <v>No</v>
      </c>
      <c r="BN228" s="30"/>
      <c r="BO228" s="30" t="str">
        <f ca="1">IFERROR(__xludf.DUMMYFUNCTION("""COMPUTED_VALUE"""),"479b0f8c")</f>
        <v>479b0f8c</v>
      </c>
      <c r="BP228" s="29" t="str">
        <f ca="1">IFERROR(__xludf.DUMMYFUNCTION("""COMPUTED_VALUE"""),"Silao de la Victoria")</f>
        <v>Silao de la Victoria</v>
      </c>
      <c r="BQ228" s="30" t="str">
        <f ca="1">IFERROR(__xludf.DUMMYFUNCTION("""COMPUTED_VALUE"""),"Urbano")</f>
        <v>Urbano</v>
      </c>
      <c r="BR228" s="30">
        <f ca="1">IFERROR(__xludf.DUMMYFUNCTION("""COMPUTED_VALUE"""),215)</f>
        <v>215</v>
      </c>
      <c r="BS228" s="30" t="str">
        <f ca="1">IFERROR(__xludf.DUMMYFUNCTION("""COMPUTED_VALUE"""),"Silao")</f>
        <v>Silao</v>
      </c>
      <c r="BT228" s="30"/>
      <c r="BU228" s="30" t="str">
        <f ca="1">IFERROR(__xludf.DUMMYFUNCTION("""COMPUTED_VALUE"""),"Si")</f>
        <v>Si</v>
      </c>
      <c r="BV228" s="30" t="str">
        <f ca="1">IFERROR(__xludf.DUMMYFUNCTION("""COMPUTED_VALUE"""),"Si")</f>
        <v>Si</v>
      </c>
      <c r="BW228" s="30">
        <f ca="1">IFERROR(__xludf.DUMMYFUNCTION("""COMPUTED_VALUE"""),234)</f>
        <v>234</v>
      </c>
      <c r="BX228" s="30"/>
      <c r="BY228" s="30">
        <f ca="1">IFERROR(__xludf.DUMMYFUNCTION("""COMPUTED_VALUE"""),234)</f>
        <v>234</v>
      </c>
      <c r="BZ228" s="30" t="str">
        <f ca="1">IFERROR(__xludf.DUMMYFUNCTION("""COMPUTED_VALUE"""),"Silao")</f>
        <v>Silao</v>
      </c>
      <c r="CA228" s="30" t="str">
        <f ca="1">IFERROR(__xludf.DUMMYFUNCTION("""COMPUTED_VALUE"""),"No")</f>
        <v>No</v>
      </c>
      <c r="CB228" s="30" t="str">
        <f ca="1">IFERROR(__xludf.DUMMYFUNCTION("""COMPUTED_VALUE"""),"No")</f>
        <v>No</v>
      </c>
      <c r="CC228" s="30" t="str">
        <f ca="1">IFERROR(__xludf.DUMMYFUNCTION("""COMPUTED_VALUE"""),"f636a4c5")</f>
        <v>f636a4c5</v>
      </c>
      <c r="CD228" s="29" t="str">
        <f ca="1">IFERROR(__xludf.DUMMYFUNCTION("""COMPUTED_VALUE"""),"Adolescentes (13 a 17 años)")</f>
        <v>Adolescentes (13 a 17 años)</v>
      </c>
      <c r="CE228" s="30" t="str">
        <f ca="1">IFERROR(__xludf.DUMMYFUNCTION("""COMPUTED_VALUE"""),"Dato global")</f>
        <v>Dato global</v>
      </c>
      <c r="CF228" s="30" t="str">
        <f ca="1">IFERROR(__xludf.DUMMYFUNCTION("""COMPUTED_VALUE"""),"Ninguno (Población General)")</f>
        <v>Ninguno (Población General)</v>
      </c>
      <c r="CG228" s="30">
        <f ca="1">IFERROR(__xludf.DUMMYFUNCTION("""COMPUTED_VALUE"""),3)</f>
        <v>3</v>
      </c>
      <c r="CI228" s="30" t="str">
        <f ca="1">IFERROR(__xludf.DUMMYFUNCTION("""COMPUTED_VALUE"""),"0ef251fa")</f>
        <v>0ef251fa</v>
      </c>
      <c r="CJ228" s="29" t="str">
        <f ca="1">IFERROR(__xludf.DUMMYFUNCTION("""COMPUTED_VALUE"""),"Regitro_Evidencia_Files_/0ef251fa.Archivo_Evidencia.180521.pdf")</f>
        <v>Regitro_Evidencia_Files_/0ef251fa.Archivo_Evidencia.180521.pdf</v>
      </c>
      <c r="CK228" s="30" t="str">
        <f ca="1">IFERROR(__xludf.DUMMYFUNCTION("""COMPUTED_VALUE"""),"PDF")</f>
        <v>PDF</v>
      </c>
      <c r="CL228" s="30" t="str">
        <f ca="1">IFERROR(__xludf.DUMMYFUNCTION("""COMPUTED_VALUE"""),"Reporte entregable echo por el instructor a cargo del taller.")</f>
        <v>Reporte entregable echo por el instructor a cargo del taller.</v>
      </c>
      <c r="CM228" s="30" t="str">
        <f ca="1">IFERROR(__xludf.DUMMYFUNCTION("""COMPUTED_VALUE"""),"Guanajuato")</f>
        <v>Guanajuato</v>
      </c>
      <c r="CN228" s="32" t="e">
        <f ca="1"/>
        <v>#NAME?</v>
      </c>
      <c r="CO228" s="32" t="e">
        <f ca="1"/>
        <v>#NAME?</v>
      </c>
      <c r="CP228" s="32" t="e">
        <f ca="1"/>
        <v>#NAME?</v>
      </c>
      <c r="CQ228" s="32" t="e">
        <f ca="1"/>
        <v>#NAME?</v>
      </c>
      <c r="CR228" s="30" t="e">
        <f ca="1"/>
        <v>#NAME?</v>
      </c>
      <c r="CS228" s="30" t="str">
        <f ca="1">IFERROR(__xludf.DUMMYFUNCTION("""COMPUTED_VALUE"""),"Mujeres en situación de vulnerabilidad")</f>
        <v>Mujeres en situación de vulnerabilidad</v>
      </c>
    </row>
    <row r="229" spans="1:97" ht="13">
      <c r="A229" s="29" t="str">
        <f ca="1">IFERROR(__xludf.DUMMYFUNCTION("""COMPUTED_VALUE"""),"ACT-SCSN66813")</f>
        <v>ACT-SCSN66813</v>
      </c>
      <c r="B229" s="30" t="str">
        <f ca="1">IFERROR(__xludf.DUMMYFUNCTION("""COMPUTED_VALUE"""),"SC-260707-121558")</f>
        <v>SC-260707-121558</v>
      </c>
      <c r="C229" s="62">
        <f ca="1">IFERROR(__xludf.DUMMYFUNCTION("""COMPUTED_VALUE"""),46210.5110879629)</f>
        <v>46210.511087962899</v>
      </c>
      <c r="D229" s="30">
        <f ca="1">IFERROR(__xludf.DUMMYFUNCTION("""COMPUTED_VALUE"""),92)</f>
        <v>92</v>
      </c>
      <c r="E229" s="30" t="str">
        <f ca="1">IFERROR(__xludf.DUMMYFUNCTION("""COMPUTED_VALUE"""),"PB3572")</f>
        <v>PB3572</v>
      </c>
      <c r="F22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2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29" s="30" t="str">
        <f ca="1">IFERROR(__xludf.DUMMYFUNCTION("""COMPUTED_VALUE"""),"SUBSECRETARÍA DE DESARROLLO Y PROMOCIÓN ARTÍSTICA Y CULTURAL")</f>
        <v>SUBSECRETARÍA DE DESARROLLO Y PROMOCIÓN ARTÍSTICA Y CULTURAL</v>
      </c>
      <c r="I229" s="34" t="str">
        <f ca="1">IFERROR(__xludf.DUMMYFUNCTION("""COMPUTED_VALUE"""),"DIRECCIÓN GENERAL DE MUSEOS, ARTES VISUALES Y EXPOSICIONES")</f>
        <v>DIRECCIÓN GENERAL DE MUSEOS, ARTES VISUALES Y EXPOSICIONES</v>
      </c>
      <c r="J229" s="30" t="str">
        <f ca="1">IFERROR(__xludf.DUMMYFUNCTION("""COMPUTED_VALUE"""),"Número de Actividades realizadas")</f>
        <v>Número de Actividades realizadas</v>
      </c>
      <c r="K229" s="30">
        <f ca="1">IFERROR(__xludf.DUMMYFUNCTION("""COMPUTED_VALUE"""),800)</f>
        <v>800</v>
      </c>
      <c r="L229" s="30" t="str">
        <f ca="1">IFERROR(__xludf.DUMMYFUNCTION("""COMPUTED_VALUE"""),"Artística")</f>
        <v>Artística</v>
      </c>
      <c r="M229" s="30" t="str">
        <f ca="1">IFERROR(__xludf.DUMMYFUNCTION("""COMPUTED_VALUE"""),"Quiromancia al cuadro")</f>
        <v>Quiromancia al cuadro</v>
      </c>
      <c r="N229" s="30" t="str">
        <f ca="1">IFERROR(__xludf.DUMMYFUNCTION("""COMPUTED_VALUE"""),"¡La Secretaría de Cultura te invita a disfrutar una noche más en el museo!  En esta ocasión la Dra. Cecilia Fuentes  acompañada del equipo de exposiciones y educativo del MAHG ofrecerán una actividad de mediación previa a la noche de museos.  En esta acti"&amp;"vidad mediada exploraremos algunas de las  posibilidades para leer una obra de arte, una invitación a ver nuevamente aquello que está frente a nosotros y compartirlo.")</f>
        <v>¡La Secretaría de Cultura te invita a disfrutar una noche más en el museo!  En esta ocasión la Dra. Cecilia Fuentes  acompañada del equipo de exposiciones y educativo del MAHG ofrecerán una actividad de mediación previa a la noche de museos.  En esta actividad mediada exploraremos algunas de las  posibilidades para leer una obra de arte, una invitación a ver nuevamente aquello que está frente a nosotros y compartirlo.</v>
      </c>
      <c r="O229" s="30" t="str">
        <f ca="1">IFERROR(__xludf.DUMMYFUNCTION("""COMPUTED_VALUE"""),"Única")</f>
        <v>Única</v>
      </c>
      <c r="P229" s="33">
        <f ca="1">IFERROR(__xludf.DUMMYFUNCTION("""COMPUTED_VALUE"""),46180)</f>
        <v>46180</v>
      </c>
      <c r="Q229" s="33">
        <f ca="1">IFERROR(__xludf.DUMMYFUNCTION("""COMPUTED_VALUE"""),46180)</f>
        <v>46180</v>
      </c>
      <c r="R229" s="30">
        <f ca="1">IFERROR(__xludf.DUMMYFUNCTION("""COMPUTED_VALUE"""),1)</f>
        <v>1</v>
      </c>
      <c r="S229" s="30" t="str">
        <f ca="1">IFERROR(__xludf.DUMMYFUNCTION("""COMPUTED_VALUE"""),"Cultura comunitaria")</f>
        <v>Cultura comunitaria</v>
      </c>
      <c r="T229" s="30" t="str">
        <f ca="1">IFERROR(__xludf.DUMMYFUNCTION("""COMPUTED_VALUE"""),"Mediación cultural")</f>
        <v>Mediación cultural</v>
      </c>
      <c r="U229" s="30" t="str">
        <f ca="1">IFERROR(__xludf.DUMMYFUNCTION("""COMPUTED_VALUE"""),"Visitas guiadas")</f>
        <v>Visitas guiadas</v>
      </c>
      <c r="V229" s="30" t="str">
        <f ca="1">IFERROR(__xludf.DUMMYFUNCTION("""COMPUTED_VALUE"""),"Ninguna")</f>
        <v>Ninguna</v>
      </c>
      <c r="W229" s="30" t="str">
        <f ca="1">IFERROR(__xludf.DUMMYFUNCTION("""COMPUTED_VALUE"""),"Presencial")</f>
        <v>Presencial</v>
      </c>
      <c r="X229" s="30" t="str">
        <f ca="1">IFERROR(__xludf.DUMMYFUNCTION("""COMPUTED_VALUE"""),"Espacio a Cargo de la Secretaría")</f>
        <v>Espacio a Cargo de la Secretaría</v>
      </c>
      <c r="Y229" s="30" t="str">
        <f ca="1">IFERROR(__xludf.DUMMYFUNCTION("""COMPUTED_VALUE"""),"8")</f>
        <v>8</v>
      </c>
      <c r="Z229" s="30"/>
      <c r="AA229" s="30"/>
      <c r="AB229" s="30" t="b">
        <f ca="1">IFERROR(__xludf.DUMMYFUNCTION("""COMPUTED_VALUE"""),FALSE)</f>
        <v>0</v>
      </c>
      <c r="AC229" s="30"/>
      <c r="AD229" s="30" t="b">
        <f ca="1">IFERROR(__xludf.DUMMYFUNCTION("""COMPUTED_VALUE"""),FALSE)</f>
        <v>0</v>
      </c>
      <c r="AE229" s="30"/>
      <c r="AF229" s="30" t="b">
        <f ca="1">IFERROR(__xludf.DUMMYFUNCTION("""COMPUTED_VALUE"""),FALSE)</f>
        <v>0</v>
      </c>
      <c r="AG229" s="30"/>
      <c r="AH229" s="30" t="str">
        <f ca="1">IFERROR(__xludf.DUMMYFUNCTION("""COMPUTED_VALUE"""),"Sin costo")</f>
        <v>Sin costo</v>
      </c>
      <c r="AI229" s="30"/>
      <c r="AJ229" s="30"/>
      <c r="AK229" s="30"/>
      <c r="AL229" s="30" t="str">
        <f ca="1">IFERROR(__xludf.DUMMYFUNCTION("""COMPUTED_VALUE"""),"ccardonav@guanajuato.gob.mx")</f>
        <v>ccardonav@guanajuato.gob.mx</v>
      </c>
      <c r="AM229"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229" s="30" t="str">
        <f ca="1">IFERROR(__xludf.DUMMYFUNCTION("""COMPUTED_VALUE"""),"2 Igualdad")</f>
        <v>2 Igualdad</v>
      </c>
      <c r="AO229" s="30" t="str">
        <f ca="1">IFERROR(__xludf.DUMMYFUNCTION("""COMPUTED_VALUE"""),"2.4 Reducir brechas de desigualdad")</f>
        <v>2.4 Reducir brechas de desigualdad</v>
      </c>
      <c r="AP229" s="30" t="str">
        <f ca="1">IFERROR(__xludf.DUMMYFUNCTION("""COMPUTED_VALUE"""),"2.4.3 Descentralización de la oferta cultural")</f>
        <v>2.4.3 Descentralización de la oferta cultural</v>
      </c>
      <c r="AQ229" s="30" t="str">
        <f ca="1">IFERROR(__xludf.DUMMYFUNCTION("""COMPUTED_VALUE"""),"2.4.3.3 Incidir en el involucramiento de las personas con el ecosistema cultural")</f>
        <v>2.4.3.3 Incidir en el involucramiento de las personas con el ecosistema cultural</v>
      </c>
      <c r="AR229" s="30" t="str">
        <f ca="1">IFERROR(__xludf.DUMMYFUNCTION("""COMPUTED_VALUE"""),"Ninguno")</f>
        <v>Ninguno</v>
      </c>
      <c r="AS229" s="30"/>
      <c r="AT229" s="30" t="str">
        <f ca="1">IFERROR(__xludf.DUMMYFUNCTION("""COMPUTED_VALUE"""),"Fortalecimiento de la participación ciudadana y la mediación cultural")</f>
        <v>Fortalecimiento de la participación ciudadana y la mediación cultural</v>
      </c>
      <c r="AU229" s="30" t="str">
        <f ca="1">IFERROR(__xludf.DUMMYFUNCTION("""COMPUTED_VALUE"""),"Impulso a la ampliación de la oferta cultural en los territorios.")</f>
        <v>Impulso a la ampliación de la oferta cultural en los territorios.</v>
      </c>
      <c r="AV22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29" s="30" t="str">
        <f ca="1">IFERROR(__xludf.DUMMYFUNCTION("""COMPUTED_VALUE"""),"Incrementar en 25% la oferta cultural realizada en los municipios.")</f>
        <v>Incrementar en 25% la oferta cultural realizada en los municipios.</v>
      </c>
      <c r="AX229" s="30" t="str">
        <f ca="1">IFERROR(__xludf.DUMMYFUNCTION("""COMPUTED_VALUE"""),"Visitas guiadas")</f>
        <v>Visitas guiadas</v>
      </c>
      <c r="AY229" s="30" t="str">
        <f ca="1">IFERROR(__xludf.DUMMYFUNCTION("""COMPUTED_VALUE"""),"Mediación")</f>
        <v>Mediación</v>
      </c>
      <c r="AZ229" s="30"/>
      <c r="BA229" s="30"/>
      <c r="BB229" s="30"/>
      <c r="BC229" s="30">
        <f ca="1">IFERROR(__xludf.DUMMYFUNCTION("""COMPUTED_VALUE"""),0)</f>
        <v>0</v>
      </c>
      <c r="BD229" s="30"/>
      <c r="BE229" s="30"/>
      <c r="BF229" s="30" t="b">
        <f ca="1">IFERROR(__xludf.DUMMYFUNCTION("""COMPUTED_VALUE"""),FALSE)</f>
        <v>0</v>
      </c>
      <c r="BG229" s="30"/>
      <c r="BH229" s="30"/>
      <c r="BI229" s="30"/>
      <c r="BJ229" s="30"/>
      <c r="BK229" s="30"/>
      <c r="BL229" s="30"/>
      <c r="BM229" s="30" t="str">
        <f ca="1">IFERROR(__xludf.DUMMYFUNCTION("""COMPUTED_VALUE"""),"No")</f>
        <v>No</v>
      </c>
      <c r="BN229" s="30"/>
      <c r="BO229" s="30" t="str">
        <f ca="1">IFERROR(__xludf.DUMMYFUNCTION("""COMPUTED_VALUE"""),"65a4ee9b")</f>
        <v>65a4ee9b</v>
      </c>
      <c r="BP229" s="29" t="str">
        <f ca="1">IFERROR(__xludf.DUMMYFUNCTION("""COMPUTED_VALUE"""),"Purísima del Rincón")</f>
        <v>Purísima del Rincón</v>
      </c>
      <c r="BQ229" s="30" t="str">
        <f ca="1">IFERROR(__xludf.DUMMYFUNCTION("""COMPUTED_VALUE"""),"Urbano")</f>
        <v>Urbano</v>
      </c>
      <c r="BR229" s="30">
        <f ca="1">IFERROR(__xludf.DUMMYFUNCTION("""COMPUTED_VALUE"""),171)</f>
        <v>171</v>
      </c>
      <c r="BS229" s="30" t="str">
        <f ca="1">IFERROR(__xludf.DUMMYFUNCTION("""COMPUTED_VALUE"""),"Purísima")</f>
        <v>Purísima</v>
      </c>
      <c r="BT229" s="30"/>
      <c r="BU229" s="30" t="str">
        <f ca="1">IFERROR(__xludf.DUMMYFUNCTION("""COMPUTED_VALUE"""),"Si")</f>
        <v>Si</v>
      </c>
      <c r="BV229" s="30" t="str">
        <f ca="1">IFERROR(__xludf.DUMMYFUNCTION("""COMPUTED_VALUE"""),"No")</f>
        <v>No</v>
      </c>
      <c r="BW229" s="30">
        <f ca="1">IFERROR(__xludf.DUMMYFUNCTION("""COMPUTED_VALUE"""),5)</f>
        <v>5</v>
      </c>
      <c r="BX229" s="30"/>
      <c r="BY229" s="30">
        <f ca="1">IFERROR(__xludf.DUMMYFUNCTION("""COMPUTED_VALUE"""),5)</f>
        <v>5</v>
      </c>
      <c r="BZ229" s="30" t="str">
        <f ca="1">IFERROR(__xludf.DUMMYFUNCTION("""COMPUTED_VALUE"""),"Purísima")</f>
        <v>Purísima</v>
      </c>
      <c r="CA229" s="30" t="str">
        <f ca="1">IFERROR(__xludf.DUMMYFUNCTION("""COMPUTED_VALUE"""),"No")</f>
        <v>No</v>
      </c>
      <c r="CB229" s="30" t="str">
        <f ca="1">IFERROR(__xludf.DUMMYFUNCTION("""COMPUTED_VALUE"""),"No")</f>
        <v>No</v>
      </c>
      <c r="CC229" s="30" t="str">
        <f ca="1">IFERROR(__xludf.DUMMYFUNCTION("""COMPUTED_VALUE"""),"56b286cc")</f>
        <v>56b286cc</v>
      </c>
      <c r="CD229" s="29" t="str">
        <f ca="1">IFERROR(__xludf.DUMMYFUNCTION("""COMPUTED_VALUE"""),"Niñas y Niños (6 a 12 años)")</f>
        <v>Niñas y Niños (6 a 12 años)</v>
      </c>
      <c r="CE229" s="30" t="str">
        <f ca="1">IFERROR(__xludf.DUMMYFUNCTION("""COMPUTED_VALUE"""),"Dato global")</f>
        <v>Dato global</v>
      </c>
      <c r="CF229" s="30" t="str">
        <f ca="1">IFERROR(__xludf.DUMMYFUNCTION("""COMPUTED_VALUE"""),"Ninguno (Población General)")</f>
        <v>Ninguno (Población General)</v>
      </c>
      <c r="CG229" s="30">
        <f ca="1">IFERROR(__xludf.DUMMYFUNCTION("""COMPUTED_VALUE"""),3)</f>
        <v>3</v>
      </c>
      <c r="CI229" s="30" t="str">
        <f ca="1">IFERROR(__xludf.DUMMYFUNCTION("""COMPUTED_VALUE"""),"4eabdc9d")</f>
        <v>4eabdc9d</v>
      </c>
      <c r="CJ229" s="29"/>
      <c r="CK229" s="30"/>
      <c r="CL229" s="30"/>
      <c r="CM229" s="30" t="str">
        <f ca="1">IFERROR(__xludf.DUMMYFUNCTION("""COMPUTED_VALUE"""),"León")</f>
        <v>León</v>
      </c>
      <c r="CN229" s="32" t="e">
        <f ca="1"/>
        <v>#NAME?</v>
      </c>
      <c r="CO229" s="32" t="e">
        <f ca="1"/>
        <v>#NAME?</v>
      </c>
      <c r="CP229" s="32" t="e">
        <f ca="1"/>
        <v>#NAME?</v>
      </c>
      <c r="CQ229" s="32" t="e">
        <f ca="1"/>
        <v>#NAME?</v>
      </c>
      <c r="CR229" s="30" t="e">
        <f ca="1"/>
        <v>#NAME?</v>
      </c>
      <c r="CS229" s="30" t="str">
        <f ca="1">IFERROR(__xludf.DUMMYFUNCTION("""COMPUTED_VALUE"""),"Ninguno (Población General), Ninguno (Población General)")</f>
        <v>Ninguno (Población General), Ninguno (Población General)</v>
      </c>
    </row>
    <row r="230" spans="1:97" ht="13">
      <c r="A230" s="29" t="str">
        <f ca="1">IFERROR(__xludf.DUMMYFUNCTION("""COMPUTED_VALUE"""),"ACT-SCJW65154")</f>
        <v>ACT-SCJW65154</v>
      </c>
      <c r="B230" s="30" t="str">
        <f ca="1">IFERROR(__xludf.DUMMYFUNCTION("""COMPUTED_VALUE"""),"SC-260707-123627")</f>
        <v>SC-260707-123627</v>
      </c>
      <c r="C230" s="62">
        <f ca="1">IFERROR(__xludf.DUMMYFUNCTION("""COMPUTED_VALUE"""),46210.5253125)</f>
        <v>46210.525312500002</v>
      </c>
      <c r="D230" s="30">
        <f ca="1">IFERROR(__xludf.DUMMYFUNCTION("""COMPUTED_VALUE"""),92)</f>
        <v>92</v>
      </c>
      <c r="E230" s="30" t="str">
        <f ca="1">IFERROR(__xludf.DUMMYFUNCTION("""COMPUTED_VALUE"""),"PB3572")</f>
        <v>PB3572</v>
      </c>
      <c r="F23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0" s="30" t="str">
        <f ca="1">IFERROR(__xludf.DUMMYFUNCTION("""COMPUTED_VALUE"""),"SUBSECRETARÍA DE DESARROLLO Y PROMOCIÓN ARTÍSTICA Y CULTURAL")</f>
        <v>SUBSECRETARÍA DE DESARROLLO Y PROMOCIÓN ARTÍSTICA Y CULTURAL</v>
      </c>
      <c r="I230" s="34" t="str">
        <f ca="1">IFERROR(__xludf.DUMMYFUNCTION("""COMPUTED_VALUE"""),"DIRECCIÓN GENERAL DE MUSEOS, ARTES VISUALES Y EXPOSICIONES")</f>
        <v>DIRECCIÓN GENERAL DE MUSEOS, ARTES VISUALES Y EXPOSICIONES</v>
      </c>
      <c r="J230" s="30" t="str">
        <f ca="1">IFERROR(__xludf.DUMMYFUNCTION("""COMPUTED_VALUE"""),"Número de Actividades realizadas")</f>
        <v>Número de Actividades realizadas</v>
      </c>
      <c r="K230" s="30">
        <f ca="1">IFERROR(__xludf.DUMMYFUNCTION("""COMPUTED_VALUE"""),800)</f>
        <v>800</v>
      </c>
      <c r="L230" s="30" t="str">
        <f ca="1">IFERROR(__xludf.DUMMYFUNCTION("""COMPUTED_VALUE"""),"Artística")</f>
        <v>Artística</v>
      </c>
      <c r="M230" s="30" t="str">
        <f ca="1">IFERROR(__xludf.DUMMYFUNCTION("""COMPUTED_VALUE"""),"Noche de Museos")</f>
        <v>Noche de Museos</v>
      </c>
      <c r="N230" s="30" t="str">
        <f ca="1">IFERROR(__xludf.DUMMYFUNCTION("""COMPUTED_VALUE"""),"Esta noche de museos Acompañando al equipo de mediación del MAHG contaremos con el acompañamientos de la Dra. Cecilia Fuentes, quien comentará algunas obras de la exposición")</f>
        <v>Esta noche de museos Acompañando al equipo de mediación del MAHG contaremos con el acompañamientos de la Dra. Cecilia Fuentes, quien comentará algunas obras de la exposición</v>
      </c>
      <c r="O230" s="30" t="str">
        <f ca="1">IFERROR(__xludf.DUMMYFUNCTION("""COMPUTED_VALUE"""),"Única")</f>
        <v>Única</v>
      </c>
      <c r="P230" s="33">
        <f ca="1">IFERROR(__xludf.DUMMYFUNCTION("""COMPUTED_VALUE"""),46168)</f>
        <v>46168</v>
      </c>
      <c r="Q230" s="33">
        <f ca="1">IFERROR(__xludf.DUMMYFUNCTION("""COMPUTED_VALUE"""),46168)</f>
        <v>46168</v>
      </c>
      <c r="R230" s="30">
        <f ca="1">IFERROR(__xludf.DUMMYFUNCTION("""COMPUTED_VALUE"""),1)</f>
        <v>1</v>
      </c>
      <c r="S230" s="30" t="str">
        <f ca="1">IFERROR(__xludf.DUMMYFUNCTION("""COMPUTED_VALUE"""),"Cultura comunitaria")</f>
        <v>Cultura comunitaria</v>
      </c>
      <c r="T230" s="30" t="str">
        <f ca="1">IFERROR(__xludf.DUMMYFUNCTION("""COMPUTED_VALUE"""),"Mediación cultural")</f>
        <v>Mediación cultural</v>
      </c>
      <c r="U230" s="30" t="str">
        <f ca="1">IFERROR(__xludf.DUMMYFUNCTION("""COMPUTED_VALUE"""),"Visitas guiadas")</f>
        <v>Visitas guiadas</v>
      </c>
      <c r="V230" s="30" t="str">
        <f ca="1">IFERROR(__xludf.DUMMYFUNCTION("""COMPUTED_VALUE"""),"Ninguna")</f>
        <v>Ninguna</v>
      </c>
      <c r="W230" s="30" t="str">
        <f ca="1">IFERROR(__xludf.DUMMYFUNCTION("""COMPUTED_VALUE"""),"Presencial")</f>
        <v>Presencial</v>
      </c>
      <c r="X230" s="30" t="str">
        <f ca="1">IFERROR(__xludf.DUMMYFUNCTION("""COMPUTED_VALUE"""),"Espacio a Cargo de la Secretaría")</f>
        <v>Espacio a Cargo de la Secretaría</v>
      </c>
      <c r="Y230" s="30" t="str">
        <f ca="1">IFERROR(__xludf.DUMMYFUNCTION("""COMPUTED_VALUE"""),"8")</f>
        <v>8</v>
      </c>
      <c r="Z230" s="30"/>
      <c r="AA230" s="30"/>
      <c r="AB230" s="30" t="b">
        <f ca="1">IFERROR(__xludf.DUMMYFUNCTION("""COMPUTED_VALUE"""),FALSE)</f>
        <v>0</v>
      </c>
      <c r="AC230" s="30"/>
      <c r="AD230" s="30" t="b">
        <f ca="1">IFERROR(__xludf.DUMMYFUNCTION("""COMPUTED_VALUE"""),FALSE)</f>
        <v>0</v>
      </c>
      <c r="AE230" s="30"/>
      <c r="AF230" s="30" t="b">
        <f ca="1">IFERROR(__xludf.DUMMYFUNCTION("""COMPUTED_VALUE"""),FALSE)</f>
        <v>0</v>
      </c>
      <c r="AG230" s="30"/>
      <c r="AH230" s="30" t="str">
        <f ca="1">IFERROR(__xludf.DUMMYFUNCTION("""COMPUTED_VALUE"""),"Sin costo")</f>
        <v>Sin costo</v>
      </c>
      <c r="AI230" s="30"/>
      <c r="AJ230" s="30"/>
      <c r="AK230" s="30"/>
      <c r="AL230" s="30" t="str">
        <f ca="1">IFERROR(__xludf.DUMMYFUNCTION("""COMPUTED_VALUE"""),"ccardonav@guanajuato.gob.mx")</f>
        <v>ccardonav@guanajuato.gob.mx</v>
      </c>
      <c r="AM230"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230" s="30" t="str">
        <f ca="1">IFERROR(__xludf.DUMMYFUNCTION("""COMPUTED_VALUE"""),"2 Igualdad")</f>
        <v>2 Igualdad</v>
      </c>
      <c r="AO230" s="30" t="str">
        <f ca="1">IFERROR(__xludf.DUMMYFUNCTION("""COMPUTED_VALUE"""),"2.4 Reducir brechas de desigualdad")</f>
        <v>2.4 Reducir brechas de desigualdad</v>
      </c>
      <c r="AP230" s="30" t="str">
        <f ca="1">IFERROR(__xludf.DUMMYFUNCTION("""COMPUTED_VALUE"""),"2.4.3 Descentralización de la oferta cultural")</f>
        <v>2.4.3 Descentralización de la oferta cultural</v>
      </c>
      <c r="AQ230" s="30" t="str">
        <f ca="1">IFERROR(__xludf.DUMMYFUNCTION("""COMPUTED_VALUE"""),"2.4.3.3 Incidir en el involucramiento de las personas con el ecosistema cultural")</f>
        <v>2.4.3.3 Incidir en el involucramiento de las personas con el ecosistema cultural</v>
      </c>
      <c r="AR230" s="30" t="str">
        <f ca="1">IFERROR(__xludf.DUMMYFUNCTION("""COMPUTED_VALUE"""),"Ninguno")</f>
        <v>Ninguno</v>
      </c>
      <c r="AS230" s="30"/>
      <c r="AT230" s="30" t="str">
        <f ca="1">IFERROR(__xludf.DUMMYFUNCTION("""COMPUTED_VALUE"""),"Fortalecimiento de la participación ciudadana y la mediación cultural")</f>
        <v>Fortalecimiento de la participación ciudadana y la mediación cultural</v>
      </c>
      <c r="AU230" s="30" t="str">
        <f ca="1">IFERROR(__xludf.DUMMYFUNCTION("""COMPUTED_VALUE"""),"Impulso a la ampliación de la oferta cultural en los territorios.")</f>
        <v>Impulso a la ampliación de la oferta cultural en los territorios.</v>
      </c>
      <c r="AV23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30" s="30" t="str">
        <f ca="1">IFERROR(__xludf.DUMMYFUNCTION("""COMPUTED_VALUE"""),"Incrementar en 25% la oferta cultural realizada en los municipios.")</f>
        <v>Incrementar en 25% la oferta cultural realizada en los municipios.</v>
      </c>
      <c r="AX230" s="30" t="str">
        <f ca="1">IFERROR(__xludf.DUMMYFUNCTION("""COMPUTED_VALUE"""),"Visitas guiadas")</f>
        <v>Visitas guiadas</v>
      </c>
      <c r="AY230" s="30" t="str">
        <f ca="1">IFERROR(__xludf.DUMMYFUNCTION("""COMPUTED_VALUE"""),"Mediación")</f>
        <v>Mediación</v>
      </c>
      <c r="AZ230" s="30"/>
      <c r="BA230" s="30"/>
      <c r="BB230" s="30"/>
      <c r="BC230" s="30">
        <f ca="1">IFERROR(__xludf.DUMMYFUNCTION("""COMPUTED_VALUE"""),0)</f>
        <v>0</v>
      </c>
      <c r="BD230" s="30"/>
      <c r="BE230" s="30"/>
      <c r="BF230" s="30" t="b">
        <f ca="1">IFERROR(__xludf.DUMMYFUNCTION("""COMPUTED_VALUE"""),FALSE)</f>
        <v>0</v>
      </c>
      <c r="BG230" s="30"/>
      <c r="BH230" s="30"/>
      <c r="BI230" s="30"/>
      <c r="BJ230" s="30"/>
      <c r="BK230" s="30"/>
      <c r="BL230" s="30" t="str">
        <f ca="1">IFERROR(__xludf.DUMMYFUNCTION("""COMPUTED_VALUE"""),"Vinculacion")</f>
        <v>Vinculacion</v>
      </c>
      <c r="BM230" s="30" t="str">
        <f ca="1">IFERROR(__xludf.DUMMYFUNCTION("""COMPUTED_VALUE"""),"Sí")</f>
        <v>Sí</v>
      </c>
      <c r="BN230" s="30" t="str">
        <f ca="1">IFERROR(__xludf.DUMMYFUNCTION("""COMPUTED_VALUE"""),"Acompañamiento Técnico")</f>
        <v>Acompañamiento Técnico</v>
      </c>
      <c r="BO230" s="30" t="str">
        <f ca="1">IFERROR(__xludf.DUMMYFUNCTION("""COMPUTED_VALUE"""),"d0abd86c")</f>
        <v>d0abd86c</v>
      </c>
      <c r="BP230" s="29" t="str">
        <f ca="1">IFERROR(__xludf.DUMMYFUNCTION("""COMPUTED_VALUE"""),"Guanajuato")</f>
        <v>Guanajuato</v>
      </c>
      <c r="BQ230" s="30" t="str">
        <f ca="1">IFERROR(__xludf.DUMMYFUNCTION("""COMPUTED_VALUE"""),"Urbano")</f>
        <v>Urbano</v>
      </c>
      <c r="BR230" s="30">
        <f ca="1">IFERROR(__xludf.DUMMYFUNCTION("""COMPUTED_VALUE"""),49)</f>
        <v>49</v>
      </c>
      <c r="BS230" s="30" t="str">
        <f ca="1">IFERROR(__xludf.DUMMYFUNCTION("""COMPUTED_VALUE"""),"Guanajuato")</f>
        <v>Guanajuato</v>
      </c>
      <c r="BT230" s="30"/>
      <c r="BU230" s="30" t="str">
        <f ca="1">IFERROR(__xludf.DUMMYFUNCTION("""COMPUTED_VALUE"""),"Si")</f>
        <v>Si</v>
      </c>
      <c r="BV230" s="30" t="str">
        <f ca="1">IFERROR(__xludf.DUMMYFUNCTION("""COMPUTED_VALUE"""),"Si")</f>
        <v>Si</v>
      </c>
      <c r="BW230" s="30">
        <f ca="1">IFERROR(__xludf.DUMMYFUNCTION("""COMPUTED_VALUE"""),26)</f>
        <v>26</v>
      </c>
      <c r="BX230" s="30">
        <f ca="1">IFERROR(__xludf.DUMMYFUNCTION("""COMPUTED_VALUE"""),26)</f>
        <v>26</v>
      </c>
      <c r="BY230" s="30">
        <f ca="1">IFERROR(__xludf.DUMMYFUNCTION("""COMPUTED_VALUE"""),0)</f>
        <v>0</v>
      </c>
      <c r="BZ230" s="30" t="str">
        <f ca="1">IFERROR(__xludf.DUMMYFUNCTION("""COMPUTED_VALUE"""),"Guanajuato")</f>
        <v>Guanajuato</v>
      </c>
      <c r="CA230" s="30" t="str">
        <f ca="1">IFERROR(__xludf.DUMMYFUNCTION("""COMPUTED_VALUE"""),"No")</f>
        <v>No</v>
      </c>
      <c r="CB230" s="30" t="str">
        <f ca="1">IFERROR(__xludf.DUMMYFUNCTION("""COMPUTED_VALUE"""),"No")</f>
        <v>No</v>
      </c>
      <c r="CC230" s="30" t="str">
        <f ca="1">IFERROR(__xludf.DUMMYFUNCTION("""COMPUTED_VALUE"""),"fc94f85b")</f>
        <v>fc94f85b</v>
      </c>
      <c r="CD230" s="29" t="str">
        <f ca="1">IFERROR(__xludf.DUMMYFUNCTION("""COMPUTED_VALUE"""),"Jóvenes (18 a 29 años)")</f>
        <v>Jóvenes (18 a 29 años)</v>
      </c>
      <c r="CE230" s="30" t="str">
        <f ca="1">IFERROR(__xludf.DUMMYFUNCTION("""COMPUTED_VALUE"""),"Dato global")</f>
        <v>Dato global</v>
      </c>
      <c r="CF230" s="30" t="str">
        <f ca="1">IFERROR(__xludf.DUMMYFUNCTION("""COMPUTED_VALUE"""),"Jóvenes en riesgo")</f>
        <v>Jóvenes en riesgo</v>
      </c>
      <c r="CG230" s="30">
        <f ca="1">IFERROR(__xludf.DUMMYFUNCTION("""COMPUTED_VALUE"""),145)</f>
        <v>145</v>
      </c>
      <c r="CI230" s="30" t="str">
        <f ca="1">IFERROR(__xludf.DUMMYFUNCTION("""COMPUTED_VALUE"""),"a962679e")</f>
        <v>a962679e</v>
      </c>
      <c r="CJ230" s="29" t="str">
        <f ca="1">IFERROR(__xludf.DUMMYFUNCTION("""COMPUTED_VALUE"""),"Regitro_Evidencia_Files_/a962679e.Archivo_Evidencia.190511.pdf")</f>
        <v>Regitro_Evidencia_Files_/a962679e.Archivo_Evidencia.190511.pdf</v>
      </c>
      <c r="CK230" s="30" t="str">
        <f ca="1">IFERROR(__xludf.DUMMYFUNCTION("""COMPUTED_VALUE"""),"PDF")</f>
        <v>PDF</v>
      </c>
      <c r="CL230" s="30" t="str">
        <f ca="1">IFERROR(__xludf.DUMMYFUNCTION("""COMPUTED_VALUE"""),"Reporte de evidencia")</f>
        <v>Reporte de evidencia</v>
      </c>
      <c r="CM230" s="30" t="str">
        <f ca="1">IFERROR(__xludf.DUMMYFUNCTION("""COMPUTED_VALUE"""),"León")</f>
        <v>León</v>
      </c>
      <c r="CN230" s="32" t="e">
        <f ca="1"/>
        <v>#NAME?</v>
      </c>
      <c r="CO230" s="32" t="e">
        <f ca="1"/>
        <v>#NAME?</v>
      </c>
      <c r="CP230" s="32" t="e">
        <f ca="1"/>
        <v>#NAME?</v>
      </c>
      <c r="CQ230" s="32" t="e">
        <f ca="1"/>
        <v>#NAME?</v>
      </c>
      <c r="CR230" s="30" t="e">
        <f ca="1"/>
        <v>#NAME?</v>
      </c>
      <c r="CS230" s="30" t="str">
        <f ca="1">IFERROR(__xludf.DUMMYFUNCTION("""COMPUTED_VALUE"""),"Ninguno (Población General), Ninguno (Población General)")</f>
        <v>Ninguno (Población General), Ninguno (Población General)</v>
      </c>
    </row>
    <row r="231" spans="1:97" ht="13">
      <c r="A231" s="29" t="str">
        <f ca="1">IFERROR(__xludf.DUMMYFUNCTION("""COMPUTED_VALUE"""),"ACT-SCVZ34613")</f>
        <v>ACT-SCVZ34613</v>
      </c>
      <c r="B231" s="30" t="str">
        <f ca="1">IFERROR(__xludf.DUMMYFUNCTION("""COMPUTED_VALUE"""),"SC-260707-124044")</f>
        <v>SC-260707-124044</v>
      </c>
      <c r="C231" s="62">
        <f ca="1">IFERROR(__xludf.DUMMYFUNCTION("""COMPUTED_VALUE"""),46210.528287037)</f>
        <v>46210.528287036999</v>
      </c>
      <c r="D231" s="30">
        <f ca="1">IFERROR(__xludf.DUMMYFUNCTION("""COMPUTED_VALUE"""),91)</f>
        <v>91</v>
      </c>
      <c r="E231" s="30" t="str">
        <f ca="1">IFERROR(__xludf.DUMMYFUNCTION("""COMPUTED_VALUE"""),"PB3572")</f>
        <v>PB3572</v>
      </c>
      <c r="F23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1"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231" s="30" t="str">
        <f ca="1">IFERROR(__xludf.DUMMYFUNCTION("""COMPUTED_VALUE"""),"SUBSECRETARÍA DE DESARROLLO Y PROMOCIÓN ARTÍSTICA Y CULTURAL")</f>
        <v>SUBSECRETARÍA DE DESARROLLO Y PROMOCIÓN ARTÍSTICA Y CULTURAL</v>
      </c>
      <c r="I231" s="34" t="str">
        <f ca="1">IFERROR(__xludf.DUMMYFUNCTION("""COMPUTED_VALUE"""),"DIRECCIÓN GENERAL DE MUSEOS, ARTES VISUALES Y EXPOSICIONES")</f>
        <v>DIRECCIÓN GENERAL DE MUSEOS, ARTES VISUALES Y EXPOSICIONES</v>
      </c>
      <c r="J231" s="30" t="str">
        <f ca="1">IFERROR(__xludf.DUMMYFUNCTION("""COMPUTED_VALUE"""),"Número de Exposiciones inauguradas")</f>
        <v>Número de Exposiciones inauguradas</v>
      </c>
      <c r="K231" s="30">
        <f ca="1">IFERROR(__xludf.DUMMYFUNCTION("""COMPUTED_VALUE"""),28)</f>
        <v>28</v>
      </c>
      <c r="L231" s="30" t="str">
        <f ca="1">IFERROR(__xludf.DUMMYFUNCTION("""COMPUTED_VALUE"""),"Artística")</f>
        <v>Artística</v>
      </c>
      <c r="M231" s="30" t="str">
        <f ca="1">IFERROR(__xludf.DUMMYFUNCTION("""COMPUTED_VALUE"""),"Inauguracion de la Exposición: Mi México Seihi Shinohara")</f>
        <v>Inauguracion de la Exposición: Mi México Seihi Shinohara</v>
      </c>
      <c r="N231" s="30" t="str">
        <f ca="1">IFERROR(__xludf.DUMMYFUNCTION("""COMPUTED_VALUE"""),"Apertura de la exposición temporal ""Mi México Seihi Shinohara""  La muestra reúne 60 fotografías en blanco y negro sobre la vida cotidiana y la riqueza cultural de México")</f>
        <v>Apertura de la exposición temporal "Mi México Seihi Shinohara"  La muestra reúne 60 fotografías en blanco y negro sobre la vida cotidiana y la riqueza cultural de México</v>
      </c>
      <c r="O231" s="30" t="str">
        <f ca="1">IFERROR(__xludf.DUMMYFUNCTION("""COMPUTED_VALUE"""),"Única")</f>
        <v>Única</v>
      </c>
      <c r="P231" s="33">
        <f ca="1">IFERROR(__xludf.DUMMYFUNCTION("""COMPUTED_VALUE"""),46170)</f>
        <v>46170</v>
      </c>
      <c r="Q231" s="33">
        <f ca="1">IFERROR(__xludf.DUMMYFUNCTION("""COMPUTED_VALUE"""),46170)</f>
        <v>46170</v>
      </c>
      <c r="R231" s="30">
        <f ca="1">IFERROR(__xludf.DUMMYFUNCTION("""COMPUTED_VALUE"""),1)</f>
        <v>1</v>
      </c>
      <c r="S231" s="30" t="str">
        <f ca="1">IFERROR(__xludf.DUMMYFUNCTION("""COMPUTED_VALUE"""),"Artes visuales")</f>
        <v>Artes visuales</v>
      </c>
      <c r="T231" s="30" t="str">
        <f ca="1">IFERROR(__xludf.DUMMYFUNCTION("""COMPUTED_VALUE"""),"Fotografía")</f>
        <v>Fotografía</v>
      </c>
      <c r="U231" s="30" t="str">
        <f ca="1">IFERROR(__xludf.DUMMYFUNCTION("""COMPUTED_VALUE"""),"Exposición")</f>
        <v>Exposición</v>
      </c>
      <c r="V231" s="30" t="str">
        <f ca="1">IFERROR(__xludf.DUMMYFUNCTION("""COMPUTED_VALUE"""),"Ninguna")</f>
        <v>Ninguna</v>
      </c>
      <c r="W231" s="30" t="str">
        <f ca="1">IFERROR(__xludf.DUMMYFUNCTION("""COMPUTED_VALUE"""),"Presencial")</f>
        <v>Presencial</v>
      </c>
      <c r="X231" s="30" t="str">
        <f ca="1">IFERROR(__xludf.DUMMYFUNCTION("""COMPUTED_VALUE"""),"Espacio a Cargo de la Secretaría")</f>
        <v>Espacio a Cargo de la Secretaría</v>
      </c>
      <c r="Y231" s="30" t="str">
        <f ca="1">IFERROR(__xludf.DUMMYFUNCTION("""COMPUTED_VALUE"""),"26")</f>
        <v>26</v>
      </c>
      <c r="Z231" s="30"/>
      <c r="AA231" s="30"/>
      <c r="AB231" s="30" t="b">
        <f ca="1">IFERROR(__xludf.DUMMYFUNCTION("""COMPUTED_VALUE"""),FALSE)</f>
        <v>0</v>
      </c>
      <c r="AC231" s="30"/>
      <c r="AD231" s="30" t="b">
        <f ca="1">IFERROR(__xludf.DUMMYFUNCTION("""COMPUTED_VALUE"""),FALSE)</f>
        <v>0</v>
      </c>
      <c r="AE231" s="30"/>
      <c r="AF231" s="30" t="b">
        <f ca="1">IFERROR(__xludf.DUMMYFUNCTION("""COMPUTED_VALUE"""),FALSE)</f>
        <v>0</v>
      </c>
      <c r="AG231" s="30"/>
      <c r="AH231" s="30" t="str">
        <f ca="1">IFERROR(__xludf.DUMMYFUNCTION("""COMPUTED_VALUE"""),"Sin costo")</f>
        <v>Sin costo</v>
      </c>
      <c r="AI231" s="30"/>
      <c r="AJ231" s="30"/>
      <c r="AK231" s="30"/>
      <c r="AL231" s="30" t="str">
        <f ca="1">IFERROR(__xludf.DUMMYFUNCTION("""COMPUTED_VALUE"""),"ccardonav@guanajuato.gob.mx")</f>
        <v>ccardonav@guanajuato.gob.mx</v>
      </c>
      <c r="AM231" s="30" t="str">
        <f ca="1">IFERROR(__xludf.DUMMYFUNCTION("""COMPUTED_VALUE"""),"Creación de la Secretaría de Cultura, con una visión social de la política cultural.")</f>
        <v>Creación de la Secretaría de Cultura, con una visión social de la política cultural.</v>
      </c>
      <c r="AN231" s="30" t="str">
        <f ca="1">IFERROR(__xludf.DUMMYFUNCTION("""COMPUTED_VALUE"""),"2 Igualdad")</f>
        <v>2 Igualdad</v>
      </c>
      <c r="AO231" s="30" t="str">
        <f ca="1">IFERROR(__xludf.DUMMYFUNCTION("""COMPUTED_VALUE"""),"2.4 Reducir brechas de desigualdad")</f>
        <v>2.4 Reducir brechas de desigualdad</v>
      </c>
      <c r="AP231" s="30" t="str">
        <f ca="1">IFERROR(__xludf.DUMMYFUNCTION("""COMPUTED_VALUE"""),"2.4.3 Descentralización de la oferta cultural")</f>
        <v>2.4.3 Descentralización de la oferta cultural</v>
      </c>
      <c r="AQ231" s="30" t="str">
        <f ca="1">IFERROR(__xludf.DUMMYFUNCTION("""COMPUTED_VALUE"""),"2.4.3.3 Incidir en el involucramiento de las personas con el ecosistema cultural")</f>
        <v>2.4.3.3 Incidir en el involucramiento de las personas con el ecosistema cultural</v>
      </c>
      <c r="AR231" s="30" t="str">
        <f ca="1">IFERROR(__xludf.DUMMYFUNCTION("""COMPUTED_VALUE"""),"Ninguno")</f>
        <v>Ninguno</v>
      </c>
      <c r="AS231" s="30"/>
      <c r="AT231" s="30" t="str">
        <f ca="1">IFERROR(__xludf.DUMMYFUNCTION("""COMPUTED_VALUE"""),"Fortalecimiento de la participación ciudadana y la mediación cultural")</f>
        <v>Fortalecimiento de la participación ciudadana y la mediación cultural</v>
      </c>
      <c r="AU231" s="30" t="str">
        <f ca="1">IFERROR(__xludf.DUMMYFUNCTION("""COMPUTED_VALUE"""),"Impulso a la ampliación de la oferta cultural en los territorios.")</f>
        <v>Impulso a la ampliación de la oferta cultural en los territorios.</v>
      </c>
      <c r="AV23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31" s="30" t="str">
        <f ca="1">IFERROR(__xludf.DUMMYFUNCTION("""COMPUTED_VALUE"""),"Incrementar en 25% la oferta cultural realizada en los municipios.")</f>
        <v>Incrementar en 25% la oferta cultural realizada en los municipios.</v>
      </c>
      <c r="AX231" s="30" t="str">
        <f ca="1">IFERROR(__xludf.DUMMYFUNCTION("""COMPUTED_VALUE"""),"Exposición")</f>
        <v>Exposición</v>
      </c>
      <c r="AY231" s="30" t="str">
        <f ca="1">IFERROR(__xludf.DUMMYFUNCTION("""COMPUTED_VALUE"""),"Circulación / Exhibición")</f>
        <v>Circulación / Exhibición</v>
      </c>
      <c r="AZ231" s="30"/>
      <c r="BA231" s="30"/>
      <c r="BB231" s="30"/>
      <c r="BC231" s="30">
        <f ca="1">IFERROR(__xludf.DUMMYFUNCTION("""COMPUTED_VALUE"""),0)</f>
        <v>0</v>
      </c>
      <c r="BD231" s="30"/>
      <c r="BE231" s="30"/>
      <c r="BF231" s="30" t="b">
        <f ca="1">IFERROR(__xludf.DUMMYFUNCTION("""COMPUTED_VALUE"""),FALSE)</f>
        <v>0</v>
      </c>
      <c r="BG231" s="30"/>
      <c r="BH231" s="30"/>
      <c r="BI231" s="30"/>
      <c r="BJ231" s="30"/>
      <c r="BK231" s="30"/>
      <c r="BL231" s="30"/>
      <c r="BM231" s="30" t="str">
        <f ca="1">IFERROR(__xludf.DUMMYFUNCTION("""COMPUTED_VALUE"""),"No")</f>
        <v>No</v>
      </c>
      <c r="BN231" s="30"/>
      <c r="BO231" s="30" t="str">
        <f ca="1">IFERROR(__xludf.DUMMYFUNCTION("""COMPUTED_VALUE"""),"3f2afba5")</f>
        <v>3f2afba5</v>
      </c>
      <c r="BP231" s="29" t="str">
        <f ca="1">IFERROR(__xludf.DUMMYFUNCTION("""COMPUTED_VALUE"""),"León")</f>
        <v>León</v>
      </c>
      <c r="BQ231" s="30" t="str">
        <f ca="1">IFERROR(__xludf.DUMMYFUNCTION("""COMPUTED_VALUE"""),"Urbano")</f>
        <v>Urbano</v>
      </c>
      <c r="BR231" s="30"/>
      <c r="BS231" s="30"/>
      <c r="BT231" s="30" t="str">
        <f ca="1">IFERROR(__xludf.DUMMYFUNCTION("""COMPUTED_VALUE"""),"La Martinica")</f>
        <v>La Martinica</v>
      </c>
      <c r="BU231" s="30" t="str">
        <f ca="1">IFERROR(__xludf.DUMMYFUNCTION("""COMPUTED_VALUE"""),"No")</f>
        <v>No</v>
      </c>
      <c r="BV231" s="30" t="str">
        <f ca="1">IFERROR(__xludf.DUMMYFUNCTION("""COMPUTED_VALUE"""),"No")</f>
        <v>No</v>
      </c>
      <c r="BW231" s="30">
        <f ca="1">IFERROR(__xludf.DUMMYFUNCTION("""COMPUTED_VALUE"""),44)</f>
        <v>44</v>
      </c>
      <c r="BX231" s="30"/>
      <c r="BY231" s="30">
        <f ca="1">IFERROR(__xludf.DUMMYFUNCTION("""COMPUTED_VALUE"""),44)</f>
        <v>44</v>
      </c>
      <c r="BZ231" s="30" t="str">
        <f ca="1">IFERROR(__xludf.DUMMYFUNCTION("""COMPUTED_VALUE"""),"La Martinica")</f>
        <v>La Martinica</v>
      </c>
      <c r="CA231" s="30" t="str">
        <f ca="1">IFERROR(__xludf.DUMMYFUNCTION("""COMPUTED_VALUE"""),"No")</f>
        <v>No</v>
      </c>
      <c r="CB231" s="30" t="str">
        <f ca="1">IFERROR(__xludf.DUMMYFUNCTION("""COMPUTED_VALUE"""),"No")</f>
        <v>No</v>
      </c>
      <c r="CC231" s="30" t="str">
        <f ca="1">IFERROR(__xludf.DUMMYFUNCTION("""COMPUTED_VALUE"""),"0f5ccdff")</f>
        <v>0f5ccdff</v>
      </c>
      <c r="CD231" s="29" t="str">
        <f ca="1">IFERROR(__xludf.DUMMYFUNCTION("""COMPUTED_VALUE"""),"Adultos (30 a 59 años)")</f>
        <v>Adultos (30 a 59 años)</v>
      </c>
      <c r="CE231" s="30" t="str">
        <f ca="1">IFERROR(__xludf.DUMMYFUNCTION("""COMPUTED_VALUE"""),"Dato global")</f>
        <v>Dato global</v>
      </c>
      <c r="CF231" s="30" t="str">
        <f ca="1">IFERROR(__xludf.DUMMYFUNCTION("""COMPUTED_VALUE"""),"Ninguno (Población General)")</f>
        <v>Ninguno (Población General)</v>
      </c>
      <c r="CG231" s="30">
        <f ca="1">IFERROR(__xludf.DUMMYFUNCTION("""COMPUTED_VALUE"""),10)</f>
        <v>10</v>
      </c>
      <c r="CI231" s="30" t="str">
        <f ca="1">IFERROR(__xludf.DUMMYFUNCTION("""COMPUTED_VALUE"""),"3d52d969")</f>
        <v>3d52d969</v>
      </c>
      <c r="CJ231" s="29" t="str">
        <f ca="1">IFERROR(__xludf.DUMMYFUNCTION("""COMPUTED_VALUE"""),"Regitro_Evidencia_Files_/3d52d969.Archivo_Evidencia.203054.pdf")</f>
        <v>Regitro_Evidencia_Files_/3d52d969.Archivo_Evidencia.203054.pdf</v>
      </c>
      <c r="CK231" s="30" t="str">
        <f ca="1">IFERROR(__xludf.DUMMYFUNCTION("""COMPUTED_VALUE"""),"PDF")</f>
        <v>PDF</v>
      </c>
      <c r="CL231" s="30" t="str">
        <f ca="1">IFERROR(__xludf.DUMMYFUNCTION("""COMPUTED_VALUE"""),"Reporte de evidencias.")</f>
        <v>Reporte de evidencias.</v>
      </c>
      <c r="CM231" s="30" t="str">
        <f ca="1">IFERROR(__xludf.DUMMYFUNCTION("""COMPUTED_VALUE"""),"León")</f>
        <v>León</v>
      </c>
      <c r="CN231" s="32" t="e">
        <f ca="1"/>
        <v>#NAME?</v>
      </c>
      <c r="CO231" s="32" t="e">
        <f ca="1"/>
        <v>#NAME?</v>
      </c>
      <c r="CP231" s="32" t="e">
        <f ca="1"/>
        <v>#NAME?</v>
      </c>
      <c r="CQ231" s="32" t="e">
        <f ca="1"/>
        <v>#NAME?</v>
      </c>
      <c r="CR231" s="30" t="e">
        <f ca="1"/>
        <v>#NAME?</v>
      </c>
      <c r="CS231" s="30" t="str">
        <f ca="1">IFERROR(__xludf.DUMMYFUNCTION("""COMPUTED_VALUE"""),"Ninguno (Población General)")</f>
        <v>Ninguno (Población General)</v>
      </c>
    </row>
    <row r="232" spans="1:97" ht="13">
      <c r="A232" s="29" t="str">
        <f ca="1">IFERROR(__xludf.DUMMYFUNCTION("""COMPUTED_VALUE"""),"ACT-SCOW48414")</f>
        <v>ACT-SCOW48414</v>
      </c>
      <c r="B232" s="30" t="str">
        <f ca="1">IFERROR(__xludf.DUMMYFUNCTION("""COMPUTED_VALUE"""),"SC-260707-143713")</f>
        <v>SC-260707-143713</v>
      </c>
      <c r="C232" s="62">
        <f ca="1">IFERROR(__xludf.DUMMYFUNCTION("""COMPUTED_VALUE"""),46210.6091782407)</f>
        <v>46210.609178240702</v>
      </c>
      <c r="D232" s="30">
        <f ca="1">IFERROR(__xludf.DUMMYFUNCTION("""COMPUTED_VALUE"""),92)</f>
        <v>92</v>
      </c>
      <c r="E232" s="30" t="str">
        <f ca="1">IFERROR(__xludf.DUMMYFUNCTION("""COMPUTED_VALUE"""),"PB3572")</f>
        <v>PB3572</v>
      </c>
      <c r="F23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2" s="30" t="str">
        <f ca="1">IFERROR(__xludf.DUMMYFUNCTION("""COMPUTED_VALUE"""),"SUBSECRETARÍA DE DESARROLLO Y PROMOCIÓN ARTÍSTICA Y CULTURAL")</f>
        <v>SUBSECRETARÍA DE DESARROLLO Y PROMOCIÓN ARTÍSTICA Y CULTURAL</v>
      </c>
      <c r="I232" s="34" t="str">
        <f ca="1">IFERROR(__xludf.DUMMYFUNCTION("""COMPUTED_VALUE"""),"DIRECCIÓN GENERAL DE MUSEOS, ARTES VISUALES Y EXPOSICIONES")</f>
        <v>DIRECCIÓN GENERAL DE MUSEOS, ARTES VISUALES Y EXPOSICIONES</v>
      </c>
      <c r="J232" s="30" t="str">
        <f ca="1">IFERROR(__xludf.DUMMYFUNCTION("""COMPUTED_VALUE"""),"Número de Actividades realizadas")</f>
        <v>Número de Actividades realizadas</v>
      </c>
      <c r="K232" s="30">
        <f ca="1">IFERROR(__xludf.DUMMYFUNCTION("""COMPUTED_VALUE"""),800)</f>
        <v>800</v>
      </c>
      <c r="L232" s="30" t="str">
        <f ca="1">IFERROR(__xludf.DUMMYFUNCTION("""COMPUTED_VALUE"""),"Cultural")</f>
        <v>Cultural</v>
      </c>
      <c r="M232" s="30" t="str">
        <f ca="1">IFERROR(__xludf.DUMMYFUNCTION("""COMPUTED_VALUE"""),"Visita especial de la Universidad Humani Mundial")</f>
        <v>Visita especial de la Universidad Humani Mundial</v>
      </c>
      <c r="N232" s="30" t="str">
        <f ca="1">IFERROR(__xludf.DUMMYFUNCTION("""COMPUTED_VALUE"""),"Visita especial de la Universidad Humani Mundial para conocer la nueva exposición temporal ""Angelitos""y conocer más acerca de las colecciones que ofrece el Museo Hermenegildo Bustos")</f>
        <v>Visita especial de la Universidad Humani Mundial para conocer la nueva exposición temporal "Angelitos"y conocer más acerca de las colecciones que ofrece el Museo Hermenegildo Bustos</v>
      </c>
      <c r="O232" s="30" t="str">
        <f ca="1">IFERROR(__xludf.DUMMYFUNCTION("""COMPUTED_VALUE"""),"Única")</f>
        <v>Única</v>
      </c>
      <c r="P232" s="33">
        <f ca="1">IFERROR(__xludf.DUMMYFUNCTION("""COMPUTED_VALUE"""),46204)</f>
        <v>46204</v>
      </c>
      <c r="Q232" s="33">
        <f ca="1">IFERROR(__xludf.DUMMYFUNCTION("""COMPUTED_VALUE"""),46204)</f>
        <v>46204</v>
      </c>
      <c r="R232" s="30">
        <f ca="1">IFERROR(__xludf.DUMMYFUNCTION("""COMPUTED_VALUE"""),1)</f>
        <v>1</v>
      </c>
      <c r="S232" s="30" t="str">
        <f ca="1">IFERROR(__xludf.DUMMYFUNCTION("""COMPUTED_VALUE"""),"Cultura comunitaria")</f>
        <v>Cultura comunitaria</v>
      </c>
      <c r="T232" s="30" t="str">
        <f ca="1">IFERROR(__xludf.DUMMYFUNCTION("""COMPUTED_VALUE"""),"Mediación cultural")</f>
        <v>Mediación cultural</v>
      </c>
      <c r="U232" s="30" t="str">
        <f ca="1">IFERROR(__xludf.DUMMYFUNCTION("""COMPUTED_VALUE"""),"Visitas guiadas")</f>
        <v>Visitas guiadas</v>
      </c>
      <c r="V232" s="30" t="str">
        <f ca="1">IFERROR(__xludf.DUMMYFUNCTION("""COMPUTED_VALUE"""),"Ninguna")</f>
        <v>Ninguna</v>
      </c>
      <c r="W232" s="30" t="str">
        <f ca="1">IFERROR(__xludf.DUMMYFUNCTION("""COMPUTED_VALUE"""),"Presencial")</f>
        <v>Presencial</v>
      </c>
      <c r="X232" s="30" t="str">
        <f ca="1">IFERROR(__xludf.DUMMYFUNCTION("""COMPUTED_VALUE"""),"Espacio a Cargo de la Secretaría")</f>
        <v>Espacio a Cargo de la Secretaría</v>
      </c>
      <c r="Y232" s="30" t="str">
        <f ca="1">IFERROR(__xludf.DUMMYFUNCTION("""COMPUTED_VALUE"""),"9")</f>
        <v>9</v>
      </c>
      <c r="Z232" s="30"/>
      <c r="AA232" s="30"/>
      <c r="AB232" s="30" t="b">
        <f ca="1">IFERROR(__xludf.DUMMYFUNCTION("""COMPUTED_VALUE"""),FALSE)</f>
        <v>0</v>
      </c>
      <c r="AC232" s="30"/>
      <c r="AD232" s="30" t="b">
        <f ca="1">IFERROR(__xludf.DUMMYFUNCTION("""COMPUTED_VALUE"""),FALSE)</f>
        <v>0</v>
      </c>
      <c r="AE232" s="30"/>
      <c r="AF232" s="30" t="b">
        <f ca="1">IFERROR(__xludf.DUMMYFUNCTION("""COMPUTED_VALUE"""),FALSE)</f>
        <v>0</v>
      </c>
      <c r="AG232" s="30"/>
      <c r="AH232" s="30" t="str">
        <f ca="1">IFERROR(__xludf.DUMMYFUNCTION("""COMPUTED_VALUE"""),"Sin costo")</f>
        <v>Sin costo</v>
      </c>
      <c r="AI232" s="30"/>
      <c r="AJ232" s="30"/>
      <c r="AK232" s="30"/>
      <c r="AL232" s="30" t="str">
        <f ca="1">IFERROR(__xludf.DUMMYFUNCTION("""COMPUTED_VALUE"""),"ccardonav@guanajuato.gob.mx")</f>
        <v>ccardonav@guanajuato.gob.mx</v>
      </c>
      <c r="AM232" s="30" t="str">
        <f ca="1">IFERROR(__xludf.DUMMYFUNCTION("""COMPUTED_VALUE"""),"Arraigo y empoderamiento cultural de comunidades.")</f>
        <v>Arraigo y empoderamiento cultural de comunidades.</v>
      </c>
      <c r="AN232" s="30" t="str">
        <f ca="1">IFERROR(__xludf.DUMMYFUNCTION("""COMPUTED_VALUE"""),"2 Igualdad")</f>
        <v>2 Igualdad</v>
      </c>
      <c r="AO232" s="30" t="str">
        <f ca="1">IFERROR(__xludf.DUMMYFUNCTION("""COMPUTED_VALUE"""),"2.2 Fortalecer cohesión social")</f>
        <v>2.2 Fortalecer cohesión social</v>
      </c>
      <c r="AP232" s="30" t="str">
        <f ca="1">IFERROR(__xludf.DUMMYFUNCTION("""COMPUTED_VALUE"""),"2.2.1 Participación social comunitaria")</f>
        <v>2.2.1 Participación social comunitaria</v>
      </c>
      <c r="AQ232" s="30" t="str">
        <f ca="1">IFERROR(__xludf.DUMMYFUNCTION("""COMPUTED_VALUE"""),"2.2.1 Participación social comunitaria")</f>
        <v>2.2.1 Participación social comunitaria</v>
      </c>
      <c r="AR232" s="30" t="str">
        <f ca="1">IFERROR(__xludf.DUMMYFUNCTION("""COMPUTED_VALUE"""),"Cooperación")</f>
        <v>Cooperación</v>
      </c>
      <c r="AS232" s="30"/>
      <c r="AT232" s="30" t="str">
        <f ca="1">IFERROR(__xludf.DUMMYFUNCTION("""COMPUTED_VALUE"""),"Impulso a la educación artística y a la profesionalización del sector cultural")</f>
        <v>Impulso a la educación artística y a la profesionalización del sector cultural</v>
      </c>
      <c r="AU232" s="30" t="str">
        <f ca="1">IFERROR(__xludf.DUMMYFUNCTION("""COMPUTED_VALUE"""),"Adaptación de la oferta cultural a los territorios.")</f>
        <v>Adaptación de la oferta cultural a los territorios.</v>
      </c>
      <c r="AV232" s="30" t="str">
        <f ca="1">IFERROR(__xludf.DUMMYFUNCTION("""COMPUTED_VALUE"""),"Crear un sistema de inteligencia cultural.")</f>
        <v>Crear un sistema de inteligencia cultural.</v>
      </c>
      <c r="AW232" s="30" t="str">
        <f ca="1">IFERROR(__xludf.DUMMYFUNCTION("""COMPUTED_VALUE"""),"Incrementar un 25% la participación de grupos prioritarios en prácticas culturales al 2030.")</f>
        <v>Incrementar un 25% la participación de grupos prioritarios en prácticas culturales al 2030.</v>
      </c>
      <c r="AX232" s="30" t="str">
        <f ca="1">IFERROR(__xludf.DUMMYFUNCTION("""COMPUTED_VALUE"""),"Visitas escolares")</f>
        <v>Visitas escolares</v>
      </c>
      <c r="AY232" s="30" t="str">
        <f ca="1">IFERROR(__xludf.DUMMYFUNCTION("""COMPUTED_VALUE"""),"Formación")</f>
        <v>Formación</v>
      </c>
      <c r="AZ232" s="30" t="str">
        <f ca="1">IFERROR(__xludf.DUMMYFUNCTION("""COMPUTED_VALUE"""),"Formación")</f>
        <v>Formación</v>
      </c>
      <c r="BA232" s="30"/>
      <c r="BB232" s="30"/>
      <c r="BC232" s="30">
        <f ca="1">IFERROR(__xludf.DUMMYFUNCTION("""COMPUTED_VALUE"""),0)</f>
        <v>0</v>
      </c>
      <c r="BD232" s="30"/>
      <c r="BE232" s="30"/>
      <c r="BF232" s="30" t="b">
        <f ca="1">IFERROR(__xludf.DUMMYFUNCTION("""COMPUTED_VALUE"""),FALSE)</f>
        <v>0</v>
      </c>
      <c r="BG232" s="30"/>
      <c r="BH232" s="30"/>
      <c r="BI232" s="30"/>
      <c r="BJ232" s="30"/>
      <c r="BK232" s="30"/>
      <c r="BL232" s="30"/>
      <c r="BM232" s="30" t="str">
        <f ca="1">IFERROR(__xludf.DUMMYFUNCTION("""COMPUTED_VALUE"""),"No")</f>
        <v>No</v>
      </c>
      <c r="BN232" s="30"/>
      <c r="BO232" s="30" t="str">
        <f ca="1">IFERROR(__xludf.DUMMYFUNCTION("""COMPUTED_VALUE"""),"52dbbc59")</f>
        <v>52dbbc59</v>
      </c>
      <c r="BP232" s="29" t="str">
        <f ca="1">IFERROR(__xludf.DUMMYFUNCTION("""COMPUTED_VALUE"""),"León")</f>
        <v>León</v>
      </c>
      <c r="BQ232" s="30" t="str">
        <f ca="1">IFERROR(__xludf.DUMMYFUNCTION("""COMPUTED_VALUE"""),"Urbano")</f>
        <v>Urbano</v>
      </c>
      <c r="BR232" s="30"/>
      <c r="BS232" s="30"/>
      <c r="BT232" s="30" t="str">
        <f ca="1">IFERROR(__xludf.DUMMYFUNCTION("""COMPUTED_VALUE"""),"La Martinica")</f>
        <v>La Martinica</v>
      </c>
      <c r="BU232" s="30" t="str">
        <f ca="1">IFERROR(__xludf.DUMMYFUNCTION("""COMPUTED_VALUE"""),"No")</f>
        <v>No</v>
      </c>
      <c r="BV232" s="30" t="str">
        <f ca="1">IFERROR(__xludf.DUMMYFUNCTION("""COMPUTED_VALUE"""),"No")</f>
        <v>No</v>
      </c>
      <c r="BW232" s="30">
        <f ca="1">IFERROR(__xludf.DUMMYFUNCTION("""COMPUTED_VALUE"""),29)</f>
        <v>29</v>
      </c>
      <c r="BX232" s="30"/>
      <c r="BY232" s="30">
        <f ca="1">IFERROR(__xludf.DUMMYFUNCTION("""COMPUTED_VALUE"""),29)</f>
        <v>29</v>
      </c>
      <c r="BZ232" s="30" t="str">
        <f ca="1">IFERROR(__xludf.DUMMYFUNCTION("""COMPUTED_VALUE"""),"La Martinica")</f>
        <v>La Martinica</v>
      </c>
      <c r="CA232" s="30" t="str">
        <f ca="1">IFERROR(__xludf.DUMMYFUNCTION("""COMPUTED_VALUE"""),"No")</f>
        <v>No</v>
      </c>
      <c r="CB232" s="30" t="str">
        <f ca="1">IFERROR(__xludf.DUMMYFUNCTION("""COMPUTED_VALUE"""),"No")</f>
        <v>No</v>
      </c>
      <c r="CC232" s="30" t="str">
        <f ca="1">IFERROR(__xludf.DUMMYFUNCTION("""COMPUTED_VALUE"""),"9e539b30")</f>
        <v>9e539b30</v>
      </c>
      <c r="CD232" s="29" t="str">
        <f ca="1">IFERROR(__xludf.DUMMYFUNCTION("""COMPUTED_VALUE"""),"Jóvenes (18 a 29 años)")</f>
        <v>Jóvenes (18 a 29 años)</v>
      </c>
      <c r="CE232" s="30" t="str">
        <f ca="1">IFERROR(__xludf.DUMMYFUNCTION("""COMPUTED_VALUE"""),"Dato global")</f>
        <v>Dato global</v>
      </c>
      <c r="CF232" s="30" t="str">
        <f ca="1">IFERROR(__xludf.DUMMYFUNCTION("""COMPUTED_VALUE"""),"Ninguno (Población General)")</f>
        <v>Ninguno (Población General)</v>
      </c>
      <c r="CG232" s="30">
        <f ca="1">IFERROR(__xludf.DUMMYFUNCTION("""COMPUTED_VALUE"""),80)</f>
        <v>80</v>
      </c>
      <c r="CI232" s="30" t="str">
        <f ca="1">IFERROR(__xludf.DUMMYFUNCTION("""COMPUTED_VALUE"""),"d2883a2d")</f>
        <v>d2883a2d</v>
      </c>
      <c r="CJ232" s="29" t="str">
        <f ca="1">IFERROR(__xludf.DUMMYFUNCTION("""COMPUTED_VALUE"""),"Regitro_Evidencia_Images/d2883a2d.Archivo_Evidencia.213407.jpg")</f>
        <v>Regitro_Evidencia_Images/d2883a2d.Archivo_Evidencia.213407.jpg</v>
      </c>
      <c r="CK232" s="30" t="str">
        <f ca="1">IFERROR(__xludf.DUMMYFUNCTION("""COMPUTED_VALUE"""),"Foto")</f>
        <v>Foto</v>
      </c>
      <c r="CL232" s="30" t="str">
        <f ca="1">IFERROR(__xludf.DUMMYFUNCTION("""COMPUTED_VALUE"""),"Evidencia de la presentación")</f>
        <v>Evidencia de la presentación</v>
      </c>
      <c r="CM232" s="30" t="str">
        <f ca="1">IFERROR(__xludf.DUMMYFUNCTION("""COMPUTED_VALUE"""),"León")</f>
        <v>León</v>
      </c>
      <c r="CN232" s="32" t="e">
        <f ca="1"/>
        <v>#NAME?</v>
      </c>
      <c r="CO232" s="32" t="e">
        <f ca="1"/>
        <v>#NAME?</v>
      </c>
      <c r="CP232" s="32" t="e">
        <f ca="1"/>
        <v>#NAME?</v>
      </c>
      <c r="CQ232" s="32" t="e">
        <f ca="1"/>
        <v>#NAME?</v>
      </c>
      <c r="CR232" s="30" t="e">
        <f ca="1"/>
        <v>#NAME?</v>
      </c>
      <c r="CS232" s="30" t="str">
        <f ca="1">IFERROR(__xludf.DUMMYFUNCTION("""COMPUTED_VALUE"""),"Ninguno (Población General), Ninguno (Población General)")</f>
        <v>Ninguno (Población General), Ninguno (Población General)</v>
      </c>
    </row>
    <row r="233" spans="1:97" ht="13">
      <c r="A233" s="29" t="str">
        <f ca="1">IFERROR(__xludf.DUMMYFUNCTION("""COMPUTED_VALUE"""),"ACT-SCSV85126")</f>
        <v>ACT-SCSV85126</v>
      </c>
      <c r="B233" s="30" t="str">
        <f ca="1">IFERROR(__xludf.DUMMYFUNCTION("""COMPUTED_VALUE"""),"SC-260707-164342")</f>
        <v>SC-260707-164342</v>
      </c>
      <c r="C233" s="62">
        <f ca="1">IFERROR(__xludf.DUMMYFUNCTION("""COMPUTED_VALUE"""),46210.6970138888)</f>
        <v>46210.697013888799</v>
      </c>
      <c r="D233" s="30">
        <f ca="1">IFERROR(__xludf.DUMMYFUNCTION("""COMPUTED_VALUE"""),94)</f>
        <v>94</v>
      </c>
      <c r="E233" s="30" t="str">
        <f ca="1">IFERROR(__xludf.DUMMYFUNCTION("""COMPUTED_VALUE"""),"PB3572")</f>
        <v>PB3572</v>
      </c>
      <c r="F23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3"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33" s="30" t="str">
        <f ca="1">IFERROR(__xludf.DUMMYFUNCTION("""COMPUTED_VALUE"""),"SUBSECRETARÍA DE DESARROLLO Y PROMOCIÓN ARTÍSTICA Y CULTURAL")</f>
        <v>SUBSECRETARÍA DE DESARROLLO Y PROMOCIÓN ARTÍSTICA Y CULTURAL</v>
      </c>
      <c r="I233" s="34" t="str">
        <f ca="1">IFERROR(__xludf.DUMMYFUNCTION("""COMPUTED_VALUE"""),"DIRECCIÓN GENERAL DE MUSEOS, ARTES VISUALES Y EXPOSICIONES")</f>
        <v>DIRECCIÓN GENERAL DE MUSEOS, ARTES VISUALES Y EXPOSICIONES</v>
      </c>
      <c r="J233" s="30" t="str">
        <f ca="1">IFERROR(__xludf.DUMMYFUNCTION("""COMPUTED_VALUE"""),"Número de Actividades realizadas")</f>
        <v>Número de Actividades realizadas</v>
      </c>
      <c r="K233" s="30">
        <f ca="1">IFERROR(__xludf.DUMMYFUNCTION("""COMPUTED_VALUE"""),12)</f>
        <v>12</v>
      </c>
      <c r="L233" s="30" t="str">
        <f ca="1">IFERROR(__xludf.DUMMYFUNCTION("""COMPUTED_VALUE"""),"Artística")</f>
        <v>Artística</v>
      </c>
      <c r="M233" s="30" t="str">
        <f ca="1">IFERROR(__xludf.DUMMYFUNCTION("""COMPUTED_VALUE"""),"Convocatoria ""Mujeres en las Artes Visuales en Guanajuato""")</f>
        <v>Convocatoria "Mujeres en las Artes Visuales en Guanajuato"</v>
      </c>
      <c r="N233" s="30" t="str">
        <f ca="1">IFERROR(__xludf.DUMMYFUNCTION("""COMPUTED_VALUE"""),"Esta convocatoria tiene como objetivo, fortalecer la presencia y el desarrollo de las artes visuales en Guanajuato.")</f>
        <v>Esta convocatoria tiene como objetivo, fortalecer la presencia y el desarrollo de las artes visuales en Guanajuato.</v>
      </c>
      <c r="O233" s="30" t="str">
        <f ca="1">IFERROR(__xludf.DUMMYFUNCTION("""COMPUTED_VALUE"""),"Otras")</f>
        <v>Otras</v>
      </c>
      <c r="P233" s="33">
        <f ca="1">IFERROR(__xludf.DUMMYFUNCTION("""COMPUTED_VALUE"""),46082)</f>
        <v>46082</v>
      </c>
      <c r="Q233" s="33">
        <f ca="1">IFERROR(__xludf.DUMMYFUNCTION("""COMPUTED_VALUE"""),46172)</f>
        <v>46172</v>
      </c>
      <c r="R233" s="30">
        <f ca="1">IFERROR(__xludf.DUMMYFUNCTION("""COMPUTED_VALUE"""),1)</f>
        <v>1</v>
      </c>
      <c r="S233" s="30" t="str">
        <f ca="1">IFERROR(__xludf.DUMMYFUNCTION("""COMPUTED_VALUE"""),"Artes visuales")</f>
        <v>Artes visuales</v>
      </c>
      <c r="T233" s="30" t="str">
        <f ca="1">IFERROR(__xludf.DUMMYFUNCTION("""COMPUTED_VALUE"""),"Instalación")</f>
        <v>Instalación</v>
      </c>
      <c r="U233" s="30" t="str">
        <f ca="1">IFERROR(__xludf.DUMMYFUNCTION("""COMPUTED_VALUE"""),"Convocatoria pública")</f>
        <v>Convocatoria pública</v>
      </c>
      <c r="V233" s="30" t="str">
        <f ca="1">IFERROR(__xludf.DUMMYFUNCTION("""COMPUTED_VALUE"""),"Entrega de estímulos")</f>
        <v>Entrega de estímulos</v>
      </c>
      <c r="W233" s="30" t="str">
        <f ca="1">IFERROR(__xludf.DUMMYFUNCTION("""COMPUTED_VALUE"""),"Híbrido")</f>
        <v>Híbrido</v>
      </c>
      <c r="X233" s="30" t="str">
        <f ca="1">IFERROR(__xludf.DUMMYFUNCTION("""COMPUTED_VALUE"""),"Espacio a Cargo de la Secretaría")</f>
        <v>Espacio a Cargo de la Secretaría</v>
      </c>
      <c r="Y233" s="30" t="str">
        <f ca="1">IFERROR(__xludf.DUMMYFUNCTION("""COMPUTED_VALUE"""),"1")</f>
        <v>1</v>
      </c>
      <c r="Z233" s="30"/>
      <c r="AA233" s="30"/>
      <c r="AB233" s="30" t="b">
        <f ca="1">IFERROR(__xludf.DUMMYFUNCTION("""COMPUTED_VALUE"""),FALSE)</f>
        <v>0</v>
      </c>
      <c r="AC233" s="30"/>
      <c r="AD233" s="30" t="b">
        <f ca="1">IFERROR(__xludf.DUMMYFUNCTION("""COMPUTED_VALUE"""),TRUE)</f>
        <v>1</v>
      </c>
      <c r="AE233" s="30">
        <f ca="1">IFERROR(__xludf.DUMMYFUNCTION("""COMPUTED_VALUE"""),1)</f>
        <v>1</v>
      </c>
      <c r="AF233" s="30" t="b">
        <f ca="1">IFERROR(__xludf.DUMMYFUNCTION("""COMPUTED_VALUE"""),FALSE)</f>
        <v>0</v>
      </c>
      <c r="AG233" s="30"/>
      <c r="AH233" s="30" t="str">
        <f ca="1">IFERROR(__xludf.DUMMYFUNCTION("""COMPUTED_VALUE"""),"Sin costo")</f>
        <v>Sin costo</v>
      </c>
      <c r="AI233" s="30"/>
      <c r="AJ233" s="30"/>
      <c r="AK233" s="30"/>
      <c r="AL233" s="30" t="str">
        <f ca="1">IFERROR(__xludf.DUMMYFUNCTION("""COMPUTED_VALUE"""),"ccardonav@guanajuato.gob.mx")</f>
        <v>ccardonav@guanajuato.gob.mx</v>
      </c>
      <c r="AM233" s="30" t="str">
        <f ca="1">IFERROR(__xludf.DUMMYFUNCTION("""COMPUTED_VALUE"""),"Arraigo y empoderamiento cultural de comunidades.")</f>
        <v>Arraigo y empoderamiento cultural de comunidades.</v>
      </c>
      <c r="AN233" s="30" t="str">
        <f ca="1">IFERROR(__xludf.DUMMYFUNCTION("""COMPUTED_VALUE"""),"2 Igualdad")</f>
        <v>2 Igualdad</v>
      </c>
      <c r="AO233" s="30" t="str">
        <f ca="1">IFERROR(__xludf.DUMMYFUNCTION("""COMPUTED_VALUE"""),"2.2 Fortalecer cohesión social")</f>
        <v>2.2 Fortalecer cohesión social</v>
      </c>
      <c r="AP233" s="30" t="str">
        <f ca="1">IFERROR(__xludf.DUMMYFUNCTION("""COMPUTED_VALUE"""),"2.2 Fortalecer cohesión social")</f>
        <v>2.2 Fortalecer cohesión social</v>
      </c>
      <c r="AQ233" s="30" t="str">
        <f ca="1">IFERROR(__xludf.DUMMYFUNCTION("""COMPUTED_VALUE"""),"2.2.3.2 Promover la participación de grupos prioritarios en actividades culturales")</f>
        <v>2.2.3.2 Promover la participación de grupos prioritarios en actividades culturales</v>
      </c>
      <c r="AR233" s="30" t="str">
        <f ca="1">IFERROR(__xludf.DUMMYFUNCTION("""COMPUTED_VALUE"""),"Inclusión")</f>
        <v>Inclusión</v>
      </c>
      <c r="AS233" s="30" t="str">
        <f ca="1">IFERROR(__xludf.DUMMYFUNCTION("""COMPUTED_VALUE"""),"Mujeres en situación de vulnerabilidad")</f>
        <v>Mujeres en situación de vulnerabilidad</v>
      </c>
      <c r="AT233" s="30" t="str">
        <f ca="1">IFERROR(__xludf.DUMMYFUNCTION("""COMPUTED_VALUE"""),"Fortalecimiento de la participación ciudadana y la mediación cultural")</f>
        <v>Fortalecimiento de la participación ciudadana y la mediación cultural</v>
      </c>
      <c r="AU233" s="30" t="str">
        <f ca="1">IFERROR(__xludf.DUMMYFUNCTION("""COMPUTED_VALUE"""),"Fortalecimiento del diálogo, la mediación y las capacidades de las redes comunitarias.")</f>
        <v>Fortalecimiento del diálogo, la mediación y las capacidades de las redes comunitarias.</v>
      </c>
      <c r="AV23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33" s="30" t="str">
        <f ca="1">IFERROR(__xludf.DUMMYFUNCTION("""COMPUTED_VALUE"""),"Incrementar en 25% la oferta cultural realizada en los municipios.")</f>
        <v>Incrementar en 25% la oferta cultural realizada en los municipios.</v>
      </c>
      <c r="AX233" s="30" t="str">
        <f ca="1">IFERROR(__xludf.DUMMYFUNCTION("""COMPUTED_VALUE"""),"Convocatoria pública")</f>
        <v>Convocatoria pública</v>
      </c>
      <c r="AY233" s="30" t="str">
        <f ca="1">IFERROR(__xludf.DUMMYFUNCTION("""COMPUTED_VALUE"""),"Creación")</f>
        <v>Creación</v>
      </c>
      <c r="AZ233" s="30"/>
      <c r="BA233" s="30"/>
      <c r="BB233" s="30"/>
      <c r="BC233" s="30">
        <f ca="1">IFERROR(__xludf.DUMMYFUNCTION("""COMPUTED_VALUE"""),0)</f>
        <v>0</v>
      </c>
      <c r="BD233" s="30"/>
      <c r="BE233" s="30"/>
      <c r="BF233" s="30" t="b">
        <f ca="1">IFERROR(__xludf.DUMMYFUNCTION("""COMPUTED_VALUE"""),TRUE)</f>
        <v>1</v>
      </c>
      <c r="BG233" s="30" t="str">
        <f ca="1">IFERROR(__xludf.DUMMYFUNCTION("""COMPUTED_VALUE"""),"Económico")</f>
        <v>Económico</v>
      </c>
      <c r="BH233" s="30"/>
      <c r="BI233" s="30"/>
      <c r="BJ233" s="30"/>
      <c r="BK233" s="30"/>
      <c r="BL233" s="30"/>
      <c r="BM233" s="30" t="str">
        <f ca="1">IFERROR(__xludf.DUMMYFUNCTION("""COMPUTED_VALUE"""),"Sí")</f>
        <v>Sí</v>
      </c>
      <c r="BN233" s="30" t="str">
        <f ca="1">IFERROR(__xludf.DUMMYFUNCTION("""COMPUTED_VALUE"""),"Acompañamiento Técnico")</f>
        <v>Acompañamiento Técnico</v>
      </c>
      <c r="BO233" s="30" t="str">
        <f ca="1">IFERROR(__xludf.DUMMYFUNCTION("""COMPUTED_VALUE"""),"416bb468")</f>
        <v>416bb468</v>
      </c>
      <c r="BP233" s="29" t="str">
        <f ca="1">IFERROR(__xludf.DUMMYFUNCTION("""COMPUTED_VALUE"""),"León")</f>
        <v>León</v>
      </c>
      <c r="BQ233" s="30" t="str">
        <f ca="1">IFERROR(__xludf.DUMMYFUNCTION("""COMPUTED_VALUE"""),"Urbano")</f>
        <v>Urbano</v>
      </c>
      <c r="BR233" s="30"/>
      <c r="BS233" s="30"/>
      <c r="BT233" s="30" t="str">
        <f ca="1">IFERROR(__xludf.DUMMYFUNCTION("""COMPUTED_VALUE"""),"La Martinica")</f>
        <v>La Martinica</v>
      </c>
      <c r="BU233" s="30" t="str">
        <f ca="1">IFERROR(__xludf.DUMMYFUNCTION("""COMPUTED_VALUE"""),"No")</f>
        <v>No</v>
      </c>
      <c r="BV233" s="30" t="str">
        <f ca="1">IFERROR(__xludf.DUMMYFUNCTION("""COMPUTED_VALUE"""),"No")</f>
        <v>No</v>
      </c>
      <c r="BW233" s="30">
        <f ca="1">IFERROR(__xludf.DUMMYFUNCTION("""COMPUTED_VALUE"""),21)</f>
        <v>21</v>
      </c>
      <c r="BX233" s="30"/>
      <c r="BY233" s="30">
        <f ca="1">IFERROR(__xludf.DUMMYFUNCTION("""COMPUTED_VALUE"""),21)</f>
        <v>21</v>
      </c>
      <c r="BZ233" s="30" t="str">
        <f ca="1">IFERROR(__xludf.DUMMYFUNCTION("""COMPUTED_VALUE"""),"La Martinica")</f>
        <v>La Martinica</v>
      </c>
      <c r="CA233" s="30" t="str">
        <f ca="1">IFERROR(__xludf.DUMMYFUNCTION("""COMPUTED_VALUE"""),"No")</f>
        <v>No</v>
      </c>
      <c r="CB233" s="30" t="str">
        <f ca="1">IFERROR(__xludf.DUMMYFUNCTION("""COMPUTED_VALUE"""),"No")</f>
        <v>No</v>
      </c>
      <c r="CC233" s="30" t="str">
        <f ca="1">IFERROR(__xludf.DUMMYFUNCTION("""COMPUTED_VALUE"""),"4556bdba")</f>
        <v>4556bdba</v>
      </c>
      <c r="CD233" s="29" t="str">
        <f ca="1">IFERROR(__xludf.DUMMYFUNCTION("""COMPUTED_VALUE"""),"Adultos (30 a 59 años)")</f>
        <v>Adultos (30 a 59 años)</v>
      </c>
      <c r="CE233" s="30" t="str">
        <f ca="1">IFERROR(__xludf.DUMMYFUNCTION("""COMPUTED_VALUE"""),"Dato global")</f>
        <v>Dato global</v>
      </c>
      <c r="CF233" s="30" t="str">
        <f ca="1">IFERROR(__xludf.DUMMYFUNCTION("""COMPUTED_VALUE"""),"Ninguno (Población General)")</f>
        <v>Ninguno (Población General)</v>
      </c>
      <c r="CG233" s="30">
        <f ca="1">IFERROR(__xludf.DUMMYFUNCTION("""COMPUTED_VALUE"""),9)</f>
        <v>9</v>
      </c>
      <c r="CI233" s="30" t="str">
        <f ca="1">IFERROR(__xludf.DUMMYFUNCTION("""COMPUTED_VALUE"""),"f5a0fef1")</f>
        <v>f5a0fef1</v>
      </c>
      <c r="CJ233" s="29" t="str">
        <f ca="1">IFERROR(__xludf.DUMMYFUNCTION("""COMPUTED_VALUE"""),"Regitro_Evidencia_Images/f5a0fef1.Archivo_Evidencia.213413.jpg")</f>
        <v>Regitro_Evidencia_Images/f5a0fef1.Archivo_Evidencia.213413.jpg</v>
      </c>
      <c r="CK233" s="30" t="str">
        <f ca="1">IFERROR(__xludf.DUMMYFUNCTION("""COMPUTED_VALUE"""),"Foto")</f>
        <v>Foto</v>
      </c>
      <c r="CL233" s="30" t="str">
        <f ca="1">IFERROR(__xludf.DUMMYFUNCTION("""COMPUTED_VALUE"""),"Evidencia de la presentación")</f>
        <v>Evidencia de la presentación</v>
      </c>
      <c r="CM233" s="30" t="str">
        <f ca="1">IFERROR(__xludf.DUMMYFUNCTION("""COMPUTED_VALUE"""),"León")</f>
        <v>León</v>
      </c>
      <c r="CN233" s="32" t="e">
        <f ca="1"/>
        <v>#NAME?</v>
      </c>
      <c r="CO233" s="32" t="e">
        <f ca="1"/>
        <v>#NAME?</v>
      </c>
      <c r="CP233" s="32" t="e">
        <f ca="1"/>
        <v>#NAME?</v>
      </c>
      <c r="CQ233" s="32" t="e">
        <f ca="1"/>
        <v>#NAME?</v>
      </c>
      <c r="CR233" s="30" t="e">
        <f ca="1"/>
        <v>#NAME?</v>
      </c>
      <c r="CS233" s="30" t="str">
        <f ca="1">IFERROR(__xludf.DUMMYFUNCTION("""COMPUTED_VALUE"""),"Ninguno (Población General), Ninguno (Población General)")</f>
        <v>Ninguno (Población General), Ninguno (Población General)</v>
      </c>
    </row>
    <row r="234" spans="1:97" ht="13">
      <c r="A234" s="29" t="str">
        <f ca="1">IFERROR(__xludf.DUMMYFUNCTION("""COMPUTED_VALUE"""),"ACT-SCVE80091")</f>
        <v>ACT-SCVE80091</v>
      </c>
      <c r="B234" s="30" t="str">
        <f ca="1">IFERROR(__xludf.DUMMYFUNCTION("""COMPUTED_VALUE"""),"SC-260713-161259")</f>
        <v>SC-260713-161259</v>
      </c>
      <c r="C234" s="62">
        <f ca="1">IFERROR(__xludf.DUMMYFUNCTION("""COMPUTED_VALUE"""),46216.6756828703)</f>
        <v>46216.6756828703</v>
      </c>
      <c r="D234" s="30">
        <f ca="1">IFERROR(__xludf.DUMMYFUNCTION("""COMPUTED_VALUE"""),92)</f>
        <v>92</v>
      </c>
      <c r="E234" s="30" t="str">
        <f ca="1">IFERROR(__xludf.DUMMYFUNCTION("""COMPUTED_VALUE"""),"PB3572")</f>
        <v>PB3572</v>
      </c>
      <c r="F23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4" s="30" t="str">
        <f ca="1">IFERROR(__xludf.DUMMYFUNCTION("""COMPUTED_VALUE"""),"SUBSECRETARÍA DE DESARROLLO Y PROMOCIÓN ARTÍSTICA Y CULTURAL")</f>
        <v>SUBSECRETARÍA DE DESARROLLO Y PROMOCIÓN ARTÍSTICA Y CULTURAL</v>
      </c>
      <c r="I234" s="34" t="str">
        <f ca="1">IFERROR(__xludf.DUMMYFUNCTION("""COMPUTED_VALUE"""),"DIRECCIÓN GENERAL DE MUSEOS, ARTES VISUALES Y EXPOSICIONES")</f>
        <v>DIRECCIÓN GENERAL DE MUSEOS, ARTES VISUALES Y EXPOSICIONES</v>
      </c>
      <c r="J234" s="30" t="str">
        <f ca="1">IFERROR(__xludf.DUMMYFUNCTION("""COMPUTED_VALUE"""),"Número de Actividades realizadas")</f>
        <v>Número de Actividades realizadas</v>
      </c>
      <c r="K234" s="30">
        <f ca="1">IFERROR(__xludf.DUMMYFUNCTION("""COMPUTED_VALUE"""),800)</f>
        <v>800</v>
      </c>
      <c r="L234" s="30" t="str">
        <f ca="1">IFERROR(__xludf.DUMMYFUNCTION("""COMPUTED_VALUE"""),"Cultural")</f>
        <v>Cultural</v>
      </c>
      <c r="M234" s="30" t="str">
        <f ca="1">IFERROR(__xludf.DUMMYFUNCTION("""COMPUTED_VALUE"""),"Visita Escolar ""BACHILLERATO INVERNA GUANAJUATO""")</f>
        <v>Visita Escolar "BACHILLERATO INVERNA GUANAJUATO"</v>
      </c>
      <c r="N234" s="30" t="str">
        <f ca="1">IFERROR(__xludf.DUMMYFUNCTION("""COMPUTED_VALUE"""),"Visita Mediada")</f>
        <v>Visita Mediada</v>
      </c>
      <c r="O234" s="30" t="str">
        <f ca="1">IFERROR(__xludf.DUMMYFUNCTION("""COMPUTED_VALUE"""),"Única")</f>
        <v>Única</v>
      </c>
      <c r="P234" s="33">
        <f ca="1">IFERROR(__xludf.DUMMYFUNCTION("""COMPUTED_VALUE"""),46204)</f>
        <v>46204</v>
      </c>
      <c r="Q234" s="33">
        <f ca="1">IFERROR(__xludf.DUMMYFUNCTION("""COMPUTED_VALUE"""),46204)</f>
        <v>46204</v>
      </c>
      <c r="R234" s="30">
        <f ca="1">IFERROR(__xludf.DUMMYFUNCTION("""COMPUTED_VALUE"""),1)</f>
        <v>1</v>
      </c>
      <c r="S234" s="30" t="str">
        <f ca="1">IFERROR(__xludf.DUMMYFUNCTION("""COMPUTED_VALUE"""),"Cultura comunitaria")</f>
        <v>Cultura comunitaria</v>
      </c>
      <c r="T234" s="30" t="str">
        <f ca="1">IFERROR(__xludf.DUMMYFUNCTION("""COMPUTED_VALUE"""),"Mediación cultural")</f>
        <v>Mediación cultural</v>
      </c>
      <c r="U234" s="30" t="str">
        <f ca="1">IFERROR(__xludf.DUMMYFUNCTION("""COMPUTED_VALUE"""),"Visitas escolares")</f>
        <v>Visitas escolares</v>
      </c>
      <c r="V234" s="30" t="str">
        <f ca="1">IFERROR(__xludf.DUMMYFUNCTION("""COMPUTED_VALUE"""),"Ninguna")</f>
        <v>Ninguna</v>
      </c>
      <c r="W234" s="30" t="str">
        <f ca="1">IFERROR(__xludf.DUMMYFUNCTION("""COMPUTED_VALUE"""),"Presencial")</f>
        <v>Presencial</v>
      </c>
      <c r="X234" s="30" t="str">
        <f ca="1">IFERROR(__xludf.DUMMYFUNCTION("""COMPUTED_VALUE"""),"Espacio a Cargo de la Secretaría")</f>
        <v>Espacio a Cargo de la Secretaría</v>
      </c>
      <c r="Y234" s="30" t="str">
        <f ca="1">IFERROR(__xludf.DUMMYFUNCTION("""COMPUTED_VALUE"""),"Museo de Arte e Historia de Guanajuato, sala Feliciano Peña")</f>
        <v>Museo de Arte e Historia de Guanajuato, sala Feliciano Peña</v>
      </c>
      <c r="Z234" s="30"/>
      <c r="AA234" s="30"/>
      <c r="AB234" s="30" t="b">
        <f ca="1">IFERROR(__xludf.DUMMYFUNCTION("""COMPUTED_VALUE"""),FALSE)</f>
        <v>0</v>
      </c>
      <c r="AC234" s="30"/>
      <c r="AD234" s="30" t="b">
        <f ca="1">IFERROR(__xludf.DUMMYFUNCTION("""COMPUTED_VALUE"""),FALSE)</f>
        <v>0</v>
      </c>
      <c r="AE234" s="30"/>
      <c r="AF234" s="30" t="b">
        <f ca="1">IFERROR(__xludf.DUMMYFUNCTION("""COMPUTED_VALUE"""),FALSE)</f>
        <v>0</v>
      </c>
      <c r="AG234" s="30"/>
      <c r="AH234" s="30" t="str">
        <f ca="1">IFERROR(__xludf.DUMMYFUNCTION("""COMPUTED_VALUE"""),"Sin costo")</f>
        <v>Sin costo</v>
      </c>
      <c r="AI234" s="30"/>
      <c r="AJ234" s="30"/>
      <c r="AK234" s="30"/>
      <c r="AL234" s="30" t="str">
        <f ca="1">IFERROR(__xludf.DUMMYFUNCTION("""COMPUTED_VALUE"""),"ccardonav@guanajuato.gob.mx")</f>
        <v>ccardonav@guanajuato.gob.mx</v>
      </c>
      <c r="AM234" s="30" t="str">
        <f ca="1">IFERROR(__xludf.DUMMYFUNCTION("""COMPUTED_VALUE"""),"Arraigo y empoderamiento cultural de comunidades.")</f>
        <v>Arraigo y empoderamiento cultural de comunidades.</v>
      </c>
      <c r="AN234" s="30" t="str">
        <f ca="1">IFERROR(__xludf.DUMMYFUNCTION("""COMPUTED_VALUE"""),"2 Igualdad")</f>
        <v>2 Igualdad</v>
      </c>
      <c r="AO234" s="30" t="str">
        <f ca="1">IFERROR(__xludf.DUMMYFUNCTION("""COMPUTED_VALUE"""),"2.4 Reducir brechas de desigualdad")</f>
        <v>2.4 Reducir brechas de desigualdad</v>
      </c>
      <c r="AP234" s="30" t="str">
        <f ca="1">IFERROR(__xludf.DUMMYFUNCTION("""COMPUTED_VALUE"""),"2.4.3 Descentralización de la oferta cultural")</f>
        <v>2.4.3 Descentralización de la oferta cultural</v>
      </c>
      <c r="AQ234" s="30" t="str">
        <f ca="1">IFERROR(__xludf.DUMMYFUNCTION("""COMPUTED_VALUE"""),"2.4.3.1 Impulsar el desarrollo artístico y cultural entre infancias y juventudes")</f>
        <v>2.4.3.1 Impulsar el desarrollo artístico y cultural entre infancias y juventudes</v>
      </c>
      <c r="AR234" s="30" t="str">
        <f ca="1">IFERROR(__xludf.DUMMYFUNCTION("""COMPUTED_VALUE"""),"Ninguno")</f>
        <v>Ninguno</v>
      </c>
      <c r="AS234" s="30"/>
      <c r="AT234" s="30" t="str">
        <f ca="1">IFERROR(__xludf.DUMMYFUNCTION("""COMPUTED_VALUE"""),"Fortalecimiento de la participación ciudadana y la mediación cultural")</f>
        <v>Fortalecimiento de la participación ciudadana y la mediación cultural</v>
      </c>
      <c r="AU234" s="30" t="str">
        <f ca="1">IFERROR(__xludf.DUMMYFUNCTION("""COMPUTED_VALUE"""),"Fortalecimiento del diálogo, la mediación y las capacidades de las redes comunitarias.")</f>
        <v>Fortalecimiento del diálogo, la mediación y las capacidades de las redes comunitarias.</v>
      </c>
      <c r="AV23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34" s="30" t="str">
        <f ca="1">IFERROR(__xludf.DUMMYFUNCTION("""COMPUTED_VALUE"""),"Incrementar en 25% la oferta cultural realizada en los municipios.")</f>
        <v>Incrementar en 25% la oferta cultural realizada en los municipios.</v>
      </c>
      <c r="AX234" s="30" t="str">
        <f ca="1">IFERROR(__xludf.DUMMYFUNCTION("""COMPUTED_VALUE"""),"Visitas escolares")</f>
        <v>Visitas escolares</v>
      </c>
      <c r="AY234" s="30" t="str">
        <f ca="1">IFERROR(__xludf.DUMMYFUNCTION("""COMPUTED_VALUE"""),"Mediación")</f>
        <v>Mediación</v>
      </c>
      <c r="AZ234" s="30"/>
      <c r="BA234" s="30"/>
      <c r="BB234" s="30"/>
      <c r="BC234" s="30">
        <f ca="1">IFERROR(__xludf.DUMMYFUNCTION("""COMPUTED_VALUE"""),0)</f>
        <v>0</v>
      </c>
      <c r="BD234" s="30"/>
      <c r="BE234" s="30"/>
      <c r="BF234" s="30" t="b">
        <f ca="1">IFERROR(__xludf.DUMMYFUNCTION("""COMPUTED_VALUE"""),FALSE)</f>
        <v>0</v>
      </c>
      <c r="BG234" s="30"/>
      <c r="BH234" s="30"/>
      <c r="BI234" s="30"/>
      <c r="BJ234" s="30"/>
      <c r="BK234" s="30"/>
      <c r="BL234" s="30"/>
      <c r="BM234" s="30" t="str">
        <f ca="1">IFERROR(__xludf.DUMMYFUNCTION("""COMPUTED_VALUE"""),"No")</f>
        <v>No</v>
      </c>
      <c r="BN234" s="30"/>
      <c r="BO234" s="30" t="str">
        <f ca="1">IFERROR(__xludf.DUMMYFUNCTION("""COMPUTED_VALUE"""),"15b0477b")</f>
        <v>15b0477b</v>
      </c>
      <c r="BP234" s="29" t="str">
        <f ca="1">IFERROR(__xludf.DUMMYFUNCTION("""COMPUTED_VALUE"""),"León")</f>
        <v>León</v>
      </c>
      <c r="BQ234" s="30" t="str">
        <f ca="1">IFERROR(__xludf.DUMMYFUNCTION("""COMPUTED_VALUE"""),"Urbano")</f>
        <v>Urbano</v>
      </c>
      <c r="BR234" s="30"/>
      <c r="BS234" s="30"/>
      <c r="BT234" s="30" t="str">
        <f ca="1">IFERROR(__xludf.DUMMYFUNCTION("""COMPUTED_VALUE"""),"La Martinica")</f>
        <v>La Martinica</v>
      </c>
      <c r="BU234" s="30" t="str">
        <f ca="1">IFERROR(__xludf.DUMMYFUNCTION("""COMPUTED_VALUE"""),"No")</f>
        <v>No</v>
      </c>
      <c r="BV234" s="30" t="str">
        <f ca="1">IFERROR(__xludf.DUMMYFUNCTION("""COMPUTED_VALUE"""),"No")</f>
        <v>No</v>
      </c>
      <c r="BW234" s="30">
        <f ca="1">IFERROR(__xludf.DUMMYFUNCTION("""COMPUTED_VALUE"""),9)</f>
        <v>9</v>
      </c>
      <c r="BX234" s="30"/>
      <c r="BY234" s="30">
        <f ca="1">IFERROR(__xludf.DUMMYFUNCTION("""COMPUTED_VALUE"""),9)</f>
        <v>9</v>
      </c>
      <c r="BZ234" s="30" t="str">
        <f ca="1">IFERROR(__xludf.DUMMYFUNCTION("""COMPUTED_VALUE"""),"La Martinica")</f>
        <v>La Martinica</v>
      </c>
      <c r="CA234" s="30" t="str">
        <f ca="1">IFERROR(__xludf.DUMMYFUNCTION("""COMPUTED_VALUE"""),"No")</f>
        <v>No</v>
      </c>
      <c r="CB234" s="30" t="str">
        <f ca="1">IFERROR(__xludf.DUMMYFUNCTION("""COMPUTED_VALUE"""),"No")</f>
        <v>No</v>
      </c>
      <c r="CC234" s="30" t="str">
        <f ca="1">IFERROR(__xludf.DUMMYFUNCTION("""COMPUTED_VALUE"""),"5b5f2287")</f>
        <v>5b5f2287</v>
      </c>
      <c r="CD234" s="29" t="str">
        <f ca="1">IFERROR(__xludf.DUMMYFUNCTION("""COMPUTED_VALUE"""),"Jóvenes (18 a 29 años)")</f>
        <v>Jóvenes (18 a 29 años)</v>
      </c>
      <c r="CE234" s="30" t="str">
        <f ca="1">IFERROR(__xludf.DUMMYFUNCTION("""COMPUTED_VALUE"""),"Dato global")</f>
        <v>Dato global</v>
      </c>
      <c r="CF234" s="30" t="str">
        <f ca="1">IFERROR(__xludf.DUMMYFUNCTION("""COMPUTED_VALUE"""),"Ninguno (Población General)")</f>
        <v>Ninguno (Población General)</v>
      </c>
      <c r="CG234" s="30">
        <f ca="1">IFERROR(__xludf.DUMMYFUNCTION("""COMPUTED_VALUE"""),80)</f>
        <v>80</v>
      </c>
      <c r="CI234" s="30" t="str">
        <f ca="1">IFERROR(__xludf.DUMMYFUNCTION("""COMPUTED_VALUE"""),"d222727f")</f>
        <v>d222727f</v>
      </c>
      <c r="CJ234" s="29" t="str">
        <f ca="1">IFERROR(__xludf.DUMMYFUNCTION("""COMPUTED_VALUE"""),"Regitro_Evidencia_Images/d222727f.Archivo_Evidencia.221249.jpg")</f>
        <v>Regitro_Evidencia_Images/d222727f.Archivo_Evidencia.221249.jpg</v>
      </c>
      <c r="CK234" s="30" t="str">
        <f ca="1">IFERROR(__xludf.DUMMYFUNCTION("""COMPUTED_VALUE"""),"Foto")</f>
        <v>Foto</v>
      </c>
      <c r="CL234" s="30" t="str">
        <f ca="1">IFERROR(__xludf.DUMMYFUNCTION("""COMPUTED_VALUE"""),"Evidencia de la presentación de la Danza.")</f>
        <v>Evidencia de la presentación de la Danza.</v>
      </c>
      <c r="CM234" s="30" t="str">
        <f ca="1">IFERROR(__xludf.DUMMYFUNCTION("""COMPUTED_VALUE"""),"León")</f>
        <v>León</v>
      </c>
      <c r="CN234" s="32" t="e">
        <f ca="1"/>
        <v>#NAME?</v>
      </c>
      <c r="CO234" s="32" t="e">
        <f ca="1"/>
        <v>#NAME?</v>
      </c>
      <c r="CP234" s="32" t="e">
        <f ca="1"/>
        <v>#NAME?</v>
      </c>
      <c r="CQ234" s="32" t="e">
        <f ca="1"/>
        <v>#NAME?</v>
      </c>
      <c r="CR234" s="30" t="e">
        <f ca="1"/>
        <v>#NAME?</v>
      </c>
      <c r="CS234" s="30" t="str">
        <f ca="1">IFERROR(__xludf.DUMMYFUNCTION("""COMPUTED_VALUE"""),"Ninguno (Población General), Ninguno (Población General)")</f>
        <v>Ninguno (Población General), Ninguno (Población General)</v>
      </c>
    </row>
    <row r="235" spans="1:97" ht="13">
      <c r="A235" s="29" t="str">
        <f ca="1">IFERROR(__xludf.DUMMYFUNCTION("""COMPUTED_VALUE"""),"ACT-SCYL97728")</f>
        <v>ACT-SCYL97728</v>
      </c>
      <c r="B235" s="30" t="str">
        <f ca="1">IFERROR(__xludf.DUMMYFUNCTION("""COMPUTED_VALUE"""),"SC-260713-162334")</f>
        <v>SC-260713-162334</v>
      </c>
      <c r="C235" s="62">
        <f ca="1">IFERROR(__xludf.DUMMYFUNCTION("""COMPUTED_VALUE"""),46216.6830324074)</f>
        <v>46216.683032407404</v>
      </c>
      <c r="D235" s="30">
        <f ca="1">IFERROR(__xludf.DUMMYFUNCTION("""COMPUTED_VALUE"""),92)</f>
        <v>92</v>
      </c>
      <c r="E235" s="30" t="str">
        <f ca="1">IFERROR(__xludf.DUMMYFUNCTION("""COMPUTED_VALUE"""),"PB3572")</f>
        <v>PB3572</v>
      </c>
      <c r="F23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5" s="30" t="str">
        <f ca="1">IFERROR(__xludf.DUMMYFUNCTION("""COMPUTED_VALUE"""),"SUBSECRETARÍA DE DESARROLLO Y PROMOCIÓN ARTÍSTICA Y CULTURAL")</f>
        <v>SUBSECRETARÍA DE DESARROLLO Y PROMOCIÓN ARTÍSTICA Y CULTURAL</v>
      </c>
      <c r="I235" s="34" t="str">
        <f ca="1">IFERROR(__xludf.DUMMYFUNCTION("""COMPUTED_VALUE"""),"DIRECCIÓN GENERAL DE MUSEOS, ARTES VISUALES Y EXPOSICIONES")</f>
        <v>DIRECCIÓN GENERAL DE MUSEOS, ARTES VISUALES Y EXPOSICIONES</v>
      </c>
      <c r="J235" s="30" t="str">
        <f ca="1">IFERROR(__xludf.DUMMYFUNCTION("""COMPUTED_VALUE"""),"Número de Actividades realizadas")</f>
        <v>Número de Actividades realizadas</v>
      </c>
      <c r="K235" s="30">
        <f ca="1">IFERROR(__xludf.DUMMYFUNCTION("""COMPUTED_VALUE"""),800)</f>
        <v>800</v>
      </c>
      <c r="L235" s="30" t="str">
        <f ca="1">IFERROR(__xludf.DUMMYFUNCTION("""COMPUTED_VALUE"""),"Cultural")</f>
        <v>Cultural</v>
      </c>
      <c r="M235" s="30" t="str">
        <f ca="1">IFERROR(__xludf.DUMMYFUNCTION("""COMPUTED_VALUE"""),"Visita Escolar ""ROSARIO CASTELLANOS""")</f>
        <v>Visita Escolar "ROSARIO CASTELLANOS"</v>
      </c>
      <c r="N235" s="30" t="str">
        <f ca="1">IFERROR(__xludf.DUMMYFUNCTION("""COMPUTED_VALUE"""),"Visita Mediada")</f>
        <v>Visita Mediada</v>
      </c>
      <c r="O235" s="30" t="str">
        <f ca="1">IFERROR(__xludf.DUMMYFUNCTION("""COMPUTED_VALUE"""),"Única")</f>
        <v>Única</v>
      </c>
      <c r="P235" s="33">
        <f ca="1">IFERROR(__xludf.DUMMYFUNCTION("""COMPUTED_VALUE"""),46212)</f>
        <v>46212</v>
      </c>
      <c r="Q235" s="33">
        <f ca="1">IFERROR(__xludf.DUMMYFUNCTION("""COMPUTED_VALUE"""),46212)</f>
        <v>46212</v>
      </c>
      <c r="R235" s="30">
        <f ca="1">IFERROR(__xludf.DUMMYFUNCTION("""COMPUTED_VALUE"""),1)</f>
        <v>1</v>
      </c>
      <c r="S235" s="30" t="str">
        <f ca="1">IFERROR(__xludf.DUMMYFUNCTION("""COMPUTED_VALUE"""),"Cultura comunitaria")</f>
        <v>Cultura comunitaria</v>
      </c>
      <c r="T235" s="30" t="str">
        <f ca="1">IFERROR(__xludf.DUMMYFUNCTION("""COMPUTED_VALUE"""),"Mediación cultural")</f>
        <v>Mediación cultural</v>
      </c>
      <c r="U235" s="30" t="str">
        <f ca="1">IFERROR(__xludf.DUMMYFUNCTION("""COMPUTED_VALUE"""),"Visitas escolares")</f>
        <v>Visitas escolares</v>
      </c>
      <c r="V235" s="30" t="str">
        <f ca="1">IFERROR(__xludf.DUMMYFUNCTION("""COMPUTED_VALUE"""),"Ninguna")</f>
        <v>Ninguna</v>
      </c>
      <c r="W235" s="30" t="str">
        <f ca="1">IFERROR(__xludf.DUMMYFUNCTION("""COMPUTED_VALUE"""),"Presencial")</f>
        <v>Presencial</v>
      </c>
      <c r="X235" s="30" t="str">
        <f ca="1">IFERROR(__xludf.DUMMYFUNCTION("""COMPUTED_VALUE"""),"Espacio a Cargo de la Secretaría")</f>
        <v>Espacio a Cargo de la Secretaría</v>
      </c>
      <c r="Y235" s="30" t="str">
        <f ca="1">IFERROR(__xludf.DUMMYFUNCTION("""COMPUTED_VALUE"""),"Museo de Arte e Historia de Guanajuato, sala Feliciano Peña")</f>
        <v>Museo de Arte e Historia de Guanajuato, sala Feliciano Peña</v>
      </c>
      <c r="Z235" s="30"/>
      <c r="AA235" s="30"/>
      <c r="AB235" s="30" t="b">
        <f ca="1">IFERROR(__xludf.DUMMYFUNCTION("""COMPUTED_VALUE"""),FALSE)</f>
        <v>0</v>
      </c>
      <c r="AC235" s="30"/>
      <c r="AD235" s="30" t="b">
        <f ca="1">IFERROR(__xludf.DUMMYFUNCTION("""COMPUTED_VALUE"""),FALSE)</f>
        <v>0</v>
      </c>
      <c r="AE235" s="30"/>
      <c r="AF235" s="30" t="b">
        <f ca="1">IFERROR(__xludf.DUMMYFUNCTION("""COMPUTED_VALUE"""),FALSE)</f>
        <v>0</v>
      </c>
      <c r="AG235" s="30"/>
      <c r="AH235" s="30" t="str">
        <f ca="1">IFERROR(__xludf.DUMMYFUNCTION("""COMPUTED_VALUE"""),"Sin costo")</f>
        <v>Sin costo</v>
      </c>
      <c r="AI235" s="30"/>
      <c r="AJ235" s="30"/>
      <c r="AK235" s="30"/>
      <c r="AL235" s="30" t="str">
        <f ca="1">IFERROR(__xludf.DUMMYFUNCTION("""COMPUTED_VALUE"""),"ccardonav@guanajuato.gob.mx")</f>
        <v>ccardonav@guanajuato.gob.mx</v>
      </c>
      <c r="AM235" s="30" t="str">
        <f ca="1">IFERROR(__xludf.DUMMYFUNCTION("""COMPUTED_VALUE"""),"Arraigo y empoderamiento cultural de comunidades.")</f>
        <v>Arraigo y empoderamiento cultural de comunidades.</v>
      </c>
      <c r="AN235" s="30" t="str">
        <f ca="1">IFERROR(__xludf.DUMMYFUNCTION("""COMPUTED_VALUE"""),"2 Igualdad")</f>
        <v>2 Igualdad</v>
      </c>
      <c r="AO235" s="30" t="str">
        <f ca="1">IFERROR(__xludf.DUMMYFUNCTION("""COMPUTED_VALUE"""),"2.4 Reducir brechas de desigualdad")</f>
        <v>2.4 Reducir brechas de desigualdad</v>
      </c>
      <c r="AP235" s="30" t="str">
        <f ca="1">IFERROR(__xludf.DUMMYFUNCTION("""COMPUTED_VALUE"""),"2.4.3 Descentralización de la oferta cultural")</f>
        <v>2.4.3 Descentralización de la oferta cultural</v>
      </c>
      <c r="AQ235" s="30" t="str">
        <f ca="1">IFERROR(__xludf.DUMMYFUNCTION("""COMPUTED_VALUE"""),"2.4.3.1 Impulsar el desarrollo artístico y cultural entre infancias y juventudes")</f>
        <v>2.4.3.1 Impulsar el desarrollo artístico y cultural entre infancias y juventudes</v>
      </c>
      <c r="AR235" s="30" t="str">
        <f ca="1">IFERROR(__xludf.DUMMYFUNCTION("""COMPUTED_VALUE"""),"Ninguno")</f>
        <v>Ninguno</v>
      </c>
      <c r="AS235" s="30"/>
      <c r="AT235" s="30" t="str">
        <f ca="1">IFERROR(__xludf.DUMMYFUNCTION("""COMPUTED_VALUE"""),"Fortalecimiento de la participación ciudadana y la mediación cultural")</f>
        <v>Fortalecimiento de la participación ciudadana y la mediación cultural</v>
      </c>
      <c r="AU235" s="30" t="str">
        <f ca="1">IFERROR(__xludf.DUMMYFUNCTION("""COMPUTED_VALUE"""),"Fortalecimiento del diálogo, la mediación y las capacidades de las redes comunitarias.")</f>
        <v>Fortalecimiento del diálogo, la mediación y las capacidades de las redes comunitarias.</v>
      </c>
      <c r="AV23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35" s="30" t="str">
        <f ca="1">IFERROR(__xludf.DUMMYFUNCTION("""COMPUTED_VALUE"""),"Incrementar en 25% la oferta cultural realizada en los municipios.")</f>
        <v>Incrementar en 25% la oferta cultural realizada en los municipios.</v>
      </c>
      <c r="AX235" s="30" t="str">
        <f ca="1">IFERROR(__xludf.DUMMYFUNCTION("""COMPUTED_VALUE"""),"Visitas escolares")</f>
        <v>Visitas escolares</v>
      </c>
      <c r="AY235" s="30" t="str">
        <f ca="1">IFERROR(__xludf.DUMMYFUNCTION("""COMPUTED_VALUE"""),"Mediación")</f>
        <v>Mediación</v>
      </c>
      <c r="AZ235" s="30"/>
      <c r="BA235" s="30"/>
      <c r="BB235" s="30"/>
      <c r="BC235" s="30">
        <f ca="1">IFERROR(__xludf.DUMMYFUNCTION("""COMPUTED_VALUE"""),0)</f>
        <v>0</v>
      </c>
      <c r="BD235" s="30"/>
      <c r="BE235" s="30"/>
      <c r="BF235" s="30" t="b">
        <f ca="1">IFERROR(__xludf.DUMMYFUNCTION("""COMPUTED_VALUE"""),FALSE)</f>
        <v>0</v>
      </c>
      <c r="BG235" s="30"/>
      <c r="BH235" s="30"/>
      <c r="BI235" s="30"/>
      <c r="BJ235" s="30"/>
      <c r="BK235" s="30"/>
      <c r="BL235" s="30"/>
      <c r="BM235" s="30" t="str">
        <f ca="1">IFERROR(__xludf.DUMMYFUNCTION("""COMPUTED_VALUE"""),"No")</f>
        <v>No</v>
      </c>
      <c r="BN235" s="30"/>
      <c r="BO235" s="30" t="str">
        <f ca="1">IFERROR(__xludf.DUMMYFUNCTION("""COMPUTED_VALUE"""),"8922953a")</f>
        <v>8922953a</v>
      </c>
      <c r="BP235" s="29" t="str">
        <f ca="1">IFERROR(__xludf.DUMMYFUNCTION("""COMPUTED_VALUE"""),"León")</f>
        <v>León</v>
      </c>
      <c r="BQ235" s="30" t="str">
        <f ca="1">IFERROR(__xludf.DUMMYFUNCTION("""COMPUTED_VALUE"""),"Urbano")</f>
        <v>Urbano</v>
      </c>
      <c r="BR235" s="30"/>
      <c r="BS235" s="30"/>
      <c r="BT235" s="30" t="str">
        <f ca="1">IFERROR(__xludf.DUMMYFUNCTION("""COMPUTED_VALUE"""),"La Martinica")</f>
        <v>La Martinica</v>
      </c>
      <c r="BU235" s="30" t="str">
        <f ca="1">IFERROR(__xludf.DUMMYFUNCTION("""COMPUTED_VALUE"""),"No")</f>
        <v>No</v>
      </c>
      <c r="BV235" s="30" t="str">
        <f ca="1">IFERROR(__xludf.DUMMYFUNCTION("""COMPUTED_VALUE"""),"No")</f>
        <v>No</v>
      </c>
      <c r="BW235" s="30">
        <f ca="1">IFERROR(__xludf.DUMMYFUNCTION("""COMPUTED_VALUE"""),9)</f>
        <v>9</v>
      </c>
      <c r="BX235" s="30"/>
      <c r="BY235" s="30">
        <f ca="1">IFERROR(__xludf.DUMMYFUNCTION("""COMPUTED_VALUE"""),9)</f>
        <v>9</v>
      </c>
      <c r="BZ235" s="30" t="str">
        <f ca="1">IFERROR(__xludf.DUMMYFUNCTION("""COMPUTED_VALUE"""),"La Martinica")</f>
        <v>La Martinica</v>
      </c>
      <c r="CA235" s="30" t="str">
        <f ca="1">IFERROR(__xludf.DUMMYFUNCTION("""COMPUTED_VALUE"""),"No")</f>
        <v>No</v>
      </c>
      <c r="CB235" s="30" t="str">
        <f ca="1">IFERROR(__xludf.DUMMYFUNCTION("""COMPUTED_VALUE"""),"No")</f>
        <v>No</v>
      </c>
      <c r="CC235" s="30" t="str">
        <f ca="1">IFERROR(__xludf.DUMMYFUNCTION("""COMPUTED_VALUE"""),"eae3931d")</f>
        <v>eae3931d</v>
      </c>
      <c r="CD235" s="29" t="str">
        <f ca="1">IFERROR(__xludf.DUMMYFUNCTION("""COMPUTED_VALUE"""),"Adultos (30 a 59 años)")</f>
        <v>Adultos (30 a 59 años)</v>
      </c>
      <c r="CE235" s="30" t="str">
        <f ca="1">IFERROR(__xludf.DUMMYFUNCTION("""COMPUTED_VALUE"""),"Dato global")</f>
        <v>Dato global</v>
      </c>
      <c r="CF235" s="30" t="str">
        <f ca="1">IFERROR(__xludf.DUMMYFUNCTION("""COMPUTED_VALUE"""),"Ninguno (Población General)")</f>
        <v>Ninguno (Población General)</v>
      </c>
      <c r="CG235" s="30">
        <f ca="1">IFERROR(__xludf.DUMMYFUNCTION("""COMPUTED_VALUE"""),2)</f>
        <v>2</v>
      </c>
      <c r="CI235" s="30" t="str">
        <f ca="1">IFERROR(__xludf.DUMMYFUNCTION("""COMPUTED_VALUE"""),"59079f49")</f>
        <v>59079f49</v>
      </c>
      <c r="CJ235" s="29" t="str">
        <f ca="1">IFERROR(__xludf.DUMMYFUNCTION("""COMPUTED_VALUE"""),"Regitro_Evidencia_Images/59079f49.Archivo_Evidencia.223316.jpg")</f>
        <v>Regitro_Evidencia_Images/59079f49.Archivo_Evidencia.223316.jpg</v>
      </c>
      <c r="CK235" s="30" t="str">
        <f ca="1">IFERROR(__xludf.DUMMYFUNCTION("""COMPUTED_VALUE"""),"Foto")</f>
        <v>Foto</v>
      </c>
      <c r="CL235" s="30"/>
      <c r="CM235" s="30" t="str">
        <f ca="1">IFERROR(__xludf.DUMMYFUNCTION("""COMPUTED_VALUE"""),"Silao de la Victoria")</f>
        <v>Silao de la Victoria</v>
      </c>
      <c r="CN235" s="32" t="e">
        <f ca="1"/>
        <v>#NAME?</v>
      </c>
      <c r="CO235" s="32" t="e">
        <f ca="1"/>
        <v>#NAME?</v>
      </c>
      <c r="CP235" s="32" t="e">
        <f ca="1"/>
        <v>#NAME?</v>
      </c>
      <c r="CQ235" s="32" t="e">
        <f ca="1"/>
        <v>#NAME?</v>
      </c>
      <c r="CR235" s="30" t="e">
        <f ca="1"/>
        <v>#NAME?</v>
      </c>
      <c r="CS235" s="30" t="str">
        <f ca="1">IFERROR(__xludf.DUMMYFUNCTION("""COMPUTED_VALUE"""),"Ninguno (Población General), Población afromexicana, Ninguno (Población General), Ninguno (Población General)")</f>
        <v>Ninguno (Población General), Población afromexicana, Ninguno (Población General), Ninguno (Población General)</v>
      </c>
    </row>
    <row r="236" spans="1:97" ht="13">
      <c r="A236" s="29" t="str">
        <f ca="1">IFERROR(__xludf.DUMMYFUNCTION("""COMPUTED_VALUE"""),"ACT-SCOG95384")</f>
        <v>ACT-SCOG95384</v>
      </c>
      <c r="B236" s="30" t="str">
        <f ca="1">IFERROR(__xludf.DUMMYFUNCTION("""COMPUTED_VALUE"""),"SC-260713-163319")</f>
        <v>SC-260713-163319</v>
      </c>
      <c r="C236" s="62">
        <f ca="1">IFERROR(__xludf.DUMMYFUNCTION("""COMPUTED_VALUE"""),46216.6898032407)</f>
        <v>46216.689803240697</v>
      </c>
      <c r="D236" s="30">
        <f ca="1">IFERROR(__xludf.DUMMYFUNCTION("""COMPUTED_VALUE"""),92)</f>
        <v>92</v>
      </c>
      <c r="E236" s="30" t="str">
        <f ca="1">IFERROR(__xludf.DUMMYFUNCTION("""COMPUTED_VALUE"""),"PB3572")</f>
        <v>PB3572</v>
      </c>
      <c r="F23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6" s="30" t="str">
        <f ca="1">IFERROR(__xludf.DUMMYFUNCTION("""COMPUTED_VALUE"""),"SUBSECRETARÍA DE DESARROLLO Y PROMOCIÓN ARTÍSTICA Y CULTURAL")</f>
        <v>SUBSECRETARÍA DE DESARROLLO Y PROMOCIÓN ARTÍSTICA Y CULTURAL</v>
      </c>
      <c r="I236" s="34" t="str">
        <f ca="1">IFERROR(__xludf.DUMMYFUNCTION("""COMPUTED_VALUE"""),"DIRECCIÓN GENERAL DE MUSEOS, ARTES VISUALES Y EXPOSICIONES")</f>
        <v>DIRECCIÓN GENERAL DE MUSEOS, ARTES VISUALES Y EXPOSICIONES</v>
      </c>
      <c r="J236" s="30" t="str">
        <f ca="1">IFERROR(__xludf.DUMMYFUNCTION("""COMPUTED_VALUE"""),"Número de Actividades realizadas")</f>
        <v>Número de Actividades realizadas</v>
      </c>
      <c r="K236" s="30">
        <f ca="1">IFERROR(__xludf.DUMMYFUNCTION("""COMPUTED_VALUE"""),800)</f>
        <v>800</v>
      </c>
      <c r="L236" s="30" t="str">
        <f ca="1">IFERROR(__xludf.DUMMYFUNCTION("""COMPUTED_VALUE"""),"Cultural")</f>
        <v>Cultural</v>
      </c>
      <c r="M236" s="30" t="str">
        <f ca="1">IFERROR(__xludf.DUMMYFUNCTION("""COMPUTED_VALUE"""),"Visita ""CENTRO FOX""")</f>
        <v>Visita "CENTRO FOX"</v>
      </c>
      <c r="N236" s="30" t="str">
        <f ca="1">IFERROR(__xludf.DUMMYFUNCTION("""COMPUTED_VALUE"""),"Visita Mediada")</f>
        <v>Visita Mediada</v>
      </c>
      <c r="O236" s="30" t="str">
        <f ca="1">IFERROR(__xludf.DUMMYFUNCTION("""COMPUTED_VALUE"""),"Única")</f>
        <v>Única</v>
      </c>
      <c r="P236" s="33">
        <f ca="1">IFERROR(__xludf.DUMMYFUNCTION("""COMPUTED_VALUE"""),46212)</f>
        <v>46212</v>
      </c>
      <c r="Q236" s="33">
        <f ca="1">IFERROR(__xludf.DUMMYFUNCTION("""COMPUTED_VALUE"""),46212)</f>
        <v>46212</v>
      </c>
      <c r="R236" s="30">
        <f ca="1">IFERROR(__xludf.DUMMYFUNCTION("""COMPUTED_VALUE"""),1)</f>
        <v>1</v>
      </c>
      <c r="S236" s="30" t="str">
        <f ca="1">IFERROR(__xludf.DUMMYFUNCTION("""COMPUTED_VALUE"""),"Cultura comunitaria")</f>
        <v>Cultura comunitaria</v>
      </c>
      <c r="T236" s="30" t="str">
        <f ca="1">IFERROR(__xludf.DUMMYFUNCTION("""COMPUTED_VALUE"""),"Mediación cultural")</f>
        <v>Mediación cultural</v>
      </c>
      <c r="U236" s="30" t="str">
        <f ca="1">IFERROR(__xludf.DUMMYFUNCTION("""COMPUTED_VALUE"""),"Visitas guiadas")</f>
        <v>Visitas guiadas</v>
      </c>
      <c r="V236" s="30" t="str">
        <f ca="1">IFERROR(__xludf.DUMMYFUNCTION("""COMPUTED_VALUE"""),"Ninguna")</f>
        <v>Ninguna</v>
      </c>
      <c r="W236" s="30" t="str">
        <f ca="1">IFERROR(__xludf.DUMMYFUNCTION("""COMPUTED_VALUE"""),"Presencial")</f>
        <v>Presencial</v>
      </c>
      <c r="X236" s="30" t="str">
        <f ca="1">IFERROR(__xludf.DUMMYFUNCTION("""COMPUTED_VALUE"""),"Espacio a Cargo de la Secretaría")</f>
        <v>Espacio a Cargo de la Secretaría</v>
      </c>
      <c r="Y236" s="30" t="str">
        <f ca="1">IFERROR(__xludf.DUMMYFUNCTION("""COMPUTED_VALUE"""),"Museo de Arte e Historia de Guanajuato, sala Feliciano Peña")</f>
        <v>Museo de Arte e Historia de Guanajuato, sala Feliciano Peña</v>
      </c>
      <c r="Z236" s="30"/>
      <c r="AA236" s="30"/>
      <c r="AB236" s="30" t="b">
        <f ca="1">IFERROR(__xludf.DUMMYFUNCTION("""COMPUTED_VALUE"""),FALSE)</f>
        <v>0</v>
      </c>
      <c r="AC236" s="30"/>
      <c r="AD236" s="30" t="b">
        <f ca="1">IFERROR(__xludf.DUMMYFUNCTION("""COMPUTED_VALUE"""),FALSE)</f>
        <v>0</v>
      </c>
      <c r="AE236" s="30"/>
      <c r="AF236" s="30" t="b">
        <f ca="1">IFERROR(__xludf.DUMMYFUNCTION("""COMPUTED_VALUE"""),FALSE)</f>
        <v>0</v>
      </c>
      <c r="AG236" s="30"/>
      <c r="AH236" s="30" t="str">
        <f ca="1">IFERROR(__xludf.DUMMYFUNCTION("""COMPUTED_VALUE"""),"Sin costo")</f>
        <v>Sin costo</v>
      </c>
      <c r="AI236" s="30"/>
      <c r="AJ236" s="30"/>
      <c r="AK236" s="30"/>
      <c r="AL236" s="30" t="str">
        <f ca="1">IFERROR(__xludf.DUMMYFUNCTION("""COMPUTED_VALUE"""),"ccardonav@guanajuato.gob.mx")</f>
        <v>ccardonav@guanajuato.gob.mx</v>
      </c>
      <c r="AM236" s="30" t="str">
        <f ca="1">IFERROR(__xludf.DUMMYFUNCTION("""COMPUTED_VALUE"""),"Arraigo y empoderamiento cultural de comunidades.")</f>
        <v>Arraigo y empoderamiento cultural de comunidades.</v>
      </c>
      <c r="AN236" s="30" t="str">
        <f ca="1">IFERROR(__xludf.DUMMYFUNCTION("""COMPUTED_VALUE"""),"2 Igualdad")</f>
        <v>2 Igualdad</v>
      </c>
      <c r="AO236" s="30" t="str">
        <f ca="1">IFERROR(__xludf.DUMMYFUNCTION("""COMPUTED_VALUE"""),"2.4 Reducir brechas de desigualdad")</f>
        <v>2.4 Reducir brechas de desigualdad</v>
      </c>
      <c r="AP236" s="30" t="str">
        <f ca="1">IFERROR(__xludf.DUMMYFUNCTION("""COMPUTED_VALUE"""),"2.4.3 Descentralización de la oferta cultural")</f>
        <v>2.4.3 Descentralización de la oferta cultural</v>
      </c>
      <c r="AQ236" s="30" t="str">
        <f ca="1">IFERROR(__xludf.DUMMYFUNCTION("""COMPUTED_VALUE"""),"2.4.3.1 Impulsar el desarrollo artístico y cultural entre infancias y juventudes")</f>
        <v>2.4.3.1 Impulsar el desarrollo artístico y cultural entre infancias y juventudes</v>
      </c>
      <c r="AR236" s="30" t="str">
        <f ca="1">IFERROR(__xludf.DUMMYFUNCTION("""COMPUTED_VALUE"""),"Ninguno")</f>
        <v>Ninguno</v>
      </c>
      <c r="AS236" s="30"/>
      <c r="AT236" s="30" t="str">
        <f ca="1">IFERROR(__xludf.DUMMYFUNCTION("""COMPUTED_VALUE"""),"Fortalecimiento de la participación ciudadana y la mediación cultural")</f>
        <v>Fortalecimiento de la participación ciudadana y la mediación cultural</v>
      </c>
      <c r="AU236" s="30" t="str">
        <f ca="1">IFERROR(__xludf.DUMMYFUNCTION("""COMPUTED_VALUE"""),"Fortalecimiento del diálogo, la mediación y las capacidades de las redes comunitarias.")</f>
        <v>Fortalecimiento del diálogo, la mediación y las capacidades de las redes comunitarias.</v>
      </c>
      <c r="AV23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36" s="30" t="str">
        <f ca="1">IFERROR(__xludf.DUMMYFUNCTION("""COMPUTED_VALUE"""),"Incrementar en 25% la oferta cultural realizada en los municipios.")</f>
        <v>Incrementar en 25% la oferta cultural realizada en los municipios.</v>
      </c>
      <c r="AX236" s="30" t="str">
        <f ca="1">IFERROR(__xludf.DUMMYFUNCTION("""COMPUTED_VALUE"""),"Visitas guiadas")</f>
        <v>Visitas guiadas</v>
      </c>
      <c r="AY236" s="30" t="str">
        <f ca="1">IFERROR(__xludf.DUMMYFUNCTION("""COMPUTED_VALUE"""),"Mediación")</f>
        <v>Mediación</v>
      </c>
      <c r="AZ236" s="30"/>
      <c r="BA236" s="30"/>
      <c r="BB236" s="30"/>
      <c r="BC236" s="30">
        <f ca="1">IFERROR(__xludf.DUMMYFUNCTION("""COMPUTED_VALUE"""),0)</f>
        <v>0</v>
      </c>
      <c r="BD236" s="30"/>
      <c r="BE236" s="30"/>
      <c r="BF236" s="30" t="b">
        <f ca="1">IFERROR(__xludf.DUMMYFUNCTION("""COMPUTED_VALUE"""),FALSE)</f>
        <v>0</v>
      </c>
      <c r="BG236" s="30"/>
      <c r="BH236" s="30"/>
      <c r="BI236" s="30"/>
      <c r="BJ236" s="30"/>
      <c r="BK236" s="30"/>
      <c r="BL236" s="30"/>
      <c r="BM236" s="30" t="str">
        <f ca="1">IFERROR(__xludf.DUMMYFUNCTION("""COMPUTED_VALUE"""),"No")</f>
        <v>No</v>
      </c>
      <c r="BN236" s="30"/>
      <c r="BO236" s="30" t="str">
        <f ca="1">IFERROR(__xludf.DUMMYFUNCTION("""COMPUTED_VALUE"""),"c1ef70c5")</f>
        <v>c1ef70c5</v>
      </c>
      <c r="BP236" s="29" t="str">
        <f ca="1">IFERROR(__xludf.DUMMYFUNCTION("""COMPUTED_VALUE"""),"León")</f>
        <v>León</v>
      </c>
      <c r="BQ236" s="30" t="str">
        <f ca="1">IFERROR(__xludf.DUMMYFUNCTION("""COMPUTED_VALUE"""),"Urbano")</f>
        <v>Urbano</v>
      </c>
      <c r="BR236" s="30"/>
      <c r="BS236" s="30"/>
      <c r="BT236" s="30" t="str">
        <f ca="1">IFERROR(__xludf.DUMMYFUNCTION("""COMPUTED_VALUE"""),"La Martinica")</f>
        <v>La Martinica</v>
      </c>
      <c r="BU236" s="30" t="str">
        <f ca="1">IFERROR(__xludf.DUMMYFUNCTION("""COMPUTED_VALUE"""),"No")</f>
        <v>No</v>
      </c>
      <c r="BV236" s="30" t="str">
        <f ca="1">IFERROR(__xludf.DUMMYFUNCTION("""COMPUTED_VALUE"""),"No")</f>
        <v>No</v>
      </c>
      <c r="BW236" s="30">
        <f ca="1">IFERROR(__xludf.DUMMYFUNCTION("""COMPUTED_VALUE"""),26)</f>
        <v>26</v>
      </c>
      <c r="BX236" s="30"/>
      <c r="BY236" s="30">
        <f ca="1">IFERROR(__xludf.DUMMYFUNCTION("""COMPUTED_VALUE"""),26)</f>
        <v>26</v>
      </c>
      <c r="BZ236" s="30" t="str">
        <f ca="1">IFERROR(__xludf.DUMMYFUNCTION("""COMPUTED_VALUE"""),"La Martinica")</f>
        <v>La Martinica</v>
      </c>
      <c r="CA236" s="30" t="str">
        <f ca="1">IFERROR(__xludf.DUMMYFUNCTION("""COMPUTED_VALUE"""),"No")</f>
        <v>No</v>
      </c>
      <c r="CB236" s="30" t="str">
        <f ca="1">IFERROR(__xludf.DUMMYFUNCTION("""COMPUTED_VALUE"""),"No")</f>
        <v>No</v>
      </c>
      <c r="CC236" s="30" t="str">
        <f ca="1">IFERROR(__xludf.DUMMYFUNCTION("""COMPUTED_VALUE"""),"89e1b874")</f>
        <v>89e1b874</v>
      </c>
      <c r="CD236" s="29" t="str">
        <f ca="1">IFERROR(__xludf.DUMMYFUNCTION("""COMPUTED_VALUE"""),"Jóvenes (18 a 29 años)")</f>
        <v>Jóvenes (18 a 29 años)</v>
      </c>
      <c r="CE236" s="30" t="str">
        <f ca="1">IFERROR(__xludf.DUMMYFUNCTION("""COMPUTED_VALUE"""),"Dato global")</f>
        <v>Dato global</v>
      </c>
      <c r="CF236" s="30" t="str">
        <f ca="1">IFERROR(__xludf.DUMMYFUNCTION("""COMPUTED_VALUE"""),"Ninguno (Población General)")</f>
        <v>Ninguno (Población General)</v>
      </c>
      <c r="CG236" s="30">
        <f ca="1">IFERROR(__xludf.DUMMYFUNCTION("""COMPUTED_VALUE"""),101)</f>
        <v>101</v>
      </c>
      <c r="CI236" s="30" t="str">
        <f ca="1">IFERROR(__xludf.DUMMYFUNCTION("""COMPUTED_VALUE"""),"ac67d6c6")</f>
        <v>ac67d6c6</v>
      </c>
      <c r="CJ236" s="29" t="str">
        <f ca="1">IFERROR(__xludf.DUMMYFUNCTION("""COMPUTED_VALUE"""),"Regitro_Evidencia_Images/ac67d6c6.Archivo_Evidencia.182206.jpg")</f>
        <v>Regitro_Evidencia_Images/ac67d6c6.Archivo_Evidencia.182206.jpg</v>
      </c>
      <c r="CK236" s="30" t="str">
        <f ca="1">IFERROR(__xludf.DUMMYFUNCTION("""COMPUTED_VALUE"""),"Foto")</f>
        <v>Foto</v>
      </c>
      <c r="CL236" s="30"/>
      <c r="CM236" s="30" t="str">
        <f ca="1">IFERROR(__xludf.DUMMYFUNCTION("""COMPUTED_VALUE"""),"Purísima del Rincón")</f>
        <v>Purísima del Rincón</v>
      </c>
      <c r="CN236" s="32" t="e">
        <f ca="1"/>
        <v>#NAME?</v>
      </c>
      <c r="CO236" s="32" t="e">
        <f ca="1"/>
        <v>#NAME?</v>
      </c>
      <c r="CP236" s="32" t="e">
        <f ca="1"/>
        <v>#NAME?</v>
      </c>
      <c r="CQ236" s="32" t="e">
        <f ca="1"/>
        <v>#NAME?</v>
      </c>
      <c r="CR236" s="30" t="e">
        <f ca="1"/>
        <v>#NAME?</v>
      </c>
      <c r="CS236" s="30" t="str">
        <f ca="1">IFERROR(__xludf.DUMMYFUNCTION("""COMPUTED_VALUE"""),"Mujeres en situación de vulnerabilidad, Mujeres en situación de vulnerabilidad, Mujeres en situación de vulnerabilidad, Mujeres en situación de vulnerabilidad, Mujeres en situación de vulnerabilidad")</f>
        <v>Mujeres en situación de vulnerabilidad, Mujeres en situación de vulnerabilidad, Mujeres en situación de vulnerabilidad, Mujeres en situación de vulnerabilidad, Mujeres en situación de vulnerabilidad</v>
      </c>
    </row>
    <row r="237" spans="1:97" ht="13">
      <c r="A237" s="29" t="str">
        <f ca="1">IFERROR(__xludf.DUMMYFUNCTION("""COMPUTED_VALUE"""),"ACT-SCHN23680")</f>
        <v>ACT-SCHN23680</v>
      </c>
      <c r="B237" s="30" t="str">
        <f ca="1">IFERROR(__xludf.DUMMYFUNCTION("""COMPUTED_VALUE"""),"SC-260714-160706")</f>
        <v>SC-260714-160706</v>
      </c>
      <c r="C237" s="62">
        <f ca="1">IFERROR(__xludf.DUMMYFUNCTION("""COMPUTED_VALUE"""),46217.6715972222)</f>
        <v>46217.671597222201</v>
      </c>
      <c r="D237" s="30">
        <f ca="1">IFERROR(__xludf.DUMMYFUNCTION("""COMPUTED_VALUE"""),92)</f>
        <v>92</v>
      </c>
      <c r="E237" s="30" t="str">
        <f ca="1">IFERROR(__xludf.DUMMYFUNCTION("""COMPUTED_VALUE"""),"PB3572")</f>
        <v>PB3572</v>
      </c>
      <c r="F23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7" s="30" t="str">
        <f ca="1">IFERROR(__xludf.DUMMYFUNCTION("""COMPUTED_VALUE"""),"SUBSECRETARÍA DE DESARROLLO Y PROMOCIÓN ARTÍSTICA Y CULTURAL")</f>
        <v>SUBSECRETARÍA DE DESARROLLO Y PROMOCIÓN ARTÍSTICA Y CULTURAL</v>
      </c>
      <c r="I237" s="34" t="str">
        <f ca="1">IFERROR(__xludf.DUMMYFUNCTION("""COMPUTED_VALUE"""),"DIRECCIÓN GENERAL DE MUSEOS, ARTES VISUALES Y EXPOSICIONES")</f>
        <v>DIRECCIÓN GENERAL DE MUSEOS, ARTES VISUALES Y EXPOSICIONES</v>
      </c>
      <c r="J237" s="30" t="str">
        <f ca="1">IFERROR(__xludf.DUMMYFUNCTION("""COMPUTED_VALUE"""),"Número de Actividades realizadas")</f>
        <v>Número de Actividades realizadas</v>
      </c>
      <c r="K237" s="30">
        <f ca="1">IFERROR(__xludf.DUMMYFUNCTION("""COMPUTED_VALUE"""),800)</f>
        <v>800</v>
      </c>
      <c r="L237" s="30" t="str">
        <f ca="1">IFERROR(__xludf.DUMMYFUNCTION("""COMPUTED_VALUE"""),"Cultural")</f>
        <v>Cultural</v>
      </c>
      <c r="M237" s="30" t="str">
        <f ca="1">IFERROR(__xludf.DUMMYFUNCTION("""COMPUTED_VALUE"""),"Visita guiada libre.")</f>
        <v>Visita guiada libre.</v>
      </c>
      <c r="N237" s="30" t="str">
        <f ca="1">IFERROR(__xludf.DUMMYFUNCTION("""COMPUTED_VALUE"""),"Visita mediada")</f>
        <v>Visita mediada</v>
      </c>
      <c r="O237" s="30" t="str">
        <f ca="1">IFERROR(__xludf.DUMMYFUNCTION("""COMPUTED_VALUE"""),"Única")</f>
        <v>Única</v>
      </c>
      <c r="P237" s="33">
        <f ca="1">IFERROR(__xludf.DUMMYFUNCTION("""COMPUTED_VALUE"""),46212)</f>
        <v>46212</v>
      </c>
      <c r="Q237" s="33">
        <f ca="1">IFERROR(__xludf.DUMMYFUNCTION("""COMPUTED_VALUE"""),46212)</f>
        <v>46212</v>
      </c>
      <c r="R237" s="30">
        <f ca="1">IFERROR(__xludf.DUMMYFUNCTION("""COMPUTED_VALUE"""),1)</f>
        <v>1</v>
      </c>
      <c r="S237" s="30" t="str">
        <f ca="1">IFERROR(__xludf.DUMMYFUNCTION("""COMPUTED_VALUE"""),"Cultura comunitaria")</f>
        <v>Cultura comunitaria</v>
      </c>
      <c r="T237" s="30" t="str">
        <f ca="1">IFERROR(__xludf.DUMMYFUNCTION("""COMPUTED_VALUE"""),"Mediación cultural")</f>
        <v>Mediación cultural</v>
      </c>
      <c r="U237" s="30" t="str">
        <f ca="1">IFERROR(__xludf.DUMMYFUNCTION("""COMPUTED_VALUE"""),"Visitas guiadas")</f>
        <v>Visitas guiadas</v>
      </c>
      <c r="V237" s="30" t="str">
        <f ca="1">IFERROR(__xludf.DUMMYFUNCTION("""COMPUTED_VALUE"""),"Ninguna")</f>
        <v>Ninguna</v>
      </c>
      <c r="W237" s="30" t="str">
        <f ca="1">IFERROR(__xludf.DUMMYFUNCTION("""COMPUTED_VALUE"""),"Presencial")</f>
        <v>Presencial</v>
      </c>
      <c r="X237" s="30" t="str">
        <f ca="1">IFERROR(__xludf.DUMMYFUNCTION("""COMPUTED_VALUE"""),"Espacio a Cargo de la Secretaría")</f>
        <v>Espacio a Cargo de la Secretaría</v>
      </c>
      <c r="Y237" s="30" t="str">
        <f ca="1">IFERROR(__xludf.DUMMYFUNCTION("""COMPUTED_VALUE"""),"Museo de Arte e Historia de Guanajuato, sala Feliciano Peña")</f>
        <v>Museo de Arte e Historia de Guanajuato, sala Feliciano Peña</v>
      </c>
      <c r="Z237" s="30"/>
      <c r="AA237" s="30"/>
      <c r="AB237" s="30" t="b">
        <f ca="1">IFERROR(__xludf.DUMMYFUNCTION("""COMPUTED_VALUE"""),FALSE)</f>
        <v>0</v>
      </c>
      <c r="AC237" s="30"/>
      <c r="AD237" s="30" t="b">
        <f ca="1">IFERROR(__xludf.DUMMYFUNCTION("""COMPUTED_VALUE"""),FALSE)</f>
        <v>0</v>
      </c>
      <c r="AE237" s="30"/>
      <c r="AF237" s="30" t="b">
        <f ca="1">IFERROR(__xludf.DUMMYFUNCTION("""COMPUTED_VALUE"""),FALSE)</f>
        <v>0</v>
      </c>
      <c r="AG237" s="30"/>
      <c r="AH237" s="30" t="str">
        <f ca="1">IFERROR(__xludf.DUMMYFUNCTION("""COMPUTED_VALUE"""),"Sin costo")</f>
        <v>Sin costo</v>
      </c>
      <c r="AI237" s="30"/>
      <c r="AJ237" s="30"/>
      <c r="AK237" s="30"/>
      <c r="AL237" s="30" t="str">
        <f ca="1">IFERROR(__xludf.DUMMYFUNCTION("""COMPUTED_VALUE"""),"ccardonav@guanajuato.gob.mx")</f>
        <v>ccardonav@guanajuato.gob.mx</v>
      </c>
      <c r="AM237" s="30" t="str">
        <f ca="1">IFERROR(__xludf.DUMMYFUNCTION("""COMPUTED_VALUE"""),"Arraigo y empoderamiento cultural de comunidades.")</f>
        <v>Arraigo y empoderamiento cultural de comunidades.</v>
      </c>
      <c r="AN237" s="30" t="str">
        <f ca="1">IFERROR(__xludf.DUMMYFUNCTION("""COMPUTED_VALUE"""),"2 Igualdad")</f>
        <v>2 Igualdad</v>
      </c>
      <c r="AO237" s="30" t="str">
        <f ca="1">IFERROR(__xludf.DUMMYFUNCTION("""COMPUTED_VALUE"""),"2.4 Reducir brechas de desigualdad")</f>
        <v>2.4 Reducir brechas de desigualdad</v>
      </c>
      <c r="AP237" s="30" t="str">
        <f ca="1">IFERROR(__xludf.DUMMYFUNCTION("""COMPUTED_VALUE"""),"2.4.3 Descentralización de la oferta cultural")</f>
        <v>2.4.3 Descentralización de la oferta cultural</v>
      </c>
      <c r="AQ237" s="30" t="str">
        <f ca="1">IFERROR(__xludf.DUMMYFUNCTION("""COMPUTED_VALUE"""),"2.4.3.1 Impulsar el desarrollo artístico y cultural entre infancias y juventudes")</f>
        <v>2.4.3.1 Impulsar el desarrollo artístico y cultural entre infancias y juventudes</v>
      </c>
      <c r="AR237" s="30" t="str">
        <f ca="1">IFERROR(__xludf.DUMMYFUNCTION("""COMPUTED_VALUE"""),"Ninguno")</f>
        <v>Ninguno</v>
      </c>
      <c r="AS237" s="30"/>
      <c r="AT237" s="30" t="str">
        <f ca="1">IFERROR(__xludf.DUMMYFUNCTION("""COMPUTED_VALUE"""),"Fortalecimiento de la participación ciudadana y la mediación cultural")</f>
        <v>Fortalecimiento de la participación ciudadana y la mediación cultural</v>
      </c>
      <c r="AU237" s="30" t="str">
        <f ca="1">IFERROR(__xludf.DUMMYFUNCTION("""COMPUTED_VALUE"""),"Fortalecimiento del diálogo, la mediación y las capacidades de las redes comunitarias.")</f>
        <v>Fortalecimiento del diálogo, la mediación y las capacidades de las redes comunitarias.</v>
      </c>
      <c r="AV23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37" s="30" t="str">
        <f ca="1">IFERROR(__xludf.DUMMYFUNCTION("""COMPUTED_VALUE"""),"Incrementar en 25% la oferta cultural realizada en los municipios.")</f>
        <v>Incrementar en 25% la oferta cultural realizada en los municipios.</v>
      </c>
      <c r="AX237" s="30" t="str">
        <f ca="1">IFERROR(__xludf.DUMMYFUNCTION("""COMPUTED_VALUE"""),"Visitas guiadas")</f>
        <v>Visitas guiadas</v>
      </c>
      <c r="AY237" s="30" t="str">
        <f ca="1">IFERROR(__xludf.DUMMYFUNCTION("""COMPUTED_VALUE"""),"Mediación")</f>
        <v>Mediación</v>
      </c>
      <c r="AZ237" s="30"/>
      <c r="BA237" s="30"/>
      <c r="BB237" s="30"/>
      <c r="BC237" s="30">
        <f ca="1">IFERROR(__xludf.DUMMYFUNCTION("""COMPUTED_VALUE"""),0)</f>
        <v>0</v>
      </c>
      <c r="BD237" s="30"/>
      <c r="BE237" s="30"/>
      <c r="BF237" s="30" t="b">
        <f ca="1">IFERROR(__xludf.DUMMYFUNCTION("""COMPUTED_VALUE"""),FALSE)</f>
        <v>0</v>
      </c>
      <c r="BG237" s="30"/>
      <c r="BH237" s="30"/>
      <c r="BI237" s="30"/>
      <c r="BJ237" s="30"/>
      <c r="BK237" s="30"/>
      <c r="BL237" s="30"/>
      <c r="BM237" s="30" t="str">
        <f ca="1">IFERROR(__xludf.DUMMYFUNCTION("""COMPUTED_VALUE"""),"No")</f>
        <v>No</v>
      </c>
      <c r="BN237" s="30"/>
      <c r="BO237" s="30" t="str">
        <f ca="1">IFERROR(__xludf.DUMMYFUNCTION("""COMPUTED_VALUE"""),"c30a8f3f")</f>
        <v>c30a8f3f</v>
      </c>
      <c r="BP237" s="29" t="str">
        <f ca="1">IFERROR(__xludf.DUMMYFUNCTION("""COMPUTED_VALUE"""),"Silao de la Victoria")</f>
        <v>Silao de la Victoria</v>
      </c>
      <c r="BQ237" s="30" t="str">
        <f ca="1">IFERROR(__xludf.DUMMYFUNCTION("""COMPUTED_VALUE"""),"Urbano")</f>
        <v>Urbano</v>
      </c>
      <c r="BR237" s="30">
        <f ca="1">IFERROR(__xludf.DUMMYFUNCTION("""COMPUTED_VALUE"""),215)</f>
        <v>215</v>
      </c>
      <c r="BS237" s="30" t="str">
        <f ca="1">IFERROR(__xludf.DUMMYFUNCTION("""COMPUTED_VALUE"""),"Silao")</f>
        <v>Silao</v>
      </c>
      <c r="BT237" s="30"/>
      <c r="BU237" s="30" t="str">
        <f ca="1">IFERROR(__xludf.DUMMYFUNCTION("""COMPUTED_VALUE"""),"Si")</f>
        <v>Si</v>
      </c>
      <c r="BV237" s="30" t="str">
        <f ca="1">IFERROR(__xludf.DUMMYFUNCTION("""COMPUTED_VALUE"""),"Si")</f>
        <v>Si</v>
      </c>
      <c r="BW237" s="30">
        <f ca="1">IFERROR(__xludf.DUMMYFUNCTION("""COMPUTED_VALUE"""),11)</f>
        <v>11</v>
      </c>
      <c r="BX237" s="30">
        <f ca="1">IFERROR(__xludf.DUMMYFUNCTION("""COMPUTED_VALUE"""),11)</f>
        <v>11</v>
      </c>
      <c r="BY237" s="30">
        <f ca="1">IFERROR(__xludf.DUMMYFUNCTION("""COMPUTED_VALUE"""),0)</f>
        <v>0</v>
      </c>
      <c r="BZ237" s="30" t="str">
        <f ca="1">IFERROR(__xludf.DUMMYFUNCTION("""COMPUTED_VALUE"""),"Silao")</f>
        <v>Silao</v>
      </c>
      <c r="CA237" s="30" t="str">
        <f ca="1">IFERROR(__xludf.DUMMYFUNCTION("""COMPUTED_VALUE"""),"No")</f>
        <v>No</v>
      </c>
      <c r="CB237" s="30" t="str">
        <f ca="1">IFERROR(__xludf.DUMMYFUNCTION("""COMPUTED_VALUE"""),"No")</f>
        <v>No</v>
      </c>
      <c r="CC237" s="30" t="str">
        <f ca="1">IFERROR(__xludf.DUMMYFUNCTION("""COMPUTED_VALUE"""),"c77f66ab")</f>
        <v>c77f66ab</v>
      </c>
      <c r="CD237" s="29" t="str">
        <f ca="1">IFERROR(__xludf.DUMMYFUNCTION("""COMPUTED_VALUE"""),"Adultos (30 a 59 años)")</f>
        <v>Adultos (30 a 59 años)</v>
      </c>
      <c r="CE237" s="30" t="str">
        <f ca="1">IFERROR(__xludf.DUMMYFUNCTION("""COMPUTED_VALUE"""),"Dato global")</f>
        <v>Dato global</v>
      </c>
      <c r="CF237" s="30" t="str">
        <f ca="1">IFERROR(__xludf.DUMMYFUNCTION("""COMPUTED_VALUE"""),"Ninguno (Población General)")</f>
        <v>Ninguno (Población General)</v>
      </c>
      <c r="CG237" s="30">
        <f ca="1">IFERROR(__xludf.DUMMYFUNCTION("""COMPUTED_VALUE"""),4)</f>
        <v>4</v>
      </c>
      <c r="CI237" s="30" t="str">
        <f ca="1">IFERROR(__xludf.DUMMYFUNCTION("""COMPUTED_VALUE"""),"f54ee49b")</f>
        <v>f54ee49b</v>
      </c>
      <c r="CJ237" s="29" t="str">
        <f ca="1">IFERROR(__xludf.DUMMYFUNCTION("""COMPUTED_VALUE"""),"Regitro_Evidencia_Files_/f54ee49b.Archivo_Evidencia.192140.pdf")</f>
        <v>Regitro_Evidencia_Files_/f54ee49b.Archivo_Evidencia.192140.pdf</v>
      </c>
      <c r="CK237" s="30" t="str">
        <f ca="1">IFERROR(__xludf.DUMMYFUNCTION("""COMPUTED_VALUE"""),"PDF")</f>
        <v>PDF</v>
      </c>
      <c r="CL237" s="30" t="str">
        <f ca="1">IFERROR(__xludf.DUMMYFUNCTION("""COMPUTED_VALUE"""),"Reporte de evidencias de la actividad al concluir.")</f>
        <v>Reporte de evidencias de la actividad al concluir.</v>
      </c>
      <c r="CM237" s="30" t="str">
        <f ca="1">IFERROR(__xludf.DUMMYFUNCTION("""COMPUTED_VALUE"""),"Purísima del Rincón")</f>
        <v>Purísima del Rincón</v>
      </c>
      <c r="CN237" s="32" t="e">
        <f ca="1"/>
        <v>#NAME?</v>
      </c>
      <c r="CO237" s="32" t="e">
        <f ca="1"/>
        <v>#NAME?</v>
      </c>
      <c r="CP237" s="32" t="e">
        <f ca="1"/>
        <v>#NAME?</v>
      </c>
      <c r="CQ237" s="32" t="e">
        <f ca="1"/>
        <v>#NAME?</v>
      </c>
      <c r="CR237" s="30" t="e">
        <f ca="1"/>
        <v>#NAME?</v>
      </c>
      <c r="CS237" s="30" t="str">
        <f ca="1">IFERROR(__xludf.DUMMYFUNCTION("""COMPUTED_VALUE"""),"Jóvenes en riesgo, Jóvenes en riesgo, Ninguno (Población General)")</f>
        <v>Jóvenes en riesgo, Jóvenes en riesgo, Ninguno (Población General)</v>
      </c>
    </row>
    <row r="238" spans="1:97" ht="13">
      <c r="A238" s="29" t="str">
        <f ca="1">IFERROR(__xludf.DUMMYFUNCTION("""COMPUTED_VALUE"""),"ACT-SCND30007")</f>
        <v>ACT-SCND30007</v>
      </c>
      <c r="B238" s="30" t="str">
        <f ca="1">IFERROR(__xludf.DUMMYFUNCTION("""COMPUTED_VALUE"""),"SC-260716-142515")</f>
        <v>SC-260716-142515</v>
      </c>
      <c r="C238" s="62">
        <f ca="1">IFERROR(__xludf.DUMMYFUNCTION("""COMPUTED_VALUE"""),46219.6008680555)</f>
        <v>46219.600868055502</v>
      </c>
      <c r="D238" s="30">
        <f ca="1">IFERROR(__xludf.DUMMYFUNCTION("""COMPUTED_VALUE"""),92)</f>
        <v>92</v>
      </c>
      <c r="E238" s="30" t="str">
        <f ca="1">IFERROR(__xludf.DUMMYFUNCTION("""COMPUTED_VALUE"""),"PB3572")</f>
        <v>PB3572</v>
      </c>
      <c r="F23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8" s="30" t="str">
        <f ca="1">IFERROR(__xludf.DUMMYFUNCTION("""COMPUTED_VALUE"""),"SUBSECRETARÍA DE DESARROLLO Y PROMOCIÓN ARTÍSTICA Y CULTURAL")</f>
        <v>SUBSECRETARÍA DE DESARROLLO Y PROMOCIÓN ARTÍSTICA Y CULTURAL</v>
      </c>
      <c r="I238" s="34" t="str">
        <f ca="1">IFERROR(__xludf.DUMMYFUNCTION("""COMPUTED_VALUE"""),"DIRECCIÓN GENERAL DE MUSEOS, ARTES VISUALES Y EXPOSICIONES")</f>
        <v>DIRECCIÓN GENERAL DE MUSEOS, ARTES VISUALES Y EXPOSICIONES</v>
      </c>
      <c r="J238" s="30" t="str">
        <f ca="1">IFERROR(__xludf.DUMMYFUNCTION("""COMPUTED_VALUE"""),"Número de Actividades realizadas")</f>
        <v>Número de Actividades realizadas</v>
      </c>
      <c r="K238" s="30">
        <f ca="1">IFERROR(__xludf.DUMMYFUNCTION("""COMPUTED_VALUE"""),800)</f>
        <v>800</v>
      </c>
      <c r="L238" s="30" t="str">
        <f ca="1">IFERROR(__xludf.DUMMYFUNCTION("""COMPUTED_VALUE"""),"Cultural")</f>
        <v>Cultural</v>
      </c>
      <c r="M238" s="30" t="str">
        <f ca="1">IFERROR(__xludf.DUMMYFUNCTION("""COMPUTED_VALUE"""),"Visita guiada libre")</f>
        <v>Visita guiada libre</v>
      </c>
      <c r="N238" s="30" t="str">
        <f ca="1">IFERROR(__xludf.DUMMYFUNCTION("""COMPUTED_VALUE"""),"Visita mediada")</f>
        <v>Visita mediada</v>
      </c>
      <c r="O238" s="30" t="str">
        <f ca="1">IFERROR(__xludf.DUMMYFUNCTION("""COMPUTED_VALUE"""),"Única")</f>
        <v>Única</v>
      </c>
      <c r="P238" s="33">
        <f ca="1">IFERROR(__xludf.DUMMYFUNCTION("""COMPUTED_VALUE"""),46212)</f>
        <v>46212</v>
      </c>
      <c r="Q238" s="33">
        <f ca="1">IFERROR(__xludf.DUMMYFUNCTION("""COMPUTED_VALUE"""),46212)</f>
        <v>46212</v>
      </c>
      <c r="R238" s="30">
        <f ca="1">IFERROR(__xludf.DUMMYFUNCTION("""COMPUTED_VALUE"""),1)</f>
        <v>1</v>
      </c>
      <c r="S238" s="30" t="str">
        <f ca="1">IFERROR(__xludf.DUMMYFUNCTION("""COMPUTED_VALUE"""),"Cultura comunitaria")</f>
        <v>Cultura comunitaria</v>
      </c>
      <c r="T238" s="30" t="str">
        <f ca="1">IFERROR(__xludf.DUMMYFUNCTION("""COMPUTED_VALUE"""),"Mediación cultural")</f>
        <v>Mediación cultural</v>
      </c>
      <c r="U238" s="30" t="str">
        <f ca="1">IFERROR(__xludf.DUMMYFUNCTION("""COMPUTED_VALUE"""),"Visitas guiadas")</f>
        <v>Visitas guiadas</v>
      </c>
      <c r="V238" s="30" t="str">
        <f ca="1">IFERROR(__xludf.DUMMYFUNCTION("""COMPUTED_VALUE"""),"Ninguna")</f>
        <v>Ninguna</v>
      </c>
      <c r="W238" s="30" t="str">
        <f ca="1">IFERROR(__xludf.DUMMYFUNCTION("""COMPUTED_VALUE"""),"Presencial")</f>
        <v>Presencial</v>
      </c>
      <c r="X238" s="30" t="str">
        <f ca="1">IFERROR(__xludf.DUMMYFUNCTION("""COMPUTED_VALUE"""),"Espacio a Cargo de la Secretaría")</f>
        <v>Espacio a Cargo de la Secretaría</v>
      </c>
      <c r="Y238" s="30" t="str">
        <f ca="1">IFERROR(__xludf.DUMMYFUNCTION("""COMPUTED_VALUE"""),"Museo de Arte e Historia de Guanajuato, sala Feliciano Peña")</f>
        <v>Museo de Arte e Historia de Guanajuato, sala Feliciano Peña</v>
      </c>
      <c r="Z238" s="30"/>
      <c r="AA238" s="30"/>
      <c r="AB238" s="30" t="b">
        <f ca="1">IFERROR(__xludf.DUMMYFUNCTION("""COMPUTED_VALUE"""),FALSE)</f>
        <v>0</v>
      </c>
      <c r="AC238" s="30"/>
      <c r="AD238" s="30" t="b">
        <f ca="1">IFERROR(__xludf.DUMMYFUNCTION("""COMPUTED_VALUE"""),FALSE)</f>
        <v>0</v>
      </c>
      <c r="AE238" s="30"/>
      <c r="AF238" s="30" t="b">
        <f ca="1">IFERROR(__xludf.DUMMYFUNCTION("""COMPUTED_VALUE"""),FALSE)</f>
        <v>0</v>
      </c>
      <c r="AG238" s="30"/>
      <c r="AH238" s="30" t="str">
        <f ca="1">IFERROR(__xludf.DUMMYFUNCTION("""COMPUTED_VALUE"""),"Sin costo")</f>
        <v>Sin costo</v>
      </c>
      <c r="AI238" s="30"/>
      <c r="AJ238" s="30"/>
      <c r="AK238" s="30"/>
      <c r="AL238" s="30" t="str">
        <f ca="1">IFERROR(__xludf.DUMMYFUNCTION("""COMPUTED_VALUE"""),"ccardonav@guanajuato.gob.mx")</f>
        <v>ccardonav@guanajuato.gob.mx</v>
      </c>
      <c r="AM238" s="30" t="str">
        <f ca="1">IFERROR(__xludf.DUMMYFUNCTION("""COMPUTED_VALUE"""),"Arraigo y empoderamiento cultural de comunidades.")</f>
        <v>Arraigo y empoderamiento cultural de comunidades.</v>
      </c>
      <c r="AN238" s="30" t="str">
        <f ca="1">IFERROR(__xludf.DUMMYFUNCTION("""COMPUTED_VALUE"""),"2 Igualdad")</f>
        <v>2 Igualdad</v>
      </c>
      <c r="AO238" s="30" t="str">
        <f ca="1">IFERROR(__xludf.DUMMYFUNCTION("""COMPUTED_VALUE"""),"2.4 Reducir brechas de desigualdad")</f>
        <v>2.4 Reducir brechas de desigualdad</v>
      </c>
      <c r="AP238" s="30" t="str">
        <f ca="1">IFERROR(__xludf.DUMMYFUNCTION("""COMPUTED_VALUE"""),"2.4.3 Descentralización de la oferta cultural")</f>
        <v>2.4.3 Descentralización de la oferta cultural</v>
      </c>
      <c r="AQ238" s="30" t="str">
        <f ca="1">IFERROR(__xludf.DUMMYFUNCTION("""COMPUTED_VALUE"""),"2.4.3.1 Impulsar el desarrollo artístico y cultural entre infancias y juventudes")</f>
        <v>2.4.3.1 Impulsar el desarrollo artístico y cultural entre infancias y juventudes</v>
      </c>
      <c r="AR238" s="30" t="str">
        <f ca="1">IFERROR(__xludf.DUMMYFUNCTION("""COMPUTED_VALUE"""),"Ninguno")</f>
        <v>Ninguno</v>
      </c>
      <c r="AS238" s="30"/>
      <c r="AT238" s="30" t="str">
        <f ca="1">IFERROR(__xludf.DUMMYFUNCTION("""COMPUTED_VALUE"""),"Fortalecimiento de la participación ciudadana y la mediación cultural")</f>
        <v>Fortalecimiento de la participación ciudadana y la mediación cultural</v>
      </c>
      <c r="AU238" s="30" t="str">
        <f ca="1">IFERROR(__xludf.DUMMYFUNCTION("""COMPUTED_VALUE"""),"Fortalecimiento del diálogo, la mediación y las capacidades de las redes comunitarias.")</f>
        <v>Fortalecimiento del diálogo, la mediación y las capacidades de las redes comunitarias.</v>
      </c>
      <c r="AV23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38" s="30" t="str">
        <f ca="1">IFERROR(__xludf.DUMMYFUNCTION("""COMPUTED_VALUE"""),"Incrementar en 25% la oferta cultural realizada en los municipios.")</f>
        <v>Incrementar en 25% la oferta cultural realizada en los municipios.</v>
      </c>
      <c r="AX238" s="30" t="str">
        <f ca="1">IFERROR(__xludf.DUMMYFUNCTION("""COMPUTED_VALUE"""),"Visitas guiadas")</f>
        <v>Visitas guiadas</v>
      </c>
      <c r="AY238" s="30" t="str">
        <f ca="1">IFERROR(__xludf.DUMMYFUNCTION("""COMPUTED_VALUE"""),"Mediación")</f>
        <v>Mediación</v>
      </c>
      <c r="AZ238" s="30"/>
      <c r="BA238" s="30"/>
      <c r="BB238" s="30"/>
      <c r="BC238" s="30">
        <f ca="1">IFERROR(__xludf.DUMMYFUNCTION("""COMPUTED_VALUE"""),0)</f>
        <v>0</v>
      </c>
      <c r="BD238" s="30"/>
      <c r="BE238" s="30"/>
      <c r="BF238" s="30" t="b">
        <f ca="1">IFERROR(__xludf.DUMMYFUNCTION("""COMPUTED_VALUE"""),FALSE)</f>
        <v>0</v>
      </c>
      <c r="BG238" s="30"/>
      <c r="BH238" s="30"/>
      <c r="BI238" s="30"/>
      <c r="BJ238" s="30"/>
      <c r="BK238" s="30"/>
      <c r="BL238" s="30"/>
      <c r="BM238" s="30" t="str">
        <f ca="1">IFERROR(__xludf.DUMMYFUNCTION("""COMPUTED_VALUE"""),"No")</f>
        <v>No</v>
      </c>
      <c r="BN238" s="30"/>
      <c r="BO238" s="30" t="str">
        <f ca="1">IFERROR(__xludf.DUMMYFUNCTION("""COMPUTED_VALUE"""),"a4b3c1b4")</f>
        <v>a4b3c1b4</v>
      </c>
      <c r="BP238" s="29" t="str">
        <f ca="1">IFERROR(__xludf.DUMMYFUNCTION("""COMPUTED_VALUE"""),"Purísima del Rincón")</f>
        <v>Purísima del Rincón</v>
      </c>
      <c r="BQ238" s="30" t="str">
        <f ca="1">IFERROR(__xludf.DUMMYFUNCTION("""COMPUTED_VALUE"""),"Periurbano")</f>
        <v>Periurbano</v>
      </c>
      <c r="BR238" s="30">
        <f ca="1">IFERROR(__xludf.DUMMYFUNCTION("""COMPUTED_VALUE"""),171)</f>
        <v>171</v>
      </c>
      <c r="BS238" s="30" t="str">
        <f ca="1">IFERROR(__xludf.DUMMYFUNCTION("""COMPUTED_VALUE"""),"Purísima")</f>
        <v>Purísima</v>
      </c>
      <c r="BT238" s="30"/>
      <c r="BU238" s="30" t="str">
        <f ca="1">IFERROR(__xludf.DUMMYFUNCTION("""COMPUTED_VALUE"""),"Si")</f>
        <v>Si</v>
      </c>
      <c r="BV238" s="30" t="str">
        <f ca="1">IFERROR(__xludf.DUMMYFUNCTION("""COMPUTED_VALUE"""),"No")</f>
        <v>No</v>
      </c>
      <c r="BW238" s="30">
        <f ca="1">IFERROR(__xludf.DUMMYFUNCTION("""COMPUTED_VALUE"""),66)</f>
        <v>66</v>
      </c>
      <c r="BX238" s="30">
        <f ca="1">IFERROR(__xludf.DUMMYFUNCTION("""COMPUTED_VALUE"""),66)</f>
        <v>66</v>
      </c>
      <c r="BY238" s="30">
        <f ca="1">IFERROR(__xludf.DUMMYFUNCTION("""COMPUTED_VALUE"""),0)</f>
        <v>0</v>
      </c>
      <c r="BZ238" s="30" t="str">
        <f ca="1">IFERROR(__xludf.DUMMYFUNCTION("""COMPUTED_VALUE"""),"Purísima")</f>
        <v>Purísima</v>
      </c>
      <c r="CA238" s="30" t="str">
        <f ca="1">IFERROR(__xludf.DUMMYFUNCTION("""COMPUTED_VALUE"""),"No")</f>
        <v>No</v>
      </c>
      <c r="CB238" s="30" t="str">
        <f ca="1">IFERROR(__xludf.DUMMYFUNCTION("""COMPUTED_VALUE"""),"No")</f>
        <v>No</v>
      </c>
      <c r="CC238" s="30" t="str">
        <f ca="1">IFERROR(__xludf.DUMMYFUNCTION("""COMPUTED_VALUE"""),"d19358bd")</f>
        <v>d19358bd</v>
      </c>
      <c r="CD238" s="29" t="str">
        <f ca="1">IFERROR(__xludf.DUMMYFUNCTION("""COMPUTED_VALUE"""),"Adultos (30 a 59 años)")</f>
        <v>Adultos (30 a 59 años)</v>
      </c>
      <c r="CE238" s="30" t="str">
        <f ca="1">IFERROR(__xludf.DUMMYFUNCTION("""COMPUTED_VALUE"""),"Dato global")</f>
        <v>Dato global</v>
      </c>
      <c r="CF238" s="30" t="str">
        <f ca="1">IFERROR(__xludf.DUMMYFUNCTION("""COMPUTED_VALUE"""),"Ninguno (Población General)")</f>
        <v>Ninguno (Población General)</v>
      </c>
      <c r="CG238" s="30">
        <f ca="1">IFERROR(__xludf.DUMMYFUNCTION("""COMPUTED_VALUE"""),23)</f>
        <v>23</v>
      </c>
      <c r="CI238" s="30" t="str">
        <f ca="1">IFERROR(__xludf.DUMMYFUNCTION("""COMPUTED_VALUE"""),"8d869550")</f>
        <v>8d869550</v>
      </c>
      <c r="CJ238" s="29" t="str">
        <f ca="1">IFERROR(__xludf.DUMMYFUNCTION("""COMPUTED_VALUE"""),"Regitro_Evidencia_Images/8d869550.Archivo_Evidencia.205623.jpg")</f>
        <v>Regitro_Evidencia_Images/8d869550.Archivo_Evidencia.205623.jpg</v>
      </c>
      <c r="CK238" s="30" t="str">
        <f ca="1">IFERROR(__xludf.DUMMYFUNCTION("""COMPUTED_VALUE"""),"Foto")</f>
        <v>Foto</v>
      </c>
      <c r="CL238" s="30"/>
      <c r="CM238" s="30" t="str">
        <f ca="1">IFERROR(__xludf.DUMMYFUNCTION("""COMPUTED_VALUE"""),"Purísima del Rincón")</f>
        <v>Purísima del Rincón</v>
      </c>
      <c r="CN238" s="32" t="e">
        <f ca="1"/>
        <v>#NAME?</v>
      </c>
      <c r="CO238" s="32" t="e">
        <f ca="1"/>
        <v>#NAME?</v>
      </c>
      <c r="CP238" s="32" t="e">
        <f ca="1"/>
        <v>#NAME?</v>
      </c>
      <c r="CQ238" s="32" t="e">
        <f ca="1"/>
        <v>#NAME?</v>
      </c>
      <c r="CR238" s="30" t="e">
        <f ca="1"/>
        <v>#NAME?</v>
      </c>
      <c r="CS238" s="30" t="str">
        <f ca="1">IFERROR(__xludf.DUMMYFUNCTION("""COMPUTED_VALUE"""),"Ninguno (Población General)")</f>
        <v>Ninguno (Población General)</v>
      </c>
    </row>
    <row r="239" spans="1:97" ht="13">
      <c r="A239" s="29" t="str">
        <f ca="1">IFERROR(__xludf.DUMMYFUNCTION("""COMPUTED_VALUE"""),"ACT-SCUF33401")</f>
        <v>ACT-SCUF33401</v>
      </c>
      <c r="B239" s="30" t="str">
        <f ca="1">IFERROR(__xludf.DUMMYFUNCTION("""COMPUTED_VALUE"""),"SC-260716-153509")</f>
        <v>SC-260716-153509</v>
      </c>
      <c r="C239" s="62">
        <f ca="1">IFERROR(__xludf.DUMMYFUNCTION("""COMPUTED_VALUE"""),46219.6494097222)</f>
        <v>46219.649409722202</v>
      </c>
      <c r="D239" s="30">
        <f ca="1">IFERROR(__xludf.DUMMYFUNCTION("""COMPUTED_VALUE"""),92)</f>
        <v>92</v>
      </c>
      <c r="E239" s="30" t="str">
        <f ca="1">IFERROR(__xludf.DUMMYFUNCTION("""COMPUTED_VALUE"""),"PB3572")</f>
        <v>PB3572</v>
      </c>
      <c r="F23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3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39" s="30" t="str">
        <f ca="1">IFERROR(__xludf.DUMMYFUNCTION("""COMPUTED_VALUE"""),"SUBSECRETARÍA DE DESARROLLO Y PROMOCIÓN ARTÍSTICA Y CULTURAL")</f>
        <v>SUBSECRETARÍA DE DESARROLLO Y PROMOCIÓN ARTÍSTICA Y CULTURAL</v>
      </c>
      <c r="I239" s="34" t="str">
        <f ca="1">IFERROR(__xludf.DUMMYFUNCTION("""COMPUTED_VALUE"""),"DIRECCIÓN GENERAL DE MUSEOS, ARTES VISUALES Y EXPOSICIONES")</f>
        <v>DIRECCIÓN GENERAL DE MUSEOS, ARTES VISUALES Y EXPOSICIONES</v>
      </c>
      <c r="J239" s="30" t="str">
        <f ca="1">IFERROR(__xludf.DUMMYFUNCTION("""COMPUTED_VALUE"""),"Número de Actividades realizadas")</f>
        <v>Número de Actividades realizadas</v>
      </c>
      <c r="K239" s="30">
        <f ca="1">IFERROR(__xludf.DUMMYFUNCTION("""COMPUTED_VALUE"""),800)</f>
        <v>800</v>
      </c>
      <c r="L239" s="30" t="str">
        <f ca="1">IFERROR(__xludf.DUMMYFUNCTION("""COMPUTED_VALUE"""),"Cultural")</f>
        <v>Cultural</v>
      </c>
      <c r="M239" s="30" t="str">
        <f ca="1">IFERROR(__xludf.DUMMYFUNCTION("""COMPUTED_VALUE"""),"Visita ""Universidad UPN""")</f>
        <v>Visita "Universidad UPN"</v>
      </c>
      <c r="N239" s="30" t="str">
        <f ca="1">IFERROR(__xludf.DUMMYFUNCTION("""COMPUTED_VALUE"""),"Visita Mediada")</f>
        <v>Visita Mediada</v>
      </c>
      <c r="O239" s="30" t="str">
        <f ca="1">IFERROR(__xludf.DUMMYFUNCTION("""COMPUTED_VALUE"""),"Única")</f>
        <v>Única</v>
      </c>
      <c r="P239" s="33">
        <f ca="1">IFERROR(__xludf.DUMMYFUNCTION("""COMPUTED_VALUE"""),46212)</f>
        <v>46212</v>
      </c>
      <c r="Q239" s="33">
        <f ca="1">IFERROR(__xludf.DUMMYFUNCTION("""COMPUTED_VALUE"""),46212)</f>
        <v>46212</v>
      </c>
      <c r="R239" s="30">
        <f ca="1">IFERROR(__xludf.DUMMYFUNCTION("""COMPUTED_VALUE"""),1)</f>
        <v>1</v>
      </c>
      <c r="S239" s="30" t="str">
        <f ca="1">IFERROR(__xludf.DUMMYFUNCTION("""COMPUTED_VALUE"""),"Cultura comunitaria")</f>
        <v>Cultura comunitaria</v>
      </c>
      <c r="T239" s="30" t="str">
        <f ca="1">IFERROR(__xludf.DUMMYFUNCTION("""COMPUTED_VALUE"""),"Mediación cultural")</f>
        <v>Mediación cultural</v>
      </c>
      <c r="U239" s="30" t="str">
        <f ca="1">IFERROR(__xludf.DUMMYFUNCTION("""COMPUTED_VALUE"""),"Visitas escolares")</f>
        <v>Visitas escolares</v>
      </c>
      <c r="V239" s="30" t="str">
        <f ca="1">IFERROR(__xludf.DUMMYFUNCTION("""COMPUTED_VALUE"""),"Ninguna")</f>
        <v>Ninguna</v>
      </c>
      <c r="W239" s="30" t="str">
        <f ca="1">IFERROR(__xludf.DUMMYFUNCTION("""COMPUTED_VALUE"""),"Presencial")</f>
        <v>Presencial</v>
      </c>
      <c r="X239" s="30" t="str">
        <f ca="1">IFERROR(__xludf.DUMMYFUNCTION("""COMPUTED_VALUE"""),"Espacio a Cargo de la Secretaría")</f>
        <v>Espacio a Cargo de la Secretaría</v>
      </c>
      <c r="Y239" s="30" t="str">
        <f ca="1">IFERROR(__xludf.DUMMYFUNCTION("""COMPUTED_VALUE"""),"Museo de Arte e Historia de Guanajuato, sala Feliciano Peña")</f>
        <v>Museo de Arte e Historia de Guanajuato, sala Feliciano Peña</v>
      </c>
      <c r="Z239" s="30"/>
      <c r="AA239" s="30"/>
      <c r="AB239" s="30" t="b">
        <f ca="1">IFERROR(__xludf.DUMMYFUNCTION("""COMPUTED_VALUE"""),FALSE)</f>
        <v>0</v>
      </c>
      <c r="AC239" s="30"/>
      <c r="AD239" s="30" t="b">
        <f ca="1">IFERROR(__xludf.DUMMYFUNCTION("""COMPUTED_VALUE"""),FALSE)</f>
        <v>0</v>
      </c>
      <c r="AE239" s="30"/>
      <c r="AF239" s="30" t="b">
        <f ca="1">IFERROR(__xludf.DUMMYFUNCTION("""COMPUTED_VALUE"""),FALSE)</f>
        <v>0</v>
      </c>
      <c r="AG239" s="30"/>
      <c r="AH239" s="30" t="str">
        <f ca="1">IFERROR(__xludf.DUMMYFUNCTION("""COMPUTED_VALUE"""),"Sin costo")</f>
        <v>Sin costo</v>
      </c>
      <c r="AI239" s="30"/>
      <c r="AJ239" s="30"/>
      <c r="AK239" s="30"/>
      <c r="AL239" s="30" t="str">
        <f ca="1">IFERROR(__xludf.DUMMYFUNCTION("""COMPUTED_VALUE"""),"ccardonav@guanajuato.gob.mx")</f>
        <v>ccardonav@guanajuato.gob.mx</v>
      </c>
      <c r="AM239" s="30" t="str">
        <f ca="1">IFERROR(__xludf.DUMMYFUNCTION("""COMPUTED_VALUE"""),"Arraigo y empoderamiento cultural de comunidades.")</f>
        <v>Arraigo y empoderamiento cultural de comunidades.</v>
      </c>
      <c r="AN239" s="30" t="str">
        <f ca="1">IFERROR(__xludf.DUMMYFUNCTION("""COMPUTED_VALUE"""),"2 Igualdad")</f>
        <v>2 Igualdad</v>
      </c>
      <c r="AO239" s="30" t="str">
        <f ca="1">IFERROR(__xludf.DUMMYFUNCTION("""COMPUTED_VALUE"""),"2.4 Reducir brechas de desigualdad")</f>
        <v>2.4 Reducir brechas de desigualdad</v>
      </c>
      <c r="AP239" s="30" t="str">
        <f ca="1">IFERROR(__xludf.DUMMYFUNCTION("""COMPUTED_VALUE"""),"2.4.3 Descentralización de la oferta cultural")</f>
        <v>2.4.3 Descentralización de la oferta cultural</v>
      </c>
      <c r="AQ239" s="30" t="str">
        <f ca="1">IFERROR(__xludf.DUMMYFUNCTION("""COMPUTED_VALUE"""),"2.4.3.1 Impulsar el desarrollo artístico y cultural entre infancias y juventudes")</f>
        <v>2.4.3.1 Impulsar el desarrollo artístico y cultural entre infancias y juventudes</v>
      </c>
      <c r="AR239" s="30" t="str">
        <f ca="1">IFERROR(__xludf.DUMMYFUNCTION("""COMPUTED_VALUE"""),"Ninguno")</f>
        <v>Ninguno</v>
      </c>
      <c r="AS239" s="30"/>
      <c r="AT239" s="30" t="str">
        <f ca="1">IFERROR(__xludf.DUMMYFUNCTION("""COMPUTED_VALUE"""),"Fortalecimiento de la participación ciudadana y la mediación cultural")</f>
        <v>Fortalecimiento de la participación ciudadana y la mediación cultural</v>
      </c>
      <c r="AU239" s="30" t="str">
        <f ca="1">IFERROR(__xludf.DUMMYFUNCTION("""COMPUTED_VALUE"""),"Fortalecimiento del diálogo, la mediación y las capacidades de las redes comunitarias.")</f>
        <v>Fortalecimiento del diálogo, la mediación y las capacidades de las redes comunitarias.</v>
      </c>
      <c r="AV23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39" s="30" t="str">
        <f ca="1">IFERROR(__xludf.DUMMYFUNCTION("""COMPUTED_VALUE"""),"Incrementar en 25% la oferta cultural realizada en los municipios.")</f>
        <v>Incrementar en 25% la oferta cultural realizada en los municipios.</v>
      </c>
      <c r="AX239" s="30" t="str">
        <f ca="1">IFERROR(__xludf.DUMMYFUNCTION("""COMPUTED_VALUE"""),"Visitas escolares")</f>
        <v>Visitas escolares</v>
      </c>
      <c r="AY239" s="30" t="str">
        <f ca="1">IFERROR(__xludf.DUMMYFUNCTION("""COMPUTED_VALUE"""),"Mediación")</f>
        <v>Mediación</v>
      </c>
      <c r="AZ239" s="30"/>
      <c r="BA239" s="30"/>
      <c r="BB239" s="30"/>
      <c r="BC239" s="30">
        <f ca="1">IFERROR(__xludf.DUMMYFUNCTION("""COMPUTED_VALUE"""),0)</f>
        <v>0</v>
      </c>
      <c r="BD239" s="30"/>
      <c r="BE239" s="30"/>
      <c r="BF239" s="30" t="b">
        <f ca="1">IFERROR(__xludf.DUMMYFUNCTION("""COMPUTED_VALUE"""),FALSE)</f>
        <v>0</v>
      </c>
      <c r="BG239" s="30"/>
      <c r="BH239" s="30"/>
      <c r="BI239" s="30"/>
      <c r="BJ239" s="30"/>
      <c r="BK239" s="30"/>
      <c r="BL239" s="30"/>
      <c r="BM239" s="30" t="str">
        <f ca="1">IFERROR(__xludf.DUMMYFUNCTION("""COMPUTED_VALUE"""),"No")</f>
        <v>No</v>
      </c>
      <c r="BN239" s="30"/>
      <c r="BO239" s="30" t="str">
        <f ca="1">IFERROR(__xludf.DUMMYFUNCTION("""COMPUTED_VALUE"""),"545cec37")</f>
        <v>545cec37</v>
      </c>
      <c r="BP239" s="29" t="str">
        <f ca="1">IFERROR(__xludf.DUMMYFUNCTION("""COMPUTED_VALUE"""),"Purísima del Rincón")</f>
        <v>Purísima del Rincón</v>
      </c>
      <c r="BQ239" s="30" t="str">
        <f ca="1">IFERROR(__xludf.DUMMYFUNCTION("""COMPUTED_VALUE"""),"Periurbano")</f>
        <v>Periurbano</v>
      </c>
      <c r="BR239" s="30">
        <f ca="1">IFERROR(__xludf.DUMMYFUNCTION("""COMPUTED_VALUE"""),171)</f>
        <v>171</v>
      </c>
      <c r="BS239" s="30" t="str">
        <f ca="1">IFERROR(__xludf.DUMMYFUNCTION("""COMPUTED_VALUE"""),"Purísima")</f>
        <v>Purísima</v>
      </c>
      <c r="BT239" s="30"/>
      <c r="BU239" s="30" t="str">
        <f ca="1">IFERROR(__xludf.DUMMYFUNCTION("""COMPUTED_VALUE"""),"Si")</f>
        <v>Si</v>
      </c>
      <c r="BV239" s="30" t="str">
        <f ca="1">IFERROR(__xludf.DUMMYFUNCTION("""COMPUTED_VALUE"""),"No")</f>
        <v>No</v>
      </c>
      <c r="BW239" s="30">
        <f ca="1">IFERROR(__xludf.DUMMYFUNCTION("""COMPUTED_VALUE"""),38)</f>
        <v>38</v>
      </c>
      <c r="BX239" s="30">
        <f ca="1">IFERROR(__xludf.DUMMYFUNCTION("""COMPUTED_VALUE"""),38)</f>
        <v>38</v>
      </c>
      <c r="BY239" s="30">
        <f ca="1">IFERROR(__xludf.DUMMYFUNCTION("""COMPUTED_VALUE"""),0)</f>
        <v>0</v>
      </c>
      <c r="BZ239" s="30" t="str">
        <f ca="1">IFERROR(__xludf.DUMMYFUNCTION("""COMPUTED_VALUE"""),"Purísima")</f>
        <v>Purísima</v>
      </c>
      <c r="CA239" s="30" t="str">
        <f ca="1">IFERROR(__xludf.DUMMYFUNCTION("""COMPUTED_VALUE"""),"No")</f>
        <v>No</v>
      </c>
      <c r="CB239" s="30" t="str">
        <f ca="1">IFERROR(__xludf.DUMMYFUNCTION("""COMPUTED_VALUE"""),"No")</f>
        <v>No</v>
      </c>
      <c r="CC239" s="30" t="str">
        <f ca="1">IFERROR(__xludf.DUMMYFUNCTION("""COMPUTED_VALUE"""),"b3448ada")</f>
        <v>b3448ada</v>
      </c>
      <c r="CD239" s="29" t="str">
        <f ca="1">IFERROR(__xludf.DUMMYFUNCTION("""COMPUTED_VALUE"""),"Adultos Mayores (60 años o más)")</f>
        <v>Adultos Mayores (60 años o más)</v>
      </c>
      <c r="CE239" s="30" t="str">
        <f ca="1">IFERROR(__xludf.DUMMYFUNCTION("""COMPUTED_VALUE"""),"Dato global")</f>
        <v>Dato global</v>
      </c>
      <c r="CF239" s="30" t="str">
        <f ca="1">IFERROR(__xludf.DUMMYFUNCTION("""COMPUTED_VALUE"""),"Ninguno (Población General)")</f>
        <v>Ninguno (Población General)</v>
      </c>
      <c r="CG239" s="30">
        <f ca="1">IFERROR(__xludf.DUMMYFUNCTION("""COMPUTED_VALUE"""),4)</f>
        <v>4</v>
      </c>
      <c r="CI239" s="30" t="str">
        <f ca="1">IFERROR(__xludf.DUMMYFUNCTION("""COMPUTED_VALUE"""),"a4b1e0a0")</f>
        <v>a4b1e0a0</v>
      </c>
      <c r="CJ239" s="29" t="str">
        <f ca="1">IFERROR(__xludf.DUMMYFUNCTION("""COMPUTED_VALUE"""),"Regitro_Evidencia_Images/a4b1e0a0.Archivo_Evidencia.224947.jpg")</f>
        <v>Regitro_Evidencia_Images/a4b1e0a0.Archivo_Evidencia.224947.jpg</v>
      </c>
      <c r="CK239" s="30" t="str">
        <f ca="1">IFERROR(__xludf.DUMMYFUNCTION("""COMPUTED_VALUE"""),"Foto")</f>
        <v>Foto</v>
      </c>
      <c r="CL239" s="30"/>
      <c r="CM239" s="30" t="str">
        <f ca="1">IFERROR(__xludf.DUMMYFUNCTION("""COMPUTED_VALUE"""),"León")</f>
        <v>León</v>
      </c>
      <c r="CN239" s="32" t="e">
        <f ca="1"/>
        <v>#NAME?</v>
      </c>
      <c r="CO239" s="32" t="e">
        <f ca="1"/>
        <v>#NAME?</v>
      </c>
      <c r="CP239" s="32" t="e">
        <f ca="1"/>
        <v>#NAME?</v>
      </c>
      <c r="CQ239" s="32" t="e">
        <f ca="1"/>
        <v>#NAME?</v>
      </c>
      <c r="CR239" s="30" t="e">
        <f ca="1"/>
        <v>#NAME?</v>
      </c>
      <c r="CS239" s="30" t="str">
        <f ca="1">IFERROR(__xludf.DUMMYFUNCTION("""COMPUTED_VALUE"""),"Ninguno (Población General), Ninguno (Población General)")</f>
        <v>Ninguno (Población General), Ninguno (Población General)</v>
      </c>
    </row>
    <row r="240" spans="1:97" ht="13">
      <c r="A240" s="29" t="str">
        <f ca="1">IFERROR(__xludf.DUMMYFUNCTION("""COMPUTED_VALUE"""),"ACT-SCUY62458")</f>
        <v>ACT-SCUY62458</v>
      </c>
      <c r="B240" s="30" t="str">
        <f ca="1">IFERROR(__xludf.DUMMYFUNCTION("""COMPUTED_VALUE"""),"SC-260716-155356")</f>
        <v>SC-260716-155356</v>
      </c>
      <c r="C240" s="62">
        <f ca="1">IFERROR(__xludf.DUMMYFUNCTION("""COMPUTED_VALUE"""),46219.6624537037)</f>
        <v>46219.662453703699</v>
      </c>
      <c r="D240" s="30">
        <f ca="1">IFERROR(__xludf.DUMMYFUNCTION("""COMPUTED_VALUE"""),94)</f>
        <v>94</v>
      </c>
      <c r="E240" s="30" t="str">
        <f ca="1">IFERROR(__xludf.DUMMYFUNCTION("""COMPUTED_VALUE"""),"PB3572")</f>
        <v>PB3572</v>
      </c>
      <c r="F24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0"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40" s="30" t="str">
        <f ca="1">IFERROR(__xludf.DUMMYFUNCTION("""COMPUTED_VALUE"""),"SUBSECRETARÍA DE DESARROLLO Y PROMOCIÓN ARTÍSTICA Y CULTURAL")</f>
        <v>SUBSECRETARÍA DE DESARROLLO Y PROMOCIÓN ARTÍSTICA Y CULTURAL</v>
      </c>
      <c r="I240" s="34" t="str">
        <f ca="1">IFERROR(__xludf.DUMMYFUNCTION("""COMPUTED_VALUE"""),"DIRECCIÓN GENERAL DE MUSEOS, ARTES VISUALES Y EXPOSICIONES")</f>
        <v>DIRECCIÓN GENERAL DE MUSEOS, ARTES VISUALES Y EXPOSICIONES</v>
      </c>
      <c r="J240" s="30" t="str">
        <f ca="1">IFERROR(__xludf.DUMMYFUNCTION("""COMPUTED_VALUE"""),"Número de Actividades realizadas")</f>
        <v>Número de Actividades realizadas</v>
      </c>
      <c r="K240" s="30">
        <f ca="1">IFERROR(__xludf.DUMMYFUNCTION("""COMPUTED_VALUE"""),12)</f>
        <v>12</v>
      </c>
      <c r="L240" s="30" t="str">
        <f ca="1">IFERROR(__xludf.DUMMYFUNCTION("""COMPUTED_VALUE"""),"Artística")</f>
        <v>Artística</v>
      </c>
      <c r="M240" s="30" t="str">
        <f ca="1">IFERROR(__xludf.DUMMYFUNCTION("""COMPUTED_VALUE"""),"Crearte ""Taller de acuarela""")</f>
        <v>Crearte "Taller de acuarela"</v>
      </c>
      <c r="N240" s="30" t="str">
        <f ca="1">IFERROR(__xludf.DUMMYFUNCTION("""COMPUTED_VALUE"""),"Taller de acuarela")</f>
        <v>Taller de acuarela</v>
      </c>
      <c r="O240" s="30" t="str">
        <f ca="1">IFERROR(__xludf.DUMMYFUNCTION("""COMPUTED_VALUE"""),"Semanal")</f>
        <v>Semanal</v>
      </c>
      <c r="P240" s="33">
        <f ca="1">IFERROR(__xludf.DUMMYFUNCTION("""COMPUTED_VALUE"""),46207)</f>
        <v>46207</v>
      </c>
      <c r="Q240" s="33">
        <f ca="1">IFERROR(__xludf.DUMMYFUNCTION("""COMPUTED_VALUE"""),46221)</f>
        <v>46221</v>
      </c>
      <c r="R240" s="30">
        <f ca="1">IFERROR(__xludf.DUMMYFUNCTION("""COMPUTED_VALUE"""),3)</f>
        <v>3</v>
      </c>
      <c r="S240" s="30" t="str">
        <f ca="1">IFERROR(__xludf.DUMMYFUNCTION("""COMPUTED_VALUE"""),"Cultura comunitaria")</f>
        <v>Cultura comunitaria</v>
      </c>
      <c r="T240" s="30" t="str">
        <f ca="1">IFERROR(__xludf.DUMMYFUNCTION("""COMPUTED_VALUE"""),"Formación comunitaria")</f>
        <v>Formación comunitaria</v>
      </c>
      <c r="U240" s="30" t="str">
        <f ca="1">IFERROR(__xludf.DUMMYFUNCTION("""COMPUTED_VALUE"""),"Taller")</f>
        <v>Taller</v>
      </c>
      <c r="V240" s="30" t="str">
        <f ca="1">IFERROR(__xludf.DUMMYFUNCTION("""COMPUTED_VALUE"""),"Ninguna")</f>
        <v>Ninguna</v>
      </c>
      <c r="W240" s="30" t="str">
        <f ca="1">IFERROR(__xludf.DUMMYFUNCTION("""COMPUTED_VALUE"""),"Presencial")</f>
        <v>Presencial</v>
      </c>
      <c r="X240" s="30" t="str">
        <f ca="1">IFERROR(__xludf.DUMMYFUNCTION("""COMPUTED_VALUE"""),"Espacio a Cargo de la Secretaría")</f>
        <v>Espacio a Cargo de la Secretaría</v>
      </c>
      <c r="Y240" s="30" t="str">
        <f ca="1">IFERROR(__xludf.DUMMYFUNCTION("""COMPUTED_VALUE"""),"Museo José y Tomas Chavez Morado")</f>
        <v>Museo José y Tomas Chavez Morado</v>
      </c>
      <c r="Z240" s="30"/>
      <c r="AA240" s="30"/>
      <c r="AB240" s="30" t="b">
        <f ca="1">IFERROR(__xludf.DUMMYFUNCTION("""COMPUTED_VALUE"""),FALSE)</f>
        <v>0</v>
      </c>
      <c r="AC240" s="30"/>
      <c r="AD240" s="30" t="b">
        <f ca="1">IFERROR(__xludf.DUMMYFUNCTION("""COMPUTED_VALUE"""),FALSE)</f>
        <v>0</v>
      </c>
      <c r="AE240" s="30"/>
      <c r="AF240" s="30" t="b">
        <f ca="1">IFERROR(__xludf.DUMMYFUNCTION("""COMPUTED_VALUE"""),FALSE)</f>
        <v>0</v>
      </c>
      <c r="AG240" s="30"/>
      <c r="AH240" s="30" t="str">
        <f ca="1">IFERROR(__xludf.DUMMYFUNCTION("""COMPUTED_VALUE"""),"Sin costo")</f>
        <v>Sin costo</v>
      </c>
      <c r="AI240" s="30"/>
      <c r="AJ240" s="30"/>
      <c r="AK240" s="30"/>
      <c r="AL240" s="30" t="str">
        <f ca="1">IFERROR(__xludf.DUMMYFUNCTION("""COMPUTED_VALUE"""),"ccardonav@guanajuato.gob.mx")</f>
        <v>ccardonav@guanajuato.gob.mx</v>
      </c>
      <c r="AM240" s="30" t="str">
        <f ca="1">IFERROR(__xludf.DUMMYFUNCTION("""COMPUTED_VALUE"""),"Arraigo y empoderamiento cultural de comunidades.")</f>
        <v>Arraigo y empoderamiento cultural de comunidades.</v>
      </c>
      <c r="AN240" s="30" t="str">
        <f ca="1">IFERROR(__xludf.DUMMYFUNCTION("""COMPUTED_VALUE"""),"1 Tranquilidad")</f>
        <v>1 Tranquilidad</v>
      </c>
      <c r="AO240" s="30" t="str">
        <f ca="1">IFERROR(__xludf.DUMMYFUNCTION("""COMPUTED_VALUE"""),"1.2 Fortalecer prevención del delito")</f>
        <v>1.2 Fortalecer prevención del delito</v>
      </c>
      <c r="AP240" s="30" t="str">
        <f ca="1">IFERROR(__xludf.DUMMYFUNCTION("""COMPUTED_VALUE"""),"1.2.2 Fortalecimiento del tejido social")</f>
        <v>1.2.2 Fortalecimiento del tejido social</v>
      </c>
      <c r="AQ240" s="30" t="str">
        <f ca="1">IFERROR(__xludf.DUMMYFUNCTION("""COMPUTED_VALUE"""),"1.2.3.4 Promover una cultura de paz desde las expresiones artísticas y culturales")</f>
        <v>1.2.3.4 Promover una cultura de paz desde las expresiones artísticas y culturales</v>
      </c>
      <c r="AR240" s="30" t="str">
        <f ca="1">IFERROR(__xludf.DUMMYFUNCTION("""COMPUTED_VALUE"""),"Cooperación")</f>
        <v>Cooperación</v>
      </c>
      <c r="AS240" s="30"/>
      <c r="AT240" s="30" t="str">
        <f ca="1">IFERROR(__xludf.DUMMYFUNCTION("""COMPUTED_VALUE"""),"Sostenibilidad del trabajo cultural y la economía creativa.")</f>
        <v>Sostenibilidad del trabajo cultural y la economía creativa.</v>
      </c>
      <c r="AU240"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240" s="30" t="str">
        <f ca="1">IFERROR(__xludf.DUMMYFUNCTION("""COMPUTED_VALUE"""),"Diseñar programas de formación y gestión cultural de base comunitaria.")</f>
        <v>Diseñar programas de formación y gestión cultural de base comunitaria.</v>
      </c>
      <c r="AW240"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240" s="30" t="str">
        <f ca="1">IFERROR(__xludf.DUMMYFUNCTION("""COMPUTED_VALUE"""),"Taller")</f>
        <v>Taller</v>
      </c>
      <c r="AY240" s="30" t="str">
        <f ca="1">IFERROR(__xludf.DUMMYFUNCTION("""COMPUTED_VALUE"""),"Formación")</f>
        <v>Formación</v>
      </c>
      <c r="AZ240" s="30" t="str">
        <f ca="1">IFERROR(__xludf.DUMMYFUNCTION("""COMPUTED_VALUE"""),"Formación")</f>
        <v>Formación</v>
      </c>
      <c r="BA240" s="30"/>
      <c r="BB240" s="30"/>
      <c r="BC240" s="30">
        <f ca="1">IFERROR(__xludf.DUMMYFUNCTION("""COMPUTED_VALUE"""),0)</f>
        <v>0</v>
      </c>
      <c r="BD240" s="30"/>
      <c r="BE240" s="30"/>
      <c r="BF240" s="30" t="b">
        <f ca="1">IFERROR(__xludf.DUMMYFUNCTION("""COMPUTED_VALUE"""),FALSE)</f>
        <v>0</v>
      </c>
      <c r="BG240" s="30"/>
      <c r="BH240" s="30"/>
      <c r="BI240" s="30"/>
      <c r="BJ240" s="30"/>
      <c r="BK240" s="30"/>
      <c r="BL240" s="30" t="str">
        <f ca="1">IFERROR(__xludf.DUMMYFUNCTION("""COMPUTED_VALUE"""),"Vinculación")</f>
        <v>Vinculación</v>
      </c>
      <c r="BM240" s="30" t="str">
        <f ca="1">IFERROR(__xludf.DUMMYFUNCTION("""COMPUTED_VALUE"""),"Sí")</f>
        <v>Sí</v>
      </c>
      <c r="BN240" s="30" t="str">
        <f ca="1">IFERROR(__xludf.DUMMYFUNCTION("""COMPUTED_VALUE"""),"Acompañamiento Técnico")</f>
        <v>Acompañamiento Técnico</v>
      </c>
      <c r="BO240" s="30" t="str">
        <f ca="1">IFERROR(__xludf.DUMMYFUNCTION("""COMPUTED_VALUE"""),"f1945a01")</f>
        <v>f1945a01</v>
      </c>
      <c r="BP240" s="29" t="str">
        <f ca="1">IFERROR(__xludf.DUMMYFUNCTION("""COMPUTED_VALUE"""),"Purísima del Rincón")</f>
        <v>Purísima del Rincón</v>
      </c>
      <c r="BQ240" s="30" t="str">
        <f ca="1">IFERROR(__xludf.DUMMYFUNCTION("""COMPUTED_VALUE"""),"Periurbano")</f>
        <v>Periurbano</v>
      </c>
      <c r="BR240" s="30">
        <f ca="1">IFERROR(__xludf.DUMMYFUNCTION("""COMPUTED_VALUE"""),171)</f>
        <v>171</v>
      </c>
      <c r="BS240" s="30" t="str">
        <f ca="1">IFERROR(__xludf.DUMMYFUNCTION("""COMPUTED_VALUE"""),"Purísima")</f>
        <v>Purísima</v>
      </c>
      <c r="BT240" s="30"/>
      <c r="BU240" s="30" t="str">
        <f ca="1">IFERROR(__xludf.DUMMYFUNCTION("""COMPUTED_VALUE"""),"Si")</f>
        <v>Si</v>
      </c>
      <c r="BV240" s="30" t="str">
        <f ca="1">IFERROR(__xludf.DUMMYFUNCTION("""COMPUTED_VALUE"""),"No")</f>
        <v>No</v>
      </c>
      <c r="BW240" s="30">
        <f ca="1">IFERROR(__xludf.DUMMYFUNCTION("""COMPUTED_VALUE"""),1)</f>
        <v>1</v>
      </c>
      <c r="BX240" s="30"/>
      <c r="BY240" s="30">
        <f ca="1">IFERROR(__xludf.DUMMYFUNCTION("""COMPUTED_VALUE"""),1)</f>
        <v>1</v>
      </c>
      <c r="BZ240" s="30" t="str">
        <f ca="1">IFERROR(__xludf.DUMMYFUNCTION("""COMPUTED_VALUE"""),"Purísima")</f>
        <v>Purísima</v>
      </c>
      <c r="CA240" s="30" t="str">
        <f ca="1">IFERROR(__xludf.DUMMYFUNCTION("""COMPUTED_VALUE"""),"No")</f>
        <v>No</v>
      </c>
      <c r="CB240" s="30" t="str">
        <f ca="1">IFERROR(__xludf.DUMMYFUNCTION("""COMPUTED_VALUE"""),"No")</f>
        <v>No</v>
      </c>
      <c r="CC240" s="30" t="str">
        <f ca="1">IFERROR(__xludf.DUMMYFUNCTION("""COMPUTED_VALUE"""),"db04afea")</f>
        <v>db04afea</v>
      </c>
      <c r="CD240" s="29" t="str">
        <f ca="1">IFERROR(__xludf.DUMMYFUNCTION("""COMPUTED_VALUE"""),"Niñas y Niños (6 a 12 años)")</f>
        <v>Niñas y Niños (6 a 12 años)</v>
      </c>
      <c r="CE240" s="30" t="str">
        <f ca="1">IFERROR(__xludf.DUMMYFUNCTION("""COMPUTED_VALUE"""),"Dato global")</f>
        <v>Dato global</v>
      </c>
      <c r="CF240" s="30" t="str">
        <f ca="1">IFERROR(__xludf.DUMMYFUNCTION("""COMPUTED_VALUE"""),"Ninguno (Población General)")</f>
        <v>Ninguno (Población General)</v>
      </c>
      <c r="CG240" s="30">
        <f ca="1">IFERROR(__xludf.DUMMYFUNCTION("""COMPUTED_VALUE"""),29)</f>
        <v>29</v>
      </c>
      <c r="CI240" s="30" t="str">
        <f ca="1">IFERROR(__xludf.DUMMYFUNCTION("""COMPUTED_VALUE"""),"7227901c")</f>
        <v>7227901c</v>
      </c>
      <c r="CJ240" s="29" t="str">
        <f ca="1">IFERROR(__xludf.DUMMYFUNCTION("""COMPUTED_VALUE"""),"Regitro_Evidencia_Images/7227901c.Archivo_Evidencia.232518.jpg")</f>
        <v>Regitro_Evidencia_Images/7227901c.Archivo_Evidencia.232518.jpg</v>
      </c>
      <c r="CK240" s="30" t="str">
        <f ca="1">IFERROR(__xludf.DUMMYFUNCTION("""COMPUTED_VALUE"""),"Foto")</f>
        <v>Foto</v>
      </c>
      <c r="CL240" s="30"/>
      <c r="CM240" s="30" t="str">
        <f ca="1">IFERROR(__xludf.DUMMYFUNCTION("""COMPUTED_VALUE"""),"León")</f>
        <v>León</v>
      </c>
      <c r="CN240" s="32" t="e">
        <f ca="1"/>
        <v>#NAME?</v>
      </c>
      <c r="CO240" s="32" t="e">
        <f ca="1"/>
        <v>#NAME?</v>
      </c>
      <c r="CP240" s="32" t="e">
        <f ca="1"/>
        <v>#NAME?</v>
      </c>
      <c r="CQ240" s="32" t="e">
        <f ca="1"/>
        <v>#NAME?</v>
      </c>
      <c r="CR240" s="30" t="e">
        <f ca="1"/>
        <v>#NAME?</v>
      </c>
      <c r="CS240" s="30" t="str">
        <f ca="1">IFERROR(__xludf.DUMMYFUNCTION("""COMPUTED_VALUE"""),"Ninguno (Población General), Ninguno (Población General)")</f>
        <v>Ninguno (Población General), Ninguno (Población General)</v>
      </c>
    </row>
    <row r="241" spans="1:97" ht="13">
      <c r="A241" s="29" t="str">
        <f ca="1">IFERROR(__xludf.DUMMYFUNCTION("""COMPUTED_VALUE"""),"ACT-SCDO40520")</f>
        <v>ACT-SCDO40520</v>
      </c>
      <c r="B241" s="30" t="str">
        <f ca="1">IFERROR(__xludf.DUMMYFUNCTION("""COMPUTED_VALUE"""),"SC-260804-112214")</f>
        <v>SC-260804-112214</v>
      </c>
      <c r="C241" s="62">
        <f ca="1">IFERROR(__xludf.DUMMYFUNCTION("""COMPUTED_VALUE"""),46238.4737731481)</f>
        <v>46238.4737731481</v>
      </c>
      <c r="D241" s="30">
        <f ca="1">IFERROR(__xludf.DUMMYFUNCTION("""COMPUTED_VALUE"""),94)</f>
        <v>94</v>
      </c>
      <c r="E241" s="30" t="str">
        <f ca="1">IFERROR(__xludf.DUMMYFUNCTION("""COMPUTED_VALUE"""),"PB3572")</f>
        <v>PB3572</v>
      </c>
      <c r="F24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1"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41" s="30" t="str">
        <f ca="1">IFERROR(__xludf.DUMMYFUNCTION("""COMPUTED_VALUE"""),"SUBSECRETARÍA DE DESARROLLO Y PROMOCIÓN ARTÍSTICA Y CULTURAL")</f>
        <v>SUBSECRETARÍA DE DESARROLLO Y PROMOCIÓN ARTÍSTICA Y CULTURAL</v>
      </c>
      <c r="I241" s="34" t="str">
        <f ca="1">IFERROR(__xludf.DUMMYFUNCTION("""COMPUTED_VALUE"""),"DIRECCIÓN GENERAL DE MUSEOS, ARTES VISUALES Y EXPOSICIONES")</f>
        <v>DIRECCIÓN GENERAL DE MUSEOS, ARTES VISUALES Y EXPOSICIONES</v>
      </c>
      <c r="J241" s="30" t="str">
        <f ca="1">IFERROR(__xludf.DUMMYFUNCTION("""COMPUTED_VALUE"""),"Número de Actividades realizadas")</f>
        <v>Número de Actividades realizadas</v>
      </c>
      <c r="K241" s="30">
        <f ca="1">IFERROR(__xludf.DUMMYFUNCTION("""COMPUTED_VALUE"""),12)</f>
        <v>12</v>
      </c>
      <c r="L241" s="30" t="str">
        <f ca="1">IFERROR(__xludf.DUMMYFUNCTION("""COMPUTED_VALUE"""),"Artística")</f>
        <v>Artística</v>
      </c>
      <c r="M241" s="30" t="str">
        <f ca="1">IFERROR(__xludf.DUMMYFUNCTION("""COMPUTED_VALUE"""),"Festival Escenautas. Mujeres en el puño. Hilando la ternura, conquistando la libertad.")</f>
        <v>Festival Escenautas. Mujeres en el puño. Hilando la ternura, conquistando la libertad.</v>
      </c>
      <c r="N241" s="30" t="str">
        <f ca="1">IFERROR(__xludf.DUMMYFUNCTION("""COMPUTED_VALUE"""),"Recorrido sobre la lucha de las mujeres provenientes de la colonia conocida coloquialmente como ""el puño"" la historia de la fundación del asentamiento humano y la pelea por el derecho a la vivienda.")</f>
        <v>Recorrido sobre la lucha de las mujeres provenientes de la colonia conocida coloquialmente como "el puño" la historia de la fundación del asentamiento humano y la pelea por el derecho a la vivienda.</v>
      </c>
      <c r="O241" s="30" t="str">
        <f ca="1">IFERROR(__xludf.DUMMYFUNCTION("""COMPUTED_VALUE"""),"Única")</f>
        <v>Única</v>
      </c>
      <c r="P241" s="33">
        <f ca="1">IFERROR(__xludf.DUMMYFUNCTION("""COMPUTED_VALUE"""),46223)</f>
        <v>46223</v>
      </c>
      <c r="Q241" s="33">
        <f ca="1">IFERROR(__xludf.DUMMYFUNCTION("""COMPUTED_VALUE"""),46223)</f>
        <v>46223</v>
      </c>
      <c r="R241" s="30">
        <f ca="1">IFERROR(__xludf.DUMMYFUNCTION("""COMPUTED_VALUE"""),1)</f>
        <v>1</v>
      </c>
      <c r="S241" s="30" t="str">
        <f ca="1">IFERROR(__xludf.DUMMYFUNCTION("""COMPUTED_VALUE"""),"Cinematografía y medios audiovisuales")</f>
        <v>Cinematografía y medios audiovisuales</v>
      </c>
      <c r="T241" s="30" t="str">
        <f ca="1">IFERROR(__xludf.DUMMYFUNCTION("""COMPUTED_VALUE"""),"Documental")</f>
        <v>Documental</v>
      </c>
      <c r="U241" s="30" t="str">
        <f ca="1">IFERROR(__xludf.DUMMYFUNCTION("""COMPUTED_VALUE"""),"Festival")</f>
        <v>Festival</v>
      </c>
      <c r="V241" s="30" t="str">
        <f ca="1">IFERROR(__xludf.DUMMYFUNCTION("""COMPUTED_VALUE"""),"Ninguna")</f>
        <v>Ninguna</v>
      </c>
      <c r="W241" s="30" t="str">
        <f ca="1">IFERROR(__xludf.DUMMYFUNCTION("""COMPUTED_VALUE"""),"Presencial")</f>
        <v>Presencial</v>
      </c>
      <c r="X241" s="30" t="str">
        <f ca="1">IFERROR(__xludf.DUMMYFUNCTION("""COMPUTED_VALUE"""),"Espacio a Cargo de la Secretaría")</f>
        <v>Espacio a Cargo de la Secretaría</v>
      </c>
      <c r="Y241" s="30" t="str">
        <f ca="1">IFERROR(__xludf.DUMMYFUNCTION("""COMPUTED_VALUE"""),"Museo Hermenegildo Bustos, Sala temporal 8 y 9")</f>
        <v>Museo Hermenegildo Bustos, Sala temporal 8 y 9</v>
      </c>
      <c r="Z241" s="30"/>
      <c r="AA241" s="30"/>
      <c r="AB241" s="30" t="b">
        <f ca="1">IFERROR(__xludf.DUMMYFUNCTION("""COMPUTED_VALUE"""),FALSE)</f>
        <v>0</v>
      </c>
      <c r="AC241" s="30"/>
      <c r="AD241" s="30" t="b">
        <f ca="1">IFERROR(__xludf.DUMMYFUNCTION("""COMPUTED_VALUE"""),FALSE)</f>
        <v>0</v>
      </c>
      <c r="AE241" s="30"/>
      <c r="AF241" s="30" t="b">
        <f ca="1">IFERROR(__xludf.DUMMYFUNCTION("""COMPUTED_VALUE"""),FALSE)</f>
        <v>0</v>
      </c>
      <c r="AG241" s="30"/>
      <c r="AH241" s="30" t="str">
        <f ca="1">IFERROR(__xludf.DUMMYFUNCTION("""COMPUTED_VALUE"""),"Sin costo")</f>
        <v>Sin costo</v>
      </c>
      <c r="AI241" s="30"/>
      <c r="AJ241" s="30"/>
      <c r="AK241" s="30"/>
      <c r="AL241" s="30" t="str">
        <f ca="1">IFERROR(__xludf.DUMMYFUNCTION("""COMPUTED_VALUE"""),"ccardonav@guanajuato.gob.mx")</f>
        <v>ccardonav@guanajuato.gob.mx</v>
      </c>
      <c r="AM241" s="30" t="str">
        <f ca="1">IFERROR(__xludf.DUMMYFUNCTION("""COMPUTED_VALUE"""),"Arraigo y empoderamiento cultural de comunidades.")</f>
        <v>Arraigo y empoderamiento cultural de comunidades.</v>
      </c>
      <c r="AN241" s="30" t="str">
        <f ca="1">IFERROR(__xludf.DUMMYFUNCTION("""COMPUTED_VALUE"""),"2 Igualdad")</f>
        <v>2 Igualdad</v>
      </c>
      <c r="AO241" s="30" t="str">
        <f ca="1">IFERROR(__xludf.DUMMYFUNCTION("""COMPUTED_VALUE"""),"2.2 Fortalecer cohesión social")</f>
        <v>2.2 Fortalecer cohesión social</v>
      </c>
      <c r="AP241" s="30" t="str">
        <f ca="1">IFERROR(__xludf.DUMMYFUNCTION("""COMPUTED_VALUE"""),"2.2.1 Participación social comunitaria")</f>
        <v>2.2.1 Participación social comunitaria</v>
      </c>
      <c r="AQ241" s="30" t="str">
        <f ca="1">IFERROR(__xludf.DUMMYFUNCTION("""COMPUTED_VALUE"""),"2.2.1 Participación social comunitaria")</f>
        <v>2.2.1 Participación social comunitaria</v>
      </c>
      <c r="AR241" s="30" t="str">
        <f ca="1">IFERROR(__xludf.DUMMYFUNCTION("""COMPUTED_VALUE"""),"Inclusión")</f>
        <v>Inclusión</v>
      </c>
      <c r="AS241" s="30" t="str">
        <f ca="1">IFERROR(__xludf.DUMMYFUNCTION("""COMPUTED_VALUE"""),"Mujeres en situación de vulnerabilidad")</f>
        <v>Mujeres en situación de vulnerabilidad</v>
      </c>
      <c r="AT241" s="30" t="str">
        <f ca="1">IFERROR(__xludf.DUMMYFUNCTION("""COMPUTED_VALUE"""),"Fortalecimiento de la participación ciudadana y la mediación cultural")</f>
        <v>Fortalecimiento de la participación ciudadana y la mediación cultural</v>
      </c>
      <c r="AU241" s="30" t="str">
        <f ca="1">IFERROR(__xludf.DUMMYFUNCTION("""COMPUTED_VALUE"""),"Impulso a la ampliación de la oferta cultural en los territorios.")</f>
        <v>Impulso a la ampliación de la oferta cultural en los territorios.</v>
      </c>
      <c r="AV24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41" s="30" t="str">
        <f ca="1">IFERROR(__xludf.DUMMYFUNCTION("""COMPUTED_VALUE"""),"Incrementar en 25% la oferta cultural realizada en los municipios.")</f>
        <v>Incrementar en 25% la oferta cultural realizada en los municipios.</v>
      </c>
      <c r="AX241" s="30" t="str">
        <f ca="1">IFERROR(__xludf.DUMMYFUNCTION("""COMPUTED_VALUE"""),"Festival")</f>
        <v>Festival</v>
      </c>
      <c r="AY241" s="30" t="str">
        <f ca="1">IFERROR(__xludf.DUMMYFUNCTION("""COMPUTED_VALUE"""),"Formación")</f>
        <v>Formación</v>
      </c>
      <c r="AZ241" s="30" t="str">
        <f ca="1">IFERROR(__xludf.DUMMYFUNCTION("""COMPUTED_VALUE"""),"Formación")</f>
        <v>Formación</v>
      </c>
      <c r="BA241" s="30"/>
      <c r="BB241" s="30"/>
      <c r="BC241" s="30">
        <f ca="1">IFERROR(__xludf.DUMMYFUNCTION("""COMPUTED_VALUE"""),0)</f>
        <v>0</v>
      </c>
      <c r="BD241" s="30"/>
      <c r="BE241" s="30"/>
      <c r="BF241" s="30" t="b">
        <f ca="1">IFERROR(__xludf.DUMMYFUNCTION("""COMPUTED_VALUE"""),FALSE)</f>
        <v>0</v>
      </c>
      <c r="BG241" s="30"/>
      <c r="BH241" s="30"/>
      <c r="BI241" s="30"/>
      <c r="BJ241" s="30"/>
      <c r="BK241" s="30"/>
      <c r="BL241" s="30" t="str">
        <f ca="1">IFERROR(__xludf.DUMMYFUNCTION("""COMPUTED_VALUE"""),"Vinculación")</f>
        <v>Vinculación</v>
      </c>
      <c r="BM241" s="30" t="str">
        <f ca="1">IFERROR(__xludf.DUMMYFUNCTION("""COMPUTED_VALUE"""),"Sí")</f>
        <v>Sí</v>
      </c>
      <c r="BN241" s="30" t="str">
        <f ca="1">IFERROR(__xludf.DUMMYFUNCTION("""COMPUTED_VALUE"""),"Acompañamiento Técnico")</f>
        <v>Acompañamiento Técnico</v>
      </c>
      <c r="BO241" s="30" t="str">
        <f ca="1">IFERROR(__xludf.DUMMYFUNCTION("""COMPUTED_VALUE"""),"631ee54d")</f>
        <v>631ee54d</v>
      </c>
      <c r="BP241" s="29" t="str">
        <f ca="1">IFERROR(__xludf.DUMMYFUNCTION("""COMPUTED_VALUE"""),"León")</f>
        <v>León</v>
      </c>
      <c r="BQ241" s="30" t="str">
        <f ca="1">IFERROR(__xludf.DUMMYFUNCTION("""COMPUTED_VALUE"""),"Urbano")</f>
        <v>Urbano</v>
      </c>
      <c r="BR241" s="30"/>
      <c r="BS241" s="30"/>
      <c r="BT241" s="30" t="str">
        <f ca="1">IFERROR(__xludf.DUMMYFUNCTION("""COMPUTED_VALUE"""),"La Martinica")</f>
        <v>La Martinica</v>
      </c>
      <c r="BU241" s="30" t="str">
        <f ca="1">IFERROR(__xludf.DUMMYFUNCTION("""COMPUTED_VALUE"""),"No")</f>
        <v>No</v>
      </c>
      <c r="BV241" s="30" t="str">
        <f ca="1">IFERROR(__xludf.DUMMYFUNCTION("""COMPUTED_VALUE"""),"No")</f>
        <v>No</v>
      </c>
      <c r="BW241" s="30">
        <f ca="1">IFERROR(__xludf.DUMMYFUNCTION("""COMPUTED_VALUE"""),44)</f>
        <v>44</v>
      </c>
      <c r="BX241" s="30"/>
      <c r="BY241" s="30">
        <f ca="1">IFERROR(__xludf.DUMMYFUNCTION("""COMPUTED_VALUE"""),44)</f>
        <v>44</v>
      </c>
      <c r="BZ241" s="30" t="str">
        <f ca="1">IFERROR(__xludf.DUMMYFUNCTION("""COMPUTED_VALUE"""),"La Martinica")</f>
        <v>La Martinica</v>
      </c>
      <c r="CA241" s="30" t="str">
        <f ca="1">IFERROR(__xludf.DUMMYFUNCTION("""COMPUTED_VALUE"""),"No")</f>
        <v>No</v>
      </c>
      <c r="CB241" s="30" t="str">
        <f ca="1">IFERROR(__xludf.DUMMYFUNCTION("""COMPUTED_VALUE"""),"No")</f>
        <v>No</v>
      </c>
      <c r="CC241" s="30" t="str">
        <f ca="1">IFERROR(__xludf.DUMMYFUNCTION("""COMPUTED_VALUE"""),"550cd1ec")</f>
        <v>550cd1ec</v>
      </c>
      <c r="CD241" s="29" t="str">
        <f ca="1">IFERROR(__xludf.DUMMYFUNCTION("""COMPUTED_VALUE"""),"Jóvenes (18 a 29 años)")</f>
        <v>Jóvenes (18 a 29 años)</v>
      </c>
      <c r="CE241" s="30" t="str">
        <f ca="1">IFERROR(__xludf.DUMMYFUNCTION("""COMPUTED_VALUE"""),"Dato global")</f>
        <v>Dato global</v>
      </c>
      <c r="CF241" s="30" t="str">
        <f ca="1">IFERROR(__xludf.DUMMYFUNCTION("""COMPUTED_VALUE"""),"Ninguno (Población General)")</f>
        <v>Ninguno (Población General)</v>
      </c>
      <c r="CG241" s="30">
        <f ca="1">IFERROR(__xludf.DUMMYFUNCTION("""COMPUTED_VALUE"""),3)</f>
        <v>3</v>
      </c>
      <c r="CI241" s="30" t="str">
        <f ca="1">IFERROR(__xludf.DUMMYFUNCTION("""COMPUTED_VALUE"""),"b4a50c56")</f>
        <v>b4a50c56</v>
      </c>
      <c r="CJ241" s="29" t="str">
        <f ca="1">IFERROR(__xludf.DUMMYFUNCTION("""COMPUTED_VALUE"""),"Regitro_Evidencia_Files_/b4a50c56.Archivo_Evidencia.234414.pdf")</f>
        <v>Regitro_Evidencia_Files_/b4a50c56.Archivo_Evidencia.234414.pdf</v>
      </c>
      <c r="CK241" s="30" t="str">
        <f ca="1">IFERROR(__xludf.DUMMYFUNCTION("""COMPUTED_VALUE"""),"PDF")</f>
        <v>PDF</v>
      </c>
      <c r="CL241" s="30"/>
      <c r="CM241" s="30" t="str">
        <f ca="1">IFERROR(__xludf.DUMMYFUNCTION("""COMPUTED_VALUE"""),"León")</f>
        <v>León</v>
      </c>
      <c r="CN241" s="32" t="e">
        <f ca="1"/>
        <v>#NAME?</v>
      </c>
      <c r="CO241" s="32" t="e">
        <f ca="1"/>
        <v>#NAME?</v>
      </c>
      <c r="CP241" s="32" t="e">
        <f ca="1"/>
        <v>#NAME?</v>
      </c>
      <c r="CQ241" s="32" t="e">
        <f ca="1"/>
        <v>#NAME?</v>
      </c>
      <c r="CR241" s="30" t="e">
        <f ca="1"/>
        <v>#NAME?</v>
      </c>
      <c r="CS241" s="30" t="str">
        <f ca="1">IFERROR(__xludf.DUMMYFUNCTION("""COMPUTED_VALUE"""),"Ninguno (Población General)")</f>
        <v>Ninguno (Población General)</v>
      </c>
    </row>
    <row r="242" spans="1:97" ht="13">
      <c r="A242" s="29" t="str">
        <f ca="1">IFERROR(__xludf.DUMMYFUNCTION("""COMPUTED_VALUE"""),"ACT-SCDP05616")</f>
        <v>ACT-SCDP05616</v>
      </c>
      <c r="B242" s="30" t="str">
        <f ca="1">IFERROR(__xludf.DUMMYFUNCTION("""COMPUTED_VALUE"""),"SC-260804-120257")</f>
        <v>SC-260804-120257</v>
      </c>
      <c r="C242" s="62">
        <f ca="1">IFERROR(__xludf.DUMMYFUNCTION("""COMPUTED_VALUE"""),46238.5020486111)</f>
        <v>46238.502048611103</v>
      </c>
      <c r="D242" s="30">
        <f ca="1">IFERROR(__xludf.DUMMYFUNCTION("""COMPUTED_VALUE"""),92)</f>
        <v>92</v>
      </c>
      <c r="E242" s="30" t="str">
        <f ca="1">IFERROR(__xludf.DUMMYFUNCTION("""COMPUTED_VALUE"""),"PB3572")</f>
        <v>PB3572</v>
      </c>
      <c r="F24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2" s="30" t="str">
        <f ca="1">IFERROR(__xludf.DUMMYFUNCTION("""COMPUTED_VALUE"""),"SUBSECRETARÍA DE DESARROLLO Y PROMOCIÓN ARTÍSTICA Y CULTURAL")</f>
        <v>SUBSECRETARÍA DE DESARROLLO Y PROMOCIÓN ARTÍSTICA Y CULTURAL</v>
      </c>
      <c r="I242" s="34" t="str">
        <f ca="1">IFERROR(__xludf.DUMMYFUNCTION("""COMPUTED_VALUE"""),"DIRECCIÓN GENERAL DE MUSEOS, ARTES VISUALES Y EXPOSICIONES")</f>
        <v>DIRECCIÓN GENERAL DE MUSEOS, ARTES VISUALES Y EXPOSICIONES</v>
      </c>
      <c r="J242" s="30" t="str">
        <f ca="1">IFERROR(__xludf.DUMMYFUNCTION("""COMPUTED_VALUE"""),"Número de Actividades realizadas")</f>
        <v>Número de Actividades realizadas</v>
      </c>
      <c r="K242" s="30">
        <f ca="1">IFERROR(__xludf.DUMMYFUNCTION("""COMPUTED_VALUE"""),800)</f>
        <v>800</v>
      </c>
      <c r="L242" s="30" t="str">
        <f ca="1">IFERROR(__xludf.DUMMYFUNCTION("""COMPUTED_VALUE"""),"Cultural")</f>
        <v>Cultural</v>
      </c>
      <c r="M242" s="30" t="str">
        <f ca="1">IFERROR(__xludf.DUMMYFUNCTION("""COMPUTED_VALUE"""),"Visita especial a Ballet folclórico Cacaxtla del estado de Tlaxcala")</f>
        <v>Visita especial a Ballet folclórico Cacaxtla del estado de Tlaxcala</v>
      </c>
      <c r="N242" s="30" t="str">
        <f ca="1">IFERROR(__xludf.DUMMYFUNCTION("""COMPUTED_VALUE"""),"Visita especial a Ballet folclórico Cacaxtla del estado de Tlaxcala")</f>
        <v>Visita especial a Ballet folclórico Cacaxtla del estado de Tlaxcala</v>
      </c>
      <c r="O242" s="30" t="str">
        <f ca="1">IFERROR(__xludf.DUMMYFUNCTION("""COMPUTED_VALUE"""),"Única")</f>
        <v>Única</v>
      </c>
      <c r="P242" s="33">
        <f ca="1">IFERROR(__xludf.DUMMYFUNCTION("""COMPUTED_VALUE"""),46231)</f>
        <v>46231</v>
      </c>
      <c r="Q242" s="33">
        <f ca="1">IFERROR(__xludf.DUMMYFUNCTION("""COMPUTED_VALUE"""),46231)</f>
        <v>46231</v>
      </c>
      <c r="R242" s="30">
        <f ca="1">IFERROR(__xludf.DUMMYFUNCTION("""COMPUTED_VALUE"""),1)</f>
        <v>1</v>
      </c>
      <c r="S242" s="30" t="str">
        <f ca="1">IFERROR(__xludf.DUMMYFUNCTION("""COMPUTED_VALUE"""),"Cultura comunitaria")</f>
        <v>Cultura comunitaria</v>
      </c>
      <c r="T242" s="30" t="str">
        <f ca="1">IFERROR(__xludf.DUMMYFUNCTION("""COMPUTED_VALUE"""),"Mediación cultural")</f>
        <v>Mediación cultural</v>
      </c>
      <c r="U242" s="30" t="str">
        <f ca="1">IFERROR(__xludf.DUMMYFUNCTION("""COMPUTED_VALUE"""),"Visitas guiadas")</f>
        <v>Visitas guiadas</v>
      </c>
      <c r="V242" s="30" t="str">
        <f ca="1">IFERROR(__xludf.DUMMYFUNCTION("""COMPUTED_VALUE"""),"Ninguna")</f>
        <v>Ninguna</v>
      </c>
      <c r="W242" s="30" t="str">
        <f ca="1">IFERROR(__xludf.DUMMYFUNCTION("""COMPUTED_VALUE"""),"Presencial")</f>
        <v>Presencial</v>
      </c>
      <c r="X242" s="30" t="str">
        <f ca="1">IFERROR(__xludf.DUMMYFUNCTION("""COMPUTED_VALUE"""),"Espacio a Cargo de la Secretaría")</f>
        <v>Espacio a Cargo de la Secretaría</v>
      </c>
      <c r="Y242" s="30" t="str">
        <f ca="1">IFERROR(__xludf.DUMMYFUNCTION("""COMPUTED_VALUE"""),"Museo Hermenegildo Bustos, Sala temporal 8 y 9")</f>
        <v>Museo Hermenegildo Bustos, Sala temporal 8 y 9</v>
      </c>
      <c r="Z242" s="30"/>
      <c r="AA242" s="30"/>
      <c r="AB242" s="30" t="b">
        <f ca="1">IFERROR(__xludf.DUMMYFUNCTION("""COMPUTED_VALUE"""),FALSE)</f>
        <v>0</v>
      </c>
      <c r="AC242" s="30"/>
      <c r="AD242" s="30" t="b">
        <f ca="1">IFERROR(__xludf.DUMMYFUNCTION("""COMPUTED_VALUE"""),FALSE)</f>
        <v>0</v>
      </c>
      <c r="AE242" s="30"/>
      <c r="AF242" s="30" t="b">
        <f ca="1">IFERROR(__xludf.DUMMYFUNCTION("""COMPUTED_VALUE"""),FALSE)</f>
        <v>0</v>
      </c>
      <c r="AG242" s="30"/>
      <c r="AH242" s="30" t="str">
        <f ca="1">IFERROR(__xludf.DUMMYFUNCTION("""COMPUTED_VALUE"""),"Sin costo")</f>
        <v>Sin costo</v>
      </c>
      <c r="AI242" s="30"/>
      <c r="AJ242" s="30"/>
      <c r="AK242" s="30"/>
      <c r="AL242" s="30" t="str">
        <f ca="1">IFERROR(__xludf.DUMMYFUNCTION("""COMPUTED_VALUE"""),"ccardonav@guanajuato.gob.mx")</f>
        <v>ccardonav@guanajuato.gob.mx</v>
      </c>
      <c r="AM242" s="30" t="str">
        <f ca="1">IFERROR(__xludf.DUMMYFUNCTION("""COMPUTED_VALUE"""),"Arraigo y empoderamiento cultural de comunidades.")</f>
        <v>Arraigo y empoderamiento cultural de comunidades.</v>
      </c>
      <c r="AN242" s="30" t="str">
        <f ca="1">IFERROR(__xludf.DUMMYFUNCTION("""COMPUTED_VALUE"""),"2 Igualdad")</f>
        <v>2 Igualdad</v>
      </c>
      <c r="AO242" s="30" t="str">
        <f ca="1">IFERROR(__xludf.DUMMYFUNCTION("""COMPUTED_VALUE"""),"2.2 Fortalecer cohesión social")</f>
        <v>2.2 Fortalecer cohesión social</v>
      </c>
      <c r="AP242" s="30" t="str">
        <f ca="1">IFERROR(__xludf.DUMMYFUNCTION("""COMPUTED_VALUE"""),"2.2.1 Participación social comunitaria")</f>
        <v>2.2.1 Participación social comunitaria</v>
      </c>
      <c r="AQ242" s="30" t="str">
        <f ca="1">IFERROR(__xludf.DUMMYFUNCTION("""COMPUTED_VALUE"""),"2.2.1 Participación social comunitaria")</f>
        <v>2.2.1 Participación social comunitaria</v>
      </c>
      <c r="AR242" s="30" t="str">
        <f ca="1">IFERROR(__xludf.DUMMYFUNCTION("""COMPUTED_VALUE"""),"Cooperación")</f>
        <v>Cooperación</v>
      </c>
      <c r="AS242" s="30"/>
      <c r="AT242" s="30" t="str">
        <f ca="1">IFERROR(__xludf.DUMMYFUNCTION("""COMPUTED_VALUE"""),"Fortalecimiento de la participación ciudadana y la mediación cultural")</f>
        <v>Fortalecimiento de la participación ciudadana y la mediación cultural</v>
      </c>
      <c r="AU242" s="30" t="str">
        <f ca="1">IFERROR(__xludf.DUMMYFUNCTION("""COMPUTED_VALUE"""),"Impulso a la ampliación de la oferta cultural en los territorios.")</f>
        <v>Impulso a la ampliación de la oferta cultural en los territorios.</v>
      </c>
      <c r="AV24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42" s="30" t="str">
        <f ca="1">IFERROR(__xludf.DUMMYFUNCTION("""COMPUTED_VALUE"""),"Incrementar en 25% la oferta cultural realizada en los municipios.")</f>
        <v>Incrementar en 25% la oferta cultural realizada en los municipios.</v>
      </c>
      <c r="AX242" s="30" t="str">
        <f ca="1">IFERROR(__xludf.DUMMYFUNCTION("""COMPUTED_VALUE"""),"Visitas guiadas")</f>
        <v>Visitas guiadas</v>
      </c>
      <c r="AY242" s="30" t="str">
        <f ca="1">IFERROR(__xludf.DUMMYFUNCTION("""COMPUTED_VALUE"""),"Mediación")</f>
        <v>Mediación</v>
      </c>
      <c r="AZ242" s="30"/>
      <c r="BA242" s="30"/>
      <c r="BB242" s="30"/>
      <c r="BC242" s="30">
        <f ca="1">IFERROR(__xludf.DUMMYFUNCTION("""COMPUTED_VALUE"""),0)</f>
        <v>0</v>
      </c>
      <c r="BD242" s="30"/>
      <c r="BE242" s="30"/>
      <c r="BF242" s="30" t="b">
        <f ca="1">IFERROR(__xludf.DUMMYFUNCTION("""COMPUTED_VALUE"""),FALSE)</f>
        <v>0</v>
      </c>
      <c r="BG242" s="30"/>
      <c r="BH242" s="30"/>
      <c r="BI242" s="30"/>
      <c r="BJ242" s="30"/>
      <c r="BK242" s="30"/>
      <c r="BL242" s="30"/>
      <c r="BM242" s="30" t="str">
        <f ca="1">IFERROR(__xludf.DUMMYFUNCTION("""COMPUTED_VALUE"""),"No")</f>
        <v>No</v>
      </c>
      <c r="BN242" s="30"/>
      <c r="BO242" s="30" t="str">
        <f ca="1">IFERROR(__xludf.DUMMYFUNCTION("""COMPUTED_VALUE"""),"b8054aec")</f>
        <v>b8054aec</v>
      </c>
      <c r="BP242" s="29" t="str">
        <f ca="1">IFERROR(__xludf.DUMMYFUNCTION("""COMPUTED_VALUE"""),"León")</f>
        <v>León</v>
      </c>
      <c r="BQ242" s="30" t="str">
        <f ca="1">IFERROR(__xludf.DUMMYFUNCTION("""COMPUTED_VALUE"""),"Urbano")</f>
        <v>Urbano</v>
      </c>
      <c r="BR242" s="30"/>
      <c r="BS242" s="30"/>
      <c r="BT242" s="30" t="str">
        <f ca="1">IFERROR(__xludf.DUMMYFUNCTION("""COMPUTED_VALUE"""),"La Martinica")</f>
        <v>La Martinica</v>
      </c>
      <c r="BU242" s="30" t="str">
        <f ca="1">IFERROR(__xludf.DUMMYFUNCTION("""COMPUTED_VALUE"""),"No")</f>
        <v>No</v>
      </c>
      <c r="BV242" s="30" t="str">
        <f ca="1">IFERROR(__xludf.DUMMYFUNCTION("""COMPUTED_VALUE"""),"No")</f>
        <v>No</v>
      </c>
      <c r="BW242" s="30">
        <f ca="1">IFERROR(__xludf.DUMMYFUNCTION("""COMPUTED_VALUE"""),29)</f>
        <v>29</v>
      </c>
      <c r="BX242" s="30"/>
      <c r="BY242" s="30">
        <f ca="1">IFERROR(__xludf.DUMMYFUNCTION("""COMPUTED_VALUE"""),29)</f>
        <v>29</v>
      </c>
      <c r="BZ242" s="30" t="str">
        <f ca="1">IFERROR(__xludf.DUMMYFUNCTION("""COMPUTED_VALUE"""),"La Martinica")</f>
        <v>La Martinica</v>
      </c>
      <c r="CA242" s="30" t="str">
        <f ca="1">IFERROR(__xludf.DUMMYFUNCTION("""COMPUTED_VALUE"""),"No")</f>
        <v>No</v>
      </c>
      <c r="CB242" s="30" t="str">
        <f ca="1">IFERROR(__xludf.DUMMYFUNCTION("""COMPUTED_VALUE"""),"No")</f>
        <v>No</v>
      </c>
      <c r="CC242" s="30" t="str">
        <f ca="1">IFERROR(__xludf.DUMMYFUNCTION("""COMPUTED_VALUE"""),"4d7b462f")</f>
        <v>4d7b462f</v>
      </c>
      <c r="CD242" s="29" t="str">
        <f ca="1">IFERROR(__xludf.DUMMYFUNCTION("""COMPUTED_VALUE"""),"Adultos (30 a 59 años)")</f>
        <v>Adultos (30 a 59 años)</v>
      </c>
      <c r="CE242" s="30" t="str">
        <f ca="1">IFERROR(__xludf.DUMMYFUNCTION("""COMPUTED_VALUE"""),"Dato global")</f>
        <v>Dato global</v>
      </c>
      <c r="CF242" s="30" t="str">
        <f ca="1">IFERROR(__xludf.DUMMYFUNCTION("""COMPUTED_VALUE"""),"Ninguno (Población General)")</f>
        <v>Ninguno (Población General)</v>
      </c>
      <c r="CG242" s="30">
        <f ca="1">IFERROR(__xludf.DUMMYFUNCTION("""COMPUTED_VALUE"""),2)</f>
        <v>2</v>
      </c>
      <c r="CI242" s="30" t="str">
        <f ca="1">IFERROR(__xludf.DUMMYFUNCTION("""COMPUTED_VALUE"""),"e2fedfaa")</f>
        <v>e2fedfaa</v>
      </c>
      <c r="CJ242" s="29" t="str">
        <f ca="1">IFERROR(__xludf.DUMMYFUNCTION("""COMPUTED_VALUE"""),"Regitro_Evidencia_Images/e2fedfaa.Archivo_Evidencia.183642.jpg")</f>
        <v>Regitro_Evidencia_Images/e2fedfaa.Archivo_Evidencia.183642.jpg</v>
      </c>
      <c r="CK242" s="30" t="str">
        <f ca="1">IFERROR(__xludf.DUMMYFUNCTION("""COMPUTED_VALUE"""),"Foto")</f>
        <v>Foto</v>
      </c>
      <c r="CL242" s="30"/>
      <c r="CM242" s="30" t="str">
        <f ca="1">IFERROR(__xludf.DUMMYFUNCTION("""COMPUTED_VALUE"""),"León")</f>
        <v>León</v>
      </c>
      <c r="CN242" s="32" t="e">
        <f ca="1"/>
        <v>#NAME?</v>
      </c>
      <c r="CO242" s="32" t="e">
        <f ca="1"/>
        <v>#NAME?</v>
      </c>
      <c r="CP242" s="32" t="e">
        <f ca="1"/>
        <v>#NAME?</v>
      </c>
      <c r="CQ242" s="32" t="e">
        <f ca="1"/>
        <v>#NAME?</v>
      </c>
      <c r="CR242" s="30" t="e">
        <f ca="1"/>
        <v>#NAME?</v>
      </c>
      <c r="CS242" s="30" t="str">
        <f ca="1">IFERROR(__xludf.DUMMYFUNCTION("""COMPUTED_VALUE"""),"Ninguno (Población General)")</f>
        <v>Ninguno (Población General)</v>
      </c>
    </row>
    <row r="243" spans="1:97" ht="13">
      <c r="A243" s="29" t="str">
        <f ca="1">IFERROR(__xludf.DUMMYFUNCTION("""COMPUTED_VALUE"""),"ACT-SCEO07614")</f>
        <v>ACT-SCEO07614</v>
      </c>
      <c r="B243" s="30" t="str">
        <f ca="1">IFERROR(__xludf.DUMMYFUNCTION("""COMPUTED_VALUE"""),"SC-260804-124523")</f>
        <v>SC-260804-124523</v>
      </c>
      <c r="C243" s="62">
        <f ca="1">IFERROR(__xludf.DUMMYFUNCTION("""COMPUTED_VALUE"""),46238.5315162037)</f>
        <v>46238.5315162037</v>
      </c>
      <c r="D243" s="30">
        <f ca="1">IFERROR(__xludf.DUMMYFUNCTION("""COMPUTED_VALUE"""),92)</f>
        <v>92</v>
      </c>
      <c r="E243" s="30" t="str">
        <f ca="1">IFERROR(__xludf.DUMMYFUNCTION("""COMPUTED_VALUE"""),"PB3572")</f>
        <v>PB3572</v>
      </c>
      <c r="F24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3" s="30" t="str">
        <f ca="1">IFERROR(__xludf.DUMMYFUNCTION("""COMPUTED_VALUE"""),"SUBSECRETARÍA DE DESARROLLO Y PROMOCIÓN ARTÍSTICA Y CULTURAL")</f>
        <v>SUBSECRETARÍA DE DESARROLLO Y PROMOCIÓN ARTÍSTICA Y CULTURAL</v>
      </c>
      <c r="I243" s="34" t="str">
        <f ca="1">IFERROR(__xludf.DUMMYFUNCTION("""COMPUTED_VALUE"""),"DIRECCIÓN GENERAL DE MUSEOS, ARTES VISUALES Y EXPOSICIONES")</f>
        <v>DIRECCIÓN GENERAL DE MUSEOS, ARTES VISUALES Y EXPOSICIONES</v>
      </c>
      <c r="J243" s="30" t="str">
        <f ca="1">IFERROR(__xludf.DUMMYFUNCTION("""COMPUTED_VALUE"""),"Número de Actividades realizadas")</f>
        <v>Número de Actividades realizadas</v>
      </c>
      <c r="K243" s="30">
        <f ca="1">IFERROR(__xludf.DUMMYFUNCTION("""COMPUTED_VALUE"""),800)</f>
        <v>800</v>
      </c>
      <c r="L243" s="30" t="str">
        <f ca="1">IFERROR(__xludf.DUMMYFUNCTION("""COMPUTED_VALUE"""),"Cultural")</f>
        <v>Cultural</v>
      </c>
      <c r="M243" s="30" t="str">
        <f ca="1">IFERROR(__xludf.DUMMYFUNCTION("""COMPUTED_VALUE"""),"Noche de Museos")</f>
        <v>Noche de Museos</v>
      </c>
      <c r="N243" s="30" t="str">
        <f ca="1">IFERROR(__xludf.DUMMYFUNCTION("""COMPUTED_VALUE"""),"Recorrido por las exposiciones del museo brindado por el personal del mismo.")</f>
        <v>Recorrido por las exposiciones del museo brindado por el personal del mismo.</v>
      </c>
      <c r="O243" s="30" t="str">
        <f ca="1">IFERROR(__xludf.DUMMYFUNCTION("""COMPUTED_VALUE"""),"Única")</f>
        <v>Única</v>
      </c>
      <c r="P243" s="33">
        <f ca="1">IFERROR(__xludf.DUMMYFUNCTION("""COMPUTED_VALUE"""),46232)</f>
        <v>46232</v>
      </c>
      <c r="Q243" s="33">
        <f ca="1">IFERROR(__xludf.DUMMYFUNCTION("""COMPUTED_VALUE"""),46232)</f>
        <v>46232</v>
      </c>
      <c r="R243" s="30">
        <f ca="1">IFERROR(__xludf.DUMMYFUNCTION("""COMPUTED_VALUE"""),1)</f>
        <v>1</v>
      </c>
      <c r="S243" s="30" t="str">
        <f ca="1">IFERROR(__xludf.DUMMYFUNCTION("""COMPUTED_VALUE"""),"Cultura comunitaria")</f>
        <v>Cultura comunitaria</v>
      </c>
      <c r="T243" s="30" t="str">
        <f ca="1">IFERROR(__xludf.DUMMYFUNCTION("""COMPUTED_VALUE"""),"Mediación cultural")</f>
        <v>Mediación cultural</v>
      </c>
      <c r="U243" s="30" t="str">
        <f ca="1">IFERROR(__xludf.DUMMYFUNCTION("""COMPUTED_VALUE"""),"Visitas guiadas")</f>
        <v>Visitas guiadas</v>
      </c>
      <c r="V243" s="30" t="str">
        <f ca="1">IFERROR(__xludf.DUMMYFUNCTION("""COMPUTED_VALUE"""),"Ninguna")</f>
        <v>Ninguna</v>
      </c>
      <c r="W243" s="30" t="str">
        <f ca="1">IFERROR(__xludf.DUMMYFUNCTION("""COMPUTED_VALUE"""),"Presencial")</f>
        <v>Presencial</v>
      </c>
      <c r="X243" s="30" t="str">
        <f ca="1">IFERROR(__xludf.DUMMYFUNCTION("""COMPUTED_VALUE"""),"Espacio a Cargo de la Secretaría")</f>
        <v>Espacio a Cargo de la Secretaría</v>
      </c>
      <c r="Y243" s="30" t="str">
        <f ca="1">IFERROR(__xludf.DUMMYFUNCTION("""COMPUTED_VALUE"""),"Museo Hermenegildo Bustos, Sala temporal 8 y 9")</f>
        <v>Museo Hermenegildo Bustos, Sala temporal 8 y 9</v>
      </c>
      <c r="Z243" s="30"/>
      <c r="AA243" s="30"/>
      <c r="AB243" s="30" t="b">
        <f ca="1">IFERROR(__xludf.DUMMYFUNCTION("""COMPUTED_VALUE"""),FALSE)</f>
        <v>0</v>
      </c>
      <c r="AC243" s="30"/>
      <c r="AD243" s="30" t="b">
        <f ca="1">IFERROR(__xludf.DUMMYFUNCTION("""COMPUTED_VALUE"""),FALSE)</f>
        <v>0</v>
      </c>
      <c r="AE243" s="30"/>
      <c r="AF243" s="30" t="b">
        <f ca="1">IFERROR(__xludf.DUMMYFUNCTION("""COMPUTED_VALUE"""),FALSE)</f>
        <v>0</v>
      </c>
      <c r="AG243" s="30"/>
      <c r="AH243" s="30" t="str">
        <f ca="1">IFERROR(__xludf.DUMMYFUNCTION("""COMPUTED_VALUE"""),"Sin costo")</f>
        <v>Sin costo</v>
      </c>
      <c r="AI243" s="30"/>
      <c r="AJ243" s="30"/>
      <c r="AK243" s="30"/>
      <c r="AL243" s="30" t="str">
        <f ca="1">IFERROR(__xludf.DUMMYFUNCTION("""COMPUTED_VALUE"""),"ccardonav@guanajuato.gob.mx")</f>
        <v>ccardonav@guanajuato.gob.mx</v>
      </c>
      <c r="AM243" s="30" t="str">
        <f ca="1">IFERROR(__xludf.DUMMYFUNCTION("""COMPUTED_VALUE"""),"Arraigo y empoderamiento cultural de comunidades.")</f>
        <v>Arraigo y empoderamiento cultural de comunidades.</v>
      </c>
      <c r="AN243" s="30" t="str">
        <f ca="1">IFERROR(__xludf.DUMMYFUNCTION("""COMPUTED_VALUE"""),"2 Igualdad")</f>
        <v>2 Igualdad</v>
      </c>
      <c r="AO243" s="30" t="str">
        <f ca="1">IFERROR(__xludf.DUMMYFUNCTION("""COMPUTED_VALUE"""),"2.2 Fortalecer cohesión social")</f>
        <v>2.2 Fortalecer cohesión social</v>
      </c>
      <c r="AP243" s="30" t="str">
        <f ca="1">IFERROR(__xludf.DUMMYFUNCTION("""COMPUTED_VALUE"""),"2.2.1 Participación social comunitaria")</f>
        <v>2.2.1 Participación social comunitaria</v>
      </c>
      <c r="AQ243" s="30" t="str">
        <f ca="1">IFERROR(__xludf.DUMMYFUNCTION("""COMPUTED_VALUE"""),"2.2.1 Participación social comunitaria")</f>
        <v>2.2.1 Participación social comunitaria</v>
      </c>
      <c r="AR243" s="30" t="str">
        <f ca="1">IFERROR(__xludf.DUMMYFUNCTION("""COMPUTED_VALUE"""),"Cooperación")</f>
        <v>Cooperación</v>
      </c>
      <c r="AS243" s="30"/>
      <c r="AT243" s="30" t="str">
        <f ca="1">IFERROR(__xludf.DUMMYFUNCTION("""COMPUTED_VALUE"""),"Fortalecimiento de la participación ciudadana y la mediación cultural")</f>
        <v>Fortalecimiento de la participación ciudadana y la mediación cultural</v>
      </c>
      <c r="AU243" s="30" t="str">
        <f ca="1">IFERROR(__xludf.DUMMYFUNCTION("""COMPUTED_VALUE"""),"Impulso a la ampliación de la oferta cultural en los territorios.")</f>
        <v>Impulso a la ampliación de la oferta cultural en los territorios.</v>
      </c>
      <c r="AV24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43" s="30" t="str">
        <f ca="1">IFERROR(__xludf.DUMMYFUNCTION("""COMPUTED_VALUE"""),"Incrementar en 25% la oferta cultural realizada en los municipios.")</f>
        <v>Incrementar en 25% la oferta cultural realizada en los municipios.</v>
      </c>
      <c r="AX243" s="30" t="str">
        <f ca="1">IFERROR(__xludf.DUMMYFUNCTION("""COMPUTED_VALUE"""),"Visitas guiadas")</f>
        <v>Visitas guiadas</v>
      </c>
      <c r="AY243" s="30" t="str">
        <f ca="1">IFERROR(__xludf.DUMMYFUNCTION("""COMPUTED_VALUE"""),"Mediación")</f>
        <v>Mediación</v>
      </c>
      <c r="AZ243" s="30"/>
      <c r="BA243" s="30"/>
      <c r="BB243" s="30"/>
      <c r="BC243" s="30">
        <f ca="1">IFERROR(__xludf.DUMMYFUNCTION("""COMPUTED_VALUE"""),0)</f>
        <v>0</v>
      </c>
      <c r="BD243" s="30"/>
      <c r="BE243" s="30"/>
      <c r="BF243" s="30" t="b">
        <f ca="1">IFERROR(__xludf.DUMMYFUNCTION("""COMPUTED_VALUE"""),FALSE)</f>
        <v>0</v>
      </c>
      <c r="BG243" s="30"/>
      <c r="BH243" s="30"/>
      <c r="BI243" s="30"/>
      <c r="BJ243" s="30"/>
      <c r="BK243" s="30"/>
      <c r="BL243" s="30"/>
      <c r="BM243" s="30" t="str">
        <f ca="1">IFERROR(__xludf.DUMMYFUNCTION("""COMPUTED_VALUE"""),"No")</f>
        <v>No</v>
      </c>
      <c r="BN243" s="30"/>
      <c r="BO243" s="30" t="str">
        <f ca="1">IFERROR(__xludf.DUMMYFUNCTION("""COMPUTED_VALUE"""),"92f49eb8")</f>
        <v>92f49eb8</v>
      </c>
      <c r="BP243" s="29" t="str">
        <f ca="1">IFERROR(__xludf.DUMMYFUNCTION("""COMPUTED_VALUE"""),"León")</f>
        <v>León</v>
      </c>
      <c r="BQ243" s="30" t="str">
        <f ca="1">IFERROR(__xludf.DUMMYFUNCTION("""COMPUTED_VALUE"""),"Urbano")</f>
        <v>Urbano</v>
      </c>
      <c r="BR243" s="30"/>
      <c r="BS243" s="30"/>
      <c r="BT243" s="30" t="str">
        <f ca="1">IFERROR(__xludf.DUMMYFUNCTION("""COMPUTED_VALUE"""),"La Martinica")</f>
        <v>La Martinica</v>
      </c>
      <c r="BU243" s="30" t="str">
        <f ca="1">IFERROR(__xludf.DUMMYFUNCTION("""COMPUTED_VALUE"""),"No")</f>
        <v>No</v>
      </c>
      <c r="BV243" s="30" t="str">
        <f ca="1">IFERROR(__xludf.DUMMYFUNCTION("""COMPUTED_VALUE"""),"No")</f>
        <v>No</v>
      </c>
      <c r="BW243" s="30">
        <f ca="1">IFERROR(__xludf.DUMMYFUNCTION("""COMPUTED_VALUE"""),21)</f>
        <v>21</v>
      </c>
      <c r="BX243" s="30"/>
      <c r="BY243" s="30">
        <f ca="1">IFERROR(__xludf.DUMMYFUNCTION("""COMPUTED_VALUE"""),21)</f>
        <v>21</v>
      </c>
      <c r="BZ243" s="30" t="str">
        <f ca="1">IFERROR(__xludf.DUMMYFUNCTION("""COMPUTED_VALUE"""),"La Martinica")</f>
        <v>La Martinica</v>
      </c>
      <c r="CA243" s="30" t="str">
        <f ca="1">IFERROR(__xludf.DUMMYFUNCTION("""COMPUTED_VALUE"""),"No")</f>
        <v>No</v>
      </c>
      <c r="CB243" s="30" t="str">
        <f ca="1">IFERROR(__xludf.DUMMYFUNCTION("""COMPUTED_VALUE"""),"No")</f>
        <v>No</v>
      </c>
      <c r="CC243" s="30" t="str">
        <f ca="1">IFERROR(__xludf.DUMMYFUNCTION("""COMPUTED_VALUE"""),"8299e99e")</f>
        <v>8299e99e</v>
      </c>
      <c r="CD243" s="29" t="str">
        <f ca="1">IFERROR(__xludf.DUMMYFUNCTION("""COMPUTED_VALUE"""),"Niñas y Niños (6 a 12 años)")</f>
        <v>Niñas y Niños (6 a 12 años)</v>
      </c>
      <c r="CE243" s="30" t="str">
        <f ca="1">IFERROR(__xludf.DUMMYFUNCTION("""COMPUTED_VALUE"""),"Dato global")</f>
        <v>Dato global</v>
      </c>
      <c r="CF243" s="30" t="str">
        <f ca="1">IFERROR(__xludf.DUMMYFUNCTION("""COMPUTED_VALUE"""),"Ninguno (Población General)")</f>
        <v>Ninguno (Población General)</v>
      </c>
      <c r="CG243" s="30">
        <f ca="1">IFERROR(__xludf.DUMMYFUNCTION("""COMPUTED_VALUE"""),3)</f>
        <v>3</v>
      </c>
      <c r="CI243" s="30" t="str">
        <f ca="1">IFERROR(__xludf.DUMMYFUNCTION("""COMPUTED_VALUE"""),"03d78f89")</f>
        <v>03d78f89</v>
      </c>
      <c r="CJ243" s="29" t="str">
        <f ca="1">IFERROR(__xludf.DUMMYFUNCTION("""COMPUTED_VALUE"""),"Regitro_Evidencia_Files_/03d78f89.Archivo_Evidencia.182837.pdf")</f>
        <v>Regitro_Evidencia_Files_/03d78f89.Archivo_Evidencia.182837.pdf</v>
      </c>
      <c r="CK243" s="30" t="str">
        <f ca="1">IFERROR(__xludf.DUMMYFUNCTION("""COMPUTED_VALUE"""),"PDF")</f>
        <v>PDF</v>
      </c>
      <c r="CL243" s="30"/>
      <c r="CM243" s="30" t="str">
        <f ca="1">IFERROR(__xludf.DUMMYFUNCTION("""COMPUTED_VALUE"""),"León")</f>
        <v>León</v>
      </c>
      <c r="CN243" s="32" t="e">
        <f ca="1"/>
        <v>#NAME?</v>
      </c>
      <c r="CO243" s="32" t="e">
        <f ca="1"/>
        <v>#NAME?</v>
      </c>
      <c r="CP243" s="32" t="e">
        <f ca="1"/>
        <v>#NAME?</v>
      </c>
      <c r="CQ243" s="32" t="e">
        <f ca="1"/>
        <v>#NAME?</v>
      </c>
      <c r="CR243" s="30" t="e">
        <f ca="1"/>
        <v>#NAME?</v>
      </c>
      <c r="CS243" s="30" t="str">
        <f ca="1">IFERROR(__xludf.DUMMYFUNCTION("""COMPUTED_VALUE"""),"Ninguno (Población General)")</f>
        <v>Ninguno (Población General)</v>
      </c>
    </row>
    <row r="244" spans="1:97" ht="13">
      <c r="A244" s="29" t="str">
        <f ca="1">IFERROR(__xludf.DUMMYFUNCTION("""COMPUTED_VALUE"""),"ACT-SCWX99960")</f>
        <v>ACT-SCWX99960</v>
      </c>
      <c r="B244" s="30" t="str">
        <f ca="1">IFERROR(__xludf.DUMMYFUNCTION("""COMPUTED_VALUE"""),"SC-260806-114543")</f>
        <v>SC-260806-114543</v>
      </c>
      <c r="C244" s="62">
        <f ca="1">IFERROR(__xludf.DUMMYFUNCTION("""COMPUTED_VALUE"""),46240.4900810185)</f>
        <v>46240.490081018499</v>
      </c>
      <c r="D244" s="30">
        <f ca="1">IFERROR(__xludf.DUMMYFUNCTION("""COMPUTED_VALUE"""),92)</f>
        <v>92</v>
      </c>
      <c r="E244" s="30" t="str">
        <f ca="1">IFERROR(__xludf.DUMMYFUNCTION("""COMPUTED_VALUE"""),"PB3572")</f>
        <v>PB3572</v>
      </c>
      <c r="F24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4" s="30" t="str">
        <f ca="1">IFERROR(__xludf.DUMMYFUNCTION("""COMPUTED_VALUE"""),"SUBSECRETARÍA DE DESARROLLO Y PROMOCIÓN ARTÍSTICA Y CULTURAL")</f>
        <v>SUBSECRETARÍA DE DESARROLLO Y PROMOCIÓN ARTÍSTICA Y CULTURAL</v>
      </c>
      <c r="I244" s="34" t="str">
        <f ca="1">IFERROR(__xludf.DUMMYFUNCTION("""COMPUTED_VALUE"""),"DIRECCIÓN GENERAL DE MUSEOS, ARTES VISUALES Y EXPOSICIONES")</f>
        <v>DIRECCIÓN GENERAL DE MUSEOS, ARTES VISUALES Y EXPOSICIONES</v>
      </c>
      <c r="J244" s="30" t="str">
        <f ca="1">IFERROR(__xludf.DUMMYFUNCTION("""COMPUTED_VALUE"""),"Número de Actividades realizadas")</f>
        <v>Número de Actividades realizadas</v>
      </c>
      <c r="K244" s="30">
        <f ca="1">IFERROR(__xludf.DUMMYFUNCTION("""COMPUTED_VALUE"""),800)</f>
        <v>800</v>
      </c>
      <c r="L244" s="30" t="str">
        <f ca="1">IFERROR(__xludf.DUMMYFUNCTION("""COMPUTED_VALUE"""),"Cultural")</f>
        <v>Cultural</v>
      </c>
      <c r="M244" s="30" t="str">
        <f ca="1">IFERROR(__xludf.DUMMYFUNCTION("""COMPUTED_VALUE"""),"Visita Escolar ""BACHILLERATO INVERNA GUANAJUATO""")</f>
        <v>Visita Escolar "BACHILLERATO INVERNA GUANAJUATO"</v>
      </c>
      <c r="N244" s="30" t="str">
        <f ca="1">IFERROR(__xludf.DUMMYFUNCTION("""COMPUTED_VALUE"""),"Visita mediada")</f>
        <v>Visita mediada</v>
      </c>
      <c r="O244" s="30" t="str">
        <f ca="1">IFERROR(__xludf.DUMMYFUNCTION("""COMPUTED_VALUE"""),"Única")</f>
        <v>Única</v>
      </c>
      <c r="P244" s="33">
        <f ca="1">IFERROR(__xludf.DUMMYFUNCTION("""COMPUTED_VALUE"""),46204)</f>
        <v>46204</v>
      </c>
      <c r="Q244" s="33">
        <f ca="1">IFERROR(__xludf.DUMMYFUNCTION("""COMPUTED_VALUE"""),46204)</f>
        <v>46204</v>
      </c>
      <c r="R244" s="30">
        <f ca="1">IFERROR(__xludf.DUMMYFUNCTION("""COMPUTED_VALUE"""),1)</f>
        <v>1</v>
      </c>
      <c r="S244" s="30" t="str">
        <f ca="1">IFERROR(__xludf.DUMMYFUNCTION("""COMPUTED_VALUE"""),"Cultura comunitaria")</f>
        <v>Cultura comunitaria</v>
      </c>
      <c r="T244" s="30" t="str">
        <f ca="1">IFERROR(__xludf.DUMMYFUNCTION("""COMPUTED_VALUE"""),"Mediación cultural")</f>
        <v>Mediación cultural</v>
      </c>
      <c r="U244" s="30" t="str">
        <f ca="1">IFERROR(__xludf.DUMMYFUNCTION("""COMPUTED_VALUE"""),"Visitas escolares")</f>
        <v>Visitas escolares</v>
      </c>
      <c r="V244" s="30" t="str">
        <f ca="1">IFERROR(__xludf.DUMMYFUNCTION("""COMPUTED_VALUE"""),"Ninguna")</f>
        <v>Ninguna</v>
      </c>
      <c r="W244" s="30" t="str">
        <f ca="1">IFERROR(__xludf.DUMMYFUNCTION("""COMPUTED_VALUE"""),"Presencial")</f>
        <v>Presencial</v>
      </c>
      <c r="X244" s="30" t="str">
        <f ca="1">IFERROR(__xludf.DUMMYFUNCTION("""COMPUTED_VALUE"""),"Espacio a Cargo de la Secretaría")</f>
        <v>Espacio a Cargo de la Secretaría</v>
      </c>
      <c r="Y244" s="30" t="str">
        <f ca="1">IFERROR(__xludf.DUMMYFUNCTION("""COMPUTED_VALUE"""),"Museo de Arte e Historia de Guanajuato, sala Feliciano Peña")</f>
        <v>Museo de Arte e Historia de Guanajuato, sala Feliciano Peña</v>
      </c>
      <c r="Z244" s="30"/>
      <c r="AA244" s="30"/>
      <c r="AB244" s="30" t="b">
        <f ca="1">IFERROR(__xludf.DUMMYFUNCTION("""COMPUTED_VALUE"""),FALSE)</f>
        <v>0</v>
      </c>
      <c r="AC244" s="30"/>
      <c r="AD244" s="30" t="b">
        <f ca="1">IFERROR(__xludf.DUMMYFUNCTION("""COMPUTED_VALUE"""),FALSE)</f>
        <v>0</v>
      </c>
      <c r="AE244" s="30"/>
      <c r="AF244" s="30" t="b">
        <f ca="1">IFERROR(__xludf.DUMMYFUNCTION("""COMPUTED_VALUE"""),FALSE)</f>
        <v>0</v>
      </c>
      <c r="AG244" s="30"/>
      <c r="AH244" s="30" t="str">
        <f ca="1">IFERROR(__xludf.DUMMYFUNCTION("""COMPUTED_VALUE"""),"Sin costo")</f>
        <v>Sin costo</v>
      </c>
      <c r="AI244" s="30"/>
      <c r="AJ244" s="30"/>
      <c r="AK244" s="30"/>
      <c r="AL244" s="30" t="str">
        <f ca="1">IFERROR(__xludf.DUMMYFUNCTION("""COMPUTED_VALUE"""),"ccardonav@guanajuato.gob.mx")</f>
        <v>ccardonav@guanajuato.gob.mx</v>
      </c>
      <c r="AM244" s="30" t="str">
        <f ca="1">IFERROR(__xludf.DUMMYFUNCTION("""COMPUTED_VALUE"""),"Arraigo y empoderamiento cultural de comunidades.")</f>
        <v>Arraigo y empoderamiento cultural de comunidades.</v>
      </c>
      <c r="AN244" s="30" t="str">
        <f ca="1">IFERROR(__xludf.DUMMYFUNCTION("""COMPUTED_VALUE"""),"2 Igualdad")</f>
        <v>2 Igualdad</v>
      </c>
      <c r="AO244" s="30" t="str">
        <f ca="1">IFERROR(__xludf.DUMMYFUNCTION("""COMPUTED_VALUE"""),"2.4 Reducir brechas de desigualdad")</f>
        <v>2.4 Reducir brechas de desigualdad</v>
      </c>
      <c r="AP244" s="30" t="str">
        <f ca="1">IFERROR(__xludf.DUMMYFUNCTION("""COMPUTED_VALUE"""),"2.4.3 Descentralización de la oferta cultural")</f>
        <v>2.4.3 Descentralización de la oferta cultural</v>
      </c>
      <c r="AQ244" s="30" t="str">
        <f ca="1">IFERROR(__xludf.DUMMYFUNCTION("""COMPUTED_VALUE"""),"2.4.3.1 Impulsar el desarrollo artístico y cultural entre infancias y juventudes")</f>
        <v>2.4.3.1 Impulsar el desarrollo artístico y cultural entre infancias y juventudes</v>
      </c>
      <c r="AR244" s="30" t="str">
        <f ca="1">IFERROR(__xludf.DUMMYFUNCTION("""COMPUTED_VALUE"""),"Ninguno")</f>
        <v>Ninguno</v>
      </c>
      <c r="AS244" s="30"/>
      <c r="AT244" s="30" t="str">
        <f ca="1">IFERROR(__xludf.DUMMYFUNCTION("""COMPUTED_VALUE"""),"Fortalecimiento de la participación ciudadana y la mediación cultural")</f>
        <v>Fortalecimiento de la participación ciudadana y la mediación cultural</v>
      </c>
      <c r="AU244" s="30" t="str">
        <f ca="1">IFERROR(__xludf.DUMMYFUNCTION("""COMPUTED_VALUE"""),"Fortalecimiento del diálogo, la mediación y las capacidades de las redes comunitarias.")</f>
        <v>Fortalecimiento del diálogo, la mediación y las capacidades de las redes comunitarias.</v>
      </c>
      <c r="AV24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44" s="30" t="str">
        <f ca="1">IFERROR(__xludf.DUMMYFUNCTION("""COMPUTED_VALUE"""),"Incrementar en 25% la oferta cultural realizada en los municipios.")</f>
        <v>Incrementar en 25% la oferta cultural realizada en los municipios.</v>
      </c>
      <c r="AX244" s="30" t="str">
        <f ca="1">IFERROR(__xludf.DUMMYFUNCTION("""COMPUTED_VALUE"""),"Visitas escolares")</f>
        <v>Visitas escolares</v>
      </c>
      <c r="AY244" s="30" t="str">
        <f ca="1">IFERROR(__xludf.DUMMYFUNCTION("""COMPUTED_VALUE"""),"Mediación")</f>
        <v>Mediación</v>
      </c>
      <c r="AZ244" s="30"/>
      <c r="BA244" s="30"/>
      <c r="BB244" s="30"/>
      <c r="BC244" s="30">
        <f ca="1">IFERROR(__xludf.DUMMYFUNCTION("""COMPUTED_VALUE"""),0)</f>
        <v>0</v>
      </c>
      <c r="BD244" s="30"/>
      <c r="BE244" s="30"/>
      <c r="BF244" s="30" t="b">
        <f ca="1">IFERROR(__xludf.DUMMYFUNCTION("""COMPUTED_VALUE"""),FALSE)</f>
        <v>0</v>
      </c>
      <c r="BG244" s="30"/>
      <c r="BH244" s="30"/>
      <c r="BI244" s="30"/>
      <c r="BJ244" s="30"/>
      <c r="BK244" s="30"/>
      <c r="BL244" s="30"/>
      <c r="BM244" s="30" t="str">
        <f ca="1">IFERROR(__xludf.DUMMYFUNCTION("""COMPUTED_VALUE"""),"No")</f>
        <v>No</v>
      </c>
      <c r="BN244" s="30"/>
      <c r="BO244" s="30" t="str">
        <f ca="1">IFERROR(__xludf.DUMMYFUNCTION("""COMPUTED_VALUE"""),"d36a61d4")</f>
        <v>d36a61d4</v>
      </c>
      <c r="BP244" s="29" t="str">
        <f ca="1">IFERROR(__xludf.DUMMYFUNCTION("""COMPUTED_VALUE"""),"León")</f>
        <v>León</v>
      </c>
      <c r="BQ244" s="30" t="str">
        <f ca="1">IFERROR(__xludf.DUMMYFUNCTION("""COMPUTED_VALUE"""),"Urbano")</f>
        <v>Urbano</v>
      </c>
      <c r="BR244" s="30"/>
      <c r="BS244" s="30"/>
      <c r="BT244" s="30" t="str">
        <f ca="1">IFERROR(__xludf.DUMMYFUNCTION("""COMPUTED_VALUE"""),"La Martinica")</f>
        <v>La Martinica</v>
      </c>
      <c r="BU244" s="30" t="str">
        <f ca="1">IFERROR(__xludf.DUMMYFUNCTION("""COMPUTED_VALUE"""),"No")</f>
        <v>No</v>
      </c>
      <c r="BV244" s="30" t="str">
        <f ca="1">IFERROR(__xludf.DUMMYFUNCTION("""COMPUTED_VALUE"""),"No")</f>
        <v>No</v>
      </c>
      <c r="BW244" s="30">
        <f ca="1">IFERROR(__xludf.DUMMYFUNCTION("""COMPUTED_VALUE"""),9)</f>
        <v>9</v>
      </c>
      <c r="BX244" s="30"/>
      <c r="BY244" s="30">
        <f ca="1">IFERROR(__xludf.DUMMYFUNCTION("""COMPUTED_VALUE"""),9)</f>
        <v>9</v>
      </c>
      <c r="BZ244" s="30" t="str">
        <f ca="1">IFERROR(__xludf.DUMMYFUNCTION("""COMPUTED_VALUE"""),"La Martinica")</f>
        <v>La Martinica</v>
      </c>
      <c r="CA244" s="30" t="str">
        <f ca="1">IFERROR(__xludf.DUMMYFUNCTION("""COMPUTED_VALUE"""),"No")</f>
        <v>No</v>
      </c>
      <c r="CB244" s="30" t="str">
        <f ca="1">IFERROR(__xludf.DUMMYFUNCTION("""COMPUTED_VALUE"""),"No")</f>
        <v>No</v>
      </c>
      <c r="CC244" s="30" t="str">
        <f ca="1">IFERROR(__xludf.DUMMYFUNCTION("""COMPUTED_VALUE"""),"6b532a7f")</f>
        <v>6b532a7f</v>
      </c>
      <c r="CD244" s="29" t="str">
        <f ca="1">IFERROR(__xludf.DUMMYFUNCTION("""COMPUTED_VALUE"""),"Adolescentes (13 a 17 años)")</f>
        <v>Adolescentes (13 a 17 años)</v>
      </c>
      <c r="CE244" s="30" t="str">
        <f ca="1">IFERROR(__xludf.DUMMYFUNCTION("""COMPUTED_VALUE"""),"Dato global")</f>
        <v>Dato global</v>
      </c>
      <c r="CF244" s="30" t="str">
        <f ca="1">IFERROR(__xludf.DUMMYFUNCTION("""COMPUTED_VALUE"""),"Ninguno (Población General)")</f>
        <v>Ninguno (Población General)</v>
      </c>
      <c r="CG244" s="30">
        <f ca="1">IFERROR(__xludf.DUMMYFUNCTION("""COMPUTED_VALUE"""),5)</f>
        <v>5</v>
      </c>
      <c r="CI244" s="30" t="str">
        <f ca="1">IFERROR(__xludf.DUMMYFUNCTION("""COMPUTED_VALUE"""),"6a92a029")</f>
        <v>6a92a029</v>
      </c>
      <c r="CJ244" s="29" t="str">
        <f ca="1">IFERROR(__xludf.DUMMYFUNCTION("""COMPUTED_VALUE"""),"Regitro_Evidencia_Images/6a92a029.Archivo_Evidencia.212025.jpg")</f>
        <v>Regitro_Evidencia_Images/6a92a029.Archivo_Evidencia.212025.jpg</v>
      </c>
      <c r="CK244" s="30" t="str">
        <f ca="1">IFERROR(__xludf.DUMMYFUNCTION("""COMPUTED_VALUE"""),"Foto")</f>
        <v>Foto</v>
      </c>
      <c r="CL244" s="30"/>
      <c r="CM244" s="30" t="str">
        <f ca="1">IFERROR(__xludf.DUMMYFUNCTION("""COMPUTED_VALUE"""),"León")</f>
        <v>León</v>
      </c>
      <c r="CN244" s="32" t="e">
        <f ca="1"/>
        <v>#NAME?</v>
      </c>
      <c r="CO244" s="32" t="e">
        <f ca="1"/>
        <v>#NAME?</v>
      </c>
      <c r="CP244" s="32" t="e">
        <f ca="1"/>
        <v>#NAME?</v>
      </c>
      <c r="CQ244" s="32" t="e">
        <f ca="1"/>
        <v>#NAME?</v>
      </c>
      <c r="CR244" s="30" t="e">
        <f ca="1"/>
        <v>#NAME?</v>
      </c>
      <c r="CS244" s="30" t="str">
        <f ca="1">IFERROR(__xludf.DUMMYFUNCTION("""COMPUTED_VALUE"""),"Ninguno (Población General)")</f>
        <v>Ninguno (Población General)</v>
      </c>
    </row>
    <row r="245" spans="1:97" ht="13">
      <c r="A245" s="29" t="str">
        <f ca="1">IFERROR(__xludf.DUMMYFUNCTION("""COMPUTED_VALUE"""),"ACT-SCGS78184")</f>
        <v>ACT-SCGS78184</v>
      </c>
      <c r="B245" s="30" t="str">
        <f ca="1">IFERROR(__xludf.DUMMYFUNCTION("""COMPUTED_VALUE"""),"SC-260810-104051")</f>
        <v>SC-260810-104051</v>
      </c>
      <c r="C245" s="62">
        <f ca="1">IFERROR(__xludf.DUMMYFUNCTION("""COMPUTED_VALUE"""),46244.4450347222)</f>
        <v>46244.445034722201</v>
      </c>
      <c r="D245" s="30">
        <f ca="1">IFERROR(__xludf.DUMMYFUNCTION("""COMPUTED_VALUE"""),92)</f>
        <v>92</v>
      </c>
      <c r="E245" s="30" t="str">
        <f ca="1">IFERROR(__xludf.DUMMYFUNCTION("""COMPUTED_VALUE"""),"PB3572")</f>
        <v>PB3572</v>
      </c>
      <c r="F24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5" s="30" t="str">
        <f ca="1">IFERROR(__xludf.DUMMYFUNCTION("""COMPUTED_VALUE"""),"SUBSECRETARÍA DE DESARROLLO Y PROMOCIÓN ARTÍSTICA Y CULTURAL")</f>
        <v>SUBSECRETARÍA DE DESARROLLO Y PROMOCIÓN ARTÍSTICA Y CULTURAL</v>
      </c>
      <c r="I245" s="34" t="str">
        <f ca="1">IFERROR(__xludf.DUMMYFUNCTION("""COMPUTED_VALUE"""),"DIRECCIÓN GENERAL DE MUSEOS, ARTES VISUALES Y EXPOSICIONES")</f>
        <v>DIRECCIÓN GENERAL DE MUSEOS, ARTES VISUALES Y EXPOSICIONES</v>
      </c>
      <c r="J245" s="30" t="str">
        <f ca="1">IFERROR(__xludf.DUMMYFUNCTION("""COMPUTED_VALUE"""),"Número de Actividades realizadas")</f>
        <v>Número de Actividades realizadas</v>
      </c>
      <c r="K245" s="30">
        <f ca="1">IFERROR(__xludf.DUMMYFUNCTION("""COMPUTED_VALUE"""),800)</f>
        <v>800</v>
      </c>
      <c r="L245" s="30" t="str">
        <f ca="1">IFERROR(__xludf.DUMMYFUNCTION("""COMPUTED_VALUE"""),"Cultural")</f>
        <v>Cultural</v>
      </c>
      <c r="M245" s="30" t="str">
        <f ca="1">IFERROR(__xludf.DUMMYFUNCTION("""COMPUTED_VALUE"""),"Visita escolar ""ROSARIO CASTELLANOS""")</f>
        <v>Visita escolar "ROSARIO CASTELLANOS"</v>
      </c>
      <c r="N245" s="30" t="str">
        <f ca="1">IFERROR(__xludf.DUMMYFUNCTION("""COMPUTED_VALUE"""),"Visita mediada")</f>
        <v>Visita mediada</v>
      </c>
      <c r="O245" s="30" t="str">
        <f ca="1">IFERROR(__xludf.DUMMYFUNCTION("""COMPUTED_VALUE"""),"Única")</f>
        <v>Única</v>
      </c>
      <c r="P245" s="33">
        <f ca="1">IFERROR(__xludf.DUMMYFUNCTION("""COMPUTED_VALUE"""),46212)</f>
        <v>46212</v>
      </c>
      <c r="Q245" s="33">
        <f ca="1">IFERROR(__xludf.DUMMYFUNCTION("""COMPUTED_VALUE"""),46212)</f>
        <v>46212</v>
      </c>
      <c r="R245" s="30">
        <f ca="1">IFERROR(__xludf.DUMMYFUNCTION("""COMPUTED_VALUE"""),1)</f>
        <v>1</v>
      </c>
      <c r="S245" s="30" t="str">
        <f ca="1">IFERROR(__xludf.DUMMYFUNCTION("""COMPUTED_VALUE"""),"Cultura comunitaria")</f>
        <v>Cultura comunitaria</v>
      </c>
      <c r="T245" s="30" t="str">
        <f ca="1">IFERROR(__xludf.DUMMYFUNCTION("""COMPUTED_VALUE"""),"Mediación cultural")</f>
        <v>Mediación cultural</v>
      </c>
      <c r="U245" s="30" t="str">
        <f ca="1">IFERROR(__xludf.DUMMYFUNCTION("""COMPUTED_VALUE"""),"Visitas escolares")</f>
        <v>Visitas escolares</v>
      </c>
      <c r="V245" s="30" t="str">
        <f ca="1">IFERROR(__xludf.DUMMYFUNCTION("""COMPUTED_VALUE"""),"Ninguna")</f>
        <v>Ninguna</v>
      </c>
      <c r="W245" s="30" t="str">
        <f ca="1">IFERROR(__xludf.DUMMYFUNCTION("""COMPUTED_VALUE"""),"Presencial")</f>
        <v>Presencial</v>
      </c>
      <c r="X245" s="30" t="str">
        <f ca="1">IFERROR(__xludf.DUMMYFUNCTION("""COMPUTED_VALUE"""),"Espacio a Cargo de la Secretaría")</f>
        <v>Espacio a Cargo de la Secretaría</v>
      </c>
      <c r="Y245" s="30" t="str">
        <f ca="1">IFERROR(__xludf.DUMMYFUNCTION("""COMPUTED_VALUE"""),"Museo de Arte e Historia de Guanajuato, sala Feliciano Peña")</f>
        <v>Museo de Arte e Historia de Guanajuato, sala Feliciano Peña</v>
      </c>
      <c r="Z245" s="30"/>
      <c r="AA245" s="30"/>
      <c r="AB245" s="30" t="b">
        <f ca="1">IFERROR(__xludf.DUMMYFUNCTION("""COMPUTED_VALUE"""),FALSE)</f>
        <v>0</v>
      </c>
      <c r="AC245" s="30"/>
      <c r="AD245" s="30" t="b">
        <f ca="1">IFERROR(__xludf.DUMMYFUNCTION("""COMPUTED_VALUE"""),FALSE)</f>
        <v>0</v>
      </c>
      <c r="AE245" s="30"/>
      <c r="AF245" s="30" t="b">
        <f ca="1">IFERROR(__xludf.DUMMYFUNCTION("""COMPUTED_VALUE"""),FALSE)</f>
        <v>0</v>
      </c>
      <c r="AG245" s="30"/>
      <c r="AH245" s="30" t="str">
        <f ca="1">IFERROR(__xludf.DUMMYFUNCTION("""COMPUTED_VALUE"""),"Sin costo")</f>
        <v>Sin costo</v>
      </c>
      <c r="AI245" s="30"/>
      <c r="AJ245" s="30"/>
      <c r="AK245" s="30"/>
      <c r="AL245" s="30" t="str">
        <f ca="1">IFERROR(__xludf.DUMMYFUNCTION("""COMPUTED_VALUE"""),"ccardonav@guanajuato.gob.mx")</f>
        <v>ccardonav@guanajuato.gob.mx</v>
      </c>
      <c r="AM245" s="30" t="str">
        <f ca="1">IFERROR(__xludf.DUMMYFUNCTION("""COMPUTED_VALUE"""),"Arraigo y empoderamiento cultural de comunidades.")</f>
        <v>Arraigo y empoderamiento cultural de comunidades.</v>
      </c>
      <c r="AN245" s="30" t="str">
        <f ca="1">IFERROR(__xludf.DUMMYFUNCTION("""COMPUTED_VALUE"""),"2 Igualdad")</f>
        <v>2 Igualdad</v>
      </c>
      <c r="AO245" s="30" t="str">
        <f ca="1">IFERROR(__xludf.DUMMYFUNCTION("""COMPUTED_VALUE"""),"2.4 Reducir brechas de desigualdad")</f>
        <v>2.4 Reducir brechas de desigualdad</v>
      </c>
      <c r="AP245" s="30" t="str">
        <f ca="1">IFERROR(__xludf.DUMMYFUNCTION("""COMPUTED_VALUE"""),"2.4.3 Descentralización de la oferta cultural")</f>
        <v>2.4.3 Descentralización de la oferta cultural</v>
      </c>
      <c r="AQ245" s="30" t="str">
        <f ca="1">IFERROR(__xludf.DUMMYFUNCTION("""COMPUTED_VALUE"""),"2.4.3.1 Impulsar el desarrollo artístico y cultural entre infancias y juventudes")</f>
        <v>2.4.3.1 Impulsar el desarrollo artístico y cultural entre infancias y juventudes</v>
      </c>
      <c r="AR245" s="30" t="str">
        <f ca="1">IFERROR(__xludf.DUMMYFUNCTION("""COMPUTED_VALUE"""),"Ninguno")</f>
        <v>Ninguno</v>
      </c>
      <c r="AS245" s="30"/>
      <c r="AT245" s="30" t="str">
        <f ca="1">IFERROR(__xludf.DUMMYFUNCTION("""COMPUTED_VALUE"""),"Fortalecimiento de la participación ciudadana y la mediación cultural")</f>
        <v>Fortalecimiento de la participación ciudadana y la mediación cultural</v>
      </c>
      <c r="AU245" s="30" t="str">
        <f ca="1">IFERROR(__xludf.DUMMYFUNCTION("""COMPUTED_VALUE"""),"Fortalecimiento del diálogo, la mediación y las capacidades de las redes comunitarias.")</f>
        <v>Fortalecimiento del diálogo, la mediación y las capacidades de las redes comunitarias.</v>
      </c>
      <c r="AV24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45" s="30" t="str">
        <f ca="1">IFERROR(__xludf.DUMMYFUNCTION("""COMPUTED_VALUE"""),"Incrementar en 25% la oferta cultural realizada en los municipios.")</f>
        <v>Incrementar en 25% la oferta cultural realizada en los municipios.</v>
      </c>
      <c r="AX245" s="30" t="str">
        <f ca="1">IFERROR(__xludf.DUMMYFUNCTION("""COMPUTED_VALUE"""),"Visitas escolares")</f>
        <v>Visitas escolares</v>
      </c>
      <c r="AY245" s="30" t="str">
        <f ca="1">IFERROR(__xludf.DUMMYFUNCTION("""COMPUTED_VALUE"""),"Mediación")</f>
        <v>Mediación</v>
      </c>
      <c r="AZ245" s="30"/>
      <c r="BA245" s="30"/>
      <c r="BB245" s="30"/>
      <c r="BC245" s="30">
        <f ca="1">IFERROR(__xludf.DUMMYFUNCTION("""COMPUTED_VALUE"""),0)</f>
        <v>0</v>
      </c>
      <c r="BD245" s="30"/>
      <c r="BE245" s="30"/>
      <c r="BF245" s="30" t="b">
        <f ca="1">IFERROR(__xludf.DUMMYFUNCTION("""COMPUTED_VALUE"""),FALSE)</f>
        <v>0</v>
      </c>
      <c r="BG245" s="30"/>
      <c r="BH245" s="30"/>
      <c r="BI245" s="30"/>
      <c r="BJ245" s="30"/>
      <c r="BK245" s="30"/>
      <c r="BL245" s="30"/>
      <c r="BM245" s="30" t="str">
        <f ca="1">IFERROR(__xludf.DUMMYFUNCTION("""COMPUTED_VALUE"""),"No")</f>
        <v>No</v>
      </c>
      <c r="BN245" s="30"/>
      <c r="BO245" s="30" t="str">
        <f ca="1">IFERROR(__xludf.DUMMYFUNCTION("""COMPUTED_VALUE"""),"e2bf7f9f")</f>
        <v>e2bf7f9f</v>
      </c>
      <c r="BP245" s="29" t="str">
        <f ca="1">IFERROR(__xludf.DUMMYFUNCTION("""COMPUTED_VALUE"""),"León")</f>
        <v>León</v>
      </c>
      <c r="BQ245" s="30" t="str">
        <f ca="1">IFERROR(__xludf.DUMMYFUNCTION("""COMPUTED_VALUE"""),"Urbano")</f>
        <v>Urbano</v>
      </c>
      <c r="BR245" s="30"/>
      <c r="BS245" s="30"/>
      <c r="BT245" s="30" t="str">
        <f ca="1">IFERROR(__xludf.DUMMYFUNCTION("""COMPUTED_VALUE"""),"La Martinica")</f>
        <v>La Martinica</v>
      </c>
      <c r="BU245" s="30" t="str">
        <f ca="1">IFERROR(__xludf.DUMMYFUNCTION("""COMPUTED_VALUE"""),"No")</f>
        <v>No</v>
      </c>
      <c r="BV245" s="30" t="str">
        <f ca="1">IFERROR(__xludf.DUMMYFUNCTION("""COMPUTED_VALUE"""),"No")</f>
        <v>No</v>
      </c>
      <c r="BW245" s="30">
        <f ca="1">IFERROR(__xludf.DUMMYFUNCTION("""COMPUTED_VALUE"""),9)</f>
        <v>9</v>
      </c>
      <c r="BX245" s="30"/>
      <c r="BY245" s="30">
        <f ca="1">IFERROR(__xludf.DUMMYFUNCTION("""COMPUTED_VALUE"""),9)</f>
        <v>9</v>
      </c>
      <c r="BZ245" s="30" t="str">
        <f ca="1">IFERROR(__xludf.DUMMYFUNCTION("""COMPUTED_VALUE"""),"La Martinica")</f>
        <v>La Martinica</v>
      </c>
      <c r="CA245" s="30" t="str">
        <f ca="1">IFERROR(__xludf.DUMMYFUNCTION("""COMPUTED_VALUE"""),"No")</f>
        <v>No</v>
      </c>
      <c r="CB245" s="30" t="str">
        <f ca="1">IFERROR(__xludf.DUMMYFUNCTION("""COMPUTED_VALUE"""),"No")</f>
        <v>No</v>
      </c>
      <c r="CC245" s="30" t="str">
        <f ca="1">IFERROR(__xludf.DUMMYFUNCTION("""COMPUTED_VALUE"""),"ff4a9dcf")</f>
        <v>ff4a9dcf</v>
      </c>
      <c r="CD245" s="29" t="str">
        <f ca="1">IFERROR(__xludf.DUMMYFUNCTION("""COMPUTED_VALUE"""),"Jóvenes (18 a 29 años)")</f>
        <v>Jóvenes (18 a 29 años)</v>
      </c>
      <c r="CE245" s="30" t="str">
        <f ca="1">IFERROR(__xludf.DUMMYFUNCTION("""COMPUTED_VALUE"""),"Dato global")</f>
        <v>Dato global</v>
      </c>
      <c r="CF245" s="30" t="str">
        <f ca="1">IFERROR(__xludf.DUMMYFUNCTION("""COMPUTED_VALUE"""),"Ninguno (Población General)")</f>
        <v>Ninguno (Población General)</v>
      </c>
      <c r="CG245" s="30">
        <f ca="1">IFERROR(__xludf.DUMMYFUNCTION("""COMPUTED_VALUE"""),4)</f>
        <v>4</v>
      </c>
      <c r="CI245" s="30" t="str">
        <f ca="1">IFERROR(__xludf.DUMMYFUNCTION("""COMPUTED_VALUE"""),"cb329c8f")</f>
        <v>cb329c8f</v>
      </c>
      <c r="CJ245" s="29" t="str">
        <f ca="1">IFERROR(__xludf.DUMMYFUNCTION("""COMPUTED_VALUE"""),"Regitro_Evidencia_Images/cb329c8f.Archivo_Evidencia.214751.jpg")</f>
        <v>Regitro_Evidencia_Images/cb329c8f.Archivo_Evidencia.214751.jpg</v>
      </c>
      <c r="CK245" s="30" t="str">
        <f ca="1">IFERROR(__xludf.DUMMYFUNCTION("""COMPUTED_VALUE"""),"Foto")</f>
        <v>Foto</v>
      </c>
      <c r="CL245" s="30"/>
      <c r="CM245" s="30" t="str">
        <f ca="1">IFERROR(__xludf.DUMMYFUNCTION("""COMPUTED_VALUE"""),"León")</f>
        <v>León</v>
      </c>
      <c r="CN245" s="32" t="e">
        <f ca="1"/>
        <v>#NAME?</v>
      </c>
      <c r="CO245" s="32" t="e">
        <f ca="1"/>
        <v>#NAME?</v>
      </c>
      <c r="CP245" s="32" t="e">
        <f ca="1"/>
        <v>#NAME?</v>
      </c>
      <c r="CQ245" s="32" t="e">
        <f ca="1"/>
        <v>#NAME?</v>
      </c>
      <c r="CR245" s="30" t="e">
        <f ca="1"/>
        <v>#NAME?</v>
      </c>
      <c r="CS245" s="30" t="str">
        <f ca="1">IFERROR(__xludf.DUMMYFUNCTION("""COMPUTED_VALUE"""),"Ninguno (Población General)")</f>
        <v>Ninguno (Población General)</v>
      </c>
    </row>
    <row r="246" spans="1:97" ht="13">
      <c r="A246" s="29" t="str">
        <f ca="1">IFERROR(__xludf.DUMMYFUNCTION("""COMPUTED_VALUE"""),"ACT-SCMS87299")</f>
        <v>ACT-SCMS87299</v>
      </c>
      <c r="B246" s="30" t="str">
        <f ca="1">IFERROR(__xludf.DUMMYFUNCTION("""COMPUTED_VALUE"""),"SC-260810-111922")</f>
        <v>SC-260810-111922</v>
      </c>
      <c r="C246" s="62">
        <f ca="1">IFERROR(__xludf.DUMMYFUNCTION("""COMPUTED_VALUE"""),46244.4717824074)</f>
        <v>46244.471782407403</v>
      </c>
      <c r="D246" s="30">
        <f ca="1">IFERROR(__xludf.DUMMYFUNCTION("""COMPUTED_VALUE"""),92)</f>
        <v>92</v>
      </c>
      <c r="E246" s="30" t="str">
        <f ca="1">IFERROR(__xludf.DUMMYFUNCTION("""COMPUTED_VALUE"""),"PB3572")</f>
        <v>PB3572</v>
      </c>
      <c r="F24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6" s="30" t="str">
        <f ca="1">IFERROR(__xludf.DUMMYFUNCTION("""COMPUTED_VALUE"""),"SUBSECRETARÍA DE DESARROLLO Y PROMOCIÓN ARTÍSTICA Y CULTURAL")</f>
        <v>SUBSECRETARÍA DE DESARROLLO Y PROMOCIÓN ARTÍSTICA Y CULTURAL</v>
      </c>
      <c r="I246" s="34" t="str">
        <f ca="1">IFERROR(__xludf.DUMMYFUNCTION("""COMPUTED_VALUE"""),"DIRECCIÓN GENERAL DE MUSEOS, ARTES VISUALES Y EXPOSICIONES")</f>
        <v>DIRECCIÓN GENERAL DE MUSEOS, ARTES VISUALES Y EXPOSICIONES</v>
      </c>
      <c r="J246" s="30" t="str">
        <f ca="1">IFERROR(__xludf.DUMMYFUNCTION("""COMPUTED_VALUE"""),"Número de Actividades realizadas")</f>
        <v>Número de Actividades realizadas</v>
      </c>
      <c r="K246" s="30">
        <f ca="1">IFERROR(__xludf.DUMMYFUNCTION("""COMPUTED_VALUE"""),800)</f>
        <v>800</v>
      </c>
      <c r="L246" s="30" t="str">
        <f ca="1">IFERROR(__xludf.DUMMYFUNCTION("""COMPUTED_VALUE"""),"Cultural")</f>
        <v>Cultural</v>
      </c>
      <c r="M246" s="30" t="str">
        <f ca="1">IFERROR(__xludf.DUMMYFUNCTION("""COMPUTED_VALUE"""),"Visita "" Centro Fox""")</f>
        <v>Visita " Centro Fox"</v>
      </c>
      <c r="N246" s="30" t="str">
        <f ca="1">IFERROR(__xludf.DUMMYFUNCTION("""COMPUTED_VALUE"""),"Visita Mediada")</f>
        <v>Visita Mediada</v>
      </c>
      <c r="O246" s="30" t="str">
        <f ca="1">IFERROR(__xludf.DUMMYFUNCTION("""COMPUTED_VALUE"""),"Única")</f>
        <v>Única</v>
      </c>
      <c r="P246" s="33">
        <f ca="1">IFERROR(__xludf.DUMMYFUNCTION("""COMPUTED_VALUE"""),46212)</f>
        <v>46212</v>
      </c>
      <c r="Q246" s="33">
        <f ca="1">IFERROR(__xludf.DUMMYFUNCTION("""COMPUTED_VALUE"""),46212)</f>
        <v>46212</v>
      </c>
      <c r="R246" s="30">
        <f ca="1">IFERROR(__xludf.DUMMYFUNCTION("""COMPUTED_VALUE"""),1)</f>
        <v>1</v>
      </c>
      <c r="S246" s="30" t="str">
        <f ca="1">IFERROR(__xludf.DUMMYFUNCTION("""COMPUTED_VALUE"""),"Cultura comunitaria")</f>
        <v>Cultura comunitaria</v>
      </c>
      <c r="T246" s="30" t="str">
        <f ca="1">IFERROR(__xludf.DUMMYFUNCTION("""COMPUTED_VALUE"""),"Mediación cultural")</f>
        <v>Mediación cultural</v>
      </c>
      <c r="U246" s="30" t="str">
        <f ca="1">IFERROR(__xludf.DUMMYFUNCTION("""COMPUTED_VALUE"""),"Visitas guiadas")</f>
        <v>Visitas guiadas</v>
      </c>
      <c r="V246" s="30" t="str">
        <f ca="1">IFERROR(__xludf.DUMMYFUNCTION("""COMPUTED_VALUE"""),"Ninguna")</f>
        <v>Ninguna</v>
      </c>
      <c r="W246" s="30" t="str">
        <f ca="1">IFERROR(__xludf.DUMMYFUNCTION("""COMPUTED_VALUE"""),"Presencial")</f>
        <v>Presencial</v>
      </c>
      <c r="X246" s="30" t="str">
        <f ca="1">IFERROR(__xludf.DUMMYFUNCTION("""COMPUTED_VALUE"""),"Espacio a Cargo de la Secretaría")</f>
        <v>Espacio a Cargo de la Secretaría</v>
      </c>
      <c r="Y246" s="30" t="str">
        <f ca="1">IFERROR(__xludf.DUMMYFUNCTION("""COMPUTED_VALUE"""),"Museo de Arte e Historia de Guanajuato, sala Feliciano Peña")</f>
        <v>Museo de Arte e Historia de Guanajuato, sala Feliciano Peña</v>
      </c>
      <c r="Z246" s="30"/>
      <c r="AA246" s="30"/>
      <c r="AB246" s="30" t="b">
        <f ca="1">IFERROR(__xludf.DUMMYFUNCTION("""COMPUTED_VALUE"""),FALSE)</f>
        <v>0</v>
      </c>
      <c r="AC246" s="30"/>
      <c r="AD246" s="30" t="b">
        <f ca="1">IFERROR(__xludf.DUMMYFUNCTION("""COMPUTED_VALUE"""),FALSE)</f>
        <v>0</v>
      </c>
      <c r="AE246" s="30"/>
      <c r="AF246" s="30" t="b">
        <f ca="1">IFERROR(__xludf.DUMMYFUNCTION("""COMPUTED_VALUE"""),FALSE)</f>
        <v>0</v>
      </c>
      <c r="AG246" s="30"/>
      <c r="AH246" s="30" t="str">
        <f ca="1">IFERROR(__xludf.DUMMYFUNCTION("""COMPUTED_VALUE"""),"Sin costo")</f>
        <v>Sin costo</v>
      </c>
      <c r="AI246" s="30"/>
      <c r="AJ246" s="30"/>
      <c r="AK246" s="30"/>
      <c r="AL246" s="30" t="str">
        <f ca="1">IFERROR(__xludf.DUMMYFUNCTION("""COMPUTED_VALUE"""),"ccardonav@guanajuato.gob.mx")</f>
        <v>ccardonav@guanajuato.gob.mx</v>
      </c>
      <c r="AM246" s="30" t="str">
        <f ca="1">IFERROR(__xludf.DUMMYFUNCTION("""COMPUTED_VALUE"""),"Arraigo y empoderamiento cultural de comunidades.")</f>
        <v>Arraigo y empoderamiento cultural de comunidades.</v>
      </c>
      <c r="AN246" s="30" t="str">
        <f ca="1">IFERROR(__xludf.DUMMYFUNCTION("""COMPUTED_VALUE"""),"2 Igualdad")</f>
        <v>2 Igualdad</v>
      </c>
      <c r="AO246" s="30" t="str">
        <f ca="1">IFERROR(__xludf.DUMMYFUNCTION("""COMPUTED_VALUE"""),"2.4 Reducir brechas de desigualdad")</f>
        <v>2.4 Reducir brechas de desigualdad</v>
      </c>
      <c r="AP246" s="30" t="str">
        <f ca="1">IFERROR(__xludf.DUMMYFUNCTION("""COMPUTED_VALUE"""),"2.4.3 Descentralización de la oferta cultural")</f>
        <v>2.4.3 Descentralización de la oferta cultural</v>
      </c>
      <c r="AQ246" s="30" t="str">
        <f ca="1">IFERROR(__xludf.DUMMYFUNCTION("""COMPUTED_VALUE"""),"2.4.3.1 Impulsar el desarrollo artístico y cultural entre infancias y juventudes")</f>
        <v>2.4.3.1 Impulsar el desarrollo artístico y cultural entre infancias y juventudes</v>
      </c>
      <c r="AR246" s="30" t="str">
        <f ca="1">IFERROR(__xludf.DUMMYFUNCTION("""COMPUTED_VALUE"""),"Ninguno")</f>
        <v>Ninguno</v>
      </c>
      <c r="AS246" s="30"/>
      <c r="AT246" s="30" t="str">
        <f ca="1">IFERROR(__xludf.DUMMYFUNCTION("""COMPUTED_VALUE"""),"Fortalecimiento de la participación ciudadana y la mediación cultural")</f>
        <v>Fortalecimiento de la participación ciudadana y la mediación cultural</v>
      </c>
      <c r="AU246" s="30" t="str">
        <f ca="1">IFERROR(__xludf.DUMMYFUNCTION("""COMPUTED_VALUE"""),"Fortalecimiento del diálogo, la mediación y las capacidades de las redes comunitarias.")</f>
        <v>Fortalecimiento del diálogo, la mediación y las capacidades de las redes comunitarias.</v>
      </c>
      <c r="AV24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46" s="30" t="str">
        <f ca="1">IFERROR(__xludf.DUMMYFUNCTION("""COMPUTED_VALUE"""),"Incrementar en 25% la oferta cultural realizada en los municipios.")</f>
        <v>Incrementar en 25% la oferta cultural realizada en los municipios.</v>
      </c>
      <c r="AX246" s="30" t="str">
        <f ca="1">IFERROR(__xludf.DUMMYFUNCTION("""COMPUTED_VALUE"""),"Visitas guiadas")</f>
        <v>Visitas guiadas</v>
      </c>
      <c r="AY246" s="30" t="str">
        <f ca="1">IFERROR(__xludf.DUMMYFUNCTION("""COMPUTED_VALUE"""),"Mediación")</f>
        <v>Mediación</v>
      </c>
      <c r="AZ246" s="30"/>
      <c r="BA246" s="30"/>
      <c r="BB246" s="30"/>
      <c r="BC246" s="30">
        <f ca="1">IFERROR(__xludf.DUMMYFUNCTION("""COMPUTED_VALUE"""),0)</f>
        <v>0</v>
      </c>
      <c r="BD246" s="30"/>
      <c r="BE246" s="30"/>
      <c r="BF246" s="30" t="b">
        <f ca="1">IFERROR(__xludf.DUMMYFUNCTION("""COMPUTED_VALUE"""),FALSE)</f>
        <v>0</v>
      </c>
      <c r="BG246" s="30"/>
      <c r="BH246" s="30"/>
      <c r="BI246" s="30"/>
      <c r="BJ246" s="30"/>
      <c r="BK246" s="30"/>
      <c r="BL246" s="30"/>
      <c r="BM246" s="30" t="str">
        <f ca="1">IFERROR(__xludf.DUMMYFUNCTION("""COMPUTED_VALUE"""),"No")</f>
        <v>No</v>
      </c>
      <c r="BN246" s="30"/>
      <c r="BO246" s="30" t="str">
        <f ca="1">IFERROR(__xludf.DUMMYFUNCTION("""COMPUTED_VALUE"""),"9b104c91")</f>
        <v>9b104c91</v>
      </c>
      <c r="BP246" s="29" t="str">
        <f ca="1">IFERROR(__xludf.DUMMYFUNCTION("""COMPUTED_VALUE"""),"León")</f>
        <v>León</v>
      </c>
      <c r="BQ246" s="30" t="str">
        <f ca="1">IFERROR(__xludf.DUMMYFUNCTION("""COMPUTED_VALUE"""),"Urbano")</f>
        <v>Urbano</v>
      </c>
      <c r="BR246" s="30"/>
      <c r="BS246" s="30"/>
      <c r="BT246" s="30" t="str">
        <f ca="1">IFERROR(__xludf.DUMMYFUNCTION("""COMPUTED_VALUE"""),"La Martinica")</f>
        <v>La Martinica</v>
      </c>
      <c r="BU246" s="30" t="str">
        <f ca="1">IFERROR(__xludf.DUMMYFUNCTION("""COMPUTED_VALUE"""),"No")</f>
        <v>No</v>
      </c>
      <c r="BV246" s="30" t="str">
        <f ca="1">IFERROR(__xludf.DUMMYFUNCTION("""COMPUTED_VALUE"""),"No")</f>
        <v>No</v>
      </c>
      <c r="BW246" s="30">
        <f ca="1">IFERROR(__xludf.DUMMYFUNCTION("""COMPUTED_VALUE"""),26)</f>
        <v>26</v>
      </c>
      <c r="BX246" s="30"/>
      <c r="BY246" s="30">
        <f ca="1">IFERROR(__xludf.DUMMYFUNCTION("""COMPUTED_VALUE"""),26)</f>
        <v>26</v>
      </c>
      <c r="BZ246" s="30" t="str">
        <f ca="1">IFERROR(__xludf.DUMMYFUNCTION("""COMPUTED_VALUE"""),"La Martinica")</f>
        <v>La Martinica</v>
      </c>
      <c r="CA246" s="30" t="str">
        <f ca="1">IFERROR(__xludf.DUMMYFUNCTION("""COMPUTED_VALUE"""),"No")</f>
        <v>No</v>
      </c>
      <c r="CB246" s="30" t="str">
        <f ca="1">IFERROR(__xludf.DUMMYFUNCTION("""COMPUTED_VALUE"""),"No")</f>
        <v>No</v>
      </c>
      <c r="CC246" s="30" t="str">
        <f ca="1">IFERROR(__xludf.DUMMYFUNCTION("""COMPUTED_VALUE"""),"fd46cc7f")</f>
        <v>fd46cc7f</v>
      </c>
      <c r="CD246" s="29" t="str">
        <f ca="1">IFERROR(__xludf.DUMMYFUNCTION("""COMPUTED_VALUE"""),"Adultos (30 a 59 años)")</f>
        <v>Adultos (30 a 59 años)</v>
      </c>
      <c r="CE246" s="30" t="str">
        <f ca="1">IFERROR(__xludf.DUMMYFUNCTION("""COMPUTED_VALUE"""),"Dato global")</f>
        <v>Dato global</v>
      </c>
      <c r="CF246" s="30" t="str">
        <f ca="1">IFERROR(__xludf.DUMMYFUNCTION("""COMPUTED_VALUE"""),"Ninguno (Población General)")</f>
        <v>Ninguno (Población General)</v>
      </c>
      <c r="CG246" s="30">
        <f ca="1">IFERROR(__xludf.DUMMYFUNCTION("""COMPUTED_VALUE"""),12)</f>
        <v>12</v>
      </c>
      <c r="CI246" s="30" t="str">
        <f ca="1">IFERROR(__xludf.DUMMYFUNCTION("""COMPUTED_VALUE"""),"b6d8ab76")</f>
        <v>b6d8ab76</v>
      </c>
      <c r="CJ246" s="29" t="str">
        <f ca="1">IFERROR(__xludf.DUMMYFUNCTION("""COMPUTED_VALUE"""),"Regitro_Evidencia_Images/b6d8ab76.Archivo_Evidencia.224546.jpg")</f>
        <v>Regitro_Evidencia_Images/b6d8ab76.Archivo_Evidencia.224546.jpg</v>
      </c>
      <c r="CK246" s="30" t="str">
        <f ca="1">IFERROR(__xludf.DUMMYFUNCTION("""COMPUTED_VALUE"""),"Foto")</f>
        <v>Foto</v>
      </c>
      <c r="CL246" s="30"/>
      <c r="CM246" s="30" t="str">
        <f ca="1">IFERROR(__xludf.DUMMYFUNCTION("""COMPUTED_VALUE"""),"León")</f>
        <v>León</v>
      </c>
      <c r="CN246" s="32" t="e">
        <f ca="1"/>
        <v>#NAME?</v>
      </c>
      <c r="CO246" s="32" t="e">
        <f ca="1"/>
        <v>#NAME?</v>
      </c>
      <c r="CP246" s="32" t="e">
        <f ca="1"/>
        <v>#NAME?</v>
      </c>
      <c r="CQ246" s="32" t="e">
        <f ca="1"/>
        <v>#NAME?</v>
      </c>
      <c r="CR246" s="30" t="e">
        <f ca="1"/>
        <v>#NAME?</v>
      </c>
      <c r="CS246" s="30" t="str">
        <f ca="1">IFERROR(__xludf.DUMMYFUNCTION("""COMPUTED_VALUE"""),"Ninguno (Población General)")</f>
        <v>Ninguno (Población General)</v>
      </c>
    </row>
    <row r="247" spans="1:97" ht="13">
      <c r="A247" s="29" t="str">
        <f ca="1">IFERROR(__xludf.DUMMYFUNCTION("""COMPUTED_VALUE"""),"ACT-SCDK66386")</f>
        <v>ACT-SCDK66386</v>
      </c>
      <c r="B247" s="30" t="str">
        <f ca="1">IFERROR(__xludf.DUMMYFUNCTION("""COMPUTED_VALUE"""),"SC-260810-112932")</f>
        <v>SC-260810-112932</v>
      </c>
      <c r="C247" s="62">
        <f ca="1">IFERROR(__xludf.DUMMYFUNCTION("""COMPUTED_VALUE"""),46244.4788425925)</f>
        <v>46244.4788425925</v>
      </c>
      <c r="D247" s="30">
        <f ca="1">IFERROR(__xludf.DUMMYFUNCTION("""COMPUTED_VALUE"""),92)</f>
        <v>92</v>
      </c>
      <c r="E247" s="30" t="str">
        <f ca="1">IFERROR(__xludf.DUMMYFUNCTION("""COMPUTED_VALUE"""),"PB3572")</f>
        <v>PB3572</v>
      </c>
      <c r="F24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7" s="30" t="str">
        <f ca="1">IFERROR(__xludf.DUMMYFUNCTION("""COMPUTED_VALUE"""),"SUBSECRETARÍA DE DESARROLLO Y PROMOCIÓN ARTÍSTICA Y CULTURAL")</f>
        <v>SUBSECRETARÍA DE DESARROLLO Y PROMOCIÓN ARTÍSTICA Y CULTURAL</v>
      </c>
      <c r="I247" s="34" t="str">
        <f ca="1">IFERROR(__xludf.DUMMYFUNCTION("""COMPUTED_VALUE"""),"DIRECCIÓN GENERAL DE MUSEOS, ARTES VISUALES Y EXPOSICIONES")</f>
        <v>DIRECCIÓN GENERAL DE MUSEOS, ARTES VISUALES Y EXPOSICIONES</v>
      </c>
      <c r="J247" s="30" t="str">
        <f ca="1">IFERROR(__xludf.DUMMYFUNCTION("""COMPUTED_VALUE"""),"Número de Actividades realizadas")</f>
        <v>Número de Actividades realizadas</v>
      </c>
      <c r="K247" s="30">
        <f ca="1">IFERROR(__xludf.DUMMYFUNCTION("""COMPUTED_VALUE"""),800)</f>
        <v>800</v>
      </c>
      <c r="L247" s="30" t="str">
        <f ca="1">IFERROR(__xludf.DUMMYFUNCTION("""COMPUTED_VALUE"""),"Cultural")</f>
        <v>Cultural</v>
      </c>
      <c r="M247" s="30" t="str">
        <f ca="1">IFERROR(__xludf.DUMMYFUNCTION("""COMPUTED_VALUE"""),"Visita Libre")</f>
        <v>Visita Libre</v>
      </c>
      <c r="N247" s="30" t="str">
        <f ca="1">IFERROR(__xludf.DUMMYFUNCTION("""COMPUTED_VALUE"""),"Visita Mediada")</f>
        <v>Visita Mediada</v>
      </c>
      <c r="O247" s="30" t="str">
        <f ca="1">IFERROR(__xludf.DUMMYFUNCTION("""COMPUTED_VALUE"""),"Única")</f>
        <v>Única</v>
      </c>
      <c r="P247" s="33">
        <f ca="1">IFERROR(__xludf.DUMMYFUNCTION("""COMPUTED_VALUE"""),46212)</f>
        <v>46212</v>
      </c>
      <c r="Q247" s="33">
        <f ca="1">IFERROR(__xludf.DUMMYFUNCTION("""COMPUTED_VALUE"""),46212)</f>
        <v>46212</v>
      </c>
      <c r="R247" s="30">
        <f ca="1">IFERROR(__xludf.DUMMYFUNCTION("""COMPUTED_VALUE"""),1)</f>
        <v>1</v>
      </c>
      <c r="S247" s="30" t="str">
        <f ca="1">IFERROR(__xludf.DUMMYFUNCTION("""COMPUTED_VALUE"""),"Cultura comunitaria")</f>
        <v>Cultura comunitaria</v>
      </c>
      <c r="T247" s="30" t="str">
        <f ca="1">IFERROR(__xludf.DUMMYFUNCTION("""COMPUTED_VALUE"""),"Mediación cultural")</f>
        <v>Mediación cultural</v>
      </c>
      <c r="U247" s="30" t="str">
        <f ca="1">IFERROR(__xludf.DUMMYFUNCTION("""COMPUTED_VALUE"""),"Visitas guiadas")</f>
        <v>Visitas guiadas</v>
      </c>
      <c r="V247" s="30" t="str">
        <f ca="1">IFERROR(__xludf.DUMMYFUNCTION("""COMPUTED_VALUE"""),"Ninguna")</f>
        <v>Ninguna</v>
      </c>
      <c r="W247" s="30" t="str">
        <f ca="1">IFERROR(__xludf.DUMMYFUNCTION("""COMPUTED_VALUE"""),"Presencial")</f>
        <v>Presencial</v>
      </c>
      <c r="X247" s="30" t="str">
        <f ca="1">IFERROR(__xludf.DUMMYFUNCTION("""COMPUTED_VALUE"""),"Espacio a Cargo de la Secretaría")</f>
        <v>Espacio a Cargo de la Secretaría</v>
      </c>
      <c r="Y247" s="30" t="str">
        <f ca="1">IFERROR(__xludf.DUMMYFUNCTION("""COMPUTED_VALUE"""),"Museo de Arte e Historia de Guanajuato, sala Feliciano Peña")</f>
        <v>Museo de Arte e Historia de Guanajuato, sala Feliciano Peña</v>
      </c>
      <c r="Z247" s="30"/>
      <c r="AA247" s="30"/>
      <c r="AB247" s="30" t="b">
        <f ca="1">IFERROR(__xludf.DUMMYFUNCTION("""COMPUTED_VALUE"""),FALSE)</f>
        <v>0</v>
      </c>
      <c r="AC247" s="30"/>
      <c r="AD247" s="30" t="b">
        <f ca="1">IFERROR(__xludf.DUMMYFUNCTION("""COMPUTED_VALUE"""),FALSE)</f>
        <v>0</v>
      </c>
      <c r="AE247" s="30"/>
      <c r="AF247" s="30" t="b">
        <f ca="1">IFERROR(__xludf.DUMMYFUNCTION("""COMPUTED_VALUE"""),FALSE)</f>
        <v>0</v>
      </c>
      <c r="AG247" s="30"/>
      <c r="AH247" s="30" t="str">
        <f ca="1">IFERROR(__xludf.DUMMYFUNCTION("""COMPUTED_VALUE"""),"Sin costo")</f>
        <v>Sin costo</v>
      </c>
      <c r="AI247" s="30"/>
      <c r="AJ247" s="30"/>
      <c r="AK247" s="30"/>
      <c r="AL247" s="30" t="str">
        <f ca="1">IFERROR(__xludf.DUMMYFUNCTION("""COMPUTED_VALUE"""),"ccardonav@guanajuato.gob.mx")</f>
        <v>ccardonav@guanajuato.gob.mx</v>
      </c>
      <c r="AM247" s="30" t="str">
        <f ca="1">IFERROR(__xludf.DUMMYFUNCTION("""COMPUTED_VALUE"""),"Arraigo y empoderamiento cultural de comunidades.")</f>
        <v>Arraigo y empoderamiento cultural de comunidades.</v>
      </c>
      <c r="AN247" s="30" t="str">
        <f ca="1">IFERROR(__xludf.DUMMYFUNCTION("""COMPUTED_VALUE"""),"2 Igualdad")</f>
        <v>2 Igualdad</v>
      </c>
      <c r="AO247" s="30" t="str">
        <f ca="1">IFERROR(__xludf.DUMMYFUNCTION("""COMPUTED_VALUE"""),"2.4 Reducir brechas de desigualdad")</f>
        <v>2.4 Reducir brechas de desigualdad</v>
      </c>
      <c r="AP247" s="30" t="str">
        <f ca="1">IFERROR(__xludf.DUMMYFUNCTION("""COMPUTED_VALUE"""),"2.4.3 Descentralización de la oferta cultural")</f>
        <v>2.4.3 Descentralización de la oferta cultural</v>
      </c>
      <c r="AQ247" s="30" t="str">
        <f ca="1">IFERROR(__xludf.DUMMYFUNCTION("""COMPUTED_VALUE"""),"2.4.3.1 Impulsar el desarrollo artístico y cultural entre infancias y juventudes")</f>
        <v>2.4.3.1 Impulsar el desarrollo artístico y cultural entre infancias y juventudes</v>
      </c>
      <c r="AR247" s="30" t="str">
        <f ca="1">IFERROR(__xludf.DUMMYFUNCTION("""COMPUTED_VALUE"""),"Ninguno")</f>
        <v>Ninguno</v>
      </c>
      <c r="AS247" s="30"/>
      <c r="AT247" s="30" t="str">
        <f ca="1">IFERROR(__xludf.DUMMYFUNCTION("""COMPUTED_VALUE"""),"Fortalecimiento de la participación ciudadana y la mediación cultural")</f>
        <v>Fortalecimiento de la participación ciudadana y la mediación cultural</v>
      </c>
      <c r="AU247" s="30" t="str">
        <f ca="1">IFERROR(__xludf.DUMMYFUNCTION("""COMPUTED_VALUE"""),"Fortalecimiento del diálogo, la mediación y las capacidades de las redes comunitarias.")</f>
        <v>Fortalecimiento del diálogo, la mediación y las capacidades de las redes comunitarias.</v>
      </c>
      <c r="AV24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47" s="30" t="str">
        <f ca="1">IFERROR(__xludf.DUMMYFUNCTION("""COMPUTED_VALUE"""),"Incrementar en 25% la oferta cultural realizada en los municipios.")</f>
        <v>Incrementar en 25% la oferta cultural realizada en los municipios.</v>
      </c>
      <c r="AX247" s="30" t="str">
        <f ca="1">IFERROR(__xludf.DUMMYFUNCTION("""COMPUTED_VALUE"""),"Visitas guiadas")</f>
        <v>Visitas guiadas</v>
      </c>
      <c r="AY247" s="30" t="str">
        <f ca="1">IFERROR(__xludf.DUMMYFUNCTION("""COMPUTED_VALUE"""),"Mediación")</f>
        <v>Mediación</v>
      </c>
      <c r="AZ247" s="30"/>
      <c r="BA247" s="30"/>
      <c r="BB247" s="30"/>
      <c r="BC247" s="30">
        <f ca="1">IFERROR(__xludf.DUMMYFUNCTION("""COMPUTED_VALUE"""),0)</f>
        <v>0</v>
      </c>
      <c r="BD247" s="30"/>
      <c r="BE247" s="30"/>
      <c r="BF247" s="30" t="b">
        <f ca="1">IFERROR(__xludf.DUMMYFUNCTION("""COMPUTED_VALUE"""),FALSE)</f>
        <v>0</v>
      </c>
      <c r="BG247" s="30"/>
      <c r="BH247" s="30"/>
      <c r="BI247" s="30"/>
      <c r="BJ247" s="30"/>
      <c r="BK247" s="30"/>
      <c r="BL247" s="30"/>
      <c r="BM247" s="30" t="str">
        <f ca="1">IFERROR(__xludf.DUMMYFUNCTION("""COMPUTED_VALUE"""),"No")</f>
        <v>No</v>
      </c>
      <c r="BN247" s="30"/>
      <c r="BO247" s="30" t="str">
        <f ca="1">IFERROR(__xludf.DUMMYFUNCTION("""COMPUTED_VALUE"""),"e2c320cb")</f>
        <v>e2c320cb</v>
      </c>
      <c r="BP247" s="29" t="str">
        <f ca="1">IFERROR(__xludf.DUMMYFUNCTION("""COMPUTED_VALUE"""),"León")</f>
        <v>León</v>
      </c>
      <c r="BQ247" s="30" t="str">
        <f ca="1">IFERROR(__xludf.DUMMYFUNCTION("""COMPUTED_VALUE"""),"Urbano")</f>
        <v>Urbano</v>
      </c>
      <c r="BR247" s="30"/>
      <c r="BS247" s="30"/>
      <c r="BT247" s="30"/>
      <c r="BU247" s="30" t="str">
        <f ca="1">IFERROR(__xludf.DUMMYFUNCTION("""COMPUTED_VALUE"""),"No")</f>
        <v>No</v>
      </c>
      <c r="BV247" s="30" t="str">
        <f ca="1">IFERROR(__xludf.DUMMYFUNCTION("""COMPUTED_VALUE"""),"No")</f>
        <v>No</v>
      </c>
      <c r="BW247" s="30">
        <f ca="1">IFERROR(__xludf.DUMMYFUNCTION("""COMPUTED_VALUE"""),30)</f>
        <v>30</v>
      </c>
      <c r="BX247" s="30"/>
      <c r="BY247" s="30">
        <f ca="1">IFERROR(__xludf.DUMMYFUNCTION("""COMPUTED_VALUE"""),30)</f>
        <v>30</v>
      </c>
      <c r="BZ247" s="30"/>
      <c r="CA247" s="30" t="str">
        <f ca="1">IFERROR(__xludf.DUMMYFUNCTION("""COMPUTED_VALUE"""),"No")</f>
        <v>No</v>
      </c>
      <c r="CB247" s="30" t="str">
        <f ca="1">IFERROR(__xludf.DUMMYFUNCTION("""COMPUTED_VALUE"""),"No")</f>
        <v>No</v>
      </c>
      <c r="CC247" s="30" t="str">
        <f ca="1">IFERROR(__xludf.DUMMYFUNCTION("""COMPUTED_VALUE"""),"9c53e4c0")</f>
        <v>9c53e4c0</v>
      </c>
      <c r="CD247" s="29" t="str">
        <f ca="1">IFERROR(__xludf.DUMMYFUNCTION("""COMPUTED_VALUE"""),"Adultos Mayores (60 años o más)")</f>
        <v>Adultos Mayores (60 años o más)</v>
      </c>
      <c r="CE247" s="30" t="str">
        <f ca="1">IFERROR(__xludf.DUMMYFUNCTION("""COMPUTED_VALUE"""),"Dato global")</f>
        <v>Dato global</v>
      </c>
      <c r="CF247" s="30" t="str">
        <f ca="1">IFERROR(__xludf.DUMMYFUNCTION("""COMPUTED_VALUE"""),"Ninguno (Población General)")</f>
        <v>Ninguno (Población General)</v>
      </c>
      <c r="CG247" s="30">
        <f ca="1">IFERROR(__xludf.DUMMYFUNCTION("""COMPUTED_VALUE"""),1)</f>
        <v>1</v>
      </c>
      <c r="CI247" s="30" t="str">
        <f ca="1">IFERROR(__xludf.DUMMYFUNCTION("""COMPUTED_VALUE"""),"13be5590")</f>
        <v>13be5590</v>
      </c>
      <c r="CJ247" s="29" t="str">
        <f ca="1">IFERROR(__xludf.DUMMYFUNCTION("""COMPUTED_VALUE"""),"Regitro_Evidencia_Images/13be5590.Archivo_Evidencia.233121.jpg")</f>
        <v>Regitro_Evidencia_Images/13be5590.Archivo_Evidencia.233121.jpg</v>
      </c>
      <c r="CK247" s="30" t="str">
        <f ca="1">IFERROR(__xludf.DUMMYFUNCTION("""COMPUTED_VALUE"""),"Foto")</f>
        <v>Foto</v>
      </c>
      <c r="CL247" s="30"/>
      <c r="CM247" s="30" t="str">
        <f ca="1">IFERROR(__xludf.DUMMYFUNCTION("""COMPUTED_VALUE"""),"León")</f>
        <v>León</v>
      </c>
      <c r="CN247" s="32" t="e">
        <f ca="1"/>
        <v>#NAME?</v>
      </c>
      <c r="CO247" s="32" t="e">
        <f ca="1"/>
        <v>#NAME?</v>
      </c>
      <c r="CP247" s="32" t="e">
        <f ca="1"/>
        <v>#NAME?</v>
      </c>
      <c r="CQ247" s="32" t="e">
        <f ca="1"/>
        <v>#NAME?</v>
      </c>
      <c r="CR247" s="30" t="e">
        <f ca="1"/>
        <v>#NAME?</v>
      </c>
      <c r="CS247" s="30" t="str">
        <f ca="1">IFERROR(__xludf.DUMMYFUNCTION("""COMPUTED_VALUE"""),"Ninguno (Población General)")</f>
        <v>Ninguno (Población General)</v>
      </c>
    </row>
    <row r="248" spans="1:97" ht="13">
      <c r="A248" s="29" t="str">
        <f ca="1">IFERROR(__xludf.DUMMYFUNCTION("""COMPUTED_VALUE"""),"ACT-SCXR04810")</f>
        <v>ACT-SCXR04810</v>
      </c>
      <c r="B248" s="30" t="str">
        <f ca="1">IFERROR(__xludf.DUMMYFUNCTION("""COMPUTED_VALUE"""),"SC-260811-112314")</f>
        <v>SC-260811-112314</v>
      </c>
      <c r="C248" s="62">
        <f ca="1">IFERROR(__xludf.DUMMYFUNCTION("""COMPUTED_VALUE"""),46245.4744675925)</f>
        <v>46245.474467592503</v>
      </c>
      <c r="D248" s="30">
        <f ca="1">IFERROR(__xludf.DUMMYFUNCTION("""COMPUTED_VALUE"""),92)</f>
        <v>92</v>
      </c>
      <c r="E248" s="30" t="str">
        <f ca="1">IFERROR(__xludf.DUMMYFUNCTION("""COMPUTED_VALUE"""),"PB3572")</f>
        <v>PB3572</v>
      </c>
      <c r="F24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8" s="30" t="str">
        <f ca="1">IFERROR(__xludf.DUMMYFUNCTION("""COMPUTED_VALUE"""),"SUBSECRETARÍA DE DESARROLLO Y PROMOCIÓN ARTÍSTICA Y CULTURAL")</f>
        <v>SUBSECRETARÍA DE DESARROLLO Y PROMOCIÓN ARTÍSTICA Y CULTURAL</v>
      </c>
      <c r="I248" s="34" t="str">
        <f ca="1">IFERROR(__xludf.DUMMYFUNCTION("""COMPUTED_VALUE"""),"DIRECCIÓN GENERAL DE MUSEOS, ARTES VISUALES Y EXPOSICIONES")</f>
        <v>DIRECCIÓN GENERAL DE MUSEOS, ARTES VISUALES Y EXPOSICIONES</v>
      </c>
      <c r="J248" s="30" t="str">
        <f ca="1">IFERROR(__xludf.DUMMYFUNCTION("""COMPUTED_VALUE"""),"Número de Actividades realizadas")</f>
        <v>Número de Actividades realizadas</v>
      </c>
      <c r="K248" s="30">
        <f ca="1">IFERROR(__xludf.DUMMYFUNCTION("""COMPUTED_VALUE"""),800)</f>
        <v>800</v>
      </c>
      <c r="L248" s="30" t="str">
        <f ca="1">IFERROR(__xludf.DUMMYFUNCTION("""COMPUTED_VALUE"""),"Cultural")</f>
        <v>Cultural</v>
      </c>
      <c r="M248" s="30" t="str">
        <f ca="1">IFERROR(__xludf.DUMMYFUNCTION("""COMPUTED_VALUE"""),"Visita Libre")</f>
        <v>Visita Libre</v>
      </c>
      <c r="N248" s="30" t="str">
        <f ca="1">IFERROR(__xludf.DUMMYFUNCTION("""COMPUTED_VALUE"""),"Visita Mediada")</f>
        <v>Visita Mediada</v>
      </c>
      <c r="O248" s="30" t="str">
        <f ca="1">IFERROR(__xludf.DUMMYFUNCTION("""COMPUTED_VALUE"""),"Única")</f>
        <v>Única</v>
      </c>
      <c r="P248" s="33">
        <f ca="1">IFERROR(__xludf.DUMMYFUNCTION("""COMPUTED_VALUE"""),46212)</f>
        <v>46212</v>
      </c>
      <c r="Q248" s="33">
        <f ca="1">IFERROR(__xludf.DUMMYFUNCTION("""COMPUTED_VALUE"""),46212)</f>
        <v>46212</v>
      </c>
      <c r="R248" s="30">
        <f ca="1">IFERROR(__xludf.DUMMYFUNCTION("""COMPUTED_VALUE"""),1)</f>
        <v>1</v>
      </c>
      <c r="S248" s="30" t="str">
        <f ca="1">IFERROR(__xludf.DUMMYFUNCTION("""COMPUTED_VALUE"""),"Cultura comunitaria")</f>
        <v>Cultura comunitaria</v>
      </c>
      <c r="T248" s="30" t="str">
        <f ca="1">IFERROR(__xludf.DUMMYFUNCTION("""COMPUTED_VALUE"""),"Mediación cultural")</f>
        <v>Mediación cultural</v>
      </c>
      <c r="U248" s="30" t="str">
        <f ca="1">IFERROR(__xludf.DUMMYFUNCTION("""COMPUTED_VALUE"""),"Visitas guiadas")</f>
        <v>Visitas guiadas</v>
      </c>
      <c r="V248" s="30" t="str">
        <f ca="1">IFERROR(__xludf.DUMMYFUNCTION("""COMPUTED_VALUE"""),"Ninguna")</f>
        <v>Ninguna</v>
      </c>
      <c r="W248" s="30" t="str">
        <f ca="1">IFERROR(__xludf.DUMMYFUNCTION("""COMPUTED_VALUE"""),"Presencial")</f>
        <v>Presencial</v>
      </c>
      <c r="X248" s="30" t="str">
        <f ca="1">IFERROR(__xludf.DUMMYFUNCTION("""COMPUTED_VALUE"""),"Espacio a Cargo de la Secretaría")</f>
        <v>Espacio a Cargo de la Secretaría</v>
      </c>
      <c r="Y248" s="30" t="str">
        <f ca="1">IFERROR(__xludf.DUMMYFUNCTION("""COMPUTED_VALUE"""),"Museo de Arte e Historia de Guanajuato, sala Feliciano Peña")</f>
        <v>Museo de Arte e Historia de Guanajuato, sala Feliciano Peña</v>
      </c>
      <c r="Z248" s="30"/>
      <c r="AA248" s="30"/>
      <c r="AB248" s="30" t="b">
        <f ca="1">IFERROR(__xludf.DUMMYFUNCTION("""COMPUTED_VALUE"""),FALSE)</f>
        <v>0</v>
      </c>
      <c r="AC248" s="30"/>
      <c r="AD248" s="30" t="b">
        <f ca="1">IFERROR(__xludf.DUMMYFUNCTION("""COMPUTED_VALUE"""),FALSE)</f>
        <v>0</v>
      </c>
      <c r="AE248" s="30"/>
      <c r="AF248" s="30" t="b">
        <f ca="1">IFERROR(__xludf.DUMMYFUNCTION("""COMPUTED_VALUE"""),FALSE)</f>
        <v>0</v>
      </c>
      <c r="AG248" s="30"/>
      <c r="AH248" s="30" t="str">
        <f ca="1">IFERROR(__xludf.DUMMYFUNCTION("""COMPUTED_VALUE"""),"Sin costo")</f>
        <v>Sin costo</v>
      </c>
      <c r="AI248" s="30"/>
      <c r="AJ248" s="30"/>
      <c r="AK248" s="30"/>
      <c r="AL248" s="30" t="str">
        <f ca="1">IFERROR(__xludf.DUMMYFUNCTION("""COMPUTED_VALUE"""),"ccardonav@guanajuato.gob.mx")</f>
        <v>ccardonav@guanajuato.gob.mx</v>
      </c>
      <c r="AM248" s="30" t="str">
        <f ca="1">IFERROR(__xludf.DUMMYFUNCTION("""COMPUTED_VALUE"""),"Arraigo y empoderamiento cultural de comunidades.")</f>
        <v>Arraigo y empoderamiento cultural de comunidades.</v>
      </c>
      <c r="AN248" s="30" t="str">
        <f ca="1">IFERROR(__xludf.DUMMYFUNCTION("""COMPUTED_VALUE"""),"2 Igualdad")</f>
        <v>2 Igualdad</v>
      </c>
      <c r="AO248" s="30" t="str">
        <f ca="1">IFERROR(__xludf.DUMMYFUNCTION("""COMPUTED_VALUE"""),"2.4 Reducir brechas de desigualdad")</f>
        <v>2.4 Reducir brechas de desigualdad</v>
      </c>
      <c r="AP248" s="30" t="str">
        <f ca="1">IFERROR(__xludf.DUMMYFUNCTION("""COMPUTED_VALUE"""),"2.4.3 Descentralización de la oferta cultural")</f>
        <v>2.4.3 Descentralización de la oferta cultural</v>
      </c>
      <c r="AQ248" s="30" t="str">
        <f ca="1">IFERROR(__xludf.DUMMYFUNCTION("""COMPUTED_VALUE"""),"2.4.3.1 Impulsar el desarrollo artístico y cultural entre infancias y juventudes")</f>
        <v>2.4.3.1 Impulsar el desarrollo artístico y cultural entre infancias y juventudes</v>
      </c>
      <c r="AR248" s="30" t="str">
        <f ca="1">IFERROR(__xludf.DUMMYFUNCTION("""COMPUTED_VALUE"""),"Ninguno")</f>
        <v>Ninguno</v>
      </c>
      <c r="AS248" s="30"/>
      <c r="AT248" s="30" t="str">
        <f ca="1">IFERROR(__xludf.DUMMYFUNCTION("""COMPUTED_VALUE"""),"Fortalecimiento de la participación ciudadana y la mediación cultural")</f>
        <v>Fortalecimiento de la participación ciudadana y la mediación cultural</v>
      </c>
      <c r="AU248" s="30" t="str">
        <f ca="1">IFERROR(__xludf.DUMMYFUNCTION("""COMPUTED_VALUE"""),"Fortalecimiento del diálogo, la mediación y las capacidades de las redes comunitarias.")</f>
        <v>Fortalecimiento del diálogo, la mediación y las capacidades de las redes comunitarias.</v>
      </c>
      <c r="AV24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48" s="30" t="str">
        <f ca="1">IFERROR(__xludf.DUMMYFUNCTION("""COMPUTED_VALUE"""),"Incrementar en 25% la oferta cultural realizada en los municipios.")</f>
        <v>Incrementar en 25% la oferta cultural realizada en los municipios.</v>
      </c>
      <c r="AX248" s="30" t="str">
        <f ca="1">IFERROR(__xludf.DUMMYFUNCTION("""COMPUTED_VALUE"""),"Visitas guiadas")</f>
        <v>Visitas guiadas</v>
      </c>
      <c r="AY248" s="30" t="str">
        <f ca="1">IFERROR(__xludf.DUMMYFUNCTION("""COMPUTED_VALUE"""),"Mediación")</f>
        <v>Mediación</v>
      </c>
      <c r="AZ248" s="30"/>
      <c r="BA248" s="30"/>
      <c r="BB248" s="30"/>
      <c r="BC248" s="30">
        <f ca="1">IFERROR(__xludf.DUMMYFUNCTION("""COMPUTED_VALUE"""),0)</f>
        <v>0</v>
      </c>
      <c r="BD248" s="30"/>
      <c r="BE248" s="30"/>
      <c r="BF248" s="30" t="b">
        <f ca="1">IFERROR(__xludf.DUMMYFUNCTION("""COMPUTED_VALUE"""),FALSE)</f>
        <v>0</v>
      </c>
      <c r="BG248" s="30"/>
      <c r="BH248" s="30"/>
      <c r="BI248" s="30"/>
      <c r="BJ248" s="30"/>
      <c r="BK248" s="30"/>
      <c r="BL248" s="30"/>
      <c r="BM248" s="30" t="str">
        <f ca="1">IFERROR(__xludf.DUMMYFUNCTION("""COMPUTED_VALUE"""),"No")</f>
        <v>No</v>
      </c>
      <c r="BN248" s="30"/>
      <c r="BO248" s="30" t="str">
        <f ca="1">IFERROR(__xludf.DUMMYFUNCTION("""COMPUTED_VALUE"""),"ad544491")</f>
        <v>ad544491</v>
      </c>
      <c r="BP248" s="29" t="str">
        <f ca="1">IFERROR(__xludf.DUMMYFUNCTION("""COMPUTED_VALUE"""),"León")</f>
        <v>León</v>
      </c>
      <c r="BQ248" s="30" t="str">
        <f ca="1">IFERROR(__xludf.DUMMYFUNCTION("""COMPUTED_VALUE"""),"Urbano")</f>
        <v>Urbano</v>
      </c>
      <c r="BR248" s="30"/>
      <c r="BS248" s="30"/>
      <c r="BT248" s="30"/>
      <c r="BU248" s="30" t="str">
        <f ca="1">IFERROR(__xludf.DUMMYFUNCTION("""COMPUTED_VALUE"""),"No")</f>
        <v>No</v>
      </c>
      <c r="BV248" s="30" t="str">
        <f ca="1">IFERROR(__xludf.DUMMYFUNCTION("""COMPUTED_VALUE"""),"No")</f>
        <v>No</v>
      </c>
      <c r="BW248" s="30">
        <f ca="1">IFERROR(__xludf.DUMMYFUNCTION("""COMPUTED_VALUE"""),2)</f>
        <v>2</v>
      </c>
      <c r="BX248" s="30"/>
      <c r="BY248" s="30">
        <f ca="1">IFERROR(__xludf.DUMMYFUNCTION("""COMPUTED_VALUE"""),2)</f>
        <v>2</v>
      </c>
      <c r="BZ248" s="30"/>
      <c r="CA248" s="30" t="str">
        <f ca="1">IFERROR(__xludf.DUMMYFUNCTION("""COMPUTED_VALUE"""),"No")</f>
        <v>No</v>
      </c>
      <c r="CB248" s="30" t="str">
        <f ca="1">IFERROR(__xludf.DUMMYFUNCTION("""COMPUTED_VALUE"""),"No")</f>
        <v>No</v>
      </c>
      <c r="CC248" s="30" t="str">
        <f ca="1">IFERROR(__xludf.DUMMYFUNCTION("""COMPUTED_VALUE"""),"5fb9d318")</f>
        <v>5fb9d318</v>
      </c>
      <c r="CD248" s="29" t="str">
        <f ca="1">IFERROR(__xludf.DUMMYFUNCTION("""COMPUTED_VALUE"""),"Niñas y Niños (6 a 12 años)")</f>
        <v>Niñas y Niños (6 a 12 años)</v>
      </c>
      <c r="CE248" s="30" t="str">
        <f ca="1">IFERROR(__xludf.DUMMYFUNCTION("""COMPUTED_VALUE"""),"Dato global")</f>
        <v>Dato global</v>
      </c>
      <c r="CF248" s="30" t="str">
        <f ca="1">IFERROR(__xludf.DUMMYFUNCTION("""COMPUTED_VALUE"""),"Ninguno (Población General)")</f>
        <v>Ninguno (Población General)</v>
      </c>
      <c r="CG248" s="30">
        <f ca="1">IFERROR(__xludf.DUMMYFUNCTION("""COMPUTED_VALUE"""),14)</f>
        <v>14</v>
      </c>
      <c r="CI248" s="30" t="str">
        <f ca="1">IFERROR(__xludf.DUMMYFUNCTION("""COMPUTED_VALUE"""),"112a0a34")</f>
        <v>112a0a34</v>
      </c>
      <c r="CJ248" s="29" t="str">
        <f ca="1">IFERROR(__xludf.DUMMYFUNCTION("""COMPUTED_VALUE"""),"Regitro_Evidencia_Images/112a0a34.Archivo_Evidencia.161902.jpg")</f>
        <v>Regitro_Evidencia_Images/112a0a34.Archivo_Evidencia.161902.jpg</v>
      </c>
      <c r="CK248" s="30" t="str">
        <f ca="1">IFERROR(__xludf.DUMMYFUNCTION("""COMPUTED_VALUE"""),"Foto")</f>
        <v>Foto</v>
      </c>
      <c r="CL248" s="30"/>
      <c r="CM248" s="30" t="str">
        <f ca="1">IFERROR(__xludf.DUMMYFUNCTION("""COMPUTED_VALUE"""),"León")</f>
        <v>León</v>
      </c>
      <c r="CN248" s="32" t="e">
        <f ca="1"/>
        <v>#NAME?</v>
      </c>
      <c r="CO248" s="32" t="e">
        <f ca="1"/>
        <v>#NAME?</v>
      </c>
      <c r="CP248" s="32" t="e">
        <f ca="1"/>
        <v>#NAME?</v>
      </c>
      <c r="CQ248" s="32" t="e">
        <f ca="1"/>
        <v>#NAME?</v>
      </c>
      <c r="CR248" s="30" t="e">
        <f ca="1"/>
        <v>#NAME?</v>
      </c>
      <c r="CS248" s="30" t="str">
        <f ca="1">IFERROR(__xludf.DUMMYFUNCTION("""COMPUTED_VALUE"""),"Ninguno (Población General), Ninguno (Población General)")</f>
        <v>Ninguno (Población General), Ninguno (Población General)</v>
      </c>
    </row>
    <row r="249" spans="1:97" ht="13">
      <c r="A249" s="29" t="str">
        <f ca="1">IFERROR(__xludf.DUMMYFUNCTION("""COMPUTED_VALUE"""),"ACT-SCZC82172")</f>
        <v>ACT-SCZC82172</v>
      </c>
      <c r="B249" s="30" t="str">
        <f ca="1">IFERROR(__xludf.DUMMYFUNCTION("""COMPUTED_VALUE"""),"SC-260811-114244")</f>
        <v>SC-260811-114244</v>
      </c>
      <c r="C249" s="62">
        <f ca="1">IFERROR(__xludf.DUMMYFUNCTION("""COMPUTED_VALUE"""),46245.4880092592)</f>
        <v>46245.488009259199</v>
      </c>
      <c r="D249" s="30">
        <f ca="1">IFERROR(__xludf.DUMMYFUNCTION("""COMPUTED_VALUE"""),92)</f>
        <v>92</v>
      </c>
      <c r="E249" s="30" t="str">
        <f ca="1">IFERROR(__xludf.DUMMYFUNCTION("""COMPUTED_VALUE"""),"PB3572")</f>
        <v>PB3572</v>
      </c>
      <c r="F24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4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49" s="30" t="str">
        <f ca="1">IFERROR(__xludf.DUMMYFUNCTION("""COMPUTED_VALUE"""),"SUBSECRETARÍA DE DESARROLLO Y PROMOCIÓN ARTÍSTICA Y CULTURAL")</f>
        <v>SUBSECRETARÍA DE DESARROLLO Y PROMOCIÓN ARTÍSTICA Y CULTURAL</v>
      </c>
      <c r="I249" s="34" t="str">
        <f ca="1">IFERROR(__xludf.DUMMYFUNCTION("""COMPUTED_VALUE"""),"DIRECCIÓN GENERAL DE MUSEOS, ARTES VISUALES Y EXPOSICIONES")</f>
        <v>DIRECCIÓN GENERAL DE MUSEOS, ARTES VISUALES Y EXPOSICIONES</v>
      </c>
      <c r="J249" s="30" t="str">
        <f ca="1">IFERROR(__xludf.DUMMYFUNCTION("""COMPUTED_VALUE"""),"Número de Actividades realizadas")</f>
        <v>Número de Actividades realizadas</v>
      </c>
      <c r="K249" s="30">
        <f ca="1">IFERROR(__xludf.DUMMYFUNCTION("""COMPUTED_VALUE"""),800)</f>
        <v>800</v>
      </c>
      <c r="L249" s="30" t="str">
        <f ca="1">IFERROR(__xludf.DUMMYFUNCTION("""COMPUTED_VALUE"""),"Cultural")</f>
        <v>Cultural</v>
      </c>
      <c r="M249" s="30" t="str">
        <f ca="1">IFERROR(__xludf.DUMMYFUNCTION("""COMPUTED_VALUE"""),"Visita ""UPN""")</f>
        <v>Visita "UPN"</v>
      </c>
      <c r="N249" s="30" t="str">
        <f ca="1">IFERROR(__xludf.DUMMYFUNCTION("""COMPUTED_VALUE"""),"Visita Mediada")</f>
        <v>Visita Mediada</v>
      </c>
      <c r="O249" s="30" t="str">
        <f ca="1">IFERROR(__xludf.DUMMYFUNCTION("""COMPUTED_VALUE"""),"Única")</f>
        <v>Única</v>
      </c>
      <c r="P249" s="33">
        <f ca="1">IFERROR(__xludf.DUMMYFUNCTION("""COMPUTED_VALUE"""),46212)</f>
        <v>46212</v>
      </c>
      <c r="Q249" s="33">
        <f ca="1">IFERROR(__xludf.DUMMYFUNCTION("""COMPUTED_VALUE"""),46212)</f>
        <v>46212</v>
      </c>
      <c r="R249" s="30">
        <f ca="1">IFERROR(__xludf.DUMMYFUNCTION("""COMPUTED_VALUE"""),1)</f>
        <v>1</v>
      </c>
      <c r="S249" s="30" t="str">
        <f ca="1">IFERROR(__xludf.DUMMYFUNCTION("""COMPUTED_VALUE"""),"Cultura comunitaria")</f>
        <v>Cultura comunitaria</v>
      </c>
      <c r="T249" s="30" t="str">
        <f ca="1">IFERROR(__xludf.DUMMYFUNCTION("""COMPUTED_VALUE"""),"Mediación cultural")</f>
        <v>Mediación cultural</v>
      </c>
      <c r="U249" s="30" t="str">
        <f ca="1">IFERROR(__xludf.DUMMYFUNCTION("""COMPUTED_VALUE"""),"Visitas escolares")</f>
        <v>Visitas escolares</v>
      </c>
      <c r="V249" s="30" t="str">
        <f ca="1">IFERROR(__xludf.DUMMYFUNCTION("""COMPUTED_VALUE"""),"Ninguna")</f>
        <v>Ninguna</v>
      </c>
      <c r="W249" s="30" t="str">
        <f ca="1">IFERROR(__xludf.DUMMYFUNCTION("""COMPUTED_VALUE"""),"Presencial")</f>
        <v>Presencial</v>
      </c>
      <c r="X249" s="30" t="str">
        <f ca="1">IFERROR(__xludf.DUMMYFUNCTION("""COMPUTED_VALUE"""),"Espacio a Cargo de la Secretaría")</f>
        <v>Espacio a Cargo de la Secretaría</v>
      </c>
      <c r="Y249" s="30" t="str">
        <f ca="1">IFERROR(__xludf.DUMMYFUNCTION("""COMPUTED_VALUE"""),"Museo de Arte e Historia de Guanajuato, sala Feliciano Peña")</f>
        <v>Museo de Arte e Historia de Guanajuato, sala Feliciano Peña</v>
      </c>
      <c r="Z249" s="30"/>
      <c r="AA249" s="30"/>
      <c r="AB249" s="30" t="b">
        <f ca="1">IFERROR(__xludf.DUMMYFUNCTION("""COMPUTED_VALUE"""),FALSE)</f>
        <v>0</v>
      </c>
      <c r="AC249" s="30"/>
      <c r="AD249" s="30" t="b">
        <f ca="1">IFERROR(__xludf.DUMMYFUNCTION("""COMPUTED_VALUE"""),FALSE)</f>
        <v>0</v>
      </c>
      <c r="AE249" s="30"/>
      <c r="AF249" s="30" t="b">
        <f ca="1">IFERROR(__xludf.DUMMYFUNCTION("""COMPUTED_VALUE"""),FALSE)</f>
        <v>0</v>
      </c>
      <c r="AG249" s="30"/>
      <c r="AH249" s="30" t="str">
        <f ca="1">IFERROR(__xludf.DUMMYFUNCTION("""COMPUTED_VALUE"""),"Sin costo")</f>
        <v>Sin costo</v>
      </c>
      <c r="AI249" s="30"/>
      <c r="AJ249" s="30"/>
      <c r="AK249" s="30"/>
      <c r="AL249" s="30" t="str">
        <f ca="1">IFERROR(__xludf.DUMMYFUNCTION("""COMPUTED_VALUE"""),"ccardonav@guanajuato.gob.mx")</f>
        <v>ccardonav@guanajuato.gob.mx</v>
      </c>
      <c r="AM249" s="30" t="str">
        <f ca="1">IFERROR(__xludf.DUMMYFUNCTION("""COMPUTED_VALUE"""),"Arraigo y empoderamiento cultural de comunidades.")</f>
        <v>Arraigo y empoderamiento cultural de comunidades.</v>
      </c>
      <c r="AN249" s="30" t="str">
        <f ca="1">IFERROR(__xludf.DUMMYFUNCTION("""COMPUTED_VALUE"""),"2 Igualdad")</f>
        <v>2 Igualdad</v>
      </c>
      <c r="AO249" s="30" t="str">
        <f ca="1">IFERROR(__xludf.DUMMYFUNCTION("""COMPUTED_VALUE"""),"2.4 Reducir brechas de desigualdad")</f>
        <v>2.4 Reducir brechas de desigualdad</v>
      </c>
      <c r="AP249" s="30" t="str">
        <f ca="1">IFERROR(__xludf.DUMMYFUNCTION("""COMPUTED_VALUE"""),"2.4.3 Descentralización de la oferta cultural")</f>
        <v>2.4.3 Descentralización de la oferta cultural</v>
      </c>
      <c r="AQ249" s="30" t="str">
        <f ca="1">IFERROR(__xludf.DUMMYFUNCTION("""COMPUTED_VALUE"""),"2.4.3.1 Impulsar el desarrollo artístico y cultural entre infancias y juventudes")</f>
        <v>2.4.3.1 Impulsar el desarrollo artístico y cultural entre infancias y juventudes</v>
      </c>
      <c r="AR249" s="30" t="str">
        <f ca="1">IFERROR(__xludf.DUMMYFUNCTION("""COMPUTED_VALUE"""),"Ninguno")</f>
        <v>Ninguno</v>
      </c>
      <c r="AS249" s="30"/>
      <c r="AT249" s="30" t="str">
        <f ca="1">IFERROR(__xludf.DUMMYFUNCTION("""COMPUTED_VALUE"""),"Fortalecimiento de la participación ciudadana y la mediación cultural")</f>
        <v>Fortalecimiento de la participación ciudadana y la mediación cultural</v>
      </c>
      <c r="AU249" s="30" t="str">
        <f ca="1">IFERROR(__xludf.DUMMYFUNCTION("""COMPUTED_VALUE"""),"Fortalecimiento del diálogo, la mediación y las capacidades de las redes comunitarias.")</f>
        <v>Fortalecimiento del diálogo, la mediación y las capacidades de las redes comunitarias.</v>
      </c>
      <c r="AV24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49" s="30" t="str">
        <f ca="1">IFERROR(__xludf.DUMMYFUNCTION("""COMPUTED_VALUE"""),"Incrementar en 25% la oferta cultural realizada en los municipios.")</f>
        <v>Incrementar en 25% la oferta cultural realizada en los municipios.</v>
      </c>
      <c r="AX249" s="30" t="str">
        <f ca="1">IFERROR(__xludf.DUMMYFUNCTION("""COMPUTED_VALUE"""),"Visitas escolares")</f>
        <v>Visitas escolares</v>
      </c>
      <c r="AY249" s="30" t="str">
        <f ca="1">IFERROR(__xludf.DUMMYFUNCTION("""COMPUTED_VALUE"""),"Mediación")</f>
        <v>Mediación</v>
      </c>
      <c r="AZ249" s="30"/>
      <c r="BA249" s="30"/>
      <c r="BB249" s="30"/>
      <c r="BC249" s="30">
        <f ca="1">IFERROR(__xludf.DUMMYFUNCTION("""COMPUTED_VALUE"""),0)</f>
        <v>0</v>
      </c>
      <c r="BD249" s="30"/>
      <c r="BE249" s="30"/>
      <c r="BF249" s="30" t="b">
        <f ca="1">IFERROR(__xludf.DUMMYFUNCTION("""COMPUTED_VALUE"""),FALSE)</f>
        <v>0</v>
      </c>
      <c r="BG249" s="30"/>
      <c r="BH249" s="30"/>
      <c r="BI249" s="30"/>
      <c r="BJ249" s="30"/>
      <c r="BK249" s="30"/>
      <c r="BL249" s="30"/>
      <c r="BM249" s="30" t="str">
        <f ca="1">IFERROR(__xludf.DUMMYFUNCTION("""COMPUTED_VALUE"""),"No")</f>
        <v>No</v>
      </c>
      <c r="BN249" s="30"/>
      <c r="BO249" s="30" t="str">
        <f ca="1">IFERROR(__xludf.DUMMYFUNCTION("""COMPUTED_VALUE"""),"a1e60d22")</f>
        <v>a1e60d22</v>
      </c>
      <c r="BP249" s="29" t="str">
        <f ca="1">IFERROR(__xludf.DUMMYFUNCTION("""COMPUTED_VALUE"""),"León")</f>
        <v>León</v>
      </c>
      <c r="BQ249" s="30" t="str">
        <f ca="1">IFERROR(__xludf.DUMMYFUNCTION("""COMPUTED_VALUE"""),"Urbano")</f>
        <v>Urbano</v>
      </c>
      <c r="BR249" s="30"/>
      <c r="BS249" s="30"/>
      <c r="BT249" s="30"/>
      <c r="BU249" s="30" t="str">
        <f ca="1">IFERROR(__xludf.DUMMYFUNCTION("""COMPUTED_VALUE"""),"No")</f>
        <v>No</v>
      </c>
      <c r="BV249" s="30" t="str">
        <f ca="1">IFERROR(__xludf.DUMMYFUNCTION("""COMPUTED_VALUE"""),"No")</f>
        <v>No</v>
      </c>
      <c r="BW249" s="30">
        <f ca="1">IFERROR(__xludf.DUMMYFUNCTION("""COMPUTED_VALUE"""),30)</f>
        <v>30</v>
      </c>
      <c r="BX249" s="30"/>
      <c r="BY249" s="30">
        <f ca="1">IFERROR(__xludf.DUMMYFUNCTION("""COMPUTED_VALUE"""),30)</f>
        <v>30</v>
      </c>
      <c r="BZ249" s="30"/>
      <c r="CA249" s="30" t="str">
        <f ca="1">IFERROR(__xludf.DUMMYFUNCTION("""COMPUTED_VALUE"""),"No")</f>
        <v>No</v>
      </c>
      <c r="CB249" s="30" t="str">
        <f ca="1">IFERROR(__xludf.DUMMYFUNCTION("""COMPUTED_VALUE"""),"No")</f>
        <v>No</v>
      </c>
      <c r="CC249" s="30" t="str">
        <f ca="1">IFERROR(__xludf.DUMMYFUNCTION("""COMPUTED_VALUE"""),"9ac83547")</f>
        <v>9ac83547</v>
      </c>
      <c r="CD249" s="29" t="str">
        <f ca="1">IFERROR(__xludf.DUMMYFUNCTION("""COMPUTED_VALUE"""),"Adolescentes (13 a 17 años)")</f>
        <v>Adolescentes (13 a 17 años)</v>
      </c>
      <c r="CE249" s="30" t="str">
        <f ca="1">IFERROR(__xludf.DUMMYFUNCTION("""COMPUTED_VALUE"""),"Dato global")</f>
        <v>Dato global</v>
      </c>
      <c r="CF249" s="30" t="str">
        <f ca="1">IFERROR(__xludf.DUMMYFUNCTION("""COMPUTED_VALUE"""),"Ninguno (Población General)")</f>
        <v>Ninguno (Población General)</v>
      </c>
      <c r="CG249" s="30">
        <f ca="1">IFERROR(__xludf.DUMMYFUNCTION("""COMPUTED_VALUE"""),4)</f>
        <v>4</v>
      </c>
      <c r="CI249" s="30" t="str">
        <f ca="1">IFERROR(__xludf.DUMMYFUNCTION("""COMPUTED_VALUE"""),"36216e8f")</f>
        <v>36216e8f</v>
      </c>
      <c r="CJ249" s="29" t="str">
        <f ca="1">IFERROR(__xludf.DUMMYFUNCTION("""COMPUTED_VALUE"""),"Regitro_Evidencia_Images/36216e8f.Archivo_Evidencia.172637.jpg")</f>
        <v>Regitro_Evidencia_Images/36216e8f.Archivo_Evidencia.172637.jpg</v>
      </c>
      <c r="CK249" s="30" t="str">
        <f ca="1">IFERROR(__xludf.DUMMYFUNCTION("""COMPUTED_VALUE"""),"Foto")</f>
        <v>Foto</v>
      </c>
      <c r="CL249" s="30"/>
      <c r="CM249" s="30" t="str">
        <f ca="1">IFERROR(__xludf.DUMMYFUNCTION("""COMPUTED_VALUE"""),"León")</f>
        <v>León</v>
      </c>
      <c r="CN249" s="32" t="e">
        <f ca="1"/>
        <v>#NAME?</v>
      </c>
      <c r="CO249" s="32" t="e">
        <f ca="1"/>
        <v>#NAME?</v>
      </c>
      <c r="CP249" s="32" t="e">
        <f ca="1"/>
        <v>#NAME?</v>
      </c>
      <c r="CQ249" s="32" t="e">
        <f ca="1"/>
        <v>#NAME?</v>
      </c>
      <c r="CR249" s="30" t="e">
        <f ca="1"/>
        <v>#NAME?</v>
      </c>
      <c r="CS249" s="30" t="str">
        <f ca="1">IFERROR(__xludf.DUMMYFUNCTION("""COMPUTED_VALUE"""),"Ninguno (Población General)")</f>
        <v>Ninguno (Población General)</v>
      </c>
    </row>
    <row r="250" spans="1:97" ht="13">
      <c r="A250" s="29" t="str">
        <f ca="1">IFERROR(__xludf.DUMMYFUNCTION("""COMPUTED_VALUE"""),"ACT-SCMX20599")</f>
        <v>ACT-SCMX20599</v>
      </c>
      <c r="B250" s="30" t="str">
        <f ca="1">IFERROR(__xludf.DUMMYFUNCTION("""COMPUTED_VALUE"""),"SC-260811-114834")</f>
        <v>SC-260811-114834</v>
      </c>
      <c r="C250" s="62">
        <f ca="1">IFERROR(__xludf.DUMMYFUNCTION("""COMPUTED_VALUE"""),46245.4920601851)</f>
        <v>46245.492060185097</v>
      </c>
      <c r="D250" s="30">
        <f ca="1">IFERROR(__xludf.DUMMYFUNCTION("""COMPUTED_VALUE"""),92)</f>
        <v>92</v>
      </c>
      <c r="E250" s="30" t="str">
        <f ca="1">IFERROR(__xludf.DUMMYFUNCTION("""COMPUTED_VALUE"""),"PB3572")</f>
        <v>PB3572</v>
      </c>
      <c r="F25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0" s="30" t="str">
        <f ca="1">IFERROR(__xludf.DUMMYFUNCTION("""COMPUTED_VALUE"""),"SUBSECRETARÍA DE DESARROLLO Y PROMOCIÓN ARTÍSTICA Y CULTURAL")</f>
        <v>SUBSECRETARÍA DE DESARROLLO Y PROMOCIÓN ARTÍSTICA Y CULTURAL</v>
      </c>
      <c r="I250" s="34" t="str">
        <f ca="1">IFERROR(__xludf.DUMMYFUNCTION("""COMPUTED_VALUE"""),"DIRECCIÓN GENERAL DE MUSEOS, ARTES VISUALES Y EXPOSICIONES")</f>
        <v>DIRECCIÓN GENERAL DE MUSEOS, ARTES VISUALES Y EXPOSICIONES</v>
      </c>
      <c r="J250" s="30" t="str">
        <f ca="1">IFERROR(__xludf.DUMMYFUNCTION("""COMPUTED_VALUE"""),"Número de Actividades realizadas")</f>
        <v>Número de Actividades realizadas</v>
      </c>
      <c r="K250" s="30">
        <f ca="1">IFERROR(__xludf.DUMMYFUNCTION("""COMPUTED_VALUE"""),800)</f>
        <v>800</v>
      </c>
      <c r="L250" s="30" t="str">
        <f ca="1">IFERROR(__xludf.DUMMYFUNCTION("""COMPUTED_VALUE"""),"Cultural")</f>
        <v>Cultural</v>
      </c>
      <c r="M250" s="30" t="str">
        <f ca="1">IFERROR(__xludf.DUMMYFUNCTION("""COMPUTED_VALUE"""),"Visita ""Universidad EPCA""")</f>
        <v>Visita "Universidad EPCA"</v>
      </c>
      <c r="N250" s="30" t="str">
        <f ca="1">IFERROR(__xludf.DUMMYFUNCTION("""COMPUTED_VALUE"""),"Visita Mediada")</f>
        <v>Visita Mediada</v>
      </c>
      <c r="O250" s="30" t="str">
        <f ca="1">IFERROR(__xludf.DUMMYFUNCTION("""COMPUTED_VALUE"""),"Única")</f>
        <v>Única</v>
      </c>
      <c r="P250" s="33">
        <f ca="1">IFERROR(__xludf.DUMMYFUNCTION("""COMPUTED_VALUE"""),46218)</f>
        <v>46218</v>
      </c>
      <c r="Q250" s="33">
        <f ca="1">IFERROR(__xludf.DUMMYFUNCTION("""COMPUTED_VALUE"""),46218)</f>
        <v>46218</v>
      </c>
      <c r="R250" s="30">
        <f ca="1">IFERROR(__xludf.DUMMYFUNCTION("""COMPUTED_VALUE"""),1)</f>
        <v>1</v>
      </c>
      <c r="S250" s="30" t="str">
        <f ca="1">IFERROR(__xludf.DUMMYFUNCTION("""COMPUTED_VALUE"""),"Cultura comunitaria")</f>
        <v>Cultura comunitaria</v>
      </c>
      <c r="T250" s="30" t="str">
        <f ca="1">IFERROR(__xludf.DUMMYFUNCTION("""COMPUTED_VALUE"""),"Mediación cultural")</f>
        <v>Mediación cultural</v>
      </c>
      <c r="U250" s="30" t="str">
        <f ca="1">IFERROR(__xludf.DUMMYFUNCTION("""COMPUTED_VALUE"""),"Visitas escolares")</f>
        <v>Visitas escolares</v>
      </c>
      <c r="V250" s="30" t="str">
        <f ca="1">IFERROR(__xludf.DUMMYFUNCTION("""COMPUTED_VALUE"""),"Ninguna")</f>
        <v>Ninguna</v>
      </c>
      <c r="W250" s="30" t="str">
        <f ca="1">IFERROR(__xludf.DUMMYFUNCTION("""COMPUTED_VALUE"""),"Presencial")</f>
        <v>Presencial</v>
      </c>
      <c r="X250" s="30" t="str">
        <f ca="1">IFERROR(__xludf.DUMMYFUNCTION("""COMPUTED_VALUE"""),"Espacio a Cargo de la Secretaría")</f>
        <v>Espacio a Cargo de la Secretaría</v>
      </c>
      <c r="Y250" s="30" t="str">
        <f ca="1">IFERROR(__xludf.DUMMYFUNCTION("""COMPUTED_VALUE"""),"Museo de Arte e Historia de Guanajuato, sala Feliciano Peña")</f>
        <v>Museo de Arte e Historia de Guanajuato, sala Feliciano Peña</v>
      </c>
      <c r="Z250" s="30"/>
      <c r="AA250" s="30"/>
      <c r="AB250" s="30" t="b">
        <f ca="1">IFERROR(__xludf.DUMMYFUNCTION("""COMPUTED_VALUE"""),FALSE)</f>
        <v>0</v>
      </c>
      <c r="AC250" s="30"/>
      <c r="AD250" s="30" t="b">
        <f ca="1">IFERROR(__xludf.DUMMYFUNCTION("""COMPUTED_VALUE"""),FALSE)</f>
        <v>0</v>
      </c>
      <c r="AE250" s="30"/>
      <c r="AF250" s="30" t="b">
        <f ca="1">IFERROR(__xludf.DUMMYFUNCTION("""COMPUTED_VALUE"""),FALSE)</f>
        <v>0</v>
      </c>
      <c r="AG250" s="30"/>
      <c r="AH250" s="30" t="str">
        <f ca="1">IFERROR(__xludf.DUMMYFUNCTION("""COMPUTED_VALUE"""),"Sin costo")</f>
        <v>Sin costo</v>
      </c>
      <c r="AI250" s="30"/>
      <c r="AJ250" s="30"/>
      <c r="AK250" s="30"/>
      <c r="AL250" s="30" t="str">
        <f ca="1">IFERROR(__xludf.DUMMYFUNCTION("""COMPUTED_VALUE"""),"ccardonav@guanajuato.gob.mx")</f>
        <v>ccardonav@guanajuato.gob.mx</v>
      </c>
      <c r="AM250" s="30" t="str">
        <f ca="1">IFERROR(__xludf.DUMMYFUNCTION("""COMPUTED_VALUE"""),"Arraigo y empoderamiento cultural de comunidades.")</f>
        <v>Arraigo y empoderamiento cultural de comunidades.</v>
      </c>
      <c r="AN250" s="30" t="str">
        <f ca="1">IFERROR(__xludf.DUMMYFUNCTION("""COMPUTED_VALUE"""),"2 Igualdad")</f>
        <v>2 Igualdad</v>
      </c>
      <c r="AO250" s="30" t="str">
        <f ca="1">IFERROR(__xludf.DUMMYFUNCTION("""COMPUTED_VALUE"""),"2.4 Reducir brechas de desigualdad")</f>
        <v>2.4 Reducir brechas de desigualdad</v>
      </c>
      <c r="AP250" s="30" t="str">
        <f ca="1">IFERROR(__xludf.DUMMYFUNCTION("""COMPUTED_VALUE"""),"2.4.3 Descentralización de la oferta cultural")</f>
        <v>2.4.3 Descentralización de la oferta cultural</v>
      </c>
      <c r="AQ250" s="30" t="str">
        <f ca="1">IFERROR(__xludf.DUMMYFUNCTION("""COMPUTED_VALUE"""),"2.4.3.1 Impulsar el desarrollo artístico y cultural entre infancias y juventudes")</f>
        <v>2.4.3.1 Impulsar el desarrollo artístico y cultural entre infancias y juventudes</v>
      </c>
      <c r="AR250" s="30" t="str">
        <f ca="1">IFERROR(__xludf.DUMMYFUNCTION("""COMPUTED_VALUE"""),"Ninguno")</f>
        <v>Ninguno</v>
      </c>
      <c r="AS250" s="30"/>
      <c r="AT250" s="30" t="str">
        <f ca="1">IFERROR(__xludf.DUMMYFUNCTION("""COMPUTED_VALUE"""),"Fortalecimiento de la participación ciudadana y la mediación cultural")</f>
        <v>Fortalecimiento de la participación ciudadana y la mediación cultural</v>
      </c>
      <c r="AU250" s="30" t="str">
        <f ca="1">IFERROR(__xludf.DUMMYFUNCTION("""COMPUTED_VALUE"""),"Fortalecimiento del diálogo, la mediación y las capacidades de las redes comunitarias.")</f>
        <v>Fortalecimiento del diálogo, la mediación y las capacidades de las redes comunitarias.</v>
      </c>
      <c r="AV250"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0" s="30" t="str">
        <f ca="1">IFERROR(__xludf.DUMMYFUNCTION("""COMPUTED_VALUE"""),"Incrementar en 25% la oferta cultural realizada en los municipios.")</f>
        <v>Incrementar en 25% la oferta cultural realizada en los municipios.</v>
      </c>
      <c r="AX250" s="30" t="str">
        <f ca="1">IFERROR(__xludf.DUMMYFUNCTION("""COMPUTED_VALUE"""),"Visitas escolares")</f>
        <v>Visitas escolares</v>
      </c>
      <c r="AY250" s="30" t="str">
        <f ca="1">IFERROR(__xludf.DUMMYFUNCTION("""COMPUTED_VALUE"""),"Mediación")</f>
        <v>Mediación</v>
      </c>
      <c r="AZ250" s="30"/>
      <c r="BA250" s="30"/>
      <c r="BB250" s="30"/>
      <c r="BC250" s="30">
        <f ca="1">IFERROR(__xludf.DUMMYFUNCTION("""COMPUTED_VALUE"""),0)</f>
        <v>0</v>
      </c>
      <c r="BD250" s="30"/>
      <c r="BE250" s="30"/>
      <c r="BF250" s="30" t="b">
        <f ca="1">IFERROR(__xludf.DUMMYFUNCTION("""COMPUTED_VALUE"""),FALSE)</f>
        <v>0</v>
      </c>
      <c r="BG250" s="30"/>
      <c r="BH250" s="30"/>
      <c r="BI250" s="30"/>
      <c r="BJ250" s="30"/>
      <c r="BK250" s="30"/>
      <c r="BL250" s="30"/>
      <c r="BM250" s="30" t="str">
        <f ca="1">IFERROR(__xludf.DUMMYFUNCTION("""COMPUTED_VALUE"""),"No")</f>
        <v>No</v>
      </c>
      <c r="BN250" s="30"/>
      <c r="BO250" s="30" t="str">
        <f ca="1">IFERROR(__xludf.DUMMYFUNCTION("""COMPUTED_VALUE"""),"8832c3bf")</f>
        <v>8832c3bf</v>
      </c>
      <c r="BP250" s="29" t="str">
        <f ca="1">IFERROR(__xludf.DUMMYFUNCTION("""COMPUTED_VALUE"""),"León")</f>
        <v>León</v>
      </c>
      <c r="BQ250" s="30" t="str">
        <f ca="1">IFERROR(__xludf.DUMMYFUNCTION("""COMPUTED_VALUE"""),"Urbano")</f>
        <v>Urbano</v>
      </c>
      <c r="BR250" s="30"/>
      <c r="BS250" s="30"/>
      <c r="BT250" s="30"/>
      <c r="BU250" s="30" t="str">
        <f ca="1">IFERROR(__xludf.DUMMYFUNCTION("""COMPUTED_VALUE"""),"No")</f>
        <v>No</v>
      </c>
      <c r="BV250" s="30" t="str">
        <f ca="1">IFERROR(__xludf.DUMMYFUNCTION("""COMPUTED_VALUE"""),"No")</f>
        <v>No</v>
      </c>
      <c r="BW250" s="30">
        <f ca="1">IFERROR(__xludf.DUMMYFUNCTION("""COMPUTED_VALUE"""),10)</f>
        <v>10</v>
      </c>
      <c r="BX250" s="30">
        <f ca="1">IFERROR(__xludf.DUMMYFUNCTION("""COMPUTED_VALUE"""),10)</f>
        <v>10</v>
      </c>
      <c r="BY250" s="30">
        <f ca="1">IFERROR(__xludf.DUMMYFUNCTION("""COMPUTED_VALUE"""),0)</f>
        <v>0</v>
      </c>
      <c r="BZ250" s="30"/>
      <c r="CA250" s="30" t="str">
        <f ca="1">IFERROR(__xludf.DUMMYFUNCTION("""COMPUTED_VALUE"""),"No")</f>
        <v>No</v>
      </c>
      <c r="CB250" s="30" t="str">
        <f ca="1">IFERROR(__xludf.DUMMYFUNCTION("""COMPUTED_VALUE"""),"No")</f>
        <v>No</v>
      </c>
      <c r="CC250" s="30" t="str">
        <f ca="1">IFERROR(__xludf.DUMMYFUNCTION("""COMPUTED_VALUE"""),"f44b06b2")</f>
        <v>f44b06b2</v>
      </c>
      <c r="CD250" s="29" t="str">
        <f ca="1">IFERROR(__xludf.DUMMYFUNCTION("""COMPUTED_VALUE"""),"Jóvenes (18 a 29 años)")</f>
        <v>Jóvenes (18 a 29 años)</v>
      </c>
      <c r="CE250" s="30" t="str">
        <f ca="1">IFERROR(__xludf.DUMMYFUNCTION("""COMPUTED_VALUE"""),"Dato global")</f>
        <v>Dato global</v>
      </c>
      <c r="CF250" s="30" t="str">
        <f ca="1">IFERROR(__xludf.DUMMYFUNCTION("""COMPUTED_VALUE"""),"Ninguno (Población General)")</f>
        <v>Ninguno (Población General)</v>
      </c>
      <c r="CG250" s="30">
        <f ca="1">IFERROR(__xludf.DUMMYFUNCTION("""COMPUTED_VALUE"""),5)</f>
        <v>5</v>
      </c>
      <c r="CI250" s="30" t="str">
        <f ca="1">IFERROR(__xludf.DUMMYFUNCTION("""COMPUTED_VALUE"""),"9e3be457")</f>
        <v>9e3be457</v>
      </c>
      <c r="CJ250" s="29" t="str">
        <f ca="1">IFERROR(__xludf.DUMMYFUNCTION("""COMPUTED_VALUE"""),"Regitro_Evidencia_Images/9e3be457.Archivo_Evidencia.175951.jpg")</f>
        <v>Regitro_Evidencia_Images/9e3be457.Archivo_Evidencia.175951.jpg</v>
      </c>
      <c r="CK250" s="30" t="str">
        <f ca="1">IFERROR(__xludf.DUMMYFUNCTION("""COMPUTED_VALUE"""),"Foto")</f>
        <v>Foto</v>
      </c>
      <c r="CL250" s="30"/>
      <c r="CM250" s="30" t="str">
        <f ca="1">IFERROR(__xludf.DUMMYFUNCTION("""COMPUTED_VALUE"""),"León")</f>
        <v>León</v>
      </c>
      <c r="CN250" s="32" t="e">
        <f ca="1"/>
        <v>#NAME?</v>
      </c>
      <c r="CO250" s="32" t="e">
        <f ca="1"/>
        <v>#NAME?</v>
      </c>
      <c r="CP250" s="32" t="e">
        <f ca="1"/>
        <v>#NAME?</v>
      </c>
      <c r="CQ250" s="32" t="e">
        <f ca="1"/>
        <v>#NAME?</v>
      </c>
      <c r="CR250" s="30" t="e">
        <f ca="1"/>
        <v>#NAME?</v>
      </c>
      <c r="CS250" s="30" t="str">
        <f ca="1">IFERROR(__xludf.DUMMYFUNCTION("""COMPUTED_VALUE"""),"Ninguno (Población General)")</f>
        <v>Ninguno (Población General)</v>
      </c>
    </row>
    <row r="251" spans="1:97" ht="13">
      <c r="A251" s="29" t="str">
        <f ca="1">IFERROR(__xludf.DUMMYFUNCTION("""COMPUTED_VALUE"""),"ACT-SCRS70126")</f>
        <v>ACT-SCRS70126</v>
      </c>
      <c r="B251" s="30" t="str">
        <f ca="1">IFERROR(__xludf.DUMMYFUNCTION("""COMPUTED_VALUE"""),"SC-260811-122825")</f>
        <v>SC-260811-122825</v>
      </c>
      <c r="C251" s="62">
        <f ca="1">IFERROR(__xludf.DUMMYFUNCTION("""COMPUTED_VALUE"""),46245.5197337962)</f>
        <v>46245.519733796202</v>
      </c>
      <c r="D251" s="30">
        <f ca="1">IFERROR(__xludf.DUMMYFUNCTION("""COMPUTED_VALUE"""),92)</f>
        <v>92</v>
      </c>
      <c r="E251" s="30" t="str">
        <f ca="1">IFERROR(__xludf.DUMMYFUNCTION("""COMPUTED_VALUE"""),"PB3572")</f>
        <v>PB3572</v>
      </c>
      <c r="F25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1" s="30" t="str">
        <f ca="1">IFERROR(__xludf.DUMMYFUNCTION("""COMPUTED_VALUE"""),"SUBSECRETARÍA DE DESARROLLO Y PROMOCIÓN ARTÍSTICA Y CULTURAL")</f>
        <v>SUBSECRETARÍA DE DESARROLLO Y PROMOCIÓN ARTÍSTICA Y CULTURAL</v>
      </c>
      <c r="I251" s="34" t="str">
        <f ca="1">IFERROR(__xludf.DUMMYFUNCTION("""COMPUTED_VALUE"""),"DIRECCIÓN GENERAL DE MUSEOS, ARTES VISUALES Y EXPOSICIONES")</f>
        <v>DIRECCIÓN GENERAL DE MUSEOS, ARTES VISUALES Y EXPOSICIONES</v>
      </c>
      <c r="J251" s="30" t="str">
        <f ca="1">IFERROR(__xludf.DUMMYFUNCTION("""COMPUTED_VALUE"""),"Número de Actividades realizadas")</f>
        <v>Número de Actividades realizadas</v>
      </c>
      <c r="K251" s="30">
        <f ca="1">IFERROR(__xludf.DUMMYFUNCTION("""COMPUTED_VALUE"""),800)</f>
        <v>800</v>
      </c>
      <c r="L251" s="30" t="str">
        <f ca="1">IFERROR(__xludf.DUMMYFUNCTION("""COMPUTED_VALUE"""),"Cultural")</f>
        <v>Cultural</v>
      </c>
      <c r="M251" s="30" t="str">
        <f ca="1">IFERROR(__xludf.DUMMYFUNCTION("""COMPUTED_VALUE"""),"Visita Libre")</f>
        <v>Visita Libre</v>
      </c>
      <c r="N251" s="30" t="str">
        <f ca="1">IFERROR(__xludf.DUMMYFUNCTION("""COMPUTED_VALUE"""),"Visita Mediada")</f>
        <v>Visita Mediada</v>
      </c>
      <c r="O251" s="30" t="str">
        <f ca="1">IFERROR(__xludf.DUMMYFUNCTION("""COMPUTED_VALUE"""),"Única")</f>
        <v>Única</v>
      </c>
      <c r="P251" s="33">
        <f ca="1">IFERROR(__xludf.DUMMYFUNCTION("""COMPUTED_VALUE"""),46218)</f>
        <v>46218</v>
      </c>
      <c r="Q251" s="33">
        <f ca="1">IFERROR(__xludf.DUMMYFUNCTION("""COMPUTED_VALUE"""),46218)</f>
        <v>46218</v>
      </c>
      <c r="R251" s="30">
        <f ca="1">IFERROR(__xludf.DUMMYFUNCTION("""COMPUTED_VALUE"""),1)</f>
        <v>1</v>
      </c>
      <c r="S251" s="30" t="str">
        <f ca="1">IFERROR(__xludf.DUMMYFUNCTION("""COMPUTED_VALUE"""),"Cultura comunitaria")</f>
        <v>Cultura comunitaria</v>
      </c>
      <c r="T251" s="30" t="str">
        <f ca="1">IFERROR(__xludf.DUMMYFUNCTION("""COMPUTED_VALUE"""),"Mediación cultural")</f>
        <v>Mediación cultural</v>
      </c>
      <c r="U251" s="30" t="str">
        <f ca="1">IFERROR(__xludf.DUMMYFUNCTION("""COMPUTED_VALUE"""),"Visitas guiadas")</f>
        <v>Visitas guiadas</v>
      </c>
      <c r="V251" s="30" t="str">
        <f ca="1">IFERROR(__xludf.DUMMYFUNCTION("""COMPUTED_VALUE"""),"Ninguna")</f>
        <v>Ninguna</v>
      </c>
      <c r="W251" s="30" t="str">
        <f ca="1">IFERROR(__xludf.DUMMYFUNCTION("""COMPUTED_VALUE"""),"Presencial")</f>
        <v>Presencial</v>
      </c>
      <c r="X251" s="30" t="str">
        <f ca="1">IFERROR(__xludf.DUMMYFUNCTION("""COMPUTED_VALUE"""),"Espacio a Cargo de la Secretaría")</f>
        <v>Espacio a Cargo de la Secretaría</v>
      </c>
      <c r="Y251" s="30" t="str">
        <f ca="1">IFERROR(__xludf.DUMMYFUNCTION("""COMPUTED_VALUE"""),"Museo de Arte e Historia de Guanajuato, sala Feliciano Peña")</f>
        <v>Museo de Arte e Historia de Guanajuato, sala Feliciano Peña</v>
      </c>
      <c r="Z251" s="30"/>
      <c r="AA251" s="30"/>
      <c r="AB251" s="30" t="b">
        <f ca="1">IFERROR(__xludf.DUMMYFUNCTION("""COMPUTED_VALUE"""),FALSE)</f>
        <v>0</v>
      </c>
      <c r="AC251" s="30"/>
      <c r="AD251" s="30" t="b">
        <f ca="1">IFERROR(__xludf.DUMMYFUNCTION("""COMPUTED_VALUE"""),FALSE)</f>
        <v>0</v>
      </c>
      <c r="AE251" s="30"/>
      <c r="AF251" s="30" t="b">
        <f ca="1">IFERROR(__xludf.DUMMYFUNCTION("""COMPUTED_VALUE"""),FALSE)</f>
        <v>0</v>
      </c>
      <c r="AG251" s="30"/>
      <c r="AH251" s="30" t="str">
        <f ca="1">IFERROR(__xludf.DUMMYFUNCTION("""COMPUTED_VALUE"""),"Sin costo")</f>
        <v>Sin costo</v>
      </c>
      <c r="AI251" s="30"/>
      <c r="AJ251" s="30"/>
      <c r="AK251" s="30"/>
      <c r="AL251" s="30" t="str">
        <f ca="1">IFERROR(__xludf.DUMMYFUNCTION("""COMPUTED_VALUE"""),"ccardonav@guanajuato.gob.mx")</f>
        <v>ccardonav@guanajuato.gob.mx</v>
      </c>
      <c r="AM251" s="30" t="str">
        <f ca="1">IFERROR(__xludf.DUMMYFUNCTION("""COMPUTED_VALUE"""),"Arraigo y empoderamiento cultural de comunidades.")</f>
        <v>Arraigo y empoderamiento cultural de comunidades.</v>
      </c>
      <c r="AN251" s="30" t="str">
        <f ca="1">IFERROR(__xludf.DUMMYFUNCTION("""COMPUTED_VALUE"""),"2 Igualdad")</f>
        <v>2 Igualdad</v>
      </c>
      <c r="AO251" s="30" t="str">
        <f ca="1">IFERROR(__xludf.DUMMYFUNCTION("""COMPUTED_VALUE"""),"2.4 Reducir brechas de desigualdad")</f>
        <v>2.4 Reducir brechas de desigualdad</v>
      </c>
      <c r="AP251" s="30" t="str">
        <f ca="1">IFERROR(__xludf.DUMMYFUNCTION("""COMPUTED_VALUE"""),"2.4.3 Descentralización de la oferta cultural")</f>
        <v>2.4.3 Descentralización de la oferta cultural</v>
      </c>
      <c r="AQ251" s="30" t="str">
        <f ca="1">IFERROR(__xludf.DUMMYFUNCTION("""COMPUTED_VALUE"""),"2.4.3.1 Impulsar el desarrollo artístico y cultural entre infancias y juventudes")</f>
        <v>2.4.3.1 Impulsar el desarrollo artístico y cultural entre infancias y juventudes</v>
      </c>
      <c r="AR251" s="30" t="str">
        <f ca="1">IFERROR(__xludf.DUMMYFUNCTION("""COMPUTED_VALUE"""),"Ninguno")</f>
        <v>Ninguno</v>
      </c>
      <c r="AS251" s="30"/>
      <c r="AT251" s="30" t="str">
        <f ca="1">IFERROR(__xludf.DUMMYFUNCTION("""COMPUTED_VALUE"""),"Fortalecimiento de la participación ciudadana y la mediación cultural")</f>
        <v>Fortalecimiento de la participación ciudadana y la mediación cultural</v>
      </c>
      <c r="AU251" s="30" t="str">
        <f ca="1">IFERROR(__xludf.DUMMYFUNCTION("""COMPUTED_VALUE"""),"Fortalecimiento del diálogo, la mediación y las capacidades de las redes comunitarias.")</f>
        <v>Fortalecimiento del diálogo, la mediación y las capacidades de las redes comunitarias.</v>
      </c>
      <c r="AV25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1" s="30" t="str">
        <f ca="1">IFERROR(__xludf.DUMMYFUNCTION("""COMPUTED_VALUE"""),"Incrementar en 25% la oferta cultural realizada en los municipios.")</f>
        <v>Incrementar en 25% la oferta cultural realizada en los municipios.</v>
      </c>
      <c r="AX251" s="30" t="str">
        <f ca="1">IFERROR(__xludf.DUMMYFUNCTION("""COMPUTED_VALUE"""),"Visitas guiadas")</f>
        <v>Visitas guiadas</v>
      </c>
      <c r="AY251" s="30" t="str">
        <f ca="1">IFERROR(__xludf.DUMMYFUNCTION("""COMPUTED_VALUE"""),"Mediación")</f>
        <v>Mediación</v>
      </c>
      <c r="AZ251" s="30"/>
      <c r="BA251" s="30"/>
      <c r="BB251" s="30"/>
      <c r="BC251" s="30">
        <f ca="1">IFERROR(__xludf.DUMMYFUNCTION("""COMPUTED_VALUE"""),0)</f>
        <v>0</v>
      </c>
      <c r="BD251" s="30"/>
      <c r="BE251" s="30"/>
      <c r="BF251" s="30" t="b">
        <f ca="1">IFERROR(__xludf.DUMMYFUNCTION("""COMPUTED_VALUE"""),FALSE)</f>
        <v>0</v>
      </c>
      <c r="BG251" s="30"/>
      <c r="BH251" s="30"/>
      <c r="BI251" s="30"/>
      <c r="BJ251" s="30"/>
      <c r="BK251" s="30"/>
      <c r="BL251" s="30"/>
      <c r="BM251" s="30" t="str">
        <f ca="1">IFERROR(__xludf.DUMMYFUNCTION("""COMPUTED_VALUE"""),"No")</f>
        <v>No</v>
      </c>
      <c r="BN251" s="30"/>
      <c r="BO251" s="30" t="str">
        <f ca="1">IFERROR(__xludf.DUMMYFUNCTION("""COMPUTED_VALUE"""),"ff8d8104")</f>
        <v>ff8d8104</v>
      </c>
      <c r="BP251" s="29" t="str">
        <f ca="1">IFERROR(__xludf.DUMMYFUNCTION("""COMPUTED_VALUE"""),"León")</f>
        <v>León</v>
      </c>
      <c r="BQ251" s="30" t="str">
        <f ca="1">IFERROR(__xludf.DUMMYFUNCTION("""COMPUTED_VALUE"""),"Urbano")</f>
        <v>Urbano</v>
      </c>
      <c r="BR251" s="30"/>
      <c r="BS251" s="30"/>
      <c r="BT251" s="30"/>
      <c r="BU251" s="30" t="str">
        <f ca="1">IFERROR(__xludf.DUMMYFUNCTION("""COMPUTED_VALUE"""),"No")</f>
        <v>No</v>
      </c>
      <c r="BV251" s="30" t="str">
        <f ca="1">IFERROR(__xludf.DUMMYFUNCTION("""COMPUTED_VALUE"""),"No")</f>
        <v>No</v>
      </c>
      <c r="BW251" s="30">
        <f ca="1">IFERROR(__xludf.DUMMYFUNCTION("""COMPUTED_VALUE"""),11)</f>
        <v>11</v>
      </c>
      <c r="BX251" s="30"/>
      <c r="BY251" s="30">
        <f ca="1">IFERROR(__xludf.DUMMYFUNCTION("""COMPUTED_VALUE"""),11)</f>
        <v>11</v>
      </c>
      <c r="BZ251" s="30"/>
      <c r="CA251" s="30" t="str">
        <f ca="1">IFERROR(__xludf.DUMMYFUNCTION("""COMPUTED_VALUE"""),"No")</f>
        <v>No</v>
      </c>
      <c r="CB251" s="30" t="str">
        <f ca="1">IFERROR(__xludf.DUMMYFUNCTION("""COMPUTED_VALUE"""),"No")</f>
        <v>No</v>
      </c>
      <c r="CC251" s="30" t="str">
        <f ca="1">IFERROR(__xludf.DUMMYFUNCTION("""COMPUTED_VALUE"""),"556f5c12")</f>
        <v>556f5c12</v>
      </c>
      <c r="CD251" s="29" t="str">
        <f ca="1">IFERROR(__xludf.DUMMYFUNCTION("""COMPUTED_VALUE"""),"Adultos (30 a 59 años)")</f>
        <v>Adultos (30 a 59 años)</v>
      </c>
      <c r="CE251" s="30" t="str">
        <f ca="1">IFERROR(__xludf.DUMMYFUNCTION("""COMPUTED_VALUE"""),"Dato global")</f>
        <v>Dato global</v>
      </c>
      <c r="CF251" s="30" t="str">
        <f ca="1">IFERROR(__xludf.DUMMYFUNCTION("""COMPUTED_VALUE"""),"Ninguno (Población General)")</f>
        <v>Ninguno (Población General)</v>
      </c>
      <c r="CG251" s="30">
        <f ca="1">IFERROR(__xludf.DUMMYFUNCTION("""COMPUTED_VALUE"""),6)</f>
        <v>6</v>
      </c>
      <c r="CI251" s="30" t="str">
        <f ca="1">IFERROR(__xludf.DUMMYFUNCTION("""COMPUTED_VALUE"""),"98ae8de7")</f>
        <v>98ae8de7</v>
      </c>
      <c r="CJ251" s="29" t="str">
        <f ca="1">IFERROR(__xludf.DUMMYFUNCTION("""COMPUTED_VALUE"""),"Regitro_Evidencia_Images/98ae8de7.Archivo_Evidencia.192244.jpg")</f>
        <v>Regitro_Evidencia_Images/98ae8de7.Archivo_Evidencia.192244.jpg</v>
      </c>
      <c r="CK251" s="30" t="str">
        <f ca="1">IFERROR(__xludf.DUMMYFUNCTION("""COMPUTED_VALUE"""),"Foto")</f>
        <v>Foto</v>
      </c>
      <c r="CL251" s="30"/>
      <c r="CM251" s="30" t="str">
        <f ca="1">IFERROR(__xludf.DUMMYFUNCTION("""COMPUTED_VALUE"""),"León")</f>
        <v>León</v>
      </c>
      <c r="CN251" s="32" t="e">
        <f ca="1"/>
        <v>#NAME?</v>
      </c>
      <c r="CO251" s="32" t="e">
        <f ca="1"/>
        <v>#NAME?</v>
      </c>
      <c r="CP251" s="32" t="e">
        <f ca="1"/>
        <v>#NAME?</v>
      </c>
      <c r="CQ251" s="32" t="e">
        <f ca="1"/>
        <v>#NAME?</v>
      </c>
      <c r="CR251" s="30" t="e">
        <f ca="1"/>
        <v>#NAME?</v>
      </c>
      <c r="CS251" s="30" t="str">
        <f ca="1">IFERROR(__xludf.DUMMYFUNCTION("""COMPUTED_VALUE"""),"Ninguno (Población General)")</f>
        <v>Ninguno (Población General)</v>
      </c>
    </row>
    <row r="252" spans="1:97" ht="13">
      <c r="A252" s="29" t="str">
        <f ca="1">IFERROR(__xludf.DUMMYFUNCTION("""COMPUTED_VALUE"""),"ACT-SCTK25725")</f>
        <v>ACT-SCTK25725</v>
      </c>
      <c r="B252" s="30" t="str">
        <f ca="1">IFERROR(__xludf.DUMMYFUNCTION("""COMPUTED_VALUE"""),"SC-260811-123321")</f>
        <v>SC-260811-123321</v>
      </c>
      <c r="C252" s="62">
        <f ca="1">IFERROR(__xludf.DUMMYFUNCTION("""COMPUTED_VALUE"""),46245.5231597222)</f>
        <v>46245.523159722201</v>
      </c>
      <c r="D252" s="30">
        <f ca="1">IFERROR(__xludf.DUMMYFUNCTION("""COMPUTED_VALUE"""),92)</f>
        <v>92</v>
      </c>
      <c r="E252" s="30" t="str">
        <f ca="1">IFERROR(__xludf.DUMMYFUNCTION("""COMPUTED_VALUE"""),"PB3572")</f>
        <v>PB3572</v>
      </c>
      <c r="F25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2" s="30" t="str">
        <f ca="1">IFERROR(__xludf.DUMMYFUNCTION("""COMPUTED_VALUE"""),"SUBSECRETARÍA DE DESARROLLO Y PROMOCIÓN ARTÍSTICA Y CULTURAL")</f>
        <v>SUBSECRETARÍA DE DESARROLLO Y PROMOCIÓN ARTÍSTICA Y CULTURAL</v>
      </c>
      <c r="I252" s="34" t="str">
        <f ca="1">IFERROR(__xludf.DUMMYFUNCTION("""COMPUTED_VALUE"""),"DIRECCIÓN GENERAL DE MUSEOS, ARTES VISUALES Y EXPOSICIONES")</f>
        <v>DIRECCIÓN GENERAL DE MUSEOS, ARTES VISUALES Y EXPOSICIONES</v>
      </c>
      <c r="J252" s="30" t="str">
        <f ca="1">IFERROR(__xludf.DUMMYFUNCTION("""COMPUTED_VALUE"""),"Número de Actividades realizadas")</f>
        <v>Número de Actividades realizadas</v>
      </c>
      <c r="K252" s="30">
        <f ca="1">IFERROR(__xludf.DUMMYFUNCTION("""COMPUTED_VALUE"""),800)</f>
        <v>800</v>
      </c>
      <c r="L252" s="30" t="str">
        <f ca="1">IFERROR(__xludf.DUMMYFUNCTION("""COMPUTED_VALUE"""),"Cultural")</f>
        <v>Cultural</v>
      </c>
      <c r="M252" s="30" t="str">
        <f ca="1">IFERROR(__xludf.DUMMYFUNCTION("""COMPUTED_VALUE"""),"Visita Escolar  ""EPCA""")</f>
        <v>Visita Escolar  "EPCA"</v>
      </c>
      <c r="N252" s="30" t="str">
        <f ca="1">IFERROR(__xludf.DUMMYFUNCTION("""COMPUTED_VALUE"""),"Visita Mediada")</f>
        <v>Visita Mediada</v>
      </c>
      <c r="O252" s="30" t="str">
        <f ca="1">IFERROR(__xludf.DUMMYFUNCTION("""COMPUTED_VALUE"""),"Única")</f>
        <v>Única</v>
      </c>
      <c r="P252" s="33">
        <f ca="1">IFERROR(__xludf.DUMMYFUNCTION("""COMPUTED_VALUE"""),46219)</f>
        <v>46219</v>
      </c>
      <c r="Q252" s="33">
        <f ca="1">IFERROR(__xludf.DUMMYFUNCTION("""COMPUTED_VALUE"""),46219)</f>
        <v>46219</v>
      </c>
      <c r="R252" s="30">
        <f ca="1">IFERROR(__xludf.DUMMYFUNCTION("""COMPUTED_VALUE"""),1)</f>
        <v>1</v>
      </c>
      <c r="S252" s="30" t="str">
        <f ca="1">IFERROR(__xludf.DUMMYFUNCTION("""COMPUTED_VALUE"""),"Cultura comunitaria")</f>
        <v>Cultura comunitaria</v>
      </c>
      <c r="T252" s="30" t="str">
        <f ca="1">IFERROR(__xludf.DUMMYFUNCTION("""COMPUTED_VALUE"""),"Mediación cultural")</f>
        <v>Mediación cultural</v>
      </c>
      <c r="U252" s="30" t="str">
        <f ca="1">IFERROR(__xludf.DUMMYFUNCTION("""COMPUTED_VALUE"""),"Visitas escolares")</f>
        <v>Visitas escolares</v>
      </c>
      <c r="V252" s="30" t="str">
        <f ca="1">IFERROR(__xludf.DUMMYFUNCTION("""COMPUTED_VALUE"""),"Ninguna")</f>
        <v>Ninguna</v>
      </c>
      <c r="W252" s="30" t="str">
        <f ca="1">IFERROR(__xludf.DUMMYFUNCTION("""COMPUTED_VALUE"""),"Presencial")</f>
        <v>Presencial</v>
      </c>
      <c r="X252" s="30" t="str">
        <f ca="1">IFERROR(__xludf.DUMMYFUNCTION("""COMPUTED_VALUE"""),"Espacio a Cargo de la Secretaría")</f>
        <v>Espacio a Cargo de la Secretaría</v>
      </c>
      <c r="Y252" s="30" t="str">
        <f ca="1">IFERROR(__xludf.DUMMYFUNCTION("""COMPUTED_VALUE"""),"Museo de Arte e Historia de Guanajuato, sala Feliciano Peña")</f>
        <v>Museo de Arte e Historia de Guanajuato, sala Feliciano Peña</v>
      </c>
      <c r="Z252" s="30"/>
      <c r="AA252" s="30"/>
      <c r="AB252" s="30" t="b">
        <f ca="1">IFERROR(__xludf.DUMMYFUNCTION("""COMPUTED_VALUE"""),FALSE)</f>
        <v>0</v>
      </c>
      <c r="AC252" s="30"/>
      <c r="AD252" s="30" t="b">
        <f ca="1">IFERROR(__xludf.DUMMYFUNCTION("""COMPUTED_VALUE"""),FALSE)</f>
        <v>0</v>
      </c>
      <c r="AE252" s="30"/>
      <c r="AF252" s="30" t="b">
        <f ca="1">IFERROR(__xludf.DUMMYFUNCTION("""COMPUTED_VALUE"""),FALSE)</f>
        <v>0</v>
      </c>
      <c r="AG252" s="30"/>
      <c r="AH252" s="30" t="str">
        <f ca="1">IFERROR(__xludf.DUMMYFUNCTION("""COMPUTED_VALUE"""),"Sin costo")</f>
        <v>Sin costo</v>
      </c>
      <c r="AI252" s="30"/>
      <c r="AJ252" s="30"/>
      <c r="AK252" s="30"/>
      <c r="AL252" s="30" t="str">
        <f ca="1">IFERROR(__xludf.DUMMYFUNCTION("""COMPUTED_VALUE"""),"ccardonav@guanajuato.gob.mx")</f>
        <v>ccardonav@guanajuato.gob.mx</v>
      </c>
      <c r="AM252" s="30" t="str">
        <f ca="1">IFERROR(__xludf.DUMMYFUNCTION("""COMPUTED_VALUE"""),"Arraigo y empoderamiento cultural de comunidades.")</f>
        <v>Arraigo y empoderamiento cultural de comunidades.</v>
      </c>
      <c r="AN252" s="30" t="str">
        <f ca="1">IFERROR(__xludf.DUMMYFUNCTION("""COMPUTED_VALUE"""),"2 Igualdad")</f>
        <v>2 Igualdad</v>
      </c>
      <c r="AO252" s="30" t="str">
        <f ca="1">IFERROR(__xludf.DUMMYFUNCTION("""COMPUTED_VALUE"""),"2.4 Reducir brechas de desigualdad")</f>
        <v>2.4 Reducir brechas de desigualdad</v>
      </c>
      <c r="AP252" s="30" t="str">
        <f ca="1">IFERROR(__xludf.DUMMYFUNCTION("""COMPUTED_VALUE"""),"2.4.3 Descentralización de la oferta cultural")</f>
        <v>2.4.3 Descentralización de la oferta cultural</v>
      </c>
      <c r="AQ252" s="30" t="str">
        <f ca="1">IFERROR(__xludf.DUMMYFUNCTION("""COMPUTED_VALUE"""),"2.4.3.1 Impulsar el desarrollo artístico y cultural entre infancias y juventudes")</f>
        <v>2.4.3.1 Impulsar el desarrollo artístico y cultural entre infancias y juventudes</v>
      </c>
      <c r="AR252" s="30" t="str">
        <f ca="1">IFERROR(__xludf.DUMMYFUNCTION("""COMPUTED_VALUE"""),"Ninguno")</f>
        <v>Ninguno</v>
      </c>
      <c r="AS252" s="30"/>
      <c r="AT252" s="30" t="str">
        <f ca="1">IFERROR(__xludf.DUMMYFUNCTION("""COMPUTED_VALUE"""),"Fortalecimiento de la participación ciudadana y la mediación cultural")</f>
        <v>Fortalecimiento de la participación ciudadana y la mediación cultural</v>
      </c>
      <c r="AU252" s="30" t="str">
        <f ca="1">IFERROR(__xludf.DUMMYFUNCTION("""COMPUTED_VALUE"""),"Fortalecimiento del diálogo, la mediación y las capacidades de las redes comunitarias.")</f>
        <v>Fortalecimiento del diálogo, la mediación y las capacidades de las redes comunitarias.</v>
      </c>
      <c r="AV25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2" s="30" t="str">
        <f ca="1">IFERROR(__xludf.DUMMYFUNCTION("""COMPUTED_VALUE"""),"Incrementar en 25% la oferta cultural realizada en los municipios.")</f>
        <v>Incrementar en 25% la oferta cultural realizada en los municipios.</v>
      </c>
      <c r="AX252" s="30" t="str">
        <f ca="1">IFERROR(__xludf.DUMMYFUNCTION("""COMPUTED_VALUE"""),"Visitas escolares")</f>
        <v>Visitas escolares</v>
      </c>
      <c r="AY252" s="30" t="str">
        <f ca="1">IFERROR(__xludf.DUMMYFUNCTION("""COMPUTED_VALUE"""),"Mediación")</f>
        <v>Mediación</v>
      </c>
      <c r="AZ252" s="30"/>
      <c r="BA252" s="30"/>
      <c r="BB252" s="30"/>
      <c r="BC252" s="30">
        <f ca="1">IFERROR(__xludf.DUMMYFUNCTION("""COMPUTED_VALUE"""),0)</f>
        <v>0</v>
      </c>
      <c r="BD252" s="30"/>
      <c r="BE252" s="30"/>
      <c r="BF252" s="30" t="b">
        <f ca="1">IFERROR(__xludf.DUMMYFUNCTION("""COMPUTED_VALUE"""),FALSE)</f>
        <v>0</v>
      </c>
      <c r="BG252" s="30"/>
      <c r="BH252" s="30"/>
      <c r="BI252" s="30"/>
      <c r="BJ252" s="30"/>
      <c r="BK252" s="30"/>
      <c r="BL252" s="30"/>
      <c r="BM252" s="30" t="str">
        <f ca="1">IFERROR(__xludf.DUMMYFUNCTION("""COMPUTED_VALUE"""),"No")</f>
        <v>No</v>
      </c>
      <c r="BN252" s="30"/>
      <c r="BO252" s="30" t="str">
        <f ca="1">IFERROR(__xludf.DUMMYFUNCTION("""COMPUTED_VALUE"""),"f8141f58")</f>
        <v>f8141f58</v>
      </c>
      <c r="BP252" s="29" t="str">
        <f ca="1">IFERROR(__xludf.DUMMYFUNCTION("""COMPUTED_VALUE"""),"León")</f>
        <v>León</v>
      </c>
      <c r="BQ252" s="30" t="str">
        <f ca="1">IFERROR(__xludf.DUMMYFUNCTION("""COMPUTED_VALUE"""),"Urbano")</f>
        <v>Urbano</v>
      </c>
      <c r="BR252" s="30"/>
      <c r="BS252" s="30"/>
      <c r="BT252" s="30"/>
      <c r="BU252" s="30" t="str">
        <f ca="1">IFERROR(__xludf.DUMMYFUNCTION("""COMPUTED_VALUE"""),"No")</f>
        <v>No</v>
      </c>
      <c r="BV252" s="30" t="str">
        <f ca="1">IFERROR(__xludf.DUMMYFUNCTION("""COMPUTED_VALUE"""),"No")</f>
        <v>No</v>
      </c>
      <c r="BW252" s="30">
        <f ca="1">IFERROR(__xludf.DUMMYFUNCTION("""COMPUTED_VALUE"""),17)</f>
        <v>17</v>
      </c>
      <c r="BX252" s="30"/>
      <c r="BY252" s="30">
        <f ca="1">IFERROR(__xludf.DUMMYFUNCTION("""COMPUTED_VALUE"""),17)</f>
        <v>17</v>
      </c>
      <c r="BZ252" s="30"/>
      <c r="CA252" s="30" t="str">
        <f ca="1">IFERROR(__xludf.DUMMYFUNCTION("""COMPUTED_VALUE"""),"No")</f>
        <v>No</v>
      </c>
      <c r="CB252" s="30" t="str">
        <f ca="1">IFERROR(__xludf.DUMMYFUNCTION("""COMPUTED_VALUE"""),"No")</f>
        <v>No</v>
      </c>
      <c r="CC252" s="30" t="str">
        <f ca="1">IFERROR(__xludf.DUMMYFUNCTION("""COMPUTED_VALUE"""),"b21d663f")</f>
        <v>b21d663f</v>
      </c>
      <c r="CD252" s="29" t="str">
        <f ca="1">IFERROR(__xludf.DUMMYFUNCTION("""COMPUTED_VALUE"""),"Niñas y Niños (6 a 12 años)")</f>
        <v>Niñas y Niños (6 a 12 años)</v>
      </c>
      <c r="CE252" s="30" t="str">
        <f ca="1">IFERROR(__xludf.DUMMYFUNCTION("""COMPUTED_VALUE"""),"Dato global")</f>
        <v>Dato global</v>
      </c>
      <c r="CF252" s="30" t="str">
        <f ca="1">IFERROR(__xludf.DUMMYFUNCTION("""COMPUTED_VALUE"""),"Ninguno (Población General)")</f>
        <v>Ninguno (Población General)</v>
      </c>
      <c r="CG252" s="30">
        <f ca="1">IFERROR(__xludf.DUMMYFUNCTION("""COMPUTED_VALUE"""),8)</f>
        <v>8</v>
      </c>
      <c r="CI252" s="30" t="str">
        <f ca="1">IFERROR(__xludf.DUMMYFUNCTION("""COMPUTED_VALUE"""),"a40fea63")</f>
        <v>a40fea63</v>
      </c>
      <c r="CJ252" s="29" t="str">
        <f ca="1">IFERROR(__xludf.DUMMYFUNCTION("""COMPUTED_VALUE"""),"Regitro_Evidencia_Images/a40fea63.Archivo_Evidencia.202228.jpg")</f>
        <v>Regitro_Evidencia_Images/a40fea63.Archivo_Evidencia.202228.jpg</v>
      </c>
      <c r="CK252" s="30" t="str">
        <f ca="1">IFERROR(__xludf.DUMMYFUNCTION("""COMPUTED_VALUE"""),"Foto")</f>
        <v>Foto</v>
      </c>
      <c r="CL252" s="30"/>
      <c r="CM252" s="30" t="str">
        <f ca="1">IFERROR(__xludf.DUMMYFUNCTION("""COMPUTED_VALUE"""),"León")</f>
        <v>León</v>
      </c>
      <c r="CN252" s="32" t="e">
        <f ca="1"/>
        <v>#NAME?</v>
      </c>
      <c r="CO252" s="32" t="e">
        <f ca="1"/>
        <v>#NAME?</v>
      </c>
      <c r="CP252" s="32" t="e">
        <f ca="1"/>
        <v>#NAME?</v>
      </c>
      <c r="CQ252" s="32" t="e">
        <f ca="1"/>
        <v>#NAME?</v>
      </c>
      <c r="CR252" s="30" t="e">
        <f ca="1"/>
        <v>#NAME?</v>
      </c>
      <c r="CS252" s="30" t="str">
        <f ca="1">IFERROR(__xludf.DUMMYFUNCTION("""COMPUTED_VALUE"""),"Ninguno (Población General), Ninguno (Población General)")</f>
        <v>Ninguno (Población General), Ninguno (Población General)</v>
      </c>
    </row>
    <row r="253" spans="1:97" ht="13">
      <c r="A253" s="29" t="str">
        <f ca="1">IFERROR(__xludf.DUMMYFUNCTION("""COMPUTED_VALUE"""),"ACT-SCOC09402")</f>
        <v>ACT-SCOC09402</v>
      </c>
      <c r="B253" s="30" t="str">
        <f ca="1">IFERROR(__xludf.DUMMYFUNCTION("""COMPUTED_VALUE"""),"SC-260811-124122")</f>
        <v>SC-260811-124122</v>
      </c>
      <c r="C253" s="62">
        <f ca="1">IFERROR(__xludf.DUMMYFUNCTION("""COMPUTED_VALUE"""),46245.5287268518)</f>
        <v>46245.5287268518</v>
      </c>
      <c r="D253" s="30">
        <f ca="1">IFERROR(__xludf.DUMMYFUNCTION("""COMPUTED_VALUE"""),92)</f>
        <v>92</v>
      </c>
      <c r="E253" s="30" t="str">
        <f ca="1">IFERROR(__xludf.DUMMYFUNCTION("""COMPUTED_VALUE"""),"PB3572")</f>
        <v>PB3572</v>
      </c>
      <c r="F25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3" s="30" t="str">
        <f ca="1">IFERROR(__xludf.DUMMYFUNCTION("""COMPUTED_VALUE"""),"SUBSECRETARÍA DE DESARROLLO Y PROMOCIÓN ARTÍSTICA Y CULTURAL")</f>
        <v>SUBSECRETARÍA DE DESARROLLO Y PROMOCIÓN ARTÍSTICA Y CULTURAL</v>
      </c>
      <c r="I253" s="34" t="str">
        <f ca="1">IFERROR(__xludf.DUMMYFUNCTION("""COMPUTED_VALUE"""),"DIRECCIÓN GENERAL DE MUSEOS, ARTES VISUALES Y EXPOSICIONES")</f>
        <v>DIRECCIÓN GENERAL DE MUSEOS, ARTES VISUALES Y EXPOSICIONES</v>
      </c>
      <c r="J253" s="30" t="str">
        <f ca="1">IFERROR(__xludf.DUMMYFUNCTION("""COMPUTED_VALUE"""),"Número de Actividades realizadas")</f>
        <v>Número de Actividades realizadas</v>
      </c>
      <c r="K253" s="30">
        <f ca="1">IFERROR(__xludf.DUMMYFUNCTION("""COMPUTED_VALUE"""),800)</f>
        <v>800</v>
      </c>
      <c r="L253" s="30" t="str">
        <f ca="1">IFERROR(__xludf.DUMMYFUNCTION("""COMPUTED_VALUE"""),"Cultural")</f>
        <v>Cultural</v>
      </c>
      <c r="M253" s="30" t="str">
        <f ca="1">IFERROR(__xludf.DUMMYFUNCTION("""COMPUTED_VALUE"""),"Visita Libre con Taller.")</f>
        <v>Visita Libre con Taller.</v>
      </c>
      <c r="N253" s="30" t="str">
        <f ca="1">IFERROR(__xludf.DUMMYFUNCTION("""COMPUTED_VALUE"""),"Visita mediada y Taller")</f>
        <v>Visita mediada y Taller</v>
      </c>
      <c r="O253" s="30" t="str">
        <f ca="1">IFERROR(__xludf.DUMMYFUNCTION("""COMPUTED_VALUE"""),"Única")</f>
        <v>Única</v>
      </c>
      <c r="P253" s="33">
        <f ca="1">IFERROR(__xludf.DUMMYFUNCTION("""COMPUTED_VALUE"""),46222)</f>
        <v>46222</v>
      </c>
      <c r="Q253" s="33">
        <f ca="1">IFERROR(__xludf.DUMMYFUNCTION("""COMPUTED_VALUE"""),46222)</f>
        <v>46222</v>
      </c>
      <c r="R253" s="30">
        <f ca="1">IFERROR(__xludf.DUMMYFUNCTION("""COMPUTED_VALUE"""),1)</f>
        <v>1</v>
      </c>
      <c r="S253" s="30" t="str">
        <f ca="1">IFERROR(__xludf.DUMMYFUNCTION("""COMPUTED_VALUE"""),"Cultura comunitaria")</f>
        <v>Cultura comunitaria</v>
      </c>
      <c r="T253" s="30" t="str">
        <f ca="1">IFERROR(__xludf.DUMMYFUNCTION("""COMPUTED_VALUE"""),"Mediación cultural")</f>
        <v>Mediación cultural</v>
      </c>
      <c r="U253" s="30" t="str">
        <f ca="1">IFERROR(__xludf.DUMMYFUNCTION("""COMPUTED_VALUE"""),"Visitas escolares")</f>
        <v>Visitas escolares</v>
      </c>
      <c r="V253" s="30" t="str">
        <f ca="1">IFERROR(__xludf.DUMMYFUNCTION("""COMPUTED_VALUE"""),"Ninguna")</f>
        <v>Ninguna</v>
      </c>
      <c r="W253" s="30" t="str">
        <f ca="1">IFERROR(__xludf.DUMMYFUNCTION("""COMPUTED_VALUE"""),"Presencial")</f>
        <v>Presencial</v>
      </c>
      <c r="X253" s="30" t="str">
        <f ca="1">IFERROR(__xludf.DUMMYFUNCTION("""COMPUTED_VALUE"""),"Espacio a Cargo de la Secretaría")</f>
        <v>Espacio a Cargo de la Secretaría</v>
      </c>
      <c r="Y253" s="30" t="str">
        <f ca="1">IFERROR(__xludf.DUMMYFUNCTION("""COMPUTED_VALUE"""),"Museo de Arte e Historia de Guanajuato, sala Feliciano Peña")</f>
        <v>Museo de Arte e Historia de Guanajuato, sala Feliciano Peña</v>
      </c>
      <c r="Z253" s="30"/>
      <c r="AA253" s="30"/>
      <c r="AB253" s="30" t="b">
        <f ca="1">IFERROR(__xludf.DUMMYFUNCTION("""COMPUTED_VALUE"""),FALSE)</f>
        <v>0</v>
      </c>
      <c r="AC253" s="30"/>
      <c r="AD253" s="30" t="b">
        <f ca="1">IFERROR(__xludf.DUMMYFUNCTION("""COMPUTED_VALUE"""),FALSE)</f>
        <v>0</v>
      </c>
      <c r="AE253" s="30"/>
      <c r="AF253" s="30" t="b">
        <f ca="1">IFERROR(__xludf.DUMMYFUNCTION("""COMPUTED_VALUE"""),FALSE)</f>
        <v>0</v>
      </c>
      <c r="AG253" s="30"/>
      <c r="AH253" s="30" t="str">
        <f ca="1">IFERROR(__xludf.DUMMYFUNCTION("""COMPUTED_VALUE"""),"Sin costo")</f>
        <v>Sin costo</v>
      </c>
      <c r="AI253" s="30"/>
      <c r="AJ253" s="30"/>
      <c r="AK253" s="30"/>
      <c r="AL253" s="30" t="str">
        <f ca="1">IFERROR(__xludf.DUMMYFUNCTION("""COMPUTED_VALUE"""),"ccardonav@guanajuato.gob.mx")</f>
        <v>ccardonav@guanajuato.gob.mx</v>
      </c>
      <c r="AM253" s="30" t="str">
        <f ca="1">IFERROR(__xludf.DUMMYFUNCTION("""COMPUTED_VALUE"""),"Arraigo y empoderamiento cultural de comunidades.")</f>
        <v>Arraigo y empoderamiento cultural de comunidades.</v>
      </c>
      <c r="AN253" s="30" t="str">
        <f ca="1">IFERROR(__xludf.DUMMYFUNCTION("""COMPUTED_VALUE"""),"2 Igualdad")</f>
        <v>2 Igualdad</v>
      </c>
      <c r="AO253" s="30" t="str">
        <f ca="1">IFERROR(__xludf.DUMMYFUNCTION("""COMPUTED_VALUE"""),"2.4 Reducir brechas de desigualdad")</f>
        <v>2.4 Reducir brechas de desigualdad</v>
      </c>
      <c r="AP253" s="30" t="str">
        <f ca="1">IFERROR(__xludf.DUMMYFUNCTION("""COMPUTED_VALUE"""),"2.4.3 Descentralización de la oferta cultural")</f>
        <v>2.4.3 Descentralización de la oferta cultural</v>
      </c>
      <c r="AQ253" s="30" t="str">
        <f ca="1">IFERROR(__xludf.DUMMYFUNCTION("""COMPUTED_VALUE"""),"2.4.3.1 Impulsar el desarrollo artístico y cultural entre infancias y juventudes")</f>
        <v>2.4.3.1 Impulsar el desarrollo artístico y cultural entre infancias y juventudes</v>
      </c>
      <c r="AR253" s="30" t="str">
        <f ca="1">IFERROR(__xludf.DUMMYFUNCTION("""COMPUTED_VALUE"""),"Ninguno")</f>
        <v>Ninguno</v>
      </c>
      <c r="AS253" s="30"/>
      <c r="AT253" s="30" t="str">
        <f ca="1">IFERROR(__xludf.DUMMYFUNCTION("""COMPUTED_VALUE"""),"Fortalecimiento de la participación ciudadana y la mediación cultural")</f>
        <v>Fortalecimiento de la participación ciudadana y la mediación cultural</v>
      </c>
      <c r="AU253" s="30" t="str">
        <f ca="1">IFERROR(__xludf.DUMMYFUNCTION("""COMPUTED_VALUE"""),"Fortalecimiento del diálogo, la mediación y las capacidades de las redes comunitarias.")</f>
        <v>Fortalecimiento del diálogo, la mediación y las capacidades de las redes comunitarias.</v>
      </c>
      <c r="AV25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3" s="30" t="str">
        <f ca="1">IFERROR(__xludf.DUMMYFUNCTION("""COMPUTED_VALUE"""),"Incrementar en 25% la oferta cultural realizada en los municipios.")</f>
        <v>Incrementar en 25% la oferta cultural realizada en los municipios.</v>
      </c>
      <c r="AX253" s="30" t="str">
        <f ca="1">IFERROR(__xludf.DUMMYFUNCTION("""COMPUTED_VALUE"""),"Visitas guiadas")</f>
        <v>Visitas guiadas</v>
      </c>
      <c r="AY253" s="30" t="str">
        <f ca="1">IFERROR(__xludf.DUMMYFUNCTION("""COMPUTED_VALUE"""),"Mediación")</f>
        <v>Mediación</v>
      </c>
      <c r="AZ253" s="30"/>
      <c r="BA253" s="30"/>
      <c r="BB253" s="30"/>
      <c r="BC253" s="30">
        <f ca="1">IFERROR(__xludf.DUMMYFUNCTION("""COMPUTED_VALUE"""),0)</f>
        <v>0</v>
      </c>
      <c r="BD253" s="30"/>
      <c r="BE253" s="30"/>
      <c r="BF253" s="30" t="b">
        <f ca="1">IFERROR(__xludf.DUMMYFUNCTION("""COMPUTED_VALUE"""),FALSE)</f>
        <v>0</v>
      </c>
      <c r="BG253" s="30"/>
      <c r="BH253" s="30"/>
      <c r="BI253" s="30"/>
      <c r="BJ253" s="30"/>
      <c r="BK253" s="30"/>
      <c r="BL253" s="30"/>
      <c r="BM253" s="30" t="str">
        <f ca="1">IFERROR(__xludf.DUMMYFUNCTION("""COMPUTED_VALUE"""),"No")</f>
        <v>No</v>
      </c>
      <c r="BN253" s="30"/>
      <c r="BO253" s="30" t="str">
        <f ca="1">IFERROR(__xludf.DUMMYFUNCTION("""COMPUTED_VALUE"""),"0ca4a839")</f>
        <v>0ca4a839</v>
      </c>
      <c r="BP253" s="29" t="str">
        <f ca="1">IFERROR(__xludf.DUMMYFUNCTION("""COMPUTED_VALUE"""),"León")</f>
        <v>León</v>
      </c>
      <c r="BQ253" s="30" t="str">
        <f ca="1">IFERROR(__xludf.DUMMYFUNCTION("""COMPUTED_VALUE"""),"Urbano")</f>
        <v>Urbano</v>
      </c>
      <c r="BR253" s="30"/>
      <c r="BS253" s="30"/>
      <c r="BT253" s="30"/>
      <c r="BU253" s="30" t="str">
        <f ca="1">IFERROR(__xludf.DUMMYFUNCTION("""COMPUTED_VALUE"""),"No")</f>
        <v>No</v>
      </c>
      <c r="BV253" s="30" t="str">
        <f ca="1">IFERROR(__xludf.DUMMYFUNCTION("""COMPUTED_VALUE"""),"No")</f>
        <v>No</v>
      </c>
      <c r="BW253" s="30">
        <f ca="1">IFERROR(__xludf.DUMMYFUNCTION("""COMPUTED_VALUE"""),2)</f>
        <v>2</v>
      </c>
      <c r="BX253" s="30"/>
      <c r="BY253" s="30">
        <f ca="1">IFERROR(__xludf.DUMMYFUNCTION("""COMPUTED_VALUE"""),2)</f>
        <v>2</v>
      </c>
      <c r="BZ253" s="30"/>
      <c r="CA253" s="30" t="str">
        <f ca="1">IFERROR(__xludf.DUMMYFUNCTION("""COMPUTED_VALUE"""),"No")</f>
        <v>No</v>
      </c>
      <c r="CB253" s="30" t="str">
        <f ca="1">IFERROR(__xludf.DUMMYFUNCTION("""COMPUTED_VALUE"""),"No")</f>
        <v>No</v>
      </c>
      <c r="CC253" s="30" t="str">
        <f ca="1">IFERROR(__xludf.DUMMYFUNCTION("""COMPUTED_VALUE"""),"6a30ba3b")</f>
        <v>6a30ba3b</v>
      </c>
      <c r="CD253" s="29" t="str">
        <f ca="1">IFERROR(__xludf.DUMMYFUNCTION("""COMPUTED_VALUE"""),"Adolescentes (13 a 17 años)")</f>
        <v>Adolescentes (13 a 17 años)</v>
      </c>
      <c r="CE253" s="30" t="str">
        <f ca="1">IFERROR(__xludf.DUMMYFUNCTION("""COMPUTED_VALUE"""),"Dato global")</f>
        <v>Dato global</v>
      </c>
      <c r="CF253" s="30" t="str">
        <f ca="1">IFERROR(__xludf.DUMMYFUNCTION("""COMPUTED_VALUE"""),"Ninguno (Población General)")</f>
        <v>Ninguno (Población General)</v>
      </c>
      <c r="CG253" s="30">
        <f ca="1">IFERROR(__xludf.DUMMYFUNCTION("""COMPUTED_VALUE"""),6)</f>
        <v>6</v>
      </c>
      <c r="CI253" s="30" t="str">
        <f ca="1">IFERROR(__xludf.DUMMYFUNCTION("""COMPUTED_VALUE"""),"e56f18b5")</f>
        <v>e56f18b5</v>
      </c>
      <c r="CJ253" s="29" t="str">
        <f ca="1">IFERROR(__xludf.DUMMYFUNCTION("""COMPUTED_VALUE"""),"Regitro_Evidencia_Images/e56f18b5.Archivo_Evidencia.192834.jpg")</f>
        <v>Regitro_Evidencia_Images/e56f18b5.Archivo_Evidencia.192834.jpg</v>
      </c>
      <c r="CK253" s="30" t="str">
        <f ca="1">IFERROR(__xludf.DUMMYFUNCTION("""COMPUTED_VALUE"""),"Foto")</f>
        <v>Foto</v>
      </c>
      <c r="CL253" s="30" t="str">
        <f ca="1">IFERROR(__xludf.DUMMYFUNCTION("""COMPUTED_VALUE"""),"Evidencia de las sesiones impartidas.")</f>
        <v>Evidencia de las sesiones impartidas.</v>
      </c>
      <c r="CM253" s="30" t="str">
        <f ca="1">IFERROR(__xludf.DUMMYFUNCTION("""COMPUTED_VALUE"""),"")</f>
        <v/>
      </c>
      <c r="CN253" s="32" t="e">
        <f ca="1"/>
        <v>#NAME?</v>
      </c>
      <c r="CO253" s="32" t="e">
        <f ca="1"/>
        <v>#NAME?</v>
      </c>
      <c r="CP253" s="32" t="e">
        <f ca="1"/>
        <v>#NAME?</v>
      </c>
      <c r="CQ253" s="32" t="e">
        <f ca="1"/>
        <v>#NAME?</v>
      </c>
      <c r="CR253" s="30" t="e">
        <f ca="1"/>
        <v>#NAME?</v>
      </c>
      <c r="CS253" s="30" t="str">
        <f ca="1">IFERROR(__xludf.DUMMYFUNCTION("""COMPUTED_VALUE"""),"Ninguno (Población General), Ninguno (Población General)")</f>
        <v>Ninguno (Población General), Ninguno (Población General)</v>
      </c>
    </row>
    <row r="254" spans="1:97" ht="13">
      <c r="A254" s="29" t="str">
        <f ca="1">IFERROR(__xludf.DUMMYFUNCTION("""COMPUTED_VALUE"""),"ACT-SCCP67857")</f>
        <v>ACT-SCCP67857</v>
      </c>
      <c r="B254" s="30" t="str">
        <f ca="1">IFERROR(__xludf.DUMMYFUNCTION("""COMPUTED_VALUE"""),"SC-260812-104920")</f>
        <v>SC-260812-104920</v>
      </c>
      <c r="C254" s="62">
        <f ca="1">IFERROR(__xludf.DUMMYFUNCTION("""COMPUTED_VALUE"""),46246.4509259259)</f>
        <v>46246.450925925899</v>
      </c>
      <c r="D254" s="30">
        <f ca="1">IFERROR(__xludf.DUMMYFUNCTION("""COMPUTED_VALUE"""),92)</f>
        <v>92</v>
      </c>
      <c r="E254" s="30" t="str">
        <f ca="1">IFERROR(__xludf.DUMMYFUNCTION("""COMPUTED_VALUE"""),"PB3572")</f>
        <v>PB3572</v>
      </c>
      <c r="F25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4" s="30" t="str">
        <f ca="1">IFERROR(__xludf.DUMMYFUNCTION("""COMPUTED_VALUE"""),"SUBSECRETARÍA DE DESARROLLO Y PROMOCIÓN ARTÍSTICA Y CULTURAL")</f>
        <v>SUBSECRETARÍA DE DESARROLLO Y PROMOCIÓN ARTÍSTICA Y CULTURAL</v>
      </c>
      <c r="I254" s="34" t="str">
        <f ca="1">IFERROR(__xludf.DUMMYFUNCTION("""COMPUTED_VALUE"""),"DIRECCIÓN GENERAL DE MUSEOS, ARTES VISUALES Y EXPOSICIONES")</f>
        <v>DIRECCIÓN GENERAL DE MUSEOS, ARTES VISUALES Y EXPOSICIONES</v>
      </c>
      <c r="J254" s="30" t="str">
        <f ca="1">IFERROR(__xludf.DUMMYFUNCTION("""COMPUTED_VALUE"""),"Número de Actividades realizadas")</f>
        <v>Número de Actividades realizadas</v>
      </c>
      <c r="K254" s="30">
        <f ca="1">IFERROR(__xludf.DUMMYFUNCTION("""COMPUTED_VALUE"""),800)</f>
        <v>800</v>
      </c>
      <c r="L254" s="30" t="str">
        <f ca="1">IFERROR(__xludf.DUMMYFUNCTION("""COMPUTED_VALUE"""),"Cultural")</f>
        <v>Cultural</v>
      </c>
      <c r="M254" s="30" t="str">
        <f ca="1">IFERROR(__xludf.DUMMYFUNCTION("""COMPUTED_VALUE"""),"Visita Escolar ""EDUCEM""")</f>
        <v>Visita Escolar "EDUCEM"</v>
      </c>
      <c r="N254" s="30" t="str">
        <f ca="1">IFERROR(__xludf.DUMMYFUNCTION("""COMPUTED_VALUE"""),"Visita Mediada")</f>
        <v>Visita Mediada</v>
      </c>
      <c r="O254" s="30" t="str">
        <f ca="1">IFERROR(__xludf.DUMMYFUNCTION("""COMPUTED_VALUE"""),"Única")</f>
        <v>Única</v>
      </c>
      <c r="P254" s="33">
        <f ca="1">IFERROR(__xludf.DUMMYFUNCTION("""COMPUTED_VALUE"""),46224)</f>
        <v>46224</v>
      </c>
      <c r="Q254" s="33">
        <f ca="1">IFERROR(__xludf.DUMMYFUNCTION("""COMPUTED_VALUE"""),46224)</f>
        <v>46224</v>
      </c>
      <c r="R254" s="30">
        <f ca="1">IFERROR(__xludf.DUMMYFUNCTION("""COMPUTED_VALUE"""),1)</f>
        <v>1</v>
      </c>
      <c r="S254" s="30" t="str">
        <f ca="1">IFERROR(__xludf.DUMMYFUNCTION("""COMPUTED_VALUE"""),"Cultura comunitaria")</f>
        <v>Cultura comunitaria</v>
      </c>
      <c r="T254" s="30" t="str">
        <f ca="1">IFERROR(__xludf.DUMMYFUNCTION("""COMPUTED_VALUE"""),"Mediación cultural")</f>
        <v>Mediación cultural</v>
      </c>
      <c r="U254" s="30" t="str">
        <f ca="1">IFERROR(__xludf.DUMMYFUNCTION("""COMPUTED_VALUE"""),"Visitas escolares")</f>
        <v>Visitas escolares</v>
      </c>
      <c r="V254" s="30" t="str">
        <f ca="1">IFERROR(__xludf.DUMMYFUNCTION("""COMPUTED_VALUE"""),"Ninguna")</f>
        <v>Ninguna</v>
      </c>
      <c r="W254" s="30" t="str">
        <f ca="1">IFERROR(__xludf.DUMMYFUNCTION("""COMPUTED_VALUE"""),"Presencial")</f>
        <v>Presencial</v>
      </c>
      <c r="X254" s="30" t="str">
        <f ca="1">IFERROR(__xludf.DUMMYFUNCTION("""COMPUTED_VALUE"""),"Espacio a Cargo de la Secretaría")</f>
        <v>Espacio a Cargo de la Secretaría</v>
      </c>
      <c r="Y254" s="30" t="str">
        <f ca="1">IFERROR(__xludf.DUMMYFUNCTION("""COMPUTED_VALUE"""),"Museo de Arte e Historia de Guanajuato, sala Feliciano Peña")</f>
        <v>Museo de Arte e Historia de Guanajuato, sala Feliciano Peña</v>
      </c>
      <c r="Z254" s="30"/>
      <c r="AA254" s="30"/>
      <c r="AB254" s="30" t="b">
        <f ca="1">IFERROR(__xludf.DUMMYFUNCTION("""COMPUTED_VALUE"""),FALSE)</f>
        <v>0</v>
      </c>
      <c r="AC254" s="30"/>
      <c r="AD254" s="30" t="b">
        <f ca="1">IFERROR(__xludf.DUMMYFUNCTION("""COMPUTED_VALUE"""),FALSE)</f>
        <v>0</v>
      </c>
      <c r="AE254" s="30"/>
      <c r="AF254" s="30" t="b">
        <f ca="1">IFERROR(__xludf.DUMMYFUNCTION("""COMPUTED_VALUE"""),FALSE)</f>
        <v>0</v>
      </c>
      <c r="AG254" s="30"/>
      <c r="AH254" s="30" t="str">
        <f ca="1">IFERROR(__xludf.DUMMYFUNCTION("""COMPUTED_VALUE"""),"Sin costo")</f>
        <v>Sin costo</v>
      </c>
      <c r="AI254" s="30"/>
      <c r="AJ254" s="30"/>
      <c r="AK254" s="30"/>
      <c r="AL254" s="30" t="str">
        <f ca="1">IFERROR(__xludf.DUMMYFUNCTION("""COMPUTED_VALUE"""),"ccardonav@guanajuato.gob.mx")</f>
        <v>ccardonav@guanajuato.gob.mx</v>
      </c>
      <c r="AM254" s="30" t="str">
        <f ca="1">IFERROR(__xludf.DUMMYFUNCTION("""COMPUTED_VALUE"""),"Arraigo y empoderamiento cultural de comunidades.")</f>
        <v>Arraigo y empoderamiento cultural de comunidades.</v>
      </c>
      <c r="AN254" s="30" t="str">
        <f ca="1">IFERROR(__xludf.DUMMYFUNCTION("""COMPUTED_VALUE"""),"2 Igualdad")</f>
        <v>2 Igualdad</v>
      </c>
      <c r="AO254" s="30" t="str">
        <f ca="1">IFERROR(__xludf.DUMMYFUNCTION("""COMPUTED_VALUE"""),"2.4 Reducir brechas de desigualdad")</f>
        <v>2.4 Reducir brechas de desigualdad</v>
      </c>
      <c r="AP254" s="30" t="str">
        <f ca="1">IFERROR(__xludf.DUMMYFUNCTION("""COMPUTED_VALUE"""),"2.4.3 Descentralización de la oferta cultural")</f>
        <v>2.4.3 Descentralización de la oferta cultural</v>
      </c>
      <c r="AQ254" s="30" t="str">
        <f ca="1">IFERROR(__xludf.DUMMYFUNCTION("""COMPUTED_VALUE"""),"2.4.3.1 Impulsar el desarrollo artístico y cultural entre infancias y juventudes")</f>
        <v>2.4.3.1 Impulsar el desarrollo artístico y cultural entre infancias y juventudes</v>
      </c>
      <c r="AR254" s="30" t="str">
        <f ca="1">IFERROR(__xludf.DUMMYFUNCTION("""COMPUTED_VALUE"""),"Ninguno")</f>
        <v>Ninguno</v>
      </c>
      <c r="AS254" s="30"/>
      <c r="AT254" s="30" t="str">
        <f ca="1">IFERROR(__xludf.DUMMYFUNCTION("""COMPUTED_VALUE"""),"Fortalecimiento de la participación ciudadana y la mediación cultural")</f>
        <v>Fortalecimiento de la participación ciudadana y la mediación cultural</v>
      </c>
      <c r="AU254" s="30" t="str">
        <f ca="1">IFERROR(__xludf.DUMMYFUNCTION("""COMPUTED_VALUE"""),"Fortalecimiento del diálogo, la mediación y las capacidades de las redes comunitarias.")</f>
        <v>Fortalecimiento del diálogo, la mediación y las capacidades de las redes comunitarias.</v>
      </c>
      <c r="AV25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4" s="30" t="str">
        <f ca="1">IFERROR(__xludf.DUMMYFUNCTION("""COMPUTED_VALUE"""),"Incrementar en 25% la oferta cultural realizada en los municipios.")</f>
        <v>Incrementar en 25% la oferta cultural realizada en los municipios.</v>
      </c>
      <c r="AX254" s="30" t="str">
        <f ca="1">IFERROR(__xludf.DUMMYFUNCTION("""COMPUTED_VALUE"""),"Visitas escolares")</f>
        <v>Visitas escolares</v>
      </c>
      <c r="AY254" s="30" t="str">
        <f ca="1">IFERROR(__xludf.DUMMYFUNCTION("""COMPUTED_VALUE"""),"Mediación")</f>
        <v>Mediación</v>
      </c>
      <c r="AZ254" s="30"/>
      <c r="BA254" s="30"/>
      <c r="BB254" s="30"/>
      <c r="BC254" s="30">
        <f ca="1">IFERROR(__xludf.DUMMYFUNCTION("""COMPUTED_VALUE"""),0)</f>
        <v>0</v>
      </c>
      <c r="BD254" s="30"/>
      <c r="BE254" s="30"/>
      <c r="BF254" s="30" t="b">
        <f ca="1">IFERROR(__xludf.DUMMYFUNCTION("""COMPUTED_VALUE"""),FALSE)</f>
        <v>0</v>
      </c>
      <c r="BG254" s="30"/>
      <c r="BH254" s="30"/>
      <c r="BI254" s="30"/>
      <c r="BJ254" s="30"/>
      <c r="BK254" s="30"/>
      <c r="BL254" s="30"/>
      <c r="BM254" s="30" t="str">
        <f ca="1">IFERROR(__xludf.DUMMYFUNCTION("""COMPUTED_VALUE"""),"No")</f>
        <v>No</v>
      </c>
      <c r="BN254" s="30"/>
      <c r="BO254" s="30" t="str">
        <f ca="1">IFERROR(__xludf.DUMMYFUNCTION("""COMPUTED_VALUE"""),"40efc309")</f>
        <v>40efc309</v>
      </c>
      <c r="BP254" s="29" t="str">
        <f ca="1">IFERROR(__xludf.DUMMYFUNCTION("""COMPUTED_VALUE"""),"León")</f>
        <v>León</v>
      </c>
      <c r="BQ254" s="30" t="str">
        <f ca="1">IFERROR(__xludf.DUMMYFUNCTION("""COMPUTED_VALUE"""),"Urbano")</f>
        <v>Urbano</v>
      </c>
      <c r="BR254" s="30"/>
      <c r="BS254" s="30"/>
      <c r="BT254" s="30"/>
      <c r="BU254" s="30" t="str">
        <f ca="1">IFERROR(__xludf.DUMMYFUNCTION("""COMPUTED_VALUE"""),"No")</f>
        <v>No</v>
      </c>
      <c r="BV254" s="30" t="str">
        <f ca="1">IFERROR(__xludf.DUMMYFUNCTION("""COMPUTED_VALUE"""),"No")</f>
        <v>No</v>
      </c>
      <c r="BW254" s="30">
        <f ca="1">IFERROR(__xludf.DUMMYFUNCTION("""COMPUTED_VALUE"""),27)</f>
        <v>27</v>
      </c>
      <c r="BX254" s="30"/>
      <c r="BY254" s="30">
        <f ca="1">IFERROR(__xludf.DUMMYFUNCTION("""COMPUTED_VALUE"""),27)</f>
        <v>27</v>
      </c>
      <c r="BZ254" s="30"/>
      <c r="CA254" s="30" t="str">
        <f ca="1">IFERROR(__xludf.DUMMYFUNCTION("""COMPUTED_VALUE"""),"No")</f>
        <v>No</v>
      </c>
      <c r="CB254" s="30" t="str">
        <f ca="1">IFERROR(__xludf.DUMMYFUNCTION("""COMPUTED_VALUE"""),"No")</f>
        <v>No</v>
      </c>
      <c r="CC254" s="30" t="str">
        <f ca="1">IFERROR(__xludf.DUMMYFUNCTION("""COMPUTED_VALUE"""),"9ecbd044")</f>
        <v>9ecbd044</v>
      </c>
      <c r="CD254" s="29" t="str">
        <f ca="1">IFERROR(__xludf.DUMMYFUNCTION("""COMPUTED_VALUE"""),"Adultos (30 a 59 años)")</f>
        <v>Adultos (30 a 59 años)</v>
      </c>
      <c r="CE254" s="30" t="str">
        <f ca="1">IFERROR(__xludf.DUMMYFUNCTION("""COMPUTED_VALUE"""),"Dato global")</f>
        <v>Dato global</v>
      </c>
      <c r="CF254" s="30" t="str">
        <f ca="1">IFERROR(__xludf.DUMMYFUNCTION("""COMPUTED_VALUE"""),"Ninguno (Población General)")</f>
        <v>Ninguno (Población General)</v>
      </c>
      <c r="CG254" s="30">
        <f ca="1">IFERROR(__xludf.DUMMYFUNCTION("""COMPUTED_VALUE"""),4)</f>
        <v>4</v>
      </c>
      <c r="CI254" s="30" t="str">
        <f ca="1">IFERROR(__xludf.DUMMYFUNCTION("""COMPUTED_VALUE"""),"e2cf2ae8")</f>
        <v>e2cf2ae8</v>
      </c>
      <c r="CJ254" s="29" t="str">
        <f ca="1">IFERROR(__xludf.DUMMYFUNCTION("""COMPUTED_VALUE"""),"Regitro_Evidencia_Images/e2cf2ae8.Archivo_Evidencia.192840.jpg")</f>
        <v>Regitro_Evidencia_Images/e2cf2ae8.Archivo_Evidencia.192840.jpg</v>
      </c>
      <c r="CK254" s="30" t="str">
        <f ca="1">IFERROR(__xludf.DUMMYFUNCTION("""COMPUTED_VALUE"""),"Foto")</f>
        <v>Foto</v>
      </c>
      <c r="CL254" s="30"/>
      <c r="CM254" s="30" t="str">
        <f ca="1">IFERROR(__xludf.DUMMYFUNCTION("""COMPUTED_VALUE"""),"León")</f>
        <v>León</v>
      </c>
      <c r="CN254" s="32" t="e">
        <f ca="1"/>
        <v>#NAME?</v>
      </c>
      <c r="CO254" s="32" t="e">
        <f ca="1"/>
        <v>#NAME?</v>
      </c>
      <c r="CP254" s="32" t="e">
        <f ca="1"/>
        <v>#NAME?</v>
      </c>
      <c r="CQ254" s="32" t="e">
        <f ca="1"/>
        <v>#NAME?</v>
      </c>
      <c r="CR254" s="30" t="e">
        <f ca="1"/>
        <v>#NAME?</v>
      </c>
      <c r="CS254" s="30" t="str">
        <f ca="1">IFERROR(__xludf.DUMMYFUNCTION("""COMPUTED_VALUE"""),"Ninguno (Población General), Ninguno (Población General), Ninguno (Población General)")</f>
        <v>Ninguno (Población General), Ninguno (Población General), Ninguno (Población General)</v>
      </c>
    </row>
    <row r="255" spans="1:97" ht="13">
      <c r="A255" s="29" t="str">
        <f ca="1">IFERROR(__xludf.DUMMYFUNCTION("""COMPUTED_VALUE"""),"ACT-SCCS62268")</f>
        <v>ACT-SCCS62268</v>
      </c>
      <c r="B255" s="30" t="str">
        <f ca="1">IFERROR(__xludf.DUMMYFUNCTION("""COMPUTED_VALUE"""),"SC-260813-105403")</f>
        <v>SC-260813-105403</v>
      </c>
      <c r="C255" s="62">
        <f ca="1">IFERROR(__xludf.DUMMYFUNCTION("""COMPUTED_VALUE"""),46247.4542013888)</f>
        <v>46247.454201388799</v>
      </c>
      <c r="D255" s="30">
        <f ca="1">IFERROR(__xludf.DUMMYFUNCTION("""COMPUTED_VALUE"""),92)</f>
        <v>92</v>
      </c>
      <c r="E255" s="30" t="str">
        <f ca="1">IFERROR(__xludf.DUMMYFUNCTION("""COMPUTED_VALUE"""),"PB3572")</f>
        <v>PB3572</v>
      </c>
      <c r="F25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5" s="30" t="str">
        <f ca="1">IFERROR(__xludf.DUMMYFUNCTION("""COMPUTED_VALUE"""),"SUBSECRETARÍA DE DESARROLLO Y PROMOCIÓN ARTÍSTICA Y CULTURAL")</f>
        <v>SUBSECRETARÍA DE DESARROLLO Y PROMOCIÓN ARTÍSTICA Y CULTURAL</v>
      </c>
      <c r="I255" s="34" t="str">
        <f ca="1">IFERROR(__xludf.DUMMYFUNCTION("""COMPUTED_VALUE"""),"DIRECCIÓN GENERAL DE MUSEOS, ARTES VISUALES Y EXPOSICIONES")</f>
        <v>DIRECCIÓN GENERAL DE MUSEOS, ARTES VISUALES Y EXPOSICIONES</v>
      </c>
      <c r="J255" s="30" t="str">
        <f ca="1">IFERROR(__xludf.DUMMYFUNCTION("""COMPUTED_VALUE"""),"Número de Actividades realizadas")</f>
        <v>Número de Actividades realizadas</v>
      </c>
      <c r="K255" s="30">
        <f ca="1">IFERROR(__xludf.DUMMYFUNCTION("""COMPUTED_VALUE"""),800)</f>
        <v>800</v>
      </c>
      <c r="L255" s="30" t="str">
        <f ca="1">IFERROR(__xludf.DUMMYFUNCTION("""COMPUTED_VALUE"""),"Cultural")</f>
        <v>Cultural</v>
      </c>
      <c r="M255" s="30" t="str">
        <f ca="1">IFERROR(__xludf.DUMMYFUNCTION("""COMPUTED_VALUE"""),"Visita ""UNIVERSIDAD HUMANI MUNDIAL""")</f>
        <v>Visita "UNIVERSIDAD HUMANI MUNDIAL"</v>
      </c>
      <c r="N255" s="30" t="str">
        <f ca="1">IFERROR(__xludf.DUMMYFUNCTION("""COMPUTED_VALUE"""),"Visita mediada")</f>
        <v>Visita mediada</v>
      </c>
      <c r="O255" s="30" t="str">
        <f ca="1">IFERROR(__xludf.DUMMYFUNCTION("""COMPUTED_VALUE"""),"Única")</f>
        <v>Única</v>
      </c>
      <c r="P255" s="33">
        <f ca="1">IFERROR(__xludf.DUMMYFUNCTION("""COMPUTED_VALUE"""),46224)</f>
        <v>46224</v>
      </c>
      <c r="Q255" s="33">
        <f ca="1">IFERROR(__xludf.DUMMYFUNCTION("""COMPUTED_VALUE"""),46224)</f>
        <v>46224</v>
      </c>
      <c r="R255" s="30">
        <f ca="1">IFERROR(__xludf.DUMMYFUNCTION("""COMPUTED_VALUE"""),1)</f>
        <v>1</v>
      </c>
      <c r="S255" s="30" t="str">
        <f ca="1">IFERROR(__xludf.DUMMYFUNCTION("""COMPUTED_VALUE"""),"Cultura comunitaria")</f>
        <v>Cultura comunitaria</v>
      </c>
      <c r="T255" s="30" t="str">
        <f ca="1">IFERROR(__xludf.DUMMYFUNCTION("""COMPUTED_VALUE"""),"Mediación cultural")</f>
        <v>Mediación cultural</v>
      </c>
      <c r="U255" s="30" t="str">
        <f ca="1">IFERROR(__xludf.DUMMYFUNCTION("""COMPUTED_VALUE"""),"Visitas escolares")</f>
        <v>Visitas escolares</v>
      </c>
      <c r="V255" s="30" t="str">
        <f ca="1">IFERROR(__xludf.DUMMYFUNCTION("""COMPUTED_VALUE"""),"Ninguna")</f>
        <v>Ninguna</v>
      </c>
      <c r="W255" s="30" t="str">
        <f ca="1">IFERROR(__xludf.DUMMYFUNCTION("""COMPUTED_VALUE"""),"Presencial")</f>
        <v>Presencial</v>
      </c>
      <c r="X255" s="30" t="str">
        <f ca="1">IFERROR(__xludf.DUMMYFUNCTION("""COMPUTED_VALUE"""),"Espacio a Cargo de la Secretaría")</f>
        <v>Espacio a Cargo de la Secretaría</v>
      </c>
      <c r="Y255" s="30" t="str">
        <f ca="1">IFERROR(__xludf.DUMMYFUNCTION("""COMPUTED_VALUE"""),"Museo de Arte e Historia de Guanajuato, sala Feliciano Peña")</f>
        <v>Museo de Arte e Historia de Guanajuato, sala Feliciano Peña</v>
      </c>
      <c r="Z255" s="30"/>
      <c r="AA255" s="30"/>
      <c r="AB255" s="30" t="b">
        <f ca="1">IFERROR(__xludf.DUMMYFUNCTION("""COMPUTED_VALUE"""),FALSE)</f>
        <v>0</v>
      </c>
      <c r="AC255" s="30"/>
      <c r="AD255" s="30" t="b">
        <f ca="1">IFERROR(__xludf.DUMMYFUNCTION("""COMPUTED_VALUE"""),FALSE)</f>
        <v>0</v>
      </c>
      <c r="AE255" s="30"/>
      <c r="AF255" s="30" t="b">
        <f ca="1">IFERROR(__xludf.DUMMYFUNCTION("""COMPUTED_VALUE"""),FALSE)</f>
        <v>0</v>
      </c>
      <c r="AG255" s="30"/>
      <c r="AH255" s="30" t="str">
        <f ca="1">IFERROR(__xludf.DUMMYFUNCTION("""COMPUTED_VALUE"""),"Sin costo")</f>
        <v>Sin costo</v>
      </c>
      <c r="AI255" s="30"/>
      <c r="AJ255" s="30"/>
      <c r="AK255" s="30"/>
      <c r="AL255" s="30" t="str">
        <f ca="1">IFERROR(__xludf.DUMMYFUNCTION("""COMPUTED_VALUE"""),"ccardonav@guanajuato.gob.mx")</f>
        <v>ccardonav@guanajuato.gob.mx</v>
      </c>
      <c r="AM255" s="30" t="str">
        <f ca="1">IFERROR(__xludf.DUMMYFUNCTION("""COMPUTED_VALUE"""),"Arraigo y empoderamiento cultural de comunidades.")</f>
        <v>Arraigo y empoderamiento cultural de comunidades.</v>
      </c>
      <c r="AN255" s="30" t="str">
        <f ca="1">IFERROR(__xludf.DUMMYFUNCTION("""COMPUTED_VALUE"""),"2 Igualdad")</f>
        <v>2 Igualdad</v>
      </c>
      <c r="AO255" s="30" t="str">
        <f ca="1">IFERROR(__xludf.DUMMYFUNCTION("""COMPUTED_VALUE"""),"2.4 Reducir brechas de desigualdad")</f>
        <v>2.4 Reducir brechas de desigualdad</v>
      </c>
      <c r="AP255" s="30" t="str">
        <f ca="1">IFERROR(__xludf.DUMMYFUNCTION("""COMPUTED_VALUE"""),"2.4.3 Descentralización de la oferta cultural")</f>
        <v>2.4.3 Descentralización de la oferta cultural</v>
      </c>
      <c r="AQ255" s="30" t="str">
        <f ca="1">IFERROR(__xludf.DUMMYFUNCTION("""COMPUTED_VALUE"""),"2.4.3.1 Impulsar el desarrollo artístico y cultural entre infancias y juventudes")</f>
        <v>2.4.3.1 Impulsar el desarrollo artístico y cultural entre infancias y juventudes</v>
      </c>
      <c r="AR255" s="30" t="str">
        <f ca="1">IFERROR(__xludf.DUMMYFUNCTION("""COMPUTED_VALUE"""),"Ninguno")</f>
        <v>Ninguno</v>
      </c>
      <c r="AS255" s="30"/>
      <c r="AT255" s="30" t="str">
        <f ca="1">IFERROR(__xludf.DUMMYFUNCTION("""COMPUTED_VALUE"""),"Fortalecimiento de la participación ciudadana y la mediación cultural")</f>
        <v>Fortalecimiento de la participación ciudadana y la mediación cultural</v>
      </c>
      <c r="AU255" s="30" t="str">
        <f ca="1">IFERROR(__xludf.DUMMYFUNCTION("""COMPUTED_VALUE"""),"Fortalecimiento del diálogo, la mediación y las capacidades de las redes comunitarias.")</f>
        <v>Fortalecimiento del diálogo, la mediación y las capacidades de las redes comunitarias.</v>
      </c>
      <c r="AV25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5" s="30" t="str">
        <f ca="1">IFERROR(__xludf.DUMMYFUNCTION("""COMPUTED_VALUE"""),"Incrementar en 25% la oferta cultural realizada en los municipios.")</f>
        <v>Incrementar en 25% la oferta cultural realizada en los municipios.</v>
      </c>
      <c r="AX255" s="30" t="str">
        <f ca="1">IFERROR(__xludf.DUMMYFUNCTION("""COMPUTED_VALUE"""),"Visitas escolares")</f>
        <v>Visitas escolares</v>
      </c>
      <c r="AY255" s="30" t="str">
        <f ca="1">IFERROR(__xludf.DUMMYFUNCTION("""COMPUTED_VALUE"""),"Mediación")</f>
        <v>Mediación</v>
      </c>
      <c r="AZ255" s="30"/>
      <c r="BA255" s="30"/>
      <c r="BB255" s="30"/>
      <c r="BC255" s="30">
        <f ca="1">IFERROR(__xludf.DUMMYFUNCTION("""COMPUTED_VALUE"""),0)</f>
        <v>0</v>
      </c>
      <c r="BD255" s="30"/>
      <c r="BE255" s="30"/>
      <c r="BF255" s="30" t="b">
        <f ca="1">IFERROR(__xludf.DUMMYFUNCTION("""COMPUTED_VALUE"""),FALSE)</f>
        <v>0</v>
      </c>
      <c r="BG255" s="30"/>
      <c r="BH255" s="30"/>
      <c r="BI255" s="30"/>
      <c r="BJ255" s="30"/>
      <c r="BK255" s="30"/>
      <c r="BL255" s="30"/>
      <c r="BM255" s="30" t="str">
        <f ca="1">IFERROR(__xludf.DUMMYFUNCTION("""COMPUTED_VALUE"""),"No")</f>
        <v>No</v>
      </c>
      <c r="BN255" s="30"/>
      <c r="BO255" s="30" t="str">
        <f ca="1">IFERROR(__xludf.DUMMYFUNCTION("""COMPUTED_VALUE"""),"08eaab98")</f>
        <v>08eaab98</v>
      </c>
      <c r="BP255" s="29" t="str">
        <f ca="1">IFERROR(__xludf.DUMMYFUNCTION("""COMPUTED_VALUE"""),"León")</f>
        <v>León</v>
      </c>
      <c r="BQ255" s="30" t="str">
        <f ca="1">IFERROR(__xludf.DUMMYFUNCTION("""COMPUTED_VALUE"""),"Urbano")</f>
        <v>Urbano</v>
      </c>
      <c r="BR255" s="30"/>
      <c r="BS255" s="30"/>
      <c r="BT255" s="30"/>
      <c r="BU255" s="30" t="str">
        <f ca="1">IFERROR(__xludf.DUMMYFUNCTION("""COMPUTED_VALUE"""),"No")</f>
        <v>No</v>
      </c>
      <c r="BV255" s="30" t="str">
        <f ca="1">IFERROR(__xludf.DUMMYFUNCTION("""COMPUTED_VALUE"""),"No")</f>
        <v>No</v>
      </c>
      <c r="BW255" s="30">
        <f ca="1">IFERROR(__xludf.DUMMYFUNCTION("""COMPUTED_VALUE"""),214)</f>
        <v>214</v>
      </c>
      <c r="BX255" s="30"/>
      <c r="BY255" s="30">
        <f ca="1">IFERROR(__xludf.DUMMYFUNCTION("""COMPUTED_VALUE"""),214)</f>
        <v>214</v>
      </c>
      <c r="BZ255" s="30"/>
      <c r="CA255" s="30" t="str">
        <f ca="1">IFERROR(__xludf.DUMMYFUNCTION("""COMPUTED_VALUE"""),"No")</f>
        <v>No</v>
      </c>
      <c r="CB255" s="30" t="str">
        <f ca="1">IFERROR(__xludf.DUMMYFUNCTION("""COMPUTED_VALUE"""),"No")</f>
        <v>No</v>
      </c>
      <c r="CC255" s="30" t="str">
        <f ca="1">IFERROR(__xludf.DUMMYFUNCTION("""COMPUTED_VALUE"""),"7a68d26d")</f>
        <v>7a68d26d</v>
      </c>
      <c r="CD255" s="29" t="str">
        <f ca="1">IFERROR(__xludf.DUMMYFUNCTION("""COMPUTED_VALUE"""),"Niñas y Niños (6 a 12 años)")</f>
        <v>Niñas y Niños (6 a 12 años)</v>
      </c>
      <c r="CE255" s="30" t="str">
        <f ca="1">IFERROR(__xludf.DUMMYFUNCTION("""COMPUTED_VALUE"""),"Dato global")</f>
        <v>Dato global</v>
      </c>
      <c r="CF255" s="30" t="str">
        <f ca="1">IFERROR(__xludf.DUMMYFUNCTION("""COMPUTED_VALUE"""),"Ninguno (Población General)")</f>
        <v>Ninguno (Población General)</v>
      </c>
      <c r="CG255" s="30">
        <f ca="1">IFERROR(__xludf.DUMMYFUNCTION("""COMPUTED_VALUE"""),7)</f>
        <v>7</v>
      </c>
      <c r="CI255" s="30" t="str">
        <f ca="1">IFERROR(__xludf.DUMMYFUNCTION("""COMPUTED_VALUE"""),"0e02ded6")</f>
        <v>0e02ded6</v>
      </c>
      <c r="CJ255" s="29" t="str">
        <f ca="1">IFERROR(__xludf.DUMMYFUNCTION("""COMPUTED_VALUE"""),"Regitro_Evidencia_Images/0e02ded6.Archivo_Evidencia.194748.jpg")</f>
        <v>Regitro_Evidencia_Images/0e02ded6.Archivo_Evidencia.194748.jpg</v>
      </c>
      <c r="CK255" s="30" t="str">
        <f ca="1">IFERROR(__xludf.DUMMYFUNCTION("""COMPUTED_VALUE"""),"Foto")</f>
        <v>Foto</v>
      </c>
      <c r="CL255" s="30" t="str">
        <f ca="1">IFERROR(__xludf.DUMMYFUNCTION("""COMPUTED_VALUE"""),"Evidencia de las sesiones impartidas dentro del diplomado.")</f>
        <v>Evidencia de las sesiones impartidas dentro del diplomado.</v>
      </c>
      <c r="CM255" s="30" t="str">
        <f ca="1">IFERROR(__xludf.DUMMYFUNCTION("""COMPUTED_VALUE"""),"León")</f>
        <v>León</v>
      </c>
      <c r="CN255" s="32" t="e">
        <f ca="1"/>
        <v>#NAME?</v>
      </c>
      <c r="CO255" s="32" t="e">
        <f ca="1"/>
        <v>#NAME?</v>
      </c>
      <c r="CP255" s="32" t="e">
        <f ca="1"/>
        <v>#NAME?</v>
      </c>
      <c r="CQ255" s="32" t="e">
        <f ca="1"/>
        <v>#NAME?</v>
      </c>
      <c r="CR255" s="30" t="e">
        <f ca="1"/>
        <v>#NAME?</v>
      </c>
      <c r="CS255" s="30" t="str">
        <f ca="1">IFERROR(__xludf.DUMMYFUNCTION("""COMPUTED_VALUE"""),"Ninguno (Población General)")</f>
        <v>Ninguno (Población General)</v>
      </c>
    </row>
    <row r="256" spans="1:97" ht="13">
      <c r="A256" s="29" t="str">
        <f ca="1">IFERROR(__xludf.DUMMYFUNCTION("""COMPUTED_VALUE"""),"ACT-SCNW14743")</f>
        <v>ACT-SCNW14743</v>
      </c>
      <c r="B256" s="30" t="str">
        <f ca="1">IFERROR(__xludf.DUMMYFUNCTION("""COMPUTED_VALUE"""),"SC-260813-110302")</f>
        <v>SC-260813-110302</v>
      </c>
      <c r="C256" s="62">
        <f ca="1">IFERROR(__xludf.DUMMYFUNCTION("""COMPUTED_VALUE"""),46247.4604398148)</f>
        <v>46247.4604398148</v>
      </c>
      <c r="D256" s="30">
        <f ca="1">IFERROR(__xludf.DUMMYFUNCTION("""COMPUTED_VALUE"""),92)</f>
        <v>92</v>
      </c>
      <c r="E256" s="30" t="str">
        <f ca="1">IFERROR(__xludf.DUMMYFUNCTION("""COMPUTED_VALUE"""),"PB3572")</f>
        <v>PB3572</v>
      </c>
      <c r="F25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6" s="30" t="str">
        <f ca="1">IFERROR(__xludf.DUMMYFUNCTION("""COMPUTED_VALUE"""),"SUBSECRETARÍA DE DESARROLLO Y PROMOCIÓN ARTÍSTICA Y CULTURAL")</f>
        <v>SUBSECRETARÍA DE DESARROLLO Y PROMOCIÓN ARTÍSTICA Y CULTURAL</v>
      </c>
      <c r="I256" s="34" t="str">
        <f ca="1">IFERROR(__xludf.DUMMYFUNCTION("""COMPUTED_VALUE"""),"DIRECCIÓN GENERAL DE MUSEOS, ARTES VISUALES Y EXPOSICIONES")</f>
        <v>DIRECCIÓN GENERAL DE MUSEOS, ARTES VISUALES Y EXPOSICIONES</v>
      </c>
      <c r="J256" s="30" t="str">
        <f ca="1">IFERROR(__xludf.DUMMYFUNCTION("""COMPUTED_VALUE"""),"Número de Actividades realizadas")</f>
        <v>Número de Actividades realizadas</v>
      </c>
      <c r="K256" s="30">
        <f ca="1">IFERROR(__xludf.DUMMYFUNCTION("""COMPUTED_VALUE"""),800)</f>
        <v>800</v>
      </c>
      <c r="L256" s="30" t="str">
        <f ca="1">IFERROR(__xludf.DUMMYFUNCTION("""COMPUTED_VALUE"""),"Cultural")</f>
        <v>Cultural</v>
      </c>
      <c r="M256" s="30" t="str">
        <f ca="1">IFERROR(__xludf.DUMMYFUNCTION("""COMPUTED_VALUE"""),"Visita Libre")</f>
        <v>Visita Libre</v>
      </c>
      <c r="N256" s="30" t="str">
        <f ca="1">IFERROR(__xludf.DUMMYFUNCTION("""COMPUTED_VALUE"""),"Visita mediada")</f>
        <v>Visita mediada</v>
      </c>
      <c r="O256" s="30" t="str">
        <f ca="1">IFERROR(__xludf.DUMMYFUNCTION("""COMPUTED_VALUE"""),"Única")</f>
        <v>Única</v>
      </c>
      <c r="P256" s="33">
        <f ca="1">IFERROR(__xludf.DUMMYFUNCTION("""COMPUTED_VALUE"""),46230)</f>
        <v>46230</v>
      </c>
      <c r="Q256" s="33">
        <f ca="1">IFERROR(__xludf.DUMMYFUNCTION("""COMPUTED_VALUE"""),46230)</f>
        <v>46230</v>
      </c>
      <c r="R256" s="30">
        <f ca="1">IFERROR(__xludf.DUMMYFUNCTION("""COMPUTED_VALUE"""),1)</f>
        <v>1</v>
      </c>
      <c r="S256" s="30" t="str">
        <f ca="1">IFERROR(__xludf.DUMMYFUNCTION("""COMPUTED_VALUE"""),"Cultura comunitaria")</f>
        <v>Cultura comunitaria</v>
      </c>
      <c r="T256" s="30" t="str">
        <f ca="1">IFERROR(__xludf.DUMMYFUNCTION("""COMPUTED_VALUE"""),"Mediación cultural")</f>
        <v>Mediación cultural</v>
      </c>
      <c r="U256" s="30" t="str">
        <f ca="1">IFERROR(__xludf.DUMMYFUNCTION("""COMPUTED_VALUE"""),"Visitas guiadas")</f>
        <v>Visitas guiadas</v>
      </c>
      <c r="V256" s="30" t="str">
        <f ca="1">IFERROR(__xludf.DUMMYFUNCTION("""COMPUTED_VALUE"""),"Ninguna")</f>
        <v>Ninguna</v>
      </c>
      <c r="W256" s="30" t="str">
        <f ca="1">IFERROR(__xludf.DUMMYFUNCTION("""COMPUTED_VALUE"""),"Presencial")</f>
        <v>Presencial</v>
      </c>
      <c r="X256" s="30" t="str">
        <f ca="1">IFERROR(__xludf.DUMMYFUNCTION("""COMPUTED_VALUE"""),"Espacio a Cargo de la Secretaría")</f>
        <v>Espacio a Cargo de la Secretaría</v>
      </c>
      <c r="Y256" s="30" t="str">
        <f ca="1">IFERROR(__xludf.DUMMYFUNCTION("""COMPUTED_VALUE"""),"Museo de Arte e Historia de Guanajuato, sala Feliciano Peña")</f>
        <v>Museo de Arte e Historia de Guanajuato, sala Feliciano Peña</v>
      </c>
      <c r="Z256" s="30"/>
      <c r="AA256" s="30"/>
      <c r="AB256" s="30" t="b">
        <f ca="1">IFERROR(__xludf.DUMMYFUNCTION("""COMPUTED_VALUE"""),FALSE)</f>
        <v>0</v>
      </c>
      <c r="AC256" s="30"/>
      <c r="AD256" s="30" t="b">
        <f ca="1">IFERROR(__xludf.DUMMYFUNCTION("""COMPUTED_VALUE"""),FALSE)</f>
        <v>0</v>
      </c>
      <c r="AE256" s="30"/>
      <c r="AF256" s="30" t="b">
        <f ca="1">IFERROR(__xludf.DUMMYFUNCTION("""COMPUTED_VALUE"""),FALSE)</f>
        <v>0</v>
      </c>
      <c r="AG256" s="30"/>
      <c r="AH256" s="30" t="str">
        <f ca="1">IFERROR(__xludf.DUMMYFUNCTION("""COMPUTED_VALUE"""),"Sin costo")</f>
        <v>Sin costo</v>
      </c>
      <c r="AI256" s="30"/>
      <c r="AJ256" s="30"/>
      <c r="AK256" s="30"/>
      <c r="AL256" s="30" t="str">
        <f ca="1">IFERROR(__xludf.DUMMYFUNCTION("""COMPUTED_VALUE"""),"ccardonav@guanajuato.gob.mx")</f>
        <v>ccardonav@guanajuato.gob.mx</v>
      </c>
      <c r="AM256" s="30" t="str">
        <f ca="1">IFERROR(__xludf.DUMMYFUNCTION("""COMPUTED_VALUE"""),"Arraigo y empoderamiento cultural de comunidades.")</f>
        <v>Arraigo y empoderamiento cultural de comunidades.</v>
      </c>
      <c r="AN256" s="30" t="str">
        <f ca="1">IFERROR(__xludf.DUMMYFUNCTION("""COMPUTED_VALUE"""),"2 Igualdad")</f>
        <v>2 Igualdad</v>
      </c>
      <c r="AO256" s="30" t="str">
        <f ca="1">IFERROR(__xludf.DUMMYFUNCTION("""COMPUTED_VALUE"""),"2.4 Reducir brechas de desigualdad")</f>
        <v>2.4 Reducir brechas de desigualdad</v>
      </c>
      <c r="AP256" s="30" t="str">
        <f ca="1">IFERROR(__xludf.DUMMYFUNCTION("""COMPUTED_VALUE"""),"2.4.3 Descentralización de la oferta cultural")</f>
        <v>2.4.3 Descentralización de la oferta cultural</v>
      </c>
      <c r="AQ256" s="30" t="str">
        <f ca="1">IFERROR(__xludf.DUMMYFUNCTION("""COMPUTED_VALUE"""),"2.4.3.1 Impulsar el desarrollo artístico y cultural entre infancias y juventudes")</f>
        <v>2.4.3.1 Impulsar el desarrollo artístico y cultural entre infancias y juventudes</v>
      </c>
      <c r="AR256" s="30" t="str">
        <f ca="1">IFERROR(__xludf.DUMMYFUNCTION("""COMPUTED_VALUE"""),"Ninguno")</f>
        <v>Ninguno</v>
      </c>
      <c r="AS256" s="30"/>
      <c r="AT256" s="30" t="str">
        <f ca="1">IFERROR(__xludf.DUMMYFUNCTION("""COMPUTED_VALUE"""),"Fortalecimiento de la participación ciudadana y la mediación cultural")</f>
        <v>Fortalecimiento de la participación ciudadana y la mediación cultural</v>
      </c>
      <c r="AU256" s="30" t="str">
        <f ca="1">IFERROR(__xludf.DUMMYFUNCTION("""COMPUTED_VALUE"""),"Fortalecimiento del diálogo, la mediación y las capacidades de las redes comunitarias.")</f>
        <v>Fortalecimiento del diálogo, la mediación y las capacidades de las redes comunitarias.</v>
      </c>
      <c r="AV25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6" s="30" t="str">
        <f ca="1">IFERROR(__xludf.DUMMYFUNCTION("""COMPUTED_VALUE"""),"Incrementar en 25% la oferta cultural realizada en los municipios.")</f>
        <v>Incrementar en 25% la oferta cultural realizada en los municipios.</v>
      </c>
      <c r="AX256" s="30" t="str">
        <f ca="1">IFERROR(__xludf.DUMMYFUNCTION("""COMPUTED_VALUE"""),"Visitas escolares")</f>
        <v>Visitas escolares</v>
      </c>
      <c r="AY256" s="30" t="str">
        <f ca="1">IFERROR(__xludf.DUMMYFUNCTION("""COMPUTED_VALUE"""),"Mediación")</f>
        <v>Mediación</v>
      </c>
      <c r="AZ256" s="30"/>
      <c r="BA256" s="30"/>
      <c r="BB256" s="30"/>
      <c r="BC256" s="30">
        <f ca="1">IFERROR(__xludf.DUMMYFUNCTION("""COMPUTED_VALUE"""),0)</f>
        <v>0</v>
      </c>
      <c r="BD256" s="30"/>
      <c r="BE256" s="30"/>
      <c r="BF256" s="30" t="b">
        <f ca="1">IFERROR(__xludf.DUMMYFUNCTION("""COMPUTED_VALUE"""),FALSE)</f>
        <v>0</v>
      </c>
      <c r="BG256" s="30"/>
      <c r="BH256" s="30"/>
      <c r="BI256" s="30"/>
      <c r="BJ256" s="30"/>
      <c r="BK256" s="30"/>
      <c r="BL256" s="30"/>
      <c r="BM256" s="30" t="str">
        <f ca="1">IFERROR(__xludf.DUMMYFUNCTION("""COMPUTED_VALUE"""),"No")</f>
        <v>No</v>
      </c>
      <c r="BN256" s="30"/>
      <c r="BO256" s="30" t="str">
        <f ca="1">IFERROR(__xludf.DUMMYFUNCTION("""COMPUTED_VALUE"""),"b7149333")</f>
        <v>b7149333</v>
      </c>
      <c r="BP256" s="29" t="str">
        <f ca="1">IFERROR(__xludf.DUMMYFUNCTION("""COMPUTED_VALUE"""),"León")</f>
        <v>León</v>
      </c>
      <c r="BQ256" s="30" t="str">
        <f ca="1">IFERROR(__xludf.DUMMYFUNCTION("""COMPUTED_VALUE"""),"Urbano")</f>
        <v>Urbano</v>
      </c>
      <c r="BR256" s="30"/>
      <c r="BS256" s="30"/>
      <c r="BT256" s="30"/>
      <c r="BU256" s="30" t="str">
        <f ca="1">IFERROR(__xludf.DUMMYFUNCTION("""COMPUTED_VALUE"""),"No")</f>
        <v>No</v>
      </c>
      <c r="BV256" s="30" t="str">
        <f ca="1">IFERROR(__xludf.DUMMYFUNCTION("""COMPUTED_VALUE"""),"No")</f>
        <v>No</v>
      </c>
      <c r="BW256" s="30">
        <f ca="1">IFERROR(__xludf.DUMMYFUNCTION("""COMPUTED_VALUE"""),8)</f>
        <v>8</v>
      </c>
      <c r="BX256" s="30"/>
      <c r="BY256" s="30">
        <f ca="1">IFERROR(__xludf.DUMMYFUNCTION("""COMPUTED_VALUE"""),8)</f>
        <v>8</v>
      </c>
      <c r="BZ256" s="30"/>
      <c r="CA256" s="30" t="str">
        <f ca="1">IFERROR(__xludf.DUMMYFUNCTION("""COMPUTED_VALUE"""),"No")</f>
        <v>No</v>
      </c>
      <c r="CB256" s="30" t="str">
        <f ca="1">IFERROR(__xludf.DUMMYFUNCTION("""COMPUTED_VALUE"""),"No")</f>
        <v>No</v>
      </c>
      <c r="CC256" s="30" t="str">
        <f ca="1">IFERROR(__xludf.DUMMYFUNCTION("""COMPUTED_VALUE"""),"0421347e")</f>
        <v>0421347e</v>
      </c>
      <c r="CD256" s="29" t="str">
        <f ca="1">IFERROR(__xludf.DUMMYFUNCTION("""COMPUTED_VALUE"""),"Jóvenes (18 a 29 años)")</f>
        <v>Jóvenes (18 a 29 años)</v>
      </c>
      <c r="CE256" s="30" t="str">
        <f ca="1">IFERROR(__xludf.DUMMYFUNCTION("""COMPUTED_VALUE"""),"Dato global")</f>
        <v>Dato global</v>
      </c>
      <c r="CF256" s="30" t="str">
        <f ca="1">IFERROR(__xludf.DUMMYFUNCTION("""COMPUTED_VALUE"""),"Ninguno (Población General)")</f>
        <v>Ninguno (Población General)</v>
      </c>
      <c r="CG256" s="30">
        <f ca="1">IFERROR(__xludf.DUMMYFUNCTION("""COMPUTED_VALUE"""),3)</f>
        <v>3</v>
      </c>
      <c r="CI256" s="30" t="str">
        <f ca="1">IFERROR(__xludf.DUMMYFUNCTION("""COMPUTED_VALUE"""),"fca41968")</f>
        <v>fca41968</v>
      </c>
      <c r="CJ256" s="29" t="str">
        <f ca="1">IFERROR(__xludf.DUMMYFUNCTION("""COMPUTED_VALUE"""),"Regitro_Evidencia_Images/fca41968.Archivo_Evidencia.194753.jpg")</f>
        <v>Regitro_Evidencia_Images/fca41968.Archivo_Evidencia.194753.jpg</v>
      </c>
      <c r="CK256" s="30" t="str">
        <f ca="1">IFERROR(__xludf.DUMMYFUNCTION("""COMPUTED_VALUE"""),"Foto")</f>
        <v>Foto</v>
      </c>
      <c r="CL256" s="30"/>
      <c r="CM256" s="30" t="str">
        <f ca="1">IFERROR(__xludf.DUMMYFUNCTION("""COMPUTED_VALUE"""),"León")</f>
        <v>León</v>
      </c>
      <c r="CN256" s="32" t="e">
        <f ca="1"/>
        <v>#NAME?</v>
      </c>
      <c r="CO256" s="32" t="e">
        <f ca="1"/>
        <v>#NAME?</v>
      </c>
      <c r="CP256" s="32" t="e">
        <f ca="1"/>
        <v>#NAME?</v>
      </c>
      <c r="CQ256" s="32" t="e">
        <f ca="1"/>
        <v>#NAME?</v>
      </c>
      <c r="CR256" s="30" t="e">
        <f ca="1"/>
        <v>#NAME?</v>
      </c>
      <c r="CS256" s="30" t="str">
        <f ca="1">IFERROR(__xludf.DUMMYFUNCTION("""COMPUTED_VALUE"""),"Ninguno (Población General)")</f>
        <v>Ninguno (Población General)</v>
      </c>
    </row>
    <row r="257" spans="1:97" ht="13">
      <c r="A257" s="29" t="str">
        <f ca="1">IFERROR(__xludf.DUMMYFUNCTION("""COMPUTED_VALUE"""),"ACT-SCLT40746")</f>
        <v>ACT-SCLT40746</v>
      </c>
      <c r="B257" s="30" t="str">
        <f ca="1">IFERROR(__xludf.DUMMYFUNCTION("""COMPUTED_VALUE"""),"SC-260813-123118")</f>
        <v>SC-260813-123118</v>
      </c>
      <c r="C257" s="62">
        <f ca="1">IFERROR(__xludf.DUMMYFUNCTION("""COMPUTED_VALUE"""),46247.5217361111)</f>
        <v>46247.521736111099</v>
      </c>
      <c r="D257" s="30">
        <f ca="1">IFERROR(__xludf.DUMMYFUNCTION("""COMPUTED_VALUE"""),92)</f>
        <v>92</v>
      </c>
      <c r="E257" s="30" t="str">
        <f ca="1">IFERROR(__xludf.DUMMYFUNCTION("""COMPUTED_VALUE"""),"PB3572")</f>
        <v>PB3572</v>
      </c>
      <c r="F25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7" s="30" t="str">
        <f ca="1">IFERROR(__xludf.DUMMYFUNCTION("""COMPUTED_VALUE"""),"SUBSECRETARÍA DE DESARROLLO Y PROMOCIÓN ARTÍSTICA Y CULTURAL")</f>
        <v>SUBSECRETARÍA DE DESARROLLO Y PROMOCIÓN ARTÍSTICA Y CULTURAL</v>
      </c>
      <c r="I257" s="34" t="str">
        <f ca="1">IFERROR(__xludf.DUMMYFUNCTION("""COMPUTED_VALUE"""),"DIRECCIÓN GENERAL DE MUSEOS, ARTES VISUALES Y EXPOSICIONES")</f>
        <v>DIRECCIÓN GENERAL DE MUSEOS, ARTES VISUALES Y EXPOSICIONES</v>
      </c>
      <c r="J257" s="30" t="str">
        <f ca="1">IFERROR(__xludf.DUMMYFUNCTION("""COMPUTED_VALUE"""),"Número de Actividades realizadas")</f>
        <v>Número de Actividades realizadas</v>
      </c>
      <c r="K257" s="30">
        <f ca="1">IFERROR(__xludf.DUMMYFUNCTION("""COMPUTED_VALUE"""),800)</f>
        <v>800</v>
      </c>
      <c r="L257" s="30" t="str">
        <f ca="1">IFERROR(__xludf.DUMMYFUNCTION("""COMPUTED_VALUE"""),"Cultural")</f>
        <v>Cultural</v>
      </c>
      <c r="M257" s="30" t="str">
        <f ca="1">IFERROR(__xludf.DUMMYFUNCTION("""COMPUTED_VALUE"""),"Visita ""RUTAS/BIBLIOTECA OCTAVIO PAZ""")</f>
        <v>Visita "RUTAS/BIBLIOTECA OCTAVIO PAZ"</v>
      </c>
      <c r="N257" s="30" t="str">
        <f ca="1">IFERROR(__xludf.DUMMYFUNCTION("""COMPUTED_VALUE"""),"Visita Mediada")</f>
        <v>Visita Mediada</v>
      </c>
      <c r="O257" s="30" t="str">
        <f ca="1">IFERROR(__xludf.DUMMYFUNCTION("""COMPUTED_VALUE"""),"Única")</f>
        <v>Única</v>
      </c>
      <c r="P257" s="33">
        <f ca="1">IFERROR(__xludf.DUMMYFUNCTION("""COMPUTED_VALUE"""),46247)</f>
        <v>46247</v>
      </c>
      <c r="Q257" s="33">
        <f ca="1">IFERROR(__xludf.DUMMYFUNCTION("""COMPUTED_VALUE"""),46247)</f>
        <v>46247</v>
      </c>
      <c r="R257" s="30">
        <f ca="1">IFERROR(__xludf.DUMMYFUNCTION("""COMPUTED_VALUE"""),1)</f>
        <v>1</v>
      </c>
      <c r="S257" s="30" t="str">
        <f ca="1">IFERROR(__xludf.DUMMYFUNCTION("""COMPUTED_VALUE"""),"Cultura comunitaria")</f>
        <v>Cultura comunitaria</v>
      </c>
      <c r="T257" s="30" t="str">
        <f ca="1">IFERROR(__xludf.DUMMYFUNCTION("""COMPUTED_VALUE"""),"Mediación cultural")</f>
        <v>Mediación cultural</v>
      </c>
      <c r="U257" s="30" t="str">
        <f ca="1">IFERROR(__xludf.DUMMYFUNCTION("""COMPUTED_VALUE"""),"Visitas escolares")</f>
        <v>Visitas escolares</v>
      </c>
      <c r="V257" s="30" t="str">
        <f ca="1">IFERROR(__xludf.DUMMYFUNCTION("""COMPUTED_VALUE"""),"Ninguna")</f>
        <v>Ninguna</v>
      </c>
      <c r="W257" s="30" t="str">
        <f ca="1">IFERROR(__xludf.DUMMYFUNCTION("""COMPUTED_VALUE"""),"Presencial")</f>
        <v>Presencial</v>
      </c>
      <c r="X257" s="30" t="str">
        <f ca="1">IFERROR(__xludf.DUMMYFUNCTION("""COMPUTED_VALUE"""),"Espacio a Cargo de la Secretaría")</f>
        <v>Espacio a Cargo de la Secretaría</v>
      </c>
      <c r="Y257" s="30" t="str">
        <f ca="1">IFERROR(__xludf.DUMMYFUNCTION("""COMPUTED_VALUE"""),"Museo de Arte e Historia de Guanajuato, sala Feliciano Peña")</f>
        <v>Museo de Arte e Historia de Guanajuato, sala Feliciano Peña</v>
      </c>
      <c r="Z257" s="30"/>
      <c r="AA257" s="30"/>
      <c r="AB257" s="30" t="b">
        <f ca="1">IFERROR(__xludf.DUMMYFUNCTION("""COMPUTED_VALUE"""),FALSE)</f>
        <v>0</v>
      </c>
      <c r="AC257" s="30"/>
      <c r="AD257" s="30" t="b">
        <f ca="1">IFERROR(__xludf.DUMMYFUNCTION("""COMPUTED_VALUE"""),FALSE)</f>
        <v>0</v>
      </c>
      <c r="AE257" s="30"/>
      <c r="AF257" s="30" t="b">
        <f ca="1">IFERROR(__xludf.DUMMYFUNCTION("""COMPUTED_VALUE"""),FALSE)</f>
        <v>0</v>
      </c>
      <c r="AG257" s="30"/>
      <c r="AH257" s="30" t="str">
        <f ca="1">IFERROR(__xludf.DUMMYFUNCTION("""COMPUTED_VALUE"""),"Sin costo")</f>
        <v>Sin costo</v>
      </c>
      <c r="AI257" s="30"/>
      <c r="AJ257" s="30"/>
      <c r="AK257" s="30"/>
      <c r="AL257" s="30" t="str">
        <f ca="1">IFERROR(__xludf.DUMMYFUNCTION("""COMPUTED_VALUE"""),"ccardonav@guanajuato.gob.mx")</f>
        <v>ccardonav@guanajuato.gob.mx</v>
      </c>
      <c r="AM257" s="30" t="str">
        <f ca="1">IFERROR(__xludf.DUMMYFUNCTION("""COMPUTED_VALUE"""),"Arraigo y empoderamiento cultural de comunidades.")</f>
        <v>Arraigo y empoderamiento cultural de comunidades.</v>
      </c>
      <c r="AN257" s="30" t="str">
        <f ca="1">IFERROR(__xludf.DUMMYFUNCTION("""COMPUTED_VALUE"""),"2 Igualdad")</f>
        <v>2 Igualdad</v>
      </c>
      <c r="AO257" s="30" t="str">
        <f ca="1">IFERROR(__xludf.DUMMYFUNCTION("""COMPUTED_VALUE"""),"2.4 Reducir brechas de desigualdad")</f>
        <v>2.4 Reducir brechas de desigualdad</v>
      </c>
      <c r="AP257" s="30" t="str">
        <f ca="1">IFERROR(__xludf.DUMMYFUNCTION("""COMPUTED_VALUE"""),"2.4.3 Descentralización de la oferta cultural")</f>
        <v>2.4.3 Descentralización de la oferta cultural</v>
      </c>
      <c r="AQ257" s="30" t="str">
        <f ca="1">IFERROR(__xludf.DUMMYFUNCTION("""COMPUTED_VALUE"""),"2.4.3.1 Impulsar el desarrollo artístico y cultural entre infancias y juventudes")</f>
        <v>2.4.3.1 Impulsar el desarrollo artístico y cultural entre infancias y juventudes</v>
      </c>
      <c r="AR257" s="30" t="str">
        <f ca="1">IFERROR(__xludf.DUMMYFUNCTION("""COMPUTED_VALUE"""),"Ninguno")</f>
        <v>Ninguno</v>
      </c>
      <c r="AS257" s="30"/>
      <c r="AT257" s="30" t="str">
        <f ca="1">IFERROR(__xludf.DUMMYFUNCTION("""COMPUTED_VALUE"""),"Fortalecimiento de la participación ciudadana y la mediación cultural")</f>
        <v>Fortalecimiento de la participación ciudadana y la mediación cultural</v>
      </c>
      <c r="AU257" s="30" t="str">
        <f ca="1">IFERROR(__xludf.DUMMYFUNCTION("""COMPUTED_VALUE"""),"Fortalecimiento del diálogo, la mediación y las capacidades de las redes comunitarias.")</f>
        <v>Fortalecimiento del diálogo, la mediación y las capacidades de las redes comunitarias.</v>
      </c>
      <c r="AV25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7" s="30" t="str">
        <f ca="1">IFERROR(__xludf.DUMMYFUNCTION("""COMPUTED_VALUE"""),"Incrementar en 25% la oferta cultural realizada en los municipios.")</f>
        <v>Incrementar en 25% la oferta cultural realizada en los municipios.</v>
      </c>
      <c r="AX257" s="30" t="str">
        <f ca="1">IFERROR(__xludf.DUMMYFUNCTION("""COMPUTED_VALUE"""),"Visitas escolares")</f>
        <v>Visitas escolares</v>
      </c>
      <c r="AY257" s="30" t="str">
        <f ca="1">IFERROR(__xludf.DUMMYFUNCTION("""COMPUTED_VALUE"""),"Mediación")</f>
        <v>Mediación</v>
      </c>
      <c r="AZ257" s="30"/>
      <c r="BA257" s="30"/>
      <c r="BB257" s="30"/>
      <c r="BC257" s="30">
        <f ca="1">IFERROR(__xludf.DUMMYFUNCTION("""COMPUTED_VALUE"""),0)</f>
        <v>0</v>
      </c>
      <c r="BD257" s="30"/>
      <c r="BE257" s="30"/>
      <c r="BF257" s="30" t="b">
        <f ca="1">IFERROR(__xludf.DUMMYFUNCTION("""COMPUTED_VALUE"""),FALSE)</f>
        <v>0</v>
      </c>
      <c r="BG257" s="30"/>
      <c r="BH257" s="30"/>
      <c r="BI257" s="30"/>
      <c r="BJ257" s="30"/>
      <c r="BK257" s="30"/>
      <c r="BL257" s="30"/>
      <c r="BM257" s="30" t="str">
        <f ca="1">IFERROR(__xludf.DUMMYFUNCTION("""COMPUTED_VALUE"""),"No")</f>
        <v>No</v>
      </c>
      <c r="BN257" s="30"/>
      <c r="BO257" s="30" t="str">
        <f ca="1">IFERROR(__xludf.DUMMYFUNCTION("""COMPUTED_VALUE"""),"7649794b")</f>
        <v>7649794b</v>
      </c>
      <c r="BP257" s="29" t="str">
        <f ca="1">IFERROR(__xludf.DUMMYFUNCTION("""COMPUTED_VALUE"""),"León")</f>
        <v>León</v>
      </c>
      <c r="BQ257" s="30" t="str">
        <f ca="1">IFERROR(__xludf.DUMMYFUNCTION("""COMPUTED_VALUE"""),"Urbano")</f>
        <v>Urbano</v>
      </c>
      <c r="BR257" s="30"/>
      <c r="BS257" s="30"/>
      <c r="BT257" s="30"/>
      <c r="BU257" s="30" t="str">
        <f ca="1">IFERROR(__xludf.DUMMYFUNCTION("""COMPUTED_VALUE"""),"No")</f>
        <v>No</v>
      </c>
      <c r="BV257" s="30" t="str">
        <f ca="1">IFERROR(__xludf.DUMMYFUNCTION("""COMPUTED_VALUE"""),"No")</f>
        <v>No</v>
      </c>
      <c r="BW257" s="30">
        <f ca="1">IFERROR(__xludf.DUMMYFUNCTION("""COMPUTED_VALUE"""),8)</f>
        <v>8</v>
      </c>
      <c r="BX257" s="30"/>
      <c r="BY257" s="30">
        <f ca="1">IFERROR(__xludf.DUMMYFUNCTION("""COMPUTED_VALUE"""),8)</f>
        <v>8</v>
      </c>
      <c r="BZ257" s="30"/>
      <c r="CA257" s="30" t="str">
        <f ca="1">IFERROR(__xludf.DUMMYFUNCTION("""COMPUTED_VALUE"""),"No")</f>
        <v>No</v>
      </c>
      <c r="CB257" s="30" t="str">
        <f ca="1">IFERROR(__xludf.DUMMYFUNCTION("""COMPUTED_VALUE"""),"No")</f>
        <v>No</v>
      </c>
      <c r="CC257" s="30" t="str">
        <f ca="1">IFERROR(__xludf.DUMMYFUNCTION("""COMPUTED_VALUE"""),"6edb07a8")</f>
        <v>6edb07a8</v>
      </c>
      <c r="CD257" s="29" t="str">
        <f ca="1">IFERROR(__xludf.DUMMYFUNCTION("""COMPUTED_VALUE"""),"Adultos (30 a 59 años)")</f>
        <v>Adultos (30 a 59 años)</v>
      </c>
      <c r="CE257" s="30" t="str">
        <f ca="1">IFERROR(__xludf.DUMMYFUNCTION("""COMPUTED_VALUE"""),"Dato global")</f>
        <v>Dato global</v>
      </c>
      <c r="CF257" s="30" t="str">
        <f ca="1">IFERROR(__xludf.DUMMYFUNCTION("""COMPUTED_VALUE"""),"Ninguno (Población General)")</f>
        <v>Ninguno (Población General)</v>
      </c>
      <c r="CG257" s="30">
        <f ca="1">IFERROR(__xludf.DUMMYFUNCTION("""COMPUTED_VALUE"""),6)</f>
        <v>6</v>
      </c>
      <c r="CI257" s="30" t="str">
        <f ca="1">IFERROR(__xludf.DUMMYFUNCTION("""COMPUTED_VALUE"""),"16a52ba9")</f>
        <v>16a52ba9</v>
      </c>
      <c r="CJ257" s="29" t="str">
        <f ca="1">IFERROR(__xludf.DUMMYFUNCTION("""COMPUTED_VALUE"""),"Regitro_Evidencia_Images/16a52ba9.Archivo_Evidencia.201035.jpg")</f>
        <v>Regitro_Evidencia_Images/16a52ba9.Archivo_Evidencia.201035.jpg</v>
      </c>
      <c r="CK257" s="30" t="str">
        <f ca="1">IFERROR(__xludf.DUMMYFUNCTION("""COMPUTED_VALUE"""),"Foto")</f>
        <v>Foto</v>
      </c>
      <c r="CL257" s="30"/>
      <c r="CM257" s="30" t="str">
        <f ca="1">IFERROR(__xludf.DUMMYFUNCTION("""COMPUTED_VALUE"""),"León")</f>
        <v>León</v>
      </c>
      <c r="CN257" s="32" t="e">
        <f ca="1"/>
        <v>#NAME?</v>
      </c>
      <c r="CO257" s="32" t="e">
        <f ca="1"/>
        <v>#NAME?</v>
      </c>
      <c r="CP257" s="32" t="e">
        <f ca="1"/>
        <v>#NAME?</v>
      </c>
      <c r="CQ257" s="32" t="e">
        <f ca="1"/>
        <v>#NAME?</v>
      </c>
      <c r="CR257" s="30" t="e">
        <f ca="1"/>
        <v>#NAME?</v>
      </c>
      <c r="CS257" s="30" t="str">
        <f ca="1">IFERROR(__xludf.DUMMYFUNCTION("""COMPUTED_VALUE"""),"Ninguno (Población General)")</f>
        <v>Ninguno (Población General)</v>
      </c>
    </row>
    <row r="258" spans="1:97" ht="13">
      <c r="A258" s="29" t="str">
        <f ca="1">IFERROR(__xludf.DUMMYFUNCTION("""COMPUTED_VALUE"""),"ACT-SCLF83323")</f>
        <v>ACT-SCLF83323</v>
      </c>
      <c r="B258" s="30" t="str">
        <f ca="1">IFERROR(__xludf.DUMMYFUNCTION("""COMPUTED_VALUE"""),"SC-260813-123925")</f>
        <v>SC-260813-123925</v>
      </c>
      <c r="C258" s="62">
        <f ca="1">IFERROR(__xludf.DUMMYFUNCTION("""COMPUTED_VALUE"""),46247.5273726851)</f>
        <v>46247.527372685101</v>
      </c>
      <c r="D258" s="30">
        <f ca="1">IFERROR(__xludf.DUMMYFUNCTION("""COMPUTED_VALUE"""),92)</f>
        <v>92</v>
      </c>
      <c r="E258" s="30" t="str">
        <f ca="1">IFERROR(__xludf.DUMMYFUNCTION("""COMPUTED_VALUE"""),"PB3572")</f>
        <v>PB3572</v>
      </c>
      <c r="F25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8" s="30" t="str">
        <f ca="1">IFERROR(__xludf.DUMMYFUNCTION("""COMPUTED_VALUE"""),"SUBSECRETARÍA DE DESARROLLO Y PROMOCIÓN ARTÍSTICA Y CULTURAL")</f>
        <v>SUBSECRETARÍA DE DESARROLLO Y PROMOCIÓN ARTÍSTICA Y CULTURAL</v>
      </c>
      <c r="I258" s="34" t="str">
        <f ca="1">IFERROR(__xludf.DUMMYFUNCTION("""COMPUTED_VALUE"""),"DIRECCIÓN GENERAL DE MUSEOS, ARTES VISUALES Y EXPOSICIONES")</f>
        <v>DIRECCIÓN GENERAL DE MUSEOS, ARTES VISUALES Y EXPOSICIONES</v>
      </c>
      <c r="J258" s="30" t="str">
        <f ca="1">IFERROR(__xludf.DUMMYFUNCTION("""COMPUTED_VALUE"""),"Número de Actividades realizadas")</f>
        <v>Número de Actividades realizadas</v>
      </c>
      <c r="K258" s="30">
        <f ca="1">IFERROR(__xludf.DUMMYFUNCTION("""COMPUTED_VALUE"""),800)</f>
        <v>800</v>
      </c>
      <c r="L258" s="30" t="str">
        <f ca="1">IFERROR(__xludf.DUMMYFUNCTION("""COMPUTED_VALUE"""),"Cultural")</f>
        <v>Cultural</v>
      </c>
      <c r="M258" s="30" t="str">
        <f ca="1">IFERROR(__xludf.DUMMYFUNCTION("""COMPUTED_VALUE"""),"Noche de Museos")</f>
        <v>Noche de Museos</v>
      </c>
      <c r="N258" s="30" t="str">
        <f ca="1">IFERROR(__xludf.DUMMYFUNCTION("""COMPUTED_VALUE"""),"Visita nocturna")</f>
        <v>Visita nocturna</v>
      </c>
      <c r="O258" s="30" t="str">
        <f ca="1">IFERROR(__xludf.DUMMYFUNCTION("""COMPUTED_VALUE"""),"Única")</f>
        <v>Única</v>
      </c>
      <c r="P258" s="33">
        <f ca="1">IFERROR(__xludf.DUMMYFUNCTION("""COMPUTED_VALUE"""),46225)</f>
        <v>46225</v>
      </c>
      <c r="Q258" s="33">
        <f ca="1">IFERROR(__xludf.DUMMYFUNCTION("""COMPUTED_VALUE"""),46225)</f>
        <v>46225</v>
      </c>
      <c r="R258" s="30">
        <f ca="1">IFERROR(__xludf.DUMMYFUNCTION("""COMPUTED_VALUE"""),1)</f>
        <v>1</v>
      </c>
      <c r="S258" s="30" t="str">
        <f ca="1">IFERROR(__xludf.DUMMYFUNCTION("""COMPUTED_VALUE"""),"Cultura comunitaria")</f>
        <v>Cultura comunitaria</v>
      </c>
      <c r="T258" s="30" t="str">
        <f ca="1">IFERROR(__xludf.DUMMYFUNCTION("""COMPUTED_VALUE"""),"Mediación cultural")</f>
        <v>Mediación cultural</v>
      </c>
      <c r="U258" s="30" t="str">
        <f ca="1">IFERROR(__xludf.DUMMYFUNCTION("""COMPUTED_VALUE"""),"Visitas guiadas")</f>
        <v>Visitas guiadas</v>
      </c>
      <c r="V258" s="30" t="str">
        <f ca="1">IFERROR(__xludf.DUMMYFUNCTION("""COMPUTED_VALUE"""),"Ninguna")</f>
        <v>Ninguna</v>
      </c>
      <c r="W258" s="30" t="str">
        <f ca="1">IFERROR(__xludf.DUMMYFUNCTION("""COMPUTED_VALUE"""),"Presencial")</f>
        <v>Presencial</v>
      </c>
      <c r="X258" s="30" t="str">
        <f ca="1">IFERROR(__xludf.DUMMYFUNCTION("""COMPUTED_VALUE"""),"Espacio a Cargo de la Secretaría")</f>
        <v>Espacio a Cargo de la Secretaría</v>
      </c>
      <c r="Y258" s="30" t="str">
        <f ca="1">IFERROR(__xludf.DUMMYFUNCTION("""COMPUTED_VALUE"""),"Museo de Arte e Historia de Guanajuato, sala Feliciano Peña")</f>
        <v>Museo de Arte e Historia de Guanajuato, sala Feliciano Peña</v>
      </c>
      <c r="Z258" s="30"/>
      <c r="AA258" s="30"/>
      <c r="AB258" s="30" t="b">
        <f ca="1">IFERROR(__xludf.DUMMYFUNCTION("""COMPUTED_VALUE"""),FALSE)</f>
        <v>0</v>
      </c>
      <c r="AC258" s="30"/>
      <c r="AD258" s="30" t="b">
        <f ca="1">IFERROR(__xludf.DUMMYFUNCTION("""COMPUTED_VALUE"""),FALSE)</f>
        <v>0</v>
      </c>
      <c r="AE258" s="30"/>
      <c r="AF258" s="30" t="b">
        <f ca="1">IFERROR(__xludf.DUMMYFUNCTION("""COMPUTED_VALUE"""),FALSE)</f>
        <v>0</v>
      </c>
      <c r="AG258" s="30"/>
      <c r="AH258" s="30" t="str">
        <f ca="1">IFERROR(__xludf.DUMMYFUNCTION("""COMPUTED_VALUE"""),"Sin costo")</f>
        <v>Sin costo</v>
      </c>
      <c r="AI258" s="30"/>
      <c r="AJ258" s="30"/>
      <c r="AK258" s="30"/>
      <c r="AL258" s="30" t="str">
        <f ca="1">IFERROR(__xludf.DUMMYFUNCTION("""COMPUTED_VALUE"""),"ccardonav@guanajuato.gob.mx")</f>
        <v>ccardonav@guanajuato.gob.mx</v>
      </c>
      <c r="AM258" s="30" t="str">
        <f ca="1">IFERROR(__xludf.DUMMYFUNCTION("""COMPUTED_VALUE"""),"Arraigo y empoderamiento cultural de comunidades.")</f>
        <v>Arraigo y empoderamiento cultural de comunidades.</v>
      </c>
      <c r="AN258" s="30" t="str">
        <f ca="1">IFERROR(__xludf.DUMMYFUNCTION("""COMPUTED_VALUE"""),"2 Igualdad")</f>
        <v>2 Igualdad</v>
      </c>
      <c r="AO258" s="30" t="str">
        <f ca="1">IFERROR(__xludf.DUMMYFUNCTION("""COMPUTED_VALUE"""),"2.4 Reducir brechas de desigualdad")</f>
        <v>2.4 Reducir brechas de desigualdad</v>
      </c>
      <c r="AP258" s="30" t="str">
        <f ca="1">IFERROR(__xludf.DUMMYFUNCTION("""COMPUTED_VALUE"""),"2.4.3 Descentralización de la oferta cultural")</f>
        <v>2.4.3 Descentralización de la oferta cultural</v>
      </c>
      <c r="AQ258" s="30" t="str">
        <f ca="1">IFERROR(__xludf.DUMMYFUNCTION("""COMPUTED_VALUE"""),"2.4.3.1 Impulsar el desarrollo artístico y cultural entre infancias y juventudes")</f>
        <v>2.4.3.1 Impulsar el desarrollo artístico y cultural entre infancias y juventudes</v>
      </c>
      <c r="AR258" s="30" t="str">
        <f ca="1">IFERROR(__xludf.DUMMYFUNCTION("""COMPUTED_VALUE"""),"Ninguno")</f>
        <v>Ninguno</v>
      </c>
      <c r="AS258" s="30"/>
      <c r="AT258" s="30" t="str">
        <f ca="1">IFERROR(__xludf.DUMMYFUNCTION("""COMPUTED_VALUE"""),"Fortalecimiento de la participación ciudadana y la mediación cultural")</f>
        <v>Fortalecimiento de la participación ciudadana y la mediación cultural</v>
      </c>
      <c r="AU258" s="30" t="str">
        <f ca="1">IFERROR(__xludf.DUMMYFUNCTION("""COMPUTED_VALUE"""),"Fortalecimiento del diálogo, la mediación y las capacidades de las redes comunitarias.")</f>
        <v>Fortalecimiento del diálogo, la mediación y las capacidades de las redes comunitarias.</v>
      </c>
      <c r="AV25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8" s="30" t="str">
        <f ca="1">IFERROR(__xludf.DUMMYFUNCTION("""COMPUTED_VALUE"""),"Incrementar en 25% la oferta cultural realizada en los municipios.")</f>
        <v>Incrementar en 25% la oferta cultural realizada en los municipios.</v>
      </c>
      <c r="AX258" s="30" t="str">
        <f ca="1">IFERROR(__xludf.DUMMYFUNCTION("""COMPUTED_VALUE"""),"Visitas guiadas")</f>
        <v>Visitas guiadas</v>
      </c>
      <c r="AY258" s="30" t="str">
        <f ca="1">IFERROR(__xludf.DUMMYFUNCTION("""COMPUTED_VALUE"""),"Mediación")</f>
        <v>Mediación</v>
      </c>
      <c r="AZ258" s="30"/>
      <c r="BA258" s="30"/>
      <c r="BB258" s="30"/>
      <c r="BC258" s="30">
        <f ca="1">IFERROR(__xludf.DUMMYFUNCTION("""COMPUTED_VALUE"""),0)</f>
        <v>0</v>
      </c>
      <c r="BD258" s="30"/>
      <c r="BE258" s="30"/>
      <c r="BF258" s="30" t="b">
        <f ca="1">IFERROR(__xludf.DUMMYFUNCTION("""COMPUTED_VALUE"""),FALSE)</f>
        <v>0</v>
      </c>
      <c r="BG258" s="30"/>
      <c r="BH258" s="30"/>
      <c r="BI258" s="30"/>
      <c r="BJ258" s="30"/>
      <c r="BK258" s="30"/>
      <c r="BL258" s="30"/>
      <c r="BM258" s="30" t="str">
        <f ca="1">IFERROR(__xludf.DUMMYFUNCTION("""COMPUTED_VALUE"""),"No")</f>
        <v>No</v>
      </c>
      <c r="BN258" s="30"/>
      <c r="BO258" s="30" t="str">
        <f ca="1">IFERROR(__xludf.DUMMYFUNCTION("""COMPUTED_VALUE"""),"875c60b6")</f>
        <v>875c60b6</v>
      </c>
      <c r="BP258" s="29" t="str">
        <f ca="1">IFERROR(__xludf.DUMMYFUNCTION("""COMPUTED_VALUE"""),"León")</f>
        <v>León</v>
      </c>
      <c r="BQ258" s="30" t="str">
        <f ca="1">IFERROR(__xludf.DUMMYFUNCTION("""COMPUTED_VALUE"""),"Urbano")</f>
        <v>Urbano</v>
      </c>
      <c r="BR258" s="30"/>
      <c r="BS258" s="30"/>
      <c r="BT258" s="30"/>
      <c r="BU258" s="30" t="str">
        <f ca="1">IFERROR(__xludf.DUMMYFUNCTION("""COMPUTED_VALUE"""),"No")</f>
        <v>No</v>
      </c>
      <c r="BV258" s="30" t="str">
        <f ca="1">IFERROR(__xludf.DUMMYFUNCTION("""COMPUTED_VALUE"""),"No")</f>
        <v>No</v>
      </c>
      <c r="BW258" s="30">
        <f ca="1">IFERROR(__xludf.DUMMYFUNCTION("""COMPUTED_VALUE"""),26)</f>
        <v>26</v>
      </c>
      <c r="BX258" s="30"/>
      <c r="BY258" s="30">
        <f ca="1">IFERROR(__xludf.DUMMYFUNCTION("""COMPUTED_VALUE"""),26)</f>
        <v>26</v>
      </c>
      <c r="BZ258" s="30"/>
      <c r="CA258" s="30" t="str">
        <f ca="1">IFERROR(__xludf.DUMMYFUNCTION("""COMPUTED_VALUE"""),"No")</f>
        <v>No</v>
      </c>
      <c r="CB258" s="30" t="str">
        <f ca="1">IFERROR(__xludf.DUMMYFUNCTION("""COMPUTED_VALUE"""),"No")</f>
        <v>No</v>
      </c>
      <c r="CC258" s="30" t="str">
        <f ca="1">IFERROR(__xludf.DUMMYFUNCTION("""COMPUTED_VALUE"""),"448fa001")</f>
        <v>448fa001</v>
      </c>
      <c r="CD258" s="29" t="str">
        <f ca="1">IFERROR(__xludf.DUMMYFUNCTION("""COMPUTED_VALUE"""),"Jóvenes (18 a 29 años)")</f>
        <v>Jóvenes (18 a 29 años)</v>
      </c>
      <c r="CE258" s="30" t="str">
        <f ca="1">IFERROR(__xludf.DUMMYFUNCTION("""COMPUTED_VALUE"""),"Dato global")</f>
        <v>Dato global</v>
      </c>
      <c r="CF258" s="30" t="str">
        <f ca="1">IFERROR(__xludf.DUMMYFUNCTION("""COMPUTED_VALUE"""),"Ninguno (Población General)")</f>
        <v>Ninguno (Población General)</v>
      </c>
      <c r="CG258" s="30">
        <f ca="1">IFERROR(__xludf.DUMMYFUNCTION("""COMPUTED_VALUE"""),17)</f>
        <v>17</v>
      </c>
      <c r="CI258" s="30" t="str">
        <f ca="1">IFERROR(__xludf.DUMMYFUNCTION("""COMPUTED_VALUE"""),"95896ca0")</f>
        <v>95896ca0</v>
      </c>
      <c r="CJ258" s="29" t="str">
        <f ca="1">IFERROR(__xludf.DUMMYFUNCTION("""COMPUTED_VALUE"""),"Regitro_Evidencia_Images/95896ca0.Archivo_Evidencia.201040.jpg")</f>
        <v>Regitro_Evidencia_Images/95896ca0.Archivo_Evidencia.201040.jpg</v>
      </c>
      <c r="CK258" s="30" t="str">
        <f ca="1">IFERROR(__xludf.DUMMYFUNCTION("""COMPUTED_VALUE"""),"Foto")</f>
        <v>Foto</v>
      </c>
      <c r="CL258" s="30"/>
      <c r="CM258" s="30" t="str">
        <f ca="1">IFERROR(__xludf.DUMMYFUNCTION("""COMPUTED_VALUE"""),"León")</f>
        <v>León</v>
      </c>
      <c r="CN258" s="32" t="e">
        <f ca="1"/>
        <v>#NAME?</v>
      </c>
      <c r="CO258" s="32" t="e">
        <f ca="1"/>
        <v>#NAME?</v>
      </c>
      <c r="CP258" s="32" t="e">
        <f ca="1"/>
        <v>#NAME?</v>
      </c>
      <c r="CQ258" s="32" t="e">
        <f ca="1"/>
        <v>#NAME?</v>
      </c>
      <c r="CR258" s="30" t="e">
        <f ca="1"/>
        <v>#NAME?</v>
      </c>
      <c r="CS258" s="30" t="str">
        <f ca="1">IFERROR(__xludf.DUMMYFUNCTION("""COMPUTED_VALUE"""),"Ninguno (Población General)")</f>
        <v>Ninguno (Población General)</v>
      </c>
    </row>
    <row r="259" spans="1:97" ht="13">
      <c r="A259" s="29" t="str">
        <f ca="1">IFERROR(__xludf.DUMMYFUNCTION("""COMPUTED_VALUE"""),"ACT-SCOZ36852")</f>
        <v>ACT-SCOZ36852</v>
      </c>
      <c r="B259" s="30" t="str">
        <f ca="1">IFERROR(__xludf.DUMMYFUNCTION("""COMPUTED_VALUE"""),"SC-260813-145317")</f>
        <v>SC-260813-145317</v>
      </c>
      <c r="C259" s="62">
        <f ca="1">IFERROR(__xludf.DUMMYFUNCTION("""COMPUTED_VALUE"""),46247.6203356481)</f>
        <v>46247.620335648098</v>
      </c>
      <c r="D259" s="30">
        <f ca="1">IFERROR(__xludf.DUMMYFUNCTION("""COMPUTED_VALUE"""),92)</f>
        <v>92</v>
      </c>
      <c r="E259" s="30" t="str">
        <f ca="1">IFERROR(__xludf.DUMMYFUNCTION("""COMPUTED_VALUE"""),"PB3572")</f>
        <v>PB3572</v>
      </c>
      <c r="F25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5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59" s="30" t="str">
        <f ca="1">IFERROR(__xludf.DUMMYFUNCTION("""COMPUTED_VALUE"""),"SUBSECRETARÍA DE DESARROLLO Y PROMOCIÓN ARTÍSTICA Y CULTURAL")</f>
        <v>SUBSECRETARÍA DE DESARROLLO Y PROMOCIÓN ARTÍSTICA Y CULTURAL</v>
      </c>
      <c r="I259" s="34" t="str">
        <f ca="1">IFERROR(__xludf.DUMMYFUNCTION("""COMPUTED_VALUE"""),"DIRECCIÓN GENERAL DE MUSEOS, ARTES VISUALES Y EXPOSICIONES")</f>
        <v>DIRECCIÓN GENERAL DE MUSEOS, ARTES VISUALES Y EXPOSICIONES</v>
      </c>
      <c r="J259" s="30" t="str">
        <f ca="1">IFERROR(__xludf.DUMMYFUNCTION("""COMPUTED_VALUE"""),"Número de Actividades realizadas")</f>
        <v>Número de Actividades realizadas</v>
      </c>
      <c r="K259" s="30">
        <f ca="1">IFERROR(__xludf.DUMMYFUNCTION("""COMPUTED_VALUE"""),800)</f>
        <v>800</v>
      </c>
      <c r="L259" s="30" t="str">
        <f ca="1">IFERROR(__xludf.DUMMYFUNCTION("""COMPUTED_VALUE"""),"Cultural")</f>
        <v>Cultural</v>
      </c>
      <c r="M259" s="30" t="str">
        <f ca="1">IFERROR(__xludf.DUMMYFUNCTION("""COMPUTED_VALUE"""),"Noche de Museos")</f>
        <v>Noche de Museos</v>
      </c>
      <c r="N259" s="30" t="str">
        <f ca="1">IFERROR(__xludf.DUMMYFUNCTION("""COMPUTED_VALUE"""),"Visita mediada")</f>
        <v>Visita mediada</v>
      </c>
      <c r="O259" s="30" t="str">
        <f ca="1">IFERROR(__xludf.DUMMYFUNCTION("""COMPUTED_VALUE"""),"Única")</f>
        <v>Única</v>
      </c>
      <c r="P259" s="33">
        <f ca="1">IFERROR(__xludf.DUMMYFUNCTION("""COMPUTED_VALUE"""),46247)</f>
        <v>46247</v>
      </c>
      <c r="Q259" s="33">
        <f ca="1">IFERROR(__xludf.DUMMYFUNCTION("""COMPUTED_VALUE"""),46247)</f>
        <v>46247</v>
      </c>
      <c r="R259" s="30">
        <f ca="1">IFERROR(__xludf.DUMMYFUNCTION("""COMPUTED_VALUE"""),1)</f>
        <v>1</v>
      </c>
      <c r="S259" s="30" t="str">
        <f ca="1">IFERROR(__xludf.DUMMYFUNCTION("""COMPUTED_VALUE"""),"Cultura comunitaria")</f>
        <v>Cultura comunitaria</v>
      </c>
      <c r="T259" s="30" t="str">
        <f ca="1">IFERROR(__xludf.DUMMYFUNCTION("""COMPUTED_VALUE"""),"Mediación cultural")</f>
        <v>Mediación cultural</v>
      </c>
      <c r="U259" s="30" t="str">
        <f ca="1">IFERROR(__xludf.DUMMYFUNCTION("""COMPUTED_VALUE"""),"Visitas guiadas")</f>
        <v>Visitas guiadas</v>
      </c>
      <c r="V259" s="30" t="str">
        <f ca="1">IFERROR(__xludf.DUMMYFUNCTION("""COMPUTED_VALUE"""),"Ninguna")</f>
        <v>Ninguna</v>
      </c>
      <c r="W259" s="30" t="str">
        <f ca="1">IFERROR(__xludf.DUMMYFUNCTION("""COMPUTED_VALUE"""),"Presencial")</f>
        <v>Presencial</v>
      </c>
      <c r="X259" s="30" t="str">
        <f ca="1">IFERROR(__xludf.DUMMYFUNCTION("""COMPUTED_VALUE"""),"Espacio a Cargo de la Secretaría")</f>
        <v>Espacio a Cargo de la Secretaría</v>
      </c>
      <c r="Y259" s="30" t="str">
        <f ca="1">IFERROR(__xludf.DUMMYFUNCTION("""COMPUTED_VALUE"""),"Museo de Arte e Historia de Guanajuato, sala Feliciano Peña")</f>
        <v>Museo de Arte e Historia de Guanajuato, sala Feliciano Peña</v>
      </c>
      <c r="Z259" s="30"/>
      <c r="AA259" s="30"/>
      <c r="AB259" s="30" t="b">
        <f ca="1">IFERROR(__xludf.DUMMYFUNCTION("""COMPUTED_VALUE"""),FALSE)</f>
        <v>0</v>
      </c>
      <c r="AC259" s="30"/>
      <c r="AD259" s="30" t="b">
        <f ca="1">IFERROR(__xludf.DUMMYFUNCTION("""COMPUTED_VALUE"""),FALSE)</f>
        <v>0</v>
      </c>
      <c r="AE259" s="30"/>
      <c r="AF259" s="30" t="b">
        <f ca="1">IFERROR(__xludf.DUMMYFUNCTION("""COMPUTED_VALUE"""),FALSE)</f>
        <v>0</v>
      </c>
      <c r="AG259" s="30"/>
      <c r="AH259" s="30" t="str">
        <f ca="1">IFERROR(__xludf.DUMMYFUNCTION("""COMPUTED_VALUE"""),"Sin costo")</f>
        <v>Sin costo</v>
      </c>
      <c r="AI259" s="30"/>
      <c r="AJ259" s="30"/>
      <c r="AK259" s="30"/>
      <c r="AL259" s="30" t="str">
        <f ca="1">IFERROR(__xludf.DUMMYFUNCTION("""COMPUTED_VALUE"""),"ccardonav@guanajuato.gob.mx")</f>
        <v>ccardonav@guanajuato.gob.mx</v>
      </c>
      <c r="AM259" s="30" t="str">
        <f ca="1">IFERROR(__xludf.DUMMYFUNCTION("""COMPUTED_VALUE"""),"Arraigo y empoderamiento cultural de comunidades.")</f>
        <v>Arraigo y empoderamiento cultural de comunidades.</v>
      </c>
      <c r="AN259" s="30" t="str">
        <f ca="1">IFERROR(__xludf.DUMMYFUNCTION("""COMPUTED_VALUE"""),"2 Igualdad")</f>
        <v>2 Igualdad</v>
      </c>
      <c r="AO259" s="30" t="str">
        <f ca="1">IFERROR(__xludf.DUMMYFUNCTION("""COMPUTED_VALUE"""),"2.4 Reducir brechas de desigualdad")</f>
        <v>2.4 Reducir brechas de desigualdad</v>
      </c>
      <c r="AP259" s="30" t="str">
        <f ca="1">IFERROR(__xludf.DUMMYFUNCTION("""COMPUTED_VALUE"""),"2.4.3 Descentralización de la oferta cultural")</f>
        <v>2.4.3 Descentralización de la oferta cultural</v>
      </c>
      <c r="AQ259" s="30" t="str">
        <f ca="1">IFERROR(__xludf.DUMMYFUNCTION("""COMPUTED_VALUE"""),"2.4.3.1 Impulsar el desarrollo artístico y cultural entre infancias y juventudes")</f>
        <v>2.4.3.1 Impulsar el desarrollo artístico y cultural entre infancias y juventudes</v>
      </c>
      <c r="AR259" s="30" t="str">
        <f ca="1">IFERROR(__xludf.DUMMYFUNCTION("""COMPUTED_VALUE"""),"Ninguno")</f>
        <v>Ninguno</v>
      </c>
      <c r="AS259" s="30"/>
      <c r="AT259" s="30" t="str">
        <f ca="1">IFERROR(__xludf.DUMMYFUNCTION("""COMPUTED_VALUE"""),"Fortalecimiento de la participación ciudadana y la mediación cultural")</f>
        <v>Fortalecimiento de la participación ciudadana y la mediación cultural</v>
      </c>
      <c r="AU259" s="30" t="str">
        <f ca="1">IFERROR(__xludf.DUMMYFUNCTION("""COMPUTED_VALUE"""),"Fortalecimiento del diálogo, la mediación y las capacidades de las redes comunitarias.")</f>
        <v>Fortalecimiento del diálogo, la mediación y las capacidades de las redes comunitarias.</v>
      </c>
      <c r="AV25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59" s="30" t="str">
        <f ca="1">IFERROR(__xludf.DUMMYFUNCTION("""COMPUTED_VALUE"""),"Incrementar en 25% la oferta cultural realizada en los municipios.")</f>
        <v>Incrementar en 25% la oferta cultural realizada en los municipios.</v>
      </c>
      <c r="AX259" s="30" t="str">
        <f ca="1">IFERROR(__xludf.DUMMYFUNCTION("""COMPUTED_VALUE"""),"Visitas guiadas")</f>
        <v>Visitas guiadas</v>
      </c>
      <c r="AY259" s="30" t="str">
        <f ca="1">IFERROR(__xludf.DUMMYFUNCTION("""COMPUTED_VALUE"""),"Mediación")</f>
        <v>Mediación</v>
      </c>
      <c r="AZ259" s="30"/>
      <c r="BA259" s="30"/>
      <c r="BB259" s="30"/>
      <c r="BC259" s="30">
        <f ca="1">IFERROR(__xludf.DUMMYFUNCTION("""COMPUTED_VALUE"""),0)</f>
        <v>0</v>
      </c>
      <c r="BD259" s="30"/>
      <c r="BE259" s="30"/>
      <c r="BF259" s="30" t="b">
        <f ca="1">IFERROR(__xludf.DUMMYFUNCTION("""COMPUTED_VALUE"""),FALSE)</f>
        <v>0</v>
      </c>
      <c r="BG259" s="30"/>
      <c r="BH259" s="30"/>
      <c r="BI259" s="30"/>
      <c r="BJ259" s="30"/>
      <c r="BK259" s="30"/>
      <c r="BL259" s="30"/>
      <c r="BM259" s="30" t="str">
        <f ca="1">IFERROR(__xludf.DUMMYFUNCTION("""COMPUTED_VALUE"""),"No")</f>
        <v>No</v>
      </c>
      <c r="BN259" s="30"/>
      <c r="BO259" s="30" t="str">
        <f ca="1">IFERROR(__xludf.DUMMYFUNCTION("""COMPUTED_VALUE"""),"fec03aeb")</f>
        <v>fec03aeb</v>
      </c>
      <c r="BP259" s="29" t="str">
        <f ca="1">IFERROR(__xludf.DUMMYFUNCTION("""COMPUTED_VALUE"""),"León")</f>
        <v>León</v>
      </c>
      <c r="BQ259" s="30" t="str">
        <f ca="1">IFERROR(__xludf.DUMMYFUNCTION("""COMPUTED_VALUE"""),"Urbano")</f>
        <v>Urbano</v>
      </c>
      <c r="BR259" s="30"/>
      <c r="BS259" s="30"/>
      <c r="BT259" s="30"/>
      <c r="BU259" s="30" t="str">
        <f ca="1">IFERROR(__xludf.DUMMYFUNCTION("""COMPUTED_VALUE"""),"No")</f>
        <v>No</v>
      </c>
      <c r="BV259" s="30" t="str">
        <f ca="1">IFERROR(__xludf.DUMMYFUNCTION("""COMPUTED_VALUE"""),"No")</f>
        <v>No</v>
      </c>
      <c r="BW259" s="30">
        <f ca="1">IFERROR(__xludf.DUMMYFUNCTION("""COMPUTED_VALUE"""),26)</f>
        <v>26</v>
      </c>
      <c r="BX259" s="30"/>
      <c r="BY259" s="30">
        <f ca="1">IFERROR(__xludf.DUMMYFUNCTION("""COMPUTED_VALUE"""),26)</f>
        <v>26</v>
      </c>
      <c r="BZ259" s="30"/>
      <c r="CA259" s="30" t="str">
        <f ca="1">IFERROR(__xludf.DUMMYFUNCTION("""COMPUTED_VALUE"""),"No")</f>
        <v>No</v>
      </c>
      <c r="CB259" s="30" t="str">
        <f ca="1">IFERROR(__xludf.DUMMYFUNCTION("""COMPUTED_VALUE"""),"No")</f>
        <v>No</v>
      </c>
      <c r="CC259" s="30" t="str">
        <f ca="1">IFERROR(__xludf.DUMMYFUNCTION("""COMPUTED_VALUE"""),"f68d6c16")</f>
        <v>f68d6c16</v>
      </c>
      <c r="CD259" s="29" t="str">
        <f ca="1">IFERROR(__xludf.DUMMYFUNCTION("""COMPUTED_VALUE"""),"Adultos (30 a 59 años)")</f>
        <v>Adultos (30 a 59 años)</v>
      </c>
      <c r="CE259" s="30" t="str">
        <f ca="1">IFERROR(__xludf.DUMMYFUNCTION("""COMPUTED_VALUE"""),"Dato global")</f>
        <v>Dato global</v>
      </c>
      <c r="CF259" s="30" t="str">
        <f ca="1">IFERROR(__xludf.DUMMYFUNCTION("""COMPUTED_VALUE"""),"Ninguno (Población General)")</f>
        <v>Ninguno (Población General)</v>
      </c>
      <c r="CG259" s="30">
        <f ca="1">IFERROR(__xludf.DUMMYFUNCTION("""COMPUTED_VALUE"""),1)</f>
        <v>1</v>
      </c>
      <c r="CI259" s="30" t="str">
        <f ca="1">IFERROR(__xludf.DUMMYFUNCTION("""COMPUTED_VALUE"""),"a7e0a597")</f>
        <v>a7e0a597</v>
      </c>
      <c r="CJ259" s="29" t="str">
        <f ca="1">IFERROR(__xludf.DUMMYFUNCTION("""COMPUTED_VALUE"""),"Regitro_Evidencia_Files_/a7e0a597.Archivo_Evidencia.205658.pdf")</f>
        <v>Regitro_Evidencia_Files_/a7e0a597.Archivo_Evidencia.205658.pdf</v>
      </c>
      <c r="CK259" s="30" t="str">
        <f ca="1">IFERROR(__xludf.DUMMYFUNCTION("""COMPUTED_VALUE"""),"PDF")</f>
        <v>PDF</v>
      </c>
      <c r="CL259" s="30" t="str">
        <f ca="1">IFERROR(__xludf.DUMMYFUNCTION("""COMPUTED_VALUE"""),"Evidencia del resultado de la residencia")</f>
        <v>Evidencia del resultado de la residencia</v>
      </c>
      <c r="CM259" s="30" t="str">
        <f ca="1">IFERROR(__xludf.DUMMYFUNCTION("""COMPUTED_VALUE"""),"León")</f>
        <v>León</v>
      </c>
      <c r="CN259" s="32" t="e">
        <f ca="1"/>
        <v>#NAME?</v>
      </c>
      <c r="CO259" s="32" t="e">
        <f ca="1"/>
        <v>#NAME?</v>
      </c>
      <c r="CP259" s="32" t="e">
        <f ca="1"/>
        <v>#NAME?</v>
      </c>
      <c r="CQ259" s="32" t="e">
        <f ca="1"/>
        <v>#NAME?</v>
      </c>
      <c r="CR259" s="30" t="e">
        <f ca="1"/>
        <v>#NAME?</v>
      </c>
      <c r="CS259" s="30" t="str">
        <f ca="1">IFERROR(__xludf.DUMMYFUNCTION("""COMPUTED_VALUE"""),"Ninguno (Población General)")</f>
        <v>Ninguno (Población General)</v>
      </c>
    </row>
    <row r="260" spans="1:97" ht="13">
      <c r="A260" s="29" t="str">
        <f ca="1">IFERROR(__xludf.DUMMYFUNCTION("""COMPUTED_VALUE"""),"ACT-SCVP57572")</f>
        <v>ACT-SCVP57572</v>
      </c>
      <c r="B260" s="30" t="str">
        <f ca="1">IFERROR(__xludf.DUMMYFUNCTION("""COMPUTED_VALUE"""),"SC-260813-154114")</f>
        <v>SC-260813-154114</v>
      </c>
      <c r="C260" s="62">
        <f ca="1">IFERROR(__xludf.DUMMYFUNCTION("""COMPUTED_VALUE"""),46247.6536342592)</f>
        <v>46247.653634259201</v>
      </c>
      <c r="D260" s="30">
        <f ca="1">IFERROR(__xludf.DUMMYFUNCTION("""COMPUTED_VALUE"""),92)</f>
        <v>92</v>
      </c>
      <c r="E260" s="30" t="str">
        <f ca="1">IFERROR(__xludf.DUMMYFUNCTION("""COMPUTED_VALUE"""),"PB3572")</f>
        <v>PB3572</v>
      </c>
      <c r="F26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0" s="30" t="str">
        <f ca="1">IFERROR(__xludf.DUMMYFUNCTION("""COMPUTED_VALUE"""),"SUBSECRETARÍA DE DESARROLLO Y PROMOCIÓN ARTÍSTICA Y CULTURAL")</f>
        <v>SUBSECRETARÍA DE DESARROLLO Y PROMOCIÓN ARTÍSTICA Y CULTURAL</v>
      </c>
      <c r="I260" s="34" t="str">
        <f ca="1">IFERROR(__xludf.DUMMYFUNCTION("""COMPUTED_VALUE"""),"DIRECCIÓN GENERAL DE MUSEOS, ARTES VISUALES Y EXPOSICIONES")</f>
        <v>DIRECCIÓN GENERAL DE MUSEOS, ARTES VISUALES Y EXPOSICIONES</v>
      </c>
      <c r="J260" s="30" t="str">
        <f ca="1">IFERROR(__xludf.DUMMYFUNCTION("""COMPUTED_VALUE"""),"Número de Actividades realizadas")</f>
        <v>Número de Actividades realizadas</v>
      </c>
      <c r="K260" s="30">
        <f ca="1">IFERROR(__xludf.DUMMYFUNCTION("""COMPUTED_VALUE"""),800)</f>
        <v>800</v>
      </c>
      <c r="L260" s="30" t="str">
        <f ca="1">IFERROR(__xludf.DUMMYFUNCTION("""COMPUTED_VALUE"""),"Cultural")</f>
        <v>Cultural</v>
      </c>
      <c r="M260" s="30" t="str">
        <f ca="1">IFERROR(__xludf.DUMMYFUNCTION("""COMPUTED_VALUE"""),"Visita Libre")</f>
        <v>Visita Libre</v>
      </c>
      <c r="N260" s="30" t="str">
        <f ca="1">IFERROR(__xludf.DUMMYFUNCTION("""COMPUTED_VALUE"""),"Visita Mediada")</f>
        <v>Visita Mediada</v>
      </c>
      <c r="O260" s="30" t="str">
        <f ca="1">IFERROR(__xludf.DUMMYFUNCTION("""COMPUTED_VALUE"""),"Única")</f>
        <v>Única</v>
      </c>
      <c r="P260" s="33">
        <f ca="1">IFERROR(__xludf.DUMMYFUNCTION("""COMPUTED_VALUE"""),46226)</f>
        <v>46226</v>
      </c>
      <c r="Q260" s="33">
        <f ca="1">IFERROR(__xludf.DUMMYFUNCTION("""COMPUTED_VALUE"""),46226)</f>
        <v>46226</v>
      </c>
      <c r="R260" s="30">
        <f ca="1">IFERROR(__xludf.DUMMYFUNCTION("""COMPUTED_VALUE"""),1)</f>
        <v>1</v>
      </c>
      <c r="S260" s="30" t="str">
        <f ca="1">IFERROR(__xludf.DUMMYFUNCTION("""COMPUTED_VALUE"""),"Cultura comunitaria")</f>
        <v>Cultura comunitaria</v>
      </c>
      <c r="T260" s="30" t="str">
        <f ca="1">IFERROR(__xludf.DUMMYFUNCTION("""COMPUTED_VALUE"""),"Mediación cultural")</f>
        <v>Mediación cultural</v>
      </c>
      <c r="U260" s="30" t="str">
        <f ca="1">IFERROR(__xludf.DUMMYFUNCTION("""COMPUTED_VALUE"""),"Visitas guiadas")</f>
        <v>Visitas guiadas</v>
      </c>
      <c r="V260" s="30" t="str">
        <f ca="1">IFERROR(__xludf.DUMMYFUNCTION("""COMPUTED_VALUE"""),"Ninguna")</f>
        <v>Ninguna</v>
      </c>
      <c r="W260" s="30" t="str">
        <f ca="1">IFERROR(__xludf.DUMMYFUNCTION("""COMPUTED_VALUE"""),"Presencial")</f>
        <v>Presencial</v>
      </c>
      <c r="X260" s="30" t="str">
        <f ca="1">IFERROR(__xludf.DUMMYFUNCTION("""COMPUTED_VALUE"""),"Espacio a Cargo de la Secretaría")</f>
        <v>Espacio a Cargo de la Secretaría</v>
      </c>
      <c r="Y260" s="30" t="str">
        <f ca="1">IFERROR(__xludf.DUMMYFUNCTION("""COMPUTED_VALUE"""),"Museo de Arte e Historia de Guanajuato, sala Feliciano Peña")</f>
        <v>Museo de Arte e Historia de Guanajuato, sala Feliciano Peña</v>
      </c>
      <c r="Z260" s="30"/>
      <c r="AA260" s="30"/>
      <c r="AB260" s="30" t="b">
        <f ca="1">IFERROR(__xludf.DUMMYFUNCTION("""COMPUTED_VALUE"""),FALSE)</f>
        <v>0</v>
      </c>
      <c r="AC260" s="30"/>
      <c r="AD260" s="30" t="b">
        <f ca="1">IFERROR(__xludf.DUMMYFUNCTION("""COMPUTED_VALUE"""),FALSE)</f>
        <v>0</v>
      </c>
      <c r="AE260" s="30"/>
      <c r="AF260" s="30" t="b">
        <f ca="1">IFERROR(__xludf.DUMMYFUNCTION("""COMPUTED_VALUE"""),FALSE)</f>
        <v>0</v>
      </c>
      <c r="AG260" s="30"/>
      <c r="AH260" s="30" t="str">
        <f ca="1">IFERROR(__xludf.DUMMYFUNCTION("""COMPUTED_VALUE"""),"Sin costo")</f>
        <v>Sin costo</v>
      </c>
      <c r="AI260" s="30"/>
      <c r="AJ260" s="30"/>
      <c r="AK260" s="30"/>
      <c r="AL260" s="30" t="str">
        <f ca="1">IFERROR(__xludf.DUMMYFUNCTION("""COMPUTED_VALUE"""),"ccardonav@guanajuato.gob.mx")</f>
        <v>ccardonav@guanajuato.gob.mx</v>
      </c>
      <c r="AM260" s="30" t="str">
        <f ca="1">IFERROR(__xludf.DUMMYFUNCTION("""COMPUTED_VALUE"""),"Arraigo y empoderamiento cultural de comunidades.")</f>
        <v>Arraigo y empoderamiento cultural de comunidades.</v>
      </c>
      <c r="AN260" s="30" t="str">
        <f ca="1">IFERROR(__xludf.DUMMYFUNCTION("""COMPUTED_VALUE"""),"2 Igualdad")</f>
        <v>2 Igualdad</v>
      </c>
      <c r="AO260" s="30" t="str">
        <f ca="1">IFERROR(__xludf.DUMMYFUNCTION("""COMPUTED_VALUE"""),"2.4 Reducir brechas de desigualdad")</f>
        <v>2.4 Reducir brechas de desigualdad</v>
      </c>
      <c r="AP260" s="30" t="str">
        <f ca="1">IFERROR(__xludf.DUMMYFUNCTION("""COMPUTED_VALUE"""),"2.4.3 Descentralización de la oferta cultural")</f>
        <v>2.4.3 Descentralización de la oferta cultural</v>
      </c>
      <c r="AQ260" s="30" t="str">
        <f ca="1">IFERROR(__xludf.DUMMYFUNCTION("""COMPUTED_VALUE"""),"2.4.3.1 Impulsar el desarrollo artístico y cultural entre infancias y juventudes")</f>
        <v>2.4.3.1 Impulsar el desarrollo artístico y cultural entre infancias y juventudes</v>
      </c>
      <c r="AR260" s="30" t="str">
        <f ca="1">IFERROR(__xludf.DUMMYFUNCTION("""COMPUTED_VALUE"""),"Ninguno")</f>
        <v>Ninguno</v>
      </c>
      <c r="AS260" s="30"/>
      <c r="AT260" s="30" t="str">
        <f ca="1">IFERROR(__xludf.DUMMYFUNCTION("""COMPUTED_VALUE"""),"Fortalecimiento de la participación ciudadana y la mediación cultural")</f>
        <v>Fortalecimiento de la participación ciudadana y la mediación cultural</v>
      </c>
      <c r="AU260" s="30" t="str">
        <f ca="1">IFERROR(__xludf.DUMMYFUNCTION("""COMPUTED_VALUE"""),"Fortalecimiento del diálogo, la mediación y las capacidades de las redes comunitarias.")</f>
        <v>Fortalecimiento del diálogo, la mediación y las capacidades de las redes comunitarias.</v>
      </c>
      <c r="AV260"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0" s="30" t="str">
        <f ca="1">IFERROR(__xludf.DUMMYFUNCTION("""COMPUTED_VALUE"""),"Incrementar en 25% la oferta cultural realizada en los municipios.")</f>
        <v>Incrementar en 25% la oferta cultural realizada en los municipios.</v>
      </c>
      <c r="AX260" s="30" t="str">
        <f ca="1">IFERROR(__xludf.DUMMYFUNCTION("""COMPUTED_VALUE"""),"Visitas guiadas")</f>
        <v>Visitas guiadas</v>
      </c>
      <c r="AY260" s="30" t="str">
        <f ca="1">IFERROR(__xludf.DUMMYFUNCTION("""COMPUTED_VALUE"""),"Mediación")</f>
        <v>Mediación</v>
      </c>
      <c r="AZ260" s="30"/>
      <c r="BA260" s="30"/>
      <c r="BB260" s="30"/>
      <c r="BC260" s="30">
        <f ca="1">IFERROR(__xludf.DUMMYFUNCTION("""COMPUTED_VALUE"""),0)</f>
        <v>0</v>
      </c>
      <c r="BD260" s="30"/>
      <c r="BE260" s="30"/>
      <c r="BF260" s="30" t="b">
        <f ca="1">IFERROR(__xludf.DUMMYFUNCTION("""COMPUTED_VALUE"""),FALSE)</f>
        <v>0</v>
      </c>
      <c r="BG260" s="30"/>
      <c r="BH260" s="30"/>
      <c r="BI260" s="30"/>
      <c r="BJ260" s="30"/>
      <c r="BK260" s="30"/>
      <c r="BL260" s="30"/>
      <c r="BM260" s="30" t="str">
        <f ca="1">IFERROR(__xludf.DUMMYFUNCTION("""COMPUTED_VALUE"""),"No")</f>
        <v>No</v>
      </c>
      <c r="BN260" s="30"/>
      <c r="BO260" s="30" t="str">
        <f ca="1">IFERROR(__xludf.DUMMYFUNCTION("""COMPUTED_VALUE"""),"ee46ec4a")</f>
        <v>ee46ec4a</v>
      </c>
      <c r="BP260" s="29" t="str">
        <f ca="1">IFERROR(__xludf.DUMMYFUNCTION("""COMPUTED_VALUE"""),"León")</f>
        <v>León</v>
      </c>
      <c r="BQ260" s="30" t="str">
        <f ca="1">IFERROR(__xludf.DUMMYFUNCTION("""COMPUTED_VALUE"""),"Urbano")</f>
        <v>Urbano</v>
      </c>
      <c r="BR260" s="30"/>
      <c r="BS260" s="30"/>
      <c r="BT260" s="30"/>
      <c r="BU260" s="30" t="str">
        <f ca="1">IFERROR(__xludf.DUMMYFUNCTION("""COMPUTED_VALUE"""),"No")</f>
        <v>No</v>
      </c>
      <c r="BV260" s="30" t="str">
        <f ca="1">IFERROR(__xludf.DUMMYFUNCTION("""COMPUTED_VALUE"""),"No")</f>
        <v>No</v>
      </c>
      <c r="BW260" s="30">
        <f ca="1">IFERROR(__xludf.DUMMYFUNCTION("""COMPUTED_VALUE"""),49)</f>
        <v>49</v>
      </c>
      <c r="BX260" s="30"/>
      <c r="BY260" s="30">
        <f ca="1">IFERROR(__xludf.DUMMYFUNCTION("""COMPUTED_VALUE"""),49)</f>
        <v>49</v>
      </c>
      <c r="BZ260" s="30"/>
      <c r="CA260" s="30" t="str">
        <f ca="1">IFERROR(__xludf.DUMMYFUNCTION("""COMPUTED_VALUE"""),"No")</f>
        <v>No</v>
      </c>
      <c r="CB260" s="30" t="str">
        <f ca="1">IFERROR(__xludf.DUMMYFUNCTION("""COMPUTED_VALUE"""),"No")</f>
        <v>No</v>
      </c>
      <c r="CC260" s="30" t="str">
        <f ca="1">IFERROR(__xludf.DUMMYFUNCTION("""COMPUTED_VALUE"""),"5ee163b4")</f>
        <v>5ee163b4</v>
      </c>
      <c r="CD260" s="29" t="str">
        <f ca="1">IFERROR(__xludf.DUMMYFUNCTION("""COMPUTED_VALUE"""),"Primera Infancia (0 a 5 años)")</f>
        <v>Primera Infancia (0 a 5 años)</v>
      </c>
      <c r="CE260" s="30" t="str">
        <f ca="1">IFERROR(__xludf.DUMMYFUNCTION("""COMPUTED_VALUE"""),"Dato global")</f>
        <v>Dato global</v>
      </c>
      <c r="CF260" s="30" t="str">
        <f ca="1">IFERROR(__xludf.DUMMYFUNCTION("""COMPUTED_VALUE"""),"Ninguno (Población General)")</f>
        <v>Ninguno (Población General)</v>
      </c>
      <c r="CG260" s="30">
        <f ca="1">IFERROR(__xludf.DUMMYFUNCTION("""COMPUTED_VALUE"""),29)</f>
        <v>29</v>
      </c>
      <c r="CI260" s="30" t="str">
        <f ca="1">IFERROR(__xludf.DUMMYFUNCTION("""COMPUTED_VALUE"""),"b87f0f67")</f>
        <v>b87f0f67</v>
      </c>
      <c r="CJ260" s="29" t="str">
        <f ca="1">IFERROR(__xludf.DUMMYFUNCTION("""COMPUTED_VALUE"""),"Regitro_Evidencia_Images/b87f0f67.Archivo_Evidencia.224741.jpg")</f>
        <v>Regitro_Evidencia_Images/b87f0f67.Archivo_Evidencia.224741.jpg</v>
      </c>
      <c r="CK260" s="30" t="str">
        <f ca="1">IFERROR(__xludf.DUMMYFUNCTION("""COMPUTED_VALUE"""),"Foto")</f>
        <v>Foto</v>
      </c>
      <c r="CL260" s="30" t="str">
        <f ca="1">IFERROR(__xludf.DUMMYFUNCTION("""COMPUTED_VALUE"""),"Evidencia de la participación en las sesiones impartidas.")</f>
        <v>Evidencia de la participación en las sesiones impartidas.</v>
      </c>
      <c r="CM260" s="30" t="str">
        <f ca="1">IFERROR(__xludf.DUMMYFUNCTION("""COMPUTED_VALUE"""),"León")</f>
        <v>León</v>
      </c>
      <c r="CN260" s="32" t="e">
        <f ca="1"/>
        <v>#NAME?</v>
      </c>
      <c r="CO260" s="32" t="e">
        <f ca="1"/>
        <v>#NAME?</v>
      </c>
      <c r="CP260" s="32" t="e">
        <f ca="1"/>
        <v>#NAME?</v>
      </c>
      <c r="CQ260" s="32" t="e">
        <f ca="1"/>
        <v>#NAME?</v>
      </c>
      <c r="CR260" s="30" t="e">
        <f ca="1"/>
        <v>#NAME?</v>
      </c>
      <c r="CS260" s="30" t="str">
        <f ca="1">IFERROR(__xludf.DUMMYFUNCTION("""COMPUTED_VALUE"""),"Ninguno (Población General)")</f>
        <v>Ninguno (Población General)</v>
      </c>
    </row>
    <row r="261" spans="1:97" ht="13">
      <c r="A261" s="29" t="str">
        <f ca="1">IFERROR(__xludf.DUMMYFUNCTION("""COMPUTED_VALUE"""),"ACT-SCIO65695")</f>
        <v>ACT-SCIO65695</v>
      </c>
      <c r="B261" s="30" t="str">
        <f ca="1">IFERROR(__xludf.DUMMYFUNCTION("""COMPUTED_VALUE"""),"SC-260813-160926")</f>
        <v>SC-260813-160926</v>
      </c>
      <c r="C261" s="62">
        <f ca="1">IFERROR(__xludf.DUMMYFUNCTION("""COMPUTED_VALUE"""),46247.6732175925)</f>
        <v>46247.673217592499</v>
      </c>
      <c r="D261" s="30">
        <f ca="1">IFERROR(__xludf.DUMMYFUNCTION("""COMPUTED_VALUE"""),92)</f>
        <v>92</v>
      </c>
      <c r="E261" s="30" t="str">
        <f ca="1">IFERROR(__xludf.DUMMYFUNCTION("""COMPUTED_VALUE"""),"PB3572")</f>
        <v>PB3572</v>
      </c>
      <c r="F26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1" s="30" t="str">
        <f ca="1">IFERROR(__xludf.DUMMYFUNCTION("""COMPUTED_VALUE"""),"SUBSECRETARÍA DE DESARROLLO Y PROMOCIÓN ARTÍSTICA Y CULTURAL")</f>
        <v>SUBSECRETARÍA DE DESARROLLO Y PROMOCIÓN ARTÍSTICA Y CULTURAL</v>
      </c>
      <c r="I261" s="34" t="str">
        <f ca="1">IFERROR(__xludf.DUMMYFUNCTION("""COMPUTED_VALUE"""),"DIRECCIÓN GENERAL DE MUSEOS, ARTES VISUALES Y EXPOSICIONES")</f>
        <v>DIRECCIÓN GENERAL DE MUSEOS, ARTES VISUALES Y EXPOSICIONES</v>
      </c>
      <c r="J261" s="30" t="str">
        <f ca="1">IFERROR(__xludf.DUMMYFUNCTION("""COMPUTED_VALUE"""),"Número de Actividades realizadas")</f>
        <v>Número de Actividades realizadas</v>
      </c>
      <c r="K261" s="30">
        <f ca="1">IFERROR(__xludf.DUMMYFUNCTION("""COMPUTED_VALUE"""),800)</f>
        <v>800</v>
      </c>
      <c r="L261" s="30" t="str">
        <f ca="1">IFERROR(__xludf.DUMMYFUNCTION("""COMPUTED_VALUE"""),"Cultural")</f>
        <v>Cultural</v>
      </c>
      <c r="M261" s="30" t="str">
        <f ca="1">IFERROR(__xludf.DUMMYFUNCTION("""COMPUTED_VALUE"""),"Visita Libre")</f>
        <v>Visita Libre</v>
      </c>
      <c r="N261" s="30" t="str">
        <f ca="1">IFERROR(__xludf.DUMMYFUNCTION("""COMPUTED_VALUE"""),"Visita Mediada")</f>
        <v>Visita Mediada</v>
      </c>
      <c r="O261" s="30" t="str">
        <f ca="1">IFERROR(__xludf.DUMMYFUNCTION("""COMPUTED_VALUE"""),"Única")</f>
        <v>Única</v>
      </c>
      <c r="P261" s="33">
        <f ca="1">IFERROR(__xludf.DUMMYFUNCTION("""COMPUTED_VALUE"""),46226)</f>
        <v>46226</v>
      </c>
      <c r="Q261" s="33">
        <f ca="1">IFERROR(__xludf.DUMMYFUNCTION("""COMPUTED_VALUE"""),46226)</f>
        <v>46226</v>
      </c>
      <c r="R261" s="30">
        <f ca="1">IFERROR(__xludf.DUMMYFUNCTION("""COMPUTED_VALUE"""),1)</f>
        <v>1</v>
      </c>
      <c r="S261" s="30" t="str">
        <f ca="1">IFERROR(__xludf.DUMMYFUNCTION("""COMPUTED_VALUE"""),"Cultura comunitaria")</f>
        <v>Cultura comunitaria</v>
      </c>
      <c r="T261" s="30" t="str">
        <f ca="1">IFERROR(__xludf.DUMMYFUNCTION("""COMPUTED_VALUE"""),"Mediación cultural")</f>
        <v>Mediación cultural</v>
      </c>
      <c r="U261" s="30" t="str">
        <f ca="1">IFERROR(__xludf.DUMMYFUNCTION("""COMPUTED_VALUE"""),"Visitas guiadas")</f>
        <v>Visitas guiadas</v>
      </c>
      <c r="V261" s="30" t="str">
        <f ca="1">IFERROR(__xludf.DUMMYFUNCTION("""COMPUTED_VALUE"""),"Ninguna")</f>
        <v>Ninguna</v>
      </c>
      <c r="W261" s="30" t="str">
        <f ca="1">IFERROR(__xludf.DUMMYFUNCTION("""COMPUTED_VALUE"""),"Presencial")</f>
        <v>Presencial</v>
      </c>
      <c r="X261" s="30" t="str">
        <f ca="1">IFERROR(__xludf.DUMMYFUNCTION("""COMPUTED_VALUE"""),"Espacio a Cargo de la Secretaría")</f>
        <v>Espacio a Cargo de la Secretaría</v>
      </c>
      <c r="Y261" s="30" t="str">
        <f ca="1">IFERROR(__xludf.DUMMYFUNCTION("""COMPUTED_VALUE"""),"Museo de Arte e Historia de Guanajuato, sala Feliciano Peña")</f>
        <v>Museo de Arte e Historia de Guanajuato, sala Feliciano Peña</v>
      </c>
      <c r="Z261" s="30"/>
      <c r="AA261" s="30"/>
      <c r="AB261" s="30" t="b">
        <f ca="1">IFERROR(__xludf.DUMMYFUNCTION("""COMPUTED_VALUE"""),FALSE)</f>
        <v>0</v>
      </c>
      <c r="AC261" s="30"/>
      <c r="AD261" s="30" t="b">
        <f ca="1">IFERROR(__xludf.DUMMYFUNCTION("""COMPUTED_VALUE"""),FALSE)</f>
        <v>0</v>
      </c>
      <c r="AE261" s="30"/>
      <c r="AF261" s="30" t="b">
        <f ca="1">IFERROR(__xludf.DUMMYFUNCTION("""COMPUTED_VALUE"""),FALSE)</f>
        <v>0</v>
      </c>
      <c r="AG261" s="30"/>
      <c r="AH261" s="30" t="str">
        <f ca="1">IFERROR(__xludf.DUMMYFUNCTION("""COMPUTED_VALUE"""),"Sin costo")</f>
        <v>Sin costo</v>
      </c>
      <c r="AI261" s="30"/>
      <c r="AJ261" s="30"/>
      <c r="AK261" s="30"/>
      <c r="AL261" s="30" t="str">
        <f ca="1">IFERROR(__xludf.DUMMYFUNCTION("""COMPUTED_VALUE"""),"ccardonav@guanajuato.gob.mx")</f>
        <v>ccardonav@guanajuato.gob.mx</v>
      </c>
      <c r="AM261" s="30" t="str">
        <f ca="1">IFERROR(__xludf.DUMMYFUNCTION("""COMPUTED_VALUE"""),"Arraigo y empoderamiento cultural de comunidades.")</f>
        <v>Arraigo y empoderamiento cultural de comunidades.</v>
      </c>
      <c r="AN261" s="30" t="str">
        <f ca="1">IFERROR(__xludf.DUMMYFUNCTION("""COMPUTED_VALUE"""),"2 Igualdad")</f>
        <v>2 Igualdad</v>
      </c>
      <c r="AO261" s="30" t="str">
        <f ca="1">IFERROR(__xludf.DUMMYFUNCTION("""COMPUTED_VALUE"""),"2.4 Reducir brechas de desigualdad")</f>
        <v>2.4 Reducir brechas de desigualdad</v>
      </c>
      <c r="AP261" s="30" t="str">
        <f ca="1">IFERROR(__xludf.DUMMYFUNCTION("""COMPUTED_VALUE"""),"2.4.3 Descentralización de la oferta cultural")</f>
        <v>2.4.3 Descentralización de la oferta cultural</v>
      </c>
      <c r="AQ261" s="30" t="str">
        <f ca="1">IFERROR(__xludf.DUMMYFUNCTION("""COMPUTED_VALUE"""),"2.4.3.1 Impulsar el desarrollo artístico y cultural entre infancias y juventudes")</f>
        <v>2.4.3.1 Impulsar el desarrollo artístico y cultural entre infancias y juventudes</v>
      </c>
      <c r="AR261" s="30" t="str">
        <f ca="1">IFERROR(__xludf.DUMMYFUNCTION("""COMPUTED_VALUE"""),"Ninguno")</f>
        <v>Ninguno</v>
      </c>
      <c r="AS261" s="30"/>
      <c r="AT261" s="30" t="str">
        <f ca="1">IFERROR(__xludf.DUMMYFUNCTION("""COMPUTED_VALUE"""),"Fortalecimiento de la participación ciudadana y la mediación cultural")</f>
        <v>Fortalecimiento de la participación ciudadana y la mediación cultural</v>
      </c>
      <c r="AU261" s="30" t="str">
        <f ca="1">IFERROR(__xludf.DUMMYFUNCTION("""COMPUTED_VALUE"""),"Fortalecimiento del diálogo, la mediación y las capacidades de las redes comunitarias.")</f>
        <v>Fortalecimiento del diálogo, la mediación y las capacidades de las redes comunitarias.</v>
      </c>
      <c r="AV26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1" s="30" t="str">
        <f ca="1">IFERROR(__xludf.DUMMYFUNCTION("""COMPUTED_VALUE"""),"Incrementar en 25% la oferta cultural realizada en los municipios.")</f>
        <v>Incrementar en 25% la oferta cultural realizada en los municipios.</v>
      </c>
      <c r="AX261" s="30" t="str">
        <f ca="1">IFERROR(__xludf.DUMMYFUNCTION("""COMPUTED_VALUE"""),"Visitas guiadas")</f>
        <v>Visitas guiadas</v>
      </c>
      <c r="AY261" s="30" t="str">
        <f ca="1">IFERROR(__xludf.DUMMYFUNCTION("""COMPUTED_VALUE"""),"Mediación")</f>
        <v>Mediación</v>
      </c>
      <c r="AZ261" s="30"/>
      <c r="BA261" s="30"/>
      <c r="BB261" s="30"/>
      <c r="BC261" s="30">
        <f ca="1">IFERROR(__xludf.DUMMYFUNCTION("""COMPUTED_VALUE"""),0)</f>
        <v>0</v>
      </c>
      <c r="BD261" s="30"/>
      <c r="BE261" s="30"/>
      <c r="BF261" s="30" t="b">
        <f ca="1">IFERROR(__xludf.DUMMYFUNCTION("""COMPUTED_VALUE"""),FALSE)</f>
        <v>0</v>
      </c>
      <c r="BG261" s="30"/>
      <c r="BH261" s="30"/>
      <c r="BI261" s="30"/>
      <c r="BJ261" s="30"/>
      <c r="BK261" s="30"/>
      <c r="BL261" s="30"/>
      <c r="BM261" s="30" t="str">
        <f ca="1">IFERROR(__xludf.DUMMYFUNCTION("""COMPUTED_VALUE"""),"No")</f>
        <v>No</v>
      </c>
      <c r="BN261" s="30"/>
      <c r="BO261" s="30" t="str">
        <f ca="1">IFERROR(__xludf.DUMMYFUNCTION("""COMPUTED_VALUE"""),"3ea8800b")</f>
        <v>3ea8800b</v>
      </c>
      <c r="BP261" s="29" t="str">
        <f ca="1">IFERROR(__xludf.DUMMYFUNCTION("""COMPUTED_VALUE"""),"León")</f>
        <v>León</v>
      </c>
      <c r="BQ261" s="30" t="str">
        <f ca="1">IFERROR(__xludf.DUMMYFUNCTION("""COMPUTED_VALUE"""),"Urbano")</f>
        <v>Urbano</v>
      </c>
      <c r="BR261" s="30"/>
      <c r="BS261" s="30"/>
      <c r="BT261" s="30"/>
      <c r="BU261" s="30" t="str">
        <f ca="1">IFERROR(__xludf.DUMMYFUNCTION("""COMPUTED_VALUE"""),"No")</f>
        <v>No</v>
      </c>
      <c r="BV261" s="30" t="str">
        <f ca="1">IFERROR(__xludf.DUMMYFUNCTION("""COMPUTED_VALUE"""),"No")</f>
        <v>No</v>
      </c>
      <c r="BW261" s="30">
        <f ca="1">IFERROR(__xludf.DUMMYFUNCTION("""COMPUTED_VALUE"""),49)</f>
        <v>49</v>
      </c>
      <c r="BX261" s="30"/>
      <c r="BY261" s="30">
        <f ca="1">IFERROR(__xludf.DUMMYFUNCTION("""COMPUTED_VALUE"""),49)</f>
        <v>49</v>
      </c>
      <c r="BZ261" s="30"/>
      <c r="CA261" s="30" t="str">
        <f ca="1">IFERROR(__xludf.DUMMYFUNCTION("""COMPUTED_VALUE"""),"No")</f>
        <v>No</v>
      </c>
      <c r="CB261" s="30" t="str">
        <f ca="1">IFERROR(__xludf.DUMMYFUNCTION("""COMPUTED_VALUE"""),"No")</f>
        <v>No</v>
      </c>
      <c r="CC261" s="30" t="str">
        <f ca="1">IFERROR(__xludf.DUMMYFUNCTION("""COMPUTED_VALUE"""),"b6b98204")</f>
        <v>b6b98204</v>
      </c>
      <c r="CD261" s="29" t="str">
        <f ca="1">IFERROR(__xludf.DUMMYFUNCTION("""COMPUTED_VALUE"""),"Adultos (30 a 59 años)")</f>
        <v>Adultos (30 a 59 años)</v>
      </c>
      <c r="CE261" s="30" t="str">
        <f ca="1">IFERROR(__xludf.DUMMYFUNCTION("""COMPUTED_VALUE"""),"Dato global")</f>
        <v>Dato global</v>
      </c>
      <c r="CF261" s="30" t="str">
        <f ca="1">IFERROR(__xludf.DUMMYFUNCTION("""COMPUTED_VALUE"""),"Ninguno (Población General)")</f>
        <v>Ninguno (Población General)</v>
      </c>
      <c r="CG261" s="30">
        <f ca="1">IFERROR(__xludf.DUMMYFUNCTION("""COMPUTED_VALUE"""),5)</f>
        <v>5</v>
      </c>
      <c r="CI261" s="30" t="str">
        <f ca="1">IFERROR(__xludf.DUMMYFUNCTION("""COMPUTED_VALUE"""),"2d05d638")</f>
        <v>2d05d638</v>
      </c>
      <c r="CJ261" s="29" t="str">
        <f ca="1">IFERROR(__xludf.DUMMYFUNCTION("""COMPUTED_VALUE"""),"Regitro_Evidencia_Images/2d05d638.Archivo_Evidencia.224746.jpg")</f>
        <v>Regitro_Evidencia_Images/2d05d638.Archivo_Evidencia.224746.jpg</v>
      </c>
      <c r="CK261" s="30" t="str">
        <f ca="1">IFERROR(__xludf.DUMMYFUNCTION("""COMPUTED_VALUE"""),"Foto")</f>
        <v>Foto</v>
      </c>
      <c r="CL261" s="30"/>
      <c r="CM261" s="30" t="str">
        <f ca="1">IFERROR(__xludf.DUMMYFUNCTION("""COMPUTED_VALUE"""),"León")</f>
        <v>León</v>
      </c>
      <c r="CN261" s="32" t="e">
        <f ca="1"/>
        <v>#NAME?</v>
      </c>
      <c r="CO261" s="32" t="e">
        <f ca="1"/>
        <v>#NAME?</v>
      </c>
      <c r="CP261" s="32" t="e">
        <f ca="1"/>
        <v>#NAME?</v>
      </c>
      <c r="CQ261" s="32" t="e">
        <f ca="1"/>
        <v>#NAME?</v>
      </c>
      <c r="CR261" s="30" t="e">
        <f ca="1"/>
        <v>#NAME?</v>
      </c>
      <c r="CS261" s="30" t="str">
        <f ca="1">IFERROR(__xludf.DUMMYFUNCTION("""COMPUTED_VALUE"""),"Ninguno (Población General)")</f>
        <v>Ninguno (Población General)</v>
      </c>
    </row>
    <row r="262" spans="1:97" ht="13">
      <c r="A262" s="29" t="str">
        <f ca="1">IFERROR(__xludf.DUMMYFUNCTION("""COMPUTED_VALUE"""),"ACT-SCVZ90691")</f>
        <v>ACT-SCVZ90691</v>
      </c>
      <c r="B262" s="30" t="str">
        <f ca="1">IFERROR(__xludf.DUMMYFUNCTION("""COMPUTED_VALUE"""),"SC-260814-100629")</f>
        <v>SC-260814-100629</v>
      </c>
      <c r="C262" s="62">
        <f ca="1">IFERROR(__xludf.DUMMYFUNCTION("""COMPUTED_VALUE"""),46248.4211689814)</f>
        <v>46248.421168981396</v>
      </c>
      <c r="D262" s="30">
        <f ca="1">IFERROR(__xludf.DUMMYFUNCTION("""COMPUTED_VALUE"""),92)</f>
        <v>92</v>
      </c>
      <c r="E262" s="30" t="str">
        <f ca="1">IFERROR(__xludf.DUMMYFUNCTION("""COMPUTED_VALUE"""),"PB3572")</f>
        <v>PB3572</v>
      </c>
      <c r="F26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2" s="30" t="str">
        <f ca="1">IFERROR(__xludf.DUMMYFUNCTION("""COMPUTED_VALUE"""),"SUBSECRETARÍA DE DESARROLLO Y PROMOCIÓN ARTÍSTICA Y CULTURAL")</f>
        <v>SUBSECRETARÍA DE DESARROLLO Y PROMOCIÓN ARTÍSTICA Y CULTURAL</v>
      </c>
      <c r="I262" s="34" t="str">
        <f ca="1">IFERROR(__xludf.DUMMYFUNCTION("""COMPUTED_VALUE"""),"DIRECCIÓN GENERAL DE MUSEOS, ARTES VISUALES Y EXPOSICIONES")</f>
        <v>DIRECCIÓN GENERAL DE MUSEOS, ARTES VISUALES Y EXPOSICIONES</v>
      </c>
      <c r="J262" s="30" t="str">
        <f ca="1">IFERROR(__xludf.DUMMYFUNCTION("""COMPUTED_VALUE"""),"Número de Actividades realizadas")</f>
        <v>Número de Actividades realizadas</v>
      </c>
      <c r="K262" s="30">
        <f ca="1">IFERROR(__xludf.DUMMYFUNCTION("""COMPUTED_VALUE"""),800)</f>
        <v>800</v>
      </c>
      <c r="L262" s="30" t="str">
        <f ca="1">IFERROR(__xludf.DUMMYFUNCTION("""COMPUTED_VALUE"""),"Cultural")</f>
        <v>Cultural</v>
      </c>
      <c r="M262" s="30" t="str">
        <f ca="1">IFERROR(__xludf.DUMMYFUNCTION("""COMPUTED_VALUE"""),"Visita ""BIBLIOTECA ALFONSO VILLASEÑOR SÖLE""")</f>
        <v>Visita "BIBLIOTECA ALFONSO VILLASEÑOR SÖLE"</v>
      </c>
      <c r="N262" s="30" t="str">
        <f ca="1">IFERROR(__xludf.DUMMYFUNCTION("""COMPUTED_VALUE"""),"Visita Mediada")</f>
        <v>Visita Mediada</v>
      </c>
      <c r="O262" s="30" t="str">
        <f ca="1">IFERROR(__xludf.DUMMYFUNCTION("""COMPUTED_VALUE"""),"Única")</f>
        <v>Única</v>
      </c>
      <c r="P262" s="33">
        <f ca="1">IFERROR(__xludf.DUMMYFUNCTION("""COMPUTED_VALUE"""),46226)</f>
        <v>46226</v>
      </c>
      <c r="Q262" s="33">
        <f ca="1">IFERROR(__xludf.DUMMYFUNCTION("""COMPUTED_VALUE"""),46226)</f>
        <v>46226</v>
      </c>
      <c r="R262" s="30">
        <f ca="1">IFERROR(__xludf.DUMMYFUNCTION("""COMPUTED_VALUE"""),1)</f>
        <v>1</v>
      </c>
      <c r="S262" s="30" t="str">
        <f ca="1">IFERROR(__xludf.DUMMYFUNCTION("""COMPUTED_VALUE"""),"Cultura comunitaria")</f>
        <v>Cultura comunitaria</v>
      </c>
      <c r="T262" s="30" t="str">
        <f ca="1">IFERROR(__xludf.DUMMYFUNCTION("""COMPUTED_VALUE"""),"Mediación cultural")</f>
        <v>Mediación cultural</v>
      </c>
      <c r="U262" s="30" t="str">
        <f ca="1">IFERROR(__xludf.DUMMYFUNCTION("""COMPUTED_VALUE"""),"Visitas escolares")</f>
        <v>Visitas escolares</v>
      </c>
      <c r="V262" s="30" t="str">
        <f ca="1">IFERROR(__xludf.DUMMYFUNCTION("""COMPUTED_VALUE"""),"Ninguna")</f>
        <v>Ninguna</v>
      </c>
      <c r="W262" s="30" t="str">
        <f ca="1">IFERROR(__xludf.DUMMYFUNCTION("""COMPUTED_VALUE"""),"Presencial")</f>
        <v>Presencial</v>
      </c>
      <c r="X262" s="30" t="str">
        <f ca="1">IFERROR(__xludf.DUMMYFUNCTION("""COMPUTED_VALUE"""),"Espacio a Cargo de la Secretaría")</f>
        <v>Espacio a Cargo de la Secretaría</v>
      </c>
      <c r="Y262" s="30" t="str">
        <f ca="1">IFERROR(__xludf.DUMMYFUNCTION("""COMPUTED_VALUE"""),"Museo de Arte e Historia de Guanajuato, sala Feliciano Peña")</f>
        <v>Museo de Arte e Historia de Guanajuato, sala Feliciano Peña</v>
      </c>
      <c r="Z262" s="30"/>
      <c r="AA262" s="30"/>
      <c r="AB262" s="30" t="b">
        <f ca="1">IFERROR(__xludf.DUMMYFUNCTION("""COMPUTED_VALUE"""),FALSE)</f>
        <v>0</v>
      </c>
      <c r="AC262" s="30"/>
      <c r="AD262" s="30" t="b">
        <f ca="1">IFERROR(__xludf.DUMMYFUNCTION("""COMPUTED_VALUE"""),FALSE)</f>
        <v>0</v>
      </c>
      <c r="AE262" s="30"/>
      <c r="AF262" s="30" t="b">
        <f ca="1">IFERROR(__xludf.DUMMYFUNCTION("""COMPUTED_VALUE"""),FALSE)</f>
        <v>0</v>
      </c>
      <c r="AG262" s="30"/>
      <c r="AH262" s="30" t="str">
        <f ca="1">IFERROR(__xludf.DUMMYFUNCTION("""COMPUTED_VALUE"""),"Sin costo")</f>
        <v>Sin costo</v>
      </c>
      <c r="AI262" s="30"/>
      <c r="AJ262" s="30"/>
      <c r="AK262" s="30"/>
      <c r="AL262" s="30" t="str">
        <f ca="1">IFERROR(__xludf.DUMMYFUNCTION("""COMPUTED_VALUE"""),"ccardonav@guanajuato.gob.mx")</f>
        <v>ccardonav@guanajuato.gob.mx</v>
      </c>
      <c r="AM262" s="30" t="str">
        <f ca="1">IFERROR(__xludf.DUMMYFUNCTION("""COMPUTED_VALUE"""),"Arraigo y empoderamiento cultural de comunidades.")</f>
        <v>Arraigo y empoderamiento cultural de comunidades.</v>
      </c>
      <c r="AN262" s="30" t="str">
        <f ca="1">IFERROR(__xludf.DUMMYFUNCTION("""COMPUTED_VALUE"""),"2 Igualdad")</f>
        <v>2 Igualdad</v>
      </c>
      <c r="AO262" s="30" t="str">
        <f ca="1">IFERROR(__xludf.DUMMYFUNCTION("""COMPUTED_VALUE"""),"2.4 Reducir brechas de desigualdad")</f>
        <v>2.4 Reducir brechas de desigualdad</v>
      </c>
      <c r="AP262" s="30" t="str">
        <f ca="1">IFERROR(__xludf.DUMMYFUNCTION("""COMPUTED_VALUE"""),"2.4.3 Descentralización de la oferta cultural")</f>
        <v>2.4.3 Descentralización de la oferta cultural</v>
      </c>
      <c r="AQ262" s="30" t="str">
        <f ca="1">IFERROR(__xludf.DUMMYFUNCTION("""COMPUTED_VALUE"""),"2.4.3.1 Impulsar el desarrollo artístico y cultural entre infancias y juventudes")</f>
        <v>2.4.3.1 Impulsar el desarrollo artístico y cultural entre infancias y juventudes</v>
      </c>
      <c r="AR262" s="30" t="str">
        <f ca="1">IFERROR(__xludf.DUMMYFUNCTION("""COMPUTED_VALUE"""),"Ninguno")</f>
        <v>Ninguno</v>
      </c>
      <c r="AS262" s="30"/>
      <c r="AT262" s="30" t="str">
        <f ca="1">IFERROR(__xludf.DUMMYFUNCTION("""COMPUTED_VALUE"""),"Fortalecimiento de la participación ciudadana y la mediación cultural")</f>
        <v>Fortalecimiento de la participación ciudadana y la mediación cultural</v>
      </c>
      <c r="AU262" s="30" t="str">
        <f ca="1">IFERROR(__xludf.DUMMYFUNCTION("""COMPUTED_VALUE"""),"Fortalecimiento del diálogo, la mediación y las capacidades de las redes comunitarias.")</f>
        <v>Fortalecimiento del diálogo, la mediación y las capacidades de las redes comunitarias.</v>
      </c>
      <c r="AV26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2" s="30" t="str">
        <f ca="1">IFERROR(__xludf.DUMMYFUNCTION("""COMPUTED_VALUE"""),"Incrementar en 25% la oferta cultural realizada en los municipios.")</f>
        <v>Incrementar en 25% la oferta cultural realizada en los municipios.</v>
      </c>
      <c r="AX262" s="30" t="str">
        <f ca="1">IFERROR(__xludf.DUMMYFUNCTION("""COMPUTED_VALUE"""),"Visitas escolares")</f>
        <v>Visitas escolares</v>
      </c>
      <c r="AY262" s="30" t="str">
        <f ca="1">IFERROR(__xludf.DUMMYFUNCTION("""COMPUTED_VALUE"""),"Mediación")</f>
        <v>Mediación</v>
      </c>
      <c r="AZ262" s="30"/>
      <c r="BA262" s="30"/>
      <c r="BB262" s="30"/>
      <c r="BC262" s="30">
        <f ca="1">IFERROR(__xludf.DUMMYFUNCTION("""COMPUTED_VALUE"""),0)</f>
        <v>0</v>
      </c>
      <c r="BD262" s="30"/>
      <c r="BE262" s="30"/>
      <c r="BF262" s="30" t="b">
        <f ca="1">IFERROR(__xludf.DUMMYFUNCTION("""COMPUTED_VALUE"""),FALSE)</f>
        <v>0</v>
      </c>
      <c r="BG262" s="30"/>
      <c r="BH262" s="30"/>
      <c r="BI262" s="30"/>
      <c r="BJ262" s="30"/>
      <c r="BK262" s="30"/>
      <c r="BL262" s="30"/>
      <c r="BM262" s="30" t="str">
        <f ca="1">IFERROR(__xludf.DUMMYFUNCTION("""COMPUTED_VALUE"""),"No")</f>
        <v>No</v>
      </c>
      <c r="BN262" s="30"/>
      <c r="BO262" s="30" t="str">
        <f ca="1">IFERROR(__xludf.DUMMYFUNCTION("""COMPUTED_VALUE"""),"55d5e9d0")</f>
        <v>55d5e9d0</v>
      </c>
      <c r="BP262" s="29" t="str">
        <f ca="1">IFERROR(__xludf.DUMMYFUNCTION("""COMPUTED_VALUE"""),"León")</f>
        <v>León</v>
      </c>
      <c r="BQ262" s="30" t="str">
        <f ca="1">IFERROR(__xludf.DUMMYFUNCTION("""COMPUTED_VALUE"""),"Urbano")</f>
        <v>Urbano</v>
      </c>
      <c r="BR262" s="30"/>
      <c r="BS262" s="30"/>
      <c r="BT262" s="30"/>
      <c r="BU262" s="30" t="str">
        <f ca="1">IFERROR(__xludf.DUMMYFUNCTION("""COMPUTED_VALUE"""),"No")</f>
        <v>No</v>
      </c>
      <c r="BV262" s="30" t="str">
        <f ca="1">IFERROR(__xludf.DUMMYFUNCTION("""COMPUTED_VALUE"""),"No")</f>
        <v>No</v>
      </c>
      <c r="BW262" s="30">
        <f ca="1">IFERROR(__xludf.DUMMYFUNCTION("""COMPUTED_VALUE"""),19)</f>
        <v>19</v>
      </c>
      <c r="BX262" s="30"/>
      <c r="BY262" s="30">
        <f ca="1">IFERROR(__xludf.DUMMYFUNCTION("""COMPUTED_VALUE"""),19)</f>
        <v>19</v>
      </c>
      <c r="BZ262" s="30"/>
      <c r="CA262" s="30" t="str">
        <f ca="1">IFERROR(__xludf.DUMMYFUNCTION("""COMPUTED_VALUE"""),"No")</f>
        <v>No</v>
      </c>
      <c r="CB262" s="30" t="str">
        <f ca="1">IFERROR(__xludf.DUMMYFUNCTION("""COMPUTED_VALUE"""),"No")</f>
        <v>No</v>
      </c>
      <c r="CC262" s="30" t="str">
        <f ca="1">IFERROR(__xludf.DUMMYFUNCTION("""COMPUTED_VALUE"""),"981f99b4")</f>
        <v>981f99b4</v>
      </c>
      <c r="CD262" s="29" t="str">
        <f ca="1">IFERROR(__xludf.DUMMYFUNCTION("""COMPUTED_VALUE"""),"Niñas y Niños (6 a 12 años)")</f>
        <v>Niñas y Niños (6 a 12 años)</v>
      </c>
      <c r="CE262" s="30" t="str">
        <f ca="1">IFERROR(__xludf.DUMMYFUNCTION("""COMPUTED_VALUE"""),"Dato global")</f>
        <v>Dato global</v>
      </c>
      <c r="CF262" s="30" t="str">
        <f ca="1">IFERROR(__xludf.DUMMYFUNCTION("""COMPUTED_VALUE"""),"Ninguno (Población General)")</f>
        <v>Ninguno (Población General)</v>
      </c>
      <c r="CG262" s="30">
        <f ca="1">IFERROR(__xludf.DUMMYFUNCTION("""COMPUTED_VALUE"""),3768)</f>
        <v>3768</v>
      </c>
      <c r="CI262" s="30" t="str">
        <f ca="1">IFERROR(__xludf.DUMMYFUNCTION("""COMPUTED_VALUE"""),"a1db1ae1")</f>
        <v>a1db1ae1</v>
      </c>
      <c r="CJ262" s="29" t="str">
        <f ca="1">IFERROR(__xludf.DUMMYFUNCTION("""COMPUTED_VALUE"""),"Regitro_Evidencia_Files_/a1db1ae1.Archivo_Evidencia.192737.pdf")</f>
        <v>Regitro_Evidencia_Files_/a1db1ae1.Archivo_Evidencia.192737.pdf</v>
      </c>
      <c r="CK262" s="30" t="str">
        <f ca="1">IFERROR(__xludf.DUMMYFUNCTION("""COMPUTED_VALUE"""),"PDF")</f>
        <v>PDF</v>
      </c>
      <c r="CL262" s="30" t="str">
        <f ca="1">IFERROR(__xludf.DUMMYFUNCTION("""COMPUTED_VALUE"""),"Reporte de evidencias del curso de verano con menores de 6 a 12 años.")</f>
        <v>Reporte de evidencias del curso de verano con menores de 6 a 12 años.</v>
      </c>
      <c r="CM262" s="30" t="str">
        <f ca="1">IFERROR(__xludf.DUMMYFUNCTION("""COMPUTED_VALUE"""),"León")</f>
        <v>León</v>
      </c>
      <c r="CN262" s="32" t="e">
        <f ca="1"/>
        <v>#NAME?</v>
      </c>
      <c r="CO262" s="32" t="e">
        <f ca="1"/>
        <v>#NAME?</v>
      </c>
      <c r="CP262" s="32" t="e">
        <f ca="1"/>
        <v>#NAME?</v>
      </c>
      <c r="CQ262" s="32" t="e">
        <f ca="1"/>
        <v>#NAME?</v>
      </c>
      <c r="CR262" s="30" t="e">
        <f ca="1"/>
        <v>#NAME?</v>
      </c>
      <c r="CS262" s="30" t="str">
        <f ca="1">IFERROR(__xludf.DUMMYFUNCTION("""COMPUTED_VALUE"""),"Ninguno (Población General)")</f>
        <v>Ninguno (Población General)</v>
      </c>
    </row>
    <row r="263" spans="1:97" ht="13">
      <c r="A263" s="29" t="str">
        <f ca="1">IFERROR(__xludf.DUMMYFUNCTION("""COMPUTED_VALUE"""),"ACT-SCMD86853")</f>
        <v>ACT-SCMD86853</v>
      </c>
      <c r="B263" s="30" t="str">
        <f ca="1">IFERROR(__xludf.DUMMYFUNCTION("""COMPUTED_VALUE"""),"SC-260814-105423")</f>
        <v>SC-260814-105423</v>
      </c>
      <c r="C263" s="62">
        <f ca="1">IFERROR(__xludf.DUMMYFUNCTION("""COMPUTED_VALUE"""),46248.4544328703)</f>
        <v>46248.454432870298</v>
      </c>
      <c r="D263" s="30">
        <f ca="1">IFERROR(__xludf.DUMMYFUNCTION("""COMPUTED_VALUE"""),92)</f>
        <v>92</v>
      </c>
      <c r="E263" s="30" t="str">
        <f ca="1">IFERROR(__xludf.DUMMYFUNCTION("""COMPUTED_VALUE"""),"PB3572")</f>
        <v>PB3572</v>
      </c>
      <c r="F26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3" s="30" t="str">
        <f ca="1">IFERROR(__xludf.DUMMYFUNCTION("""COMPUTED_VALUE"""),"SUBSECRETARÍA DE DESARROLLO Y PROMOCIÓN ARTÍSTICA Y CULTURAL")</f>
        <v>SUBSECRETARÍA DE DESARROLLO Y PROMOCIÓN ARTÍSTICA Y CULTURAL</v>
      </c>
      <c r="I263" s="34" t="str">
        <f ca="1">IFERROR(__xludf.DUMMYFUNCTION("""COMPUTED_VALUE"""),"DIRECCIÓN GENERAL DE MUSEOS, ARTES VISUALES Y EXPOSICIONES")</f>
        <v>DIRECCIÓN GENERAL DE MUSEOS, ARTES VISUALES Y EXPOSICIONES</v>
      </c>
      <c r="J263" s="30" t="str">
        <f ca="1">IFERROR(__xludf.DUMMYFUNCTION("""COMPUTED_VALUE"""),"Número de Actividades realizadas")</f>
        <v>Número de Actividades realizadas</v>
      </c>
      <c r="K263" s="30">
        <f ca="1">IFERROR(__xludf.DUMMYFUNCTION("""COMPUTED_VALUE"""),800)</f>
        <v>800</v>
      </c>
      <c r="L263" s="30" t="str">
        <f ca="1">IFERROR(__xludf.DUMMYFUNCTION("""COMPUTED_VALUE"""),"Cultural")</f>
        <v>Cultural</v>
      </c>
      <c r="M263" s="30" t="str">
        <f ca="1">IFERROR(__xludf.DUMMYFUNCTION("""COMPUTED_VALUE"""),"Visita ""BIBLIOTECA ALFONSO VILLASEÑOR SÖLE""")</f>
        <v>Visita "BIBLIOTECA ALFONSO VILLASEÑOR SÖLE"</v>
      </c>
      <c r="N263" s="30" t="str">
        <f ca="1">IFERROR(__xludf.DUMMYFUNCTION("""COMPUTED_VALUE"""),"Visita Mediada")</f>
        <v>Visita Mediada</v>
      </c>
      <c r="O263" s="30" t="str">
        <f ca="1">IFERROR(__xludf.DUMMYFUNCTION("""COMPUTED_VALUE"""),"Única")</f>
        <v>Única</v>
      </c>
      <c r="P263" s="33">
        <f ca="1">IFERROR(__xludf.DUMMYFUNCTION("""COMPUTED_VALUE"""),46248)</f>
        <v>46248</v>
      </c>
      <c r="Q263" s="33">
        <f ca="1">IFERROR(__xludf.DUMMYFUNCTION("""COMPUTED_VALUE"""),46248)</f>
        <v>46248</v>
      </c>
      <c r="R263" s="30">
        <f ca="1">IFERROR(__xludf.DUMMYFUNCTION("""COMPUTED_VALUE"""),1)</f>
        <v>1</v>
      </c>
      <c r="S263" s="30" t="str">
        <f ca="1">IFERROR(__xludf.DUMMYFUNCTION("""COMPUTED_VALUE"""),"Cultura comunitaria")</f>
        <v>Cultura comunitaria</v>
      </c>
      <c r="T263" s="30" t="str">
        <f ca="1">IFERROR(__xludf.DUMMYFUNCTION("""COMPUTED_VALUE"""),"Mediación cultural")</f>
        <v>Mediación cultural</v>
      </c>
      <c r="U263" s="30" t="str">
        <f ca="1">IFERROR(__xludf.DUMMYFUNCTION("""COMPUTED_VALUE"""),"Visitas escolares")</f>
        <v>Visitas escolares</v>
      </c>
      <c r="V263" s="30" t="str">
        <f ca="1">IFERROR(__xludf.DUMMYFUNCTION("""COMPUTED_VALUE"""),"Ninguna")</f>
        <v>Ninguna</v>
      </c>
      <c r="W263" s="30" t="str">
        <f ca="1">IFERROR(__xludf.DUMMYFUNCTION("""COMPUTED_VALUE"""),"Presencial")</f>
        <v>Presencial</v>
      </c>
      <c r="X263" s="30" t="str">
        <f ca="1">IFERROR(__xludf.DUMMYFUNCTION("""COMPUTED_VALUE"""),"Espacio a Cargo de la Secretaría")</f>
        <v>Espacio a Cargo de la Secretaría</v>
      </c>
      <c r="Y263" s="30" t="str">
        <f ca="1">IFERROR(__xludf.DUMMYFUNCTION("""COMPUTED_VALUE"""),"Museo de Arte e Historia de Guanajuato, sala Feliciano Peña")</f>
        <v>Museo de Arte e Historia de Guanajuato, sala Feliciano Peña</v>
      </c>
      <c r="Z263" s="30"/>
      <c r="AA263" s="30"/>
      <c r="AB263" s="30" t="b">
        <f ca="1">IFERROR(__xludf.DUMMYFUNCTION("""COMPUTED_VALUE"""),FALSE)</f>
        <v>0</v>
      </c>
      <c r="AC263" s="30"/>
      <c r="AD263" s="30" t="b">
        <f ca="1">IFERROR(__xludf.DUMMYFUNCTION("""COMPUTED_VALUE"""),FALSE)</f>
        <v>0</v>
      </c>
      <c r="AE263" s="30"/>
      <c r="AF263" s="30" t="b">
        <f ca="1">IFERROR(__xludf.DUMMYFUNCTION("""COMPUTED_VALUE"""),FALSE)</f>
        <v>0</v>
      </c>
      <c r="AG263" s="30"/>
      <c r="AH263" s="30" t="str">
        <f ca="1">IFERROR(__xludf.DUMMYFUNCTION("""COMPUTED_VALUE"""),"Sin costo")</f>
        <v>Sin costo</v>
      </c>
      <c r="AI263" s="30"/>
      <c r="AJ263" s="30"/>
      <c r="AK263" s="30"/>
      <c r="AL263" s="30" t="str">
        <f ca="1">IFERROR(__xludf.DUMMYFUNCTION("""COMPUTED_VALUE"""),"ccardonav@guanajuato.gob.mx")</f>
        <v>ccardonav@guanajuato.gob.mx</v>
      </c>
      <c r="AM263" s="30" t="str">
        <f ca="1">IFERROR(__xludf.DUMMYFUNCTION("""COMPUTED_VALUE"""),"Arraigo y empoderamiento cultural de comunidades.")</f>
        <v>Arraigo y empoderamiento cultural de comunidades.</v>
      </c>
      <c r="AN263" s="30" t="str">
        <f ca="1">IFERROR(__xludf.DUMMYFUNCTION("""COMPUTED_VALUE"""),"2 Igualdad")</f>
        <v>2 Igualdad</v>
      </c>
      <c r="AO263" s="30" t="str">
        <f ca="1">IFERROR(__xludf.DUMMYFUNCTION("""COMPUTED_VALUE"""),"2.4 Reducir brechas de desigualdad")</f>
        <v>2.4 Reducir brechas de desigualdad</v>
      </c>
      <c r="AP263" s="30" t="str">
        <f ca="1">IFERROR(__xludf.DUMMYFUNCTION("""COMPUTED_VALUE"""),"2.4.3 Descentralización de la oferta cultural")</f>
        <v>2.4.3 Descentralización de la oferta cultural</v>
      </c>
      <c r="AQ263" s="30" t="str">
        <f ca="1">IFERROR(__xludf.DUMMYFUNCTION("""COMPUTED_VALUE"""),"2.4.3.1 Impulsar el desarrollo artístico y cultural entre infancias y juventudes")</f>
        <v>2.4.3.1 Impulsar el desarrollo artístico y cultural entre infancias y juventudes</v>
      </c>
      <c r="AR263" s="30" t="str">
        <f ca="1">IFERROR(__xludf.DUMMYFUNCTION("""COMPUTED_VALUE"""),"Ninguno")</f>
        <v>Ninguno</v>
      </c>
      <c r="AS263" s="30"/>
      <c r="AT263" s="30" t="str">
        <f ca="1">IFERROR(__xludf.DUMMYFUNCTION("""COMPUTED_VALUE"""),"Fortalecimiento de la participación ciudadana y la mediación cultural")</f>
        <v>Fortalecimiento de la participación ciudadana y la mediación cultural</v>
      </c>
      <c r="AU263" s="30" t="str">
        <f ca="1">IFERROR(__xludf.DUMMYFUNCTION("""COMPUTED_VALUE"""),"Fortalecimiento del diálogo, la mediación y las capacidades de las redes comunitarias.")</f>
        <v>Fortalecimiento del diálogo, la mediación y las capacidades de las redes comunitarias.</v>
      </c>
      <c r="AV26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3" s="30" t="str">
        <f ca="1">IFERROR(__xludf.DUMMYFUNCTION("""COMPUTED_VALUE"""),"Incrementar en 25% la oferta cultural realizada en los municipios.")</f>
        <v>Incrementar en 25% la oferta cultural realizada en los municipios.</v>
      </c>
      <c r="AX263" s="30" t="str">
        <f ca="1">IFERROR(__xludf.DUMMYFUNCTION("""COMPUTED_VALUE"""),"Visitas escolares")</f>
        <v>Visitas escolares</v>
      </c>
      <c r="AY263" s="30" t="str">
        <f ca="1">IFERROR(__xludf.DUMMYFUNCTION("""COMPUTED_VALUE"""),"Mediación")</f>
        <v>Mediación</v>
      </c>
      <c r="AZ263" s="30"/>
      <c r="BA263" s="30"/>
      <c r="BB263" s="30"/>
      <c r="BC263" s="30">
        <f ca="1">IFERROR(__xludf.DUMMYFUNCTION("""COMPUTED_VALUE"""),0)</f>
        <v>0</v>
      </c>
      <c r="BD263" s="30"/>
      <c r="BE263" s="30"/>
      <c r="BF263" s="30" t="b">
        <f ca="1">IFERROR(__xludf.DUMMYFUNCTION("""COMPUTED_VALUE"""),FALSE)</f>
        <v>0</v>
      </c>
      <c r="BG263" s="30"/>
      <c r="BH263" s="30"/>
      <c r="BI263" s="30"/>
      <c r="BJ263" s="30"/>
      <c r="BK263" s="30"/>
      <c r="BL263" s="30"/>
      <c r="BM263" s="30" t="str">
        <f ca="1">IFERROR(__xludf.DUMMYFUNCTION("""COMPUTED_VALUE"""),"No")</f>
        <v>No</v>
      </c>
      <c r="BN263" s="30"/>
      <c r="BO263" s="30" t="str">
        <f ca="1">IFERROR(__xludf.DUMMYFUNCTION("""COMPUTED_VALUE"""),"5b50f843")</f>
        <v>5b50f843</v>
      </c>
      <c r="BP263" s="29" t="str">
        <f ca="1">IFERROR(__xludf.DUMMYFUNCTION("""COMPUTED_VALUE"""),"León")</f>
        <v>León</v>
      </c>
      <c r="BQ263" s="30" t="str">
        <f ca="1">IFERROR(__xludf.DUMMYFUNCTION("""COMPUTED_VALUE"""),"Urbano")</f>
        <v>Urbano</v>
      </c>
      <c r="BR263" s="30"/>
      <c r="BS263" s="30"/>
      <c r="BT263" s="30"/>
      <c r="BU263" s="30" t="str">
        <f ca="1">IFERROR(__xludf.DUMMYFUNCTION("""COMPUTED_VALUE"""),"No")</f>
        <v>No</v>
      </c>
      <c r="BV263" s="30" t="str">
        <f ca="1">IFERROR(__xludf.DUMMYFUNCTION("""COMPUTED_VALUE"""),"No")</f>
        <v>No</v>
      </c>
      <c r="BW263" s="30">
        <f ca="1">IFERROR(__xludf.DUMMYFUNCTION("""COMPUTED_VALUE"""),3)</f>
        <v>3</v>
      </c>
      <c r="BX263" s="30"/>
      <c r="BY263" s="30">
        <f ca="1">IFERROR(__xludf.DUMMYFUNCTION("""COMPUTED_VALUE"""),3)</f>
        <v>3</v>
      </c>
      <c r="BZ263" s="30"/>
      <c r="CA263" s="30" t="str">
        <f ca="1">IFERROR(__xludf.DUMMYFUNCTION("""COMPUTED_VALUE"""),"No")</f>
        <v>No</v>
      </c>
      <c r="CB263" s="30" t="str">
        <f ca="1">IFERROR(__xludf.DUMMYFUNCTION("""COMPUTED_VALUE"""),"No")</f>
        <v>No</v>
      </c>
      <c r="CC263" s="30" t="str">
        <f ca="1">IFERROR(__xludf.DUMMYFUNCTION("""COMPUTED_VALUE"""),"6bf312ea")</f>
        <v>6bf312ea</v>
      </c>
      <c r="CD263" s="29" t="str">
        <f ca="1">IFERROR(__xludf.DUMMYFUNCTION("""COMPUTED_VALUE"""),"Adultos (30 a 59 años)")</f>
        <v>Adultos (30 a 59 años)</v>
      </c>
      <c r="CE263" s="30" t="str">
        <f ca="1">IFERROR(__xludf.DUMMYFUNCTION("""COMPUTED_VALUE"""),"Dato global")</f>
        <v>Dato global</v>
      </c>
      <c r="CF263" s="30" t="str">
        <f ca="1">IFERROR(__xludf.DUMMYFUNCTION("""COMPUTED_VALUE"""),"Ninguno (Población General)")</f>
        <v>Ninguno (Población General)</v>
      </c>
      <c r="CG263" s="30">
        <f ca="1">IFERROR(__xludf.DUMMYFUNCTION("""COMPUTED_VALUE"""),26719)</f>
        <v>26719</v>
      </c>
      <c r="CI263" s="30" t="str">
        <f ca="1">IFERROR(__xludf.DUMMYFUNCTION("""COMPUTED_VALUE"""),"a908423b")</f>
        <v>a908423b</v>
      </c>
      <c r="CJ263" s="29" t="str">
        <f ca="1">IFERROR(__xludf.DUMMYFUNCTION("""COMPUTED_VALUE"""),"Regitro_Evidencia_Images/a908423b.Archivo_Evidencia.163127.jpg")</f>
        <v>Regitro_Evidencia_Images/a908423b.Archivo_Evidencia.163127.jpg</v>
      </c>
      <c r="CK263" s="30" t="str">
        <f ca="1">IFERROR(__xludf.DUMMYFUNCTION("""COMPUTED_VALUE"""),"Foto")</f>
        <v>Foto</v>
      </c>
      <c r="CL263" s="30" t="str">
        <f ca="1">IFERROR(__xludf.DUMMYFUNCTION("""COMPUTED_VALUE"""),"Mesa de trabajo")</f>
        <v>Mesa de trabajo</v>
      </c>
      <c r="CM263" s="30" t="str">
        <f ca="1">IFERROR(__xludf.DUMMYFUNCTION("""COMPUTED_VALUE"""),"León")</f>
        <v>León</v>
      </c>
      <c r="CN263" s="32" t="e">
        <f ca="1"/>
        <v>#NAME?</v>
      </c>
      <c r="CO263" s="32" t="e">
        <f ca="1"/>
        <v>#NAME?</v>
      </c>
      <c r="CP263" s="32" t="e">
        <f ca="1"/>
        <v>#NAME?</v>
      </c>
      <c r="CQ263" s="32" t="e">
        <f ca="1"/>
        <v>#NAME?</v>
      </c>
      <c r="CR263" s="30" t="e">
        <f ca="1"/>
        <v>#NAME?</v>
      </c>
      <c r="CS263" s="30" t="str">
        <f ca="1">IFERROR(__xludf.DUMMYFUNCTION("""COMPUTED_VALUE"""),"Ninguno (Población General)")</f>
        <v>Ninguno (Población General)</v>
      </c>
    </row>
    <row r="264" spans="1:97" ht="13">
      <c r="A264" s="29" t="str">
        <f ca="1">IFERROR(__xludf.DUMMYFUNCTION("""COMPUTED_VALUE"""),"ACT-SCBM83374")</f>
        <v>ACT-SCBM83374</v>
      </c>
      <c r="B264" s="30" t="str">
        <f ca="1">IFERROR(__xludf.DUMMYFUNCTION("""COMPUTED_VALUE"""),"SC-260817-121215")</f>
        <v>SC-260817-121215</v>
      </c>
      <c r="C264" s="62">
        <f ca="1">IFERROR(__xludf.DUMMYFUNCTION("""COMPUTED_VALUE"""),46251.5085069444)</f>
        <v>46251.508506944403</v>
      </c>
      <c r="D264" s="30">
        <f ca="1">IFERROR(__xludf.DUMMYFUNCTION("""COMPUTED_VALUE"""),92)</f>
        <v>92</v>
      </c>
      <c r="E264" s="30" t="str">
        <f ca="1">IFERROR(__xludf.DUMMYFUNCTION("""COMPUTED_VALUE"""),"PB3572")</f>
        <v>PB3572</v>
      </c>
      <c r="F26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4" s="30" t="str">
        <f ca="1">IFERROR(__xludf.DUMMYFUNCTION("""COMPUTED_VALUE"""),"SUBSECRETARÍA DE DESARROLLO Y PROMOCIÓN ARTÍSTICA Y CULTURAL")</f>
        <v>SUBSECRETARÍA DE DESARROLLO Y PROMOCIÓN ARTÍSTICA Y CULTURAL</v>
      </c>
      <c r="I264" s="34" t="str">
        <f ca="1">IFERROR(__xludf.DUMMYFUNCTION("""COMPUTED_VALUE"""),"DIRECCIÓN GENERAL DE MUSEOS, ARTES VISUALES Y EXPOSICIONES")</f>
        <v>DIRECCIÓN GENERAL DE MUSEOS, ARTES VISUALES Y EXPOSICIONES</v>
      </c>
      <c r="J264" s="30" t="str">
        <f ca="1">IFERROR(__xludf.DUMMYFUNCTION("""COMPUTED_VALUE"""),"Número de Actividades realizadas")</f>
        <v>Número de Actividades realizadas</v>
      </c>
      <c r="K264" s="30">
        <f ca="1">IFERROR(__xludf.DUMMYFUNCTION("""COMPUTED_VALUE"""),800)</f>
        <v>800</v>
      </c>
      <c r="L264" s="30" t="str">
        <f ca="1">IFERROR(__xludf.DUMMYFUNCTION("""COMPUTED_VALUE"""),"Cultural")</f>
        <v>Cultural</v>
      </c>
      <c r="M264" s="30" t="str">
        <f ca="1">IFERROR(__xludf.DUMMYFUNCTION("""COMPUTED_VALUE"""),"Visita escolar ""UNIVERSIDAD DE LEÓN""")</f>
        <v>Visita escolar "UNIVERSIDAD DE LEÓN"</v>
      </c>
      <c r="N264" s="30" t="str">
        <f ca="1">IFERROR(__xludf.DUMMYFUNCTION("""COMPUTED_VALUE"""),"Visita mediada")</f>
        <v>Visita mediada</v>
      </c>
      <c r="O264" s="30" t="str">
        <f ca="1">IFERROR(__xludf.DUMMYFUNCTION("""COMPUTED_VALUE"""),"Única")</f>
        <v>Única</v>
      </c>
      <c r="P264" s="33">
        <f ca="1">IFERROR(__xludf.DUMMYFUNCTION("""COMPUTED_VALUE"""),46226)</f>
        <v>46226</v>
      </c>
      <c r="Q264" s="33">
        <f ca="1">IFERROR(__xludf.DUMMYFUNCTION("""COMPUTED_VALUE"""),46226)</f>
        <v>46226</v>
      </c>
      <c r="R264" s="30">
        <f ca="1">IFERROR(__xludf.DUMMYFUNCTION("""COMPUTED_VALUE"""),1)</f>
        <v>1</v>
      </c>
      <c r="S264" s="30" t="str">
        <f ca="1">IFERROR(__xludf.DUMMYFUNCTION("""COMPUTED_VALUE"""),"Cultura comunitaria")</f>
        <v>Cultura comunitaria</v>
      </c>
      <c r="T264" s="30" t="str">
        <f ca="1">IFERROR(__xludf.DUMMYFUNCTION("""COMPUTED_VALUE"""),"Mediación cultural")</f>
        <v>Mediación cultural</v>
      </c>
      <c r="U264" s="30" t="str">
        <f ca="1">IFERROR(__xludf.DUMMYFUNCTION("""COMPUTED_VALUE"""),"Visitas escolares")</f>
        <v>Visitas escolares</v>
      </c>
      <c r="V264" s="30" t="str">
        <f ca="1">IFERROR(__xludf.DUMMYFUNCTION("""COMPUTED_VALUE"""),"Ninguna")</f>
        <v>Ninguna</v>
      </c>
      <c r="W264" s="30" t="str">
        <f ca="1">IFERROR(__xludf.DUMMYFUNCTION("""COMPUTED_VALUE"""),"Presencial")</f>
        <v>Presencial</v>
      </c>
      <c r="X264" s="30" t="str">
        <f ca="1">IFERROR(__xludf.DUMMYFUNCTION("""COMPUTED_VALUE"""),"Espacio a Cargo de la Secretaría")</f>
        <v>Espacio a Cargo de la Secretaría</v>
      </c>
      <c r="Y264" s="30" t="str">
        <f ca="1">IFERROR(__xludf.DUMMYFUNCTION("""COMPUTED_VALUE"""),"Museo de Arte e Historia de Guanajuato, sala Feliciano Peña")</f>
        <v>Museo de Arte e Historia de Guanajuato, sala Feliciano Peña</v>
      </c>
      <c r="Z264" s="30"/>
      <c r="AA264" s="30"/>
      <c r="AB264" s="30" t="b">
        <f ca="1">IFERROR(__xludf.DUMMYFUNCTION("""COMPUTED_VALUE"""),FALSE)</f>
        <v>0</v>
      </c>
      <c r="AC264" s="30"/>
      <c r="AD264" s="30" t="b">
        <f ca="1">IFERROR(__xludf.DUMMYFUNCTION("""COMPUTED_VALUE"""),FALSE)</f>
        <v>0</v>
      </c>
      <c r="AE264" s="30"/>
      <c r="AF264" s="30" t="b">
        <f ca="1">IFERROR(__xludf.DUMMYFUNCTION("""COMPUTED_VALUE"""),FALSE)</f>
        <v>0</v>
      </c>
      <c r="AG264" s="30"/>
      <c r="AH264" s="30" t="str">
        <f ca="1">IFERROR(__xludf.DUMMYFUNCTION("""COMPUTED_VALUE"""),"Sin costo")</f>
        <v>Sin costo</v>
      </c>
      <c r="AI264" s="30"/>
      <c r="AJ264" s="30"/>
      <c r="AK264" s="30"/>
      <c r="AL264" s="30" t="str">
        <f ca="1">IFERROR(__xludf.DUMMYFUNCTION("""COMPUTED_VALUE"""),"ccardonav@guanajuato.gob.mx")</f>
        <v>ccardonav@guanajuato.gob.mx</v>
      </c>
      <c r="AM264" s="30" t="str">
        <f ca="1">IFERROR(__xludf.DUMMYFUNCTION("""COMPUTED_VALUE"""),"Arraigo y empoderamiento cultural de comunidades.")</f>
        <v>Arraigo y empoderamiento cultural de comunidades.</v>
      </c>
      <c r="AN264" s="30" t="str">
        <f ca="1">IFERROR(__xludf.DUMMYFUNCTION("""COMPUTED_VALUE"""),"2 Igualdad")</f>
        <v>2 Igualdad</v>
      </c>
      <c r="AO264" s="30" t="str">
        <f ca="1">IFERROR(__xludf.DUMMYFUNCTION("""COMPUTED_VALUE"""),"2.4 Reducir brechas de desigualdad")</f>
        <v>2.4 Reducir brechas de desigualdad</v>
      </c>
      <c r="AP264" s="30" t="str">
        <f ca="1">IFERROR(__xludf.DUMMYFUNCTION("""COMPUTED_VALUE"""),"2.4.3 Descentralización de la oferta cultural")</f>
        <v>2.4.3 Descentralización de la oferta cultural</v>
      </c>
      <c r="AQ264" s="30" t="str">
        <f ca="1">IFERROR(__xludf.DUMMYFUNCTION("""COMPUTED_VALUE"""),"2.4.3.1 Impulsar el desarrollo artístico y cultural entre infancias y juventudes")</f>
        <v>2.4.3.1 Impulsar el desarrollo artístico y cultural entre infancias y juventudes</v>
      </c>
      <c r="AR264" s="30" t="str">
        <f ca="1">IFERROR(__xludf.DUMMYFUNCTION("""COMPUTED_VALUE"""),"Ninguno")</f>
        <v>Ninguno</v>
      </c>
      <c r="AS264" s="30"/>
      <c r="AT264" s="30" t="str">
        <f ca="1">IFERROR(__xludf.DUMMYFUNCTION("""COMPUTED_VALUE"""),"Fortalecimiento de la participación ciudadana y la mediación cultural")</f>
        <v>Fortalecimiento de la participación ciudadana y la mediación cultural</v>
      </c>
      <c r="AU264" s="30" t="str">
        <f ca="1">IFERROR(__xludf.DUMMYFUNCTION("""COMPUTED_VALUE"""),"Fortalecimiento del diálogo, la mediación y las capacidades de las redes comunitarias.")</f>
        <v>Fortalecimiento del diálogo, la mediación y las capacidades de las redes comunitarias.</v>
      </c>
      <c r="AV26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4" s="30" t="str">
        <f ca="1">IFERROR(__xludf.DUMMYFUNCTION("""COMPUTED_VALUE"""),"Incrementar en 25% la oferta cultural realizada en los municipios.")</f>
        <v>Incrementar en 25% la oferta cultural realizada en los municipios.</v>
      </c>
      <c r="AX264" s="30" t="str">
        <f ca="1">IFERROR(__xludf.DUMMYFUNCTION("""COMPUTED_VALUE"""),"Visitas escolares")</f>
        <v>Visitas escolares</v>
      </c>
      <c r="AY264" s="30" t="str">
        <f ca="1">IFERROR(__xludf.DUMMYFUNCTION("""COMPUTED_VALUE"""),"Mediación")</f>
        <v>Mediación</v>
      </c>
      <c r="AZ264" s="30"/>
      <c r="BA264" s="30"/>
      <c r="BB264" s="30"/>
      <c r="BC264" s="30">
        <f ca="1">IFERROR(__xludf.DUMMYFUNCTION("""COMPUTED_VALUE"""),0)</f>
        <v>0</v>
      </c>
      <c r="BD264" s="30"/>
      <c r="BE264" s="30"/>
      <c r="BF264" s="30" t="b">
        <f ca="1">IFERROR(__xludf.DUMMYFUNCTION("""COMPUTED_VALUE"""),FALSE)</f>
        <v>0</v>
      </c>
      <c r="BG264" s="30"/>
      <c r="BH264" s="30"/>
      <c r="BI264" s="30"/>
      <c r="BJ264" s="30"/>
      <c r="BK264" s="30"/>
      <c r="BL264" s="30"/>
      <c r="BM264" s="30" t="str">
        <f ca="1">IFERROR(__xludf.DUMMYFUNCTION("""COMPUTED_VALUE"""),"No")</f>
        <v>No</v>
      </c>
      <c r="BN264" s="30"/>
      <c r="BO264" s="30" t="str">
        <f ca="1">IFERROR(__xludf.DUMMYFUNCTION("""COMPUTED_VALUE"""),"6e812b7c")</f>
        <v>6e812b7c</v>
      </c>
      <c r="BP264" s="29" t="str">
        <f ca="1">IFERROR(__xludf.DUMMYFUNCTION("""COMPUTED_VALUE"""),"León")</f>
        <v>León</v>
      </c>
      <c r="BQ264" s="30" t="str">
        <f ca="1">IFERROR(__xludf.DUMMYFUNCTION("""COMPUTED_VALUE"""),"Urbano")</f>
        <v>Urbano</v>
      </c>
      <c r="BR264" s="30"/>
      <c r="BS264" s="30"/>
      <c r="BT264" s="30"/>
      <c r="BU264" s="30" t="str">
        <f ca="1">IFERROR(__xludf.DUMMYFUNCTION("""COMPUTED_VALUE"""),"No")</f>
        <v>No</v>
      </c>
      <c r="BV264" s="30" t="str">
        <f ca="1">IFERROR(__xludf.DUMMYFUNCTION("""COMPUTED_VALUE"""),"No")</f>
        <v>No</v>
      </c>
      <c r="BW264" s="30">
        <f ca="1">IFERROR(__xludf.DUMMYFUNCTION("""COMPUTED_VALUE"""),4)</f>
        <v>4</v>
      </c>
      <c r="BX264" s="30"/>
      <c r="BY264" s="30">
        <f ca="1">IFERROR(__xludf.DUMMYFUNCTION("""COMPUTED_VALUE"""),4)</f>
        <v>4</v>
      </c>
      <c r="BZ264" s="30"/>
      <c r="CA264" s="30" t="str">
        <f ca="1">IFERROR(__xludf.DUMMYFUNCTION("""COMPUTED_VALUE"""),"No")</f>
        <v>No</v>
      </c>
      <c r="CB264" s="30" t="str">
        <f ca="1">IFERROR(__xludf.DUMMYFUNCTION("""COMPUTED_VALUE"""),"No")</f>
        <v>No</v>
      </c>
      <c r="CC264" s="30" t="str">
        <f ca="1">IFERROR(__xludf.DUMMYFUNCTION("""COMPUTED_VALUE"""),"3847cf4d")</f>
        <v>3847cf4d</v>
      </c>
      <c r="CD264" s="29" t="str">
        <f ca="1">IFERROR(__xludf.DUMMYFUNCTION("""COMPUTED_VALUE"""),"Adultos Mayores (60 años o más)")</f>
        <v>Adultos Mayores (60 años o más)</v>
      </c>
      <c r="CE264" s="30" t="str">
        <f ca="1">IFERROR(__xludf.DUMMYFUNCTION("""COMPUTED_VALUE"""),"Dato global")</f>
        <v>Dato global</v>
      </c>
      <c r="CF264" s="30" t="str">
        <f ca="1">IFERROR(__xludf.DUMMYFUNCTION("""COMPUTED_VALUE"""),"Ninguno (Población General)")</f>
        <v>Ninguno (Población General)</v>
      </c>
      <c r="CG264" s="30">
        <f ca="1">IFERROR(__xludf.DUMMYFUNCTION("""COMPUTED_VALUE"""),3768)</f>
        <v>3768</v>
      </c>
      <c r="CI264" s="30" t="str">
        <f ca="1">IFERROR(__xludf.DUMMYFUNCTION("""COMPUTED_VALUE"""),"f8f52acc")</f>
        <v>f8f52acc</v>
      </c>
      <c r="CJ264" s="29" t="str">
        <f ca="1">IFERROR(__xludf.DUMMYFUNCTION("""COMPUTED_VALUE"""),"Regitro_Evidencia_Images/f8f52acc.Archivo_Evidencia.171539.jpg")</f>
        <v>Regitro_Evidencia_Images/f8f52acc.Archivo_Evidencia.171539.jpg</v>
      </c>
      <c r="CK264" s="30" t="str">
        <f ca="1">IFERROR(__xludf.DUMMYFUNCTION("""COMPUTED_VALUE"""),"Foto")</f>
        <v>Foto</v>
      </c>
      <c r="CL264" s="30" t="str">
        <f ca="1">IFERROR(__xludf.DUMMYFUNCTION("""COMPUTED_VALUE"""),"Presentación editorial")</f>
        <v>Presentación editorial</v>
      </c>
      <c r="CM264" s="30" t="str">
        <f ca="1">IFERROR(__xludf.DUMMYFUNCTION("""COMPUTED_VALUE"""),"León")</f>
        <v>León</v>
      </c>
      <c r="CN264" s="32" t="e">
        <f ca="1"/>
        <v>#NAME?</v>
      </c>
      <c r="CO264" s="32" t="e">
        <f ca="1"/>
        <v>#NAME?</v>
      </c>
      <c r="CP264" s="32" t="e">
        <f ca="1"/>
        <v>#NAME?</v>
      </c>
      <c r="CQ264" s="32" t="e">
        <f ca="1"/>
        <v>#NAME?</v>
      </c>
      <c r="CR264" s="30" t="e">
        <f ca="1"/>
        <v>#NAME?</v>
      </c>
      <c r="CS264" s="30" t="str">
        <f ca="1">IFERROR(__xludf.DUMMYFUNCTION("""COMPUTED_VALUE"""),"Ninguno (Población General)")</f>
        <v>Ninguno (Población General)</v>
      </c>
    </row>
    <row r="265" spans="1:97" ht="13">
      <c r="A265" s="29" t="str">
        <f ca="1">IFERROR(__xludf.DUMMYFUNCTION("""COMPUTED_VALUE"""),"ACT-SCRQ30368")</f>
        <v>ACT-SCRQ30368</v>
      </c>
      <c r="B265" s="30" t="str">
        <f ca="1">IFERROR(__xludf.DUMMYFUNCTION("""COMPUTED_VALUE"""),"SC-260817-121605")</f>
        <v>SC-260817-121605</v>
      </c>
      <c r="C265" s="62">
        <f ca="1">IFERROR(__xludf.DUMMYFUNCTION("""COMPUTED_VALUE"""),46251.5111689814)</f>
        <v>46251.5111689814</v>
      </c>
      <c r="D265" s="30">
        <f ca="1">IFERROR(__xludf.DUMMYFUNCTION("""COMPUTED_VALUE"""),92)</f>
        <v>92</v>
      </c>
      <c r="E265" s="30" t="str">
        <f ca="1">IFERROR(__xludf.DUMMYFUNCTION("""COMPUTED_VALUE"""),"PB3572")</f>
        <v>PB3572</v>
      </c>
      <c r="F26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5" s="30" t="str">
        <f ca="1">IFERROR(__xludf.DUMMYFUNCTION("""COMPUTED_VALUE"""),"SUBSECRETARÍA DE DESARROLLO Y PROMOCIÓN ARTÍSTICA Y CULTURAL")</f>
        <v>SUBSECRETARÍA DE DESARROLLO Y PROMOCIÓN ARTÍSTICA Y CULTURAL</v>
      </c>
      <c r="I265" s="34" t="str">
        <f ca="1">IFERROR(__xludf.DUMMYFUNCTION("""COMPUTED_VALUE"""),"DIRECCIÓN GENERAL DE MUSEOS, ARTES VISUALES Y EXPOSICIONES")</f>
        <v>DIRECCIÓN GENERAL DE MUSEOS, ARTES VISUALES Y EXPOSICIONES</v>
      </c>
      <c r="J265" s="30" t="str">
        <f ca="1">IFERROR(__xludf.DUMMYFUNCTION("""COMPUTED_VALUE"""),"Número de Actividades realizadas")</f>
        <v>Número de Actividades realizadas</v>
      </c>
      <c r="K265" s="30">
        <f ca="1">IFERROR(__xludf.DUMMYFUNCTION("""COMPUTED_VALUE"""),800)</f>
        <v>800</v>
      </c>
      <c r="L265" s="30" t="str">
        <f ca="1">IFERROR(__xludf.DUMMYFUNCTION("""COMPUTED_VALUE"""),"Cultural")</f>
        <v>Cultural</v>
      </c>
      <c r="M265" s="30" t="str">
        <f ca="1">IFERROR(__xludf.DUMMYFUNCTION("""COMPUTED_VALUE"""),"Visita escolar ""UNIVERSIDAD DE LEÓN""")</f>
        <v>Visita escolar "UNIVERSIDAD DE LEÓN"</v>
      </c>
      <c r="N265" s="30" t="str">
        <f ca="1">IFERROR(__xludf.DUMMYFUNCTION("""COMPUTED_VALUE"""),"Visita Mediada")</f>
        <v>Visita Mediada</v>
      </c>
      <c r="O265" s="30" t="str">
        <f ca="1">IFERROR(__xludf.DUMMYFUNCTION("""COMPUTED_VALUE"""),"Única")</f>
        <v>Única</v>
      </c>
      <c r="P265" s="33">
        <f ca="1">IFERROR(__xludf.DUMMYFUNCTION("""COMPUTED_VALUE"""),46226)</f>
        <v>46226</v>
      </c>
      <c r="Q265" s="33">
        <f ca="1">IFERROR(__xludf.DUMMYFUNCTION("""COMPUTED_VALUE"""),46226)</f>
        <v>46226</v>
      </c>
      <c r="R265" s="30">
        <f ca="1">IFERROR(__xludf.DUMMYFUNCTION("""COMPUTED_VALUE"""),1)</f>
        <v>1</v>
      </c>
      <c r="S265" s="30" t="str">
        <f ca="1">IFERROR(__xludf.DUMMYFUNCTION("""COMPUTED_VALUE"""),"Cultura comunitaria")</f>
        <v>Cultura comunitaria</v>
      </c>
      <c r="T265" s="30" t="str">
        <f ca="1">IFERROR(__xludf.DUMMYFUNCTION("""COMPUTED_VALUE"""),"Mediación cultural")</f>
        <v>Mediación cultural</v>
      </c>
      <c r="U265" s="30" t="str">
        <f ca="1">IFERROR(__xludf.DUMMYFUNCTION("""COMPUTED_VALUE"""),"Visitas escolares")</f>
        <v>Visitas escolares</v>
      </c>
      <c r="V265" s="30" t="str">
        <f ca="1">IFERROR(__xludf.DUMMYFUNCTION("""COMPUTED_VALUE"""),"Ninguna")</f>
        <v>Ninguna</v>
      </c>
      <c r="W265" s="30" t="str">
        <f ca="1">IFERROR(__xludf.DUMMYFUNCTION("""COMPUTED_VALUE"""),"Presencial")</f>
        <v>Presencial</v>
      </c>
      <c r="X265" s="30" t="str">
        <f ca="1">IFERROR(__xludf.DUMMYFUNCTION("""COMPUTED_VALUE"""),"Espacio a Cargo de la Secretaría")</f>
        <v>Espacio a Cargo de la Secretaría</v>
      </c>
      <c r="Y265" s="30" t="str">
        <f ca="1">IFERROR(__xludf.DUMMYFUNCTION("""COMPUTED_VALUE"""),"Museo de Arte e Historia de Guanajuato, sala Feliciano Peña")</f>
        <v>Museo de Arte e Historia de Guanajuato, sala Feliciano Peña</v>
      </c>
      <c r="Z265" s="30"/>
      <c r="AA265" s="30"/>
      <c r="AB265" s="30" t="b">
        <f ca="1">IFERROR(__xludf.DUMMYFUNCTION("""COMPUTED_VALUE"""),FALSE)</f>
        <v>0</v>
      </c>
      <c r="AC265" s="30"/>
      <c r="AD265" s="30" t="b">
        <f ca="1">IFERROR(__xludf.DUMMYFUNCTION("""COMPUTED_VALUE"""),FALSE)</f>
        <v>0</v>
      </c>
      <c r="AE265" s="30"/>
      <c r="AF265" s="30" t="b">
        <f ca="1">IFERROR(__xludf.DUMMYFUNCTION("""COMPUTED_VALUE"""),FALSE)</f>
        <v>0</v>
      </c>
      <c r="AG265" s="30"/>
      <c r="AH265" s="30" t="str">
        <f ca="1">IFERROR(__xludf.DUMMYFUNCTION("""COMPUTED_VALUE"""),"Sin costo")</f>
        <v>Sin costo</v>
      </c>
      <c r="AI265" s="30"/>
      <c r="AJ265" s="30"/>
      <c r="AK265" s="30"/>
      <c r="AL265" s="30" t="str">
        <f ca="1">IFERROR(__xludf.DUMMYFUNCTION("""COMPUTED_VALUE"""),"ccardonav@guanajuato.gob.mx")</f>
        <v>ccardonav@guanajuato.gob.mx</v>
      </c>
      <c r="AM265" s="30" t="str">
        <f ca="1">IFERROR(__xludf.DUMMYFUNCTION("""COMPUTED_VALUE"""),"Arraigo y empoderamiento cultural de comunidades.")</f>
        <v>Arraigo y empoderamiento cultural de comunidades.</v>
      </c>
      <c r="AN265" s="30" t="str">
        <f ca="1">IFERROR(__xludf.DUMMYFUNCTION("""COMPUTED_VALUE"""),"2 Igualdad")</f>
        <v>2 Igualdad</v>
      </c>
      <c r="AO265" s="30" t="str">
        <f ca="1">IFERROR(__xludf.DUMMYFUNCTION("""COMPUTED_VALUE"""),"2.4 Reducir brechas de desigualdad")</f>
        <v>2.4 Reducir brechas de desigualdad</v>
      </c>
      <c r="AP265" s="30" t="str">
        <f ca="1">IFERROR(__xludf.DUMMYFUNCTION("""COMPUTED_VALUE"""),"2.4.3 Descentralización de la oferta cultural")</f>
        <v>2.4.3 Descentralización de la oferta cultural</v>
      </c>
      <c r="AQ265" s="30" t="str">
        <f ca="1">IFERROR(__xludf.DUMMYFUNCTION("""COMPUTED_VALUE"""),"2.4.3.1 Impulsar el desarrollo artístico y cultural entre infancias y juventudes")</f>
        <v>2.4.3.1 Impulsar el desarrollo artístico y cultural entre infancias y juventudes</v>
      </c>
      <c r="AR265" s="30" t="str">
        <f ca="1">IFERROR(__xludf.DUMMYFUNCTION("""COMPUTED_VALUE"""),"Ninguno")</f>
        <v>Ninguno</v>
      </c>
      <c r="AS265" s="30"/>
      <c r="AT265" s="30" t="str">
        <f ca="1">IFERROR(__xludf.DUMMYFUNCTION("""COMPUTED_VALUE"""),"Fortalecimiento de la participación ciudadana y la mediación cultural")</f>
        <v>Fortalecimiento de la participación ciudadana y la mediación cultural</v>
      </c>
      <c r="AU265" s="30" t="str">
        <f ca="1">IFERROR(__xludf.DUMMYFUNCTION("""COMPUTED_VALUE"""),"Fortalecimiento del diálogo, la mediación y las capacidades de las redes comunitarias.")</f>
        <v>Fortalecimiento del diálogo, la mediación y las capacidades de las redes comunitarias.</v>
      </c>
      <c r="AV26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5" s="30" t="str">
        <f ca="1">IFERROR(__xludf.DUMMYFUNCTION("""COMPUTED_VALUE"""),"Incrementar en 25% la oferta cultural realizada en los municipios.")</f>
        <v>Incrementar en 25% la oferta cultural realizada en los municipios.</v>
      </c>
      <c r="AX265" s="30" t="str">
        <f ca="1">IFERROR(__xludf.DUMMYFUNCTION("""COMPUTED_VALUE"""),"Visitas escolares")</f>
        <v>Visitas escolares</v>
      </c>
      <c r="AY265" s="30" t="str">
        <f ca="1">IFERROR(__xludf.DUMMYFUNCTION("""COMPUTED_VALUE"""),"Mediación")</f>
        <v>Mediación</v>
      </c>
      <c r="AZ265" s="30"/>
      <c r="BA265" s="30"/>
      <c r="BB265" s="30"/>
      <c r="BC265" s="30">
        <f ca="1">IFERROR(__xludf.DUMMYFUNCTION("""COMPUTED_VALUE"""),0)</f>
        <v>0</v>
      </c>
      <c r="BD265" s="30"/>
      <c r="BE265" s="30"/>
      <c r="BF265" s="30" t="b">
        <f ca="1">IFERROR(__xludf.DUMMYFUNCTION("""COMPUTED_VALUE"""),FALSE)</f>
        <v>0</v>
      </c>
      <c r="BG265" s="30"/>
      <c r="BH265" s="30"/>
      <c r="BI265" s="30"/>
      <c r="BJ265" s="30"/>
      <c r="BK265" s="30"/>
      <c r="BL265" s="30"/>
      <c r="BM265" s="30" t="str">
        <f ca="1">IFERROR(__xludf.DUMMYFUNCTION("""COMPUTED_VALUE"""),"No")</f>
        <v>No</v>
      </c>
      <c r="BN265" s="30"/>
      <c r="BO265" s="30" t="str">
        <f ca="1">IFERROR(__xludf.DUMMYFUNCTION("""COMPUTED_VALUE"""),"1e9ae1b0")</f>
        <v>1e9ae1b0</v>
      </c>
      <c r="BP265" s="29" t="str">
        <f ca="1">IFERROR(__xludf.DUMMYFUNCTION("""COMPUTED_VALUE"""),"León")</f>
        <v>León</v>
      </c>
      <c r="BQ265" s="30" t="str">
        <f ca="1">IFERROR(__xludf.DUMMYFUNCTION("""COMPUTED_VALUE"""),"Urbano")</f>
        <v>Urbano</v>
      </c>
      <c r="BR265" s="30"/>
      <c r="BS265" s="30"/>
      <c r="BT265" s="30"/>
      <c r="BU265" s="30" t="str">
        <f ca="1">IFERROR(__xludf.DUMMYFUNCTION("""COMPUTED_VALUE"""),"No")</f>
        <v>No</v>
      </c>
      <c r="BV265" s="30" t="str">
        <f ca="1">IFERROR(__xludf.DUMMYFUNCTION("""COMPUTED_VALUE"""),"No")</f>
        <v>No</v>
      </c>
      <c r="BW265" s="30">
        <f ca="1">IFERROR(__xludf.DUMMYFUNCTION("""COMPUTED_VALUE"""),9)</f>
        <v>9</v>
      </c>
      <c r="BX265" s="30"/>
      <c r="BY265" s="30">
        <f ca="1">IFERROR(__xludf.DUMMYFUNCTION("""COMPUTED_VALUE"""),9)</f>
        <v>9</v>
      </c>
      <c r="BZ265" s="30"/>
      <c r="CA265" s="30" t="str">
        <f ca="1">IFERROR(__xludf.DUMMYFUNCTION("""COMPUTED_VALUE"""),"No")</f>
        <v>No</v>
      </c>
      <c r="CB265" s="30" t="str">
        <f ca="1">IFERROR(__xludf.DUMMYFUNCTION("""COMPUTED_VALUE"""),"No")</f>
        <v>No</v>
      </c>
      <c r="CC265" s="30" t="str">
        <f ca="1">IFERROR(__xludf.DUMMYFUNCTION("""COMPUTED_VALUE"""),"eee274fa")</f>
        <v>eee274fa</v>
      </c>
      <c r="CD265" s="29" t="str">
        <f ca="1">IFERROR(__xludf.DUMMYFUNCTION("""COMPUTED_VALUE"""),"Niñas y Niños (6 a 12 años)")</f>
        <v>Niñas y Niños (6 a 12 años)</v>
      </c>
      <c r="CE265" s="30" t="str">
        <f ca="1">IFERROR(__xludf.DUMMYFUNCTION("""COMPUTED_VALUE"""),"Dato global")</f>
        <v>Dato global</v>
      </c>
      <c r="CF265" s="30" t="str">
        <f ca="1">IFERROR(__xludf.DUMMYFUNCTION("""COMPUTED_VALUE"""),"Ninguno (Población General)")</f>
        <v>Ninguno (Población General)</v>
      </c>
      <c r="CG265" s="30">
        <f ca="1">IFERROR(__xludf.DUMMYFUNCTION("""COMPUTED_VALUE"""),3384)</f>
        <v>3384</v>
      </c>
      <c r="CI265" s="30" t="str">
        <f ca="1">IFERROR(__xludf.DUMMYFUNCTION("""COMPUTED_VALUE"""),"eb036be7")</f>
        <v>eb036be7</v>
      </c>
      <c r="CJ265" s="29" t="str">
        <f ca="1">IFERROR(__xludf.DUMMYFUNCTION("""COMPUTED_VALUE"""),"Regitro_Evidencia_Images/eb036be7.Archivo_Evidencia.174045.jpg")</f>
        <v>Regitro_Evidencia_Images/eb036be7.Archivo_Evidencia.174045.jpg</v>
      </c>
      <c r="CK265" s="30" t="str">
        <f ca="1">IFERROR(__xludf.DUMMYFUNCTION("""COMPUTED_VALUE"""),"Foto")</f>
        <v>Foto</v>
      </c>
      <c r="CL265" s="30"/>
      <c r="CM265" s="30" t="str">
        <f ca="1">IFERROR(__xludf.DUMMYFUNCTION("""COMPUTED_VALUE"""),"León")</f>
        <v>León</v>
      </c>
      <c r="CN265" s="32" t="e">
        <f ca="1"/>
        <v>#NAME?</v>
      </c>
      <c r="CO265" s="32" t="e">
        <f ca="1"/>
        <v>#NAME?</v>
      </c>
      <c r="CP265" s="32" t="e">
        <f ca="1"/>
        <v>#NAME?</v>
      </c>
      <c r="CQ265" s="32" t="e">
        <f ca="1"/>
        <v>#NAME?</v>
      </c>
      <c r="CR265" s="30" t="e">
        <f ca="1"/>
        <v>#NAME?</v>
      </c>
      <c r="CS265" s="30" t="str">
        <f ca="1">IFERROR(__xludf.DUMMYFUNCTION("""COMPUTED_VALUE"""),"Ninguno (Población General)")</f>
        <v>Ninguno (Población General)</v>
      </c>
    </row>
    <row r="266" spans="1:97" ht="13">
      <c r="A266" s="29" t="str">
        <f ca="1">IFERROR(__xludf.DUMMYFUNCTION("""COMPUTED_VALUE"""),"ACT-SCYT87172")</f>
        <v>ACT-SCYT87172</v>
      </c>
      <c r="B266" s="30" t="str">
        <f ca="1">IFERROR(__xludf.DUMMYFUNCTION("""COMPUTED_VALUE"""),"SC-260817-122026")</f>
        <v>SC-260817-122026</v>
      </c>
      <c r="C266" s="62">
        <f ca="1">IFERROR(__xludf.DUMMYFUNCTION("""COMPUTED_VALUE"""),46251.5141898148)</f>
        <v>46251.514189814799</v>
      </c>
      <c r="D266" s="30">
        <f ca="1">IFERROR(__xludf.DUMMYFUNCTION("""COMPUTED_VALUE"""),92)</f>
        <v>92</v>
      </c>
      <c r="E266" s="30" t="str">
        <f ca="1">IFERROR(__xludf.DUMMYFUNCTION("""COMPUTED_VALUE"""),"PB3572")</f>
        <v>PB3572</v>
      </c>
      <c r="F26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6" s="30" t="str">
        <f ca="1">IFERROR(__xludf.DUMMYFUNCTION("""COMPUTED_VALUE"""),"SUBSECRETARÍA DE DESARROLLO Y PROMOCIÓN ARTÍSTICA Y CULTURAL")</f>
        <v>SUBSECRETARÍA DE DESARROLLO Y PROMOCIÓN ARTÍSTICA Y CULTURAL</v>
      </c>
      <c r="I266" s="34" t="str">
        <f ca="1">IFERROR(__xludf.DUMMYFUNCTION("""COMPUTED_VALUE"""),"DIRECCIÓN GENERAL DE MUSEOS, ARTES VISUALES Y EXPOSICIONES")</f>
        <v>DIRECCIÓN GENERAL DE MUSEOS, ARTES VISUALES Y EXPOSICIONES</v>
      </c>
      <c r="J266" s="30" t="str">
        <f ca="1">IFERROR(__xludf.DUMMYFUNCTION("""COMPUTED_VALUE"""),"Número de Actividades realizadas")</f>
        <v>Número de Actividades realizadas</v>
      </c>
      <c r="K266" s="30">
        <f ca="1">IFERROR(__xludf.DUMMYFUNCTION("""COMPUTED_VALUE"""),800)</f>
        <v>800</v>
      </c>
      <c r="L266" s="30" t="str">
        <f ca="1">IFERROR(__xludf.DUMMYFUNCTION("""COMPUTED_VALUE"""),"Cultural")</f>
        <v>Cultural</v>
      </c>
      <c r="M266" s="30" t="str">
        <f ca="1">IFERROR(__xludf.DUMMYFUNCTION("""COMPUTED_VALUE"""),"Visita escolar ""UNIVERSIDAD DE LEÓN""")</f>
        <v>Visita escolar "UNIVERSIDAD DE LEÓN"</v>
      </c>
      <c r="N266" s="30" t="str">
        <f ca="1">IFERROR(__xludf.DUMMYFUNCTION("""COMPUTED_VALUE"""),"Visita Mediada")</f>
        <v>Visita Mediada</v>
      </c>
      <c r="O266" s="30" t="str">
        <f ca="1">IFERROR(__xludf.DUMMYFUNCTION("""COMPUTED_VALUE"""),"Única")</f>
        <v>Única</v>
      </c>
      <c r="P266" s="33">
        <f ca="1">IFERROR(__xludf.DUMMYFUNCTION("""COMPUTED_VALUE"""),46226)</f>
        <v>46226</v>
      </c>
      <c r="Q266" s="33">
        <f ca="1">IFERROR(__xludf.DUMMYFUNCTION("""COMPUTED_VALUE"""),46226)</f>
        <v>46226</v>
      </c>
      <c r="R266" s="30">
        <f ca="1">IFERROR(__xludf.DUMMYFUNCTION("""COMPUTED_VALUE"""),1)</f>
        <v>1</v>
      </c>
      <c r="S266" s="30" t="str">
        <f ca="1">IFERROR(__xludf.DUMMYFUNCTION("""COMPUTED_VALUE"""),"Cultura comunitaria")</f>
        <v>Cultura comunitaria</v>
      </c>
      <c r="T266" s="30" t="str">
        <f ca="1">IFERROR(__xludf.DUMMYFUNCTION("""COMPUTED_VALUE"""),"Mediación cultural")</f>
        <v>Mediación cultural</v>
      </c>
      <c r="U266" s="30" t="str">
        <f ca="1">IFERROR(__xludf.DUMMYFUNCTION("""COMPUTED_VALUE"""),"Visitas escolares")</f>
        <v>Visitas escolares</v>
      </c>
      <c r="V266" s="30" t="str">
        <f ca="1">IFERROR(__xludf.DUMMYFUNCTION("""COMPUTED_VALUE"""),"Ninguna")</f>
        <v>Ninguna</v>
      </c>
      <c r="W266" s="30" t="str">
        <f ca="1">IFERROR(__xludf.DUMMYFUNCTION("""COMPUTED_VALUE"""),"Presencial")</f>
        <v>Presencial</v>
      </c>
      <c r="X266" s="30" t="str">
        <f ca="1">IFERROR(__xludf.DUMMYFUNCTION("""COMPUTED_VALUE"""),"Espacio a Cargo de la Secretaría")</f>
        <v>Espacio a Cargo de la Secretaría</v>
      </c>
      <c r="Y266" s="30" t="str">
        <f ca="1">IFERROR(__xludf.DUMMYFUNCTION("""COMPUTED_VALUE"""),"Museo de Arte e Historia de Guanajuato, sala Feliciano Peña")</f>
        <v>Museo de Arte e Historia de Guanajuato, sala Feliciano Peña</v>
      </c>
      <c r="Z266" s="30"/>
      <c r="AA266" s="30"/>
      <c r="AB266" s="30" t="b">
        <f ca="1">IFERROR(__xludf.DUMMYFUNCTION("""COMPUTED_VALUE"""),FALSE)</f>
        <v>0</v>
      </c>
      <c r="AC266" s="30"/>
      <c r="AD266" s="30" t="b">
        <f ca="1">IFERROR(__xludf.DUMMYFUNCTION("""COMPUTED_VALUE"""),FALSE)</f>
        <v>0</v>
      </c>
      <c r="AE266" s="30"/>
      <c r="AF266" s="30" t="b">
        <f ca="1">IFERROR(__xludf.DUMMYFUNCTION("""COMPUTED_VALUE"""),FALSE)</f>
        <v>0</v>
      </c>
      <c r="AG266" s="30"/>
      <c r="AH266" s="30" t="str">
        <f ca="1">IFERROR(__xludf.DUMMYFUNCTION("""COMPUTED_VALUE"""),"Sin costo")</f>
        <v>Sin costo</v>
      </c>
      <c r="AI266" s="30"/>
      <c r="AJ266" s="30"/>
      <c r="AK266" s="30"/>
      <c r="AL266" s="30" t="str">
        <f ca="1">IFERROR(__xludf.DUMMYFUNCTION("""COMPUTED_VALUE"""),"ccardonav@guanajuato.gob.mx")</f>
        <v>ccardonav@guanajuato.gob.mx</v>
      </c>
      <c r="AM266" s="30" t="str">
        <f ca="1">IFERROR(__xludf.DUMMYFUNCTION("""COMPUTED_VALUE"""),"Arraigo y empoderamiento cultural de comunidades.")</f>
        <v>Arraigo y empoderamiento cultural de comunidades.</v>
      </c>
      <c r="AN266" s="30" t="str">
        <f ca="1">IFERROR(__xludf.DUMMYFUNCTION("""COMPUTED_VALUE"""),"2 Igualdad")</f>
        <v>2 Igualdad</v>
      </c>
      <c r="AO266" s="30" t="str">
        <f ca="1">IFERROR(__xludf.DUMMYFUNCTION("""COMPUTED_VALUE"""),"2.4 Reducir brechas de desigualdad")</f>
        <v>2.4 Reducir brechas de desigualdad</v>
      </c>
      <c r="AP266" s="30" t="str">
        <f ca="1">IFERROR(__xludf.DUMMYFUNCTION("""COMPUTED_VALUE"""),"2.4.3 Descentralización de la oferta cultural")</f>
        <v>2.4.3 Descentralización de la oferta cultural</v>
      </c>
      <c r="AQ266" s="30" t="str">
        <f ca="1">IFERROR(__xludf.DUMMYFUNCTION("""COMPUTED_VALUE"""),"2.4.3.1 Impulsar el desarrollo artístico y cultural entre infancias y juventudes")</f>
        <v>2.4.3.1 Impulsar el desarrollo artístico y cultural entre infancias y juventudes</v>
      </c>
      <c r="AR266" s="30" t="str">
        <f ca="1">IFERROR(__xludf.DUMMYFUNCTION("""COMPUTED_VALUE"""),"Ninguno")</f>
        <v>Ninguno</v>
      </c>
      <c r="AS266" s="30"/>
      <c r="AT266" s="30" t="str">
        <f ca="1">IFERROR(__xludf.DUMMYFUNCTION("""COMPUTED_VALUE"""),"Fortalecimiento de la participación ciudadana y la mediación cultural")</f>
        <v>Fortalecimiento de la participación ciudadana y la mediación cultural</v>
      </c>
      <c r="AU266" s="30" t="str">
        <f ca="1">IFERROR(__xludf.DUMMYFUNCTION("""COMPUTED_VALUE"""),"Fortalecimiento del diálogo, la mediación y las capacidades de las redes comunitarias.")</f>
        <v>Fortalecimiento del diálogo, la mediación y las capacidades de las redes comunitarias.</v>
      </c>
      <c r="AV26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6" s="30" t="str">
        <f ca="1">IFERROR(__xludf.DUMMYFUNCTION("""COMPUTED_VALUE"""),"Incrementar en 25% la oferta cultural realizada en los municipios.")</f>
        <v>Incrementar en 25% la oferta cultural realizada en los municipios.</v>
      </c>
      <c r="AX266" s="30" t="str">
        <f ca="1">IFERROR(__xludf.DUMMYFUNCTION("""COMPUTED_VALUE"""),"Visitas escolares")</f>
        <v>Visitas escolares</v>
      </c>
      <c r="AY266" s="30" t="str">
        <f ca="1">IFERROR(__xludf.DUMMYFUNCTION("""COMPUTED_VALUE"""),"Mediación")</f>
        <v>Mediación</v>
      </c>
      <c r="AZ266" s="30"/>
      <c r="BA266" s="30"/>
      <c r="BB266" s="30"/>
      <c r="BC266" s="30">
        <f ca="1">IFERROR(__xludf.DUMMYFUNCTION("""COMPUTED_VALUE"""),0)</f>
        <v>0</v>
      </c>
      <c r="BD266" s="30"/>
      <c r="BE266" s="30"/>
      <c r="BF266" s="30" t="b">
        <f ca="1">IFERROR(__xludf.DUMMYFUNCTION("""COMPUTED_VALUE"""),FALSE)</f>
        <v>0</v>
      </c>
      <c r="BG266" s="30"/>
      <c r="BH266" s="30"/>
      <c r="BI266" s="30"/>
      <c r="BJ266" s="30"/>
      <c r="BK266" s="30"/>
      <c r="BL266" s="30"/>
      <c r="BM266" s="30" t="str">
        <f ca="1">IFERROR(__xludf.DUMMYFUNCTION("""COMPUTED_VALUE"""),"No")</f>
        <v>No</v>
      </c>
      <c r="BN266" s="30"/>
      <c r="BO266" s="30" t="str">
        <f ca="1">IFERROR(__xludf.DUMMYFUNCTION("""COMPUTED_VALUE"""),"cfc2ab83")</f>
        <v>cfc2ab83</v>
      </c>
      <c r="BP266" s="29" t="str">
        <f ca="1">IFERROR(__xludf.DUMMYFUNCTION("""COMPUTED_VALUE"""),"León")</f>
        <v>León</v>
      </c>
      <c r="BQ266" s="30" t="str">
        <f ca="1">IFERROR(__xludf.DUMMYFUNCTION("""COMPUTED_VALUE"""),"Urbano")</f>
        <v>Urbano</v>
      </c>
      <c r="BR266" s="30"/>
      <c r="BS266" s="30"/>
      <c r="BT266" s="30"/>
      <c r="BU266" s="30" t="str">
        <f ca="1">IFERROR(__xludf.DUMMYFUNCTION("""COMPUTED_VALUE"""),"No")</f>
        <v>No</v>
      </c>
      <c r="BV266" s="30" t="str">
        <f ca="1">IFERROR(__xludf.DUMMYFUNCTION("""COMPUTED_VALUE"""),"No")</f>
        <v>No</v>
      </c>
      <c r="BW266" s="30">
        <f ca="1">IFERROR(__xludf.DUMMYFUNCTION("""COMPUTED_VALUE"""),31)</f>
        <v>31</v>
      </c>
      <c r="BX266" s="30"/>
      <c r="BY266" s="30">
        <f ca="1">IFERROR(__xludf.DUMMYFUNCTION("""COMPUTED_VALUE"""),31)</f>
        <v>31</v>
      </c>
      <c r="BZ266" s="30"/>
      <c r="CA266" s="30" t="str">
        <f ca="1">IFERROR(__xludf.DUMMYFUNCTION("""COMPUTED_VALUE"""),"No")</f>
        <v>No</v>
      </c>
      <c r="CB266" s="30" t="str">
        <f ca="1">IFERROR(__xludf.DUMMYFUNCTION("""COMPUTED_VALUE"""),"No")</f>
        <v>No</v>
      </c>
      <c r="CC266" s="30" t="str">
        <f ca="1">IFERROR(__xludf.DUMMYFUNCTION("""COMPUTED_VALUE"""),"220d4fad")</f>
        <v>220d4fad</v>
      </c>
      <c r="CD266" s="29" t="str">
        <f ca="1">IFERROR(__xludf.DUMMYFUNCTION("""COMPUTED_VALUE"""),"Adolescentes (13 a 17 años)")</f>
        <v>Adolescentes (13 a 17 años)</v>
      </c>
      <c r="CE266" s="30" t="str">
        <f ca="1">IFERROR(__xludf.DUMMYFUNCTION("""COMPUTED_VALUE"""),"Dato global")</f>
        <v>Dato global</v>
      </c>
      <c r="CF266" s="30" t="str">
        <f ca="1">IFERROR(__xludf.DUMMYFUNCTION("""COMPUTED_VALUE"""),"Ninguno (Población General)")</f>
        <v>Ninguno (Población General)</v>
      </c>
      <c r="CG266" s="30">
        <f ca="1">IFERROR(__xludf.DUMMYFUNCTION("""COMPUTED_VALUE"""),6769)</f>
        <v>6769</v>
      </c>
      <c r="CI266" s="30" t="str">
        <f ca="1">IFERROR(__xludf.DUMMYFUNCTION("""COMPUTED_VALUE"""),"7d1b1afa")</f>
        <v>7d1b1afa</v>
      </c>
      <c r="CJ266" s="29" t="str">
        <f ca="1">IFERROR(__xludf.DUMMYFUNCTION("""COMPUTED_VALUE"""),"Regitro_Evidencia_Images/7d1b1afa.Archivo_Evidencia.182735.jpg")</f>
        <v>Regitro_Evidencia_Images/7d1b1afa.Archivo_Evidencia.182735.jpg</v>
      </c>
      <c r="CK266" s="30" t="str">
        <f ca="1">IFERROR(__xludf.DUMMYFUNCTION("""COMPUTED_VALUE"""),"Foto")</f>
        <v>Foto</v>
      </c>
      <c r="CL266" s="30"/>
      <c r="CM266" s="30" t="str">
        <f ca="1">IFERROR(__xludf.DUMMYFUNCTION("""COMPUTED_VALUE"""),"León")</f>
        <v>León</v>
      </c>
      <c r="CN266" s="32" t="e">
        <f ca="1"/>
        <v>#NAME?</v>
      </c>
      <c r="CO266" s="32" t="e">
        <f ca="1"/>
        <v>#NAME?</v>
      </c>
      <c r="CP266" s="32" t="e">
        <f ca="1"/>
        <v>#NAME?</v>
      </c>
      <c r="CQ266" s="32" t="e">
        <f ca="1"/>
        <v>#NAME?</v>
      </c>
      <c r="CR266" s="30" t="e">
        <f ca="1"/>
        <v>#NAME?</v>
      </c>
      <c r="CS266" s="30" t="str">
        <f ca="1">IFERROR(__xludf.DUMMYFUNCTION("""COMPUTED_VALUE"""),"Ninguno (Población General)")</f>
        <v>Ninguno (Población General)</v>
      </c>
    </row>
    <row r="267" spans="1:97" ht="13">
      <c r="A267" s="29" t="str">
        <f ca="1">IFERROR(__xludf.DUMMYFUNCTION("""COMPUTED_VALUE"""),"ACT-SCOL16601")</f>
        <v>ACT-SCOL16601</v>
      </c>
      <c r="B267" s="30" t="str">
        <f ca="1">IFERROR(__xludf.DUMMYFUNCTION("""COMPUTED_VALUE"""),"SC-260817-122538")</f>
        <v>SC-260817-122538</v>
      </c>
      <c r="C267" s="62">
        <f ca="1">IFERROR(__xludf.DUMMYFUNCTION("""COMPUTED_VALUE"""),46251.5178009259)</f>
        <v>46251.517800925903</v>
      </c>
      <c r="D267" s="30">
        <f ca="1">IFERROR(__xludf.DUMMYFUNCTION("""COMPUTED_VALUE"""),92)</f>
        <v>92</v>
      </c>
      <c r="E267" s="30" t="str">
        <f ca="1">IFERROR(__xludf.DUMMYFUNCTION("""COMPUTED_VALUE"""),"PB3572")</f>
        <v>PB3572</v>
      </c>
      <c r="F26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7" s="30" t="str">
        <f ca="1">IFERROR(__xludf.DUMMYFUNCTION("""COMPUTED_VALUE"""),"SUBSECRETARÍA DE DESARROLLO Y PROMOCIÓN ARTÍSTICA Y CULTURAL")</f>
        <v>SUBSECRETARÍA DE DESARROLLO Y PROMOCIÓN ARTÍSTICA Y CULTURAL</v>
      </c>
      <c r="I267" s="34" t="str">
        <f ca="1">IFERROR(__xludf.DUMMYFUNCTION("""COMPUTED_VALUE"""),"DIRECCIÓN GENERAL DE MUSEOS, ARTES VISUALES Y EXPOSICIONES")</f>
        <v>DIRECCIÓN GENERAL DE MUSEOS, ARTES VISUALES Y EXPOSICIONES</v>
      </c>
      <c r="J267" s="30" t="str">
        <f ca="1">IFERROR(__xludf.DUMMYFUNCTION("""COMPUTED_VALUE"""),"Número de Actividades realizadas")</f>
        <v>Número de Actividades realizadas</v>
      </c>
      <c r="K267" s="30">
        <f ca="1">IFERROR(__xludf.DUMMYFUNCTION("""COMPUTED_VALUE"""),800)</f>
        <v>800</v>
      </c>
      <c r="L267" s="30" t="str">
        <f ca="1">IFERROR(__xludf.DUMMYFUNCTION("""COMPUTED_VALUE"""),"Cultural")</f>
        <v>Cultural</v>
      </c>
      <c r="M267" s="30" t="str">
        <f ca="1">IFERROR(__xludf.DUMMYFUNCTION("""COMPUTED_VALUE"""),"Visita guiada libre.")</f>
        <v>Visita guiada libre.</v>
      </c>
      <c r="N267" s="30" t="str">
        <f ca="1">IFERROR(__xludf.DUMMYFUNCTION("""COMPUTED_VALUE"""),"Visita Mediada")</f>
        <v>Visita Mediada</v>
      </c>
      <c r="O267" s="30" t="str">
        <f ca="1">IFERROR(__xludf.DUMMYFUNCTION("""COMPUTED_VALUE"""),"Única")</f>
        <v>Única</v>
      </c>
      <c r="P267" s="33">
        <f ca="1">IFERROR(__xludf.DUMMYFUNCTION("""COMPUTED_VALUE"""),46226)</f>
        <v>46226</v>
      </c>
      <c r="Q267" s="33">
        <f ca="1">IFERROR(__xludf.DUMMYFUNCTION("""COMPUTED_VALUE"""),46226)</f>
        <v>46226</v>
      </c>
      <c r="R267" s="30">
        <f ca="1">IFERROR(__xludf.DUMMYFUNCTION("""COMPUTED_VALUE"""),1)</f>
        <v>1</v>
      </c>
      <c r="S267" s="30" t="str">
        <f ca="1">IFERROR(__xludf.DUMMYFUNCTION("""COMPUTED_VALUE"""),"Cultura comunitaria")</f>
        <v>Cultura comunitaria</v>
      </c>
      <c r="T267" s="30" t="str">
        <f ca="1">IFERROR(__xludf.DUMMYFUNCTION("""COMPUTED_VALUE"""),"Mediación cultural")</f>
        <v>Mediación cultural</v>
      </c>
      <c r="U267" s="30" t="str">
        <f ca="1">IFERROR(__xludf.DUMMYFUNCTION("""COMPUTED_VALUE"""),"Visitas guiadas")</f>
        <v>Visitas guiadas</v>
      </c>
      <c r="V267" s="30" t="str">
        <f ca="1">IFERROR(__xludf.DUMMYFUNCTION("""COMPUTED_VALUE"""),"Ninguna")</f>
        <v>Ninguna</v>
      </c>
      <c r="W267" s="30" t="str">
        <f ca="1">IFERROR(__xludf.DUMMYFUNCTION("""COMPUTED_VALUE"""),"Presencial")</f>
        <v>Presencial</v>
      </c>
      <c r="X267" s="30" t="str">
        <f ca="1">IFERROR(__xludf.DUMMYFUNCTION("""COMPUTED_VALUE"""),"Espacio a Cargo de la Secretaría")</f>
        <v>Espacio a Cargo de la Secretaría</v>
      </c>
      <c r="Y267" s="30" t="str">
        <f ca="1">IFERROR(__xludf.DUMMYFUNCTION("""COMPUTED_VALUE"""),"Museo de Arte e Historia de Guanajuato, sala Feliciano Peña")</f>
        <v>Museo de Arte e Historia de Guanajuato, sala Feliciano Peña</v>
      </c>
      <c r="Z267" s="30"/>
      <c r="AA267" s="30"/>
      <c r="AB267" s="30" t="b">
        <f ca="1">IFERROR(__xludf.DUMMYFUNCTION("""COMPUTED_VALUE"""),FALSE)</f>
        <v>0</v>
      </c>
      <c r="AC267" s="30"/>
      <c r="AD267" s="30" t="b">
        <f ca="1">IFERROR(__xludf.DUMMYFUNCTION("""COMPUTED_VALUE"""),FALSE)</f>
        <v>0</v>
      </c>
      <c r="AE267" s="30"/>
      <c r="AF267" s="30" t="b">
        <f ca="1">IFERROR(__xludf.DUMMYFUNCTION("""COMPUTED_VALUE"""),FALSE)</f>
        <v>0</v>
      </c>
      <c r="AG267" s="30"/>
      <c r="AH267" s="30" t="str">
        <f ca="1">IFERROR(__xludf.DUMMYFUNCTION("""COMPUTED_VALUE"""),"Sin costo")</f>
        <v>Sin costo</v>
      </c>
      <c r="AI267" s="30"/>
      <c r="AJ267" s="30"/>
      <c r="AK267" s="30"/>
      <c r="AL267" s="30" t="str">
        <f ca="1">IFERROR(__xludf.DUMMYFUNCTION("""COMPUTED_VALUE"""),"ccardonav@guanajuato.gob.mx")</f>
        <v>ccardonav@guanajuato.gob.mx</v>
      </c>
      <c r="AM267" s="30" t="str">
        <f ca="1">IFERROR(__xludf.DUMMYFUNCTION("""COMPUTED_VALUE"""),"Arraigo y empoderamiento cultural de comunidades.")</f>
        <v>Arraigo y empoderamiento cultural de comunidades.</v>
      </c>
      <c r="AN267" s="30" t="str">
        <f ca="1">IFERROR(__xludf.DUMMYFUNCTION("""COMPUTED_VALUE"""),"2 Igualdad")</f>
        <v>2 Igualdad</v>
      </c>
      <c r="AO267" s="30" t="str">
        <f ca="1">IFERROR(__xludf.DUMMYFUNCTION("""COMPUTED_VALUE"""),"2.4 Reducir brechas de desigualdad")</f>
        <v>2.4 Reducir brechas de desigualdad</v>
      </c>
      <c r="AP267" s="30" t="str">
        <f ca="1">IFERROR(__xludf.DUMMYFUNCTION("""COMPUTED_VALUE"""),"2.4.3 Descentralización de la oferta cultural")</f>
        <v>2.4.3 Descentralización de la oferta cultural</v>
      </c>
      <c r="AQ267" s="30" t="str">
        <f ca="1">IFERROR(__xludf.DUMMYFUNCTION("""COMPUTED_VALUE"""),"2.4.3.1 Impulsar el desarrollo artístico y cultural entre infancias y juventudes")</f>
        <v>2.4.3.1 Impulsar el desarrollo artístico y cultural entre infancias y juventudes</v>
      </c>
      <c r="AR267" s="30" t="str">
        <f ca="1">IFERROR(__xludf.DUMMYFUNCTION("""COMPUTED_VALUE"""),"Ninguno")</f>
        <v>Ninguno</v>
      </c>
      <c r="AS267" s="30"/>
      <c r="AT267" s="30" t="str">
        <f ca="1">IFERROR(__xludf.DUMMYFUNCTION("""COMPUTED_VALUE"""),"Fortalecimiento de la participación ciudadana y la mediación cultural")</f>
        <v>Fortalecimiento de la participación ciudadana y la mediación cultural</v>
      </c>
      <c r="AU267" s="30" t="str">
        <f ca="1">IFERROR(__xludf.DUMMYFUNCTION("""COMPUTED_VALUE"""),"Fortalecimiento del diálogo, la mediación y las capacidades de las redes comunitarias.")</f>
        <v>Fortalecimiento del diálogo, la mediación y las capacidades de las redes comunitarias.</v>
      </c>
      <c r="AV26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7" s="30" t="str">
        <f ca="1">IFERROR(__xludf.DUMMYFUNCTION("""COMPUTED_VALUE"""),"Incrementar en 25% la oferta cultural realizada en los municipios.")</f>
        <v>Incrementar en 25% la oferta cultural realizada en los municipios.</v>
      </c>
      <c r="AX267" s="30" t="str">
        <f ca="1">IFERROR(__xludf.DUMMYFUNCTION("""COMPUTED_VALUE"""),"Visitas guiadas")</f>
        <v>Visitas guiadas</v>
      </c>
      <c r="AY267" s="30" t="str">
        <f ca="1">IFERROR(__xludf.DUMMYFUNCTION("""COMPUTED_VALUE"""),"Mediación")</f>
        <v>Mediación</v>
      </c>
      <c r="AZ267" s="30"/>
      <c r="BA267" s="30"/>
      <c r="BB267" s="30"/>
      <c r="BC267" s="30">
        <f ca="1">IFERROR(__xludf.DUMMYFUNCTION("""COMPUTED_VALUE"""),0)</f>
        <v>0</v>
      </c>
      <c r="BD267" s="30"/>
      <c r="BE267" s="30"/>
      <c r="BF267" s="30" t="b">
        <f ca="1">IFERROR(__xludf.DUMMYFUNCTION("""COMPUTED_VALUE"""),FALSE)</f>
        <v>0</v>
      </c>
      <c r="BG267" s="30"/>
      <c r="BH267" s="30"/>
      <c r="BI267" s="30"/>
      <c r="BJ267" s="30"/>
      <c r="BK267" s="30"/>
      <c r="BL267" s="30"/>
      <c r="BM267" s="30" t="str">
        <f ca="1">IFERROR(__xludf.DUMMYFUNCTION("""COMPUTED_VALUE"""),"No")</f>
        <v>No</v>
      </c>
      <c r="BN267" s="30"/>
      <c r="BO267" s="30" t="str">
        <f ca="1">IFERROR(__xludf.DUMMYFUNCTION("""COMPUTED_VALUE"""),"334c72f4")</f>
        <v>334c72f4</v>
      </c>
      <c r="BP267" s="29" t="str">
        <f ca="1">IFERROR(__xludf.DUMMYFUNCTION("""COMPUTED_VALUE"""),"León")</f>
        <v>León</v>
      </c>
      <c r="BQ267" s="30" t="str">
        <f ca="1">IFERROR(__xludf.DUMMYFUNCTION("""COMPUTED_VALUE"""),"Urbano")</f>
        <v>Urbano</v>
      </c>
      <c r="BR267" s="30"/>
      <c r="BS267" s="30"/>
      <c r="BT267" s="30"/>
      <c r="BU267" s="30" t="str">
        <f ca="1">IFERROR(__xludf.DUMMYFUNCTION("""COMPUTED_VALUE"""),"No")</f>
        <v>No</v>
      </c>
      <c r="BV267" s="30" t="str">
        <f ca="1">IFERROR(__xludf.DUMMYFUNCTION("""COMPUTED_VALUE"""),"No")</f>
        <v>No</v>
      </c>
      <c r="BW267" s="30">
        <f ca="1">IFERROR(__xludf.DUMMYFUNCTION("""COMPUTED_VALUE"""),6)</f>
        <v>6</v>
      </c>
      <c r="BX267" s="30"/>
      <c r="BY267" s="30">
        <f ca="1">IFERROR(__xludf.DUMMYFUNCTION("""COMPUTED_VALUE"""),6)</f>
        <v>6</v>
      </c>
      <c r="BZ267" s="30"/>
      <c r="CA267" s="30" t="str">
        <f ca="1">IFERROR(__xludf.DUMMYFUNCTION("""COMPUTED_VALUE"""),"No")</f>
        <v>No</v>
      </c>
      <c r="CB267" s="30" t="str">
        <f ca="1">IFERROR(__xludf.DUMMYFUNCTION("""COMPUTED_VALUE"""),"No")</f>
        <v>No</v>
      </c>
      <c r="CC267" s="30" t="str">
        <f ca="1">IFERROR(__xludf.DUMMYFUNCTION("""COMPUTED_VALUE"""),"d5373faf")</f>
        <v>d5373faf</v>
      </c>
      <c r="CD267" s="29" t="str">
        <f ca="1">IFERROR(__xludf.DUMMYFUNCTION("""COMPUTED_VALUE"""),"Adultos (30 a 59 años)")</f>
        <v>Adultos (30 a 59 años)</v>
      </c>
      <c r="CE267" s="30" t="str">
        <f ca="1">IFERROR(__xludf.DUMMYFUNCTION("""COMPUTED_VALUE"""),"Dato global")</f>
        <v>Dato global</v>
      </c>
      <c r="CF267" s="30" t="str">
        <f ca="1">IFERROR(__xludf.DUMMYFUNCTION("""COMPUTED_VALUE"""),"Ninguno (Población General)")</f>
        <v>Ninguno (Población General)</v>
      </c>
      <c r="CG267" s="30">
        <f ca="1">IFERROR(__xludf.DUMMYFUNCTION("""COMPUTED_VALUE"""),13537)</f>
        <v>13537</v>
      </c>
      <c r="CI267" s="30" t="str">
        <f ca="1">IFERROR(__xludf.DUMMYFUNCTION("""COMPUTED_VALUE"""),"9557bc1b")</f>
        <v>9557bc1b</v>
      </c>
      <c r="CJ267" s="29" t="str">
        <f ca="1">IFERROR(__xludf.DUMMYFUNCTION("""COMPUTED_VALUE"""),"Regitro_Evidencia_Images/9557bc1b.Archivo_Evidencia.183137.jpg")</f>
        <v>Regitro_Evidencia_Images/9557bc1b.Archivo_Evidencia.183137.jpg</v>
      </c>
      <c r="CK267" s="30" t="str">
        <f ca="1">IFERROR(__xludf.DUMMYFUNCTION("""COMPUTED_VALUE"""),"Foto")</f>
        <v>Foto</v>
      </c>
      <c r="CL267" s="30"/>
      <c r="CM267" s="30" t="str">
        <f ca="1">IFERROR(__xludf.DUMMYFUNCTION("""COMPUTED_VALUE"""),"León")</f>
        <v>León</v>
      </c>
      <c r="CN267" s="32" t="e">
        <f ca="1"/>
        <v>#NAME?</v>
      </c>
      <c r="CO267" s="32" t="e">
        <f ca="1"/>
        <v>#NAME?</v>
      </c>
      <c r="CP267" s="32" t="e">
        <f ca="1"/>
        <v>#NAME?</v>
      </c>
      <c r="CQ267" s="32" t="e">
        <f ca="1"/>
        <v>#NAME?</v>
      </c>
      <c r="CR267" s="30" t="e">
        <f ca="1"/>
        <v>#NAME?</v>
      </c>
      <c r="CS267" s="30" t="str">
        <f ca="1">IFERROR(__xludf.DUMMYFUNCTION("""COMPUTED_VALUE"""),"Ninguno (Población General), Ninguno (Población General)")</f>
        <v>Ninguno (Población General), Ninguno (Población General)</v>
      </c>
    </row>
    <row r="268" spans="1:97" ht="13">
      <c r="A268" s="29" t="str">
        <f ca="1">IFERROR(__xludf.DUMMYFUNCTION("""COMPUTED_VALUE"""),"ACT-SCRP08378")</f>
        <v>ACT-SCRP08378</v>
      </c>
      <c r="B268" s="30" t="str">
        <f ca="1">IFERROR(__xludf.DUMMYFUNCTION("""COMPUTED_VALUE"""),"SC-260817-123543")</f>
        <v>SC-260817-123543</v>
      </c>
      <c r="C268" s="62">
        <f ca="1">IFERROR(__xludf.DUMMYFUNCTION("""COMPUTED_VALUE"""),46251.5248032407)</f>
        <v>46251.524803240703</v>
      </c>
      <c r="D268" s="30">
        <f ca="1">IFERROR(__xludf.DUMMYFUNCTION("""COMPUTED_VALUE"""),92)</f>
        <v>92</v>
      </c>
      <c r="E268" s="30" t="str">
        <f ca="1">IFERROR(__xludf.DUMMYFUNCTION("""COMPUTED_VALUE"""),"PB3572")</f>
        <v>PB3572</v>
      </c>
      <c r="F26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8" s="30" t="str">
        <f ca="1">IFERROR(__xludf.DUMMYFUNCTION("""COMPUTED_VALUE"""),"SUBSECRETARÍA DE DESARROLLO Y PROMOCIÓN ARTÍSTICA Y CULTURAL")</f>
        <v>SUBSECRETARÍA DE DESARROLLO Y PROMOCIÓN ARTÍSTICA Y CULTURAL</v>
      </c>
      <c r="I268" s="34" t="str">
        <f ca="1">IFERROR(__xludf.DUMMYFUNCTION("""COMPUTED_VALUE"""),"DIRECCIÓN GENERAL DE MUSEOS, ARTES VISUALES Y EXPOSICIONES")</f>
        <v>DIRECCIÓN GENERAL DE MUSEOS, ARTES VISUALES Y EXPOSICIONES</v>
      </c>
      <c r="J268" s="30" t="str">
        <f ca="1">IFERROR(__xludf.DUMMYFUNCTION("""COMPUTED_VALUE"""),"Número de Actividades realizadas")</f>
        <v>Número de Actividades realizadas</v>
      </c>
      <c r="K268" s="30">
        <f ca="1">IFERROR(__xludf.DUMMYFUNCTION("""COMPUTED_VALUE"""),800)</f>
        <v>800</v>
      </c>
      <c r="L268" s="30" t="str">
        <f ca="1">IFERROR(__xludf.DUMMYFUNCTION("""COMPUTED_VALUE"""),"Cultural")</f>
        <v>Cultural</v>
      </c>
      <c r="M268" s="30" t="str">
        <f ca="1">IFERROR(__xludf.DUMMYFUNCTION("""COMPUTED_VALUE"""),"Visita guiada libre.")</f>
        <v>Visita guiada libre.</v>
      </c>
      <c r="N268" s="30" t="str">
        <f ca="1">IFERROR(__xludf.DUMMYFUNCTION("""COMPUTED_VALUE"""),"Visita Mediada")</f>
        <v>Visita Mediada</v>
      </c>
      <c r="O268" s="30" t="str">
        <f ca="1">IFERROR(__xludf.DUMMYFUNCTION("""COMPUTED_VALUE"""),"Única")</f>
        <v>Única</v>
      </c>
      <c r="P268" s="33">
        <f ca="1">IFERROR(__xludf.DUMMYFUNCTION("""COMPUTED_VALUE"""),46251)</f>
        <v>46251</v>
      </c>
      <c r="Q268" s="33">
        <f ca="1">IFERROR(__xludf.DUMMYFUNCTION("""COMPUTED_VALUE"""),46251)</f>
        <v>46251</v>
      </c>
      <c r="R268" s="30">
        <f ca="1">IFERROR(__xludf.DUMMYFUNCTION("""COMPUTED_VALUE"""),1)</f>
        <v>1</v>
      </c>
      <c r="S268" s="30" t="str">
        <f ca="1">IFERROR(__xludf.DUMMYFUNCTION("""COMPUTED_VALUE"""),"Cultura comunitaria")</f>
        <v>Cultura comunitaria</v>
      </c>
      <c r="T268" s="30" t="str">
        <f ca="1">IFERROR(__xludf.DUMMYFUNCTION("""COMPUTED_VALUE"""),"Mediación cultural")</f>
        <v>Mediación cultural</v>
      </c>
      <c r="U268" s="30" t="str">
        <f ca="1">IFERROR(__xludf.DUMMYFUNCTION("""COMPUTED_VALUE"""),"Visitas guiadas")</f>
        <v>Visitas guiadas</v>
      </c>
      <c r="V268" s="30" t="str">
        <f ca="1">IFERROR(__xludf.DUMMYFUNCTION("""COMPUTED_VALUE"""),"Ninguna")</f>
        <v>Ninguna</v>
      </c>
      <c r="W268" s="30" t="str">
        <f ca="1">IFERROR(__xludf.DUMMYFUNCTION("""COMPUTED_VALUE"""),"Presencial")</f>
        <v>Presencial</v>
      </c>
      <c r="X268" s="30" t="str">
        <f ca="1">IFERROR(__xludf.DUMMYFUNCTION("""COMPUTED_VALUE"""),"Espacio a Cargo de la Secretaría")</f>
        <v>Espacio a Cargo de la Secretaría</v>
      </c>
      <c r="Y268" s="30" t="str">
        <f ca="1">IFERROR(__xludf.DUMMYFUNCTION("""COMPUTED_VALUE"""),"Museo de Arte e Historia de Guanajuato, sala Feliciano Peña")</f>
        <v>Museo de Arte e Historia de Guanajuato, sala Feliciano Peña</v>
      </c>
      <c r="Z268" s="30"/>
      <c r="AA268" s="30"/>
      <c r="AB268" s="30" t="b">
        <f ca="1">IFERROR(__xludf.DUMMYFUNCTION("""COMPUTED_VALUE"""),FALSE)</f>
        <v>0</v>
      </c>
      <c r="AC268" s="30"/>
      <c r="AD268" s="30" t="b">
        <f ca="1">IFERROR(__xludf.DUMMYFUNCTION("""COMPUTED_VALUE"""),FALSE)</f>
        <v>0</v>
      </c>
      <c r="AE268" s="30"/>
      <c r="AF268" s="30" t="b">
        <f ca="1">IFERROR(__xludf.DUMMYFUNCTION("""COMPUTED_VALUE"""),FALSE)</f>
        <v>0</v>
      </c>
      <c r="AG268" s="30"/>
      <c r="AH268" s="30" t="str">
        <f ca="1">IFERROR(__xludf.DUMMYFUNCTION("""COMPUTED_VALUE"""),"Sin costo")</f>
        <v>Sin costo</v>
      </c>
      <c r="AI268" s="30"/>
      <c r="AJ268" s="30"/>
      <c r="AK268" s="30"/>
      <c r="AL268" s="30" t="str">
        <f ca="1">IFERROR(__xludf.DUMMYFUNCTION("""COMPUTED_VALUE"""),"ccardonav@guanajuato.gob.mx")</f>
        <v>ccardonav@guanajuato.gob.mx</v>
      </c>
      <c r="AM268" s="30" t="str">
        <f ca="1">IFERROR(__xludf.DUMMYFUNCTION("""COMPUTED_VALUE"""),"Arraigo y empoderamiento cultural de comunidades.")</f>
        <v>Arraigo y empoderamiento cultural de comunidades.</v>
      </c>
      <c r="AN268" s="30" t="str">
        <f ca="1">IFERROR(__xludf.DUMMYFUNCTION("""COMPUTED_VALUE"""),"2 Igualdad")</f>
        <v>2 Igualdad</v>
      </c>
      <c r="AO268" s="30" t="str">
        <f ca="1">IFERROR(__xludf.DUMMYFUNCTION("""COMPUTED_VALUE"""),"2.4 Reducir brechas de desigualdad")</f>
        <v>2.4 Reducir brechas de desigualdad</v>
      </c>
      <c r="AP268" s="30" t="str">
        <f ca="1">IFERROR(__xludf.DUMMYFUNCTION("""COMPUTED_VALUE"""),"2.4.3 Descentralización de la oferta cultural")</f>
        <v>2.4.3 Descentralización de la oferta cultural</v>
      </c>
      <c r="AQ268" s="30" t="str">
        <f ca="1">IFERROR(__xludf.DUMMYFUNCTION("""COMPUTED_VALUE"""),"2.4.3.1 Impulsar el desarrollo artístico y cultural entre infancias y juventudes")</f>
        <v>2.4.3.1 Impulsar el desarrollo artístico y cultural entre infancias y juventudes</v>
      </c>
      <c r="AR268" s="30" t="str">
        <f ca="1">IFERROR(__xludf.DUMMYFUNCTION("""COMPUTED_VALUE"""),"Ninguno")</f>
        <v>Ninguno</v>
      </c>
      <c r="AS268" s="30"/>
      <c r="AT268" s="30" t="str">
        <f ca="1">IFERROR(__xludf.DUMMYFUNCTION("""COMPUTED_VALUE"""),"Fortalecimiento de la participación ciudadana y la mediación cultural")</f>
        <v>Fortalecimiento de la participación ciudadana y la mediación cultural</v>
      </c>
      <c r="AU268" s="30" t="str">
        <f ca="1">IFERROR(__xludf.DUMMYFUNCTION("""COMPUTED_VALUE"""),"Fortalecimiento del diálogo, la mediación y las capacidades de las redes comunitarias.")</f>
        <v>Fortalecimiento del diálogo, la mediación y las capacidades de las redes comunitarias.</v>
      </c>
      <c r="AV26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8" s="30" t="str">
        <f ca="1">IFERROR(__xludf.DUMMYFUNCTION("""COMPUTED_VALUE"""),"Incrementar en 25% la oferta cultural realizada en los municipios.")</f>
        <v>Incrementar en 25% la oferta cultural realizada en los municipios.</v>
      </c>
      <c r="AX268" s="30" t="str">
        <f ca="1">IFERROR(__xludf.DUMMYFUNCTION("""COMPUTED_VALUE"""),"Visitas guiadas")</f>
        <v>Visitas guiadas</v>
      </c>
      <c r="AY268" s="30" t="str">
        <f ca="1">IFERROR(__xludf.DUMMYFUNCTION("""COMPUTED_VALUE"""),"Mediación")</f>
        <v>Mediación</v>
      </c>
      <c r="AZ268" s="30"/>
      <c r="BA268" s="30"/>
      <c r="BB268" s="30"/>
      <c r="BC268" s="30">
        <f ca="1">IFERROR(__xludf.DUMMYFUNCTION("""COMPUTED_VALUE"""),0)</f>
        <v>0</v>
      </c>
      <c r="BD268" s="30"/>
      <c r="BE268" s="30"/>
      <c r="BF268" s="30" t="b">
        <f ca="1">IFERROR(__xludf.DUMMYFUNCTION("""COMPUTED_VALUE"""),FALSE)</f>
        <v>0</v>
      </c>
      <c r="BG268" s="30"/>
      <c r="BH268" s="30"/>
      <c r="BI268" s="30"/>
      <c r="BJ268" s="30"/>
      <c r="BK268" s="30"/>
      <c r="BL268" s="30"/>
      <c r="BM268" s="30" t="str">
        <f ca="1">IFERROR(__xludf.DUMMYFUNCTION("""COMPUTED_VALUE"""),"No")</f>
        <v>No</v>
      </c>
      <c r="BN268" s="30"/>
      <c r="BO268" s="30" t="str">
        <f ca="1">IFERROR(__xludf.DUMMYFUNCTION("""COMPUTED_VALUE"""),"f2087ce0")</f>
        <v>f2087ce0</v>
      </c>
      <c r="BP268" s="29" t="str">
        <f ca="1">IFERROR(__xludf.DUMMYFUNCTION("""COMPUTED_VALUE"""),"León")</f>
        <v>León</v>
      </c>
      <c r="BQ268" s="30" t="str">
        <f ca="1">IFERROR(__xludf.DUMMYFUNCTION("""COMPUTED_VALUE"""),"Urbano")</f>
        <v>Urbano</v>
      </c>
      <c r="BR268" s="30"/>
      <c r="BS268" s="30"/>
      <c r="BT268" s="30"/>
      <c r="BU268" s="30" t="str">
        <f ca="1">IFERROR(__xludf.DUMMYFUNCTION("""COMPUTED_VALUE"""),"No")</f>
        <v>No</v>
      </c>
      <c r="BV268" s="30" t="str">
        <f ca="1">IFERROR(__xludf.DUMMYFUNCTION("""COMPUTED_VALUE"""),"No")</f>
        <v>No</v>
      </c>
      <c r="BW268" s="30">
        <f ca="1">IFERROR(__xludf.DUMMYFUNCTION("""COMPUTED_VALUE"""),7)</f>
        <v>7</v>
      </c>
      <c r="BX268" s="30">
        <f ca="1">IFERROR(__xludf.DUMMYFUNCTION("""COMPUTED_VALUE"""),7)</f>
        <v>7</v>
      </c>
      <c r="BY268" s="30">
        <f ca="1">IFERROR(__xludf.DUMMYFUNCTION("""COMPUTED_VALUE"""),0)</f>
        <v>0</v>
      </c>
      <c r="BZ268" s="30"/>
      <c r="CA268" s="30" t="str">
        <f ca="1">IFERROR(__xludf.DUMMYFUNCTION("""COMPUTED_VALUE"""),"No")</f>
        <v>No</v>
      </c>
      <c r="CB268" s="30" t="str">
        <f ca="1">IFERROR(__xludf.DUMMYFUNCTION("""COMPUTED_VALUE"""),"No")</f>
        <v>No</v>
      </c>
      <c r="CC268" s="30" t="str">
        <f ca="1">IFERROR(__xludf.DUMMYFUNCTION("""COMPUTED_VALUE"""),"ec52a246")</f>
        <v>ec52a246</v>
      </c>
      <c r="CD268" s="29" t="str">
        <f ca="1">IFERROR(__xludf.DUMMYFUNCTION("""COMPUTED_VALUE"""),"Adultos Mayores (60 años o más)")</f>
        <v>Adultos Mayores (60 años o más)</v>
      </c>
      <c r="CE268" s="30" t="str">
        <f ca="1">IFERROR(__xludf.DUMMYFUNCTION("""COMPUTED_VALUE"""),"Dato global")</f>
        <v>Dato global</v>
      </c>
      <c r="CF268" s="30" t="str">
        <f ca="1">IFERROR(__xludf.DUMMYFUNCTION("""COMPUTED_VALUE"""),"Ninguno (Población General)")</f>
        <v>Ninguno (Población General)</v>
      </c>
      <c r="CG268" s="30">
        <f ca="1">IFERROR(__xludf.DUMMYFUNCTION("""COMPUTED_VALUE"""),10153)</f>
        <v>10153</v>
      </c>
      <c r="CI268" s="30" t="str">
        <f ca="1">IFERROR(__xludf.DUMMYFUNCTION("""COMPUTED_VALUE"""),"11dcd6c5")</f>
        <v>11dcd6c5</v>
      </c>
      <c r="CJ268" s="29" t="str">
        <f ca="1">IFERROR(__xludf.DUMMYFUNCTION("""COMPUTED_VALUE"""),"Regitro_Evidencia_Images/11dcd6c5.Archivo_Evidencia.183758.jpg")</f>
        <v>Regitro_Evidencia_Images/11dcd6c5.Archivo_Evidencia.183758.jpg</v>
      </c>
      <c r="CK268" s="30" t="str">
        <f ca="1">IFERROR(__xludf.DUMMYFUNCTION("""COMPUTED_VALUE"""),"Foto")</f>
        <v>Foto</v>
      </c>
      <c r="CL268" s="30"/>
      <c r="CM268" s="30" t="str">
        <f ca="1">IFERROR(__xludf.DUMMYFUNCTION("""COMPUTED_VALUE"""),"Huanímaro")</f>
        <v>Huanímaro</v>
      </c>
      <c r="CN268" s="32" t="e">
        <f ca="1"/>
        <v>#NAME?</v>
      </c>
      <c r="CO268" s="32" t="e">
        <f ca="1"/>
        <v>#NAME?</v>
      </c>
      <c r="CP268" s="32" t="e">
        <f ca="1"/>
        <v>#NAME?</v>
      </c>
      <c r="CQ268" s="32" t="e">
        <f ca="1"/>
        <v>#NAME?</v>
      </c>
      <c r="CR268" s="30" t="e">
        <f ca="1"/>
        <v>#NAME?</v>
      </c>
      <c r="CS268" s="30" t="str">
        <f ca="1">IFERROR(__xludf.DUMMYFUNCTION("""COMPUTED_VALUE"""),"Ninguno (Población General), Ninguno (Población General), Ninguno (Población General), Ninguno (Población General), Ninguno (Población General), Ninguno (Población General)")</f>
        <v>Ninguno (Población General), Ninguno (Población General), Ninguno (Población General), Ninguno (Población General), Ninguno (Población General), Ninguno (Población General)</v>
      </c>
    </row>
    <row r="269" spans="1:97" ht="13">
      <c r="A269" s="29" t="str">
        <f ca="1">IFERROR(__xludf.DUMMYFUNCTION("""COMPUTED_VALUE"""),"ACT-SCRE99313")</f>
        <v>ACT-SCRE99313</v>
      </c>
      <c r="B269" s="30" t="str">
        <f ca="1">IFERROR(__xludf.DUMMYFUNCTION("""COMPUTED_VALUE"""),"SC-260817-143223")</f>
        <v>SC-260817-143223</v>
      </c>
      <c r="C269" s="62">
        <f ca="1">IFERROR(__xludf.DUMMYFUNCTION("""COMPUTED_VALUE"""),46251.6058217592)</f>
        <v>46251.6058217592</v>
      </c>
      <c r="D269" s="30">
        <f ca="1">IFERROR(__xludf.DUMMYFUNCTION("""COMPUTED_VALUE"""),92)</f>
        <v>92</v>
      </c>
      <c r="E269" s="30" t="str">
        <f ca="1">IFERROR(__xludf.DUMMYFUNCTION("""COMPUTED_VALUE"""),"PB3572")</f>
        <v>PB3572</v>
      </c>
      <c r="F26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6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69" s="30" t="str">
        <f ca="1">IFERROR(__xludf.DUMMYFUNCTION("""COMPUTED_VALUE"""),"SUBSECRETARÍA DE DESARROLLO Y PROMOCIÓN ARTÍSTICA Y CULTURAL")</f>
        <v>SUBSECRETARÍA DE DESARROLLO Y PROMOCIÓN ARTÍSTICA Y CULTURAL</v>
      </c>
      <c r="I269" s="34" t="str">
        <f ca="1">IFERROR(__xludf.DUMMYFUNCTION("""COMPUTED_VALUE"""),"DIRECCIÓN GENERAL DE MUSEOS, ARTES VISUALES Y EXPOSICIONES")</f>
        <v>DIRECCIÓN GENERAL DE MUSEOS, ARTES VISUALES Y EXPOSICIONES</v>
      </c>
      <c r="J269" s="30" t="str">
        <f ca="1">IFERROR(__xludf.DUMMYFUNCTION("""COMPUTED_VALUE"""),"Número de Actividades realizadas")</f>
        <v>Número de Actividades realizadas</v>
      </c>
      <c r="K269" s="30">
        <f ca="1">IFERROR(__xludf.DUMMYFUNCTION("""COMPUTED_VALUE"""),800)</f>
        <v>800</v>
      </c>
      <c r="L269" s="30" t="str">
        <f ca="1">IFERROR(__xludf.DUMMYFUNCTION("""COMPUTED_VALUE"""),"Cultural")</f>
        <v>Cultural</v>
      </c>
      <c r="M269" s="30" t="str">
        <f ca="1">IFERROR(__xludf.DUMMYFUNCTION("""COMPUTED_VALUE"""),"Visita Universidad IBERO")</f>
        <v>Visita Universidad IBERO</v>
      </c>
      <c r="N269" s="30" t="str">
        <f ca="1">IFERROR(__xludf.DUMMYFUNCTION("""COMPUTED_VALUE"""),"Visita Mediada")</f>
        <v>Visita Mediada</v>
      </c>
      <c r="O269" s="30" t="str">
        <f ca="1">IFERROR(__xludf.DUMMYFUNCTION("""COMPUTED_VALUE"""),"Única")</f>
        <v>Única</v>
      </c>
      <c r="P269" s="33">
        <f ca="1">IFERROR(__xludf.DUMMYFUNCTION("""COMPUTED_VALUE"""),46232)</f>
        <v>46232</v>
      </c>
      <c r="Q269" s="33">
        <f ca="1">IFERROR(__xludf.DUMMYFUNCTION("""COMPUTED_VALUE"""),46232)</f>
        <v>46232</v>
      </c>
      <c r="R269" s="30">
        <f ca="1">IFERROR(__xludf.DUMMYFUNCTION("""COMPUTED_VALUE"""),1)</f>
        <v>1</v>
      </c>
      <c r="S269" s="30" t="str">
        <f ca="1">IFERROR(__xludf.DUMMYFUNCTION("""COMPUTED_VALUE"""),"Cultura comunitaria")</f>
        <v>Cultura comunitaria</v>
      </c>
      <c r="T269" s="30" t="str">
        <f ca="1">IFERROR(__xludf.DUMMYFUNCTION("""COMPUTED_VALUE"""),"Mediación cultural")</f>
        <v>Mediación cultural</v>
      </c>
      <c r="U269" s="30" t="str">
        <f ca="1">IFERROR(__xludf.DUMMYFUNCTION("""COMPUTED_VALUE"""),"Visitas escolares")</f>
        <v>Visitas escolares</v>
      </c>
      <c r="V269" s="30" t="str">
        <f ca="1">IFERROR(__xludf.DUMMYFUNCTION("""COMPUTED_VALUE"""),"Ninguna")</f>
        <v>Ninguna</v>
      </c>
      <c r="W269" s="30" t="str">
        <f ca="1">IFERROR(__xludf.DUMMYFUNCTION("""COMPUTED_VALUE"""),"Presencial")</f>
        <v>Presencial</v>
      </c>
      <c r="X269" s="30" t="str">
        <f ca="1">IFERROR(__xludf.DUMMYFUNCTION("""COMPUTED_VALUE"""),"Espacio a Cargo de la Secretaría")</f>
        <v>Espacio a Cargo de la Secretaría</v>
      </c>
      <c r="Y269" s="30" t="str">
        <f ca="1">IFERROR(__xludf.DUMMYFUNCTION("""COMPUTED_VALUE"""),"Museo de Arte e Historia de Guanajuato, sala Feliciano Peña")</f>
        <v>Museo de Arte e Historia de Guanajuato, sala Feliciano Peña</v>
      </c>
      <c r="Z269" s="30"/>
      <c r="AA269" s="30"/>
      <c r="AB269" s="30" t="b">
        <f ca="1">IFERROR(__xludf.DUMMYFUNCTION("""COMPUTED_VALUE"""),FALSE)</f>
        <v>0</v>
      </c>
      <c r="AC269" s="30"/>
      <c r="AD269" s="30" t="b">
        <f ca="1">IFERROR(__xludf.DUMMYFUNCTION("""COMPUTED_VALUE"""),FALSE)</f>
        <v>0</v>
      </c>
      <c r="AE269" s="30"/>
      <c r="AF269" s="30" t="b">
        <f ca="1">IFERROR(__xludf.DUMMYFUNCTION("""COMPUTED_VALUE"""),FALSE)</f>
        <v>0</v>
      </c>
      <c r="AG269" s="30"/>
      <c r="AH269" s="30" t="str">
        <f ca="1">IFERROR(__xludf.DUMMYFUNCTION("""COMPUTED_VALUE"""),"Sin costo")</f>
        <v>Sin costo</v>
      </c>
      <c r="AI269" s="30"/>
      <c r="AJ269" s="30"/>
      <c r="AK269" s="30"/>
      <c r="AL269" s="30" t="str">
        <f ca="1">IFERROR(__xludf.DUMMYFUNCTION("""COMPUTED_VALUE"""),"ccardonav@guanajuato.gob.mx")</f>
        <v>ccardonav@guanajuato.gob.mx</v>
      </c>
      <c r="AM269" s="30" t="str">
        <f ca="1">IFERROR(__xludf.DUMMYFUNCTION("""COMPUTED_VALUE"""),"Arraigo y empoderamiento cultural de comunidades.")</f>
        <v>Arraigo y empoderamiento cultural de comunidades.</v>
      </c>
      <c r="AN269" s="30" t="str">
        <f ca="1">IFERROR(__xludf.DUMMYFUNCTION("""COMPUTED_VALUE"""),"2 Igualdad")</f>
        <v>2 Igualdad</v>
      </c>
      <c r="AO269" s="30" t="str">
        <f ca="1">IFERROR(__xludf.DUMMYFUNCTION("""COMPUTED_VALUE"""),"2.4 Reducir brechas de desigualdad")</f>
        <v>2.4 Reducir brechas de desigualdad</v>
      </c>
      <c r="AP269" s="30" t="str">
        <f ca="1">IFERROR(__xludf.DUMMYFUNCTION("""COMPUTED_VALUE"""),"2.4.3 Descentralización de la oferta cultural")</f>
        <v>2.4.3 Descentralización de la oferta cultural</v>
      </c>
      <c r="AQ269" s="30" t="str">
        <f ca="1">IFERROR(__xludf.DUMMYFUNCTION("""COMPUTED_VALUE"""),"2.4.3.1 Impulsar el desarrollo artístico y cultural entre infancias y juventudes")</f>
        <v>2.4.3.1 Impulsar el desarrollo artístico y cultural entre infancias y juventudes</v>
      </c>
      <c r="AR269" s="30" t="str">
        <f ca="1">IFERROR(__xludf.DUMMYFUNCTION("""COMPUTED_VALUE"""),"Ninguno")</f>
        <v>Ninguno</v>
      </c>
      <c r="AS269" s="30"/>
      <c r="AT269" s="30" t="str">
        <f ca="1">IFERROR(__xludf.DUMMYFUNCTION("""COMPUTED_VALUE"""),"Fortalecimiento de la participación ciudadana y la mediación cultural")</f>
        <v>Fortalecimiento de la participación ciudadana y la mediación cultural</v>
      </c>
      <c r="AU269" s="30" t="str">
        <f ca="1">IFERROR(__xludf.DUMMYFUNCTION("""COMPUTED_VALUE"""),"Fortalecimiento del diálogo, la mediación y las capacidades de las redes comunitarias.")</f>
        <v>Fortalecimiento del diálogo, la mediación y las capacidades de las redes comunitarias.</v>
      </c>
      <c r="AV26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69" s="30" t="str">
        <f ca="1">IFERROR(__xludf.DUMMYFUNCTION("""COMPUTED_VALUE"""),"Incrementar en 25% la oferta cultural realizada en los municipios.")</f>
        <v>Incrementar en 25% la oferta cultural realizada en los municipios.</v>
      </c>
      <c r="AX269" s="30" t="str">
        <f ca="1">IFERROR(__xludf.DUMMYFUNCTION("""COMPUTED_VALUE"""),"Visitas escolares")</f>
        <v>Visitas escolares</v>
      </c>
      <c r="AY269" s="30" t="str">
        <f ca="1">IFERROR(__xludf.DUMMYFUNCTION("""COMPUTED_VALUE"""),"Mediación")</f>
        <v>Mediación</v>
      </c>
      <c r="AZ269" s="30"/>
      <c r="BA269" s="30"/>
      <c r="BB269" s="30"/>
      <c r="BC269" s="30">
        <f ca="1">IFERROR(__xludf.DUMMYFUNCTION("""COMPUTED_VALUE"""),0)</f>
        <v>0</v>
      </c>
      <c r="BD269" s="30"/>
      <c r="BE269" s="30"/>
      <c r="BF269" s="30" t="b">
        <f ca="1">IFERROR(__xludf.DUMMYFUNCTION("""COMPUTED_VALUE"""),FALSE)</f>
        <v>0</v>
      </c>
      <c r="BG269" s="30"/>
      <c r="BH269" s="30"/>
      <c r="BI269" s="30"/>
      <c r="BJ269" s="30"/>
      <c r="BK269" s="30"/>
      <c r="BL269" s="30"/>
      <c r="BM269" s="30" t="str">
        <f ca="1">IFERROR(__xludf.DUMMYFUNCTION("""COMPUTED_VALUE"""),"No")</f>
        <v>No</v>
      </c>
      <c r="BN269" s="30"/>
      <c r="BO269" s="30" t="str">
        <f ca="1">IFERROR(__xludf.DUMMYFUNCTION("""COMPUTED_VALUE"""),"edaf2b5a")</f>
        <v>edaf2b5a</v>
      </c>
      <c r="BP269" s="29" t="str">
        <f ca="1">IFERROR(__xludf.DUMMYFUNCTION("""COMPUTED_VALUE"""),"Huanímaro")</f>
        <v>Huanímaro</v>
      </c>
      <c r="BQ269" s="30" t="str">
        <f ca="1">IFERROR(__xludf.DUMMYFUNCTION("""COMPUTED_VALUE"""),"Urbano")</f>
        <v>Urbano</v>
      </c>
      <c r="BR269" s="30"/>
      <c r="BS269" s="30"/>
      <c r="BT269" s="30"/>
      <c r="BU269" s="30" t="str">
        <f ca="1">IFERROR(__xludf.DUMMYFUNCTION("""COMPUTED_VALUE"""),"No")</f>
        <v>No</v>
      </c>
      <c r="BV269" s="30" t="str">
        <f ca="1">IFERROR(__xludf.DUMMYFUNCTION("""COMPUTED_VALUE"""),"No")</f>
        <v>No</v>
      </c>
      <c r="BW269" s="30">
        <f ca="1">IFERROR(__xludf.DUMMYFUNCTION("""COMPUTED_VALUE"""),13117)</f>
        <v>13117</v>
      </c>
      <c r="BX269" s="30"/>
      <c r="BY269" s="30">
        <f ca="1">IFERROR(__xludf.DUMMYFUNCTION("""COMPUTED_VALUE"""),13117)</f>
        <v>13117</v>
      </c>
      <c r="BZ269" s="30"/>
      <c r="CA269" s="30" t="str">
        <f ca="1">IFERROR(__xludf.DUMMYFUNCTION("""COMPUTED_VALUE"""),"No")</f>
        <v>No</v>
      </c>
      <c r="CB269" s="30" t="str">
        <f ca="1">IFERROR(__xludf.DUMMYFUNCTION("""COMPUTED_VALUE"""),"No")</f>
        <v>No</v>
      </c>
      <c r="CC269" s="30" t="str">
        <f ca="1">IFERROR(__xludf.DUMMYFUNCTION("""COMPUTED_VALUE"""),"478da2d6")</f>
        <v>478da2d6</v>
      </c>
      <c r="CD269" s="29" t="str">
        <f ca="1">IFERROR(__xludf.DUMMYFUNCTION("""COMPUTED_VALUE"""),"Niñas y Niños (6 a 12 años)")</f>
        <v>Niñas y Niños (6 a 12 años)</v>
      </c>
      <c r="CE269" s="30" t="str">
        <f ca="1">IFERROR(__xludf.DUMMYFUNCTION("""COMPUTED_VALUE"""),"Dato global")</f>
        <v>Dato global</v>
      </c>
      <c r="CF269" s="30" t="str">
        <f ca="1">IFERROR(__xludf.DUMMYFUNCTION("""COMPUTED_VALUE"""),"NNA (Niñas, Niños y Adolescentes)")</f>
        <v>NNA (Niñas, Niños y Adolescentes)</v>
      </c>
      <c r="CG269" s="30">
        <f ca="1">IFERROR(__xludf.DUMMYFUNCTION("""COMPUTED_VALUE"""),40)</f>
        <v>40</v>
      </c>
      <c r="CI269" s="30" t="str">
        <f ca="1">IFERROR(__xludf.DUMMYFUNCTION("""COMPUTED_VALUE"""),"1c58ffff")</f>
        <v>1c58ffff</v>
      </c>
      <c r="CJ269" s="29" t="str">
        <f ca="1">IFERROR(__xludf.DUMMYFUNCTION("""COMPUTED_VALUE"""),"Regitro_Evidencia_Images/1c58ffff.Archivo_Evidencia.184018.jpg")</f>
        <v>Regitro_Evidencia_Images/1c58ffff.Archivo_Evidencia.184018.jpg</v>
      </c>
      <c r="CK269" s="30" t="str">
        <f ca="1">IFERROR(__xludf.DUMMYFUNCTION("""COMPUTED_VALUE"""),"Foto")</f>
        <v>Foto</v>
      </c>
      <c r="CL269" s="30"/>
      <c r="CM269" s="30" t="str">
        <f ca="1">IFERROR(__xludf.DUMMYFUNCTION("""COMPUTED_VALUE"""),"Jaral del Progreso")</f>
        <v>Jaral del Progreso</v>
      </c>
      <c r="CN269" s="32" t="e">
        <f ca="1"/>
        <v>#NAME?</v>
      </c>
      <c r="CO269" s="32" t="e">
        <f ca="1"/>
        <v>#NAME?</v>
      </c>
      <c r="CP269" s="32" t="e">
        <f ca="1"/>
        <v>#NAME?</v>
      </c>
      <c r="CQ269" s="32" t="e">
        <f ca="1"/>
        <v>#NAME?</v>
      </c>
      <c r="CR269" s="30" t="e">
        <f ca="1"/>
        <v>#NAME?</v>
      </c>
      <c r="CS269"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270" spans="1:97" ht="13">
      <c r="A270" s="29" t="str">
        <f ca="1">IFERROR(__xludf.DUMMYFUNCTION("""COMPUTED_VALUE"""),"ACT-SCAH67848")</f>
        <v>ACT-SCAH67848</v>
      </c>
      <c r="B270" s="30" t="str">
        <f ca="1">IFERROR(__xludf.DUMMYFUNCTION("""COMPUTED_VALUE"""),"SC-260817-145504")</f>
        <v>SC-260817-145504</v>
      </c>
      <c r="C270" s="62">
        <f ca="1">IFERROR(__xludf.DUMMYFUNCTION("""COMPUTED_VALUE"""),46251.621574074)</f>
        <v>46251.621574074001</v>
      </c>
      <c r="D270" s="30">
        <f ca="1">IFERROR(__xludf.DUMMYFUNCTION("""COMPUTED_VALUE"""),92)</f>
        <v>92</v>
      </c>
      <c r="E270" s="30" t="str">
        <f ca="1">IFERROR(__xludf.DUMMYFUNCTION("""COMPUTED_VALUE"""),"PB3572")</f>
        <v>PB3572</v>
      </c>
      <c r="F27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70" s="30" t="str">
        <f ca="1">IFERROR(__xludf.DUMMYFUNCTION("""COMPUTED_VALUE"""),"SUBSECRETARÍA DE DESARROLLO Y PROMOCIÓN ARTÍSTICA Y CULTURAL")</f>
        <v>SUBSECRETARÍA DE DESARROLLO Y PROMOCIÓN ARTÍSTICA Y CULTURAL</v>
      </c>
      <c r="I270" s="34" t="str">
        <f ca="1">IFERROR(__xludf.DUMMYFUNCTION("""COMPUTED_VALUE"""),"DIRECCIÓN GENERAL DE MUSEOS, ARTES VISUALES Y EXPOSICIONES")</f>
        <v>DIRECCIÓN GENERAL DE MUSEOS, ARTES VISUALES Y EXPOSICIONES</v>
      </c>
      <c r="J270" s="30" t="str">
        <f ca="1">IFERROR(__xludf.DUMMYFUNCTION("""COMPUTED_VALUE"""),"Número de Actividades realizadas")</f>
        <v>Número de Actividades realizadas</v>
      </c>
      <c r="K270" s="30">
        <f ca="1">IFERROR(__xludf.DUMMYFUNCTION("""COMPUTED_VALUE"""),800)</f>
        <v>800</v>
      </c>
      <c r="L270" s="30" t="str">
        <f ca="1">IFERROR(__xludf.DUMMYFUNCTION("""COMPUTED_VALUE"""),"Cultural")</f>
        <v>Cultural</v>
      </c>
      <c r="M270" s="30" t="str">
        <f ca="1">IFERROR(__xludf.DUMMYFUNCTION("""COMPUTED_VALUE"""),"Visita "" Universidad de León""")</f>
        <v>Visita " Universidad de León"</v>
      </c>
      <c r="N270" s="30" t="str">
        <f ca="1">IFERROR(__xludf.DUMMYFUNCTION("""COMPUTED_VALUE"""),"Visita Mediada")</f>
        <v>Visita Mediada</v>
      </c>
      <c r="O270" s="30" t="str">
        <f ca="1">IFERROR(__xludf.DUMMYFUNCTION("""COMPUTED_VALUE"""),"Única")</f>
        <v>Única</v>
      </c>
      <c r="P270" s="33">
        <f ca="1">IFERROR(__xludf.DUMMYFUNCTION("""COMPUTED_VALUE"""),46233)</f>
        <v>46233</v>
      </c>
      <c r="Q270" s="33">
        <f ca="1">IFERROR(__xludf.DUMMYFUNCTION("""COMPUTED_VALUE"""),46233)</f>
        <v>46233</v>
      </c>
      <c r="R270" s="30">
        <f ca="1">IFERROR(__xludf.DUMMYFUNCTION("""COMPUTED_VALUE"""),1)</f>
        <v>1</v>
      </c>
      <c r="S270" s="30" t="str">
        <f ca="1">IFERROR(__xludf.DUMMYFUNCTION("""COMPUTED_VALUE"""),"Cultura comunitaria")</f>
        <v>Cultura comunitaria</v>
      </c>
      <c r="T270" s="30" t="str">
        <f ca="1">IFERROR(__xludf.DUMMYFUNCTION("""COMPUTED_VALUE"""),"Mediación cultural")</f>
        <v>Mediación cultural</v>
      </c>
      <c r="U270" s="30" t="str">
        <f ca="1">IFERROR(__xludf.DUMMYFUNCTION("""COMPUTED_VALUE"""),"Visitas escolares")</f>
        <v>Visitas escolares</v>
      </c>
      <c r="V270" s="30" t="str">
        <f ca="1">IFERROR(__xludf.DUMMYFUNCTION("""COMPUTED_VALUE"""),"Ninguna")</f>
        <v>Ninguna</v>
      </c>
      <c r="W270" s="30" t="str">
        <f ca="1">IFERROR(__xludf.DUMMYFUNCTION("""COMPUTED_VALUE"""),"Presencial")</f>
        <v>Presencial</v>
      </c>
      <c r="X270" s="30" t="str">
        <f ca="1">IFERROR(__xludf.DUMMYFUNCTION("""COMPUTED_VALUE"""),"Espacio a Cargo de la Secretaría")</f>
        <v>Espacio a Cargo de la Secretaría</v>
      </c>
      <c r="Y270" s="30" t="str">
        <f ca="1">IFERROR(__xludf.DUMMYFUNCTION("""COMPUTED_VALUE"""),"Museo de Arte e Historia de Guanajuato, sala Feliciano Peña")</f>
        <v>Museo de Arte e Historia de Guanajuato, sala Feliciano Peña</v>
      </c>
      <c r="Z270" s="30"/>
      <c r="AA270" s="30"/>
      <c r="AB270" s="30" t="b">
        <f ca="1">IFERROR(__xludf.DUMMYFUNCTION("""COMPUTED_VALUE"""),FALSE)</f>
        <v>0</v>
      </c>
      <c r="AC270" s="30"/>
      <c r="AD270" s="30" t="b">
        <f ca="1">IFERROR(__xludf.DUMMYFUNCTION("""COMPUTED_VALUE"""),FALSE)</f>
        <v>0</v>
      </c>
      <c r="AE270" s="30"/>
      <c r="AF270" s="30" t="b">
        <f ca="1">IFERROR(__xludf.DUMMYFUNCTION("""COMPUTED_VALUE"""),FALSE)</f>
        <v>0</v>
      </c>
      <c r="AG270" s="30"/>
      <c r="AH270" s="30" t="str">
        <f ca="1">IFERROR(__xludf.DUMMYFUNCTION("""COMPUTED_VALUE"""),"Sin costo")</f>
        <v>Sin costo</v>
      </c>
      <c r="AI270" s="30"/>
      <c r="AJ270" s="30"/>
      <c r="AK270" s="30"/>
      <c r="AL270" s="30" t="str">
        <f ca="1">IFERROR(__xludf.DUMMYFUNCTION("""COMPUTED_VALUE"""),"ccardonav@guanajuato.gob.mx")</f>
        <v>ccardonav@guanajuato.gob.mx</v>
      </c>
      <c r="AM270" s="30" t="str">
        <f ca="1">IFERROR(__xludf.DUMMYFUNCTION("""COMPUTED_VALUE"""),"Arraigo y empoderamiento cultural de comunidades.")</f>
        <v>Arraigo y empoderamiento cultural de comunidades.</v>
      </c>
      <c r="AN270" s="30" t="str">
        <f ca="1">IFERROR(__xludf.DUMMYFUNCTION("""COMPUTED_VALUE"""),"2 Igualdad")</f>
        <v>2 Igualdad</v>
      </c>
      <c r="AO270" s="30" t="str">
        <f ca="1">IFERROR(__xludf.DUMMYFUNCTION("""COMPUTED_VALUE"""),"2.4 Reducir brechas de desigualdad")</f>
        <v>2.4 Reducir brechas de desigualdad</v>
      </c>
      <c r="AP270" s="30" t="str">
        <f ca="1">IFERROR(__xludf.DUMMYFUNCTION("""COMPUTED_VALUE"""),"2.4.3 Descentralización de la oferta cultural")</f>
        <v>2.4.3 Descentralización de la oferta cultural</v>
      </c>
      <c r="AQ270" s="30" t="str">
        <f ca="1">IFERROR(__xludf.DUMMYFUNCTION("""COMPUTED_VALUE"""),"2.4.3.1 Impulsar el desarrollo artístico y cultural entre infancias y juventudes")</f>
        <v>2.4.3.1 Impulsar el desarrollo artístico y cultural entre infancias y juventudes</v>
      </c>
      <c r="AR270" s="30" t="str">
        <f ca="1">IFERROR(__xludf.DUMMYFUNCTION("""COMPUTED_VALUE"""),"Ninguno")</f>
        <v>Ninguno</v>
      </c>
      <c r="AS270" s="30"/>
      <c r="AT270" s="30" t="str">
        <f ca="1">IFERROR(__xludf.DUMMYFUNCTION("""COMPUTED_VALUE"""),"Fortalecimiento de la participación ciudadana y la mediación cultural")</f>
        <v>Fortalecimiento de la participación ciudadana y la mediación cultural</v>
      </c>
      <c r="AU270" s="30" t="str">
        <f ca="1">IFERROR(__xludf.DUMMYFUNCTION("""COMPUTED_VALUE"""),"Fortalecimiento del diálogo, la mediación y las capacidades de las redes comunitarias.")</f>
        <v>Fortalecimiento del diálogo, la mediación y las capacidades de las redes comunitarias.</v>
      </c>
      <c r="AV270"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70" s="30" t="str">
        <f ca="1">IFERROR(__xludf.DUMMYFUNCTION("""COMPUTED_VALUE"""),"Incrementar en 25% la oferta cultural realizada en los municipios.")</f>
        <v>Incrementar en 25% la oferta cultural realizada en los municipios.</v>
      </c>
      <c r="AX270" s="30" t="str">
        <f ca="1">IFERROR(__xludf.DUMMYFUNCTION("""COMPUTED_VALUE"""),"Visitas escolares")</f>
        <v>Visitas escolares</v>
      </c>
      <c r="AY270" s="30" t="str">
        <f ca="1">IFERROR(__xludf.DUMMYFUNCTION("""COMPUTED_VALUE"""),"Mediación")</f>
        <v>Mediación</v>
      </c>
      <c r="AZ270" s="30"/>
      <c r="BA270" s="30"/>
      <c r="BB270" s="30"/>
      <c r="BC270" s="30">
        <f ca="1">IFERROR(__xludf.DUMMYFUNCTION("""COMPUTED_VALUE"""),0)</f>
        <v>0</v>
      </c>
      <c r="BD270" s="30"/>
      <c r="BE270" s="30"/>
      <c r="BF270" s="30" t="b">
        <f ca="1">IFERROR(__xludf.DUMMYFUNCTION("""COMPUTED_VALUE"""),FALSE)</f>
        <v>0</v>
      </c>
      <c r="BG270" s="30"/>
      <c r="BH270" s="30"/>
      <c r="BI270" s="30"/>
      <c r="BJ270" s="30"/>
      <c r="BK270" s="30"/>
      <c r="BL270" s="30"/>
      <c r="BM270" s="30" t="str">
        <f ca="1">IFERROR(__xludf.DUMMYFUNCTION("""COMPUTED_VALUE"""),"No")</f>
        <v>No</v>
      </c>
      <c r="BN270" s="30"/>
      <c r="BO270" s="30" t="str">
        <f ca="1">IFERROR(__xludf.DUMMYFUNCTION("""COMPUTED_VALUE"""),"24c9ca1e")</f>
        <v>24c9ca1e</v>
      </c>
      <c r="BP270" s="29" t="str">
        <f ca="1">IFERROR(__xludf.DUMMYFUNCTION("""COMPUTED_VALUE"""),"Jaral del Progreso")</f>
        <v>Jaral del Progreso</v>
      </c>
      <c r="BQ270" s="30" t="str">
        <f ca="1">IFERROR(__xludf.DUMMYFUNCTION("""COMPUTED_VALUE"""),"Urbano")</f>
        <v>Urbano</v>
      </c>
      <c r="BR270" s="30">
        <f ca="1">IFERROR(__xludf.DUMMYFUNCTION("""COMPUTED_VALUE"""),84)</f>
        <v>84</v>
      </c>
      <c r="BS270" s="30" t="str">
        <f ca="1">IFERROR(__xludf.DUMMYFUNCTION("""COMPUTED_VALUE"""),"Jaral del Progreso")</f>
        <v>Jaral del Progreso</v>
      </c>
      <c r="BT270" s="30"/>
      <c r="BU270" s="30" t="str">
        <f ca="1">IFERROR(__xludf.DUMMYFUNCTION("""COMPUTED_VALUE"""),"Si")</f>
        <v>Si</v>
      </c>
      <c r="BV270" s="30" t="str">
        <f ca="1">IFERROR(__xludf.DUMMYFUNCTION("""COMPUTED_VALUE"""),"Si")</f>
        <v>Si</v>
      </c>
      <c r="BW270" s="30">
        <f ca="1">IFERROR(__xludf.DUMMYFUNCTION("""COMPUTED_VALUE"""),20960)</f>
        <v>20960</v>
      </c>
      <c r="BX270" s="30"/>
      <c r="BY270" s="30">
        <f ca="1">IFERROR(__xludf.DUMMYFUNCTION("""COMPUTED_VALUE"""),20960)</f>
        <v>20960</v>
      </c>
      <c r="BZ270" s="30" t="str">
        <f ca="1">IFERROR(__xludf.DUMMYFUNCTION("""COMPUTED_VALUE"""),"Jaral del Progreso")</f>
        <v>Jaral del Progreso</v>
      </c>
      <c r="CA270" s="30" t="str">
        <f ca="1">IFERROR(__xludf.DUMMYFUNCTION("""COMPUTED_VALUE"""),"No")</f>
        <v>No</v>
      </c>
      <c r="CB270" s="30" t="str">
        <f ca="1">IFERROR(__xludf.DUMMYFUNCTION("""COMPUTED_VALUE"""),"No")</f>
        <v>No</v>
      </c>
      <c r="CC270" s="30" t="str">
        <f ca="1">IFERROR(__xludf.DUMMYFUNCTION("""COMPUTED_VALUE"""),"afb020d3")</f>
        <v>afb020d3</v>
      </c>
      <c r="CD270" s="29" t="str">
        <f ca="1">IFERROR(__xludf.DUMMYFUNCTION("""COMPUTED_VALUE"""),"Niñas y Niños (6 a 12 años)")</f>
        <v>Niñas y Niños (6 a 12 años)</v>
      </c>
      <c r="CE270" s="30" t="str">
        <f ca="1">IFERROR(__xludf.DUMMYFUNCTION("""COMPUTED_VALUE"""),"Dato global")</f>
        <v>Dato global</v>
      </c>
      <c r="CF270" s="30" t="str">
        <f ca="1">IFERROR(__xludf.DUMMYFUNCTION("""COMPUTED_VALUE"""),"NNA (Niñas, Niños y Adolescentes)")</f>
        <v>NNA (Niñas, Niños y Adolescentes)</v>
      </c>
      <c r="CG270" s="30">
        <f ca="1">IFERROR(__xludf.DUMMYFUNCTION("""COMPUTED_VALUE"""),11)</f>
        <v>11</v>
      </c>
      <c r="CI270" s="30" t="str">
        <f ca="1">IFERROR(__xludf.DUMMYFUNCTION("""COMPUTED_VALUE"""),"8928d5b3")</f>
        <v>8928d5b3</v>
      </c>
      <c r="CJ270" s="29" t="str">
        <f ca="1">IFERROR(__xludf.DUMMYFUNCTION("""COMPUTED_VALUE"""),"Regitro_Evidencia_Images/8928d5b3.Archivo_Evidencia.184408.jpg")</f>
        <v>Regitro_Evidencia_Images/8928d5b3.Archivo_Evidencia.184408.jpg</v>
      </c>
      <c r="CK270" s="30" t="str">
        <f ca="1">IFERROR(__xludf.DUMMYFUNCTION("""COMPUTED_VALUE"""),"Foto")</f>
        <v>Foto</v>
      </c>
      <c r="CL270" s="30"/>
      <c r="CM270" s="30" t="str">
        <f ca="1">IFERROR(__xludf.DUMMYFUNCTION("""COMPUTED_VALUE"""),"Jaral del Progreso")</f>
        <v>Jaral del Progreso</v>
      </c>
      <c r="CN270" s="32" t="e">
        <f ca="1"/>
        <v>#NAME?</v>
      </c>
      <c r="CO270" s="32" t="e">
        <f ca="1"/>
        <v>#NAME?</v>
      </c>
      <c r="CP270" s="32" t="e">
        <f ca="1"/>
        <v>#NAME?</v>
      </c>
      <c r="CQ270" s="32" t="e">
        <f ca="1"/>
        <v>#NAME?</v>
      </c>
      <c r="CR270" s="30" t="e">
        <f ca="1"/>
        <v>#NAME?</v>
      </c>
      <c r="CS270" s="30" t="str">
        <f ca="1">IFERROR(__xludf.DUMMYFUNCTION("""COMPUTED_VALUE"""),"Ninguno (Población General)")</f>
        <v>Ninguno (Población General)</v>
      </c>
    </row>
    <row r="271" spans="1:97" ht="13">
      <c r="A271" s="29" t="str">
        <f ca="1">IFERROR(__xludf.DUMMYFUNCTION("""COMPUTED_VALUE"""),"ACT-SCAH55092")</f>
        <v>ACT-SCAH55092</v>
      </c>
      <c r="B271" s="30" t="str">
        <f ca="1">IFERROR(__xludf.DUMMYFUNCTION("""COMPUTED_VALUE"""),"SC-260817-150013")</f>
        <v>SC-260817-150013</v>
      </c>
      <c r="C271" s="62">
        <f ca="1">IFERROR(__xludf.DUMMYFUNCTION("""COMPUTED_VALUE"""),46251.6251504629)</f>
        <v>46251.625150462904</v>
      </c>
      <c r="D271" s="30">
        <f ca="1">IFERROR(__xludf.DUMMYFUNCTION("""COMPUTED_VALUE"""),92)</f>
        <v>92</v>
      </c>
      <c r="E271" s="30" t="str">
        <f ca="1">IFERROR(__xludf.DUMMYFUNCTION("""COMPUTED_VALUE"""),"PB3572")</f>
        <v>PB3572</v>
      </c>
      <c r="F27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71" s="30" t="str">
        <f ca="1">IFERROR(__xludf.DUMMYFUNCTION("""COMPUTED_VALUE"""),"SUBSECRETARÍA DE DESARROLLO Y PROMOCIÓN ARTÍSTICA Y CULTURAL")</f>
        <v>SUBSECRETARÍA DE DESARROLLO Y PROMOCIÓN ARTÍSTICA Y CULTURAL</v>
      </c>
      <c r="I271" s="34" t="str">
        <f ca="1">IFERROR(__xludf.DUMMYFUNCTION("""COMPUTED_VALUE"""),"DIRECCIÓN GENERAL DE MUSEOS, ARTES VISUALES Y EXPOSICIONES")</f>
        <v>DIRECCIÓN GENERAL DE MUSEOS, ARTES VISUALES Y EXPOSICIONES</v>
      </c>
      <c r="J271" s="30" t="str">
        <f ca="1">IFERROR(__xludf.DUMMYFUNCTION("""COMPUTED_VALUE"""),"Número de Actividades realizadas")</f>
        <v>Número de Actividades realizadas</v>
      </c>
      <c r="K271" s="30">
        <f ca="1">IFERROR(__xludf.DUMMYFUNCTION("""COMPUTED_VALUE"""),800)</f>
        <v>800</v>
      </c>
      <c r="L271" s="30" t="str">
        <f ca="1">IFERROR(__xludf.DUMMYFUNCTION("""COMPUTED_VALUE"""),"Cultural")</f>
        <v>Cultural</v>
      </c>
      <c r="M271" s="30" t="str">
        <f ca="1">IFERROR(__xludf.DUMMYFUNCTION("""COMPUTED_VALUE"""),"ART VENTURA")</f>
        <v>ART VENTURA</v>
      </c>
      <c r="N271" s="30" t="str">
        <f ca="1">IFERROR(__xludf.DUMMYFUNCTION("""COMPUTED_VALUE"""),"Visita Mediada")</f>
        <v>Visita Mediada</v>
      </c>
      <c r="O271" s="30" t="str">
        <f ca="1">IFERROR(__xludf.DUMMYFUNCTION("""COMPUTED_VALUE"""),"Única")</f>
        <v>Única</v>
      </c>
      <c r="P271" s="33">
        <f ca="1">IFERROR(__xludf.DUMMYFUNCTION("""COMPUTED_VALUE"""),46233)</f>
        <v>46233</v>
      </c>
      <c r="Q271" s="33">
        <f ca="1">IFERROR(__xludf.DUMMYFUNCTION("""COMPUTED_VALUE"""),46233)</f>
        <v>46233</v>
      </c>
      <c r="R271" s="30">
        <f ca="1">IFERROR(__xludf.DUMMYFUNCTION("""COMPUTED_VALUE"""),1)</f>
        <v>1</v>
      </c>
      <c r="S271" s="30" t="str">
        <f ca="1">IFERROR(__xludf.DUMMYFUNCTION("""COMPUTED_VALUE"""),"Cultura comunitaria")</f>
        <v>Cultura comunitaria</v>
      </c>
      <c r="T271" s="30" t="str">
        <f ca="1">IFERROR(__xludf.DUMMYFUNCTION("""COMPUTED_VALUE"""),"Mediación cultural")</f>
        <v>Mediación cultural</v>
      </c>
      <c r="U271" s="30" t="str">
        <f ca="1">IFERROR(__xludf.DUMMYFUNCTION("""COMPUTED_VALUE"""),"Visitas escolares")</f>
        <v>Visitas escolares</v>
      </c>
      <c r="V271" s="30" t="str">
        <f ca="1">IFERROR(__xludf.DUMMYFUNCTION("""COMPUTED_VALUE"""),"Ninguna")</f>
        <v>Ninguna</v>
      </c>
      <c r="W271" s="30" t="str">
        <f ca="1">IFERROR(__xludf.DUMMYFUNCTION("""COMPUTED_VALUE"""),"Presencial")</f>
        <v>Presencial</v>
      </c>
      <c r="X271" s="30" t="str">
        <f ca="1">IFERROR(__xludf.DUMMYFUNCTION("""COMPUTED_VALUE"""),"Espacio a Cargo de la Secretaría")</f>
        <v>Espacio a Cargo de la Secretaría</v>
      </c>
      <c r="Y271" s="30" t="str">
        <f ca="1">IFERROR(__xludf.DUMMYFUNCTION("""COMPUTED_VALUE"""),"Museo de Arte e Historia de Guanajuato, sala Feliciano Peña")</f>
        <v>Museo de Arte e Historia de Guanajuato, sala Feliciano Peña</v>
      </c>
      <c r="Z271" s="30"/>
      <c r="AA271" s="30"/>
      <c r="AB271" s="30" t="b">
        <f ca="1">IFERROR(__xludf.DUMMYFUNCTION("""COMPUTED_VALUE"""),FALSE)</f>
        <v>0</v>
      </c>
      <c r="AC271" s="30"/>
      <c r="AD271" s="30" t="b">
        <f ca="1">IFERROR(__xludf.DUMMYFUNCTION("""COMPUTED_VALUE"""),FALSE)</f>
        <v>0</v>
      </c>
      <c r="AE271" s="30"/>
      <c r="AF271" s="30" t="b">
        <f ca="1">IFERROR(__xludf.DUMMYFUNCTION("""COMPUTED_VALUE"""),FALSE)</f>
        <v>0</v>
      </c>
      <c r="AG271" s="30"/>
      <c r="AH271" s="30" t="str">
        <f ca="1">IFERROR(__xludf.DUMMYFUNCTION("""COMPUTED_VALUE"""),"Sin costo")</f>
        <v>Sin costo</v>
      </c>
      <c r="AI271" s="30"/>
      <c r="AJ271" s="30"/>
      <c r="AK271" s="30"/>
      <c r="AL271" s="30" t="str">
        <f ca="1">IFERROR(__xludf.DUMMYFUNCTION("""COMPUTED_VALUE"""),"ccardonav@guanajuato.gob.mx")</f>
        <v>ccardonav@guanajuato.gob.mx</v>
      </c>
      <c r="AM271" s="30" t="str">
        <f ca="1">IFERROR(__xludf.DUMMYFUNCTION("""COMPUTED_VALUE"""),"Arraigo y empoderamiento cultural de comunidades.")</f>
        <v>Arraigo y empoderamiento cultural de comunidades.</v>
      </c>
      <c r="AN271" s="30" t="str">
        <f ca="1">IFERROR(__xludf.DUMMYFUNCTION("""COMPUTED_VALUE"""),"2 Igualdad")</f>
        <v>2 Igualdad</v>
      </c>
      <c r="AO271" s="30" t="str">
        <f ca="1">IFERROR(__xludf.DUMMYFUNCTION("""COMPUTED_VALUE"""),"2.4 Reducir brechas de desigualdad")</f>
        <v>2.4 Reducir brechas de desigualdad</v>
      </c>
      <c r="AP271" s="30" t="str">
        <f ca="1">IFERROR(__xludf.DUMMYFUNCTION("""COMPUTED_VALUE"""),"2.4.3 Descentralización de la oferta cultural")</f>
        <v>2.4.3 Descentralización de la oferta cultural</v>
      </c>
      <c r="AQ271" s="30" t="str">
        <f ca="1">IFERROR(__xludf.DUMMYFUNCTION("""COMPUTED_VALUE"""),"2.4.3.1 Impulsar el desarrollo artístico y cultural entre infancias y juventudes")</f>
        <v>2.4.3.1 Impulsar el desarrollo artístico y cultural entre infancias y juventudes</v>
      </c>
      <c r="AR271" s="30" t="str">
        <f ca="1">IFERROR(__xludf.DUMMYFUNCTION("""COMPUTED_VALUE"""),"Ninguno")</f>
        <v>Ninguno</v>
      </c>
      <c r="AS271" s="30"/>
      <c r="AT271" s="30" t="str">
        <f ca="1">IFERROR(__xludf.DUMMYFUNCTION("""COMPUTED_VALUE"""),"Fortalecimiento de la participación ciudadana y la mediación cultural")</f>
        <v>Fortalecimiento de la participación ciudadana y la mediación cultural</v>
      </c>
      <c r="AU271" s="30" t="str">
        <f ca="1">IFERROR(__xludf.DUMMYFUNCTION("""COMPUTED_VALUE"""),"Fortalecimiento del diálogo, la mediación y las capacidades de las redes comunitarias.")</f>
        <v>Fortalecimiento del diálogo, la mediación y las capacidades de las redes comunitarias.</v>
      </c>
      <c r="AV27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71" s="30" t="str">
        <f ca="1">IFERROR(__xludf.DUMMYFUNCTION("""COMPUTED_VALUE"""),"Incrementar en 25% la oferta cultural realizada en los municipios.")</f>
        <v>Incrementar en 25% la oferta cultural realizada en los municipios.</v>
      </c>
      <c r="AX271" s="30" t="str">
        <f ca="1">IFERROR(__xludf.DUMMYFUNCTION("""COMPUTED_VALUE"""),"Visitas escolares")</f>
        <v>Visitas escolares</v>
      </c>
      <c r="AY271" s="30" t="str">
        <f ca="1">IFERROR(__xludf.DUMMYFUNCTION("""COMPUTED_VALUE"""),"Mediación")</f>
        <v>Mediación</v>
      </c>
      <c r="AZ271" s="30"/>
      <c r="BA271" s="30"/>
      <c r="BB271" s="30"/>
      <c r="BC271" s="30">
        <f ca="1">IFERROR(__xludf.DUMMYFUNCTION("""COMPUTED_VALUE"""),0)</f>
        <v>0</v>
      </c>
      <c r="BD271" s="30"/>
      <c r="BE271" s="30"/>
      <c r="BF271" s="30" t="b">
        <f ca="1">IFERROR(__xludf.DUMMYFUNCTION("""COMPUTED_VALUE"""),FALSE)</f>
        <v>0</v>
      </c>
      <c r="BG271" s="30"/>
      <c r="BH271" s="30"/>
      <c r="BI271" s="30"/>
      <c r="BJ271" s="30"/>
      <c r="BK271" s="30"/>
      <c r="BL271" s="30"/>
      <c r="BM271" s="30" t="str">
        <f ca="1">IFERROR(__xludf.DUMMYFUNCTION("""COMPUTED_VALUE"""),"No")</f>
        <v>No</v>
      </c>
      <c r="BN271" s="30"/>
      <c r="BO271" s="30" t="str">
        <f ca="1">IFERROR(__xludf.DUMMYFUNCTION("""COMPUTED_VALUE"""),"153d6c9a")</f>
        <v>153d6c9a</v>
      </c>
      <c r="BP271" s="29" t="str">
        <f ca="1">IFERROR(__xludf.DUMMYFUNCTION("""COMPUTED_VALUE"""),"Jaral del Progreso")</f>
        <v>Jaral del Progreso</v>
      </c>
      <c r="BQ271" s="30" t="str">
        <f ca="1">IFERROR(__xludf.DUMMYFUNCTION("""COMPUTED_VALUE"""),"Urbano")</f>
        <v>Urbano</v>
      </c>
      <c r="BR271" s="30">
        <f ca="1">IFERROR(__xludf.DUMMYFUNCTION("""COMPUTED_VALUE"""),84)</f>
        <v>84</v>
      </c>
      <c r="BS271" s="30" t="str">
        <f ca="1">IFERROR(__xludf.DUMMYFUNCTION("""COMPUTED_VALUE"""),"Jaral del Progreso")</f>
        <v>Jaral del Progreso</v>
      </c>
      <c r="BT271" s="30"/>
      <c r="BU271" s="30" t="str">
        <f ca="1">IFERROR(__xludf.DUMMYFUNCTION("""COMPUTED_VALUE"""),"Si")</f>
        <v>Si</v>
      </c>
      <c r="BV271" s="30" t="str">
        <f ca="1">IFERROR(__xludf.DUMMYFUNCTION("""COMPUTED_VALUE"""),"Si")</f>
        <v>Si</v>
      </c>
      <c r="BW271" s="30">
        <f ca="1">IFERROR(__xludf.DUMMYFUNCTION("""COMPUTED_VALUE"""),15)</f>
        <v>15</v>
      </c>
      <c r="BX271" s="30"/>
      <c r="BY271" s="30">
        <f ca="1">IFERROR(__xludf.DUMMYFUNCTION("""COMPUTED_VALUE"""),15)</f>
        <v>15</v>
      </c>
      <c r="BZ271" s="30" t="str">
        <f ca="1">IFERROR(__xludf.DUMMYFUNCTION("""COMPUTED_VALUE"""),"Jaral del Progreso")</f>
        <v>Jaral del Progreso</v>
      </c>
      <c r="CA271" s="30" t="str">
        <f ca="1">IFERROR(__xludf.DUMMYFUNCTION("""COMPUTED_VALUE"""),"No")</f>
        <v>No</v>
      </c>
      <c r="CB271" s="30" t="str">
        <f ca="1">IFERROR(__xludf.DUMMYFUNCTION("""COMPUTED_VALUE"""),"No")</f>
        <v>No</v>
      </c>
      <c r="CC271" s="30" t="str">
        <f ca="1">IFERROR(__xludf.DUMMYFUNCTION("""COMPUTED_VALUE"""),"290fab3c")</f>
        <v>290fab3c</v>
      </c>
      <c r="CD271" s="29" t="str">
        <f ca="1">IFERROR(__xludf.DUMMYFUNCTION("""COMPUTED_VALUE"""),"Niñas y Niños (6 a 12 años)")</f>
        <v>Niñas y Niños (6 a 12 años)</v>
      </c>
      <c r="CE271" s="30" t="str">
        <f ca="1">IFERROR(__xludf.DUMMYFUNCTION("""COMPUTED_VALUE"""),"Dato global")</f>
        <v>Dato global</v>
      </c>
      <c r="CF271" s="30" t="str">
        <f ca="1">IFERROR(__xludf.DUMMYFUNCTION("""COMPUTED_VALUE"""),"NNA (Niñas, Niños y Adolescentes)")</f>
        <v>NNA (Niñas, Niños y Adolescentes)</v>
      </c>
      <c r="CG271" s="30">
        <f ca="1">IFERROR(__xludf.DUMMYFUNCTION("""COMPUTED_VALUE"""),22)</f>
        <v>22</v>
      </c>
      <c r="CI271" s="30" t="str">
        <f ca="1">IFERROR(__xludf.DUMMYFUNCTION("""COMPUTED_VALUE"""),"99d75d10")</f>
        <v>99d75d10</v>
      </c>
      <c r="CJ271" s="29" t="str">
        <f ca="1">IFERROR(__xludf.DUMMYFUNCTION("""COMPUTED_VALUE"""),"Regitro_Evidencia_Images/99d75d10.Archivo_Evidencia.185046.jpg")</f>
        <v>Regitro_Evidencia_Images/99d75d10.Archivo_Evidencia.185046.jpg</v>
      </c>
      <c r="CK271" s="30" t="str">
        <f ca="1">IFERROR(__xludf.DUMMYFUNCTION("""COMPUTED_VALUE"""),"Foto")</f>
        <v>Foto</v>
      </c>
      <c r="CL271" s="30"/>
      <c r="CM271" s="30" t="str">
        <f ca="1">IFERROR(__xludf.DUMMYFUNCTION("""COMPUTED_VALUE"""),"Huanímaro")</f>
        <v>Huanímaro</v>
      </c>
      <c r="CN271" s="32" t="e">
        <f ca="1"/>
        <v>#NAME?</v>
      </c>
      <c r="CO271" s="32" t="e">
        <f ca="1"/>
        <v>#NAME?</v>
      </c>
      <c r="CP271" s="32" t="e">
        <f ca="1"/>
        <v>#NAME?</v>
      </c>
      <c r="CQ271" s="32" t="e">
        <f ca="1"/>
        <v>#NAME?</v>
      </c>
      <c r="CR271" s="30" t="e">
        <f ca="1"/>
        <v>#NAME?</v>
      </c>
      <c r="CS271" s="30" t="str">
        <f ca="1">IFERROR(__xludf.DUMMYFUNCTION("""COMPUTED_VALUE"""),"Ninguno (Población General)")</f>
        <v>Ninguno (Población General)</v>
      </c>
    </row>
    <row r="272" spans="1:97" ht="13">
      <c r="A272" s="29" t="str">
        <f ca="1">IFERROR(__xludf.DUMMYFUNCTION("""COMPUTED_VALUE"""),"ACT-SCVR60755")</f>
        <v>ACT-SCVR60755</v>
      </c>
      <c r="B272" s="30" t="str">
        <f ca="1">IFERROR(__xludf.DUMMYFUNCTION("""COMPUTED_VALUE"""),"SC-260817-155224")</f>
        <v>SC-260817-155224</v>
      </c>
      <c r="C272" s="62">
        <f ca="1">IFERROR(__xludf.DUMMYFUNCTION("""COMPUTED_VALUE"""),46251.6613888888)</f>
        <v>46251.661388888802</v>
      </c>
      <c r="D272" s="30">
        <f ca="1">IFERROR(__xludf.DUMMYFUNCTION("""COMPUTED_VALUE"""),92)</f>
        <v>92</v>
      </c>
      <c r="E272" s="30" t="str">
        <f ca="1">IFERROR(__xludf.DUMMYFUNCTION("""COMPUTED_VALUE"""),"PB3572")</f>
        <v>PB3572</v>
      </c>
      <c r="F27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72" s="30" t="str">
        <f ca="1">IFERROR(__xludf.DUMMYFUNCTION("""COMPUTED_VALUE"""),"SUBSECRETARÍA DE DESARROLLO Y PROMOCIÓN ARTÍSTICA Y CULTURAL")</f>
        <v>SUBSECRETARÍA DE DESARROLLO Y PROMOCIÓN ARTÍSTICA Y CULTURAL</v>
      </c>
      <c r="I272" s="34" t="str">
        <f ca="1">IFERROR(__xludf.DUMMYFUNCTION("""COMPUTED_VALUE"""),"DIRECCIÓN GENERAL DE MUSEOS, ARTES VISUALES Y EXPOSICIONES")</f>
        <v>DIRECCIÓN GENERAL DE MUSEOS, ARTES VISUALES Y EXPOSICIONES</v>
      </c>
      <c r="J272" s="30" t="str">
        <f ca="1">IFERROR(__xludf.DUMMYFUNCTION("""COMPUTED_VALUE"""),"Número de Actividades realizadas")</f>
        <v>Número de Actividades realizadas</v>
      </c>
      <c r="K272" s="30">
        <f ca="1">IFERROR(__xludf.DUMMYFUNCTION("""COMPUTED_VALUE"""),800)</f>
        <v>800</v>
      </c>
      <c r="L272" s="30" t="str">
        <f ca="1">IFERROR(__xludf.DUMMYFUNCTION("""COMPUTED_VALUE"""),"Artística")</f>
        <v>Artística</v>
      </c>
      <c r="M272" s="30" t="str">
        <f ca="1">IFERROR(__xludf.DUMMYFUNCTION("""COMPUTED_VALUE"""),"CONVOCATORIA [COLab] 2026")</f>
        <v>CONVOCATORIA [COLab] 2026</v>
      </c>
      <c r="N272" s="30" t="str">
        <f ca="1">IFERROR(__xludf.DUMMYFUNCTION("""COMPUTED_VALUE"""),"La convocatoria Co Lab 2026 busca impulsar proyectos que fusionen artes visuales y sonoras para generar nuevas formas de diálogo con el público. Su objetivo es fortalecer la visibilidad de propuestas interdisciplinarias y enriquecer la programación del Mu"&amp;"seo de Arte e Historia de Guanajuato. Se desarrollarán tres exposiciones que destaquen la innovación y el cruce de lenguajes contemporáneos.")</f>
        <v>La convocatoria Co Lab 2026 busca impulsar proyectos que fusionen artes visuales y sonoras para generar nuevas formas de diálogo con el público. Su objetivo es fortalecer la visibilidad de propuestas interdisciplinarias y enriquecer la programación del Museo de Arte e Historia de Guanajuato. Se desarrollarán tres exposiciones que destaquen la innovación y el cruce de lenguajes contemporáneos.</v>
      </c>
      <c r="O272" s="30" t="str">
        <f ca="1">IFERROR(__xludf.DUMMYFUNCTION("""COMPUTED_VALUE"""),"Otras")</f>
        <v>Otras</v>
      </c>
      <c r="P272" s="33">
        <f ca="1">IFERROR(__xludf.DUMMYFUNCTION("""COMPUTED_VALUE"""),46125)</f>
        <v>46125</v>
      </c>
      <c r="Q272" s="33">
        <f ca="1">IFERROR(__xludf.DUMMYFUNCTION("""COMPUTED_VALUE"""),46218)</f>
        <v>46218</v>
      </c>
      <c r="R272" s="30">
        <f ca="1">IFERROR(__xludf.DUMMYFUNCTION("""COMPUTED_VALUE"""),1)</f>
        <v>1</v>
      </c>
      <c r="S272" s="30" t="str">
        <f ca="1">IFERROR(__xludf.DUMMYFUNCTION("""COMPUTED_VALUE"""),"Artes visuales")</f>
        <v>Artes visuales</v>
      </c>
      <c r="T272" s="30" t="str">
        <f ca="1">IFERROR(__xludf.DUMMYFUNCTION("""COMPUTED_VALUE"""),"Instalación")</f>
        <v>Instalación</v>
      </c>
      <c r="U272" s="30" t="str">
        <f ca="1">IFERROR(__xludf.DUMMYFUNCTION("""COMPUTED_VALUE"""),"Convocatoria pública")</f>
        <v>Convocatoria pública</v>
      </c>
      <c r="V272" s="30" t="str">
        <f ca="1">IFERROR(__xludf.DUMMYFUNCTION("""COMPUTED_VALUE"""),"Entrega de estímulos")</f>
        <v>Entrega de estímulos</v>
      </c>
      <c r="W272" s="30" t="str">
        <f ca="1">IFERROR(__xludf.DUMMYFUNCTION("""COMPUTED_VALUE"""),"Híbrido")</f>
        <v>Híbrido</v>
      </c>
      <c r="X272" s="30" t="str">
        <f ca="1">IFERROR(__xludf.DUMMYFUNCTION("""COMPUTED_VALUE"""),"Espacio a Cargo de la Secretaría")</f>
        <v>Espacio a Cargo de la Secretaría</v>
      </c>
      <c r="Y272" s="30" t="str">
        <f ca="1">IFERROR(__xludf.DUMMYFUNCTION("""COMPUTED_VALUE"""),"Museo de Arte e Historia de Guanajuato, sala Feliciano Peña")</f>
        <v>Museo de Arte e Historia de Guanajuato, sala Feliciano Peña</v>
      </c>
      <c r="Z272" s="30"/>
      <c r="AA272" s="30"/>
      <c r="AB272" s="30" t="b">
        <f ca="1">IFERROR(__xludf.DUMMYFUNCTION("""COMPUTED_VALUE"""),FALSE)</f>
        <v>0</v>
      </c>
      <c r="AC272" s="30"/>
      <c r="AD272" s="30" t="b">
        <f ca="1">IFERROR(__xludf.DUMMYFUNCTION("""COMPUTED_VALUE"""),TRUE)</f>
        <v>1</v>
      </c>
      <c r="AE272" s="30">
        <f ca="1">IFERROR(__xludf.DUMMYFUNCTION("""COMPUTED_VALUE"""),1)</f>
        <v>1</v>
      </c>
      <c r="AF272" s="30" t="b">
        <f ca="1">IFERROR(__xludf.DUMMYFUNCTION("""COMPUTED_VALUE"""),FALSE)</f>
        <v>0</v>
      </c>
      <c r="AG272" s="30"/>
      <c r="AH272" s="30" t="str">
        <f ca="1">IFERROR(__xludf.DUMMYFUNCTION("""COMPUTED_VALUE"""),"Sin costo")</f>
        <v>Sin costo</v>
      </c>
      <c r="AI272" s="30"/>
      <c r="AJ272" s="30"/>
      <c r="AK272" s="30"/>
      <c r="AL272" s="30" t="str">
        <f ca="1">IFERROR(__xludf.DUMMYFUNCTION("""COMPUTED_VALUE"""),"ccardonav@guanajuato.gob.mx")</f>
        <v>ccardonav@guanajuato.gob.mx</v>
      </c>
      <c r="AM272"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272" s="30" t="str">
        <f ca="1">IFERROR(__xludf.DUMMYFUNCTION("""COMPUTED_VALUE"""),"2 Igualdad")</f>
        <v>2 Igualdad</v>
      </c>
      <c r="AO272" s="30" t="str">
        <f ca="1">IFERROR(__xludf.DUMMYFUNCTION("""COMPUTED_VALUE"""),"2.4 Reducir brechas de desigualdad")</f>
        <v>2.4 Reducir brechas de desigualdad</v>
      </c>
      <c r="AP272" s="30" t="str">
        <f ca="1">IFERROR(__xludf.DUMMYFUNCTION("""COMPUTED_VALUE"""),"2.4.3 Descentralización de la oferta cultural")</f>
        <v>2.4.3 Descentralización de la oferta cultural</v>
      </c>
      <c r="AQ272" s="30" t="str">
        <f ca="1">IFERROR(__xludf.DUMMYFUNCTION("""COMPUTED_VALUE"""),"2.4.3.1 Impulsar el desarrollo artístico y cultural entre infancias y juventudes")</f>
        <v>2.4.3.1 Impulsar el desarrollo artístico y cultural entre infancias y juventudes</v>
      </c>
      <c r="AR272" s="30" t="str">
        <f ca="1">IFERROR(__xludf.DUMMYFUNCTION("""COMPUTED_VALUE"""),"Inclusión")</f>
        <v>Inclusión</v>
      </c>
      <c r="AS272" s="30" t="str">
        <f ca="1">IFERROR(__xludf.DUMMYFUNCTION("""COMPUTED_VALUE"""),"Ninguno (Población General)")</f>
        <v>Ninguno (Población General)</v>
      </c>
      <c r="AT272" s="30" t="str">
        <f ca="1">IFERROR(__xludf.DUMMYFUNCTION("""COMPUTED_VALUE"""),"Fomento a la creación y circulación cultural.")</f>
        <v>Fomento a la creación y circulación cultural.</v>
      </c>
      <c r="AU272" s="30" t="str">
        <f ca="1">IFERROR(__xludf.DUMMYFUNCTION("""COMPUTED_VALUE"""),"Impulso a redes colaborativas y plataformas de visibilidad")</f>
        <v>Impulso a redes colaborativas y plataformas de visibilidad</v>
      </c>
      <c r="AV272" s="30" t="str">
        <f ca="1">IFERROR(__xludf.DUMMYFUNCTION("""COMPUTED_VALUE"""),"Realizar clínicas de acompañamiento técnico para fortalecer los proyectos postulados a convocatorias públicas.")</f>
        <v>Realizar clínicas de acompañamiento técnico para fortalecer los proyectos postulados a convocatorias públicas.</v>
      </c>
      <c r="AW272" s="30" t="str">
        <f ca="1">IFERROR(__xludf.DUMMYFUNCTION("""COMPUTED_VALUE"""),"Lograr un incremento anual del 10% en la circulación de obras fuera del territorio estatal.")</f>
        <v>Lograr un incremento anual del 10% en la circulación de obras fuera del territorio estatal.</v>
      </c>
      <c r="AX272" s="30" t="str">
        <f ca="1">IFERROR(__xludf.DUMMYFUNCTION("""COMPUTED_VALUE"""),"Convocatoria pública")</f>
        <v>Convocatoria pública</v>
      </c>
      <c r="AY272" s="30" t="str">
        <f ca="1">IFERROR(__xludf.DUMMYFUNCTION("""COMPUTED_VALUE"""),"Creación")</f>
        <v>Creación</v>
      </c>
      <c r="AZ272" s="30"/>
      <c r="BA272" s="30"/>
      <c r="BB272" s="30"/>
      <c r="BC272" s="30">
        <f ca="1">IFERROR(__xludf.DUMMYFUNCTION("""COMPUTED_VALUE"""),0)</f>
        <v>0</v>
      </c>
      <c r="BD272" s="30"/>
      <c r="BE272" s="30"/>
      <c r="BF272" s="30" t="b">
        <f ca="1">IFERROR(__xludf.DUMMYFUNCTION("""COMPUTED_VALUE"""),TRUE)</f>
        <v>1</v>
      </c>
      <c r="BG272" s="30" t="str">
        <f ca="1">IFERROR(__xludf.DUMMYFUNCTION("""COMPUTED_VALUE"""),"Económico")</f>
        <v>Económico</v>
      </c>
      <c r="BH272" s="30"/>
      <c r="BI272" s="30"/>
      <c r="BJ272" s="30"/>
      <c r="BK272" s="30"/>
      <c r="BL272" s="30"/>
      <c r="BM272" s="30" t="str">
        <f ca="1">IFERROR(__xludf.DUMMYFUNCTION("""COMPUTED_VALUE"""),"No")</f>
        <v>No</v>
      </c>
      <c r="BN272" s="30"/>
      <c r="BO272" s="30" t="str">
        <f ca="1">IFERROR(__xludf.DUMMYFUNCTION("""COMPUTED_VALUE"""),"7fe1cf30")</f>
        <v>7fe1cf30</v>
      </c>
      <c r="BP272" s="29" t="str">
        <f ca="1">IFERROR(__xludf.DUMMYFUNCTION("""COMPUTED_VALUE"""),"Huanímaro")</f>
        <v>Huanímaro</v>
      </c>
      <c r="BQ272" s="30" t="str">
        <f ca="1">IFERROR(__xludf.DUMMYFUNCTION("""COMPUTED_VALUE"""),"Urbano")</f>
        <v>Urbano</v>
      </c>
      <c r="BR272" s="30">
        <f ca="1">IFERROR(__xludf.DUMMYFUNCTION("""COMPUTED_VALUE"""),55)</f>
        <v>55</v>
      </c>
      <c r="BS272" s="30" t="str">
        <f ca="1">IFERROR(__xludf.DUMMYFUNCTION("""COMPUTED_VALUE"""),"Huanímaro")</f>
        <v>Huanímaro</v>
      </c>
      <c r="BT272" s="30"/>
      <c r="BU272" s="30" t="str">
        <f ca="1">IFERROR(__xludf.DUMMYFUNCTION("""COMPUTED_VALUE"""),"Si")</f>
        <v>Si</v>
      </c>
      <c r="BV272" s="30" t="str">
        <f ca="1">IFERROR(__xludf.DUMMYFUNCTION("""COMPUTED_VALUE"""),"No")</f>
        <v>No</v>
      </c>
      <c r="BW272" s="30">
        <f ca="1">IFERROR(__xludf.DUMMYFUNCTION("""COMPUTED_VALUE"""),34)</f>
        <v>34</v>
      </c>
      <c r="BX272" s="30"/>
      <c r="BY272" s="30">
        <f ca="1">IFERROR(__xludf.DUMMYFUNCTION("""COMPUTED_VALUE"""),34)</f>
        <v>34</v>
      </c>
      <c r="BZ272" s="30" t="str">
        <f ca="1">IFERROR(__xludf.DUMMYFUNCTION("""COMPUTED_VALUE"""),"Huanímaro")</f>
        <v>Huanímaro</v>
      </c>
      <c r="CA272" s="30" t="str">
        <f ca="1">IFERROR(__xludf.DUMMYFUNCTION("""COMPUTED_VALUE"""),"No")</f>
        <v>No</v>
      </c>
      <c r="CB272" s="30" t="str">
        <f ca="1">IFERROR(__xludf.DUMMYFUNCTION("""COMPUTED_VALUE"""),"No")</f>
        <v>No</v>
      </c>
      <c r="CC272" s="30" t="str">
        <f ca="1">IFERROR(__xludf.DUMMYFUNCTION("""COMPUTED_VALUE"""),"e687fe83")</f>
        <v>e687fe83</v>
      </c>
      <c r="CD272" s="29" t="str">
        <f ca="1">IFERROR(__xludf.DUMMYFUNCTION("""COMPUTED_VALUE"""),"Niñas y Niños (6 a 12 años)")</f>
        <v>Niñas y Niños (6 a 12 años)</v>
      </c>
      <c r="CE272" s="30" t="str">
        <f ca="1">IFERROR(__xludf.DUMMYFUNCTION("""COMPUTED_VALUE"""),"Dato global")</f>
        <v>Dato global</v>
      </c>
      <c r="CF272" s="30" t="str">
        <f ca="1">IFERROR(__xludf.DUMMYFUNCTION("""COMPUTED_VALUE"""),"NNA (Niñas, Niños y Adolescentes)")</f>
        <v>NNA (Niñas, Niños y Adolescentes)</v>
      </c>
      <c r="CG272" s="30">
        <f ca="1">IFERROR(__xludf.DUMMYFUNCTION("""COMPUTED_VALUE"""),11)</f>
        <v>11</v>
      </c>
      <c r="CI272" s="30" t="str">
        <f ca="1">IFERROR(__xludf.DUMMYFUNCTION("""COMPUTED_VALUE"""),"4dd19874")</f>
        <v>4dd19874</v>
      </c>
      <c r="CJ272" s="29" t="str">
        <f ca="1">IFERROR(__xludf.DUMMYFUNCTION("""COMPUTED_VALUE"""),"Regitro_Evidencia_Images/4dd19874.Archivo_Evidencia.223103.jpg")</f>
        <v>Regitro_Evidencia_Images/4dd19874.Archivo_Evidencia.223103.jpg</v>
      </c>
      <c r="CK272" s="30" t="str">
        <f ca="1">IFERROR(__xludf.DUMMYFUNCTION("""COMPUTED_VALUE"""),"Foto")</f>
        <v>Foto</v>
      </c>
      <c r="CL272" s="30"/>
      <c r="CM272" s="30" t="str">
        <f ca="1">IFERROR(__xludf.DUMMYFUNCTION("""COMPUTED_VALUE"""),"Silao de la Victoria")</f>
        <v>Silao de la Victoria</v>
      </c>
      <c r="CN272" s="32" t="e">
        <f ca="1"/>
        <v>#NAME?</v>
      </c>
      <c r="CO272" s="32" t="e">
        <f ca="1"/>
        <v>#NAME?</v>
      </c>
      <c r="CP272" s="32" t="e">
        <f ca="1"/>
        <v>#NAME?</v>
      </c>
      <c r="CQ272" s="32" t="e">
        <f ca="1"/>
        <v>#NAME?</v>
      </c>
      <c r="CR272" s="30" t="e">
        <f ca="1"/>
        <v>#NAME?</v>
      </c>
      <c r="CS272" s="30" t="str">
        <f ca="1">IFERROR(__xludf.DUMMYFUNCTION("""COMPUTED_VALUE"""),"Jóvenes en riesgo, Jóvenes en riesgo, Jóvenes en riesgo, Jóvenes en riesgo")</f>
        <v>Jóvenes en riesgo, Jóvenes en riesgo, Jóvenes en riesgo, Jóvenes en riesgo</v>
      </c>
    </row>
    <row r="273" spans="1:97" ht="13">
      <c r="A273" s="29" t="str">
        <f ca="1">IFERROR(__xludf.DUMMYFUNCTION("""COMPUTED_VALUE"""),"ACT-SCZJ44226")</f>
        <v>ACT-SCZJ44226</v>
      </c>
      <c r="B273" s="30" t="str">
        <f ca="1">IFERROR(__xludf.DUMMYFUNCTION("""COMPUTED_VALUE"""),"SC-260817-162725")</f>
        <v>SC-260817-162725</v>
      </c>
      <c r="C273" s="62">
        <f ca="1">IFERROR(__xludf.DUMMYFUNCTION("""COMPUTED_VALUE"""),46251.6857060185)</f>
        <v>46251.685706018499</v>
      </c>
      <c r="D273" s="30">
        <f ca="1">IFERROR(__xludf.DUMMYFUNCTION("""COMPUTED_VALUE"""),93)</f>
        <v>93</v>
      </c>
      <c r="E273" s="30" t="str">
        <f ca="1">IFERROR(__xludf.DUMMYFUNCTION("""COMPUTED_VALUE"""),"PB3572")</f>
        <v>PB3572</v>
      </c>
      <c r="F27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3" s="30" t="str">
        <f ca="1">IFERROR(__xludf.DUMMYFUNCTION("""COMPUTED_VALUE"""),"Participación de artistas en las actividades extramuros en municipios del Estado de Guanajuato")</f>
        <v>Participación de artistas en las actividades extramuros en municipios del Estado de Guanajuato</v>
      </c>
      <c r="H273" s="30" t="str">
        <f ca="1">IFERROR(__xludf.DUMMYFUNCTION("""COMPUTED_VALUE"""),"SUBSECRETARÍA DE DESARROLLO Y PROMOCIÓN ARTÍSTICA Y CULTURAL")</f>
        <v>SUBSECRETARÍA DE DESARROLLO Y PROMOCIÓN ARTÍSTICA Y CULTURAL</v>
      </c>
      <c r="I273" s="34" t="str">
        <f ca="1">IFERROR(__xludf.DUMMYFUNCTION("""COMPUTED_VALUE"""),"DIRECCIÓN GENERAL DE MUSEOS, ARTES VISUALES Y EXPOSICIONES")</f>
        <v>DIRECCIÓN GENERAL DE MUSEOS, ARTES VISUALES Y EXPOSICIONES</v>
      </c>
      <c r="J273" s="30" t="str">
        <f ca="1">IFERROR(__xludf.DUMMYFUNCTION("""COMPUTED_VALUE"""),"Número de Actividades realizadas")</f>
        <v>Número de Actividades realizadas</v>
      </c>
      <c r="K273" s="30">
        <f ca="1">IFERROR(__xludf.DUMMYFUNCTION("""COMPUTED_VALUE"""),10)</f>
        <v>10</v>
      </c>
      <c r="L273" s="30" t="str">
        <f ca="1">IFERROR(__xludf.DUMMYFUNCTION("""COMPUTED_VALUE"""),"Artística")</f>
        <v>Artística</v>
      </c>
      <c r="M273" s="30" t="str">
        <f ca="1">IFERROR(__xludf.DUMMYFUNCTION("""COMPUTED_VALUE"""),"Arte en tu Plaza exposición ""Fragmentos y Complicidades")</f>
        <v>Arte en tu Plaza exposición "Fragmentos y Complicidades</v>
      </c>
      <c r="N273" s="30" t="str">
        <f ca="1">IFERROR(__xludf.DUMMYFUNCTION("""COMPUTED_VALUE"""),"Exposicion en el portal Morelos en el municipio de Huanímaro como parte del programa Arte en tu Plaza")</f>
        <v>Exposicion en el portal Morelos en el municipio de Huanímaro como parte del programa Arte en tu Plaza</v>
      </c>
      <c r="O273" s="30" t="str">
        <f ca="1">IFERROR(__xludf.DUMMYFUNCTION("""COMPUTED_VALUE"""),"Otras")</f>
        <v>Otras</v>
      </c>
      <c r="P273" s="33">
        <f ca="1">IFERROR(__xludf.DUMMYFUNCTION("""COMPUTED_VALUE"""),46211)</f>
        <v>46211</v>
      </c>
      <c r="Q273" s="33">
        <f ca="1">IFERROR(__xludf.DUMMYFUNCTION("""COMPUTED_VALUE"""),46239)</f>
        <v>46239</v>
      </c>
      <c r="R273" s="30">
        <f ca="1">IFERROR(__xludf.DUMMYFUNCTION("""COMPUTED_VALUE"""),1)</f>
        <v>1</v>
      </c>
      <c r="S273" s="30" t="str">
        <f ca="1">IFERROR(__xludf.DUMMYFUNCTION("""COMPUTED_VALUE"""),"Artes visuales")</f>
        <v>Artes visuales</v>
      </c>
      <c r="T273" s="30" t="str">
        <f ca="1">IFERROR(__xludf.DUMMYFUNCTION("""COMPUTED_VALUE"""),"Arte urbano")</f>
        <v>Arte urbano</v>
      </c>
      <c r="U273" s="30" t="str">
        <f ca="1">IFERROR(__xludf.DUMMYFUNCTION("""COMPUTED_VALUE"""),"Muestra artística")</f>
        <v>Muestra artística</v>
      </c>
      <c r="V273" s="30" t="str">
        <f ca="1">IFERROR(__xludf.DUMMYFUNCTION("""COMPUTED_VALUE"""),"Ninguna")</f>
        <v>Ninguna</v>
      </c>
      <c r="W273" s="30" t="str">
        <f ca="1">IFERROR(__xludf.DUMMYFUNCTION("""COMPUTED_VALUE"""),"Presencial")</f>
        <v>Presencial</v>
      </c>
      <c r="X273" s="30" t="str">
        <f ca="1">IFERROR(__xludf.DUMMYFUNCTION("""COMPUTED_VALUE"""),"Espacio Público")</f>
        <v>Espacio Público</v>
      </c>
      <c r="Y273" s="30"/>
      <c r="Z273" s="30" t="str">
        <f ca="1">IFERROR(__xludf.DUMMYFUNCTION("""COMPUTED_VALUE"""),"Portal Morelos")</f>
        <v>Portal Morelos</v>
      </c>
      <c r="AA273" s="30"/>
      <c r="AB273" s="30" t="b">
        <f ca="1">IFERROR(__xludf.DUMMYFUNCTION("""COMPUTED_VALUE"""),FALSE)</f>
        <v>0</v>
      </c>
      <c r="AC273" s="30"/>
      <c r="AD273" s="30" t="b">
        <f ca="1">IFERROR(__xludf.DUMMYFUNCTION("""COMPUTED_VALUE"""),TRUE)</f>
        <v>1</v>
      </c>
      <c r="AE273" s="30">
        <f ca="1">IFERROR(__xludf.DUMMYFUNCTION("""COMPUTED_VALUE"""),1)</f>
        <v>1</v>
      </c>
      <c r="AF273" s="30" t="b">
        <f ca="1">IFERROR(__xludf.DUMMYFUNCTION("""COMPUTED_VALUE"""),FALSE)</f>
        <v>0</v>
      </c>
      <c r="AG273" s="30"/>
      <c r="AH273" s="30" t="str">
        <f ca="1">IFERROR(__xludf.DUMMYFUNCTION("""COMPUTED_VALUE"""),"Sin costo")</f>
        <v>Sin costo</v>
      </c>
      <c r="AI273" s="30"/>
      <c r="AJ273" s="30"/>
      <c r="AK273" s="30"/>
      <c r="AL273" s="30" t="str">
        <f ca="1">IFERROR(__xludf.DUMMYFUNCTION("""COMPUTED_VALUE"""),"ccardonav@guanajuato.gob.mx")</f>
        <v>ccardonav@guanajuato.gob.mx</v>
      </c>
      <c r="AM273"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273" s="30" t="str">
        <f ca="1">IFERROR(__xludf.DUMMYFUNCTION("""COMPUTED_VALUE"""),"2 Igualdad")</f>
        <v>2 Igualdad</v>
      </c>
      <c r="AO273" s="30" t="str">
        <f ca="1">IFERROR(__xludf.DUMMYFUNCTION("""COMPUTED_VALUE"""),"2.4 Reducir brechas de desigualdad")</f>
        <v>2.4 Reducir brechas de desigualdad</v>
      </c>
      <c r="AP273" s="30" t="str">
        <f ca="1">IFERROR(__xludf.DUMMYFUNCTION("""COMPUTED_VALUE"""),"2.4.3 Descentralización de la oferta cultural")</f>
        <v>2.4.3 Descentralización de la oferta cultural</v>
      </c>
      <c r="AQ273" s="30" t="str">
        <f ca="1">IFERROR(__xludf.DUMMYFUNCTION("""COMPUTED_VALUE"""),"2.4.3.3 Incidir en el involucramiento de las personas con el ecosistema cultural")</f>
        <v>2.4.3.3 Incidir en el involucramiento de las personas con el ecosistema cultural</v>
      </c>
      <c r="AR273" s="30" t="str">
        <f ca="1">IFERROR(__xludf.DUMMYFUNCTION("""COMPUTED_VALUE"""),"Inclusión")</f>
        <v>Inclusión</v>
      </c>
      <c r="AS273" s="30" t="str">
        <f ca="1">IFERROR(__xludf.DUMMYFUNCTION("""COMPUTED_VALUE"""),"Ninguno (Población General)")</f>
        <v>Ninguno (Población General)</v>
      </c>
      <c r="AT273" s="30" t="str">
        <f ca="1">IFERROR(__xludf.DUMMYFUNCTION("""COMPUTED_VALUE"""),"Fortalecimiento de la participación ciudadana y la mediación cultural")</f>
        <v>Fortalecimiento de la participación ciudadana y la mediación cultural</v>
      </c>
      <c r="AU273" s="30" t="str">
        <f ca="1">IFERROR(__xludf.DUMMYFUNCTION("""COMPUTED_VALUE"""),"Impulso a la ampliación de la oferta cultural en los territorios.")</f>
        <v>Impulso a la ampliación de la oferta cultural en los territorios.</v>
      </c>
      <c r="AV27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73" s="30" t="str">
        <f ca="1">IFERROR(__xludf.DUMMYFUNCTION("""COMPUTED_VALUE"""),"Incrementar en 25% la oferta cultural realizada en los municipios.")</f>
        <v>Incrementar en 25% la oferta cultural realizada en los municipios.</v>
      </c>
      <c r="AX273" s="30" t="str">
        <f ca="1">IFERROR(__xludf.DUMMYFUNCTION("""COMPUTED_VALUE"""),"Muestra itinerante")</f>
        <v>Muestra itinerante</v>
      </c>
      <c r="AY273" s="30" t="str">
        <f ca="1">IFERROR(__xludf.DUMMYFUNCTION("""COMPUTED_VALUE"""),"Circulación / Exhibición")</f>
        <v>Circulación / Exhibición</v>
      </c>
      <c r="AZ273" s="30"/>
      <c r="BA273" s="30"/>
      <c r="BB273" s="30"/>
      <c r="BC273" s="30">
        <f ca="1">IFERROR(__xludf.DUMMYFUNCTION("""COMPUTED_VALUE"""),0)</f>
        <v>0</v>
      </c>
      <c r="BD273" s="30"/>
      <c r="BE273" s="30"/>
      <c r="BF273" s="30" t="b">
        <f ca="1">IFERROR(__xludf.DUMMYFUNCTION("""COMPUTED_VALUE"""),TRUE)</f>
        <v>1</v>
      </c>
      <c r="BG273" s="30" t="str">
        <f ca="1">IFERROR(__xludf.DUMMYFUNCTION("""COMPUTED_VALUE"""),"Especie")</f>
        <v>Especie</v>
      </c>
      <c r="BH273" s="30"/>
      <c r="BI273" s="30"/>
      <c r="BJ273" s="30"/>
      <c r="BK273" s="30"/>
      <c r="BL273" s="30"/>
      <c r="BM273" s="30" t="str">
        <f ca="1">IFERROR(__xludf.DUMMYFUNCTION("""COMPUTED_VALUE"""),"Sí")</f>
        <v>Sí</v>
      </c>
      <c r="BN273" s="30" t="str">
        <f ca="1">IFERROR(__xludf.DUMMYFUNCTION("""COMPUTED_VALUE"""),"Acompañamiento Técnico")</f>
        <v>Acompañamiento Técnico</v>
      </c>
      <c r="BO273" s="30" t="str">
        <f ca="1">IFERROR(__xludf.DUMMYFUNCTION("""COMPUTED_VALUE"""),"dd6bb46f")</f>
        <v>dd6bb46f</v>
      </c>
      <c r="BP273" s="29" t="str">
        <f ca="1">IFERROR(__xludf.DUMMYFUNCTION("""COMPUTED_VALUE"""),"Silao de la Victoria")</f>
        <v>Silao de la Victoria</v>
      </c>
      <c r="BQ273" s="30" t="str">
        <f ca="1">IFERROR(__xludf.DUMMYFUNCTION("""COMPUTED_VALUE"""),"Urbano")</f>
        <v>Urbano</v>
      </c>
      <c r="BR273" s="30">
        <f ca="1">IFERROR(__xludf.DUMMYFUNCTION("""COMPUTED_VALUE"""),215)</f>
        <v>215</v>
      </c>
      <c r="BS273" s="30" t="str">
        <f ca="1">IFERROR(__xludf.DUMMYFUNCTION("""COMPUTED_VALUE"""),"Silao")</f>
        <v>Silao</v>
      </c>
      <c r="BT273" s="30"/>
      <c r="BU273" s="30" t="str">
        <f ca="1">IFERROR(__xludf.DUMMYFUNCTION("""COMPUTED_VALUE"""),"Si")</f>
        <v>Si</v>
      </c>
      <c r="BV273" s="30" t="str">
        <f ca="1">IFERROR(__xludf.DUMMYFUNCTION("""COMPUTED_VALUE"""),"Si")</f>
        <v>Si</v>
      </c>
      <c r="BW273" s="30">
        <f ca="1">IFERROR(__xludf.DUMMYFUNCTION("""COMPUTED_VALUE"""),31)</f>
        <v>31</v>
      </c>
      <c r="BX273" s="30">
        <f ca="1">IFERROR(__xludf.DUMMYFUNCTION("""COMPUTED_VALUE"""),31)</f>
        <v>31</v>
      </c>
      <c r="BY273" s="30">
        <f ca="1">IFERROR(__xludf.DUMMYFUNCTION("""COMPUTED_VALUE"""),0)</f>
        <v>0</v>
      </c>
      <c r="BZ273" s="30" t="str">
        <f ca="1">IFERROR(__xludf.DUMMYFUNCTION("""COMPUTED_VALUE"""),"Silao")</f>
        <v>Silao</v>
      </c>
      <c r="CA273" s="30" t="str">
        <f ca="1">IFERROR(__xludf.DUMMYFUNCTION("""COMPUTED_VALUE"""),"No")</f>
        <v>No</v>
      </c>
      <c r="CB273" s="30" t="str">
        <f ca="1">IFERROR(__xludf.DUMMYFUNCTION("""COMPUTED_VALUE"""),"No")</f>
        <v>No</v>
      </c>
      <c r="CC273" s="30" t="str">
        <f ca="1">IFERROR(__xludf.DUMMYFUNCTION("""COMPUTED_VALUE"""),"0e494b17")</f>
        <v>0e494b17</v>
      </c>
      <c r="CD273" s="29" t="str">
        <f ca="1">IFERROR(__xludf.DUMMYFUNCTION("""COMPUTED_VALUE"""),"Niñas y Niños (6 a 12 años)")</f>
        <v>Niñas y Niños (6 a 12 años)</v>
      </c>
      <c r="CE273" s="30" t="str">
        <f ca="1">IFERROR(__xludf.DUMMYFUNCTION("""COMPUTED_VALUE"""),"Dato global")</f>
        <v>Dato global</v>
      </c>
      <c r="CF273" s="30" t="str">
        <f ca="1">IFERROR(__xludf.DUMMYFUNCTION("""COMPUTED_VALUE"""),"NNA (Niñas, Niños y Adolescentes)")</f>
        <v>NNA (Niñas, Niños y Adolescentes)</v>
      </c>
      <c r="CG273" s="30">
        <f ca="1">IFERROR(__xludf.DUMMYFUNCTION("""COMPUTED_VALUE"""),21)</f>
        <v>21</v>
      </c>
      <c r="CI273" s="30" t="str">
        <f ca="1">IFERROR(__xludf.DUMMYFUNCTION("""COMPUTED_VALUE"""),"99093868")</f>
        <v>99093868</v>
      </c>
      <c r="CJ273" s="29" t="str">
        <f ca="1">IFERROR(__xludf.DUMMYFUNCTION("""COMPUTED_VALUE"""),"Regitro_Evidencia_Files_/99093868.Archivo_Evidencia.230215.pdf")</f>
        <v>Regitro_Evidencia_Files_/99093868.Archivo_Evidencia.230215.pdf</v>
      </c>
      <c r="CK273" s="30" t="str">
        <f ca="1">IFERROR(__xludf.DUMMYFUNCTION("""COMPUTED_VALUE"""),"PDF")</f>
        <v>PDF</v>
      </c>
      <c r="CL273" s="30"/>
      <c r="CM273" s="30" t="str">
        <f ca="1">IFERROR(__xludf.DUMMYFUNCTION("""COMPUTED_VALUE"""),"Silao de la Victoria")</f>
        <v>Silao de la Victoria</v>
      </c>
      <c r="CN273" s="32" t="e">
        <f ca="1"/>
        <v>#NAME?</v>
      </c>
      <c r="CO273" s="32" t="e">
        <f ca="1"/>
        <v>#NAME?</v>
      </c>
      <c r="CP273" s="32" t="e">
        <f ca="1"/>
        <v>#NAME?</v>
      </c>
      <c r="CQ273" s="32" t="e">
        <f ca="1"/>
        <v>#NAME?</v>
      </c>
      <c r="CR273" s="30" t="e">
        <f ca="1"/>
        <v>#NAME?</v>
      </c>
      <c r="CS273" s="30" t="str">
        <f ca="1">IFERROR(__xludf.DUMMYFUNCTION("""COMPUTED_VALUE"""),"Jóvenes en riesgo, Jóvenes en riesgo, Jóvenes en riesgo")</f>
        <v>Jóvenes en riesgo, Jóvenes en riesgo, Jóvenes en riesgo</v>
      </c>
    </row>
    <row r="274" spans="1:97" ht="13">
      <c r="A274" s="29" t="str">
        <f ca="1">IFERROR(__xludf.DUMMYFUNCTION("""COMPUTED_VALUE"""),"ACT-SCTR14537")</f>
        <v>ACT-SCTR14537</v>
      </c>
      <c r="B274" s="30" t="str">
        <f ca="1">IFERROR(__xludf.DUMMYFUNCTION("""COMPUTED_VALUE"""),"SC-260818-103343")</f>
        <v>SC-260818-103343</v>
      </c>
      <c r="C274" s="62">
        <f ca="1">IFERROR(__xludf.DUMMYFUNCTION("""COMPUTED_VALUE"""),46252.4400810185)</f>
        <v>46252.440081018503</v>
      </c>
      <c r="D274" s="30">
        <f ca="1">IFERROR(__xludf.DUMMYFUNCTION("""COMPUTED_VALUE"""),93)</f>
        <v>93</v>
      </c>
      <c r="E274" s="30" t="str">
        <f ca="1">IFERROR(__xludf.DUMMYFUNCTION("""COMPUTED_VALUE"""),"PB3572")</f>
        <v>PB3572</v>
      </c>
      <c r="F27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4" s="30" t="str">
        <f ca="1">IFERROR(__xludf.DUMMYFUNCTION("""COMPUTED_VALUE"""),"Participación de artistas en las actividades extramuros en municipios del Estado de Guanajuato")</f>
        <v>Participación de artistas en las actividades extramuros en municipios del Estado de Guanajuato</v>
      </c>
      <c r="H274" s="30" t="str">
        <f ca="1">IFERROR(__xludf.DUMMYFUNCTION("""COMPUTED_VALUE"""),"SUBSECRETARÍA DE DESARROLLO Y PROMOCIÓN ARTÍSTICA Y CULTURAL")</f>
        <v>SUBSECRETARÍA DE DESARROLLO Y PROMOCIÓN ARTÍSTICA Y CULTURAL</v>
      </c>
      <c r="I274" s="34" t="str">
        <f ca="1">IFERROR(__xludf.DUMMYFUNCTION("""COMPUTED_VALUE"""),"DIRECCIÓN GENERAL DE MUSEOS, ARTES VISUALES Y EXPOSICIONES")</f>
        <v>DIRECCIÓN GENERAL DE MUSEOS, ARTES VISUALES Y EXPOSICIONES</v>
      </c>
      <c r="J274" s="30" t="str">
        <f ca="1">IFERROR(__xludf.DUMMYFUNCTION("""COMPUTED_VALUE"""),"Número de Actividades realizadas")</f>
        <v>Número de Actividades realizadas</v>
      </c>
      <c r="K274" s="30">
        <f ca="1">IFERROR(__xludf.DUMMYFUNCTION("""COMPUTED_VALUE"""),10)</f>
        <v>10</v>
      </c>
      <c r="L274" s="30" t="str">
        <f ca="1">IFERROR(__xludf.DUMMYFUNCTION("""COMPUTED_VALUE"""),"Artística")</f>
        <v>Artística</v>
      </c>
      <c r="M274" s="30" t="str">
        <f ca="1">IFERROR(__xludf.DUMMYFUNCTION("""COMPUTED_VALUE"""),"Arte en tu Plaza exposicion"" Homo Videns""")</f>
        <v>Arte en tu Plaza exposicion" Homo Videns"</v>
      </c>
      <c r="N274" s="30" t="str">
        <f ca="1">IFERROR(__xludf.DUMMYFUNCTION("""COMPUTED_VALUE"""),"adaptarse a contextos locales, estimula la interacción comunitaria y fortalece la presencia del arte como parte de la vida cotidiana. Además, permite la circulación del trabajo de artistas guanajuatenses, favoreciendo la diversidad visual y la cohesión cu"&amp;"ltural entre regiones.")</f>
        <v>adaptarse a contextos locales, estimula la interacción comunitaria y fortalece la presencia del arte como parte de la vida cotidiana. Además, permite la circulación del trabajo de artistas guanajuatenses, favoreciendo la diversidad visual y la cohesión cultural entre regiones.</v>
      </c>
      <c r="O274" s="30" t="str">
        <f ca="1">IFERROR(__xludf.DUMMYFUNCTION("""COMPUTED_VALUE"""),"Otras")</f>
        <v>Otras</v>
      </c>
      <c r="P274" s="33">
        <f ca="1">IFERROR(__xludf.DUMMYFUNCTION("""COMPUTED_VALUE"""),46213)</f>
        <v>46213</v>
      </c>
      <c r="Q274" s="33">
        <f ca="1">IFERROR(__xludf.DUMMYFUNCTION("""COMPUTED_VALUE"""),46241)</f>
        <v>46241</v>
      </c>
      <c r="R274" s="30">
        <f ca="1">IFERROR(__xludf.DUMMYFUNCTION("""COMPUTED_VALUE"""),1)</f>
        <v>1</v>
      </c>
      <c r="S274" s="30" t="str">
        <f ca="1">IFERROR(__xludf.DUMMYFUNCTION("""COMPUTED_VALUE"""),"Artes visuales")</f>
        <v>Artes visuales</v>
      </c>
      <c r="T274" s="30" t="str">
        <f ca="1">IFERROR(__xludf.DUMMYFUNCTION("""COMPUTED_VALUE"""),"Arte urbano")</f>
        <v>Arte urbano</v>
      </c>
      <c r="U274" s="30" t="str">
        <f ca="1">IFERROR(__xludf.DUMMYFUNCTION("""COMPUTED_VALUE"""),"Muestra artística")</f>
        <v>Muestra artística</v>
      </c>
      <c r="V274" s="30" t="str">
        <f ca="1">IFERROR(__xludf.DUMMYFUNCTION("""COMPUTED_VALUE"""),"Ninguna")</f>
        <v>Ninguna</v>
      </c>
      <c r="W274" s="30" t="str">
        <f ca="1">IFERROR(__xludf.DUMMYFUNCTION("""COMPUTED_VALUE"""),"Presencial")</f>
        <v>Presencial</v>
      </c>
      <c r="X274" s="30" t="str">
        <f ca="1">IFERROR(__xludf.DUMMYFUNCTION("""COMPUTED_VALUE"""),"Espacio Público")</f>
        <v>Espacio Público</v>
      </c>
      <c r="Y274" s="30"/>
      <c r="Z274" s="30" t="str">
        <f ca="1">IFERROR(__xludf.DUMMYFUNCTION("""COMPUTED_VALUE"""),"Jardín Principal de Jaral del Progreso")</f>
        <v>Jardín Principal de Jaral del Progreso</v>
      </c>
      <c r="AA274" s="30"/>
      <c r="AB274" s="30" t="b">
        <f ca="1">IFERROR(__xludf.DUMMYFUNCTION("""COMPUTED_VALUE"""),FALSE)</f>
        <v>0</v>
      </c>
      <c r="AC274" s="30"/>
      <c r="AD274" s="30" t="b">
        <f ca="1">IFERROR(__xludf.DUMMYFUNCTION("""COMPUTED_VALUE"""),TRUE)</f>
        <v>1</v>
      </c>
      <c r="AE274" s="30">
        <f ca="1">IFERROR(__xludf.DUMMYFUNCTION("""COMPUTED_VALUE"""),1)</f>
        <v>1</v>
      </c>
      <c r="AF274" s="30" t="b">
        <f ca="1">IFERROR(__xludf.DUMMYFUNCTION("""COMPUTED_VALUE"""),FALSE)</f>
        <v>0</v>
      </c>
      <c r="AG274" s="30"/>
      <c r="AH274" s="30" t="str">
        <f ca="1">IFERROR(__xludf.DUMMYFUNCTION("""COMPUTED_VALUE"""),"Sin costo")</f>
        <v>Sin costo</v>
      </c>
      <c r="AI274" s="30"/>
      <c r="AJ274" s="30"/>
      <c r="AK274" s="30"/>
      <c r="AL274" s="30" t="str">
        <f ca="1">IFERROR(__xludf.DUMMYFUNCTION("""COMPUTED_VALUE"""),"ccardonav@guanajuato.gob.mx")</f>
        <v>ccardonav@guanajuato.gob.mx</v>
      </c>
      <c r="AM274"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274" s="30" t="str">
        <f ca="1">IFERROR(__xludf.DUMMYFUNCTION("""COMPUTED_VALUE"""),"2 Igualdad")</f>
        <v>2 Igualdad</v>
      </c>
      <c r="AO274" s="30" t="str">
        <f ca="1">IFERROR(__xludf.DUMMYFUNCTION("""COMPUTED_VALUE"""),"2.4 Reducir brechas de desigualdad")</f>
        <v>2.4 Reducir brechas de desigualdad</v>
      </c>
      <c r="AP274" s="30" t="str">
        <f ca="1">IFERROR(__xludf.DUMMYFUNCTION("""COMPUTED_VALUE"""),"2.4.3 Descentralización de la oferta cultural")</f>
        <v>2.4.3 Descentralización de la oferta cultural</v>
      </c>
      <c r="AQ274" s="30" t="str">
        <f ca="1">IFERROR(__xludf.DUMMYFUNCTION("""COMPUTED_VALUE"""),"2.4.3.3 Incidir en el involucramiento de las personas con el ecosistema cultural")</f>
        <v>2.4.3.3 Incidir en el involucramiento de las personas con el ecosistema cultural</v>
      </c>
      <c r="AR274" s="30" t="str">
        <f ca="1">IFERROR(__xludf.DUMMYFUNCTION("""COMPUTED_VALUE"""),"Inclusión")</f>
        <v>Inclusión</v>
      </c>
      <c r="AS274" s="30" t="str">
        <f ca="1">IFERROR(__xludf.DUMMYFUNCTION("""COMPUTED_VALUE"""),"Ninguno (Población General)")</f>
        <v>Ninguno (Población General)</v>
      </c>
      <c r="AT274" s="30" t="str">
        <f ca="1">IFERROR(__xludf.DUMMYFUNCTION("""COMPUTED_VALUE"""),"Fortalecimiento de la participación ciudadana y la mediación cultural")</f>
        <v>Fortalecimiento de la participación ciudadana y la mediación cultural</v>
      </c>
      <c r="AU274" s="30" t="str">
        <f ca="1">IFERROR(__xludf.DUMMYFUNCTION("""COMPUTED_VALUE"""),"Impulso a la ampliación de la oferta cultural en los territorios.")</f>
        <v>Impulso a la ampliación de la oferta cultural en los territorios.</v>
      </c>
      <c r="AV27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74" s="30" t="str">
        <f ca="1">IFERROR(__xludf.DUMMYFUNCTION("""COMPUTED_VALUE"""),"Incrementar en 25% la oferta cultural realizada en los municipios.")</f>
        <v>Incrementar en 25% la oferta cultural realizada en los municipios.</v>
      </c>
      <c r="AX274" s="30" t="str">
        <f ca="1">IFERROR(__xludf.DUMMYFUNCTION("""COMPUTED_VALUE"""),"Muestra itinerante")</f>
        <v>Muestra itinerante</v>
      </c>
      <c r="AY274" s="30" t="str">
        <f ca="1">IFERROR(__xludf.DUMMYFUNCTION("""COMPUTED_VALUE"""),"Circulación / Exhibición")</f>
        <v>Circulación / Exhibición</v>
      </c>
      <c r="AZ274" s="30"/>
      <c r="BA274" s="30"/>
      <c r="BB274" s="30"/>
      <c r="BC274" s="30">
        <f ca="1">IFERROR(__xludf.DUMMYFUNCTION("""COMPUTED_VALUE"""),0)</f>
        <v>0</v>
      </c>
      <c r="BD274" s="30"/>
      <c r="BE274" s="30"/>
      <c r="BF274" s="30" t="b">
        <f ca="1">IFERROR(__xludf.DUMMYFUNCTION("""COMPUTED_VALUE"""),TRUE)</f>
        <v>1</v>
      </c>
      <c r="BG274" s="30" t="str">
        <f ca="1">IFERROR(__xludf.DUMMYFUNCTION("""COMPUTED_VALUE"""),"Especie")</f>
        <v>Especie</v>
      </c>
      <c r="BH274" s="30"/>
      <c r="BI274" s="30"/>
      <c r="BJ274" s="30"/>
      <c r="BK274" s="30"/>
      <c r="BL274" s="30"/>
      <c r="BM274" s="30" t="str">
        <f ca="1">IFERROR(__xludf.DUMMYFUNCTION("""COMPUTED_VALUE"""),"Sí")</f>
        <v>Sí</v>
      </c>
      <c r="BN274" s="30" t="str">
        <f ca="1">IFERROR(__xludf.DUMMYFUNCTION("""COMPUTED_VALUE"""),"Acompañamiento Técnico")</f>
        <v>Acompañamiento Técnico</v>
      </c>
      <c r="BO274" s="30" t="str">
        <f ca="1">IFERROR(__xludf.DUMMYFUNCTION("""COMPUTED_VALUE"""),"3f0dcc9e")</f>
        <v>3f0dcc9e</v>
      </c>
      <c r="BP274" s="29" t="str">
        <f ca="1">IFERROR(__xludf.DUMMYFUNCTION("""COMPUTED_VALUE"""),"Silao de la Victoria")</f>
        <v>Silao de la Victoria</v>
      </c>
      <c r="BQ274" s="30" t="str">
        <f ca="1">IFERROR(__xludf.DUMMYFUNCTION("""COMPUTED_VALUE"""),"Urbano")</f>
        <v>Urbano</v>
      </c>
      <c r="BR274" s="30">
        <f ca="1">IFERROR(__xludf.DUMMYFUNCTION("""COMPUTED_VALUE"""),215)</f>
        <v>215</v>
      </c>
      <c r="BS274" s="30" t="str">
        <f ca="1">IFERROR(__xludf.DUMMYFUNCTION("""COMPUTED_VALUE"""),"Silao")</f>
        <v>Silao</v>
      </c>
      <c r="BT274" s="30"/>
      <c r="BU274" s="30" t="str">
        <f ca="1">IFERROR(__xludf.DUMMYFUNCTION("""COMPUTED_VALUE"""),"Si")</f>
        <v>Si</v>
      </c>
      <c r="BV274" s="30" t="str">
        <f ca="1">IFERROR(__xludf.DUMMYFUNCTION("""COMPUTED_VALUE"""),"Si")</f>
        <v>Si</v>
      </c>
      <c r="BW274" s="30">
        <f ca="1">IFERROR(__xludf.DUMMYFUNCTION("""COMPUTED_VALUE"""),15)</f>
        <v>15</v>
      </c>
      <c r="BX274" s="30">
        <f ca="1">IFERROR(__xludf.DUMMYFUNCTION("""COMPUTED_VALUE"""),15)</f>
        <v>15</v>
      </c>
      <c r="BY274" s="30">
        <f ca="1">IFERROR(__xludf.DUMMYFUNCTION("""COMPUTED_VALUE"""),0)</f>
        <v>0</v>
      </c>
      <c r="BZ274" s="30" t="str">
        <f ca="1">IFERROR(__xludf.DUMMYFUNCTION("""COMPUTED_VALUE"""),"Silao")</f>
        <v>Silao</v>
      </c>
      <c r="CA274" s="30" t="str">
        <f ca="1">IFERROR(__xludf.DUMMYFUNCTION("""COMPUTED_VALUE"""),"No")</f>
        <v>No</v>
      </c>
      <c r="CB274" s="30" t="str">
        <f ca="1">IFERROR(__xludf.DUMMYFUNCTION("""COMPUTED_VALUE"""),"No")</f>
        <v>No</v>
      </c>
      <c r="CC274" s="30" t="str">
        <f ca="1">IFERROR(__xludf.DUMMYFUNCTION("""COMPUTED_VALUE"""),"5b1f7dbd")</f>
        <v>5b1f7dbd</v>
      </c>
      <c r="CD274" s="29" t="str">
        <f ca="1">IFERROR(__xludf.DUMMYFUNCTION("""COMPUTED_VALUE"""),"Niñas y Niños (6 a 12 años)")</f>
        <v>Niñas y Niños (6 a 12 años)</v>
      </c>
      <c r="CE274" s="30" t="str">
        <f ca="1">IFERROR(__xludf.DUMMYFUNCTION("""COMPUTED_VALUE"""),"Dato global")</f>
        <v>Dato global</v>
      </c>
      <c r="CF274" s="30" t="str">
        <f ca="1">IFERROR(__xludf.DUMMYFUNCTION("""COMPUTED_VALUE"""),"NNA (Niñas, Niños y Adolescentes)")</f>
        <v>NNA (Niñas, Niños y Adolescentes)</v>
      </c>
      <c r="CG274" s="30">
        <f ca="1">IFERROR(__xludf.DUMMYFUNCTION("""COMPUTED_VALUE"""),7)</f>
        <v>7</v>
      </c>
      <c r="CI274" s="30" t="str">
        <f ca="1">IFERROR(__xludf.DUMMYFUNCTION("""COMPUTED_VALUE"""),"497a92bf")</f>
        <v>497a92bf</v>
      </c>
      <c r="CJ274" s="29" t="str">
        <f ca="1">IFERROR(__xludf.DUMMYFUNCTION("""COMPUTED_VALUE"""),"Regitro_Evidencia_Images/497a92bf.Archivo_Evidencia.180103.png")</f>
        <v>Regitro_Evidencia_Images/497a92bf.Archivo_Evidencia.180103.png</v>
      </c>
      <c r="CK274" s="30" t="str">
        <f ca="1">IFERROR(__xludf.DUMMYFUNCTION("""COMPUTED_VALUE"""),"Foto")</f>
        <v>Foto</v>
      </c>
      <c r="CL274" s="30"/>
      <c r="CM274" s="30" t="str">
        <f ca="1">IFERROR(__xludf.DUMMYFUNCTION("""COMPUTED_VALUE"""),"Silao de la Victoria")</f>
        <v>Silao de la Victoria</v>
      </c>
      <c r="CN274" s="32" t="e">
        <f ca="1"/>
        <v>#NAME?</v>
      </c>
      <c r="CO274" s="32" t="e">
        <f ca="1"/>
        <v>#NAME?</v>
      </c>
      <c r="CP274" s="32" t="e">
        <f ca="1"/>
        <v>#NAME?</v>
      </c>
      <c r="CQ274" s="32" t="e">
        <f ca="1"/>
        <v>#NAME?</v>
      </c>
      <c r="CR274" s="30" t="e">
        <f ca="1"/>
        <v>#NAME?</v>
      </c>
      <c r="CS274" s="30" t="str">
        <f ca="1">IFERROR(__xludf.DUMMYFUNCTION("""COMPUTED_VALUE"""),"Personas Migrantes, Personas Migrantes, Personas Migrantes, Personas Migrantes")</f>
        <v>Personas Migrantes, Personas Migrantes, Personas Migrantes, Personas Migrantes</v>
      </c>
    </row>
    <row r="275" spans="1:97" ht="13">
      <c r="A275" s="29" t="str">
        <f ca="1">IFERROR(__xludf.DUMMYFUNCTION("""COMPUTED_VALUE"""),"ACT-SCJY66694")</f>
        <v>ACT-SCJY66694</v>
      </c>
      <c r="B275" s="30" t="str">
        <f ca="1">IFERROR(__xludf.DUMMYFUNCTION("""COMPUTED_VALUE"""),"SC-260818-105812")</f>
        <v>SC-260818-105812</v>
      </c>
      <c r="C275" s="62">
        <f ca="1">IFERROR(__xludf.DUMMYFUNCTION("""COMPUTED_VALUE"""),46252.4570833333)</f>
        <v>46252.457083333298</v>
      </c>
      <c r="D275" s="30">
        <f ca="1">IFERROR(__xludf.DUMMYFUNCTION("""COMPUTED_VALUE"""),93)</f>
        <v>93</v>
      </c>
      <c r="E275" s="30" t="str">
        <f ca="1">IFERROR(__xludf.DUMMYFUNCTION("""COMPUTED_VALUE"""),"PB3572")</f>
        <v>PB3572</v>
      </c>
      <c r="F27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5" s="30" t="str">
        <f ca="1">IFERROR(__xludf.DUMMYFUNCTION("""COMPUTED_VALUE"""),"Participación de artistas en las actividades extramuros en municipios del Estado de Guanajuato")</f>
        <v>Participación de artistas en las actividades extramuros en municipios del Estado de Guanajuato</v>
      </c>
      <c r="H275" s="30" t="str">
        <f ca="1">IFERROR(__xludf.DUMMYFUNCTION("""COMPUTED_VALUE"""),"SUBSECRETARÍA DE DESARROLLO Y PROMOCIÓN ARTÍSTICA Y CULTURAL")</f>
        <v>SUBSECRETARÍA DE DESARROLLO Y PROMOCIÓN ARTÍSTICA Y CULTURAL</v>
      </c>
      <c r="I275" s="34" t="str">
        <f ca="1">IFERROR(__xludf.DUMMYFUNCTION("""COMPUTED_VALUE"""),"DIRECCIÓN GENERAL DE MUSEOS, ARTES VISUALES Y EXPOSICIONES")</f>
        <v>DIRECCIÓN GENERAL DE MUSEOS, ARTES VISUALES Y EXPOSICIONES</v>
      </c>
      <c r="J275" s="30" t="str">
        <f ca="1">IFERROR(__xludf.DUMMYFUNCTION("""COMPUTED_VALUE"""),"Número de Actividades realizadas")</f>
        <v>Número de Actividades realizadas</v>
      </c>
      <c r="K275" s="30">
        <f ca="1">IFERROR(__xludf.DUMMYFUNCTION("""COMPUTED_VALUE"""),10)</f>
        <v>10</v>
      </c>
      <c r="L275" s="30" t="str">
        <f ca="1">IFERROR(__xludf.DUMMYFUNCTION("""COMPUTED_VALUE"""),"Artística")</f>
        <v>Artística</v>
      </c>
      <c r="M275" s="30" t="str">
        <f ca="1">IFERROR(__xludf.DUMMYFUNCTION("""COMPUTED_VALUE"""),"Activación de la exposición ""Homo Videns""")</f>
        <v>Activación de la exposición "Homo Videns"</v>
      </c>
      <c r="N275" s="30" t="str">
        <f ca="1">IFERROR(__xludf.DUMMYFUNCTION("""COMPUTED_VALUE"""),"Mediación cultural entre la exposición ""Homo Videns"" y los ciudadanos del municipio de Jaral del Progreso")</f>
        <v>Mediación cultural entre la exposición "Homo Videns" y los ciudadanos del municipio de Jaral del Progreso</v>
      </c>
      <c r="O275" s="30" t="str">
        <f ca="1">IFERROR(__xludf.DUMMYFUNCTION("""COMPUTED_VALUE"""),"Única")</f>
        <v>Única</v>
      </c>
      <c r="P275" s="33">
        <f ca="1">IFERROR(__xludf.DUMMYFUNCTION("""COMPUTED_VALUE"""),46226)</f>
        <v>46226</v>
      </c>
      <c r="Q275" s="33">
        <f ca="1">IFERROR(__xludf.DUMMYFUNCTION("""COMPUTED_VALUE"""),46226)</f>
        <v>46226</v>
      </c>
      <c r="R275" s="30">
        <f ca="1">IFERROR(__xludf.DUMMYFUNCTION("""COMPUTED_VALUE"""),1)</f>
        <v>1</v>
      </c>
      <c r="S275" s="30" t="str">
        <f ca="1">IFERROR(__xludf.DUMMYFUNCTION("""COMPUTED_VALUE"""),"Cultura comunitaria")</f>
        <v>Cultura comunitaria</v>
      </c>
      <c r="T275" s="30" t="str">
        <f ca="1">IFERROR(__xludf.DUMMYFUNCTION("""COMPUTED_VALUE"""),"Gestión cultural")</f>
        <v>Gestión cultural</v>
      </c>
      <c r="U275" s="30" t="str">
        <f ca="1">IFERROR(__xludf.DUMMYFUNCTION("""COMPUTED_VALUE"""),"Taller")</f>
        <v>Taller</v>
      </c>
      <c r="V275" s="30" t="str">
        <f ca="1">IFERROR(__xludf.DUMMYFUNCTION("""COMPUTED_VALUE"""),"Ninguna")</f>
        <v>Ninguna</v>
      </c>
      <c r="W275" s="30" t="str">
        <f ca="1">IFERROR(__xludf.DUMMYFUNCTION("""COMPUTED_VALUE"""),"Presencial")</f>
        <v>Presencial</v>
      </c>
      <c r="X275" s="30" t="str">
        <f ca="1">IFERROR(__xludf.DUMMYFUNCTION("""COMPUTED_VALUE"""),"Espacio Público")</f>
        <v>Espacio Público</v>
      </c>
      <c r="Y275" s="30"/>
      <c r="Z275" s="30" t="str">
        <f ca="1">IFERROR(__xludf.DUMMYFUNCTION("""COMPUTED_VALUE"""),"Jardín Principal de Jaral del Progreso")</f>
        <v>Jardín Principal de Jaral del Progreso</v>
      </c>
      <c r="AA275" s="30"/>
      <c r="AB275" s="30" t="b">
        <f ca="1">IFERROR(__xludf.DUMMYFUNCTION("""COMPUTED_VALUE"""),FALSE)</f>
        <v>0</v>
      </c>
      <c r="AC275" s="30"/>
      <c r="AD275" s="30" t="b">
        <f ca="1">IFERROR(__xludf.DUMMYFUNCTION("""COMPUTED_VALUE"""),TRUE)</f>
        <v>1</v>
      </c>
      <c r="AE275" s="30">
        <f ca="1">IFERROR(__xludf.DUMMYFUNCTION("""COMPUTED_VALUE"""),1)</f>
        <v>1</v>
      </c>
      <c r="AF275" s="30" t="b">
        <f ca="1">IFERROR(__xludf.DUMMYFUNCTION("""COMPUTED_VALUE"""),FALSE)</f>
        <v>0</v>
      </c>
      <c r="AG275" s="30"/>
      <c r="AH275" s="30" t="str">
        <f ca="1">IFERROR(__xludf.DUMMYFUNCTION("""COMPUTED_VALUE"""),"Sin costo")</f>
        <v>Sin costo</v>
      </c>
      <c r="AI275" s="30"/>
      <c r="AJ275" s="30"/>
      <c r="AK275" s="30"/>
      <c r="AL275" s="30" t="str">
        <f ca="1">IFERROR(__xludf.DUMMYFUNCTION("""COMPUTED_VALUE"""),"ccardonav@guanajuato.gob.mx")</f>
        <v>ccardonav@guanajuato.gob.mx</v>
      </c>
      <c r="AM275"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275" s="30" t="str">
        <f ca="1">IFERROR(__xludf.DUMMYFUNCTION("""COMPUTED_VALUE"""),"2 Igualdad")</f>
        <v>2 Igualdad</v>
      </c>
      <c r="AO275" s="30" t="str">
        <f ca="1">IFERROR(__xludf.DUMMYFUNCTION("""COMPUTED_VALUE"""),"2.4 Reducir brechas de desigualdad")</f>
        <v>2.4 Reducir brechas de desigualdad</v>
      </c>
      <c r="AP275" s="30" t="str">
        <f ca="1">IFERROR(__xludf.DUMMYFUNCTION("""COMPUTED_VALUE"""),"2.4.3 Descentralización de la oferta cultural")</f>
        <v>2.4.3 Descentralización de la oferta cultural</v>
      </c>
      <c r="AQ275" s="30" t="str">
        <f ca="1">IFERROR(__xludf.DUMMYFUNCTION("""COMPUTED_VALUE"""),"2.4.3.3 Incidir en el involucramiento de las personas con el ecosistema cultural")</f>
        <v>2.4.3.3 Incidir en el involucramiento de las personas con el ecosistema cultural</v>
      </c>
      <c r="AR275" s="30" t="str">
        <f ca="1">IFERROR(__xludf.DUMMYFUNCTION("""COMPUTED_VALUE"""),"Inclusión")</f>
        <v>Inclusión</v>
      </c>
      <c r="AS275" s="30" t="str">
        <f ca="1">IFERROR(__xludf.DUMMYFUNCTION("""COMPUTED_VALUE"""),"Ninguno (Población General)")</f>
        <v>Ninguno (Población General)</v>
      </c>
      <c r="AT275" s="30" t="str">
        <f ca="1">IFERROR(__xludf.DUMMYFUNCTION("""COMPUTED_VALUE"""),"Fortalecimiento de la participación ciudadana y la mediación cultural")</f>
        <v>Fortalecimiento de la participación ciudadana y la mediación cultural</v>
      </c>
      <c r="AU275" s="30" t="str">
        <f ca="1">IFERROR(__xludf.DUMMYFUNCTION("""COMPUTED_VALUE"""),"Impulso a la ampliación de la oferta cultural en los territorios.")</f>
        <v>Impulso a la ampliación de la oferta cultural en los territorios.</v>
      </c>
      <c r="AV275" s="30" t="str">
        <f ca="1">IFERROR(__xludf.DUMMYFUNCTION("""COMPUTED_VALUE"""),"Impulsar los proyectos culturales itinerantes.")</f>
        <v>Impulsar los proyectos culturales itinerantes.</v>
      </c>
      <c r="AW275" s="30" t="str">
        <f ca="1">IFERROR(__xludf.DUMMYFUNCTION("""COMPUTED_VALUE"""),"Incrementar en 25% la oferta cultural realizada en los municipios.")</f>
        <v>Incrementar en 25% la oferta cultural realizada en los municipios.</v>
      </c>
      <c r="AX275" s="30" t="str">
        <f ca="1">IFERROR(__xludf.DUMMYFUNCTION("""COMPUTED_VALUE"""),"Taller")</f>
        <v>Taller</v>
      </c>
      <c r="AY275" s="30" t="str">
        <f ca="1">IFERROR(__xludf.DUMMYFUNCTION("""COMPUTED_VALUE"""),"Mediación")</f>
        <v>Mediación</v>
      </c>
      <c r="AZ275" s="30"/>
      <c r="BA275" s="30"/>
      <c r="BB275" s="30"/>
      <c r="BC275" s="30">
        <f ca="1">IFERROR(__xludf.DUMMYFUNCTION("""COMPUTED_VALUE"""),0)</f>
        <v>0</v>
      </c>
      <c r="BD275" s="30"/>
      <c r="BE275" s="30"/>
      <c r="BF275" s="30" t="b">
        <f ca="1">IFERROR(__xludf.DUMMYFUNCTION("""COMPUTED_VALUE"""),TRUE)</f>
        <v>1</v>
      </c>
      <c r="BG275" s="30" t="str">
        <f ca="1">IFERROR(__xludf.DUMMYFUNCTION("""COMPUTED_VALUE"""),"Especie")</f>
        <v>Especie</v>
      </c>
      <c r="BH275" s="30"/>
      <c r="BI275" s="30"/>
      <c r="BJ275" s="30"/>
      <c r="BK275" s="30"/>
      <c r="BL275" s="30"/>
      <c r="BM275" s="30" t="str">
        <f ca="1">IFERROR(__xludf.DUMMYFUNCTION("""COMPUTED_VALUE"""),"Sí")</f>
        <v>Sí</v>
      </c>
      <c r="BN275" s="30" t="str">
        <f ca="1">IFERROR(__xludf.DUMMYFUNCTION("""COMPUTED_VALUE"""),"Acompañamiento Técnico")</f>
        <v>Acompañamiento Técnico</v>
      </c>
      <c r="BO275" s="30" t="str">
        <f ca="1">IFERROR(__xludf.DUMMYFUNCTION("""COMPUTED_VALUE"""),"da8c9e92")</f>
        <v>da8c9e92</v>
      </c>
      <c r="BP275" s="29" t="str">
        <f ca="1">IFERROR(__xludf.DUMMYFUNCTION("""COMPUTED_VALUE"""),"Silao de la Victoria")</f>
        <v>Silao de la Victoria</v>
      </c>
      <c r="BQ275" s="30" t="str">
        <f ca="1">IFERROR(__xludf.DUMMYFUNCTION("""COMPUTED_VALUE"""),"Urbano")</f>
        <v>Urbano</v>
      </c>
      <c r="BR275" s="30">
        <f ca="1">IFERROR(__xludf.DUMMYFUNCTION("""COMPUTED_VALUE"""),215)</f>
        <v>215</v>
      </c>
      <c r="BS275" s="30" t="str">
        <f ca="1">IFERROR(__xludf.DUMMYFUNCTION("""COMPUTED_VALUE"""),"Silao")</f>
        <v>Silao</v>
      </c>
      <c r="BT275" s="30"/>
      <c r="BU275" s="30" t="str">
        <f ca="1">IFERROR(__xludf.DUMMYFUNCTION("""COMPUTED_VALUE"""),"Si")</f>
        <v>Si</v>
      </c>
      <c r="BV275" s="30" t="str">
        <f ca="1">IFERROR(__xludf.DUMMYFUNCTION("""COMPUTED_VALUE"""),"Si")</f>
        <v>Si</v>
      </c>
      <c r="BW275" s="30">
        <f ca="1">IFERROR(__xludf.DUMMYFUNCTION("""COMPUTED_VALUE"""),35)</f>
        <v>35</v>
      </c>
      <c r="BX275" s="30"/>
      <c r="BY275" s="30">
        <f ca="1">IFERROR(__xludf.DUMMYFUNCTION("""COMPUTED_VALUE"""),35)</f>
        <v>35</v>
      </c>
      <c r="BZ275" s="30" t="str">
        <f ca="1">IFERROR(__xludf.DUMMYFUNCTION("""COMPUTED_VALUE"""),"Silao")</f>
        <v>Silao</v>
      </c>
      <c r="CA275" s="30" t="str">
        <f ca="1">IFERROR(__xludf.DUMMYFUNCTION("""COMPUTED_VALUE"""),"No")</f>
        <v>No</v>
      </c>
      <c r="CB275" s="30" t="str">
        <f ca="1">IFERROR(__xludf.DUMMYFUNCTION("""COMPUTED_VALUE"""),"No")</f>
        <v>No</v>
      </c>
      <c r="CC275" s="30" t="str">
        <f ca="1">IFERROR(__xludf.DUMMYFUNCTION("""COMPUTED_VALUE"""),"b0af8e91")</f>
        <v>b0af8e91</v>
      </c>
      <c r="CD275" s="29" t="str">
        <f ca="1">IFERROR(__xludf.DUMMYFUNCTION("""COMPUTED_VALUE"""),"Niñas y Niños (6 a 12 años)")</f>
        <v>Niñas y Niños (6 a 12 años)</v>
      </c>
      <c r="CE275" s="30" t="str">
        <f ca="1">IFERROR(__xludf.DUMMYFUNCTION("""COMPUTED_VALUE"""),"Dato global")</f>
        <v>Dato global</v>
      </c>
      <c r="CF275" s="30" t="str">
        <f ca="1">IFERROR(__xludf.DUMMYFUNCTION("""COMPUTED_VALUE"""),"Ninguno (Población General)")</f>
        <v>Ninguno (Población General)</v>
      </c>
      <c r="CG275" s="30">
        <f ca="1">IFERROR(__xludf.DUMMYFUNCTION("""COMPUTED_VALUE"""),12)</f>
        <v>12</v>
      </c>
      <c r="CI275" s="30" t="str">
        <f ca="1">IFERROR(__xludf.DUMMYFUNCTION("""COMPUTED_VALUE"""),"96f87072")</f>
        <v>96f87072</v>
      </c>
      <c r="CJ275" s="29" t="str">
        <f ca="1">IFERROR(__xludf.DUMMYFUNCTION("""COMPUTED_VALUE"""),"Regitro_Evidencia_Images/96f87072.Archivo_Evidencia.180108.png")</f>
        <v>Regitro_Evidencia_Images/96f87072.Archivo_Evidencia.180108.png</v>
      </c>
      <c r="CK275" s="30" t="str">
        <f ca="1">IFERROR(__xludf.DUMMYFUNCTION("""COMPUTED_VALUE"""),"Foto")</f>
        <v>Foto</v>
      </c>
      <c r="CL275" s="30"/>
      <c r="CM275" s="30" t="str">
        <f ca="1">IFERROR(__xludf.DUMMYFUNCTION("""COMPUTED_VALUE"""),"Silao de la Victoria")</f>
        <v>Silao de la Victoria</v>
      </c>
      <c r="CN275" s="32" t="e">
        <f ca="1"/>
        <v>#NAME?</v>
      </c>
      <c r="CO275" s="32" t="e">
        <f ca="1"/>
        <v>#NAME?</v>
      </c>
      <c r="CP275" s="32" t="e">
        <f ca="1"/>
        <v>#NAME?</v>
      </c>
      <c r="CQ275" s="32" t="e">
        <f ca="1"/>
        <v>#NAME?</v>
      </c>
      <c r="CR275" s="30" t="e">
        <f ca="1"/>
        <v>#NAME?</v>
      </c>
      <c r="CS275"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276" spans="1:97" ht="13">
      <c r="A276" s="29" t="str">
        <f ca="1">IFERROR(__xludf.DUMMYFUNCTION("""COMPUTED_VALUE"""),"ACT-SCVX69015")</f>
        <v>ACT-SCVX69015</v>
      </c>
      <c r="B276" s="30" t="str">
        <f ca="1">IFERROR(__xludf.DUMMYFUNCTION("""COMPUTED_VALUE"""),"SC-260818-113043")</f>
        <v>SC-260818-113043</v>
      </c>
      <c r="C276" s="62">
        <f ca="1">IFERROR(__xludf.DUMMYFUNCTION("""COMPUTED_VALUE"""),46252.4796643518)</f>
        <v>46252.479664351798</v>
      </c>
      <c r="D276" s="30">
        <f ca="1">IFERROR(__xludf.DUMMYFUNCTION("""COMPUTED_VALUE"""),93)</f>
        <v>93</v>
      </c>
      <c r="E276" s="30" t="str">
        <f ca="1">IFERROR(__xludf.DUMMYFUNCTION("""COMPUTED_VALUE"""),"PB3572")</f>
        <v>PB3572</v>
      </c>
      <c r="F27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6" s="30" t="str">
        <f ca="1">IFERROR(__xludf.DUMMYFUNCTION("""COMPUTED_VALUE"""),"Participación de artistas en las actividades extramuros en municipios del Estado de Guanajuato")</f>
        <v>Participación de artistas en las actividades extramuros en municipios del Estado de Guanajuato</v>
      </c>
      <c r="H276" s="30" t="str">
        <f ca="1">IFERROR(__xludf.DUMMYFUNCTION("""COMPUTED_VALUE"""),"SUBSECRETARÍA DE DESARROLLO Y PROMOCIÓN ARTÍSTICA Y CULTURAL")</f>
        <v>SUBSECRETARÍA DE DESARROLLO Y PROMOCIÓN ARTÍSTICA Y CULTURAL</v>
      </c>
      <c r="I276" s="34" t="str">
        <f ca="1">IFERROR(__xludf.DUMMYFUNCTION("""COMPUTED_VALUE"""),"DIRECCIÓN GENERAL DE MUSEOS, ARTES VISUALES Y EXPOSICIONES")</f>
        <v>DIRECCIÓN GENERAL DE MUSEOS, ARTES VISUALES Y EXPOSICIONES</v>
      </c>
      <c r="J276" s="30" t="str">
        <f ca="1">IFERROR(__xludf.DUMMYFUNCTION("""COMPUTED_VALUE"""),"Número de Actividades realizadas")</f>
        <v>Número de Actividades realizadas</v>
      </c>
      <c r="K276" s="30">
        <f ca="1">IFERROR(__xludf.DUMMYFUNCTION("""COMPUTED_VALUE"""),10)</f>
        <v>10</v>
      </c>
      <c r="L276" s="30" t="str">
        <f ca="1">IFERROR(__xludf.DUMMYFUNCTION("""COMPUTED_VALUE"""),"Artística")</f>
        <v>Artística</v>
      </c>
      <c r="M276" s="30" t="str">
        <f ca="1">IFERROR(__xludf.DUMMYFUNCTION("""COMPUTED_VALUE"""),"Activación de la exposicion ""Fragmentos y Complicidades""")</f>
        <v>Activación de la exposicion "Fragmentos y Complicidades"</v>
      </c>
      <c r="N276" s="30" t="str">
        <f ca="1">IFERROR(__xludf.DUMMYFUNCTION("""COMPUTED_VALUE"""),"Mediación cultural entre la exposición ""Fragmentos y Complicidades"" y los ciudadanos del municipio de Huanímaro")</f>
        <v>Mediación cultural entre la exposición "Fragmentos y Complicidades" y los ciudadanos del municipio de Huanímaro</v>
      </c>
      <c r="O276" s="30" t="str">
        <f ca="1">IFERROR(__xludf.DUMMYFUNCTION("""COMPUTED_VALUE"""),"Única")</f>
        <v>Única</v>
      </c>
      <c r="P276" s="33">
        <f ca="1">IFERROR(__xludf.DUMMYFUNCTION("""COMPUTED_VALUE"""),46237)</f>
        <v>46237</v>
      </c>
      <c r="Q276" s="33">
        <f ca="1">IFERROR(__xludf.DUMMYFUNCTION("""COMPUTED_VALUE"""),46237)</f>
        <v>46237</v>
      </c>
      <c r="R276" s="30">
        <f ca="1">IFERROR(__xludf.DUMMYFUNCTION("""COMPUTED_VALUE"""),1)</f>
        <v>1</v>
      </c>
      <c r="S276" s="30" t="str">
        <f ca="1">IFERROR(__xludf.DUMMYFUNCTION("""COMPUTED_VALUE"""),"Cultura comunitaria")</f>
        <v>Cultura comunitaria</v>
      </c>
      <c r="T276" s="30" t="str">
        <f ca="1">IFERROR(__xludf.DUMMYFUNCTION("""COMPUTED_VALUE"""),"Gestión cultural")</f>
        <v>Gestión cultural</v>
      </c>
      <c r="U276" s="30" t="str">
        <f ca="1">IFERROR(__xludf.DUMMYFUNCTION("""COMPUTED_VALUE"""),"Taller")</f>
        <v>Taller</v>
      </c>
      <c r="V276" s="30" t="str">
        <f ca="1">IFERROR(__xludf.DUMMYFUNCTION("""COMPUTED_VALUE"""),"Ninguna")</f>
        <v>Ninguna</v>
      </c>
      <c r="W276" s="30" t="str">
        <f ca="1">IFERROR(__xludf.DUMMYFUNCTION("""COMPUTED_VALUE"""),"Presencial")</f>
        <v>Presencial</v>
      </c>
      <c r="X276" s="30" t="str">
        <f ca="1">IFERROR(__xludf.DUMMYFUNCTION("""COMPUTED_VALUE"""),"Espacio Público")</f>
        <v>Espacio Público</v>
      </c>
      <c r="Y276" s="30"/>
      <c r="Z276" s="30" t="str">
        <f ca="1">IFERROR(__xludf.DUMMYFUNCTION("""COMPUTED_VALUE"""),"Portal Morelos en el municipio de Huanímaro")</f>
        <v>Portal Morelos en el municipio de Huanímaro</v>
      </c>
      <c r="AA276" s="30"/>
      <c r="AB276" s="30" t="b">
        <f ca="1">IFERROR(__xludf.DUMMYFUNCTION("""COMPUTED_VALUE"""),FALSE)</f>
        <v>0</v>
      </c>
      <c r="AC276" s="30"/>
      <c r="AD276" s="30" t="b">
        <f ca="1">IFERROR(__xludf.DUMMYFUNCTION("""COMPUTED_VALUE"""),TRUE)</f>
        <v>1</v>
      </c>
      <c r="AE276" s="30">
        <f ca="1">IFERROR(__xludf.DUMMYFUNCTION("""COMPUTED_VALUE"""),1)</f>
        <v>1</v>
      </c>
      <c r="AF276" s="30" t="b">
        <f ca="1">IFERROR(__xludf.DUMMYFUNCTION("""COMPUTED_VALUE"""),FALSE)</f>
        <v>0</v>
      </c>
      <c r="AG276" s="30"/>
      <c r="AH276" s="30" t="str">
        <f ca="1">IFERROR(__xludf.DUMMYFUNCTION("""COMPUTED_VALUE"""),"Sin costo")</f>
        <v>Sin costo</v>
      </c>
      <c r="AI276" s="30"/>
      <c r="AJ276" s="30"/>
      <c r="AK276" s="30"/>
      <c r="AL276" s="30" t="str">
        <f ca="1">IFERROR(__xludf.DUMMYFUNCTION("""COMPUTED_VALUE"""),"ccardonav@guanajuato.gob.mx")</f>
        <v>ccardonav@guanajuato.gob.mx</v>
      </c>
      <c r="AM276"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276" s="30" t="str">
        <f ca="1">IFERROR(__xludf.DUMMYFUNCTION("""COMPUTED_VALUE"""),"2 Igualdad")</f>
        <v>2 Igualdad</v>
      </c>
      <c r="AO276" s="30" t="str">
        <f ca="1">IFERROR(__xludf.DUMMYFUNCTION("""COMPUTED_VALUE"""),"2.4 Reducir brechas de desigualdad")</f>
        <v>2.4 Reducir brechas de desigualdad</v>
      </c>
      <c r="AP276" s="30" t="str">
        <f ca="1">IFERROR(__xludf.DUMMYFUNCTION("""COMPUTED_VALUE"""),"2.4.3 Descentralización de la oferta cultural")</f>
        <v>2.4.3 Descentralización de la oferta cultural</v>
      </c>
      <c r="AQ276" s="30" t="str">
        <f ca="1">IFERROR(__xludf.DUMMYFUNCTION("""COMPUTED_VALUE"""),"2.4.3.3 Incidir en el involucramiento de las personas con el ecosistema cultural")</f>
        <v>2.4.3.3 Incidir en el involucramiento de las personas con el ecosistema cultural</v>
      </c>
      <c r="AR276" s="30" t="str">
        <f ca="1">IFERROR(__xludf.DUMMYFUNCTION("""COMPUTED_VALUE"""),"Inclusión")</f>
        <v>Inclusión</v>
      </c>
      <c r="AS276" s="30" t="str">
        <f ca="1">IFERROR(__xludf.DUMMYFUNCTION("""COMPUTED_VALUE"""),"Ninguno (Población General)")</f>
        <v>Ninguno (Población General)</v>
      </c>
      <c r="AT276" s="30" t="str">
        <f ca="1">IFERROR(__xludf.DUMMYFUNCTION("""COMPUTED_VALUE"""),"Fortalecimiento de la participación ciudadana y la mediación cultural")</f>
        <v>Fortalecimiento de la participación ciudadana y la mediación cultural</v>
      </c>
      <c r="AU276" s="30" t="str">
        <f ca="1">IFERROR(__xludf.DUMMYFUNCTION("""COMPUTED_VALUE"""),"Impulso a la ampliación de la oferta cultural en los territorios.")</f>
        <v>Impulso a la ampliación de la oferta cultural en los territorios.</v>
      </c>
      <c r="AV276" s="30" t="str">
        <f ca="1">IFERROR(__xludf.DUMMYFUNCTION("""COMPUTED_VALUE"""),"Impulsar los proyectos culturales itinerantes.")</f>
        <v>Impulsar los proyectos culturales itinerantes.</v>
      </c>
      <c r="AW276" s="30" t="str">
        <f ca="1">IFERROR(__xludf.DUMMYFUNCTION("""COMPUTED_VALUE"""),"Incrementar en 25% la oferta cultural realizada en los municipios.")</f>
        <v>Incrementar en 25% la oferta cultural realizada en los municipios.</v>
      </c>
      <c r="AX276" s="30" t="str">
        <f ca="1">IFERROR(__xludf.DUMMYFUNCTION("""COMPUTED_VALUE"""),"Taller")</f>
        <v>Taller</v>
      </c>
      <c r="AY276" s="30" t="str">
        <f ca="1">IFERROR(__xludf.DUMMYFUNCTION("""COMPUTED_VALUE"""),"Mediación")</f>
        <v>Mediación</v>
      </c>
      <c r="AZ276" s="30"/>
      <c r="BA276" s="30"/>
      <c r="BB276" s="30"/>
      <c r="BC276" s="30">
        <f ca="1">IFERROR(__xludf.DUMMYFUNCTION("""COMPUTED_VALUE"""),0)</f>
        <v>0</v>
      </c>
      <c r="BD276" s="30"/>
      <c r="BE276" s="30"/>
      <c r="BF276" s="30" t="b">
        <f ca="1">IFERROR(__xludf.DUMMYFUNCTION("""COMPUTED_VALUE"""),TRUE)</f>
        <v>1</v>
      </c>
      <c r="BG276" s="30" t="str">
        <f ca="1">IFERROR(__xludf.DUMMYFUNCTION("""COMPUTED_VALUE"""),"Especie")</f>
        <v>Especie</v>
      </c>
      <c r="BH276" s="30"/>
      <c r="BI276" s="30"/>
      <c r="BJ276" s="30"/>
      <c r="BK276" s="30"/>
      <c r="BL276" s="30"/>
      <c r="BM276" s="30" t="str">
        <f ca="1">IFERROR(__xludf.DUMMYFUNCTION("""COMPUTED_VALUE"""),"Sí")</f>
        <v>Sí</v>
      </c>
      <c r="BN276" s="30" t="str">
        <f ca="1">IFERROR(__xludf.DUMMYFUNCTION("""COMPUTED_VALUE"""),"Acompañamiento Técnico")</f>
        <v>Acompañamiento Técnico</v>
      </c>
      <c r="BO276" s="30" t="str">
        <f ca="1">IFERROR(__xludf.DUMMYFUNCTION("""COMPUTED_VALUE"""),"b5a60c3d")</f>
        <v>b5a60c3d</v>
      </c>
      <c r="BP276" s="29" t="str">
        <f ca="1">IFERROR(__xludf.DUMMYFUNCTION("""COMPUTED_VALUE"""),"Silao de la Victoria")</f>
        <v>Silao de la Victoria</v>
      </c>
      <c r="BQ276" s="30" t="str">
        <f ca="1">IFERROR(__xludf.DUMMYFUNCTION("""COMPUTED_VALUE"""),"Urbano")</f>
        <v>Urbano</v>
      </c>
      <c r="BR276" s="30">
        <f ca="1">IFERROR(__xludf.DUMMYFUNCTION("""COMPUTED_VALUE"""),215)</f>
        <v>215</v>
      </c>
      <c r="BS276" s="30" t="str">
        <f ca="1">IFERROR(__xludf.DUMMYFUNCTION("""COMPUTED_VALUE"""),"Silao")</f>
        <v>Silao</v>
      </c>
      <c r="BT276" s="30"/>
      <c r="BU276" s="30" t="str">
        <f ca="1">IFERROR(__xludf.DUMMYFUNCTION("""COMPUTED_VALUE"""),"Si")</f>
        <v>Si</v>
      </c>
      <c r="BV276" s="30" t="str">
        <f ca="1">IFERROR(__xludf.DUMMYFUNCTION("""COMPUTED_VALUE"""),"Si")</f>
        <v>Si</v>
      </c>
      <c r="BW276" s="30">
        <f ca="1">IFERROR(__xludf.DUMMYFUNCTION("""COMPUTED_VALUE"""),18)</f>
        <v>18</v>
      </c>
      <c r="BX276" s="30"/>
      <c r="BY276" s="30">
        <f ca="1">IFERROR(__xludf.DUMMYFUNCTION("""COMPUTED_VALUE"""),18)</f>
        <v>18</v>
      </c>
      <c r="BZ276" s="30" t="str">
        <f ca="1">IFERROR(__xludf.DUMMYFUNCTION("""COMPUTED_VALUE"""),"Silao")</f>
        <v>Silao</v>
      </c>
      <c r="CA276" s="30" t="str">
        <f ca="1">IFERROR(__xludf.DUMMYFUNCTION("""COMPUTED_VALUE"""),"No")</f>
        <v>No</v>
      </c>
      <c r="CB276" s="30" t="str">
        <f ca="1">IFERROR(__xludf.DUMMYFUNCTION("""COMPUTED_VALUE"""),"No")</f>
        <v>No</v>
      </c>
      <c r="CC276" s="30" t="str">
        <f ca="1">IFERROR(__xludf.DUMMYFUNCTION("""COMPUTED_VALUE"""),"3bcc4c0c")</f>
        <v>3bcc4c0c</v>
      </c>
      <c r="CD276" s="29" t="str">
        <f ca="1">IFERROR(__xludf.DUMMYFUNCTION("""COMPUTED_VALUE"""),"Adolescentes (13 a 17 años)")</f>
        <v>Adolescentes (13 a 17 años)</v>
      </c>
      <c r="CE276" s="30" t="str">
        <f ca="1">IFERROR(__xludf.DUMMYFUNCTION("""COMPUTED_VALUE"""),"Dato global")</f>
        <v>Dato global</v>
      </c>
      <c r="CF276" s="30" t="str">
        <f ca="1">IFERROR(__xludf.DUMMYFUNCTION("""COMPUTED_VALUE"""),"Ninguno (Población General)")</f>
        <v>Ninguno (Población General)</v>
      </c>
      <c r="CG276" s="30">
        <f ca="1">IFERROR(__xludf.DUMMYFUNCTION("""COMPUTED_VALUE"""),5)</f>
        <v>5</v>
      </c>
      <c r="CI276" s="30" t="str">
        <f ca="1">IFERROR(__xludf.DUMMYFUNCTION("""COMPUTED_VALUE"""),"03d2c610")</f>
        <v>03d2c610</v>
      </c>
      <c r="CJ276" s="29" t="str">
        <f ca="1">IFERROR(__xludf.DUMMYFUNCTION("""COMPUTED_VALUE"""),"Regitro_Evidencia_Images/03d2c610.Archivo_Evidencia.180113.png")</f>
        <v>Regitro_Evidencia_Images/03d2c610.Archivo_Evidencia.180113.png</v>
      </c>
      <c r="CK276" s="30" t="str">
        <f ca="1">IFERROR(__xludf.DUMMYFUNCTION("""COMPUTED_VALUE"""),"Foto")</f>
        <v>Foto</v>
      </c>
      <c r="CL276" s="30"/>
      <c r="CM276" s="30" t="str">
        <f ca="1">IFERROR(__xludf.DUMMYFUNCTION("""COMPUTED_VALUE"""),"León")</f>
        <v>León</v>
      </c>
      <c r="CN276" s="32" t="e">
        <f ca="1"/>
        <v>#NAME?</v>
      </c>
      <c r="CO276" s="32" t="e">
        <f ca="1"/>
        <v>#NAME?</v>
      </c>
      <c r="CP276" s="32" t="e">
        <f ca="1"/>
        <v>#NAME?</v>
      </c>
      <c r="CQ276" s="32" t="e">
        <f ca="1"/>
        <v>#NAME?</v>
      </c>
      <c r="CR276" s="30" t="e">
        <f ca="1"/>
        <v>#NAME?</v>
      </c>
      <c r="CS276" s="30" t="str">
        <f ca="1">IFERROR(__xludf.DUMMYFUNCTION("""COMPUTED_VALUE"""),"Ninguno (Población General)")</f>
        <v>Ninguno (Población General)</v>
      </c>
    </row>
    <row r="277" spans="1:97" ht="13">
      <c r="A277" s="29" t="str">
        <f ca="1">IFERROR(__xludf.DUMMYFUNCTION("""COMPUTED_VALUE"""),"ACT-SCPO47673")</f>
        <v>ACT-SCPO47673</v>
      </c>
      <c r="B277" s="30" t="str">
        <f ca="1">IFERROR(__xludf.DUMMYFUNCTION("""COMPUTED_VALUE"""),"SC-260818-114026")</f>
        <v>SC-260818-114026</v>
      </c>
      <c r="C277" s="62">
        <f ca="1">IFERROR(__xludf.DUMMYFUNCTION("""COMPUTED_VALUE"""),46252.486412037)</f>
        <v>46252.486412036997</v>
      </c>
      <c r="D277" s="30">
        <f ca="1">IFERROR(__xludf.DUMMYFUNCTION("""COMPUTED_VALUE"""),94)</f>
        <v>94</v>
      </c>
      <c r="E277" s="30" t="str">
        <f ca="1">IFERROR(__xludf.DUMMYFUNCTION("""COMPUTED_VALUE"""),"PB3572")</f>
        <v>PB3572</v>
      </c>
      <c r="F27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7"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77" s="30" t="str">
        <f ca="1">IFERROR(__xludf.DUMMYFUNCTION("""COMPUTED_VALUE"""),"SUBSECRETARÍA DE DESARROLLO Y PROMOCIÓN ARTÍSTICA Y CULTURAL")</f>
        <v>SUBSECRETARÍA DE DESARROLLO Y PROMOCIÓN ARTÍSTICA Y CULTURAL</v>
      </c>
      <c r="I277" s="34" t="str">
        <f ca="1">IFERROR(__xludf.DUMMYFUNCTION("""COMPUTED_VALUE"""),"DIRECCIÓN GENERAL DE MUSEOS, ARTES VISUALES Y EXPOSICIONES")</f>
        <v>DIRECCIÓN GENERAL DE MUSEOS, ARTES VISUALES Y EXPOSICIONES</v>
      </c>
      <c r="J277" s="30" t="str">
        <f ca="1">IFERROR(__xludf.DUMMYFUNCTION("""COMPUTED_VALUE"""),"Número de Actividades realizadas")</f>
        <v>Número de Actividades realizadas</v>
      </c>
      <c r="K277" s="30">
        <f ca="1">IFERROR(__xludf.DUMMYFUNCTION("""COMPUTED_VALUE"""),12)</f>
        <v>12</v>
      </c>
      <c r="L277" s="30" t="str">
        <f ca="1">IFERROR(__xludf.DUMMYFUNCTION("""COMPUTED_VALUE"""),"Artística")</f>
        <v>Artística</v>
      </c>
      <c r="M277" s="30" t="str">
        <f ca="1">IFERROR(__xludf.DUMMYFUNCTION("""COMPUTED_VALUE"""),"Fanzinarte: Taller de Comic")</f>
        <v>Fanzinarte: Taller de Comic</v>
      </c>
      <c r="N277" s="30" t="str">
        <f ca="1">IFERROR(__xludf.DUMMYFUNCTION("""COMPUTED_VALUE"""),"Taller de dibujo de comic.")</f>
        <v>Taller de dibujo de comic.</v>
      </c>
      <c r="O277" s="30" t="str">
        <f ca="1">IFERROR(__xludf.DUMMYFUNCTION("""COMPUTED_VALUE"""),"Semanal")</f>
        <v>Semanal</v>
      </c>
      <c r="P277" s="33">
        <f ca="1">IFERROR(__xludf.DUMMYFUNCTION("""COMPUTED_VALUE"""),46204)</f>
        <v>46204</v>
      </c>
      <c r="Q277" s="33">
        <f ca="1">IFERROR(__xludf.DUMMYFUNCTION("""COMPUTED_VALUE"""),46232)</f>
        <v>46232</v>
      </c>
      <c r="R277" s="30">
        <f ca="1">IFERROR(__xludf.DUMMYFUNCTION("""COMPUTED_VALUE"""),5)</f>
        <v>5</v>
      </c>
      <c r="S277" s="30" t="str">
        <f ca="1">IFERROR(__xludf.DUMMYFUNCTION("""COMPUTED_VALUE"""),"Cultura comunitaria")</f>
        <v>Cultura comunitaria</v>
      </c>
      <c r="T277" s="30" t="str">
        <f ca="1">IFERROR(__xludf.DUMMYFUNCTION("""COMPUTED_VALUE"""),"Formación comunitaria")</f>
        <v>Formación comunitaria</v>
      </c>
      <c r="U277" s="30" t="str">
        <f ca="1">IFERROR(__xludf.DUMMYFUNCTION("""COMPUTED_VALUE"""),"Taller")</f>
        <v>Taller</v>
      </c>
      <c r="V277" s="30" t="str">
        <f ca="1">IFERROR(__xludf.DUMMYFUNCTION("""COMPUTED_VALUE"""),"Ninguna")</f>
        <v>Ninguna</v>
      </c>
      <c r="W277" s="30" t="str">
        <f ca="1">IFERROR(__xludf.DUMMYFUNCTION("""COMPUTED_VALUE"""),"Presencial")</f>
        <v>Presencial</v>
      </c>
      <c r="X277" s="30" t="str">
        <f ca="1">IFERROR(__xludf.DUMMYFUNCTION("""COMPUTED_VALUE"""),"Espacio a Cargo de la Secretaría")</f>
        <v>Espacio a Cargo de la Secretaría</v>
      </c>
      <c r="Y277" s="30" t="str">
        <f ca="1">IFERROR(__xludf.DUMMYFUNCTION("""COMPUTED_VALUE"""),"Museo José y Tomas Chavez Morado")</f>
        <v>Museo José y Tomas Chavez Morado</v>
      </c>
      <c r="Z277" s="30"/>
      <c r="AA277" s="30"/>
      <c r="AB277" s="30" t="b">
        <f ca="1">IFERROR(__xludf.DUMMYFUNCTION("""COMPUTED_VALUE"""),FALSE)</f>
        <v>0</v>
      </c>
      <c r="AC277" s="30"/>
      <c r="AD277" s="30" t="b">
        <f ca="1">IFERROR(__xludf.DUMMYFUNCTION("""COMPUTED_VALUE"""),FALSE)</f>
        <v>0</v>
      </c>
      <c r="AE277" s="30"/>
      <c r="AF277" s="30" t="b">
        <f ca="1">IFERROR(__xludf.DUMMYFUNCTION("""COMPUTED_VALUE"""),FALSE)</f>
        <v>0</v>
      </c>
      <c r="AG277" s="30"/>
      <c r="AH277" s="30" t="str">
        <f ca="1">IFERROR(__xludf.DUMMYFUNCTION("""COMPUTED_VALUE"""),"Sin costo")</f>
        <v>Sin costo</v>
      </c>
      <c r="AI277" s="30"/>
      <c r="AJ277" s="30"/>
      <c r="AK277" s="30"/>
      <c r="AL277" s="30" t="str">
        <f ca="1">IFERROR(__xludf.DUMMYFUNCTION("""COMPUTED_VALUE"""),"ccardonav@guanajuato.gob.mx")</f>
        <v>ccardonav@guanajuato.gob.mx</v>
      </c>
      <c r="AM277" s="30" t="str">
        <f ca="1">IFERROR(__xludf.DUMMYFUNCTION("""COMPUTED_VALUE"""),"Arraigo y empoderamiento cultural de comunidades.")</f>
        <v>Arraigo y empoderamiento cultural de comunidades.</v>
      </c>
      <c r="AN277" s="30" t="str">
        <f ca="1">IFERROR(__xludf.DUMMYFUNCTION("""COMPUTED_VALUE"""),"1 Tranquilidad")</f>
        <v>1 Tranquilidad</v>
      </c>
      <c r="AO277" s="30" t="str">
        <f ca="1">IFERROR(__xludf.DUMMYFUNCTION("""COMPUTED_VALUE"""),"1.2 Fortalecer prevención del delito")</f>
        <v>1.2 Fortalecer prevención del delito</v>
      </c>
      <c r="AP277" s="30" t="str">
        <f ca="1">IFERROR(__xludf.DUMMYFUNCTION("""COMPUTED_VALUE"""),"1.2.2 Fortalecimiento del tejido social")</f>
        <v>1.2.2 Fortalecimiento del tejido social</v>
      </c>
      <c r="AQ277" s="30" t="str">
        <f ca="1">IFERROR(__xludf.DUMMYFUNCTION("""COMPUTED_VALUE"""),"1.2.3.4 Promover una cultura de paz desde las expresiones artísticas y culturales")</f>
        <v>1.2.3.4 Promover una cultura de paz desde las expresiones artísticas y culturales</v>
      </c>
      <c r="AR277" s="30" t="str">
        <f ca="1">IFERROR(__xludf.DUMMYFUNCTION("""COMPUTED_VALUE"""),"Inclusión")</f>
        <v>Inclusión</v>
      </c>
      <c r="AS277" s="30" t="str">
        <f ca="1">IFERROR(__xludf.DUMMYFUNCTION("""COMPUTED_VALUE"""),"Jóvenes en riesgo")</f>
        <v>Jóvenes en riesgo</v>
      </c>
      <c r="AT277" s="30" t="str">
        <f ca="1">IFERROR(__xludf.DUMMYFUNCTION("""COMPUTED_VALUE"""),"Sostenibilidad del trabajo cultural y la economía creativa.")</f>
        <v>Sostenibilidad del trabajo cultural y la economía creativa.</v>
      </c>
      <c r="AU277"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277" s="30" t="str">
        <f ca="1">IFERROR(__xludf.DUMMYFUNCTION("""COMPUTED_VALUE"""),"Diseñar programas de formación y gestión cultural de base comunitaria.")</f>
        <v>Diseñar programas de formación y gestión cultural de base comunitaria.</v>
      </c>
      <c r="AW277"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277" s="30" t="str">
        <f ca="1">IFERROR(__xludf.DUMMYFUNCTION("""COMPUTED_VALUE"""),"Taller")</f>
        <v>Taller</v>
      </c>
      <c r="AY277" s="30" t="str">
        <f ca="1">IFERROR(__xludf.DUMMYFUNCTION("""COMPUTED_VALUE"""),"Formación")</f>
        <v>Formación</v>
      </c>
      <c r="AZ277" s="30"/>
      <c r="BA277" s="30"/>
      <c r="BB277" s="30"/>
      <c r="BC277" s="30">
        <f ca="1">IFERROR(__xludf.DUMMYFUNCTION("""COMPUTED_VALUE"""),0)</f>
        <v>0</v>
      </c>
      <c r="BD277" s="30"/>
      <c r="BE277" s="30"/>
      <c r="BF277" s="30" t="b">
        <f ca="1">IFERROR(__xludf.DUMMYFUNCTION("""COMPUTED_VALUE"""),FALSE)</f>
        <v>0</v>
      </c>
      <c r="BG277" s="30"/>
      <c r="BH277" s="30"/>
      <c r="BI277" s="30"/>
      <c r="BJ277" s="30"/>
      <c r="BK277" s="30"/>
      <c r="BL277" s="30" t="str">
        <f ca="1">IFERROR(__xludf.DUMMYFUNCTION("""COMPUTED_VALUE"""),"Vinculacion")</f>
        <v>Vinculacion</v>
      </c>
      <c r="BM277" s="30" t="str">
        <f ca="1">IFERROR(__xludf.DUMMYFUNCTION("""COMPUTED_VALUE"""),"Sí")</f>
        <v>Sí</v>
      </c>
      <c r="BN277" s="30" t="str">
        <f ca="1">IFERROR(__xludf.DUMMYFUNCTION("""COMPUTED_VALUE"""),"Acompañamiento Técnico")</f>
        <v>Acompañamiento Técnico</v>
      </c>
      <c r="BO277" s="30" t="str">
        <f ca="1">IFERROR(__xludf.DUMMYFUNCTION("""COMPUTED_VALUE"""),"6da85f76")</f>
        <v>6da85f76</v>
      </c>
      <c r="BP277" s="29" t="str">
        <f ca="1">IFERROR(__xludf.DUMMYFUNCTION("""COMPUTED_VALUE"""),"León")</f>
        <v>León</v>
      </c>
      <c r="BQ277" s="30" t="str">
        <f ca="1">IFERROR(__xludf.DUMMYFUNCTION("""COMPUTED_VALUE"""),"Urbano")</f>
        <v>Urbano</v>
      </c>
      <c r="BR277" s="30"/>
      <c r="BS277" s="30"/>
      <c r="BT277" s="30"/>
      <c r="BU277" s="30" t="str">
        <f ca="1">IFERROR(__xludf.DUMMYFUNCTION("""COMPUTED_VALUE"""),"No")</f>
        <v>No</v>
      </c>
      <c r="BV277" s="30" t="str">
        <f ca="1">IFERROR(__xludf.DUMMYFUNCTION("""COMPUTED_VALUE"""),"No")</f>
        <v>No</v>
      </c>
      <c r="BW277" s="30">
        <f ca="1">IFERROR(__xludf.DUMMYFUNCTION("""COMPUTED_VALUE"""),15)</f>
        <v>15</v>
      </c>
      <c r="BX277" s="30">
        <f ca="1">IFERROR(__xludf.DUMMYFUNCTION("""COMPUTED_VALUE"""),15)</f>
        <v>15</v>
      </c>
      <c r="BY277" s="30">
        <f ca="1">IFERROR(__xludf.DUMMYFUNCTION("""COMPUTED_VALUE"""),0)</f>
        <v>0</v>
      </c>
      <c r="BZ277" s="30"/>
      <c r="CA277" s="30" t="str">
        <f ca="1">IFERROR(__xludf.DUMMYFUNCTION("""COMPUTED_VALUE"""),"No")</f>
        <v>No</v>
      </c>
      <c r="CB277" s="30" t="str">
        <f ca="1">IFERROR(__xludf.DUMMYFUNCTION("""COMPUTED_VALUE"""),"No")</f>
        <v>No</v>
      </c>
      <c r="CC277" s="30" t="str">
        <f ca="1">IFERROR(__xludf.DUMMYFUNCTION("""COMPUTED_VALUE"""),"f942fd3b")</f>
        <v>f942fd3b</v>
      </c>
      <c r="CD277" s="29" t="str">
        <f ca="1">IFERROR(__xludf.DUMMYFUNCTION("""COMPUTED_VALUE"""),"Adultos (30 a 59 años)")</f>
        <v>Adultos (30 a 59 años)</v>
      </c>
      <c r="CE277" s="30" t="str">
        <f ca="1">IFERROR(__xludf.DUMMYFUNCTION("""COMPUTED_VALUE"""),"Dato global")</f>
        <v>Dato global</v>
      </c>
      <c r="CF277" s="30" t="str">
        <f ca="1">IFERROR(__xludf.DUMMYFUNCTION("""COMPUTED_VALUE"""),"Ninguno (Población General)")</f>
        <v>Ninguno (Población General)</v>
      </c>
      <c r="CG277" s="30">
        <f ca="1">IFERROR(__xludf.DUMMYFUNCTION("""COMPUTED_VALUE"""),34)</f>
        <v>34</v>
      </c>
      <c r="CI277" s="30" t="str">
        <f ca="1">IFERROR(__xludf.DUMMYFUNCTION("""COMPUTED_VALUE"""),"8c7c1f3d")</f>
        <v>8c7c1f3d</v>
      </c>
      <c r="CJ277" s="29" t="str">
        <f ca="1">IFERROR(__xludf.DUMMYFUNCTION("""COMPUTED_VALUE"""),"Regitro_Evidencia_Images/8c7c1f3d.Archivo_Evidencia.182832.jpg")</f>
        <v>Regitro_Evidencia_Images/8c7c1f3d.Archivo_Evidencia.182832.jpg</v>
      </c>
      <c r="CK277" s="30" t="str">
        <f ca="1">IFERROR(__xludf.DUMMYFUNCTION("""COMPUTED_VALUE"""),"Foto")</f>
        <v>Foto</v>
      </c>
      <c r="CL277" s="30" t="str">
        <f ca="1">IFERROR(__xludf.DUMMYFUNCTION("""COMPUTED_VALUE"""),"Evidencia fotográfica de las sesiones impartidas en el taller")</f>
        <v>Evidencia fotográfica de las sesiones impartidas en el taller</v>
      </c>
      <c r="CM277" s="30" t="str">
        <f ca="1">IFERROR(__xludf.DUMMYFUNCTION("""COMPUTED_VALUE"""),"León")</f>
        <v>León</v>
      </c>
      <c r="CN277" s="32" t="e">
        <f ca="1"/>
        <v>#NAME?</v>
      </c>
      <c r="CO277" s="32" t="e">
        <f ca="1"/>
        <v>#NAME?</v>
      </c>
      <c r="CP277" s="32" t="e">
        <f ca="1"/>
        <v>#NAME?</v>
      </c>
      <c r="CQ277" s="32" t="e">
        <f ca="1"/>
        <v>#NAME?</v>
      </c>
      <c r="CR277" s="30" t="e">
        <f ca="1"/>
        <v>#NAME?</v>
      </c>
      <c r="CS277" s="30" t="str">
        <f ca="1">IFERROR(__xludf.DUMMYFUNCTION("""COMPUTED_VALUE"""),"Ninguno (Población General)")</f>
        <v>Ninguno (Población General)</v>
      </c>
    </row>
    <row r="278" spans="1:97" ht="13">
      <c r="A278" s="29" t="str">
        <f ca="1">IFERROR(__xludf.DUMMYFUNCTION("""COMPUTED_VALUE"""),"ACT-SCSM61699")</f>
        <v>ACT-SCSM61699</v>
      </c>
      <c r="B278" s="30" t="str">
        <f ca="1">IFERROR(__xludf.DUMMYFUNCTION("""COMPUTED_VALUE"""),"SC-260818-121848")</f>
        <v>SC-260818-121848</v>
      </c>
      <c r="C278" s="62">
        <f ca="1">IFERROR(__xludf.DUMMYFUNCTION("""COMPUTED_VALUE"""),46252.5130555555)</f>
        <v>46252.513055555501</v>
      </c>
      <c r="D278" s="30">
        <f ca="1">IFERROR(__xludf.DUMMYFUNCTION("""COMPUTED_VALUE"""),94)</f>
        <v>94</v>
      </c>
      <c r="E278" s="30" t="str">
        <f ca="1">IFERROR(__xludf.DUMMYFUNCTION("""COMPUTED_VALUE"""),"PB3572")</f>
        <v>PB3572</v>
      </c>
      <c r="F27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8"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78" s="30" t="str">
        <f ca="1">IFERROR(__xludf.DUMMYFUNCTION("""COMPUTED_VALUE"""),"SUBSECRETARÍA DE DESARROLLO Y PROMOCIÓN ARTÍSTICA Y CULTURAL")</f>
        <v>SUBSECRETARÍA DE DESARROLLO Y PROMOCIÓN ARTÍSTICA Y CULTURAL</v>
      </c>
      <c r="I278" s="34" t="str">
        <f ca="1">IFERROR(__xludf.DUMMYFUNCTION("""COMPUTED_VALUE"""),"DIRECCIÓN GENERAL DE MUSEOS, ARTES VISUALES Y EXPOSICIONES")</f>
        <v>DIRECCIÓN GENERAL DE MUSEOS, ARTES VISUALES Y EXPOSICIONES</v>
      </c>
      <c r="J278" s="30" t="str">
        <f ca="1">IFERROR(__xludf.DUMMYFUNCTION("""COMPUTED_VALUE"""),"Número de Actividades realizadas")</f>
        <v>Número de Actividades realizadas</v>
      </c>
      <c r="K278" s="30">
        <f ca="1">IFERROR(__xludf.DUMMYFUNCTION("""COMPUTED_VALUE"""),12)</f>
        <v>12</v>
      </c>
      <c r="L278" s="30" t="str">
        <f ca="1">IFERROR(__xludf.DUMMYFUNCTION("""COMPUTED_VALUE"""),"Artística")</f>
        <v>Artística</v>
      </c>
      <c r="M278" s="30" t="str">
        <f ca="1">IFERROR(__xludf.DUMMYFUNCTION("""COMPUTED_VALUE"""),"Identiarte: Taller de cartoneria")</f>
        <v>Identiarte: Taller de cartoneria</v>
      </c>
      <c r="N278" s="30" t="str">
        <f ca="1">IFERROR(__xludf.DUMMYFUNCTION("""COMPUTED_VALUE"""),"Taller de Cartonería")</f>
        <v>Taller de Cartonería</v>
      </c>
      <c r="O278" s="30" t="str">
        <f ca="1">IFERROR(__xludf.DUMMYFUNCTION("""COMPUTED_VALUE"""),"Semanal")</f>
        <v>Semanal</v>
      </c>
      <c r="P278" s="33">
        <f ca="1">IFERROR(__xludf.DUMMYFUNCTION("""COMPUTED_VALUE"""),46205)</f>
        <v>46205</v>
      </c>
      <c r="Q278" s="33">
        <f ca="1">IFERROR(__xludf.DUMMYFUNCTION("""COMPUTED_VALUE"""),46233)</f>
        <v>46233</v>
      </c>
      <c r="R278" s="30">
        <f ca="1">IFERROR(__xludf.DUMMYFUNCTION("""COMPUTED_VALUE"""),5)</f>
        <v>5</v>
      </c>
      <c r="S278" s="30" t="str">
        <f ca="1">IFERROR(__xludf.DUMMYFUNCTION("""COMPUTED_VALUE"""),"Cultura comunitaria")</f>
        <v>Cultura comunitaria</v>
      </c>
      <c r="T278" s="30" t="str">
        <f ca="1">IFERROR(__xludf.DUMMYFUNCTION("""COMPUTED_VALUE"""),"Formación comunitaria")</f>
        <v>Formación comunitaria</v>
      </c>
      <c r="U278" s="30" t="str">
        <f ca="1">IFERROR(__xludf.DUMMYFUNCTION("""COMPUTED_VALUE"""),"Taller")</f>
        <v>Taller</v>
      </c>
      <c r="V278" s="30" t="str">
        <f ca="1">IFERROR(__xludf.DUMMYFUNCTION("""COMPUTED_VALUE"""),"Ninguna")</f>
        <v>Ninguna</v>
      </c>
      <c r="W278" s="30" t="str">
        <f ca="1">IFERROR(__xludf.DUMMYFUNCTION("""COMPUTED_VALUE"""),"Presencial")</f>
        <v>Presencial</v>
      </c>
      <c r="X278" s="30" t="str">
        <f ca="1">IFERROR(__xludf.DUMMYFUNCTION("""COMPUTED_VALUE"""),"Espacio a Cargo de la Secretaría")</f>
        <v>Espacio a Cargo de la Secretaría</v>
      </c>
      <c r="Y278" s="30" t="str">
        <f ca="1">IFERROR(__xludf.DUMMYFUNCTION("""COMPUTED_VALUE"""),"Museo José y Tomas Chavez Morado")</f>
        <v>Museo José y Tomas Chavez Morado</v>
      </c>
      <c r="Z278" s="30"/>
      <c r="AA278" s="30"/>
      <c r="AB278" s="30" t="b">
        <f ca="1">IFERROR(__xludf.DUMMYFUNCTION("""COMPUTED_VALUE"""),FALSE)</f>
        <v>0</v>
      </c>
      <c r="AC278" s="30"/>
      <c r="AD278" s="30" t="b">
        <f ca="1">IFERROR(__xludf.DUMMYFUNCTION("""COMPUTED_VALUE"""),FALSE)</f>
        <v>0</v>
      </c>
      <c r="AE278" s="30"/>
      <c r="AF278" s="30" t="b">
        <f ca="1">IFERROR(__xludf.DUMMYFUNCTION("""COMPUTED_VALUE"""),FALSE)</f>
        <v>0</v>
      </c>
      <c r="AG278" s="30"/>
      <c r="AH278" s="30" t="str">
        <f ca="1">IFERROR(__xludf.DUMMYFUNCTION("""COMPUTED_VALUE"""),"Sin costo")</f>
        <v>Sin costo</v>
      </c>
      <c r="AI278" s="30"/>
      <c r="AJ278" s="30"/>
      <c r="AK278" s="30"/>
      <c r="AL278" s="30" t="str">
        <f ca="1">IFERROR(__xludf.DUMMYFUNCTION("""COMPUTED_VALUE"""),"ccardonav@guanajuato.gob.mx")</f>
        <v>ccardonav@guanajuato.gob.mx</v>
      </c>
      <c r="AM278" s="30" t="str">
        <f ca="1">IFERROR(__xludf.DUMMYFUNCTION("""COMPUTED_VALUE"""),"Arraigo y empoderamiento cultural de comunidades.")</f>
        <v>Arraigo y empoderamiento cultural de comunidades.</v>
      </c>
      <c r="AN278" s="30" t="str">
        <f ca="1">IFERROR(__xludf.DUMMYFUNCTION("""COMPUTED_VALUE"""),"1 Tranquilidad")</f>
        <v>1 Tranquilidad</v>
      </c>
      <c r="AO278" s="30" t="str">
        <f ca="1">IFERROR(__xludf.DUMMYFUNCTION("""COMPUTED_VALUE"""),"1.2 Fortalecer prevención del delito")</f>
        <v>1.2 Fortalecer prevención del delito</v>
      </c>
      <c r="AP278" s="30" t="str">
        <f ca="1">IFERROR(__xludf.DUMMYFUNCTION("""COMPUTED_VALUE"""),"1.2.2 Fortalecimiento del tejido social")</f>
        <v>1.2.2 Fortalecimiento del tejido social</v>
      </c>
      <c r="AQ278" s="30" t="str">
        <f ca="1">IFERROR(__xludf.DUMMYFUNCTION("""COMPUTED_VALUE"""),"1.2.3.4 Promover una cultura de paz desde las expresiones artísticas y culturales")</f>
        <v>1.2.3.4 Promover una cultura de paz desde las expresiones artísticas y culturales</v>
      </c>
      <c r="AR278" s="30" t="str">
        <f ca="1">IFERROR(__xludf.DUMMYFUNCTION("""COMPUTED_VALUE"""),"Inclusión")</f>
        <v>Inclusión</v>
      </c>
      <c r="AS278" s="30" t="str">
        <f ca="1">IFERROR(__xludf.DUMMYFUNCTION("""COMPUTED_VALUE"""),"Jóvenes en riesgo")</f>
        <v>Jóvenes en riesgo</v>
      </c>
      <c r="AT278" s="30" t="str">
        <f ca="1">IFERROR(__xludf.DUMMYFUNCTION("""COMPUTED_VALUE"""),"Sostenibilidad del trabajo cultural y la economía creativa.")</f>
        <v>Sostenibilidad del trabajo cultural y la economía creativa.</v>
      </c>
      <c r="AU278"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278" s="30" t="str">
        <f ca="1">IFERROR(__xludf.DUMMYFUNCTION("""COMPUTED_VALUE"""),"Diseñar programas de formación y gestión cultural de base comunitaria.")</f>
        <v>Diseñar programas de formación y gestión cultural de base comunitaria.</v>
      </c>
      <c r="AW278"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278" s="30" t="str">
        <f ca="1">IFERROR(__xludf.DUMMYFUNCTION("""COMPUTED_VALUE"""),"Taller")</f>
        <v>Taller</v>
      </c>
      <c r="AY278" s="30" t="str">
        <f ca="1">IFERROR(__xludf.DUMMYFUNCTION("""COMPUTED_VALUE"""),"Formación")</f>
        <v>Formación</v>
      </c>
      <c r="AZ278" s="30" t="str">
        <f ca="1">IFERROR(__xludf.DUMMYFUNCTION("""COMPUTED_VALUE"""),"Formación")</f>
        <v>Formación</v>
      </c>
      <c r="BA278" s="30"/>
      <c r="BB278" s="30"/>
      <c r="BC278" s="30">
        <f ca="1">IFERROR(__xludf.DUMMYFUNCTION("""COMPUTED_VALUE"""),0)</f>
        <v>0</v>
      </c>
      <c r="BD278" s="30"/>
      <c r="BE278" s="30"/>
      <c r="BF278" s="30" t="b">
        <f ca="1">IFERROR(__xludf.DUMMYFUNCTION("""COMPUTED_VALUE"""),FALSE)</f>
        <v>0</v>
      </c>
      <c r="BG278" s="30"/>
      <c r="BH278" s="30"/>
      <c r="BI278" s="30"/>
      <c r="BJ278" s="30"/>
      <c r="BK278" s="30"/>
      <c r="BL278" s="30"/>
      <c r="BM278" s="30" t="str">
        <f ca="1">IFERROR(__xludf.DUMMYFUNCTION("""COMPUTED_VALUE"""),"Sí")</f>
        <v>Sí</v>
      </c>
      <c r="BN278" s="30" t="str">
        <f ca="1">IFERROR(__xludf.DUMMYFUNCTION("""COMPUTED_VALUE"""),"Acompañamiento Técnico")</f>
        <v>Acompañamiento Técnico</v>
      </c>
      <c r="BO278" s="30" t="str">
        <f ca="1">IFERROR(__xludf.DUMMYFUNCTION("""COMPUTED_VALUE"""),"7d87080a")</f>
        <v>7d87080a</v>
      </c>
      <c r="BP278" s="29" t="str">
        <f ca="1">IFERROR(__xludf.DUMMYFUNCTION("""COMPUTED_VALUE"""),"León")</f>
        <v>León</v>
      </c>
      <c r="BQ278" s="30" t="str">
        <f ca="1">IFERROR(__xludf.DUMMYFUNCTION("""COMPUTED_VALUE"""),"Urbano")</f>
        <v>Urbano</v>
      </c>
      <c r="BR278" s="30"/>
      <c r="BS278" s="30"/>
      <c r="BT278" s="30"/>
      <c r="BU278" s="30" t="str">
        <f ca="1">IFERROR(__xludf.DUMMYFUNCTION("""COMPUTED_VALUE"""),"No")</f>
        <v>No</v>
      </c>
      <c r="BV278" s="30" t="str">
        <f ca="1">IFERROR(__xludf.DUMMYFUNCTION("""COMPUTED_VALUE"""),"No")</f>
        <v>No</v>
      </c>
      <c r="BW278" s="30">
        <f ca="1">IFERROR(__xludf.DUMMYFUNCTION("""COMPUTED_VALUE"""),10)</f>
        <v>10</v>
      </c>
      <c r="BX278" s="30">
        <f ca="1">IFERROR(__xludf.DUMMYFUNCTION("""COMPUTED_VALUE"""),10)</f>
        <v>10</v>
      </c>
      <c r="BY278" s="30">
        <f ca="1">IFERROR(__xludf.DUMMYFUNCTION("""COMPUTED_VALUE"""),0)</f>
        <v>0</v>
      </c>
      <c r="BZ278" s="30"/>
      <c r="CA278" s="30" t="str">
        <f ca="1">IFERROR(__xludf.DUMMYFUNCTION("""COMPUTED_VALUE"""),"No")</f>
        <v>No</v>
      </c>
      <c r="CB278" s="30" t="str">
        <f ca="1">IFERROR(__xludf.DUMMYFUNCTION("""COMPUTED_VALUE"""),"No")</f>
        <v>No</v>
      </c>
      <c r="CC278" s="30" t="str">
        <f ca="1">IFERROR(__xludf.DUMMYFUNCTION("""COMPUTED_VALUE"""),"83a7228b")</f>
        <v>83a7228b</v>
      </c>
      <c r="CD278" s="29" t="str">
        <f ca="1">IFERROR(__xludf.DUMMYFUNCTION("""COMPUTED_VALUE"""),"Adultos Mayores (60 años o más)")</f>
        <v>Adultos Mayores (60 años o más)</v>
      </c>
      <c r="CE278" s="30" t="str">
        <f ca="1">IFERROR(__xludf.DUMMYFUNCTION("""COMPUTED_VALUE"""),"Dato global")</f>
        <v>Dato global</v>
      </c>
      <c r="CF278" s="30" t="str">
        <f ca="1">IFERROR(__xludf.DUMMYFUNCTION("""COMPUTED_VALUE"""),"Ninguno (Población General)")</f>
        <v>Ninguno (Población General)</v>
      </c>
      <c r="CG278" s="30">
        <f ca="1">IFERROR(__xludf.DUMMYFUNCTION("""COMPUTED_VALUE"""),1)</f>
        <v>1</v>
      </c>
      <c r="CI278" s="30" t="str">
        <f ca="1">IFERROR(__xludf.DUMMYFUNCTION("""COMPUTED_VALUE"""),"bcc9ee17")</f>
        <v>bcc9ee17</v>
      </c>
      <c r="CJ278" s="29" t="str">
        <f ca="1">IFERROR(__xludf.DUMMYFUNCTION("""COMPUTED_VALUE"""),"Regitro_Evidencia_Images/bcc9ee17.Archivo_Evidencia.182836.jpg")</f>
        <v>Regitro_Evidencia_Images/bcc9ee17.Archivo_Evidencia.182836.jpg</v>
      </c>
      <c r="CK278" s="30" t="str">
        <f ca="1">IFERROR(__xludf.DUMMYFUNCTION("""COMPUTED_VALUE"""),"Foto")</f>
        <v>Foto</v>
      </c>
      <c r="CL278" s="30"/>
      <c r="CM278" s="30" t="str">
        <f ca="1">IFERROR(__xludf.DUMMYFUNCTION("""COMPUTED_VALUE"""),"León")</f>
        <v>León</v>
      </c>
      <c r="CN278" s="32" t="e">
        <f ca="1"/>
        <v>#NAME?</v>
      </c>
      <c r="CO278" s="32" t="e">
        <f ca="1"/>
        <v>#NAME?</v>
      </c>
      <c r="CP278" s="32" t="e">
        <f ca="1"/>
        <v>#NAME?</v>
      </c>
      <c r="CQ278" s="32" t="e">
        <f ca="1"/>
        <v>#NAME?</v>
      </c>
      <c r="CR278" s="30" t="e">
        <f ca="1"/>
        <v>#NAME?</v>
      </c>
      <c r="CS278" s="30" t="str">
        <f ca="1">IFERROR(__xludf.DUMMYFUNCTION("""COMPUTED_VALUE"""),"Ninguno (Población General), Ninguno (Población General)")</f>
        <v>Ninguno (Población General), Ninguno (Población General)</v>
      </c>
    </row>
    <row r="279" spans="1:97" ht="13">
      <c r="A279" s="29" t="str">
        <f ca="1">IFERROR(__xludf.DUMMYFUNCTION("""COMPUTED_VALUE"""),"ACT-SCEC78279")</f>
        <v>ACT-SCEC78279</v>
      </c>
      <c r="B279" s="30" t="str">
        <f ca="1">IFERROR(__xludf.DUMMYFUNCTION("""COMPUTED_VALUE"""),"SC-260818-122556")</f>
        <v>SC-260818-122556</v>
      </c>
      <c r="C279" s="62">
        <f ca="1">IFERROR(__xludf.DUMMYFUNCTION("""COMPUTED_VALUE"""),46252.5180092592)</f>
        <v>46252.518009259198</v>
      </c>
      <c r="D279" s="30">
        <f ca="1">IFERROR(__xludf.DUMMYFUNCTION("""COMPUTED_VALUE"""),94)</f>
        <v>94</v>
      </c>
      <c r="E279" s="30" t="str">
        <f ca="1">IFERROR(__xludf.DUMMYFUNCTION("""COMPUTED_VALUE"""),"PB3572")</f>
        <v>PB3572</v>
      </c>
      <c r="F27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79"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79" s="30" t="str">
        <f ca="1">IFERROR(__xludf.DUMMYFUNCTION("""COMPUTED_VALUE"""),"SUBSECRETARÍA DE DESARROLLO Y PROMOCIÓN ARTÍSTICA Y CULTURAL")</f>
        <v>SUBSECRETARÍA DE DESARROLLO Y PROMOCIÓN ARTÍSTICA Y CULTURAL</v>
      </c>
      <c r="I279" s="34" t="str">
        <f ca="1">IFERROR(__xludf.DUMMYFUNCTION("""COMPUTED_VALUE"""),"DIRECCIÓN GENERAL DE MUSEOS, ARTES VISUALES Y EXPOSICIONES")</f>
        <v>DIRECCIÓN GENERAL DE MUSEOS, ARTES VISUALES Y EXPOSICIONES</v>
      </c>
      <c r="J279" s="30" t="str">
        <f ca="1">IFERROR(__xludf.DUMMYFUNCTION("""COMPUTED_VALUE"""),"Número de Actividades realizadas")</f>
        <v>Número de Actividades realizadas</v>
      </c>
      <c r="K279" s="30">
        <f ca="1">IFERROR(__xludf.DUMMYFUNCTION("""COMPUTED_VALUE"""),12)</f>
        <v>12</v>
      </c>
      <c r="L279" s="30" t="str">
        <f ca="1">IFERROR(__xludf.DUMMYFUNCTION("""COMPUTED_VALUE"""),"Cultural")</f>
        <v>Cultural</v>
      </c>
      <c r="M279" s="30" t="str">
        <f ca="1">IFERROR(__xludf.DUMMYFUNCTION("""COMPUTED_VALUE"""),"Braceros ""Hasta el ultimo aliento"".")</f>
        <v>Braceros "Hasta el ultimo aliento".</v>
      </c>
      <c r="N279" s="30" t="str">
        <f ca="1">IFERROR(__xludf.DUMMYFUNCTION("""COMPUTED_VALUE"""),"Conferencia.")</f>
        <v>Conferencia.</v>
      </c>
      <c r="O279" s="30" t="str">
        <f ca="1">IFERROR(__xludf.DUMMYFUNCTION("""COMPUTED_VALUE"""),"Única")</f>
        <v>Única</v>
      </c>
      <c r="P279" s="33">
        <f ca="1">IFERROR(__xludf.DUMMYFUNCTION("""COMPUTED_VALUE"""),46220)</f>
        <v>46220</v>
      </c>
      <c r="Q279" s="33">
        <f ca="1">IFERROR(__xludf.DUMMYFUNCTION("""COMPUTED_VALUE"""),46220)</f>
        <v>46220</v>
      </c>
      <c r="R279" s="30">
        <f ca="1">IFERROR(__xludf.DUMMYFUNCTION("""COMPUTED_VALUE"""),1)</f>
        <v>1</v>
      </c>
      <c r="S279" s="30" t="str">
        <f ca="1">IFERROR(__xludf.DUMMYFUNCTION("""COMPUTED_VALUE"""),"Patrimonio cultural")</f>
        <v>Patrimonio cultural</v>
      </c>
      <c r="T279" s="30" t="str">
        <f ca="1">IFERROR(__xludf.DUMMYFUNCTION("""COMPUTED_VALUE"""),"Patrimonio documental")</f>
        <v>Patrimonio documental</v>
      </c>
      <c r="U279" s="30" t="str">
        <f ca="1">IFERROR(__xludf.DUMMYFUNCTION("""COMPUTED_VALUE"""),"Conferencia")</f>
        <v>Conferencia</v>
      </c>
      <c r="V279" s="30" t="str">
        <f ca="1">IFERROR(__xludf.DUMMYFUNCTION("""COMPUTED_VALUE"""),"Ninguna")</f>
        <v>Ninguna</v>
      </c>
      <c r="W279" s="30" t="str">
        <f ca="1">IFERROR(__xludf.DUMMYFUNCTION("""COMPUTED_VALUE"""),"Presencial")</f>
        <v>Presencial</v>
      </c>
      <c r="X279" s="30" t="str">
        <f ca="1">IFERROR(__xludf.DUMMYFUNCTION("""COMPUTED_VALUE"""),"Espacio a Cargo de la Secretaría")</f>
        <v>Espacio a Cargo de la Secretaría</v>
      </c>
      <c r="Y279" s="30" t="str">
        <f ca="1">IFERROR(__xludf.DUMMYFUNCTION("""COMPUTED_VALUE"""),"Museo José y Tomas Chavez Morado")</f>
        <v>Museo José y Tomas Chavez Morado</v>
      </c>
      <c r="Z279" s="30"/>
      <c r="AA279" s="30"/>
      <c r="AB279" s="30" t="b">
        <f ca="1">IFERROR(__xludf.DUMMYFUNCTION("""COMPUTED_VALUE"""),FALSE)</f>
        <v>0</v>
      </c>
      <c r="AC279" s="30"/>
      <c r="AD279" s="30" t="b">
        <f ca="1">IFERROR(__xludf.DUMMYFUNCTION("""COMPUTED_VALUE"""),FALSE)</f>
        <v>0</v>
      </c>
      <c r="AE279" s="30"/>
      <c r="AF279" s="30" t="b">
        <f ca="1">IFERROR(__xludf.DUMMYFUNCTION("""COMPUTED_VALUE"""),FALSE)</f>
        <v>0</v>
      </c>
      <c r="AG279" s="30"/>
      <c r="AH279" s="30" t="str">
        <f ca="1">IFERROR(__xludf.DUMMYFUNCTION("""COMPUTED_VALUE"""),"Sin costo")</f>
        <v>Sin costo</v>
      </c>
      <c r="AI279" s="30"/>
      <c r="AJ279" s="30"/>
      <c r="AK279" s="30"/>
      <c r="AL279" s="30" t="str">
        <f ca="1">IFERROR(__xludf.DUMMYFUNCTION("""COMPUTED_VALUE"""),"ccardonav@guanajuato.gob.mx")</f>
        <v>ccardonav@guanajuato.gob.mx</v>
      </c>
      <c r="AM279" s="30" t="str">
        <f ca="1">IFERROR(__xludf.DUMMYFUNCTION("""COMPUTED_VALUE"""),"Arraigo y empoderamiento cultural de comunidades.")</f>
        <v>Arraigo y empoderamiento cultural de comunidades.</v>
      </c>
      <c r="AN279" s="30" t="str">
        <f ca="1">IFERROR(__xludf.DUMMYFUNCTION("""COMPUTED_VALUE"""),"2 Igualdad")</f>
        <v>2 Igualdad</v>
      </c>
      <c r="AO279" s="30" t="str">
        <f ca="1">IFERROR(__xludf.DUMMYFUNCTION("""COMPUTED_VALUE"""),"2.1 Protección de derechos humanos")</f>
        <v>2.1 Protección de derechos humanos</v>
      </c>
      <c r="AP279" s="30" t="str">
        <f ca="1">IFERROR(__xludf.DUMMYFUNCTION("""COMPUTED_VALUE"""),"2.1.5 Inclusión población migrante")</f>
        <v>2.1.5 Inclusión población migrante</v>
      </c>
      <c r="AQ279" s="30" t="str">
        <f ca="1">IFERROR(__xludf.DUMMYFUNCTION("""COMPUTED_VALUE"""),"2.1.5 Inclusión población migrante")</f>
        <v>2.1.5 Inclusión población migrante</v>
      </c>
      <c r="AR279" s="30" t="str">
        <f ca="1">IFERROR(__xludf.DUMMYFUNCTION("""COMPUTED_VALUE"""),"Inclusión")</f>
        <v>Inclusión</v>
      </c>
      <c r="AS279" s="30" t="str">
        <f ca="1">IFERROR(__xludf.DUMMYFUNCTION("""COMPUTED_VALUE"""),"Personas Migrantes")</f>
        <v>Personas Migrantes</v>
      </c>
      <c r="AT279" s="30" t="str">
        <f ca="1">IFERROR(__xludf.DUMMYFUNCTION("""COMPUTED_VALUE"""),"Fortalecimiento de la participación ciudadana y la mediación cultural")</f>
        <v>Fortalecimiento de la participación ciudadana y la mediación cultural</v>
      </c>
      <c r="AU279" s="30" t="str">
        <f ca="1">IFERROR(__xludf.DUMMYFUNCTION("""COMPUTED_VALUE"""),"Fortalecimiento del diálogo, la mediación y las capacidades de las redes comunitarias.")</f>
        <v>Fortalecimiento del diálogo, la mediación y las capacidades de las redes comunitarias.</v>
      </c>
      <c r="AV27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79" s="30" t="str">
        <f ca="1">IFERROR(__xludf.DUMMYFUNCTION("""COMPUTED_VALUE"""),"Incrementar en 25% la oferta cultural realizada en los municipios.")</f>
        <v>Incrementar en 25% la oferta cultural realizada en los municipios.</v>
      </c>
      <c r="AX279" s="30" t="str">
        <f ca="1">IFERROR(__xludf.DUMMYFUNCTION("""COMPUTED_VALUE"""),"Conferencia")</f>
        <v>Conferencia</v>
      </c>
      <c r="AY279" s="30" t="str">
        <f ca="1">IFERROR(__xludf.DUMMYFUNCTION("""COMPUTED_VALUE"""),"Formación")</f>
        <v>Formación</v>
      </c>
      <c r="AZ279" s="30" t="str">
        <f ca="1">IFERROR(__xludf.DUMMYFUNCTION("""COMPUTED_VALUE"""),"Formación")</f>
        <v>Formación</v>
      </c>
      <c r="BA279" s="30"/>
      <c r="BB279" s="30"/>
      <c r="BC279" s="30">
        <f ca="1">IFERROR(__xludf.DUMMYFUNCTION("""COMPUTED_VALUE"""),0)</f>
        <v>0</v>
      </c>
      <c r="BD279" s="30"/>
      <c r="BE279" s="30"/>
      <c r="BF279" s="30" t="b">
        <f ca="1">IFERROR(__xludf.DUMMYFUNCTION("""COMPUTED_VALUE"""),FALSE)</f>
        <v>0</v>
      </c>
      <c r="BG279" s="30"/>
      <c r="BH279" s="30"/>
      <c r="BI279" s="30"/>
      <c r="BJ279" s="30"/>
      <c r="BK279" s="30"/>
      <c r="BL279" s="30" t="str">
        <f ca="1">IFERROR(__xludf.DUMMYFUNCTION("""COMPUTED_VALUE"""),"Vinculación con Conferencista")</f>
        <v>Vinculación con Conferencista</v>
      </c>
      <c r="BM279" s="30" t="str">
        <f ca="1">IFERROR(__xludf.DUMMYFUNCTION("""COMPUTED_VALUE"""),"Sí")</f>
        <v>Sí</v>
      </c>
      <c r="BN279" s="30" t="str">
        <f ca="1">IFERROR(__xludf.DUMMYFUNCTION("""COMPUTED_VALUE"""),"Acompañamiento Técnico")</f>
        <v>Acompañamiento Técnico</v>
      </c>
      <c r="BO279" s="30" t="str">
        <f ca="1">IFERROR(__xludf.DUMMYFUNCTION("""COMPUTED_VALUE"""),"547003d1")</f>
        <v>547003d1</v>
      </c>
      <c r="BP279" s="29" t="str">
        <f ca="1">IFERROR(__xludf.DUMMYFUNCTION("""COMPUTED_VALUE"""),"León")</f>
        <v>León</v>
      </c>
      <c r="BQ279" s="30" t="str">
        <f ca="1">IFERROR(__xludf.DUMMYFUNCTION("""COMPUTED_VALUE"""),"Urbano")</f>
        <v>Urbano</v>
      </c>
      <c r="BR279" s="30"/>
      <c r="BS279" s="30"/>
      <c r="BT279" s="30"/>
      <c r="BU279" s="30" t="str">
        <f ca="1">IFERROR(__xludf.DUMMYFUNCTION("""COMPUTED_VALUE"""),"No")</f>
        <v>No</v>
      </c>
      <c r="BV279" s="30" t="str">
        <f ca="1">IFERROR(__xludf.DUMMYFUNCTION("""COMPUTED_VALUE"""),"No")</f>
        <v>No</v>
      </c>
      <c r="BW279" s="30">
        <f ca="1">IFERROR(__xludf.DUMMYFUNCTION("""COMPUTED_VALUE"""),38)</f>
        <v>38</v>
      </c>
      <c r="BX279" s="30"/>
      <c r="BY279" s="30">
        <f ca="1">IFERROR(__xludf.DUMMYFUNCTION("""COMPUTED_VALUE"""),38)</f>
        <v>38</v>
      </c>
      <c r="BZ279" s="30"/>
      <c r="CA279" s="30" t="str">
        <f ca="1">IFERROR(__xludf.DUMMYFUNCTION("""COMPUTED_VALUE"""),"No")</f>
        <v>No</v>
      </c>
      <c r="CB279" s="30" t="str">
        <f ca="1">IFERROR(__xludf.DUMMYFUNCTION("""COMPUTED_VALUE"""),"No")</f>
        <v>No</v>
      </c>
      <c r="CC279" s="30" t="str">
        <f ca="1">IFERROR(__xludf.DUMMYFUNCTION("""COMPUTED_VALUE"""),"9ac92da9")</f>
        <v>9ac92da9</v>
      </c>
      <c r="CD279" s="29" t="str">
        <f ca="1">IFERROR(__xludf.DUMMYFUNCTION("""COMPUTED_VALUE"""),"Niñas y Niños (6 a 12 años)")</f>
        <v>Niñas y Niños (6 a 12 años)</v>
      </c>
      <c r="CE279" s="30" t="str">
        <f ca="1">IFERROR(__xludf.DUMMYFUNCTION("""COMPUTED_VALUE"""),"Dato global")</f>
        <v>Dato global</v>
      </c>
      <c r="CF279" s="30" t="str">
        <f ca="1">IFERROR(__xludf.DUMMYFUNCTION("""COMPUTED_VALUE"""),"Ninguno (Población General)")</f>
        <v>Ninguno (Población General)</v>
      </c>
      <c r="CG279" s="30">
        <f ca="1">IFERROR(__xludf.DUMMYFUNCTION("""COMPUTED_VALUE"""),11)</f>
        <v>11</v>
      </c>
      <c r="CI279" s="30" t="str">
        <f ca="1">IFERROR(__xludf.DUMMYFUNCTION("""COMPUTED_VALUE"""),"077a6f3d")</f>
        <v>077a6f3d</v>
      </c>
      <c r="CJ279" s="29" t="str">
        <f ca="1">IFERROR(__xludf.DUMMYFUNCTION("""COMPUTED_VALUE"""),"Regitro_Evidencia_Images/077a6f3d.Archivo_Evidencia.183128.jpg")</f>
        <v>Regitro_Evidencia_Images/077a6f3d.Archivo_Evidencia.183128.jpg</v>
      </c>
      <c r="CK279" s="30" t="str">
        <f ca="1">IFERROR(__xludf.DUMMYFUNCTION("""COMPUTED_VALUE"""),"Foto")</f>
        <v>Foto</v>
      </c>
      <c r="CL279" s="30"/>
      <c r="CM279" s="30" t="str">
        <f ca="1">IFERROR(__xludf.DUMMYFUNCTION("""COMPUTED_VALUE"""),"León")</f>
        <v>León</v>
      </c>
      <c r="CN279" s="32" t="e">
        <f ca="1"/>
        <v>#NAME?</v>
      </c>
      <c r="CO279" s="32" t="e">
        <f ca="1"/>
        <v>#NAME?</v>
      </c>
      <c r="CP279" s="32" t="e">
        <f ca="1"/>
        <v>#NAME?</v>
      </c>
      <c r="CQ279" s="32" t="e">
        <f ca="1"/>
        <v>#NAME?</v>
      </c>
      <c r="CR279" s="30" t="e">
        <f ca="1"/>
        <v>#NAME?</v>
      </c>
      <c r="CS279" s="30" t="str">
        <f ca="1">IFERROR(__xludf.DUMMYFUNCTION("""COMPUTED_VALUE"""),"Ninguno (Población General), Ninguno (Población General)")</f>
        <v>Ninguno (Población General), Ninguno (Población General)</v>
      </c>
    </row>
    <row r="280" spans="1:97" ht="13">
      <c r="A280" s="29" t="str">
        <f ca="1">IFERROR(__xludf.DUMMYFUNCTION("""COMPUTED_VALUE"""),"ACT-SCIA91121")</f>
        <v>ACT-SCIA91121</v>
      </c>
      <c r="B280" s="30" t="str">
        <f ca="1">IFERROR(__xludf.DUMMYFUNCTION("""COMPUTED_VALUE"""),"SC-260818-123425")</f>
        <v>SC-260818-123425</v>
      </c>
      <c r="C280" s="62">
        <f ca="1">IFERROR(__xludf.DUMMYFUNCTION("""COMPUTED_VALUE"""),46252.5239004629)</f>
        <v>46252.523900462897</v>
      </c>
      <c r="D280" s="30">
        <f ca="1">IFERROR(__xludf.DUMMYFUNCTION("""COMPUTED_VALUE"""),94)</f>
        <v>94</v>
      </c>
      <c r="E280" s="30" t="str">
        <f ca="1">IFERROR(__xludf.DUMMYFUNCTION("""COMPUTED_VALUE"""),"PB3572")</f>
        <v>PB3572</v>
      </c>
      <c r="F28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0"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280" s="30" t="str">
        <f ca="1">IFERROR(__xludf.DUMMYFUNCTION("""COMPUTED_VALUE"""),"SUBSECRETARÍA DE DESARROLLO Y PROMOCIÓN ARTÍSTICA Y CULTURAL")</f>
        <v>SUBSECRETARÍA DE DESARROLLO Y PROMOCIÓN ARTÍSTICA Y CULTURAL</v>
      </c>
      <c r="I280" s="34" t="str">
        <f ca="1">IFERROR(__xludf.DUMMYFUNCTION("""COMPUTED_VALUE"""),"DIRECCIÓN GENERAL DE MUSEOS, ARTES VISUALES Y EXPOSICIONES")</f>
        <v>DIRECCIÓN GENERAL DE MUSEOS, ARTES VISUALES Y EXPOSICIONES</v>
      </c>
      <c r="J280" s="30" t="str">
        <f ca="1">IFERROR(__xludf.DUMMYFUNCTION("""COMPUTED_VALUE"""),"Número de Actividades realizadas")</f>
        <v>Número de Actividades realizadas</v>
      </c>
      <c r="K280" s="30">
        <f ca="1">IFERROR(__xludf.DUMMYFUNCTION("""COMPUTED_VALUE"""),12)</f>
        <v>12</v>
      </c>
      <c r="L280" s="30" t="str">
        <f ca="1">IFERROR(__xludf.DUMMYFUNCTION("""COMPUTED_VALUE"""),"Cultural")</f>
        <v>Cultural</v>
      </c>
      <c r="M280" s="30" t="str">
        <f ca="1">IFERROR(__xludf.DUMMYFUNCTION("""COMPUTED_VALUE"""),"Silao, el cubilete y la guerra cristera")</f>
        <v>Silao, el cubilete y la guerra cristera</v>
      </c>
      <c r="N280" s="30" t="str">
        <f ca="1">IFERROR(__xludf.DUMMYFUNCTION("""COMPUTED_VALUE"""),"Conferencia")</f>
        <v>Conferencia</v>
      </c>
      <c r="O280" s="30" t="str">
        <f ca="1">IFERROR(__xludf.DUMMYFUNCTION("""COMPUTED_VALUE"""),"Única")</f>
        <v>Única</v>
      </c>
      <c r="P280" s="33">
        <f ca="1">IFERROR(__xludf.DUMMYFUNCTION("""COMPUTED_VALUE"""),46227)</f>
        <v>46227</v>
      </c>
      <c r="Q280" s="33">
        <f ca="1">IFERROR(__xludf.DUMMYFUNCTION("""COMPUTED_VALUE"""),46227)</f>
        <v>46227</v>
      </c>
      <c r="R280" s="30">
        <f ca="1">IFERROR(__xludf.DUMMYFUNCTION("""COMPUTED_VALUE"""),1)</f>
        <v>1</v>
      </c>
      <c r="S280" s="30" t="str">
        <f ca="1">IFERROR(__xludf.DUMMYFUNCTION("""COMPUTED_VALUE"""),"Patrimonio cultural")</f>
        <v>Patrimonio cultural</v>
      </c>
      <c r="T280" s="30" t="str">
        <f ca="1">IFERROR(__xludf.DUMMYFUNCTION("""COMPUTED_VALUE"""),"Patrimonio documental")</f>
        <v>Patrimonio documental</v>
      </c>
      <c r="U280" s="30" t="str">
        <f ca="1">IFERROR(__xludf.DUMMYFUNCTION("""COMPUTED_VALUE"""),"Conferencia")</f>
        <v>Conferencia</v>
      </c>
      <c r="V280" s="30" t="str">
        <f ca="1">IFERROR(__xludf.DUMMYFUNCTION("""COMPUTED_VALUE"""),"Ninguna")</f>
        <v>Ninguna</v>
      </c>
      <c r="W280" s="30" t="str">
        <f ca="1">IFERROR(__xludf.DUMMYFUNCTION("""COMPUTED_VALUE"""),"Presencial")</f>
        <v>Presencial</v>
      </c>
      <c r="X280" s="30" t="str">
        <f ca="1">IFERROR(__xludf.DUMMYFUNCTION("""COMPUTED_VALUE"""),"Espacio a Cargo de la Secretaría")</f>
        <v>Espacio a Cargo de la Secretaría</v>
      </c>
      <c r="Y280" s="30" t="str">
        <f ca="1">IFERROR(__xludf.DUMMYFUNCTION("""COMPUTED_VALUE"""),"Museo José y Tomas Chavez Morado")</f>
        <v>Museo José y Tomas Chavez Morado</v>
      </c>
      <c r="Z280" s="30"/>
      <c r="AA280" s="30"/>
      <c r="AB280" s="30" t="b">
        <f ca="1">IFERROR(__xludf.DUMMYFUNCTION("""COMPUTED_VALUE"""),FALSE)</f>
        <v>0</v>
      </c>
      <c r="AC280" s="30"/>
      <c r="AD280" s="30" t="b">
        <f ca="1">IFERROR(__xludf.DUMMYFUNCTION("""COMPUTED_VALUE"""),FALSE)</f>
        <v>0</v>
      </c>
      <c r="AE280" s="30"/>
      <c r="AF280" s="30" t="b">
        <f ca="1">IFERROR(__xludf.DUMMYFUNCTION("""COMPUTED_VALUE"""),FALSE)</f>
        <v>0</v>
      </c>
      <c r="AG280" s="30"/>
      <c r="AH280" s="30" t="str">
        <f ca="1">IFERROR(__xludf.DUMMYFUNCTION("""COMPUTED_VALUE"""),"Sin costo")</f>
        <v>Sin costo</v>
      </c>
      <c r="AI280" s="30"/>
      <c r="AJ280" s="30"/>
      <c r="AK280" s="30"/>
      <c r="AL280" s="30" t="str">
        <f ca="1">IFERROR(__xludf.DUMMYFUNCTION("""COMPUTED_VALUE"""),"ccardonav@guanajuato.gob.mx")</f>
        <v>ccardonav@guanajuato.gob.mx</v>
      </c>
      <c r="AM280" s="30" t="str">
        <f ca="1">IFERROR(__xludf.DUMMYFUNCTION("""COMPUTED_VALUE"""),"Arraigo y empoderamiento cultural de comunidades.")</f>
        <v>Arraigo y empoderamiento cultural de comunidades.</v>
      </c>
      <c r="AN280" s="30" t="str">
        <f ca="1">IFERROR(__xludf.DUMMYFUNCTION("""COMPUTED_VALUE"""),"1 Tranquilidad")</f>
        <v>1 Tranquilidad</v>
      </c>
      <c r="AO280" s="30" t="str">
        <f ca="1">IFERROR(__xludf.DUMMYFUNCTION("""COMPUTED_VALUE"""),"1.2 Fortalecer prevención del delito")</f>
        <v>1.2 Fortalecer prevención del delito</v>
      </c>
      <c r="AP280" s="30" t="str">
        <f ca="1">IFERROR(__xludf.DUMMYFUNCTION("""COMPUTED_VALUE"""),"1.2.2 Fortalecimiento del tejido social")</f>
        <v>1.2.2 Fortalecimiento del tejido social</v>
      </c>
      <c r="AQ280" s="30" t="str">
        <f ca="1">IFERROR(__xludf.DUMMYFUNCTION("""COMPUTED_VALUE"""),"1.2.3.4 Promover una cultura de paz desde las expresiones artísticas y culturales")</f>
        <v>1.2.3.4 Promover una cultura de paz desde las expresiones artísticas y culturales</v>
      </c>
      <c r="AR280" s="30" t="str">
        <f ca="1">IFERROR(__xludf.DUMMYFUNCTION("""COMPUTED_VALUE"""),"Cooperación")</f>
        <v>Cooperación</v>
      </c>
      <c r="AS280" s="30"/>
      <c r="AT280" s="30" t="str">
        <f ca="1">IFERROR(__xludf.DUMMYFUNCTION("""COMPUTED_VALUE"""),"Sostenibilidad del trabajo cultural y la economía creativa.")</f>
        <v>Sostenibilidad del trabajo cultural y la economía creativa.</v>
      </c>
      <c r="AU280"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280" s="30" t="str">
        <f ca="1">IFERROR(__xludf.DUMMYFUNCTION("""COMPUTED_VALUE"""),"Diseñar programas de formación y gestión cultural de base comunitaria.")</f>
        <v>Diseñar programas de formación y gestión cultural de base comunitaria.</v>
      </c>
      <c r="AW280"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280" s="30" t="str">
        <f ca="1">IFERROR(__xludf.DUMMYFUNCTION("""COMPUTED_VALUE"""),"Conferencia")</f>
        <v>Conferencia</v>
      </c>
      <c r="AY280" s="30" t="str">
        <f ca="1">IFERROR(__xludf.DUMMYFUNCTION("""COMPUTED_VALUE"""),"Formación")</f>
        <v>Formación</v>
      </c>
      <c r="AZ280" s="30" t="str">
        <f ca="1">IFERROR(__xludf.DUMMYFUNCTION("""COMPUTED_VALUE"""),"Formación")</f>
        <v>Formación</v>
      </c>
      <c r="BA280" s="30"/>
      <c r="BB280" s="30"/>
      <c r="BC280" s="30">
        <f ca="1">IFERROR(__xludf.DUMMYFUNCTION("""COMPUTED_VALUE"""),0)</f>
        <v>0</v>
      </c>
      <c r="BD280" s="30"/>
      <c r="BE280" s="30"/>
      <c r="BF280" s="30" t="b">
        <f ca="1">IFERROR(__xludf.DUMMYFUNCTION("""COMPUTED_VALUE"""),FALSE)</f>
        <v>0</v>
      </c>
      <c r="BG280" s="30"/>
      <c r="BH280" s="30"/>
      <c r="BI280" s="30"/>
      <c r="BJ280" s="30"/>
      <c r="BK280" s="30"/>
      <c r="BL280" s="30" t="str">
        <f ca="1">IFERROR(__xludf.DUMMYFUNCTION("""COMPUTED_VALUE"""),"Vinculacion")</f>
        <v>Vinculacion</v>
      </c>
      <c r="BM280" s="30" t="str">
        <f ca="1">IFERROR(__xludf.DUMMYFUNCTION("""COMPUTED_VALUE"""),"Sí")</f>
        <v>Sí</v>
      </c>
      <c r="BN280" s="30" t="str">
        <f ca="1">IFERROR(__xludf.DUMMYFUNCTION("""COMPUTED_VALUE"""),"Acompañamiento Técnico")</f>
        <v>Acompañamiento Técnico</v>
      </c>
      <c r="BO280" s="30" t="str">
        <f ca="1">IFERROR(__xludf.DUMMYFUNCTION("""COMPUTED_VALUE"""),"b49660f0")</f>
        <v>b49660f0</v>
      </c>
      <c r="BP280" s="29" t="str">
        <f ca="1">IFERROR(__xludf.DUMMYFUNCTION("""COMPUTED_VALUE"""),"León")</f>
        <v>León</v>
      </c>
      <c r="BQ280" s="30" t="str">
        <f ca="1">IFERROR(__xludf.DUMMYFUNCTION("""COMPUTED_VALUE"""),"Urbano")</f>
        <v>Urbano</v>
      </c>
      <c r="BR280" s="30"/>
      <c r="BS280" s="30"/>
      <c r="BT280" s="30"/>
      <c r="BU280" s="30" t="str">
        <f ca="1">IFERROR(__xludf.DUMMYFUNCTION("""COMPUTED_VALUE"""),"No")</f>
        <v>No</v>
      </c>
      <c r="BV280" s="30" t="str">
        <f ca="1">IFERROR(__xludf.DUMMYFUNCTION("""COMPUTED_VALUE"""),"No")</f>
        <v>No</v>
      </c>
      <c r="BW280" s="30">
        <f ca="1">IFERROR(__xludf.DUMMYFUNCTION("""COMPUTED_VALUE"""),51)</f>
        <v>51</v>
      </c>
      <c r="BX280" s="30"/>
      <c r="BY280" s="30">
        <f ca="1">IFERROR(__xludf.DUMMYFUNCTION("""COMPUTED_VALUE"""),51)</f>
        <v>51</v>
      </c>
      <c r="BZ280" s="30"/>
      <c r="CA280" s="30" t="str">
        <f ca="1">IFERROR(__xludf.DUMMYFUNCTION("""COMPUTED_VALUE"""),"No")</f>
        <v>No</v>
      </c>
      <c r="CB280" s="30" t="str">
        <f ca="1">IFERROR(__xludf.DUMMYFUNCTION("""COMPUTED_VALUE"""),"No")</f>
        <v>No</v>
      </c>
      <c r="CC280" s="30" t="str">
        <f ca="1">IFERROR(__xludf.DUMMYFUNCTION("""COMPUTED_VALUE"""),"702c30eb")</f>
        <v>702c30eb</v>
      </c>
      <c r="CD280" s="29" t="str">
        <f ca="1">IFERROR(__xludf.DUMMYFUNCTION("""COMPUTED_VALUE"""),"Adolescentes (13 a 17 años)")</f>
        <v>Adolescentes (13 a 17 años)</v>
      </c>
      <c r="CE280" s="30" t="str">
        <f ca="1">IFERROR(__xludf.DUMMYFUNCTION("""COMPUTED_VALUE"""),"Dato global")</f>
        <v>Dato global</v>
      </c>
      <c r="CF280" s="30" t="str">
        <f ca="1">IFERROR(__xludf.DUMMYFUNCTION("""COMPUTED_VALUE"""),"Ninguno (Población General)")</f>
        <v>Ninguno (Población General)</v>
      </c>
      <c r="CG280" s="30">
        <f ca="1">IFERROR(__xludf.DUMMYFUNCTION("""COMPUTED_VALUE"""),4)</f>
        <v>4</v>
      </c>
      <c r="CI280" s="30" t="str">
        <f ca="1">IFERROR(__xludf.DUMMYFUNCTION("""COMPUTED_VALUE"""),"0c003fa6")</f>
        <v>0c003fa6</v>
      </c>
      <c r="CJ280" s="29" t="str">
        <f ca="1">IFERROR(__xludf.DUMMYFUNCTION("""COMPUTED_VALUE"""),"Regitro_Evidencia_Images/0c003fa6.Archivo_Evidencia.183137.jpg")</f>
        <v>Regitro_Evidencia_Images/0c003fa6.Archivo_Evidencia.183137.jpg</v>
      </c>
      <c r="CK280" s="30" t="str">
        <f ca="1">IFERROR(__xludf.DUMMYFUNCTION("""COMPUTED_VALUE"""),"Foto")</f>
        <v>Foto</v>
      </c>
      <c r="CL280" s="30"/>
      <c r="CM280" s="30" t="str">
        <f ca="1">IFERROR(__xludf.DUMMYFUNCTION("""COMPUTED_VALUE"""),"León")</f>
        <v>León</v>
      </c>
      <c r="CN280" s="32" t="e">
        <f ca="1"/>
        <v>#NAME?</v>
      </c>
      <c r="CO280" s="32" t="e">
        <f ca="1"/>
        <v>#NAME?</v>
      </c>
      <c r="CP280" s="32" t="e">
        <f ca="1"/>
        <v>#NAME?</v>
      </c>
      <c r="CQ280" s="32" t="e">
        <f ca="1"/>
        <v>#NAME?</v>
      </c>
      <c r="CR280" s="30" t="e">
        <f ca="1"/>
        <v>#NAME?</v>
      </c>
      <c r="CS280" s="30" t="str">
        <f ca="1">IFERROR(__xludf.DUMMYFUNCTION("""COMPUTED_VALUE"""),"Ninguno (Población General), Ninguno (Población General)")</f>
        <v>Ninguno (Población General), Ninguno (Población General)</v>
      </c>
    </row>
    <row r="281" spans="1:97" ht="13">
      <c r="A281" s="29" t="str">
        <f ca="1">IFERROR(__xludf.DUMMYFUNCTION("""COMPUTED_VALUE"""),"ACT-SCNU32492")</f>
        <v>ACT-SCNU32492</v>
      </c>
      <c r="B281" s="30" t="str">
        <f ca="1">IFERROR(__xludf.DUMMYFUNCTION("""COMPUTED_VALUE"""),"SC-260820-110800")</f>
        <v>SC-260820-110800</v>
      </c>
      <c r="C281" s="62">
        <f ca="1">IFERROR(__xludf.DUMMYFUNCTION("""COMPUTED_VALUE"""),46254.4638888888)</f>
        <v>46254.4638888888</v>
      </c>
      <c r="D281" s="30">
        <f ca="1">IFERROR(__xludf.DUMMYFUNCTION("""COMPUTED_VALUE"""),92)</f>
        <v>92</v>
      </c>
      <c r="E281" s="30" t="str">
        <f ca="1">IFERROR(__xludf.DUMMYFUNCTION("""COMPUTED_VALUE"""),"PB3572")</f>
        <v>PB3572</v>
      </c>
      <c r="F28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1" s="30" t="str">
        <f ca="1">IFERROR(__xludf.DUMMYFUNCTION("""COMPUTED_VALUE"""),"SUBSECRETARÍA DE DESARROLLO Y PROMOCIÓN ARTÍSTICA Y CULTURAL")</f>
        <v>SUBSECRETARÍA DE DESARROLLO Y PROMOCIÓN ARTÍSTICA Y CULTURAL</v>
      </c>
      <c r="I281" s="34" t="str">
        <f ca="1">IFERROR(__xludf.DUMMYFUNCTION("""COMPUTED_VALUE"""),"DIRECCIÓN GENERAL DE MUSEOS, ARTES VISUALES Y EXPOSICIONES")</f>
        <v>DIRECCIÓN GENERAL DE MUSEOS, ARTES VISUALES Y EXPOSICIONES</v>
      </c>
      <c r="J281" s="30" t="str">
        <f ca="1">IFERROR(__xludf.DUMMYFUNCTION("""COMPUTED_VALUE"""),"Número de Actividades realizadas")</f>
        <v>Número de Actividades realizadas</v>
      </c>
      <c r="K281" s="30">
        <f ca="1">IFERROR(__xludf.DUMMYFUNCTION("""COMPUTED_VALUE"""),800)</f>
        <v>800</v>
      </c>
      <c r="L281" s="30" t="str">
        <f ca="1">IFERROR(__xludf.DUMMYFUNCTION("""COMPUTED_VALUE"""),"Cultural")</f>
        <v>Cultural</v>
      </c>
      <c r="M281" s="30" t="str">
        <f ca="1">IFERROR(__xludf.DUMMYFUNCTION("""COMPUTED_VALUE"""),"TALLER DE VERANO ""ARTE Y CREATIVIDAD""")</f>
        <v>TALLER DE VERANO "ARTE Y CREATIVIDAD"</v>
      </c>
      <c r="N281" s="30" t="str">
        <f ca="1">IFERROR(__xludf.DUMMYFUNCTION("""COMPUTED_VALUE"""),"Visita Mediada")</f>
        <v>Visita Mediada</v>
      </c>
      <c r="O281" s="30" t="str">
        <f ca="1">IFERROR(__xludf.DUMMYFUNCTION("""COMPUTED_VALUE"""),"Otras")</f>
        <v>Otras</v>
      </c>
      <c r="P281" s="33">
        <f ca="1">IFERROR(__xludf.DUMMYFUNCTION("""COMPUTED_VALUE"""),46231)</f>
        <v>46231</v>
      </c>
      <c r="Q281" s="33">
        <f ca="1">IFERROR(__xludf.DUMMYFUNCTION("""COMPUTED_VALUE"""),46234)</f>
        <v>46234</v>
      </c>
      <c r="R281" s="30">
        <f ca="1">IFERROR(__xludf.DUMMYFUNCTION("""COMPUTED_VALUE"""),1)</f>
        <v>1</v>
      </c>
      <c r="S281" s="30" t="str">
        <f ca="1">IFERROR(__xludf.DUMMYFUNCTION("""COMPUTED_VALUE"""),"Cultura comunitaria")</f>
        <v>Cultura comunitaria</v>
      </c>
      <c r="T281" s="30" t="str">
        <f ca="1">IFERROR(__xludf.DUMMYFUNCTION("""COMPUTED_VALUE"""),"Mediación cultural")</f>
        <v>Mediación cultural</v>
      </c>
      <c r="U281" s="30" t="str">
        <f ca="1">IFERROR(__xludf.DUMMYFUNCTION("""COMPUTED_VALUE"""),"Visitas guiadas")</f>
        <v>Visitas guiadas</v>
      </c>
      <c r="V281" s="30" t="str">
        <f ca="1">IFERROR(__xludf.DUMMYFUNCTION("""COMPUTED_VALUE"""),"Ninguna")</f>
        <v>Ninguna</v>
      </c>
      <c r="W281" s="30" t="str">
        <f ca="1">IFERROR(__xludf.DUMMYFUNCTION("""COMPUTED_VALUE"""),"Presencial")</f>
        <v>Presencial</v>
      </c>
      <c r="X281" s="30" t="str">
        <f ca="1">IFERROR(__xludf.DUMMYFUNCTION("""COMPUTED_VALUE"""),"Espacio a Cargo de la Secretaría")</f>
        <v>Espacio a Cargo de la Secretaría</v>
      </c>
      <c r="Y281" s="30" t="str">
        <f ca="1">IFERROR(__xludf.DUMMYFUNCTION("""COMPUTED_VALUE"""),"Museo de Arte e Historia de Guanajuato, sala Feliciano Peña")</f>
        <v>Museo de Arte e Historia de Guanajuato, sala Feliciano Peña</v>
      </c>
      <c r="Z281" s="30"/>
      <c r="AA281" s="30"/>
      <c r="AB281" s="30" t="b">
        <f ca="1">IFERROR(__xludf.DUMMYFUNCTION("""COMPUTED_VALUE"""),FALSE)</f>
        <v>0</v>
      </c>
      <c r="AC281" s="30"/>
      <c r="AD281" s="30" t="b">
        <f ca="1">IFERROR(__xludf.DUMMYFUNCTION("""COMPUTED_VALUE"""),FALSE)</f>
        <v>0</v>
      </c>
      <c r="AE281" s="30"/>
      <c r="AF281" s="30" t="b">
        <f ca="1">IFERROR(__xludf.DUMMYFUNCTION("""COMPUTED_VALUE"""),FALSE)</f>
        <v>0</v>
      </c>
      <c r="AG281" s="30"/>
      <c r="AH281" s="30" t="str">
        <f ca="1">IFERROR(__xludf.DUMMYFUNCTION("""COMPUTED_VALUE"""),"Sin costo")</f>
        <v>Sin costo</v>
      </c>
      <c r="AI281" s="30"/>
      <c r="AJ281" s="30"/>
      <c r="AK281" s="30"/>
      <c r="AL281" s="30" t="str">
        <f ca="1">IFERROR(__xludf.DUMMYFUNCTION("""COMPUTED_VALUE"""),"ccardonav@guanajuato.gob.mx")</f>
        <v>ccardonav@guanajuato.gob.mx</v>
      </c>
      <c r="AM281" s="30" t="str">
        <f ca="1">IFERROR(__xludf.DUMMYFUNCTION("""COMPUTED_VALUE"""),"Arraigo y empoderamiento cultural de comunidades.")</f>
        <v>Arraigo y empoderamiento cultural de comunidades.</v>
      </c>
      <c r="AN281" s="30" t="str">
        <f ca="1">IFERROR(__xludf.DUMMYFUNCTION("""COMPUTED_VALUE"""),"2 Igualdad")</f>
        <v>2 Igualdad</v>
      </c>
      <c r="AO281" s="30" t="str">
        <f ca="1">IFERROR(__xludf.DUMMYFUNCTION("""COMPUTED_VALUE"""),"2.4 Reducir brechas de desigualdad")</f>
        <v>2.4 Reducir brechas de desigualdad</v>
      </c>
      <c r="AP281" s="30" t="str">
        <f ca="1">IFERROR(__xludf.DUMMYFUNCTION("""COMPUTED_VALUE"""),"2.4.3 Descentralización de la oferta cultural")</f>
        <v>2.4.3 Descentralización de la oferta cultural</v>
      </c>
      <c r="AQ281" s="30" t="str">
        <f ca="1">IFERROR(__xludf.DUMMYFUNCTION("""COMPUTED_VALUE"""),"2.4.3.1 Impulsar el desarrollo artístico y cultural entre infancias y juventudes")</f>
        <v>2.4.3.1 Impulsar el desarrollo artístico y cultural entre infancias y juventudes</v>
      </c>
      <c r="AR281" s="30" t="str">
        <f ca="1">IFERROR(__xludf.DUMMYFUNCTION("""COMPUTED_VALUE"""),"Ninguno")</f>
        <v>Ninguno</v>
      </c>
      <c r="AS281" s="30"/>
      <c r="AT281" s="30" t="str">
        <f ca="1">IFERROR(__xludf.DUMMYFUNCTION("""COMPUTED_VALUE"""),"Fortalecimiento de la participación ciudadana y la mediación cultural")</f>
        <v>Fortalecimiento de la participación ciudadana y la mediación cultural</v>
      </c>
      <c r="AU281" s="30" t="str">
        <f ca="1">IFERROR(__xludf.DUMMYFUNCTION("""COMPUTED_VALUE"""),"Fortalecimiento del diálogo, la mediación y las capacidades de las redes comunitarias.")</f>
        <v>Fortalecimiento del diálogo, la mediación y las capacidades de las redes comunitarias.</v>
      </c>
      <c r="AV28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1" s="30" t="str">
        <f ca="1">IFERROR(__xludf.DUMMYFUNCTION("""COMPUTED_VALUE"""),"Incrementar en 25% la oferta cultural realizada en los municipios.")</f>
        <v>Incrementar en 25% la oferta cultural realizada en los municipios.</v>
      </c>
      <c r="AX281" s="30" t="str">
        <f ca="1">IFERROR(__xludf.DUMMYFUNCTION("""COMPUTED_VALUE"""),"Visitas guiadas")</f>
        <v>Visitas guiadas</v>
      </c>
      <c r="AY281" s="30" t="str">
        <f ca="1">IFERROR(__xludf.DUMMYFUNCTION("""COMPUTED_VALUE"""),"Mediación")</f>
        <v>Mediación</v>
      </c>
      <c r="AZ281" s="30"/>
      <c r="BA281" s="30"/>
      <c r="BB281" s="30"/>
      <c r="BC281" s="30">
        <f ca="1">IFERROR(__xludf.DUMMYFUNCTION("""COMPUTED_VALUE"""),0)</f>
        <v>0</v>
      </c>
      <c r="BD281" s="30"/>
      <c r="BE281" s="30"/>
      <c r="BF281" s="30" t="b">
        <f ca="1">IFERROR(__xludf.DUMMYFUNCTION("""COMPUTED_VALUE"""),FALSE)</f>
        <v>0</v>
      </c>
      <c r="BG281" s="30"/>
      <c r="BH281" s="30"/>
      <c r="BI281" s="30"/>
      <c r="BJ281" s="30"/>
      <c r="BK281" s="30"/>
      <c r="BL281" s="30"/>
      <c r="BM281" s="30" t="str">
        <f ca="1">IFERROR(__xludf.DUMMYFUNCTION("""COMPUTED_VALUE"""),"No")</f>
        <v>No</v>
      </c>
      <c r="BN281" s="30"/>
      <c r="BO281" s="30" t="str">
        <f ca="1">IFERROR(__xludf.DUMMYFUNCTION("""COMPUTED_VALUE"""),"814f73ad")</f>
        <v>814f73ad</v>
      </c>
      <c r="BP281" s="29" t="str">
        <f ca="1">IFERROR(__xludf.DUMMYFUNCTION("""COMPUTED_VALUE"""),"León")</f>
        <v>León</v>
      </c>
      <c r="BQ281" s="30" t="str">
        <f ca="1">IFERROR(__xludf.DUMMYFUNCTION("""COMPUTED_VALUE"""),"Urbano")</f>
        <v>Urbano</v>
      </c>
      <c r="BR281" s="30"/>
      <c r="BS281" s="30"/>
      <c r="BT281" s="30"/>
      <c r="BU281" s="30" t="str">
        <f ca="1">IFERROR(__xludf.DUMMYFUNCTION("""COMPUTED_VALUE"""),"No")</f>
        <v>No</v>
      </c>
      <c r="BV281" s="30" t="str">
        <f ca="1">IFERROR(__xludf.DUMMYFUNCTION("""COMPUTED_VALUE"""),"No")</f>
        <v>No</v>
      </c>
      <c r="BW281" s="30">
        <f ca="1">IFERROR(__xludf.DUMMYFUNCTION("""COMPUTED_VALUE"""),34)</f>
        <v>34</v>
      </c>
      <c r="BX281" s="30"/>
      <c r="BY281" s="30">
        <f ca="1">IFERROR(__xludf.DUMMYFUNCTION("""COMPUTED_VALUE"""),34)</f>
        <v>34</v>
      </c>
      <c r="BZ281" s="30"/>
      <c r="CA281" s="30" t="str">
        <f ca="1">IFERROR(__xludf.DUMMYFUNCTION("""COMPUTED_VALUE"""),"No")</f>
        <v>No</v>
      </c>
      <c r="CB281" s="30" t="str">
        <f ca="1">IFERROR(__xludf.DUMMYFUNCTION("""COMPUTED_VALUE"""),"No")</f>
        <v>No</v>
      </c>
      <c r="CC281" s="30" t="str">
        <f ca="1">IFERROR(__xludf.DUMMYFUNCTION("""COMPUTED_VALUE"""),"b218bf70")</f>
        <v>b218bf70</v>
      </c>
      <c r="CD281" s="29" t="str">
        <f ca="1">IFERROR(__xludf.DUMMYFUNCTION("""COMPUTED_VALUE"""),"Adultos (30 a 59 años)")</f>
        <v>Adultos (30 a 59 años)</v>
      </c>
      <c r="CE281" s="30" t="str">
        <f ca="1">IFERROR(__xludf.DUMMYFUNCTION("""COMPUTED_VALUE"""),"Dato global")</f>
        <v>Dato global</v>
      </c>
      <c r="CF281" s="30" t="str">
        <f ca="1">IFERROR(__xludf.DUMMYFUNCTION("""COMPUTED_VALUE"""),"Ninguno (Población General)")</f>
        <v>Ninguno (Población General)</v>
      </c>
      <c r="CG281" s="30">
        <f ca="1">IFERROR(__xludf.DUMMYFUNCTION("""COMPUTED_VALUE"""),24)</f>
        <v>24</v>
      </c>
      <c r="CI281" s="30" t="str">
        <f ca="1">IFERROR(__xludf.DUMMYFUNCTION("""COMPUTED_VALUE"""),"5b6d4a03")</f>
        <v>5b6d4a03</v>
      </c>
      <c r="CJ281" s="29" t="str">
        <f ca="1">IFERROR(__xludf.DUMMYFUNCTION("""COMPUTED_VALUE"""),"Regitro_Evidencia_Images/5b6d4a03.Archivo_Evidencia.183143.jpg")</f>
        <v>Regitro_Evidencia_Images/5b6d4a03.Archivo_Evidencia.183143.jpg</v>
      </c>
      <c r="CK281" s="30" t="str">
        <f ca="1">IFERROR(__xludf.DUMMYFUNCTION("""COMPUTED_VALUE"""),"Foto")</f>
        <v>Foto</v>
      </c>
      <c r="CL281" s="30"/>
      <c r="CM281" s="30" t="str">
        <f ca="1">IFERROR(__xludf.DUMMYFUNCTION("""COMPUTED_VALUE"""),"León")</f>
        <v>León</v>
      </c>
      <c r="CN281" s="32" t="e">
        <f ca="1"/>
        <v>#NAME?</v>
      </c>
      <c r="CO281" s="32" t="e">
        <f ca="1"/>
        <v>#NAME?</v>
      </c>
      <c r="CP281" s="32" t="e">
        <f ca="1"/>
        <v>#NAME?</v>
      </c>
      <c r="CQ281" s="32" t="e">
        <f ca="1"/>
        <v>#NAME?</v>
      </c>
      <c r="CR281" s="30" t="e">
        <f ca="1"/>
        <v>#NAME?</v>
      </c>
      <c r="CS281" s="30" t="str">
        <f ca="1">IFERROR(__xludf.DUMMYFUNCTION("""COMPUTED_VALUE"""),"Ninguno (Población General)")</f>
        <v>Ninguno (Población General)</v>
      </c>
    </row>
    <row r="282" spans="1:97" ht="13">
      <c r="A282" s="29" t="str">
        <f ca="1">IFERROR(__xludf.DUMMYFUNCTION("""COMPUTED_VALUE"""),"ACT-SCFL23776")</f>
        <v>ACT-SCFL23776</v>
      </c>
      <c r="B282" s="30" t="str">
        <f ca="1">IFERROR(__xludf.DUMMYFUNCTION("""COMPUTED_VALUE"""),"SC-260820-125811")</f>
        <v>SC-260820-125811</v>
      </c>
      <c r="C282" s="62">
        <f ca="1">IFERROR(__xludf.DUMMYFUNCTION("""COMPUTED_VALUE"""),46254.5404050925)</f>
        <v>46254.540405092499</v>
      </c>
      <c r="D282" s="30">
        <f ca="1">IFERROR(__xludf.DUMMYFUNCTION("""COMPUTED_VALUE"""),92)</f>
        <v>92</v>
      </c>
      <c r="E282" s="30" t="str">
        <f ca="1">IFERROR(__xludf.DUMMYFUNCTION("""COMPUTED_VALUE"""),"PB3572")</f>
        <v>PB3572</v>
      </c>
      <c r="F28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2" s="30" t="str">
        <f ca="1">IFERROR(__xludf.DUMMYFUNCTION("""COMPUTED_VALUE"""),"SUBSECRETARÍA DE DESARROLLO Y PROMOCIÓN ARTÍSTICA Y CULTURAL")</f>
        <v>SUBSECRETARÍA DE DESARROLLO Y PROMOCIÓN ARTÍSTICA Y CULTURAL</v>
      </c>
      <c r="I282" s="34" t="str">
        <f ca="1">IFERROR(__xludf.DUMMYFUNCTION("""COMPUTED_VALUE"""),"DIRECCIÓN GENERAL DE MUSEOS, ARTES VISUALES Y EXPOSICIONES")</f>
        <v>DIRECCIÓN GENERAL DE MUSEOS, ARTES VISUALES Y EXPOSICIONES</v>
      </c>
      <c r="J282" s="30" t="str">
        <f ca="1">IFERROR(__xludf.DUMMYFUNCTION("""COMPUTED_VALUE"""),"Número de Actividades realizadas")</f>
        <v>Número de Actividades realizadas</v>
      </c>
      <c r="K282" s="30">
        <f ca="1">IFERROR(__xludf.DUMMYFUNCTION("""COMPUTED_VALUE"""),800)</f>
        <v>800</v>
      </c>
      <c r="L282" s="30" t="str">
        <f ca="1">IFERROR(__xludf.DUMMYFUNCTION("""COMPUTED_VALUE"""),"Cultural")</f>
        <v>Cultural</v>
      </c>
      <c r="M282" s="30" t="str">
        <f ca="1">IFERROR(__xludf.DUMMYFUNCTION("""COMPUTED_VALUE"""),"Taller ""Collage de tarot de arcanos mayores"".")</f>
        <v>Taller "Collage de tarot de arcanos mayores".</v>
      </c>
      <c r="N282" s="30" t="str">
        <f ca="1">IFERROR(__xludf.DUMMYFUNCTION("""COMPUTED_VALUE"""),"Actividad artística de taller familiar, corresponsabilidad con la exposición bajo el signo de saturno.")</f>
        <v>Actividad artística de taller familiar, corresponsabilidad con la exposición bajo el signo de saturno.</v>
      </c>
      <c r="O282" s="30" t="str">
        <f ca="1">IFERROR(__xludf.DUMMYFUNCTION("""COMPUTED_VALUE"""),"Semanal")</f>
        <v>Semanal</v>
      </c>
      <c r="P282" s="33">
        <f ca="1">IFERROR(__xludf.DUMMYFUNCTION("""COMPUTED_VALUE"""),46207)</f>
        <v>46207</v>
      </c>
      <c r="Q282" s="33">
        <f ca="1">IFERROR(__xludf.DUMMYFUNCTION("""COMPUTED_VALUE"""),46229)</f>
        <v>46229</v>
      </c>
      <c r="R282" s="30">
        <f ca="1">IFERROR(__xludf.DUMMYFUNCTION("""COMPUTED_VALUE"""),4)</f>
        <v>4</v>
      </c>
      <c r="S282" s="30" t="str">
        <f ca="1">IFERROR(__xludf.DUMMYFUNCTION("""COMPUTED_VALUE"""),"Cultura comunitaria")</f>
        <v>Cultura comunitaria</v>
      </c>
      <c r="T282" s="30" t="str">
        <f ca="1">IFERROR(__xludf.DUMMYFUNCTION("""COMPUTED_VALUE"""),"Mediación cultural")</f>
        <v>Mediación cultural</v>
      </c>
      <c r="U282" s="30" t="str">
        <f ca="1">IFERROR(__xludf.DUMMYFUNCTION("""COMPUTED_VALUE"""),"Taller")</f>
        <v>Taller</v>
      </c>
      <c r="V282" s="30" t="str">
        <f ca="1">IFERROR(__xludf.DUMMYFUNCTION("""COMPUTED_VALUE"""),"Ninguna")</f>
        <v>Ninguna</v>
      </c>
      <c r="W282" s="30" t="str">
        <f ca="1">IFERROR(__xludf.DUMMYFUNCTION("""COMPUTED_VALUE"""),"Presencial")</f>
        <v>Presencial</v>
      </c>
      <c r="X282" s="30" t="str">
        <f ca="1">IFERROR(__xludf.DUMMYFUNCTION("""COMPUTED_VALUE"""),"Espacio a Cargo de la Secretaría")</f>
        <v>Espacio a Cargo de la Secretaría</v>
      </c>
      <c r="Y282" s="30" t="str">
        <f ca="1">IFERROR(__xludf.DUMMYFUNCTION("""COMPUTED_VALUE"""),"Museo de Arte e Historia de Guanajuato, sala Feliciano Peña")</f>
        <v>Museo de Arte e Historia de Guanajuato, sala Feliciano Peña</v>
      </c>
      <c r="Z282" s="30"/>
      <c r="AA282" s="30"/>
      <c r="AB282" s="30" t="b">
        <f ca="1">IFERROR(__xludf.DUMMYFUNCTION("""COMPUTED_VALUE"""),FALSE)</f>
        <v>0</v>
      </c>
      <c r="AC282" s="30"/>
      <c r="AD282" s="30" t="b">
        <f ca="1">IFERROR(__xludf.DUMMYFUNCTION("""COMPUTED_VALUE"""),FALSE)</f>
        <v>0</v>
      </c>
      <c r="AE282" s="30"/>
      <c r="AF282" s="30" t="b">
        <f ca="1">IFERROR(__xludf.DUMMYFUNCTION("""COMPUTED_VALUE"""),FALSE)</f>
        <v>0</v>
      </c>
      <c r="AG282" s="30"/>
      <c r="AH282" s="30" t="str">
        <f ca="1">IFERROR(__xludf.DUMMYFUNCTION("""COMPUTED_VALUE"""),"Sin costo")</f>
        <v>Sin costo</v>
      </c>
      <c r="AI282" s="30"/>
      <c r="AJ282" s="30"/>
      <c r="AK282" s="30"/>
      <c r="AL282" s="30" t="str">
        <f ca="1">IFERROR(__xludf.DUMMYFUNCTION("""COMPUTED_VALUE"""),"ccardonav@guanajuato.gob.mx")</f>
        <v>ccardonav@guanajuato.gob.mx</v>
      </c>
      <c r="AM282" s="30" t="str">
        <f ca="1">IFERROR(__xludf.DUMMYFUNCTION("""COMPUTED_VALUE"""),"Arraigo y empoderamiento cultural de comunidades.")</f>
        <v>Arraigo y empoderamiento cultural de comunidades.</v>
      </c>
      <c r="AN282" s="30" t="str">
        <f ca="1">IFERROR(__xludf.DUMMYFUNCTION("""COMPUTED_VALUE"""),"2 Igualdad")</f>
        <v>2 Igualdad</v>
      </c>
      <c r="AO282" s="30" t="str">
        <f ca="1">IFERROR(__xludf.DUMMYFUNCTION("""COMPUTED_VALUE"""),"2.4 Reducir brechas de desigualdad")</f>
        <v>2.4 Reducir brechas de desigualdad</v>
      </c>
      <c r="AP282" s="30" t="str">
        <f ca="1">IFERROR(__xludf.DUMMYFUNCTION("""COMPUTED_VALUE"""),"2.4.3 Descentralización de la oferta cultural")</f>
        <v>2.4.3 Descentralización de la oferta cultural</v>
      </c>
      <c r="AQ282" s="30" t="str">
        <f ca="1">IFERROR(__xludf.DUMMYFUNCTION("""COMPUTED_VALUE"""),"2.4.3.1 Impulsar el desarrollo artístico y cultural entre infancias y juventudes")</f>
        <v>2.4.3.1 Impulsar el desarrollo artístico y cultural entre infancias y juventudes</v>
      </c>
      <c r="AR282" s="30" t="str">
        <f ca="1">IFERROR(__xludf.DUMMYFUNCTION("""COMPUTED_VALUE"""),"Ninguno")</f>
        <v>Ninguno</v>
      </c>
      <c r="AS282" s="30"/>
      <c r="AT282" s="30" t="str">
        <f ca="1">IFERROR(__xludf.DUMMYFUNCTION("""COMPUTED_VALUE"""),"Fortalecimiento de la participación ciudadana y la mediación cultural")</f>
        <v>Fortalecimiento de la participación ciudadana y la mediación cultural</v>
      </c>
      <c r="AU282" s="30" t="str">
        <f ca="1">IFERROR(__xludf.DUMMYFUNCTION("""COMPUTED_VALUE"""),"Fortalecimiento del diálogo, la mediación y las capacidades de las redes comunitarias.")</f>
        <v>Fortalecimiento del diálogo, la mediación y las capacidades de las redes comunitarias.</v>
      </c>
      <c r="AV28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2" s="30" t="str">
        <f ca="1">IFERROR(__xludf.DUMMYFUNCTION("""COMPUTED_VALUE"""),"Incrementar en 25% la oferta cultural realizada en los municipios.")</f>
        <v>Incrementar en 25% la oferta cultural realizada en los municipios.</v>
      </c>
      <c r="AX282" s="30" t="str">
        <f ca="1">IFERROR(__xludf.DUMMYFUNCTION("""COMPUTED_VALUE"""),"Taller")</f>
        <v>Taller</v>
      </c>
      <c r="AY282" s="30" t="str">
        <f ca="1">IFERROR(__xludf.DUMMYFUNCTION("""COMPUTED_VALUE"""),"Mediación")</f>
        <v>Mediación</v>
      </c>
      <c r="AZ282" s="30"/>
      <c r="BA282" s="30"/>
      <c r="BB282" s="30"/>
      <c r="BC282" s="30">
        <f ca="1">IFERROR(__xludf.DUMMYFUNCTION("""COMPUTED_VALUE"""),0)</f>
        <v>0</v>
      </c>
      <c r="BD282" s="30"/>
      <c r="BE282" s="30"/>
      <c r="BF282" s="30" t="b">
        <f ca="1">IFERROR(__xludf.DUMMYFUNCTION("""COMPUTED_VALUE"""),FALSE)</f>
        <v>0</v>
      </c>
      <c r="BG282" s="30"/>
      <c r="BH282" s="30"/>
      <c r="BI282" s="30"/>
      <c r="BJ282" s="30"/>
      <c r="BK282" s="30"/>
      <c r="BL282" s="30"/>
      <c r="BM282" s="30" t="str">
        <f ca="1">IFERROR(__xludf.DUMMYFUNCTION("""COMPUTED_VALUE"""),"No")</f>
        <v>No</v>
      </c>
      <c r="BN282" s="30"/>
      <c r="BO282" s="30" t="str">
        <f ca="1">IFERROR(__xludf.DUMMYFUNCTION("""COMPUTED_VALUE"""),"5f4f1cfd")</f>
        <v>5f4f1cfd</v>
      </c>
      <c r="BP282" s="29" t="str">
        <f ca="1">IFERROR(__xludf.DUMMYFUNCTION("""COMPUTED_VALUE"""),"León")</f>
        <v>León</v>
      </c>
      <c r="BQ282" s="30" t="str">
        <f ca="1">IFERROR(__xludf.DUMMYFUNCTION("""COMPUTED_VALUE"""),"Urbano")</f>
        <v>Urbano</v>
      </c>
      <c r="BR282" s="30"/>
      <c r="BS282" s="30"/>
      <c r="BT282" s="30"/>
      <c r="BU282" s="30" t="str">
        <f ca="1">IFERROR(__xludf.DUMMYFUNCTION("""COMPUTED_VALUE"""),"No")</f>
        <v>No</v>
      </c>
      <c r="BV282" s="30" t="str">
        <f ca="1">IFERROR(__xludf.DUMMYFUNCTION("""COMPUTED_VALUE"""),"No")</f>
        <v>No</v>
      </c>
      <c r="BW282" s="30">
        <f ca="1">IFERROR(__xludf.DUMMYFUNCTION("""COMPUTED_VALUE"""),23)</f>
        <v>23</v>
      </c>
      <c r="BX282" s="30"/>
      <c r="BY282" s="30">
        <f ca="1">IFERROR(__xludf.DUMMYFUNCTION("""COMPUTED_VALUE"""),23)</f>
        <v>23</v>
      </c>
      <c r="BZ282" s="30"/>
      <c r="CA282" s="30" t="str">
        <f ca="1">IFERROR(__xludf.DUMMYFUNCTION("""COMPUTED_VALUE"""),"No")</f>
        <v>No</v>
      </c>
      <c r="CB282" s="30" t="str">
        <f ca="1">IFERROR(__xludf.DUMMYFUNCTION("""COMPUTED_VALUE"""),"No")</f>
        <v>No</v>
      </c>
      <c r="CC282" s="30" t="str">
        <f ca="1">IFERROR(__xludf.DUMMYFUNCTION("""COMPUTED_VALUE"""),"31f4961a")</f>
        <v>31f4961a</v>
      </c>
      <c r="CD282" s="29" t="str">
        <f ca="1">IFERROR(__xludf.DUMMYFUNCTION("""COMPUTED_VALUE"""),"Adultos Mayores (60 años o más)")</f>
        <v>Adultos Mayores (60 años o más)</v>
      </c>
      <c r="CE282" s="30" t="str">
        <f ca="1">IFERROR(__xludf.DUMMYFUNCTION("""COMPUTED_VALUE"""),"Dato global")</f>
        <v>Dato global</v>
      </c>
      <c r="CF282" s="30" t="str">
        <f ca="1">IFERROR(__xludf.DUMMYFUNCTION("""COMPUTED_VALUE"""),"Ninguno (Población General)")</f>
        <v>Ninguno (Población General)</v>
      </c>
      <c r="CG282" s="30">
        <f ca="1">IFERROR(__xludf.DUMMYFUNCTION("""COMPUTED_VALUE"""),1)</f>
        <v>1</v>
      </c>
      <c r="CI282" s="30" t="str">
        <f ca="1">IFERROR(__xludf.DUMMYFUNCTION("""COMPUTED_VALUE"""),"f2e18626")</f>
        <v>f2e18626</v>
      </c>
      <c r="CJ282" s="29" t="str">
        <f ca="1">IFERROR(__xludf.DUMMYFUNCTION("""COMPUTED_VALUE"""),"Regitro_Evidencia_Images/f2e18626.Archivo_Evidencia.183150.jpg")</f>
        <v>Regitro_Evidencia_Images/f2e18626.Archivo_Evidencia.183150.jpg</v>
      </c>
      <c r="CK282" s="30" t="str">
        <f ca="1">IFERROR(__xludf.DUMMYFUNCTION("""COMPUTED_VALUE"""),"Foto")</f>
        <v>Foto</v>
      </c>
      <c r="CL282" s="30"/>
      <c r="CM282" s="30" t="str">
        <f ca="1">IFERROR(__xludf.DUMMYFUNCTION("""COMPUTED_VALUE"""),"León")</f>
        <v>León</v>
      </c>
      <c r="CN282" s="32" t="e">
        <f ca="1"/>
        <v>#NAME?</v>
      </c>
      <c r="CO282" s="32" t="e">
        <f ca="1"/>
        <v>#NAME?</v>
      </c>
      <c r="CP282" s="32" t="e">
        <f ca="1"/>
        <v>#NAME?</v>
      </c>
      <c r="CQ282" s="32" t="e">
        <f ca="1"/>
        <v>#NAME?</v>
      </c>
      <c r="CR282" s="30" t="e">
        <f ca="1"/>
        <v>#NAME?</v>
      </c>
      <c r="CS282" s="30" t="str">
        <f ca="1">IFERROR(__xludf.DUMMYFUNCTION("""COMPUTED_VALUE"""),"Ninguno (Población General)")</f>
        <v>Ninguno (Población General)</v>
      </c>
    </row>
    <row r="283" spans="1:97" ht="13">
      <c r="A283" s="29" t="str">
        <f ca="1">IFERROR(__xludf.DUMMYFUNCTION("""COMPUTED_VALUE"""),"ACT-SCJI40826")</f>
        <v>ACT-SCJI40826</v>
      </c>
      <c r="B283" s="30" t="str">
        <f ca="1">IFERROR(__xludf.DUMMYFUNCTION("""COMPUTED_VALUE"""),"SC-260820-153525")</f>
        <v>SC-260820-153525</v>
      </c>
      <c r="C283" s="62">
        <f ca="1">IFERROR(__xludf.DUMMYFUNCTION("""COMPUTED_VALUE"""),46254.6495949074)</f>
        <v>46254.649594907401</v>
      </c>
      <c r="D283" s="30">
        <f ca="1">IFERROR(__xludf.DUMMYFUNCTION("""COMPUTED_VALUE"""),92)</f>
        <v>92</v>
      </c>
      <c r="E283" s="30" t="str">
        <f ca="1">IFERROR(__xludf.DUMMYFUNCTION("""COMPUTED_VALUE"""),"PB3572")</f>
        <v>PB3572</v>
      </c>
      <c r="F28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3" s="30" t="str">
        <f ca="1">IFERROR(__xludf.DUMMYFUNCTION("""COMPUTED_VALUE"""),"SUBSECRETARÍA DE DESARROLLO Y PROMOCIÓN ARTÍSTICA Y CULTURAL")</f>
        <v>SUBSECRETARÍA DE DESARROLLO Y PROMOCIÓN ARTÍSTICA Y CULTURAL</v>
      </c>
      <c r="I283" s="34" t="str">
        <f ca="1">IFERROR(__xludf.DUMMYFUNCTION("""COMPUTED_VALUE"""),"DIRECCIÓN GENERAL DE MUSEOS, ARTES VISUALES Y EXPOSICIONES")</f>
        <v>DIRECCIÓN GENERAL DE MUSEOS, ARTES VISUALES Y EXPOSICIONES</v>
      </c>
      <c r="J283" s="30" t="str">
        <f ca="1">IFERROR(__xludf.DUMMYFUNCTION("""COMPUTED_VALUE"""),"Número de Actividades realizadas")</f>
        <v>Número de Actividades realizadas</v>
      </c>
      <c r="K283" s="30">
        <f ca="1">IFERROR(__xludf.DUMMYFUNCTION("""COMPUTED_VALUE"""),800)</f>
        <v>800</v>
      </c>
      <c r="L283" s="30" t="str">
        <f ca="1">IFERROR(__xludf.DUMMYFUNCTION("""COMPUTED_VALUE"""),"Cultural")</f>
        <v>Cultural</v>
      </c>
      <c r="M283" s="30" t="str">
        <f ca="1">IFERROR(__xludf.DUMMYFUNCTION("""COMPUTED_VALUE"""),"Ciclo de cine ""La montaña sagrada""")</f>
        <v>Ciclo de cine "La montaña sagrada"</v>
      </c>
      <c r="N283" s="30" t="str">
        <f ca="1">IFERROR(__xludf.DUMMYFUNCTION("""COMPUTED_VALUE"""),"Ciclo de cine")</f>
        <v>Ciclo de cine</v>
      </c>
      <c r="O283" s="30" t="str">
        <f ca="1">IFERROR(__xludf.DUMMYFUNCTION("""COMPUTED_VALUE"""),"Única")</f>
        <v>Única</v>
      </c>
      <c r="P283" s="33">
        <f ca="1">IFERROR(__xludf.DUMMYFUNCTION("""COMPUTED_VALUE"""),46207)</f>
        <v>46207</v>
      </c>
      <c r="Q283" s="33">
        <f ca="1">IFERROR(__xludf.DUMMYFUNCTION("""COMPUTED_VALUE"""),46207)</f>
        <v>46207</v>
      </c>
      <c r="R283" s="30">
        <f ca="1">IFERROR(__xludf.DUMMYFUNCTION("""COMPUTED_VALUE"""),1)</f>
        <v>1</v>
      </c>
      <c r="S283" s="30" t="str">
        <f ca="1">IFERROR(__xludf.DUMMYFUNCTION("""COMPUTED_VALUE"""),"Cinematografía y medios audiovisuales")</f>
        <v>Cinematografía y medios audiovisuales</v>
      </c>
      <c r="T283" s="30" t="str">
        <f ca="1">IFERROR(__xludf.DUMMYFUNCTION("""COMPUTED_VALUE"""),"Cine")</f>
        <v>Cine</v>
      </c>
      <c r="U283" s="30" t="str">
        <f ca="1">IFERROR(__xludf.DUMMYFUNCTION("""COMPUTED_VALUE"""),"Programación cultural en recinto")</f>
        <v>Programación cultural en recinto</v>
      </c>
      <c r="V283" s="30" t="str">
        <f ca="1">IFERROR(__xludf.DUMMYFUNCTION("""COMPUTED_VALUE"""),"Ninguna")</f>
        <v>Ninguna</v>
      </c>
      <c r="W283" s="30" t="str">
        <f ca="1">IFERROR(__xludf.DUMMYFUNCTION("""COMPUTED_VALUE"""),"Presencial")</f>
        <v>Presencial</v>
      </c>
      <c r="X283" s="30" t="str">
        <f ca="1">IFERROR(__xludf.DUMMYFUNCTION("""COMPUTED_VALUE"""),"Espacio a Cargo de la Secretaría")</f>
        <v>Espacio a Cargo de la Secretaría</v>
      </c>
      <c r="Y283" s="30" t="str">
        <f ca="1">IFERROR(__xludf.DUMMYFUNCTION("""COMPUTED_VALUE"""),"Museo de Arte e Historia de Guanajuato, sala Feliciano Peña")</f>
        <v>Museo de Arte e Historia de Guanajuato, sala Feliciano Peña</v>
      </c>
      <c r="Z283" s="30"/>
      <c r="AA283" s="30"/>
      <c r="AB283" s="30" t="b">
        <f ca="1">IFERROR(__xludf.DUMMYFUNCTION("""COMPUTED_VALUE"""),FALSE)</f>
        <v>0</v>
      </c>
      <c r="AC283" s="30"/>
      <c r="AD283" s="30" t="b">
        <f ca="1">IFERROR(__xludf.DUMMYFUNCTION("""COMPUTED_VALUE"""),FALSE)</f>
        <v>0</v>
      </c>
      <c r="AE283" s="30"/>
      <c r="AF283" s="30" t="b">
        <f ca="1">IFERROR(__xludf.DUMMYFUNCTION("""COMPUTED_VALUE"""),FALSE)</f>
        <v>0</v>
      </c>
      <c r="AG283" s="30"/>
      <c r="AH283" s="30" t="str">
        <f ca="1">IFERROR(__xludf.DUMMYFUNCTION("""COMPUTED_VALUE"""),"Sin costo")</f>
        <v>Sin costo</v>
      </c>
      <c r="AI283" s="30"/>
      <c r="AJ283" s="30"/>
      <c r="AK283" s="30"/>
      <c r="AL283" s="30" t="str">
        <f ca="1">IFERROR(__xludf.DUMMYFUNCTION("""COMPUTED_VALUE"""),"ccardonav@guanajuato.gob.mx")</f>
        <v>ccardonav@guanajuato.gob.mx</v>
      </c>
      <c r="AM283" s="30" t="str">
        <f ca="1">IFERROR(__xludf.DUMMYFUNCTION("""COMPUTED_VALUE"""),"Arraigo y empoderamiento cultural de comunidades.")</f>
        <v>Arraigo y empoderamiento cultural de comunidades.</v>
      </c>
      <c r="AN283" s="30" t="str">
        <f ca="1">IFERROR(__xludf.DUMMYFUNCTION("""COMPUTED_VALUE"""),"2 Igualdad")</f>
        <v>2 Igualdad</v>
      </c>
      <c r="AO283" s="30" t="str">
        <f ca="1">IFERROR(__xludf.DUMMYFUNCTION("""COMPUTED_VALUE"""),"2.4 Reducir brechas de desigualdad")</f>
        <v>2.4 Reducir brechas de desigualdad</v>
      </c>
      <c r="AP283" s="30" t="str">
        <f ca="1">IFERROR(__xludf.DUMMYFUNCTION("""COMPUTED_VALUE"""),"2.4.3 Descentralización de la oferta cultural")</f>
        <v>2.4.3 Descentralización de la oferta cultural</v>
      </c>
      <c r="AQ283" s="30" t="str">
        <f ca="1">IFERROR(__xludf.DUMMYFUNCTION("""COMPUTED_VALUE"""),"2.4.3.1 Impulsar el desarrollo artístico y cultural entre infancias y juventudes")</f>
        <v>2.4.3.1 Impulsar el desarrollo artístico y cultural entre infancias y juventudes</v>
      </c>
      <c r="AR283" s="30" t="str">
        <f ca="1">IFERROR(__xludf.DUMMYFUNCTION("""COMPUTED_VALUE"""),"Ninguno")</f>
        <v>Ninguno</v>
      </c>
      <c r="AS283" s="30"/>
      <c r="AT283" s="30" t="str">
        <f ca="1">IFERROR(__xludf.DUMMYFUNCTION("""COMPUTED_VALUE"""),"Fortalecimiento de la participación ciudadana y la mediación cultural")</f>
        <v>Fortalecimiento de la participación ciudadana y la mediación cultural</v>
      </c>
      <c r="AU283" s="30" t="str">
        <f ca="1">IFERROR(__xludf.DUMMYFUNCTION("""COMPUTED_VALUE"""),"Fortalecimiento del diálogo, la mediación y las capacidades de las redes comunitarias.")</f>
        <v>Fortalecimiento del diálogo, la mediación y las capacidades de las redes comunitarias.</v>
      </c>
      <c r="AV28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3" s="30" t="str">
        <f ca="1">IFERROR(__xludf.DUMMYFUNCTION("""COMPUTED_VALUE"""),"Incrementar en 25% la oferta cultural realizada en los municipios.")</f>
        <v>Incrementar en 25% la oferta cultural realizada en los municipios.</v>
      </c>
      <c r="AX283" s="30" t="str">
        <f ca="1">IFERROR(__xludf.DUMMYFUNCTION("""COMPUTED_VALUE"""),"Programación cultural en recinto")</f>
        <v>Programación cultural en recinto</v>
      </c>
      <c r="AY283" s="30" t="str">
        <f ca="1">IFERROR(__xludf.DUMMYFUNCTION("""COMPUTED_VALUE"""),"Mediación")</f>
        <v>Mediación</v>
      </c>
      <c r="AZ283" s="30"/>
      <c r="BA283" s="30"/>
      <c r="BB283" s="30"/>
      <c r="BC283" s="30">
        <f ca="1">IFERROR(__xludf.DUMMYFUNCTION("""COMPUTED_VALUE"""),0)</f>
        <v>0</v>
      </c>
      <c r="BD283" s="30"/>
      <c r="BE283" s="30"/>
      <c r="BF283" s="30" t="b">
        <f ca="1">IFERROR(__xludf.DUMMYFUNCTION("""COMPUTED_VALUE"""),FALSE)</f>
        <v>0</v>
      </c>
      <c r="BG283" s="30"/>
      <c r="BH283" s="30"/>
      <c r="BI283" s="30"/>
      <c r="BJ283" s="30"/>
      <c r="BK283" s="30"/>
      <c r="BL283" s="30"/>
      <c r="BM283" s="30" t="str">
        <f ca="1">IFERROR(__xludf.DUMMYFUNCTION("""COMPUTED_VALUE"""),"No")</f>
        <v>No</v>
      </c>
      <c r="BN283" s="30"/>
      <c r="BO283" s="30" t="str">
        <f ca="1">IFERROR(__xludf.DUMMYFUNCTION("""COMPUTED_VALUE"""),"4c43202e")</f>
        <v>4c43202e</v>
      </c>
      <c r="BP283" s="29" t="str">
        <f ca="1">IFERROR(__xludf.DUMMYFUNCTION("""COMPUTED_VALUE"""),"León")</f>
        <v>León</v>
      </c>
      <c r="BQ283" s="30" t="str">
        <f ca="1">IFERROR(__xludf.DUMMYFUNCTION("""COMPUTED_VALUE"""),"Urbano")</f>
        <v>Urbano</v>
      </c>
      <c r="BR283" s="30"/>
      <c r="BS283" s="30"/>
      <c r="BT283" s="30"/>
      <c r="BU283" s="30" t="str">
        <f ca="1">IFERROR(__xludf.DUMMYFUNCTION("""COMPUTED_VALUE"""),"No")</f>
        <v>No</v>
      </c>
      <c r="BV283" s="30" t="str">
        <f ca="1">IFERROR(__xludf.DUMMYFUNCTION("""COMPUTED_VALUE"""),"No")</f>
        <v>No</v>
      </c>
      <c r="BW283" s="30">
        <f ca="1">IFERROR(__xludf.DUMMYFUNCTION("""COMPUTED_VALUE"""),18)</f>
        <v>18</v>
      </c>
      <c r="BX283" s="30">
        <f ca="1">IFERROR(__xludf.DUMMYFUNCTION("""COMPUTED_VALUE"""),18)</f>
        <v>18</v>
      </c>
      <c r="BY283" s="30">
        <f ca="1">IFERROR(__xludf.DUMMYFUNCTION("""COMPUTED_VALUE"""),0)</f>
        <v>0</v>
      </c>
      <c r="BZ283" s="30"/>
      <c r="CA283" s="30" t="str">
        <f ca="1">IFERROR(__xludf.DUMMYFUNCTION("""COMPUTED_VALUE"""),"No")</f>
        <v>No</v>
      </c>
      <c r="CB283" s="30" t="str">
        <f ca="1">IFERROR(__xludf.DUMMYFUNCTION("""COMPUTED_VALUE"""),"No")</f>
        <v>No</v>
      </c>
      <c r="CC283" s="30" t="str">
        <f ca="1">IFERROR(__xludf.DUMMYFUNCTION("""COMPUTED_VALUE"""),"b681e474")</f>
        <v>b681e474</v>
      </c>
      <c r="CD283" s="29" t="str">
        <f ca="1">IFERROR(__xludf.DUMMYFUNCTION("""COMPUTED_VALUE"""),"Niñas y Niños (6 a 12 años)")</f>
        <v>Niñas y Niños (6 a 12 años)</v>
      </c>
      <c r="CE283" s="30" t="str">
        <f ca="1">IFERROR(__xludf.DUMMYFUNCTION("""COMPUTED_VALUE"""),"Dato global")</f>
        <v>Dato global</v>
      </c>
      <c r="CF283" s="30" t="str">
        <f ca="1">IFERROR(__xludf.DUMMYFUNCTION("""COMPUTED_VALUE"""),"Ninguno (Población General)")</f>
        <v>Ninguno (Población General)</v>
      </c>
      <c r="CG283" s="30">
        <f ca="1">IFERROR(__xludf.DUMMYFUNCTION("""COMPUTED_VALUE"""),15)</f>
        <v>15</v>
      </c>
      <c r="CI283" s="30" t="str">
        <f ca="1">IFERROR(__xludf.DUMMYFUNCTION("""COMPUTED_VALUE"""),"46599402")</f>
        <v>46599402</v>
      </c>
      <c r="CJ283" s="29" t="str">
        <f ca="1">IFERROR(__xludf.DUMMYFUNCTION("""COMPUTED_VALUE"""),"Regitro_Evidencia_Images/46599402.Archivo_Evidencia.184026.jpg")</f>
        <v>Regitro_Evidencia_Images/46599402.Archivo_Evidencia.184026.jpg</v>
      </c>
      <c r="CK283" s="30" t="str">
        <f ca="1">IFERROR(__xludf.DUMMYFUNCTION("""COMPUTED_VALUE"""),"Foto")</f>
        <v>Foto</v>
      </c>
      <c r="CL283" s="30"/>
      <c r="CM283" s="30" t="str">
        <f ca="1">IFERROR(__xludf.DUMMYFUNCTION("""COMPUTED_VALUE"""),"León")</f>
        <v>León</v>
      </c>
      <c r="CN283" s="32" t="e">
        <f ca="1"/>
        <v>#NAME?</v>
      </c>
      <c r="CO283" s="32" t="e">
        <f ca="1"/>
        <v>#NAME?</v>
      </c>
      <c r="CP283" s="32" t="e">
        <f ca="1"/>
        <v>#NAME?</v>
      </c>
      <c r="CQ283" s="32" t="e">
        <f ca="1"/>
        <v>#NAME?</v>
      </c>
      <c r="CR283" s="30" t="e">
        <f ca="1"/>
        <v>#NAME?</v>
      </c>
      <c r="CS283" s="30" t="str">
        <f ca="1">IFERROR(__xludf.DUMMYFUNCTION("""COMPUTED_VALUE"""),"Ninguno (Población General)")</f>
        <v>Ninguno (Población General)</v>
      </c>
    </row>
    <row r="284" spans="1:97" ht="13">
      <c r="A284" s="29" t="str">
        <f ca="1">IFERROR(__xludf.DUMMYFUNCTION("""COMPUTED_VALUE"""),"ACT-SCQP93296")</f>
        <v>ACT-SCQP93296</v>
      </c>
      <c r="B284" s="30" t="str">
        <f ca="1">IFERROR(__xludf.DUMMYFUNCTION("""COMPUTED_VALUE"""),"SC-260820-154302")</f>
        <v>SC-260820-154302</v>
      </c>
      <c r="C284" s="62">
        <f ca="1">IFERROR(__xludf.DUMMYFUNCTION("""COMPUTED_VALUE"""),46254.6548842592)</f>
        <v>46254.654884259202</v>
      </c>
      <c r="D284" s="30">
        <f ca="1">IFERROR(__xludf.DUMMYFUNCTION("""COMPUTED_VALUE"""),92)</f>
        <v>92</v>
      </c>
      <c r="E284" s="30" t="str">
        <f ca="1">IFERROR(__xludf.DUMMYFUNCTION("""COMPUTED_VALUE"""),"PB3572")</f>
        <v>PB3572</v>
      </c>
      <c r="F28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4" s="30" t="str">
        <f ca="1">IFERROR(__xludf.DUMMYFUNCTION("""COMPUTED_VALUE"""),"SUBSECRETARÍA DE DESARROLLO Y PROMOCIÓN ARTÍSTICA Y CULTURAL")</f>
        <v>SUBSECRETARÍA DE DESARROLLO Y PROMOCIÓN ARTÍSTICA Y CULTURAL</v>
      </c>
      <c r="I284" s="34" t="str">
        <f ca="1">IFERROR(__xludf.DUMMYFUNCTION("""COMPUTED_VALUE"""),"DIRECCIÓN GENERAL DE MUSEOS, ARTES VISUALES Y EXPOSICIONES")</f>
        <v>DIRECCIÓN GENERAL DE MUSEOS, ARTES VISUALES Y EXPOSICIONES</v>
      </c>
      <c r="J284" s="30" t="str">
        <f ca="1">IFERROR(__xludf.DUMMYFUNCTION("""COMPUTED_VALUE"""),"Número de Actividades realizadas")</f>
        <v>Número de Actividades realizadas</v>
      </c>
      <c r="K284" s="30">
        <f ca="1">IFERROR(__xludf.DUMMYFUNCTION("""COMPUTED_VALUE"""),800)</f>
        <v>800</v>
      </c>
      <c r="L284" s="30" t="str">
        <f ca="1">IFERROR(__xludf.DUMMYFUNCTION("""COMPUTED_VALUE"""),"Cultural")</f>
        <v>Cultural</v>
      </c>
      <c r="M284" s="30" t="str">
        <f ca="1">IFERROR(__xludf.DUMMYFUNCTION("""COMPUTED_VALUE"""),"Ciclo de cine ""VALERY""")</f>
        <v>Ciclo de cine "VALERY"</v>
      </c>
      <c r="N284" s="30" t="str">
        <f ca="1">IFERROR(__xludf.DUMMYFUNCTION("""COMPUTED_VALUE"""),"Ciclo de cine")</f>
        <v>Ciclo de cine</v>
      </c>
      <c r="O284" s="30" t="str">
        <f ca="1">IFERROR(__xludf.DUMMYFUNCTION("""COMPUTED_VALUE"""),"Única")</f>
        <v>Única</v>
      </c>
      <c r="P284" s="33">
        <f ca="1">IFERROR(__xludf.DUMMYFUNCTION("""COMPUTED_VALUE"""),46214)</f>
        <v>46214</v>
      </c>
      <c r="Q284" s="33">
        <f ca="1">IFERROR(__xludf.DUMMYFUNCTION("""COMPUTED_VALUE"""),46214)</f>
        <v>46214</v>
      </c>
      <c r="R284" s="30">
        <f ca="1">IFERROR(__xludf.DUMMYFUNCTION("""COMPUTED_VALUE"""),1)</f>
        <v>1</v>
      </c>
      <c r="S284" s="30" t="str">
        <f ca="1">IFERROR(__xludf.DUMMYFUNCTION("""COMPUTED_VALUE"""),"Cinematografía y medios audiovisuales")</f>
        <v>Cinematografía y medios audiovisuales</v>
      </c>
      <c r="T284" s="30" t="str">
        <f ca="1">IFERROR(__xludf.DUMMYFUNCTION("""COMPUTED_VALUE"""),"Cine")</f>
        <v>Cine</v>
      </c>
      <c r="U284" s="30" t="str">
        <f ca="1">IFERROR(__xludf.DUMMYFUNCTION("""COMPUTED_VALUE"""),"Programación cultural en recinto")</f>
        <v>Programación cultural en recinto</v>
      </c>
      <c r="V284" s="30" t="str">
        <f ca="1">IFERROR(__xludf.DUMMYFUNCTION("""COMPUTED_VALUE"""),"Ninguna")</f>
        <v>Ninguna</v>
      </c>
      <c r="W284" s="30" t="str">
        <f ca="1">IFERROR(__xludf.DUMMYFUNCTION("""COMPUTED_VALUE"""),"Presencial")</f>
        <v>Presencial</v>
      </c>
      <c r="X284" s="30" t="str">
        <f ca="1">IFERROR(__xludf.DUMMYFUNCTION("""COMPUTED_VALUE"""),"Espacio a Cargo de la Secretaría")</f>
        <v>Espacio a Cargo de la Secretaría</v>
      </c>
      <c r="Y284" s="30" t="str">
        <f ca="1">IFERROR(__xludf.DUMMYFUNCTION("""COMPUTED_VALUE"""),"Museo de Arte e Historia de Guanajuato, sala Feliciano Peña")</f>
        <v>Museo de Arte e Historia de Guanajuato, sala Feliciano Peña</v>
      </c>
      <c r="Z284" s="30"/>
      <c r="AA284" s="30"/>
      <c r="AB284" s="30" t="b">
        <f ca="1">IFERROR(__xludf.DUMMYFUNCTION("""COMPUTED_VALUE"""),FALSE)</f>
        <v>0</v>
      </c>
      <c r="AC284" s="30"/>
      <c r="AD284" s="30" t="b">
        <f ca="1">IFERROR(__xludf.DUMMYFUNCTION("""COMPUTED_VALUE"""),FALSE)</f>
        <v>0</v>
      </c>
      <c r="AE284" s="30"/>
      <c r="AF284" s="30" t="b">
        <f ca="1">IFERROR(__xludf.DUMMYFUNCTION("""COMPUTED_VALUE"""),FALSE)</f>
        <v>0</v>
      </c>
      <c r="AG284" s="30"/>
      <c r="AH284" s="30" t="str">
        <f ca="1">IFERROR(__xludf.DUMMYFUNCTION("""COMPUTED_VALUE"""),"Sin costo")</f>
        <v>Sin costo</v>
      </c>
      <c r="AI284" s="30"/>
      <c r="AJ284" s="30"/>
      <c r="AK284" s="30"/>
      <c r="AL284" s="30" t="str">
        <f ca="1">IFERROR(__xludf.DUMMYFUNCTION("""COMPUTED_VALUE"""),"ccardonav@guanajuato.gob.mx")</f>
        <v>ccardonav@guanajuato.gob.mx</v>
      </c>
      <c r="AM284" s="30" t="str">
        <f ca="1">IFERROR(__xludf.DUMMYFUNCTION("""COMPUTED_VALUE"""),"Arraigo y empoderamiento cultural de comunidades.")</f>
        <v>Arraigo y empoderamiento cultural de comunidades.</v>
      </c>
      <c r="AN284" s="30" t="str">
        <f ca="1">IFERROR(__xludf.DUMMYFUNCTION("""COMPUTED_VALUE"""),"2 Igualdad")</f>
        <v>2 Igualdad</v>
      </c>
      <c r="AO284" s="30" t="str">
        <f ca="1">IFERROR(__xludf.DUMMYFUNCTION("""COMPUTED_VALUE"""),"2.4 Reducir brechas de desigualdad")</f>
        <v>2.4 Reducir brechas de desigualdad</v>
      </c>
      <c r="AP284" s="30" t="str">
        <f ca="1">IFERROR(__xludf.DUMMYFUNCTION("""COMPUTED_VALUE"""),"2.4.3 Descentralización de la oferta cultural")</f>
        <v>2.4.3 Descentralización de la oferta cultural</v>
      </c>
      <c r="AQ284" s="30" t="str">
        <f ca="1">IFERROR(__xludf.DUMMYFUNCTION("""COMPUTED_VALUE"""),"2.4.3.1 Impulsar el desarrollo artístico y cultural entre infancias y juventudes")</f>
        <v>2.4.3.1 Impulsar el desarrollo artístico y cultural entre infancias y juventudes</v>
      </c>
      <c r="AR284" s="30" t="str">
        <f ca="1">IFERROR(__xludf.DUMMYFUNCTION("""COMPUTED_VALUE"""),"Ninguno")</f>
        <v>Ninguno</v>
      </c>
      <c r="AS284" s="30"/>
      <c r="AT284" s="30" t="str">
        <f ca="1">IFERROR(__xludf.DUMMYFUNCTION("""COMPUTED_VALUE"""),"Fortalecimiento de la participación ciudadana y la mediación cultural")</f>
        <v>Fortalecimiento de la participación ciudadana y la mediación cultural</v>
      </c>
      <c r="AU284" s="30" t="str">
        <f ca="1">IFERROR(__xludf.DUMMYFUNCTION("""COMPUTED_VALUE"""),"Fortalecimiento del diálogo, la mediación y las capacidades de las redes comunitarias.")</f>
        <v>Fortalecimiento del diálogo, la mediación y las capacidades de las redes comunitarias.</v>
      </c>
      <c r="AV28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4" s="30" t="str">
        <f ca="1">IFERROR(__xludf.DUMMYFUNCTION("""COMPUTED_VALUE"""),"Incrementar en 25% la oferta cultural realizada en los municipios.")</f>
        <v>Incrementar en 25% la oferta cultural realizada en los municipios.</v>
      </c>
      <c r="AX284" s="30" t="str">
        <f ca="1">IFERROR(__xludf.DUMMYFUNCTION("""COMPUTED_VALUE"""),"Programación cultural en recinto")</f>
        <v>Programación cultural en recinto</v>
      </c>
      <c r="AY284" s="30" t="str">
        <f ca="1">IFERROR(__xludf.DUMMYFUNCTION("""COMPUTED_VALUE"""),"Mediación")</f>
        <v>Mediación</v>
      </c>
      <c r="AZ284" s="30"/>
      <c r="BA284" s="30"/>
      <c r="BB284" s="30"/>
      <c r="BC284" s="30">
        <f ca="1">IFERROR(__xludf.DUMMYFUNCTION("""COMPUTED_VALUE"""),0)</f>
        <v>0</v>
      </c>
      <c r="BD284" s="30"/>
      <c r="BE284" s="30"/>
      <c r="BF284" s="30" t="b">
        <f ca="1">IFERROR(__xludf.DUMMYFUNCTION("""COMPUTED_VALUE"""),FALSE)</f>
        <v>0</v>
      </c>
      <c r="BG284" s="30"/>
      <c r="BH284" s="30"/>
      <c r="BI284" s="30"/>
      <c r="BJ284" s="30"/>
      <c r="BK284" s="30"/>
      <c r="BL284" s="30"/>
      <c r="BM284" s="30" t="str">
        <f ca="1">IFERROR(__xludf.DUMMYFUNCTION("""COMPUTED_VALUE"""),"No")</f>
        <v>No</v>
      </c>
      <c r="BN284" s="30"/>
      <c r="BO284" s="30" t="str">
        <f ca="1">IFERROR(__xludf.DUMMYFUNCTION("""COMPUTED_VALUE"""),"3187ef2b")</f>
        <v>3187ef2b</v>
      </c>
      <c r="BP284" s="29" t="str">
        <f ca="1">IFERROR(__xludf.DUMMYFUNCTION("""COMPUTED_VALUE"""),"León")</f>
        <v>León</v>
      </c>
      <c r="BQ284" s="30" t="str">
        <f ca="1">IFERROR(__xludf.DUMMYFUNCTION("""COMPUTED_VALUE"""),"Urbano")</f>
        <v>Urbano</v>
      </c>
      <c r="BR284" s="30"/>
      <c r="BS284" s="30"/>
      <c r="BT284" s="30"/>
      <c r="BU284" s="30" t="str">
        <f ca="1">IFERROR(__xludf.DUMMYFUNCTION("""COMPUTED_VALUE"""),"No")</f>
        <v>No</v>
      </c>
      <c r="BV284" s="30" t="str">
        <f ca="1">IFERROR(__xludf.DUMMYFUNCTION("""COMPUTED_VALUE"""),"No")</f>
        <v>No</v>
      </c>
      <c r="BW284" s="30">
        <f ca="1">IFERROR(__xludf.DUMMYFUNCTION("""COMPUTED_VALUE"""),7)</f>
        <v>7</v>
      </c>
      <c r="BX284" s="30">
        <f ca="1">IFERROR(__xludf.DUMMYFUNCTION("""COMPUTED_VALUE"""),7)</f>
        <v>7</v>
      </c>
      <c r="BY284" s="30">
        <f ca="1">IFERROR(__xludf.DUMMYFUNCTION("""COMPUTED_VALUE"""),0)</f>
        <v>0</v>
      </c>
      <c r="BZ284" s="30"/>
      <c r="CA284" s="30" t="str">
        <f ca="1">IFERROR(__xludf.DUMMYFUNCTION("""COMPUTED_VALUE"""),"No")</f>
        <v>No</v>
      </c>
      <c r="CB284" s="30" t="str">
        <f ca="1">IFERROR(__xludf.DUMMYFUNCTION("""COMPUTED_VALUE"""),"No")</f>
        <v>No</v>
      </c>
      <c r="CC284" s="30" t="str">
        <f ca="1">IFERROR(__xludf.DUMMYFUNCTION("""COMPUTED_VALUE"""),"fd811dd3")</f>
        <v>fd811dd3</v>
      </c>
      <c r="CD284" s="29" t="str">
        <f ca="1">IFERROR(__xludf.DUMMYFUNCTION("""COMPUTED_VALUE"""),"Adolescentes (13 a 17 años)")</f>
        <v>Adolescentes (13 a 17 años)</v>
      </c>
      <c r="CE284" s="30" t="str">
        <f ca="1">IFERROR(__xludf.DUMMYFUNCTION("""COMPUTED_VALUE"""),"Dato global")</f>
        <v>Dato global</v>
      </c>
      <c r="CF284" s="30" t="str">
        <f ca="1">IFERROR(__xludf.DUMMYFUNCTION("""COMPUTED_VALUE"""),"Ninguno (Población General)")</f>
        <v>Ninguno (Población General)</v>
      </c>
      <c r="CG284" s="30">
        <f ca="1">IFERROR(__xludf.DUMMYFUNCTION("""COMPUTED_VALUE"""),1)</f>
        <v>1</v>
      </c>
      <c r="CI284" s="30" t="str">
        <f ca="1">IFERROR(__xludf.DUMMYFUNCTION("""COMPUTED_VALUE"""),"b440a098")</f>
        <v>b440a098</v>
      </c>
      <c r="CJ284" s="29" t="str">
        <f ca="1">IFERROR(__xludf.DUMMYFUNCTION("""COMPUTED_VALUE"""),"Regitro_Evidencia_Images/b440a098.Archivo_Evidencia.184030.jpg")</f>
        <v>Regitro_Evidencia_Images/b440a098.Archivo_Evidencia.184030.jpg</v>
      </c>
      <c r="CK284" s="30" t="str">
        <f ca="1">IFERROR(__xludf.DUMMYFUNCTION("""COMPUTED_VALUE"""),"Foto")</f>
        <v>Foto</v>
      </c>
      <c r="CL284" s="30"/>
      <c r="CM284" s="30" t="str">
        <f ca="1">IFERROR(__xludf.DUMMYFUNCTION("""COMPUTED_VALUE"""),"León")</f>
        <v>León</v>
      </c>
      <c r="CN284" s="32" t="e">
        <f ca="1"/>
        <v>#NAME?</v>
      </c>
      <c r="CO284" s="32" t="e">
        <f ca="1"/>
        <v>#NAME?</v>
      </c>
      <c r="CP284" s="32" t="e">
        <f ca="1"/>
        <v>#NAME?</v>
      </c>
      <c r="CQ284" s="32" t="e">
        <f ca="1"/>
        <v>#NAME?</v>
      </c>
      <c r="CR284" s="30" t="e">
        <f ca="1"/>
        <v>#NAME?</v>
      </c>
      <c r="CS284" s="30" t="str">
        <f ca="1">IFERROR(__xludf.DUMMYFUNCTION("""COMPUTED_VALUE"""),"Ninguno (Población General), Ninguno (Población General)")</f>
        <v>Ninguno (Población General), Ninguno (Población General)</v>
      </c>
    </row>
    <row r="285" spans="1:97" ht="13">
      <c r="A285" s="29" t="str">
        <f ca="1">IFERROR(__xludf.DUMMYFUNCTION("""COMPUTED_VALUE"""),"ACT-SCYW55899")</f>
        <v>ACT-SCYW55899</v>
      </c>
      <c r="B285" s="30" t="str">
        <f ca="1">IFERROR(__xludf.DUMMYFUNCTION("""COMPUTED_VALUE"""),"SC-260820-154638")</f>
        <v>SC-260820-154638</v>
      </c>
      <c r="C285" s="62">
        <f ca="1">IFERROR(__xludf.DUMMYFUNCTION("""COMPUTED_VALUE"""),46254.6573842592)</f>
        <v>46254.657384259197</v>
      </c>
      <c r="D285" s="30">
        <f ca="1">IFERROR(__xludf.DUMMYFUNCTION("""COMPUTED_VALUE"""),92)</f>
        <v>92</v>
      </c>
      <c r="E285" s="30" t="str">
        <f ca="1">IFERROR(__xludf.DUMMYFUNCTION("""COMPUTED_VALUE"""),"PB3572")</f>
        <v>PB3572</v>
      </c>
      <c r="F28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5" s="30" t="str">
        <f ca="1">IFERROR(__xludf.DUMMYFUNCTION("""COMPUTED_VALUE"""),"SUBSECRETARÍA DE DESARROLLO Y PROMOCIÓN ARTÍSTICA Y CULTURAL")</f>
        <v>SUBSECRETARÍA DE DESARROLLO Y PROMOCIÓN ARTÍSTICA Y CULTURAL</v>
      </c>
      <c r="I285" s="34" t="str">
        <f ca="1">IFERROR(__xludf.DUMMYFUNCTION("""COMPUTED_VALUE"""),"DIRECCIÓN GENERAL DE MUSEOS, ARTES VISUALES Y EXPOSICIONES")</f>
        <v>DIRECCIÓN GENERAL DE MUSEOS, ARTES VISUALES Y EXPOSICIONES</v>
      </c>
      <c r="J285" s="30" t="str">
        <f ca="1">IFERROR(__xludf.DUMMYFUNCTION("""COMPUTED_VALUE"""),"Número de Actividades realizadas")</f>
        <v>Número de Actividades realizadas</v>
      </c>
      <c r="K285" s="30">
        <f ca="1">IFERROR(__xludf.DUMMYFUNCTION("""COMPUTED_VALUE"""),800)</f>
        <v>800</v>
      </c>
      <c r="L285" s="30" t="str">
        <f ca="1">IFERROR(__xludf.DUMMYFUNCTION("""COMPUTED_VALUE"""),"Cultural")</f>
        <v>Cultural</v>
      </c>
      <c r="M285" s="30" t="str">
        <f ca="1">IFERROR(__xludf.DUMMYFUNCTION("""COMPUTED_VALUE"""),"Ciclo de cine ""El rostro""")</f>
        <v>Ciclo de cine "El rostro"</v>
      </c>
      <c r="N285" s="30" t="str">
        <f ca="1">IFERROR(__xludf.DUMMYFUNCTION("""COMPUTED_VALUE"""),"Ciclo de cine")</f>
        <v>Ciclo de cine</v>
      </c>
      <c r="O285" s="30" t="str">
        <f ca="1">IFERROR(__xludf.DUMMYFUNCTION("""COMPUTED_VALUE"""),"Única")</f>
        <v>Única</v>
      </c>
      <c r="P285" s="33">
        <f ca="1">IFERROR(__xludf.DUMMYFUNCTION("""COMPUTED_VALUE"""),46221)</f>
        <v>46221</v>
      </c>
      <c r="Q285" s="33">
        <f ca="1">IFERROR(__xludf.DUMMYFUNCTION("""COMPUTED_VALUE"""),46221)</f>
        <v>46221</v>
      </c>
      <c r="R285" s="30">
        <f ca="1">IFERROR(__xludf.DUMMYFUNCTION("""COMPUTED_VALUE"""),1)</f>
        <v>1</v>
      </c>
      <c r="S285" s="30" t="str">
        <f ca="1">IFERROR(__xludf.DUMMYFUNCTION("""COMPUTED_VALUE"""),"Cinematografía y medios audiovisuales")</f>
        <v>Cinematografía y medios audiovisuales</v>
      </c>
      <c r="T285" s="30" t="str">
        <f ca="1">IFERROR(__xludf.DUMMYFUNCTION("""COMPUTED_VALUE"""),"Cine")</f>
        <v>Cine</v>
      </c>
      <c r="U285" s="30" t="str">
        <f ca="1">IFERROR(__xludf.DUMMYFUNCTION("""COMPUTED_VALUE"""),"Programación cultural en recinto")</f>
        <v>Programación cultural en recinto</v>
      </c>
      <c r="V285" s="30" t="str">
        <f ca="1">IFERROR(__xludf.DUMMYFUNCTION("""COMPUTED_VALUE"""),"Ninguna")</f>
        <v>Ninguna</v>
      </c>
      <c r="W285" s="30" t="str">
        <f ca="1">IFERROR(__xludf.DUMMYFUNCTION("""COMPUTED_VALUE"""),"Presencial")</f>
        <v>Presencial</v>
      </c>
      <c r="X285" s="30" t="str">
        <f ca="1">IFERROR(__xludf.DUMMYFUNCTION("""COMPUTED_VALUE"""),"Espacio a Cargo de la Secretaría")</f>
        <v>Espacio a Cargo de la Secretaría</v>
      </c>
      <c r="Y285" s="30" t="str">
        <f ca="1">IFERROR(__xludf.DUMMYFUNCTION("""COMPUTED_VALUE"""),"Museo de Arte e Historia de Guanajuato, sala Feliciano Peña")</f>
        <v>Museo de Arte e Historia de Guanajuato, sala Feliciano Peña</v>
      </c>
      <c r="Z285" s="30"/>
      <c r="AA285" s="30"/>
      <c r="AB285" s="30" t="b">
        <f ca="1">IFERROR(__xludf.DUMMYFUNCTION("""COMPUTED_VALUE"""),FALSE)</f>
        <v>0</v>
      </c>
      <c r="AC285" s="30"/>
      <c r="AD285" s="30" t="b">
        <f ca="1">IFERROR(__xludf.DUMMYFUNCTION("""COMPUTED_VALUE"""),FALSE)</f>
        <v>0</v>
      </c>
      <c r="AE285" s="30"/>
      <c r="AF285" s="30" t="b">
        <f ca="1">IFERROR(__xludf.DUMMYFUNCTION("""COMPUTED_VALUE"""),FALSE)</f>
        <v>0</v>
      </c>
      <c r="AG285" s="30"/>
      <c r="AH285" s="30" t="str">
        <f ca="1">IFERROR(__xludf.DUMMYFUNCTION("""COMPUTED_VALUE"""),"Sin costo")</f>
        <v>Sin costo</v>
      </c>
      <c r="AI285" s="30"/>
      <c r="AJ285" s="30"/>
      <c r="AK285" s="30"/>
      <c r="AL285" s="30" t="str">
        <f ca="1">IFERROR(__xludf.DUMMYFUNCTION("""COMPUTED_VALUE"""),"ccardonav@guanajuato.gob.mx")</f>
        <v>ccardonav@guanajuato.gob.mx</v>
      </c>
      <c r="AM285" s="30" t="str">
        <f ca="1">IFERROR(__xludf.DUMMYFUNCTION("""COMPUTED_VALUE"""),"Arraigo y empoderamiento cultural de comunidades.")</f>
        <v>Arraigo y empoderamiento cultural de comunidades.</v>
      </c>
      <c r="AN285" s="30" t="str">
        <f ca="1">IFERROR(__xludf.DUMMYFUNCTION("""COMPUTED_VALUE"""),"2 Igualdad")</f>
        <v>2 Igualdad</v>
      </c>
      <c r="AO285" s="30" t="str">
        <f ca="1">IFERROR(__xludf.DUMMYFUNCTION("""COMPUTED_VALUE"""),"2.4 Reducir brechas de desigualdad")</f>
        <v>2.4 Reducir brechas de desigualdad</v>
      </c>
      <c r="AP285" s="30" t="str">
        <f ca="1">IFERROR(__xludf.DUMMYFUNCTION("""COMPUTED_VALUE"""),"2.4.3 Descentralización de la oferta cultural")</f>
        <v>2.4.3 Descentralización de la oferta cultural</v>
      </c>
      <c r="AQ285" s="30" t="str">
        <f ca="1">IFERROR(__xludf.DUMMYFUNCTION("""COMPUTED_VALUE"""),"2.4.3.1 Impulsar el desarrollo artístico y cultural entre infancias y juventudes")</f>
        <v>2.4.3.1 Impulsar el desarrollo artístico y cultural entre infancias y juventudes</v>
      </c>
      <c r="AR285" s="30" t="str">
        <f ca="1">IFERROR(__xludf.DUMMYFUNCTION("""COMPUTED_VALUE"""),"Ninguno")</f>
        <v>Ninguno</v>
      </c>
      <c r="AS285" s="30"/>
      <c r="AT285" s="30" t="str">
        <f ca="1">IFERROR(__xludf.DUMMYFUNCTION("""COMPUTED_VALUE"""),"Fortalecimiento de la participación ciudadana y la mediación cultural")</f>
        <v>Fortalecimiento de la participación ciudadana y la mediación cultural</v>
      </c>
      <c r="AU285" s="30" t="str">
        <f ca="1">IFERROR(__xludf.DUMMYFUNCTION("""COMPUTED_VALUE"""),"Fortalecimiento del diálogo, la mediación y las capacidades de las redes comunitarias.")</f>
        <v>Fortalecimiento del diálogo, la mediación y las capacidades de las redes comunitarias.</v>
      </c>
      <c r="AV285"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5" s="30" t="str">
        <f ca="1">IFERROR(__xludf.DUMMYFUNCTION("""COMPUTED_VALUE"""),"Incrementar en 25% la oferta cultural realizada en los municipios.")</f>
        <v>Incrementar en 25% la oferta cultural realizada en los municipios.</v>
      </c>
      <c r="AX285" s="30" t="str">
        <f ca="1">IFERROR(__xludf.DUMMYFUNCTION("""COMPUTED_VALUE"""),"Programación cultural en recinto")</f>
        <v>Programación cultural en recinto</v>
      </c>
      <c r="AY285" s="30" t="str">
        <f ca="1">IFERROR(__xludf.DUMMYFUNCTION("""COMPUTED_VALUE"""),"Mediación")</f>
        <v>Mediación</v>
      </c>
      <c r="AZ285" s="30"/>
      <c r="BA285" s="30"/>
      <c r="BB285" s="30"/>
      <c r="BC285" s="30">
        <f ca="1">IFERROR(__xludf.DUMMYFUNCTION("""COMPUTED_VALUE"""),0)</f>
        <v>0</v>
      </c>
      <c r="BD285" s="30"/>
      <c r="BE285" s="30"/>
      <c r="BF285" s="30" t="b">
        <f ca="1">IFERROR(__xludf.DUMMYFUNCTION("""COMPUTED_VALUE"""),FALSE)</f>
        <v>0</v>
      </c>
      <c r="BG285" s="30"/>
      <c r="BH285" s="30"/>
      <c r="BI285" s="30"/>
      <c r="BJ285" s="30"/>
      <c r="BK285" s="30"/>
      <c r="BL285" s="30"/>
      <c r="BM285" s="30" t="str">
        <f ca="1">IFERROR(__xludf.DUMMYFUNCTION("""COMPUTED_VALUE"""),"No")</f>
        <v>No</v>
      </c>
      <c r="BN285" s="30"/>
      <c r="BO285" s="30" t="str">
        <f ca="1">IFERROR(__xludf.DUMMYFUNCTION("""COMPUTED_VALUE"""),"6cfe6dd8")</f>
        <v>6cfe6dd8</v>
      </c>
      <c r="BP285" s="29" t="str">
        <f ca="1">IFERROR(__xludf.DUMMYFUNCTION("""COMPUTED_VALUE"""),"León")</f>
        <v>León</v>
      </c>
      <c r="BQ285" s="30" t="str">
        <f ca="1">IFERROR(__xludf.DUMMYFUNCTION("""COMPUTED_VALUE"""),"Urbano")</f>
        <v>Urbano</v>
      </c>
      <c r="BR285" s="30"/>
      <c r="BS285" s="30"/>
      <c r="BT285" s="30"/>
      <c r="BU285" s="30" t="str">
        <f ca="1">IFERROR(__xludf.DUMMYFUNCTION("""COMPUTED_VALUE"""),"No")</f>
        <v>No</v>
      </c>
      <c r="BV285" s="30" t="str">
        <f ca="1">IFERROR(__xludf.DUMMYFUNCTION("""COMPUTED_VALUE"""),"No")</f>
        <v>No</v>
      </c>
      <c r="BW285" s="30">
        <f ca="1">IFERROR(__xludf.DUMMYFUNCTION("""COMPUTED_VALUE"""),7)</f>
        <v>7</v>
      </c>
      <c r="BX285" s="30">
        <f ca="1">IFERROR(__xludf.DUMMYFUNCTION("""COMPUTED_VALUE"""),7)</f>
        <v>7</v>
      </c>
      <c r="BY285" s="30">
        <f ca="1">IFERROR(__xludf.DUMMYFUNCTION("""COMPUTED_VALUE"""),0)</f>
        <v>0</v>
      </c>
      <c r="BZ285" s="30"/>
      <c r="CA285" s="30" t="str">
        <f ca="1">IFERROR(__xludf.DUMMYFUNCTION("""COMPUTED_VALUE"""),"No")</f>
        <v>No</v>
      </c>
      <c r="CB285" s="30" t="str">
        <f ca="1">IFERROR(__xludf.DUMMYFUNCTION("""COMPUTED_VALUE"""),"No")</f>
        <v>No</v>
      </c>
      <c r="CC285" s="30" t="str">
        <f ca="1">IFERROR(__xludf.DUMMYFUNCTION("""COMPUTED_VALUE"""),"cf3ecc58")</f>
        <v>cf3ecc58</v>
      </c>
      <c r="CD285" s="29" t="str">
        <f ca="1">IFERROR(__xludf.DUMMYFUNCTION("""COMPUTED_VALUE"""),"Adultos (30 a 59 años)")</f>
        <v>Adultos (30 a 59 años)</v>
      </c>
      <c r="CE285" s="30" t="str">
        <f ca="1">IFERROR(__xludf.DUMMYFUNCTION("""COMPUTED_VALUE"""),"Dato global")</f>
        <v>Dato global</v>
      </c>
      <c r="CF285" s="30" t="str">
        <f ca="1">IFERROR(__xludf.DUMMYFUNCTION("""COMPUTED_VALUE"""),"Ninguno (Población General)")</f>
        <v>Ninguno (Población General)</v>
      </c>
      <c r="CG285" s="30">
        <f ca="1">IFERROR(__xludf.DUMMYFUNCTION("""COMPUTED_VALUE"""),29)</f>
        <v>29</v>
      </c>
      <c r="CI285" s="30" t="str">
        <f ca="1">IFERROR(__xludf.DUMMYFUNCTION("""COMPUTED_VALUE"""),"e2527745")</f>
        <v>e2527745</v>
      </c>
      <c r="CJ285" s="29" t="str">
        <f ca="1">IFERROR(__xludf.DUMMYFUNCTION("""COMPUTED_VALUE"""),"Regitro_Evidencia_Images/e2527745.Archivo_Evidencia.184644.jpg")</f>
        <v>Regitro_Evidencia_Images/e2527745.Archivo_Evidencia.184644.jpg</v>
      </c>
      <c r="CK285" s="30" t="str">
        <f ca="1">IFERROR(__xludf.DUMMYFUNCTION("""COMPUTED_VALUE"""),"Foto")</f>
        <v>Foto</v>
      </c>
      <c r="CL285" s="30"/>
      <c r="CM285" s="30" t="str">
        <f ca="1">IFERROR(__xludf.DUMMYFUNCTION("""COMPUTED_VALUE"""),"León")</f>
        <v>León</v>
      </c>
      <c r="CN285" s="32" t="e">
        <f ca="1"/>
        <v>#NAME?</v>
      </c>
      <c r="CO285" s="32" t="e">
        <f ca="1"/>
        <v>#NAME?</v>
      </c>
      <c r="CP285" s="32" t="e">
        <f ca="1"/>
        <v>#NAME?</v>
      </c>
      <c r="CQ285" s="32" t="e">
        <f ca="1"/>
        <v>#NAME?</v>
      </c>
      <c r="CR285" s="30" t="e">
        <f ca="1"/>
        <v>#NAME?</v>
      </c>
      <c r="CS285" s="30" t="str">
        <f ca="1">IFERROR(__xludf.DUMMYFUNCTION("""COMPUTED_VALUE"""),"Ninguno (Población General), Ninguno (Población General)")</f>
        <v>Ninguno (Población General), Ninguno (Población General)</v>
      </c>
    </row>
    <row r="286" spans="1:97" ht="13">
      <c r="A286" s="29" t="str">
        <f ca="1">IFERROR(__xludf.DUMMYFUNCTION("""COMPUTED_VALUE"""),"ACT-SCWZ49328")</f>
        <v>ACT-SCWZ49328</v>
      </c>
      <c r="B286" s="30" t="str">
        <f ca="1">IFERROR(__xludf.DUMMYFUNCTION("""COMPUTED_VALUE"""),"SC-260820-155009")</f>
        <v>SC-260820-155009</v>
      </c>
      <c r="C286" s="62">
        <f ca="1">IFERROR(__xludf.DUMMYFUNCTION("""COMPUTED_VALUE"""),46254.6598263888)</f>
        <v>46254.659826388801</v>
      </c>
      <c r="D286" s="30">
        <f ca="1">IFERROR(__xludf.DUMMYFUNCTION("""COMPUTED_VALUE"""),92)</f>
        <v>92</v>
      </c>
      <c r="E286" s="30" t="str">
        <f ca="1">IFERROR(__xludf.DUMMYFUNCTION("""COMPUTED_VALUE"""),"PB3572")</f>
        <v>PB3572</v>
      </c>
      <c r="F28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6" s="30" t="str">
        <f ca="1">IFERROR(__xludf.DUMMYFUNCTION("""COMPUTED_VALUE"""),"SUBSECRETARÍA DE DESARROLLO Y PROMOCIÓN ARTÍSTICA Y CULTURAL")</f>
        <v>SUBSECRETARÍA DE DESARROLLO Y PROMOCIÓN ARTÍSTICA Y CULTURAL</v>
      </c>
      <c r="I286" s="34" t="str">
        <f ca="1">IFERROR(__xludf.DUMMYFUNCTION("""COMPUTED_VALUE"""),"DIRECCIÓN GENERAL DE MUSEOS, ARTES VISUALES Y EXPOSICIONES")</f>
        <v>DIRECCIÓN GENERAL DE MUSEOS, ARTES VISUALES Y EXPOSICIONES</v>
      </c>
      <c r="J286" s="30" t="str">
        <f ca="1">IFERROR(__xludf.DUMMYFUNCTION("""COMPUTED_VALUE"""),"Número de Actividades realizadas")</f>
        <v>Número de Actividades realizadas</v>
      </c>
      <c r="K286" s="30">
        <f ca="1">IFERROR(__xludf.DUMMYFUNCTION("""COMPUTED_VALUE"""),800)</f>
        <v>800</v>
      </c>
      <c r="L286" s="30" t="str">
        <f ca="1">IFERROR(__xludf.DUMMYFUNCTION("""COMPUTED_VALUE"""),"Cultural")</f>
        <v>Cultural</v>
      </c>
      <c r="M286" s="30" t="str">
        <f ca="1">IFERROR(__xludf.DUMMYFUNCTION("""COMPUTED_VALUE"""),"Ciclo de cine ""Una martillo para las brujas""")</f>
        <v>Ciclo de cine "Una martillo para las brujas"</v>
      </c>
      <c r="N286" s="30" t="str">
        <f ca="1">IFERROR(__xludf.DUMMYFUNCTION("""COMPUTED_VALUE"""),"Ciclo de cine")</f>
        <v>Ciclo de cine</v>
      </c>
      <c r="O286" s="30" t="str">
        <f ca="1">IFERROR(__xludf.DUMMYFUNCTION("""COMPUTED_VALUE"""),"Única")</f>
        <v>Única</v>
      </c>
      <c r="P286" s="33">
        <f ca="1">IFERROR(__xludf.DUMMYFUNCTION("""COMPUTED_VALUE"""),46228)</f>
        <v>46228</v>
      </c>
      <c r="Q286" s="33">
        <f ca="1">IFERROR(__xludf.DUMMYFUNCTION("""COMPUTED_VALUE"""),46228)</f>
        <v>46228</v>
      </c>
      <c r="R286" s="30">
        <f ca="1">IFERROR(__xludf.DUMMYFUNCTION("""COMPUTED_VALUE"""),1)</f>
        <v>1</v>
      </c>
      <c r="S286" s="30" t="str">
        <f ca="1">IFERROR(__xludf.DUMMYFUNCTION("""COMPUTED_VALUE"""),"Cinematografía y medios audiovisuales")</f>
        <v>Cinematografía y medios audiovisuales</v>
      </c>
      <c r="T286" s="30" t="str">
        <f ca="1">IFERROR(__xludf.DUMMYFUNCTION("""COMPUTED_VALUE"""),"Cine")</f>
        <v>Cine</v>
      </c>
      <c r="U286" s="30" t="str">
        <f ca="1">IFERROR(__xludf.DUMMYFUNCTION("""COMPUTED_VALUE"""),"Programación cultural en recinto")</f>
        <v>Programación cultural en recinto</v>
      </c>
      <c r="V286" s="30" t="str">
        <f ca="1">IFERROR(__xludf.DUMMYFUNCTION("""COMPUTED_VALUE"""),"Ninguna")</f>
        <v>Ninguna</v>
      </c>
      <c r="W286" s="30" t="str">
        <f ca="1">IFERROR(__xludf.DUMMYFUNCTION("""COMPUTED_VALUE"""),"Presencial")</f>
        <v>Presencial</v>
      </c>
      <c r="X286" s="30" t="str">
        <f ca="1">IFERROR(__xludf.DUMMYFUNCTION("""COMPUTED_VALUE"""),"Espacio a Cargo de la Secretaría")</f>
        <v>Espacio a Cargo de la Secretaría</v>
      </c>
      <c r="Y286" s="30" t="str">
        <f ca="1">IFERROR(__xludf.DUMMYFUNCTION("""COMPUTED_VALUE"""),"Museo de Arte e Historia de Guanajuato, sala Feliciano Peña")</f>
        <v>Museo de Arte e Historia de Guanajuato, sala Feliciano Peña</v>
      </c>
      <c r="Z286" s="30"/>
      <c r="AA286" s="30"/>
      <c r="AB286" s="30" t="b">
        <f ca="1">IFERROR(__xludf.DUMMYFUNCTION("""COMPUTED_VALUE"""),FALSE)</f>
        <v>0</v>
      </c>
      <c r="AC286" s="30"/>
      <c r="AD286" s="30" t="b">
        <f ca="1">IFERROR(__xludf.DUMMYFUNCTION("""COMPUTED_VALUE"""),FALSE)</f>
        <v>0</v>
      </c>
      <c r="AE286" s="30"/>
      <c r="AF286" s="30" t="b">
        <f ca="1">IFERROR(__xludf.DUMMYFUNCTION("""COMPUTED_VALUE"""),FALSE)</f>
        <v>0</v>
      </c>
      <c r="AG286" s="30"/>
      <c r="AH286" s="30" t="str">
        <f ca="1">IFERROR(__xludf.DUMMYFUNCTION("""COMPUTED_VALUE"""),"Sin costo")</f>
        <v>Sin costo</v>
      </c>
      <c r="AI286" s="30"/>
      <c r="AJ286" s="30"/>
      <c r="AK286" s="30"/>
      <c r="AL286" s="30" t="str">
        <f ca="1">IFERROR(__xludf.DUMMYFUNCTION("""COMPUTED_VALUE"""),"ccardonav@guanajuato.gob.mx")</f>
        <v>ccardonav@guanajuato.gob.mx</v>
      </c>
      <c r="AM286" s="30" t="str">
        <f ca="1">IFERROR(__xludf.DUMMYFUNCTION("""COMPUTED_VALUE"""),"Arraigo y empoderamiento cultural de comunidades.")</f>
        <v>Arraigo y empoderamiento cultural de comunidades.</v>
      </c>
      <c r="AN286" s="30" t="str">
        <f ca="1">IFERROR(__xludf.DUMMYFUNCTION("""COMPUTED_VALUE"""),"2 Igualdad")</f>
        <v>2 Igualdad</v>
      </c>
      <c r="AO286" s="30" t="str">
        <f ca="1">IFERROR(__xludf.DUMMYFUNCTION("""COMPUTED_VALUE"""),"2.4 Reducir brechas de desigualdad")</f>
        <v>2.4 Reducir brechas de desigualdad</v>
      </c>
      <c r="AP286" s="30" t="str">
        <f ca="1">IFERROR(__xludf.DUMMYFUNCTION("""COMPUTED_VALUE"""),"2.4.3 Descentralización de la oferta cultural")</f>
        <v>2.4.3 Descentralización de la oferta cultural</v>
      </c>
      <c r="AQ286" s="30" t="str">
        <f ca="1">IFERROR(__xludf.DUMMYFUNCTION("""COMPUTED_VALUE"""),"2.4.3.1 Impulsar el desarrollo artístico y cultural entre infancias y juventudes")</f>
        <v>2.4.3.1 Impulsar el desarrollo artístico y cultural entre infancias y juventudes</v>
      </c>
      <c r="AR286" s="30" t="str">
        <f ca="1">IFERROR(__xludf.DUMMYFUNCTION("""COMPUTED_VALUE"""),"Ninguno")</f>
        <v>Ninguno</v>
      </c>
      <c r="AS286" s="30"/>
      <c r="AT286" s="30" t="str">
        <f ca="1">IFERROR(__xludf.DUMMYFUNCTION("""COMPUTED_VALUE"""),"Fortalecimiento de la participación ciudadana y la mediación cultural")</f>
        <v>Fortalecimiento de la participación ciudadana y la mediación cultural</v>
      </c>
      <c r="AU286" s="30" t="str">
        <f ca="1">IFERROR(__xludf.DUMMYFUNCTION("""COMPUTED_VALUE"""),"Fortalecimiento del diálogo, la mediación y las capacidades de las redes comunitarias.")</f>
        <v>Fortalecimiento del diálogo, la mediación y las capacidades de las redes comunitarias.</v>
      </c>
      <c r="AV286"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6" s="30" t="str">
        <f ca="1">IFERROR(__xludf.DUMMYFUNCTION("""COMPUTED_VALUE"""),"Incrementar en 25% la oferta cultural realizada en los municipios.")</f>
        <v>Incrementar en 25% la oferta cultural realizada en los municipios.</v>
      </c>
      <c r="AX286" s="30" t="str">
        <f ca="1">IFERROR(__xludf.DUMMYFUNCTION("""COMPUTED_VALUE"""),"Programación cultural en recinto")</f>
        <v>Programación cultural en recinto</v>
      </c>
      <c r="AY286" s="30" t="str">
        <f ca="1">IFERROR(__xludf.DUMMYFUNCTION("""COMPUTED_VALUE"""),"Mediación")</f>
        <v>Mediación</v>
      </c>
      <c r="AZ286" s="30"/>
      <c r="BA286" s="30"/>
      <c r="BB286" s="30"/>
      <c r="BC286" s="30">
        <f ca="1">IFERROR(__xludf.DUMMYFUNCTION("""COMPUTED_VALUE"""),0)</f>
        <v>0</v>
      </c>
      <c r="BD286" s="30"/>
      <c r="BE286" s="30"/>
      <c r="BF286" s="30" t="b">
        <f ca="1">IFERROR(__xludf.DUMMYFUNCTION("""COMPUTED_VALUE"""),FALSE)</f>
        <v>0</v>
      </c>
      <c r="BG286" s="30"/>
      <c r="BH286" s="30"/>
      <c r="BI286" s="30"/>
      <c r="BJ286" s="30"/>
      <c r="BK286" s="30"/>
      <c r="BL286" s="30"/>
      <c r="BM286" s="30" t="str">
        <f ca="1">IFERROR(__xludf.DUMMYFUNCTION("""COMPUTED_VALUE"""),"No")</f>
        <v>No</v>
      </c>
      <c r="BN286" s="30"/>
      <c r="BO286" s="30" t="str">
        <f ca="1">IFERROR(__xludf.DUMMYFUNCTION("""COMPUTED_VALUE"""),"37d9eca4")</f>
        <v>37d9eca4</v>
      </c>
      <c r="BP286" s="29" t="str">
        <f ca="1">IFERROR(__xludf.DUMMYFUNCTION("""COMPUTED_VALUE"""),"León")</f>
        <v>León</v>
      </c>
      <c r="BQ286" s="30" t="str">
        <f ca="1">IFERROR(__xludf.DUMMYFUNCTION("""COMPUTED_VALUE"""),"Urbano")</f>
        <v>Urbano</v>
      </c>
      <c r="BR286" s="30"/>
      <c r="BS286" s="30"/>
      <c r="BT286" s="30"/>
      <c r="BU286" s="30" t="str">
        <f ca="1">IFERROR(__xludf.DUMMYFUNCTION("""COMPUTED_VALUE"""),"No")</f>
        <v>No</v>
      </c>
      <c r="BV286" s="30" t="str">
        <f ca="1">IFERROR(__xludf.DUMMYFUNCTION("""COMPUTED_VALUE"""),"No")</f>
        <v>No</v>
      </c>
      <c r="BW286" s="30">
        <f ca="1">IFERROR(__xludf.DUMMYFUNCTION("""COMPUTED_VALUE"""),10)</f>
        <v>10</v>
      </c>
      <c r="BX286" s="30">
        <f ca="1">IFERROR(__xludf.DUMMYFUNCTION("""COMPUTED_VALUE"""),10)</f>
        <v>10</v>
      </c>
      <c r="BY286" s="30">
        <f ca="1">IFERROR(__xludf.DUMMYFUNCTION("""COMPUTED_VALUE"""),0)</f>
        <v>0</v>
      </c>
      <c r="BZ286" s="30"/>
      <c r="CA286" s="30" t="str">
        <f ca="1">IFERROR(__xludf.DUMMYFUNCTION("""COMPUTED_VALUE"""),"No")</f>
        <v>No</v>
      </c>
      <c r="CB286" s="30" t="str">
        <f ca="1">IFERROR(__xludf.DUMMYFUNCTION("""COMPUTED_VALUE"""),"No")</f>
        <v>No</v>
      </c>
      <c r="CC286" s="30" t="str">
        <f ca="1">IFERROR(__xludf.DUMMYFUNCTION("""COMPUTED_VALUE"""),"722570d5")</f>
        <v>722570d5</v>
      </c>
      <c r="CD286" s="29" t="str">
        <f ca="1">IFERROR(__xludf.DUMMYFUNCTION("""COMPUTED_VALUE"""),"Niñas y Niños (6 a 12 años)")</f>
        <v>Niñas y Niños (6 a 12 años)</v>
      </c>
      <c r="CE286" s="30" t="str">
        <f ca="1">IFERROR(__xludf.DUMMYFUNCTION("""COMPUTED_VALUE"""),"Dato global")</f>
        <v>Dato global</v>
      </c>
      <c r="CF286" s="30" t="str">
        <f ca="1">IFERROR(__xludf.DUMMYFUNCTION("""COMPUTED_VALUE"""),"Ninguno (Población General)")</f>
        <v>Ninguno (Población General)</v>
      </c>
      <c r="CG286" s="30">
        <f ca="1">IFERROR(__xludf.DUMMYFUNCTION("""COMPUTED_VALUE"""),12)</f>
        <v>12</v>
      </c>
      <c r="CI286" s="30" t="str">
        <f ca="1">IFERROR(__xludf.DUMMYFUNCTION("""COMPUTED_VALUE"""),"cdae6e1c")</f>
        <v>cdae6e1c</v>
      </c>
      <c r="CJ286" s="29" t="str">
        <f ca="1">IFERROR(__xludf.DUMMYFUNCTION("""COMPUTED_VALUE"""),"Regitro_Evidencia_Images/cdae6e1c.Archivo_Evidencia.184651.jpg")</f>
        <v>Regitro_Evidencia_Images/cdae6e1c.Archivo_Evidencia.184651.jpg</v>
      </c>
      <c r="CK286" s="30" t="str">
        <f ca="1">IFERROR(__xludf.DUMMYFUNCTION("""COMPUTED_VALUE"""),"Foto")</f>
        <v>Foto</v>
      </c>
      <c r="CL286" s="30"/>
      <c r="CM286" s="30" t="str">
        <f ca="1">IFERROR(__xludf.DUMMYFUNCTION("""COMPUTED_VALUE"""),"León")</f>
        <v>León</v>
      </c>
      <c r="CN286" s="32" t="e">
        <f ca="1"/>
        <v>#NAME?</v>
      </c>
      <c r="CO286" s="32" t="e">
        <f ca="1"/>
        <v>#NAME?</v>
      </c>
      <c r="CP286" s="32" t="e">
        <f ca="1"/>
        <v>#NAME?</v>
      </c>
      <c r="CQ286" s="32" t="e">
        <f ca="1"/>
        <v>#NAME?</v>
      </c>
      <c r="CR286" s="30" t="e">
        <f ca="1"/>
        <v>#NAME?</v>
      </c>
      <c r="CS286" s="30" t="str">
        <f ca="1">IFERROR(__xludf.DUMMYFUNCTION("""COMPUTED_VALUE"""),"Ninguno (Población General), Ninguno (Población General), Ninguno (Población General)")</f>
        <v>Ninguno (Población General), Ninguno (Población General), Ninguno (Población General)</v>
      </c>
    </row>
    <row r="287" spans="1:97" ht="13">
      <c r="A287" s="29" t="str">
        <f ca="1">IFERROR(__xludf.DUMMYFUNCTION("""COMPUTED_VALUE"""),"ACT-SCBS15027")</f>
        <v>ACT-SCBS15027</v>
      </c>
      <c r="B287" s="30" t="str">
        <f ca="1">IFERROR(__xludf.DUMMYFUNCTION("""COMPUTED_VALUE"""),"SC-260820-155434")</f>
        <v>SC-260820-155434</v>
      </c>
      <c r="C287" s="62">
        <f ca="1">IFERROR(__xludf.DUMMYFUNCTION("""COMPUTED_VALUE"""),46254.6628935185)</f>
        <v>46254.6628935185</v>
      </c>
      <c r="D287" s="30">
        <f ca="1">IFERROR(__xludf.DUMMYFUNCTION("""COMPUTED_VALUE"""),92)</f>
        <v>92</v>
      </c>
      <c r="E287" s="30" t="str">
        <f ca="1">IFERROR(__xludf.DUMMYFUNCTION("""COMPUTED_VALUE"""),"PB3572")</f>
        <v>PB3572</v>
      </c>
      <c r="F28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7" s="30" t="str">
        <f ca="1">IFERROR(__xludf.DUMMYFUNCTION("""COMPUTED_VALUE"""),"SUBSECRETARÍA DE DESARROLLO Y PROMOCIÓN ARTÍSTICA Y CULTURAL")</f>
        <v>SUBSECRETARÍA DE DESARROLLO Y PROMOCIÓN ARTÍSTICA Y CULTURAL</v>
      </c>
      <c r="I287" s="34" t="str">
        <f ca="1">IFERROR(__xludf.DUMMYFUNCTION("""COMPUTED_VALUE"""),"DIRECCIÓN GENERAL DE MUSEOS, ARTES VISUALES Y EXPOSICIONES")</f>
        <v>DIRECCIÓN GENERAL DE MUSEOS, ARTES VISUALES Y EXPOSICIONES</v>
      </c>
      <c r="J287" s="30" t="str">
        <f ca="1">IFERROR(__xludf.DUMMYFUNCTION("""COMPUTED_VALUE"""),"Número de Actividades realizadas")</f>
        <v>Número de Actividades realizadas</v>
      </c>
      <c r="K287" s="30">
        <f ca="1">IFERROR(__xludf.DUMMYFUNCTION("""COMPUTED_VALUE"""),800)</f>
        <v>800</v>
      </c>
      <c r="L287" s="30" t="str">
        <f ca="1">IFERROR(__xludf.DUMMYFUNCTION("""COMPUTED_VALUE"""),"Cultural")</f>
        <v>Cultural</v>
      </c>
      <c r="M287" s="30" t="str">
        <f ca="1">IFERROR(__xludf.DUMMYFUNCTION("""COMPUTED_VALUE"""),"Retrato de Lupe Marín Pitonisa")</f>
        <v>Retrato de Lupe Marín Pitonisa</v>
      </c>
      <c r="N287" s="30" t="str">
        <f ca="1">IFERROR(__xludf.DUMMYFUNCTION("""COMPUTED_VALUE"""),"Actividad artística de taller familiar, corresponsabilidad con la exposición bajo el signo de saturno.")</f>
        <v>Actividad artística de taller familiar, corresponsabilidad con la exposición bajo el signo de saturno.</v>
      </c>
      <c r="O287" s="30" t="str">
        <f ca="1">IFERROR(__xludf.DUMMYFUNCTION("""COMPUTED_VALUE"""),"Semanal")</f>
        <v>Semanal</v>
      </c>
      <c r="P287" s="33">
        <f ca="1">IFERROR(__xludf.DUMMYFUNCTION("""COMPUTED_VALUE"""),46208)</f>
        <v>46208</v>
      </c>
      <c r="Q287" s="33">
        <f ca="1">IFERROR(__xludf.DUMMYFUNCTION("""COMPUTED_VALUE"""),46229)</f>
        <v>46229</v>
      </c>
      <c r="R287" s="30">
        <f ca="1">IFERROR(__xludf.DUMMYFUNCTION("""COMPUTED_VALUE"""),1)</f>
        <v>1</v>
      </c>
      <c r="S287" s="30" t="str">
        <f ca="1">IFERROR(__xludf.DUMMYFUNCTION("""COMPUTED_VALUE"""),"Cultura comunitaria")</f>
        <v>Cultura comunitaria</v>
      </c>
      <c r="T287" s="30" t="str">
        <f ca="1">IFERROR(__xludf.DUMMYFUNCTION("""COMPUTED_VALUE"""),"Mediación cultural")</f>
        <v>Mediación cultural</v>
      </c>
      <c r="U287" s="30" t="str">
        <f ca="1">IFERROR(__xludf.DUMMYFUNCTION("""COMPUTED_VALUE"""),"Taller")</f>
        <v>Taller</v>
      </c>
      <c r="V287" s="30" t="str">
        <f ca="1">IFERROR(__xludf.DUMMYFUNCTION("""COMPUTED_VALUE"""),"Ninguna")</f>
        <v>Ninguna</v>
      </c>
      <c r="W287" s="30" t="str">
        <f ca="1">IFERROR(__xludf.DUMMYFUNCTION("""COMPUTED_VALUE"""),"Presencial")</f>
        <v>Presencial</v>
      </c>
      <c r="X287" s="30" t="str">
        <f ca="1">IFERROR(__xludf.DUMMYFUNCTION("""COMPUTED_VALUE"""),"Espacio a Cargo de la Secretaría")</f>
        <v>Espacio a Cargo de la Secretaría</v>
      </c>
      <c r="Y287" s="30" t="str">
        <f ca="1">IFERROR(__xludf.DUMMYFUNCTION("""COMPUTED_VALUE"""),"Museo de Arte e Historia de Guanajuato, sala Feliciano Peña")</f>
        <v>Museo de Arte e Historia de Guanajuato, sala Feliciano Peña</v>
      </c>
      <c r="Z287" s="30"/>
      <c r="AA287" s="30"/>
      <c r="AB287" s="30" t="b">
        <f ca="1">IFERROR(__xludf.DUMMYFUNCTION("""COMPUTED_VALUE"""),FALSE)</f>
        <v>0</v>
      </c>
      <c r="AC287" s="30"/>
      <c r="AD287" s="30" t="b">
        <f ca="1">IFERROR(__xludf.DUMMYFUNCTION("""COMPUTED_VALUE"""),FALSE)</f>
        <v>0</v>
      </c>
      <c r="AE287" s="30"/>
      <c r="AF287" s="30" t="b">
        <f ca="1">IFERROR(__xludf.DUMMYFUNCTION("""COMPUTED_VALUE"""),FALSE)</f>
        <v>0</v>
      </c>
      <c r="AG287" s="30"/>
      <c r="AH287" s="30" t="str">
        <f ca="1">IFERROR(__xludf.DUMMYFUNCTION("""COMPUTED_VALUE"""),"Sin costo")</f>
        <v>Sin costo</v>
      </c>
      <c r="AI287" s="30"/>
      <c r="AJ287" s="30"/>
      <c r="AK287" s="30"/>
      <c r="AL287" s="30" t="str">
        <f ca="1">IFERROR(__xludf.DUMMYFUNCTION("""COMPUTED_VALUE"""),"ccardonav@guanajuato.gob.mx")</f>
        <v>ccardonav@guanajuato.gob.mx</v>
      </c>
      <c r="AM287" s="30" t="str">
        <f ca="1">IFERROR(__xludf.DUMMYFUNCTION("""COMPUTED_VALUE"""),"Arraigo y empoderamiento cultural de comunidades.")</f>
        <v>Arraigo y empoderamiento cultural de comunidades.</v>
      </c>
      <c r="AN287" s="30" t="str">
        <f ca="1">IFERROR(__xludf.DUMMYFUNCTION("""COMPUTED_VALUE"""),"2 Igualdad")</f>
        <v>2 Igualdad</v>
      </c>
      <c r="AO287" s="30" t="str">
        <f ca="1">IFERROR(__xludf.DUMMYFUNCTION("""COMPUTED_VALUE"""),"2.4 Reducir brechas de desigualdad")</f>
        <v>2.4 Reducir brechas de desigualdad</v>
      </c>
      <c r="AP287" s="30" t="str">
        <f ca="1">IFERROR(__xludf.DUMMYFUNCTION("""COMPUTED_VALUE"""),"2.4.3 Descentralización de la oferta cultural")</f>
        <v>2.4.3 Descentralización de la oferta cultural</v>
      </c>
      <c r="AQ287" s="30" t="str">
        <f ca="1">IFERROR(__xludf.DUMMYFUNCTION("""COMPUTED_VALUE"""),"2.4.3.1 Impulsar el desarrollo artístico y cultural entre infancias y juventudes")</f>
        <v>2.4.3.1 Impulsar el desarrollo artístico y cultural entre infancias y juventudes</v>
      </c>
      <c r="AR287" s="30" t="str">
        <f ca="1">IFERROR(__xludf.DUMMYFUNCTION("""COMPUTED_VALUE"""),"Ninguno")</f>
        <v>Ninguno</v>
      </c>
      <c r="AS287" s="30"/>
      <c r="AT287" s="30" t="str">
        <f ca="1">IFERROR(__xludf.DUMMYFUNCTION("""COMPUTED_VALUE"""),"Fortalecimiento de la participación ciudadana y la mediación cultural")</f>
        <v>Fortalecimiento de la participación ciudadana y la mediación cultural</v>
      </c>
      <c r="AU287" s="30" t="str">
        <f ca="1">IFERROR(__xludf.DUMMYFUNCTION("""COMPUTED_VALUE"""),"Fortalecimiento del diálogo, la mediación y las capacidades de las redes comunitarias.")</f>
        <v>Fortalecimiento del diálogo, la mediación y las capacidades de las redes comunitarias.</v>
      </c>
      <c r="AV28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7" s="30" t="str">
        <f ca="1">IFERROR(__xludf.DUMMYFUNCTION("""COMPUTED_VALUE"""),"Incrementar en 25% la oferta cultural realizada en los municipios.")</f>
        <v>Incrementar en 25% la oferta cultural realizada en los municipios.</v>
      </c>
      <c r="AX287" s="30" t="str">
        <f ca="1">IFERROR(__xludf.DUMMYFUNCTION("""COMPUTED_VALUE"""),"Taller")</f>
        <v>Taller</v>
      </c>
      <c r="AY287" s="30" t="str">
        <f ca="1">IFERROR(__xludf.DUMMYFUNCTION("""COMPUTED_VALUE"""),"Mediación")</f>
        <v>Mediación</v>
      </c>
      <c r="AZ287" s="30"/>
      <c r="BA287" s="30"/>
      <c r="BB287" s="30"/>
      <c r="BC287" s="30">
        <f ca="1">IFERROR(__xludf.DUMMYFUNCTION("""COMPUTED_VALUE"""),0)</f>
        <v>0</v>
      </c>
      <c r="BD287" s="30"/>
      <c r="BE287" s="30"/>
      <c r="BF287" s="30" t="b">
        <f ca="1">IFERROR(__xludf.DUMMYFUNCTION("""COMPUTED_VALUE"""),FALSE)</f>
        <v>0</v>
      </c>
      <c r="BG287" s="30"/>
      <c r="BH287" s="30"/>
      <c r="BI287" s="30"/>
      <c r="BJ287" s="30"/>
      <c r="BK287" s="30"/>
      <c r="BL287" s="30"/>
      <c r="BM287" s="30" t="str">
        <f ca="1">IFERROR(__xludf.DUMMYFUNCTION("""COMPUTED_VALUE"""),"No")</f>
        <v>No</v>
      </c>
      <c r="BN287" s="30"/>
      <c r="BO287" s="30" t="str">
        <f ca="1">IFERROR(__xludf.DUMMYFUNCTION("""COMPUTED_VALUE"""),"5262f1b4")</f>
        <v>5262f1b4</v>
      </c>
      <c r="BP287" s="29" t="str">
        <f ca="1">IFERROR(__xludf.DUMMYFUNCTION("""COMPUTED_VALUE"""),"León")</f>
        <v>León</v>
      </c>
      <c r="BQ287" s="30" t="str">
        <f ca="1">IFERROR(__xludf.DUMMYFUNCTION("""COMPUTED_VALUE"""),"Urbano")</f>
        <v>Urbano</v>
      </c>
      <c r="BR287" s="30"/>
      <c r="BS287" s="30"/>
      <c r="BT287" s="30"/>
      <c r="BU287" s="30" t="str">
        <f ca="1">IFERROR(__xludf.DUMMYFUNCTION("""COMPUTED_VALUE"""),"No")</f>
        <v>No</v>
      </c>
      <c r="BV287" s="30" t="str">
        <f ca="1">IFERROR(__xludf.DUMMYFUNCTION("""COMPUTED_VALUE"""),"No")</f>
        <v>No</v>
      </c>
      <c r="BW287" s="30">
        <f ca="1">IFERROR(__xludf.DUMMYFUNCTION("""COMPUTED_VALUE"""),55)</f>
        <v>55</v>
      </c>
      <c r="BX287" s="30">
        <f ca="1">IFERROR(__xludf.DUMMYFUNCTION("""COMPUTED_VALUE"""),55)</f>
        <v>55</v>
      </c>
      <c r="BY287" s="30">
        <f ca="1">IFERROR(__xludf.DUMMYFUNCTION("""COMPUTED_VALUE"""),0)</f>
        <v>0</v>
      </c>
      <c r="BZ287" s="30"/>
      <c r="CA287" s="30" t="str">
        <f ca="1">IFERROR(__xludf.DUMMYFUNCTION("""COMPUTED_VALUE"""),"No")</f>
        <v>No</v>
      </c>
      <c r="CB287" s="30" t="str">
        <f ca="1">IFERROR(__xludf.DUMMYFUNCTION("""COMPUTED_VALUE"""),"No")</f>
        <v>No</v>
      </c>
      <c r="CC287" s="30" t="str">
        <f ca="1">IFERROR(__xludf.DUMMYFUNCTION("""COMPUTED_VALUE"""),"e48dd4b6")</f>
        <v>e48dd4b6</v>
      </c>
      <c r="CD287" s="29" t="str">
        <f ca="1">IFERROR(__xludf.DUMMYFUNCTION("""COMPUTED_VALUE"""),"Adolescentes (13 a 17 años)")</f>
        <v>Adolescentes (13 a 17 años)</v>
      </c>
      <c r="CE287" s="30" t="str">
        <f ca="1">IFERROR(__xludf.DUMMYFUNCTION("""COMPUTED_VALUE"""),"Dato global")</f>
        <v>Dato global</v>
      </c>
      <c r="CF287" s="30" t="str">
        <f ca="1">IFERROR(__xludf.DUMMYFUNCTION("""COMPUTED_VALUE"""),"Ninguno (Población General)")</f>
        <v>Ninguno (Población General)</v>
      </c>
      <c r="CG287" s="30">
        <f ca="1">IFERROR(__xludf.DUMMYFUNCTION("""COMPUTED_VALUE"""),3)</f>
        <v>3</v>
      </c>
      <c r="CI287" s="30" t="str">
        <f ca="1">IFERROR(__xludf.DUMMYFUNCTION("""COMPUTED_VALUE"""),"df051bee")</f>
        <v>df051bee</v>
      </c>
      <c r="CJ287" s="29" t="str">
        <f ca="1">IFERROR(__xludf.DUMMYFUNCTION("""COMPUTED_VALUE"""),"Regitro_Evidencia_Images/df051bee.Archivo_Evidencia.184656.jpg")</f>
        <v>Regitro_Evidencia_Images/df051bee.Archivo_Evidencia.184656.jpg</v>
      </c>
      <c r="CK287" s="30" t="str">
        <f ca="1">IFERROR(__xludf.DUMMYFUNCTION("""COMPUTED_VALUE"""),"Foto")</f>
        <v>Foto</v>
      </c>
      <c r="CL287" s="30"/>
      <c r="CM287" s="30" t="str">
        <f ca="1">IFERROR(__xludf.DUMMYFUNCTION("""COMPUTED_VALUE"""),"León")</f>
        <v>León</v>
      </c>
      <c r="CN287" s="32" t="e">
        <f ca="1"/>
        <v>#NAME?</v>
      </c>
      <c r="CO287" s="32" t="e">
        <f ca="1"/>
        <v>#NAME?</v>
      </c>
      <c r="CP287" s="32" t="e">
        <f ca="1"/>
        <v>#NAME?</v>
      </c>
      <c r="CQ287" s="32" t="e">
        <f ca="1"/>
        <v>#NAME?</v>
      </c>
      <c r="CR287" s="30" t="e">
        <f ca="1"/>
        <v>#NAME?</v>
      </c>
      <c r="CS287" s="30" t="str">
        <f ca="1">IFERROR(__xludf.DUMMYFUNCTION("""COMPUTED_VALUE"""),"Ninguno (Población General), Ninguno (Población General)")</f>
        <v>Ninguno (Población General), Ninguno (Población General)</v>
      </c>
    </row>
    <row r="288" spans="1:97" ht="13">
      <c r="A288" s="29" t="str">
        <f ca="1">IFERROR(__xludf.DUMMYFUNCTION("""COMPUTED_VALUE"""),"ACT-SCRN39622")</f>
        <v>ACT-SCRN39622</v>
      </c>
      <c r="B288" s="30" t="str">
        <f ca="1">IFERROR(__xludf.DUMMYFUNCTION("""COMPUTED_VALUE"""),"SC-260820-155910")</f>
        <v>SC-260820-155910</v>
      </c>
      <c r="C288" s="62">
        <f ca="1">IFERROR(__xludf.DUMMYFUNCTION("""COMPUTED_VALUE"""),46254.6660879629)</f>
        <v>46254.666087962898</v>
      </c>
      <c r="D288" s="30">
        <f ca="1">IFERROR(__xludf.DUMMYFUNCTION("""COMPUTED_VALUE"""),92)</f>
        <v>92</v>
      </c>
      <c r="E288" s="30" t="str">
        <f ca="1">IFERROR(__xludf.DUMMYFUNCTION("""COMPUTED_VALUE"""),"PB3572")</f>
        <v>PB3572</v>
      </c>
      <c r="F28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8" s="30" t="str">
        <f ca="1">IFERROR(__xludf.DUMMYFUNCTION("""COMPUTED_VALUE"""),"SUBSECRETARÍA DE DESARROLLO Y PROMOCIÓN ARTÍSTICA Y CULTURAL")</f>
        <v>SUBSECRETARÍA DE DESARROLLO Y PROMOCIÓN ARTÍSTICA Y CULTURAL</v>
      </c>
      <c r="I288" s="34" t="str">
        <f ca="1">IFERROR(__xludf.DUMMYFUNCTION("""COMPUTED_VALUE"""),"DIRECCIÓN GENERAL DE MUSEOS, ARTES VISUALES Y EXPOSICIONES")</f>
        <v>DIRECCIÓN GENERAL DE MUSEOS, ARTES VISUALES Y EXPOSICIONES</v>
      </c>
      <c r="J288" s="30" t="str">
        <f ca="1">IFERROR(__xludf.DUMMYFUNCTION("""COMPUTED_VALUE"""),"Número de Actividades realizadas")</f>
        <v>Número de Actividades realizadas</v>
      </c>
      <c r="K288" s="30">
        <f ca="1">IFERROR(__xludf.DUMMYFUNCTION("""COMPUTED_VALUE"""),800)</f>
        <v>800</v>
      </c>
      <c r="L288" s="30" t="str">
        <f ca="1">IFERROR(__xludf.DUMMYFUNCTION("""COMPUTED_VALUE"""),"Cultural")</f>
        <v>Cultural</v>
      </c>
      <c r="M288" s="30" t="str">
        <f ca="1">IFERROR(__xludf.DUMMYFUNCTION("""COMPUTED_VALUE"""),"Plastas del paraíso. Un verano en el museo")</f>
        <v>Plastas del paraíso. Un verano en el museo</v>
      </c>
      <c r="N288" s="30" t="str">
        <f ca="1">IFERROR(__xludf.DUMMYFUNCTION("""COMPUTED_VALUE"""),"Actividad artística de taller familiar, corresponsabilidad con la exposición bajo el signo de saturno.")</f>
        <v>Actividad artística de taller familiar, corresponsabilidad con la exposición bajo el signo de saturno.</v>
      </c>
      <c r="O288" s="30" t="str">
        <f ca="1">IFERROR(__xludf.DUMMYFUNCTION("""COMPUTED_VALUE"""),"Única")</f>
        <v>Única</v>
      </c>
      <c r="P288" s="33">
        <f ca="1">IFERROR(__xludf.DUMMYFUNCTION("""COMPUTED_VALUE"""),46229)</f>
        <v>46229</v>
      </c>
      <c r="Q288" s="33">
        <f ca="1">IFERROR(__xludf.DUMMYFUNCTION("""COMPUTED_VALUE"""),46229)</f>
        <v>46229</v>
      </c>
      <c r="R288" s="30">
        <f ca="1">IFERROR(__xludf.DUMMYFUNCTION("""COMPUTED_VALUE"""),1)</f>
        <v>1</v>
      </c>
      <c r="S288" s="30" t="str">
        <f ca="1">IFERROR(__xludf.DUMMYFUNCTION("""COMPUTED_VALUE"""),"Cultura comunitaria")</f>
        <v>Cultura comunitaria</v>
      </c>
      <c r="T288" s="30" t="str">
        <f ca="1">IFERROR(__xludf.DUMMYFUNCTION("""COMPUTED_VALUE"""),"Mediación cultural")</f>
        <v>Mediación cultural</v>
      </c>
      <c r="U288" s="30" t="str">
        <f ca="1">IFERROR(__xludf.DUMMYFUNCTION("""COMPUTED_VALUE"""),"Taller")</f>
        <v>Taller</v>
      </c>
      <c r="V288" s="30" t="str">
        <f ca="1">IFERROR(__xludf.DUMMYFUNCTION("""COMPUTED_VALUE"""),"Ninguna")</f>
        <v>Ninguna</v>
      </c>
      <c r="W288" s="30" t="str">
        <f ca="1">IFERROR(__xludf.DUMMYFUNCTION("""COMPUTED_VALUE"""),"Presencial")</f>
        <v>Presencial</v>
      </c>
      <c r="X288" s="30" t="str">
        <f ca="1">IFERROR(__xludf.DUMMYFUNCTION("""COMPUTED_VALUE"""),"Espacio a Cargo de la Secretaría")</f>
        <v>Espacio a Cargo de la Secretaría</v>
      </c>
      <c r="Y288" s="30" t="str">
        <f ca="1">IFERROR(__xludf.DUMMYFUNCTION("""COMPUTED_VALUE"""),"Museo de Arte e Historia de Guanajuato, sala Feliciano Peña")</f>
        <v>Museo de Arte e Historia de Guanajuato, sala Feliciano Peña</v>
      </c>
      <c r="Z288" s="30"/>
      <c r="AA288" s="30"/>
      <c r="AB288" s="30" t="b">
        <f ca="1">IFERROR(__xludf.DUMMYFUNCTION("""COMPUTED_VALUE"""),FALSE)</f>
        <v>0</v>
      </c>
      <c r="AC288" s="30"/>
      <c r="AD288" s="30" t="b">
        <f ca="1">IFERROR(__xludf.DUMMYFUNCTION("""COMPUTED_VALUE"""),FALSE)</f>
        <v>0</v>
      </c>
      <c r="AE288" s="30"/>
      <c r="AF288" s="30" t="b">
        <f ca="1">IFERROR(__xludf.DUMMYFUNCTION("""COMPUTED_VALUE"""),FALSE)</f>
        <v>0</v>
      </c>
      <c r="AG288" s="30"/>
      <c r="AH288" s="30" t="str">
        <f ca="1">IFERROR(__xludf.DUMMYFUNCTION("""COMPUTED_VALUE"""),"Sin costo")</f>
        <v>Sin costo</v>
      </c>
      <c r="AI288" s="30"/>
      <c r="AJ288" s="30"/>
      <c r="AK288" s="30"/>
      <c r="AL288" s="30" t="str">
        <f ca="1">IFERROR(__xludf.DUMMYFUNCTION("""COMPUTED_VALUE"""),"ccardonav@guanajuato.gob.mx")</f>
        <v>ccardonav@guanajuato.gob.mx</v>
      </c>
      <c r="AM288" s="30" t="str">
        <f ca="1">IFERROR(__xludf.DUMMYFUNCTION("""COMPUTED_VALUE"""),"Arraigo y empoderamiento cultural de comunidades.")</f>
        <v>Arraigo y empoderamiento cultural de comunidades.</v>
      </c>
      <c r="AN288" s="30" t="str">
        <f ca="1">IFERROR(__xludf.DUMMYFUNCTION("""COMPUTED_VALUE"""),"2 Igualdad")</f>
        <v>2 Igualdad</v>
      </c>
      <c r="AO288" s="30" t="str">
        <f ca="1">IFERROR(__xludf.DUMMYFUNCTION("""COMPUTED_VALUE"""),"2.4 Reducir brechas de desigualdad")</f>
        <v>2.4 Reducir brechas de desigualdad</v>
      </c>
      <c r="AP288" s="30" t="str">
        <f ca="1">IFERROR(__xludf.DUMMYFUNCTION("""COMPUTED_VALUE"""),"2.4.3 Descentralización de la oferta cultural")</f>
        <v>2.4.3 Descentralización de la oferta cultural</v>
      </c>
      <c r="AQ288" s="30" t="str">
        <f ca="1">IFERROR(__xludf.DUMMYFUNCTION("""COMPUTED_VALUE"""),"2.4.3.1 Impulsar el desarrollo artístico y cultural entre infancias y juventudes")</f>
        <v>2.4.3.1 Impulsar el desarrollo artístico y cultural entre infancias y juventudes</v>
      </c>
      <c r="AR288" s="30" t="str">
        <f ca="1">IFERROR(__xludf.DUMMYFUNCTION("""COMPUTED_VALUE"""),"Ninguno")</f>
        <v>Ninguno</v>
      </c>
      <c r="AS288" s="30"/>
      <c r="AT288" s="30" t="str">
        <f ca="1">IFERROR(__xludf.DUMMYFUNCTION("""COMPUTED_VALUE"""),"Fortalecimiento de la participación ciudadana y la mediación cultural")</f>
        <v>Fortalecimiento de la participación ciudadana y la mediación cultural</v>
      </c>
      <c r="AU288" s="30" t="str">
        <f ca="1">IFERROR(__xludf.DUMMYFUNCTION("""COMPUTED_VALUE"""),"Fortalecimiento del diálogo, la mediación y las capacidades de las redes comunitarias.")</f>
        <v>Fortalecimiento del diálogo, la mediación y las capacidades de las redes comunitarias.</v>
      </c>
      <c r="AV288"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8" s="30" t="str">
        <f ca="1">IFERROR(__xludf.DUMMYFUNCTION("""COMPUTED_VALUE"""),"Incrementar en 25% la oferta cultural realizada en los municipios.")</f>
        <v>Incrementar en 25% la oferta cultural realizada en los municipios.</v>
      </c>
      <c r="AX288" s="30" t="str">
        <f ca="1">IFERROR(__xludf.DUMMYFUNCTION("""COMPUTED_VALUE"""),"Taller")</f>
        <v>Taller</v>
      </c>
      <c r="AY288" s="30" t="str">
        <f ca="1">IFERROR(__xludf.DUMMYFUNCTION("""COMPUTED_VALUE"""),"Mediación")</f>
        <v>Mediación</v>
      </c>
      <c r="AZ288" s="30"/>
      <c r="BA288" s="30"/>
      <c r="BB288" s="30"/>
      <c r="BC288" s="30">
        <f ca="1">IFERROR(__xludf.DUMMYFUNCTION("""COMPUTED_VALUE"""),0)</f>
        <v>0</v>
      </c>
      <c r="BD288" s="30"/>
      <c r="BE288" s="30"/>
      <c r="BF288" s="30" t="b">
        <f ca="1">IFERROR(__xludf.DUMMYFUNCTION("""COMPUTED_VALUE"""),FALSE)</f>
        <v>0</v>
      </c>
      <c r="BG288" s="30"/>
      <c r="BH288" s="30"/>
      <c r="BI288" s="30"/>
      <c r="BJ288" s="30"/>
      <c r="BK288" s="30"/>
      <c r="BL288" s="30"/>
      <c r="BM288" s="30" t="str">
        <f ca="1">IFERROR(__xludf.DUMMYFUNCTION("""COMPUTED_VALUE"""),"No")</f>
        <v>No</v>
      </c>
      <c r="BN288" s="30"/>
      <c r="BO288" s="30" t="str">
        <f ca="1">IFERROR(__xludf.DUMMYFUNCTION("""COMPUTED_VALUE"""),"dd1f8590")</f>
        <v>dd1f8590</v>
      </c>
      <c r="BP288" s="29" t="str">
        <f ca="1">IFERROR(__xludf.DUMMYFUNCTION("""COMPUTED_VALUE"""),"León")</f>
        <v>León</v>
      </c>
      <c r="BQ288" s="30" t="str">
        <f ca="1">IFERROR(__xludf.DUMMYFUNCTION("""COMPUTED_VALUE"""),"Urbano")</f>
        <v>Urbano</v>
      </c>
      <c r="BR288" s="30"/>
      <c r="BS288" s="30"/>
      <c r="BT288" s="30"/>
      <c r="BU288" s="30" t="str">
        <f ca="1">IFERROR(__xludf.DUMMYFUNCTION("""COMPUTED_VALUE"""),"No")</f>
        <v>No</v>
      </c>
      <c r="BV288" s="30" t="str">
        <f ca="1">IFERROR(__xludf.DUMMYFUNCTION("""COMPUTED_VALUE"""),"No")</f>
        <v>No</v>
      </c>
      <c r="BW288" s="30">
        <f ca="1">IFERROR(__xludf.DUMMYFUNCTION("""COMPUTED_VALUE"""),9)</f>
        <v>9</v>
      </c>
      <c r="BX288" s="30">
        <f ca="1">IFERROR(__xludf.DUMMYFUNCTION("""COMPUTED_VALUE"""),9)</f>
        <v>9</v>
      </c>
      <c r="BY288" s="30">
        <f ca="1">IFERROR(__xludf.DUMMYFUNCTION("""COMPUTED_VALUE"""),0)</f>
        <v>0</v>
      </c>
      <c r="BZ288" s="30"/>
      <c r="CA288" s="30" t="str">
        <f ca="1">IFERROR(__xludf.DUMMYFUNCTION("""COMPUTED_VALUE"""),"No")</f>
        <v>No</v>
      </c>
      <c r="CB288" s="30" t="str">
        <f ca="1">IFERROR(__xludf.DUMMYFUNCTION("""COMPUTED_VALUE"""),"No")</f>
        <v>No</v>
      </c>
      <c r="CC288" s="30" t="str">
        <f ca="1">IFERROR(__xludf.DUMMYFUNCTION("""COMPUTED_VALUE"""),"0ff27623")</f>
        <v>0ff27623</v>
      </c>
      <c r="CD288" s="29" t="str">
        <f ca="1">IFERROR(__xludf.DUMMYFUNCTION("""COMPUTED_VALUE"""),"Adultos (30 a 59 años)")</f>
        <v>Adultos (30 a 59 años)</v>
      </c>
      <c r="CE288" s="30" t="str">
        <f ca="1">IFERROR(__xludf.DUMMYFUNCTION("""COMPUTED_VALUE"""),"Dato global")</f>
        <v>Dato global</v>
      </c>
      <c r="CF288" s="30" t="str">
        <f ca="1">IFERROR(__xludf.DUMMYFUNCTION("""COMPUTED_VALUE"""),"Ninguno (Población General)")</f>
        <v>Ninguno (Población General)</v>
      </c>
      <c r="CG288" s="30">
        <f ca="1">IFERROR(__xludf.DUMMYFUNCTION("""COMPUTED_VALUE"""),47)</f>
        <v>47</v>
      </c>
      <c r="CI288" s="30" t="str">
        <f ca="1">IFERROR(__xludf.DUMMYFUNCTION("""COMPUTED_VALUE"""),"d4c39321")</f>
        <v>d4c39321</v>
      </c>
      <c r="CJ288" s="29" t="str">
        <f ca="1">IFERROR(__xludf.DUMMYFUNCTION("""COMPUTED_VALUE"""),"Regitro_Evidencia_Images/d4c39321.Archivo_Evidencia.184700.jpg")</f>
        <v>Regitro_Evidencia_Images/d4c39321.Archivo_Evidencia.184700.jpg</v>
      </c>
      <c r="CK288" s="30" t="str">
        <f ca="1">IFERROR(__xludf.DUMMYFUNCTION("""COMPUTED_VALUE"""),"Foto")</f>
        <v>Foto</v>
      </c>
      <c r="CL288" s="30"/>
      <c r="CM288" s="30" t="str">
        <f ca="1">IFERROR(__xludf.DUMMYFUNCTION("""COMPUTED_VALUE"""),"León")</f>
        <v>León</v>
      </c>
      <c r="CN288" s="32" t="e">
        <f ca="1"/>
        <v>#NAME?</v>
      </c>
      <c r="CO288" s="32" t="e">
        <f ca="1"/>
        <v>#NAME?</v>
      </c>
      <c r="CP288" s="32" t="e">
        <f ca="1"/>
        <v>#NAME?</v>
      </c>
      <c r="CQ288" s="32" t="e">
        <f ca="1"/>
        <v>#NAME?</v>
      </c>
      <c r="CR288" s="30" t="e">
        <f ca="1"/>
        <v>#NAME?</v>
      </c>
      <c r="CS288" s="30" t="str">
        <f ca="1">IFERROR(__xludf.DUMMYFUNCTION("""COMPUTED_VALUE"""),"Ninguno (Población General)")</f>
        <v>Ninguno (Población General)</v>
      </c>
    </row>
    <row r="289" spans="1:97" ht="13">
      <c r="A289" s="29" t="str">
        <f ca="1">IFERROR(__xludf.DUMMYFUNCTION("""COMPUTED_VALUE"""),"ACT-SCMN07435")</f>
        <v>ACT-SCMN07435</v>
      </c>
      <c r="B289" s="30" t="str">
        <f ca="1">IFERROR(__xludf.DUMMYFUNCTION("""COMPUTED_VALUE"""),"SC-260820-160259")</f>
        <v>SC-260820-160259</v>
      </c>
      <c r="C289" s="62">
        <f ca="1">IFERROR(__xludf.DUMMYFUNCTION("""COMPUTED_VALUE"""),46254.6687384259)</f>
        <v>46254.668738425898</v>
      </c>
      <c r="D289" s="30">
        <f ca="1">IFERROR(__xludf.DUMMYFUNCTION("""COMPUTED_VALUE"""),92)</f>
        <v>92</v>
      </c>
      <c r="E289" s="30" t="str">
        <f ca="1">IFERROR(__xludf.DUMMYFUNCTION("""COMPUTED_VALUE"""),"PB3572")</f>
        <v>PB3572</v>
      </c>
      <c r="F28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8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89" s="30" t="str">
        <f ca="1">IFERROR(__xludf.DUMMYFUNCTION("""COMPUTED_VALUE"""),"SUBSECRETARÍA DE DESARROLLO Y PROMOCIÓN ARTÍSTICA Y CULTURAL")</f>
        <v>SUBSECRETARÍA DE DESARROLLO Y PROMOCIÓN ARTÍSTICA Y CULTURAL</v>
      </c>
      <c r="I289" s="34" t="str">
        <f ca="1">IFERROR(__xludf.DUMMYFUNCTION("""COMPUTED_VALUE"""),"DIRECCIÓN GENERAL DE MUSEOS, ARTES VISUALES Y EXPOSICIONES")</f>
        <v>DIRECCIÓN GENERAL DE MUSEOS, ARTES VISUALES Y EXPOSICIONES</v>
      </c>
      <c r="J289" s="30" t="str">
        <f ca="1">IFERROR(__xludf.DUMMYFUNCTION("""COMPUTED_VALUE"""),"Número de Actividades realizadas")</f>
        <v>Número de Actividades realizadas</v>
      </c>
      <c r="K289" s="30">
        <f ca="1">IFERROR(__xludf.DUMMYFUNCTION("""COMPUTED_VALUE"""),800)</f>
        <v>800</v>
      </c>
      <c r="L289" s="30" t="str">
        <f ca="1">IFERROR(__xludf.DUMMYFUNCTION("""COMPUTED_VALUE"""),"Cultural")</f>
        <v>Cultural</v>
      </c>
      <c r="M289" s="30" t="str">
        <f ca="1">IFERROR(__xludf.DUMMYFUNCTION("""COMPUTED_VALUE"""),"Esgrafiado de saturno. Un verano en el museo")</f>
        <v>Esgrafiado de saturno. Un verano en el museo</v>
      </c>
      <c r="N289" s="30" t="str">
        <f ca="1">IFERROR(__xludf.DUMMYFUNCTION("""COMPUTED_VALUE"""),"Actividad artística de taller familiar, corresponsabilidad con la exposición bajo el signo de saturno.")</f>
        <v>Actividad artística de taller familiar, corresponsabilidad con la exposición bajo el signo de saturno.</v>
      </c>
      <c r="O289" s="30" t="str">
        <f ca="1">IFERROR(__xludf.DUMMYFUNCTION("""COMPUTED_VALUE"""),"Única")</f>
        <v>Única</v>
      </c>
      <c r="P289" s="33">
        <f ca="1">IFERROR(__xludf.DUMMYFUNCTION("""COMPUTED_VALUE"""),46228)</f>
        <v>46228</v>
      </c>
      <c r="Q289" s="33">
        <f ca="1">IFERROR(__xludf.DUMMYFUNCTION("""COMPUTED_VALUE"""),46228)</f>
        <v>46228</v>
      </c>
      <c r="R289" s="30">
        <f ca="1">IFERROR(__xludf.DUMMYFUNCTION("""COMPUTED_VALUE"""),1)</f>
        <v>1</v>
      </c>
      <c r="S289" s="30" t="str">
        <f ca="1">IFERROR(__xludf.DUMMYFUNCTION("""COMPUTED_VALUE"""),"Cultura comunitaria")</f>
        <v>Cultura comunitaria</v>
      </c>
      <c r="T289" s="30" t="str">
        <f ca="1">IFERROR(__xludf.DUMMYFUNCTION("""COMPUTED_VALUE"""),"Mediación cultural")</f>
        <v>Mediación cultural</v>
      </c>
      <c r="U289" s="30" t="str">
        <f ca="1">IFERROR(__xludf.DUMMYFUNCTION("""COMPUTED_VALUE"""),"Taller")</f>
        <v>Taller</v>
      </c>
      <c r="V289" s="30" t="str">
        <f ca="1">IFERROR(__xludf.DUMMYFUNCTION("""COMPUTED_VALUE"""),"Ninguna")</f>
        <v>Ninguna</v>
      </c>
      <c r="W289" s="30" t="str">
        <f ca="1">IFERROR(__xludf.DUMMYFUNCTION("""COMPUTED_VALUE"""),"Presencial")</f>
        <v>Presencial</v>
      </c>
      <c r="X289" s="30" t="str">
        <f ca="1">IFERROR(__xludf.DUMMYFUNCTION("""COMPUTED_VALUE"""),"Espacio a Cargo de la Secretaría")</f>
        <v>Espacio a Cargo de la Secretaría</v>
      </c>
      <c r="Y289" s="30" t="str">
        <f ca="1">IFERROR(__xludf.DUMMYFUNCTION("""COMPUTED_VALUE"""),"Museo de Arte e Historia de Guanajuato, sala Feliciano Peña")</f>
        <v>Museo de Arte e Historia de Guanajuato, sala Feliciano Peña</v>
      </c>
      <c r="Z289" s="30"/>
      <c r="AA289" s="30"/>
      <c r="AB289" s="30" t="b">
        <f ca="1">IFERROR(__xludf.DUMMYFUNCTION("""COMPUTED_VALUE"""),FALSE)</f>
        <v>0</v>
      </c>
      <c r="AC289" s="30"/>
      <c r="AD289" s="30" t="b">
        <f ca="1">IFERROR(__xludf.DUMMYFUNCTION("""COMPUTED_VALUE"""),FALSE)</f>
        <v>0</v>
      </c>
      <c r="AE289" s="30"/>
      <c r="AF289" s="30" t="b">
        <f ca="1">IFERROR(__xludf.DUMMYFUNCTION("""COMPUTED_VALUE"""),FALSE)</f>
        <v>0</v>
      </c>
      <c r="AG289" s="30"/>
      <c r="AH289" s="30" t="str">
        <f ca="1">IFERROR(__xludf.DUMMYFUNCTION("""COMPUTED_VALUE"""),"Sin costo")</f>
        <v>Sin costo</v>
      </c>
      <c r="AI289" s="30"/>
      <c r="AJ289" s="30"/>
      <c r="AK289" s="30"/>
      <c r="AL289" s="30" t="str">
        <f ca="1">IFERROR(__xludf.DUMMYFUNCTION("""COMPUTED_VALUE"""),"ccardonav@guanajuato.gob.mx")</f>
        <v>ccardonav@guanajuato.gob.mx</v>
      </c>
      <c r="AM289" s="30" t="str">
        <f ca="1">IFERROR(__xludf.DUMMYFUNCTION("""COMPUTED_VALUE"""),"Arraigo y empoderamiento cultural de comunidades.")</f>
        <v>Arraigo y empoderamiento cultural de comunidades.</v>
      </c>
      <c r="AN289" s="30" t="str">
        <f ca="1">IFERROR(__xludf.DUMMYFUNCTION("""COMPUTED_VALUE"""),"2 Igualdad")</f>
        <v>2 Igualdad</v>
      </c>
      <c r="AO289" s="30" t="str">
        <f ca="1">IFERROR(__xludf.DUMMYFUNCTION("""COMPUTED_VALUE"""),"2.4 Reducir brechas de desigualdad")</f>
        <v>2.4 Reducir brechas de desigualdad</v>
      </c>
      <c r="AP289" s="30" t="str">
        <f ca="1">IFERROR(__xludf.DUMMYFUNCTION("""COMPUTED_VALUE"""),"2.4.3 Descentralización de la oferta cultural")</f>
        <v>2.4.3 Descentralización de la oferta cultural</v>
      </c>
      <c r="AQ289" s="30" t="str">
        <f ca="1">IFERROR(__xludf.DUMMYFUNCTION("""COMPUTED_VALUE"""),"2.4.3.1 Impulsar el desarrollo artístico y cultural entre infancias y juventudes")</f>
        <v>2.4.3.1 Impulsar el desarrollo artístico y cultural entre infancias y juventudes</v>
      </c>
      <c r="AR289" s="30" t="str">
        <f ca="1">IFERROR(__xludf.DUMMYFUNCTION("""COMPUTED_VALUE"""),"Ninguno")</f>
        <v>Ninguno</v>
      </c>
      <c r="AS289" s="30"/>
      <c r="AT289" s="30" t="str">
        <f ca="1">IFERROR(__xludf.DUMMYFUNCTION("""COMPUTED_VALUE"""),"Fortalecimiento de la participación ciudadana y la mediación cultural")</f>
        <v>Fortalecimiento de la participación ciudadana y la mediación cultural</v>
      </c>
      <c r="AU289" s="30" t="str">
        <f ca="1">IFERROR(__xludf.DUMMYFUNCTION("""COMPUTED_VALUE"""),"Fortalecimiento del diálogo, la mediación y las capacidades de las redes comunitarias.")</f>
        <v>Fortalecimiento del diálogo, la mediación y las capacidades de las redes comunitarias.</v>
      </c>
      <c r="AV289"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89" s="30" t="str">
        <f ca="1">IFERROR(__xludf.DUMMYFUNCTION("""COMPUTED_VALUE"""),"Incrementar en 25% la oferta cultural realizada en los municipios.")</f>
        <v>Incrementar en 25% la oferta cultural realizada en los municipios.</v>
      </c>
      <c r="AX289" s="30" t="str">
        <f ca="1">IFERROR(__xludf.DUMMYFUNCTION("""COMPUTED_VALUE"""),"Taller")</f>
        <v>Taller</v>
      </c>
      <c r="AY289" s="30" t="str">
        <f ca="1">IFERROR(__xludf.DUMMYFUNCTION("""COMPUTED_VALUE"""),"Mediación")</f>
        <v>Mediación</v>
      </c>
      <c r="AZ289" s="30"/>
      <c r="BA289" s="30"/>
      <c r="BB289" s="30"/>
      <c r="BC289" s="30">
        <f ca="1">IFERROR(__xludf.DUMMYFUNCTION("""COMPUTED_VALUE"""),0)</f>
        <v>0</v>
      </c>
      <c r="BD289" s="30"/>
      <c r="BE289" s="30"/>
      <c r="BF289" s="30" t="b">
        <f ca="1">IFERROR(__xludf.DUMMYFUNCTION("""COMPUTED_VALUE"""),FALSE)</f>
        <v>0</v>
      </c>
      <c r="BG289" s="30"/>
      <c r="BH289" s="30"/>
      <c r="BI289" s="30"/>
      <c r="BJ289" s="30"/>
      <c r="BK289" s="30"/>
      <c r="BL289" s="30"/>
      <c r="BM289" s="30" t="str">
        <f ca="1">IFERROR(__xludf.DUMMYFUNCTION("""COMPUTED_VALUE"""),"No")</f>
        <v>No</v>
      </c>
      <c r="BN289" s="30"/>
      <c r="BO289" s="30" t="str">
        <f ca="1">IFERROR(__xludf.DUMMYFUNCTION("""COMPUTED_VALUE"""),"438f0292")</f>
        <v>438f0292</v>
      </c>
      <c r="BP289" s="29" t="str">
        <f ca="1">IFERROR(__xludf.DUMMYFUNCTION("""COMPUTED_VALUE"""),"León")</f>
        <v>León</v>
      </c>
      <c r="BQ289" s="30" t="str">
        <f ca="1">IFERROR(__xludf.DUMMYFUNCTION("""COMPUTED_VALUE"""),"Urbano")</f>
        <v>Urbano</v>
      </c>
      <c r="BR289" s="30"/>
      <c r="BS289" s="30"/>
      <c r="BT289" s="30"/>
      <c r="BU289" s="30" t="str">
        <f ca="1">IFERROR(__xludf.DUMMYFUNCTION("""COMPUTED_VALUE"""),"No")</f>
        <v>No</v>
      </c>
      <c r="BV289" s="30" t="str">
        <f ca="1">IFERROR(__xludf.DUMMYFUNCTION("""COMPUTED_VALUE"""),"No")</f>
        <v>No</v>
      </c>
      <c r="BW289" s="30">
        <f ca="1">IFERROR(__xludf.DUMMYFUNCTION("""COMPUTED_VALUE"""),96)</f>
        <v>96</v>
      </c>
      <c r="BX289" s="30"/>
      <c r="BY289" s="30">
        <f ca="1">IFERROR(__xludf.DUMMYFUNCTION("""COMPUTED_VALUE"""),96)</f>
        <v>96</v>
      </c>
      <c r="BZ289" s="30"/>
      <c r="CA289" s="30" t="str">
        <f ca="1">IFERROR(__xludf.DUMMYFUNCTION("""COMPUTED_VALUE"""),"No")</f>
        <v>No</v>
      </c>
      <c r="CB289" s="30" t="str">
        <f ca="1">IFERROR(__xludf.DUMMYFUNCTION("""COMPUTED_VALUE"""),"No")</f>
        <v>No</v>
      </c>
      <c r="CC289" s="30" t="str">
        <f ca="1">IFERROR(__xludf.DUMMYFUNCTION("""COMPUTED_VALUE"""),"049e977e")</f>
        <v>049e977e</v>
      </c>
      <c r="CD289" s="29" t="str">
        <f ca="1">IFERROR(__xludf.DUMMYFUNCTION("""COMPUTED_VALUE"""),"Niñas y Niños (6 a 12 años)")</f>
        <v>Niñas y Niños (6 a 12 años)</v>
      </c>
      <c r="CE289" s="30" t="str">
        <f ca="1">IFERROR(__xludf.DUMMYFUNCTION("""COMPUTED_VALUE"""),"Dato global")</f>
        <v>Dato global</v>
      </c>
      <c r="CF289" s="30" t="str">
        <f ca="1">IFERROR(__xludf.DUMMYFUNCTION("""COMPUTED_VALUE"""),"Ninguno (Población General)")</f>
        <v>Ninguno (Población General)</v>
      </c>
      <c r="CG289" s="30">
        <f ca="1">IFERROR(__xludf.DUMMYFUNCTION("""COMPUTED_VALUE"""),3)</f>
        <v>3</v>
      </c>
      <c r="CI289" s="30" t="str">
        <f ca="1">IFERROR(__xludf.DUMMYFUNCTION("""COMPUTED_VALUE"""),"88649005")</f>
        <v>88649005</v>
      </c>
      <c r="CJ289" s="29" t="str">
        <f ca="1">IFERROR(__xludf.DUMMYFUNCTION("""COMPUTED_VALUE"""),"Regitro_Evidencia_Images/88649005.Archivo_Evidencia.184705.jpg")</f>
        <v>Regitro_Evidencia_Images/88649005.Archivo_Evidencia.184705.jpg</v>
      </c>
      <c r="CK289" s="30" t="str">
        <f ca="1">IFERROR(__xludf.DUMMYFUNCTION("""COMPUTED_VALUE"""),"Foto")</f>
        <v>Foto</v>
      </c>
      <c r="CL289" s="30"/>
      <c r="CM289" s="30" t="str">
        <f ca="1">IFERROR(__xludf.DUMMYFUNCTION("""COMPUTED_VALUE"""),"León")</f>
        <v>León</v>
      </c>
      <c r="CN289" s="32" t="e">
        <f ca="1"/>
        <v>#NAME?</v>
      </c>
      <c r="CO289" s="32" t="e">
        <f ca="1"/>
        <v>#NAME?</v>
      </c>
      <c r="CP289" s="32" t="e">
        <f ca="1"/>
        <v>#NAME?</v>
      </c>
      <c r="CQ289" s="32" t="e">
        <f ca="1"/>
        <v>#NAME?</v>
      </c>
      <c r="CR289" s="30" t="e">
        <f ca="1"/>
        <v>#NAME?</v>
      </c>
      <c r="CS289" s="30" t="str">
        <f ca="1">IFERROR(__xludf.DUMMYFUNCTION("""COMPUTED_VALUE"""),"Ninguno (Población General)")</f>
        <v>Ninguno (Población General)</v>
      </c>
    </row>
    <row r="290" spans="1:97" ht="13">
      <c r="A290" s="29" t="str">
        <f ca="1">IFERROR(__xludf.DUMMYFUNCTION("""COMPUTED_VALUE"""),"ACT-SCNF61446")</f>
        <v>ACT-SCNF61446</v>
      </c>
      <c r="B290" s="30" t="str">
        <f ca="1">IFERROR(__xludf.DUMMYFUNCTION("""COMPUTED_VALUE"""),"SC-260820-160637")</f>
        <v>SC-260820-160637</v>
      </c>
      <c r="C290" s="62">
        <f ca="1">IFERROR(__xludf.DUMMYFUNCTION("""COMPUTED_VALUE"""),46254.671261574)</f>
        <v>46254.671261574003</v>
      </c>
      <c r="D290" s="30">
        <f ca="1">IFERROR(__xludf.DUMMYFUNCTION("""COMPUTED_VALUE"""),92)</f>
        <v>92</v>
      </c>
      <c r="E290" s="30" t="str">
        <f ca="1">IFERROR(__xludf.DUMMYFUNCTION("""COMPUTED_VALUE"""),"PB3572")</f>
        <v>PB3572</v>
      </c>
      <c r="F29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0" s="30" t="str">
        <f ca="1">IFERROR(__xludf.DUMMYFUNCTION("""COMPUTED_VALUE"""),"SUBSECRETARÍA DE DESARROLLO Y PROMOCIÓN ARTÍSTICA Y CULTURAL")</f>
        <v>SUBSECRETARÍA DE DESARROLLO Y PROMOCIÓN ARTÍSTICA Y CULTURAL</v>
      </c>
      <c r="I290" s="34" t="str">
        <f ca="1">IFERROR(__xludf.DUMMYFUNCTION("""COMPUTED_VALUE"""),"DIRECCIÓN GENERAL DE MUSEOS, ARTES VISUALES Y EXPOSICIONES")</f>
        <v>DIRECCIÓN GENERAL DE MUSEOS, ARTES VISUALES Y EXPOSICIONES</v>
      </c>
      <c r="J290" s="30" t="str">
        <f ca="1">IFERROR(__xludf.DUMMYFUNCTION("""COMPUTED_VALUE"""),"Número de Actividades realizadas")</f>
        <v>Número de Actividades realizadas</v>
      </c>
      <c r="K290" s="30">
        <f ca="1">IFERROR(__xludf.DUMMYFUNCTION("""COMPUTED_VALUE"""),800)</f>
        <v>800</v>
      </c>
      <c r="L290" s="30" t="str">
        <f ca="1">IFERROR(__xludf.DUMMYFUNCTION("""COMPUTED_VALUE"""),"Cultural")</f>
        <v>Cultural</v>
      </c>
      <c r="M290" s="30" t="str">
        <f ca="1">IFERROR(__xludf.DUMMYFUNCTION("""COMPUTED_VALUE"""),"Collage de colores (Tarot)")</f>
        <v>Collage de colores (Tarot)</v>
      </c>
      <c r="N290" s="30" t="str">
        <f ca="1">IFERROR(__xludf.DUMMYFUNCTION("""COMPUTED_VALUE"""),"Actividad artística de taller familiar, corresponsabilidad con la exposición bajo el signo de saturno.")</f>
        <v>Actividad artística de taller familiar, corresponsabilidad con la exposición bajo el signo de saturno.</v>
      </c>
      <c r="O290" s="30" t="str">
        <f ca="1">IFERROR(__xludf.DUMMYFUNCTION("""COMPUTED_VALUE"""),"Única")</f>
        <v>Única</v>
      </c>
      <c r="P290" s="33">
        <f ca="1">IFERROR(__xludf.DUMMYFUNCTION("""COMPUTED_VALUE"""),46222)</f>
        <v>46222</v>
      </c>
      <c r="Q290" s="33">
        <f ca="1">IFERROR(__xludf.DUMMYFUNCTION("""COMPUTED_VALUE"""),46222)</f>
        <v>46222</v>
      </c>
      <c r="R290" s="30">
        <f ca="1">IFERROR(__xludf.DUMMYFUNCTION("""COMPUTED_VALUE"""),1)</f>
        <v>1</v>
      </c>
      <c r="S290" s="30" t="str">
        <f ca="1">IFERROR(__xludf.DUMMYFUNCTION("""COMPUTED_VALUE"""),"Cultura comunitaria")</f>
        <v>Cultura comunitaria</v>
      </c>
      <c r="T290" s="30" t="str">
        <f ca="1">IFERROR(__xludf.DUMMYFUNCTION("""COMPUTED_VALUE"""),"Mediación cultural")</f>
        <v>Mediación cultural</v>
      </c>
      <c r="U290" s="30" t="str">
        <f ca="1">IFERROR(__xludf.DUMMYFUNCTION("""COMPUTED_VALUE"""),"Taller")</f>
        <v>Taller</v>
      </c>
      <c r="V290" s="30" t="str">
        <f ca="1">IFERROR(__xludf.DUMMYFUNCTION("""COMPUTED_VALUE"""),"Ninguna")</f>
        <v>Ninguna</v>
      </c>
      <c r="W290" s="30" t="str">
        <f ca="1">IFERROR(__xludf.DUMMYFUNCTION("""COMPUTED_VALUE"""),"Presencial")</f>
        <v>Presencial</v>
      </c>
      <c r="X290" s="30" t="str">
        <f ca="1">IFERROR(__xludf.DUMMYFUNCTION("""COMPUTED_VALUE"""),"Espacio a Cargo de la Secretaría")</f>
        <v>Espacio a Cargo de la Secretaría</v>
      </c>
      <c r="Y290" s="30" t="str">
        <f ca="1">IFERROR(__xludf.DUMMYFUNCTION("""COMPUTED_VALUE"""),"Museo de Arte e Historia de Guanajuato, sala Feliciano Peña")</f>
        <v>Museo de Arte e Historia de Guanajuato, sala Feliciano Peña</v>
      </c>
      <c r="Z290" s="30"/>
      <c r="AA290" s="30"/>
      <c r="AB290" s="30" t="b">
        <f ca="1">IFERROR(__xludf.DUMMYFUNCTION("""COMPUTED_VALUE"""),FALSE)</f>
        <v>0</v>
      </c>
      <c r="AC290" s="30"/>
      <c r="AD290" s="30" t="b">
        <f ca="1">IFERROR(__xludf.DUMMYFUNCTION("""COMPUTED_VALUE"""),FALSE)</f>
        <v>0</v>
      </c>
      <c r="AE290" s="30"/>
      <c r="AF290" s="30" t="b">
        <f ca="1">IFERROR(__xludf.DUMMYFUNCTION("""COMPUTED_VALUE"""),FALSE)</f>
        <v>0</v>
      </c>
      <c r="AG290" s="30"/>
      <c r="AH290" s="30" t="str">
        <f ca="1">IFERROR(__xludf.DUMMYFUNCTION("""COMPUTED_VALUE"""),"Sin costo")</f>
        <v>Sin costo</v>
      </c>
      <c r="AI290" s="30"/>
      <c r="AJ290" s="30"/>
      <c r="AK290" s="30"/>
      <c r="AL290" s="30" t="str">
        <f ca="1">IFERROR(__xludf.DUMMYFUNCTION("""COMPUTED_VALUE"""),"ccardonav@guanajuato.gob.mx")</f>
        <v>ccardonav@guanajuato.gob.mx</v>
      </c>
      <c r="AM290" s="30" t="str">
        <f ca="1">IFERROR(__xludf.DUMMYFUNCTION("""COMPUTED_VALUE"""),"Arraigo y empoderamiento cultural de comunidades.")</f>
        <v>Arraigo y empoderamiento cultural de comunidades.</v>
      </c>
      <c r="AN290" s="30" t="str">
        <f ca="1">IFERROR(__xludf.DUMMYFUNCTION("""COMPUTED_VALUE"""),"2 Igualdad")</f>
        <v>2 Igualdad</v>
      </c>
      <c r="AO290" s="30" t="str">
        <f ca="1">IFERROR(__xludf.DUMMYFUNCTION("""COMPUTED_VALUE"""),"2.4 Reducir brechas de desigualdad")</f>
        <v>2.4 Reducir brechas de desigualdad</v>
      </c>
      <c r="AP290" s="30" t="str">
        <f ca="1">IFERROR(__xludf.DUMMYFUNCTION("""COMPUTED_VALUE"""),"2.4.3 Descentralización de la oferta cultural")</f>
        <v>2.4.3 Descentralización de la oferta cultural</v>
      </c>
      <c r="AQ290" s="30" t="str">
        <f ca="1">IFERROR(__xludf.DUMMYFUNCTION("""COMPUTED_VALUE"""),"2.4.3.1 Impulsar el desarrollo artístico y cultural entre infancias y juventudes")</f>
        <v>2.4.3.1 Impulsar el desarrollo artístico y cultural entre infancias y juventudes</v>
      </c>
      <c r="AR290" s="30" t="str">
        <f ca="1">IFERROR(__xludf.DUMMYFUNCTION("""COMPUTED_VALUE"""),"Ninguno")</f>
        <v>Ninguno</v>
      </c>
      <c r="AS290" s="30"/>
      <c r="AT290" s="30" t="str">
        <f ca="1">IFERROR(__xludf.DUMMYFUNCTION("""COMPUTED_VALUE"""),"Fortalecimiento de la participación ciudadana y la mediación cultural")</f>
        <v>Fortalecimiento de la participación ciudadana y la mediación cultural</v>
      </c>
      <c r="AU290" s="30" t="str">
        <f ca="1">IFERROR(__xludf.DUMMYFUNCTION("""COMPUTED_VALUE"""),"Fortalecimiento del diálogo, la mediación y las capacidades de las redes comunitarias.")</f>
        <v>Fortalecimiento del diálogo, la mediación y las capacidades de las redes comunitarias.</v>
      </c>
      <c r="AV290"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90" s="30" t="str">
        <f ca="1">IFERROR(__xludf.DUMMYFUNCTION("""COMPUTED_VALUE"""),"Incrementar en 25% la oferta cultural realizada en los municipios.")</f>
        <v>Incrementar en 25% la oferta cultural realizada en los municipios.</v>
      </c>
      <c r="AX290" s="30" t="str">
        <f ca="1">IFERROR(__xludf.DUMMYFUNCTION("""COMPUTED_VALUE"""),"Taller")</f>
        <v>Taller</v>
      </c>
      <c r="AY290" s="30" t="str">
        <f ca="1">IFERROR(__xludf.DUMMYFUNCTION("""COMPUTED_VALUE"""),"Mediación")</f>
        <v>Mediación</v>
      </c>
      <c r="AZ290" s="30"/>
      <c r="BA290" s="30"/>
      <c r="BB290" s="30"/>
      <c r="BC290" s="30">
        <f ca="1">IFERROR(__xludf.DUMMYFUNCTION("""COMPUTED_VALUE"""),0)</f>
        <v>0</v>
      </c>
      <c r="BD290" s="30"/>
      <c r="BE290" s="30"/>
      <c r="BF290" s="30" t="b">
        <f ca="1">IFERROR(__xludf.DUMMYFUNCTION("""COMPUTED_VALUE"""),FALSE)</f>
        <v>0</v>
      </c>
      <c r="BG290" s="30"/>
      <c r="BH290" s="30"/>
      <c r="BI290" s="30"/>
      <c r="BJ290" s="30"/>
      <c r="BK290" s="30"/>
      <c r="BL290" s="30"/>
      <c r="BM290" s="30" t="str">
        <f ca="1">IFERROR(__xludf.DUMMYFUNCTION("""COMPUTED_VALUE"""),"No")</f>
        <v>No</v>
      </c>
      <c r="BN290" s="30"/>
      <c r="BO290" s="30" t="str">
        <f ca="1">IFERROR(__xludf.DUMMYFUNCTION("""COMPUTED_VALUE"""),"b7cc9e90")</f>
        <v>b7cc9e90</v>
      </c>
      <c r="BP290" s="29" t="str">
        <f ca="1">IFERROR(__xludf.DUMMYFUNCTION("""COMPUTED_VALUE"""),"León")</f>
        <v>León</v>
      </c>
      <c r="BQ290" s="30" t="str">
        <f ca="1">IFERROR(__xludf.DUMMYFUNCTION("""COMPUTED_VALUE"""),"Urbano")</f>
        <v>Urbano</v>
      </c>
      <c r="BR290" s="30"/>
      <c r="BS290" s="30"/>
      <c r="BT290" s="30"/>
      <c r="BU290" s="30" t="str">
        <f ca="1">IFERROR(__xludf.DUMMYFUNCTION("""COMPUTED_VALUE"""),"No")</f>
        <v>No</v>
      </c>
      <c r="BV290" s="30" t="str">
        <f ca="1">IFERROR(__xludf.DUMMYFUNCTION("""COMPUTED_VALUE"""),"No")</f>
        <v>No</v>
      </c>
      <c r="BW290" s="30">
        <f ca="1">IFERROR(__xludf.DUMMYFUNCTION("""COMPUTED_VALUE"""),96)</f>
        <v>96</v>
      </c>
      <c r="BX290" s="30"/>
      <c r="BY290" s="30">
        <f ca="1">IFERROR(__xludf.DUMMYFUNCTION("""COMPUTED_VALUE"""),96)</f>
        <v>96</v>
      </c>
      <c r="BZ290" s="30"/>
      <c r="CA290" s="30" t="str">
        <f ca="1">IFERROR(__xludf.DUMMYFUNCTION("""COMPUTED_VALUE"""),"No")</f>
        <v>No</v>
      </c>
      <c r="CB290" s="30" t="str">
        <f ca="1">IFERROR(__xludf.DUMMYFUNCTION("""COMPUTED_VALUE"""),"No")</f>
        <v>No</v>
      </c>
      <c r="CC290" s="30" t="str">
        <f ca="1">IFERROR(__xludf.DUMMYFUNCTION("""COMPUTED_VALUE"""),"ad402b70")</f>
        <v>ad402b70</v>
      </c>
      <c r="CD290" s="29" t="str">
        <f ca="1">IFERROR(__xludf.DUMMYFUNCTION("""COMPUTED_VALUE"""),"Adultos (30 a 59 años)")</f>
        <v>Adultos (30 a 59 años)</v>
      </c>
      <c r="CE290" s="30" t="str">
        <f ca="1">IFERROR(__xludf.DUMMYFUNCTION("""COMPUTED_VALUE"""),"Dato global")</f>
        <v>Dato global</v>
      </c>
      <c r="CF290" s="30" t="str">
        <f ca="1">IFERROR(__xludf.DUMMYFUNCTION("""COMPUTED_VALUE"""),"Ninguno (Población General)")</f>
        <v>Ninguno (Población General)</v>
      </c>
      <c r="CG290" s="30">
        <f ca="1">IFERROR(__xludf.DUMMYFUNCTION("""COMPUTED_VALUE"""),17)</f>
        <v>17</v>
      </c>
      <c r="CI290" s="30" t="str">
        <f ca="1">IFERROR(__xludf.DUMMYFUNCTION("""COMPUTED_VALUE"""),"ee9def03")</f>
        <v>ee9def03</v>
      </c>
      <c r="CJ290" s="29" t="str">
        <f ca="1">IFERROR(__xludf.DUMMYFUNCTION("""COMPUTED_VALUE"""),"Regitro_Evidencia_Files_/ee9def03.Archivo_Evidencia.184844.pptx")</f>
        <v>Regitro_Evidencia_Files_/ee9def03.Archivo_Evidencia.184844.pptx</v>
      </c>
      <c r="CK290" s="30" t="str">
        <f ca="1">IFERROR(__xludf.DUMMYFUNCTION("""COMPUTED_VALUE"""),"Otro tipo de archivo ")</f>
        <v xml:space="preserve">Otro tipo de archivo </v>
      </c>
      <c r="CL290" s="30"/>
      <c r="CM290" s="30" t="str">
        <f ca="1">IFERROR(__xludf.DUMMYFUNCTION("""COMPUTED_VALUE"""),"León")</f>
        <v>León</v>
      </c>
      <c r="CN290" s="32" t="e">
        <f ca="1"/>
        <v>#NAME?</v>
      </c>
      <c r="CO290" s="32" t="e">
        <f ca="1"/>
        <v>#NAME?</v>
      </c>
      <c r="CP290" s="32" t="e">
        <f ca="1"/>
        <v>#NAME?</v>
      </c>
      <c r="CQ290" s="32" t="e">
        <f ca="1"/>
        <v>#NAME?</v>
      </c>
      <c r="CR290" s="30" t="e">
        <f ca="1"/>
        <v>#NAME?</v>
      </c>
      <c r="CS290" s="30" t="str">
        <f ca="1">IFERROR(__xludf.DUMMYFUNCTION("""COMPUTED_VALUE"""),"Ninguno (Población General), Ninguno (Población General), Ninguno (Población General)")</f>
        <v>Ninguno (Población General), Ninguno (Población General), Ninguno (Población General)</v>
      </c>
    </row>
    <row r="291" spans="1:97" ht="13">
      <c r="A291" s="29" t="str">
        <f ca="1">IFERROR(__xludf.DUMMYFUNCTION("""COMPUTED_VALUE"""),"ACT-SCDZ82003")</f>
        <v>ACT-SCDZ82003</v>
      </c>
      <c r="B291" s="30" t="str">
        <f ca="1">IFERROR(__xludf.DUMMYFUNCTION("""COMPUTED_VALUE"""),"SC-260820-161059")</f>
        <v>SC-260820-161059</v>
      </c>
      <c r="C291" s="62">
        <f ca="1">IFERROR(__xludf.DUMMYFUNCTION("""COMPUTED_VALUE"""),46254.6742939814)</f>
        <v>46254.674293981399</v>
      </c>
      <c r="D291" s="30">
        <f ca="1">IFERROR(__xludf.DUMMYFUNCTION("""COMPUTED_VALUE"""),92)</f>
        <v>92</v>
      </c>
      <c r="E291" s="30" t="str">
        <f ca="1">IFERROR(__xludf.DUMMYFUNCTION("""COMPUTED_VALUE"""),"PB3572")</f>
        <v>PB3572</v>
      </c>
      <c r="F29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1" s="30" t="str">
        <f ca="1">IFERROR(__xludf.DUMMYFUNCTION("""COMPUTED_VALUE"""),"SUBSECRETARÍA DE DESARROLLO Y PROMOCIÓN ARTÍSTICA Y CULTURAL")</f>
        <v>SUBSECRETARÍA DE DESARROLLO Y PROMOCIÓN ARTÍSTICA Y CULTURAL</v>
      </c>
      <c r="I291" s="34" t="str">
        <f ca="1">IFERROR(__xludf.DUMMYFUNCTION("""COMPUTED_VALUE"""),"DIRECCIÓN GENERAL DE MUSEOS, ARTES VISUALES Y EXPOSICIONES")</f>
        <v>DIRECCIÓN GENERAL DE MUSEOS, ARTES VISUALES Y EXPOSICIONES</v>
      </c>
      <c r="J291" s="30" t="str">
        <f ca="1">IFERROR(__xludf.DUMMYFUNCTION("""COMPUTED_VALUE"""),"Número de Actividades realizadas")</f>
        <v>Número de Actividades realizadas</v>
      </c>
      <c r="K291" s="30">
        <f ca="1">IFERROR(__xludf.DUMMYFUNCTION("""COMPUTED_VALUE"""),800)</f>
        <v>800</v>
      </c>
      <c r="L291" s="30" t="str">
        <f ca="1">IFERROR(__xludf.DUMMYFUNCTION("""COMPUTED_VALUE"""),"Cultural")</f>
        <v>Cultural</v>
      </c>
      <c r="M291" s="30" t="str">
        <f ca="1">IFERROR(__xludf.DUMMYFUNCTION("""COMPUTED_VALUE"""),"Monotipia de Tamayo. Un verano en el museo")</f>
        <v>Monotipia de Tamayo. Un verano en el museo</v>
      </c>
      <c r="N291" s="30" t="str">
        <f ca="1">IFERROR(__xludf.DUMMYFUNCTION("""COMPUTED_VALUE"""),"Actividad artística de taller familiar, corresponsabilidad con la exposición bajo el signo de saturno.")</f>
        <v>Actividad artística de taller familiar, corresponsabilidad con la exposición bajo el signo de saturno.</v>
      </c>
      <c r="O291" s="30" t="str">
        <f ca="1">IFERROR(__xludf.DUMMYFUNCTION("""COMPUTED_VALUE"""),"Única")</f>
        <v>Única</v>
      </c>
      <c r="P291" s="33">
        <f ca="1">IFERROR(__xludf.DUMMYFUNCTION("""COMPUTED_VALUE"""),46227)</f>
        <v>46227</v>
      </c>
      <c r="Q291" s="33">
        <f ca="1">IFERROR(__xludf.DUMMYFUNCTION("""COMPUTED_VALUE"""),46227)</f>
        <v>46227</v>
      </c>
      <c r="R291" s="30">
        <f ca="1">IFERROR(__xludf.DUMMYFUNCTION("""COMPUTED_VALUE"""),1)</f>
        <v>1</v>
      </c>
      <c r="S291" s="30" t="str">
        <f ca="1">IFERROR(__xludf.DUMMYFUNCTION("""COMPUTED_VALUE"""),"Cultura comunitaria")</f>
        <v>Cultura comunitaria</v>
      </c>
      <c r="T291" s="30" t="str">
        <f ca="1">IFERROR(__xludf.DUMMYFUNCTION("""COMPUTED_VALUE"""),"Mediación cultural")</f>
        <v>Mediación cultural</v>
      </c>
      <c r="U291" s="30" t="str">
        <f ca="1">IFERROR(__xludf.DUMMYFUNCTION("""COMPUTED_VALUE"""),"Taller")</f>
        <v>Taller</v>
      </c>
      <c r="V291" s="30" t="str">
        <f ca="1">IFERROR(__xludf.DUMMYFUNCTION("""COMPUTED_VALUE"""),"Ninguna")</f>
        <v>Ninguna</v>
      </c>
      <c r="W291" s="30" t="str">
        <f ca="1">IFERROR(__xludf.DUMMYFUNCTION("""COMPUTED_VALUE"""),"Presencial")</f>
        <v>Presencial</v>
      </c>
      <c r="X291" s="30" t="str">
        <f ca="1">IFERROR(__xludf.DUMMYFUNCTION("""COMPUTED_VALUE"""),"Espacio a Cargo de la Secretaría")</f>
        <v>Espacio a Cargo de la Secretaría</v>
      </c>
      <c r="Y291" s="30" t="str">
        <f ca="1">IFERROR(__xludf.DUMMYFUNCTION("""COMPUTED_VALUE"""),"Museo de Arte e Historia de Guanajuato, sala Feliciano Peña")</f>
        <v>Museo de Arte e Historia de Guanajuato, sala Feliciano Peña</v>
      </c>
      <c r="Z291" s="30"/>
      <c r="AA291" s="30"/>
      <c r="AB291" s="30" t="b">
        <f ca="1">IFERROR(__xludf.DUMMYFUNCTION("""COMPUTED_VALUE"""),FALSE)</f>
        <v>0</v>
      </c>
      <c r="AC291" s="30"/>
      <c r="AD291" s="30" t="b">
        <f ca="1">IFERROR(__xludf.DUMMYFUNCTION("""COMPUTED_VALUE"""),FALSE)</f>
        <v>0</v>
      </c>
      <c r="AE291" s="30"/>
      <c r="AF291" s="30" t="b">
        <f ca="1">IFERROR(__xludf.DUMMYFUNCTION("""COMPUTED_VALUE"""),FALSE)</f>
        <v>0</v>
      </c>
      <c r="AG291" s="30"/>
      <c r="AH291" s="30" t="str">
        <f ca="1">IFERROR(__xludf.DUMMYFUNCTION("""COMPUTED_VALUE"""),"Sin costo")</f>
        <v>Sin costo</v>
      </c>
      <c r="AI291" s="30"/>
      <c r="AJ291" s="30"/>
      <c r="AK291" s="30"/>
      <c r="AL291" s="30" t="str">
        <f ca="1">IFERROR(__xludf.DUMMYFUNCTION("""COMPUTED_VALUE"""),"ccardonav@guanajuato.gob.mx")</f>
        <v>ccardonav@guanajuato.gob.mx</v>
      </c>
      <c r="AM291" s="30" t="str">
        <f ca="1">IFERROR(__xludf.DUMMYFUNCTION("""COMPUTED_VALUE"""),"Arraigo y empoderamiento cultural de comunidades.")</f>
        <v>Arraigo y empoderamiento cultural de comunidades.</v>
      </c>
      <c r="AN291" s="30" t="str">
        <f ca="1">IFERROR(__xludf.DUMMYFUNCTION("""COMPUTED_VALUE"""),"2 Igualdad")</f>
        <v>2 Igualdad</v>
      </c>
      <c r="AO291" s="30" t="str">
        <f ca="1">IFERROR(__xludf.DUMMYFUNCTION("""COMPUTED_VALUE"""),"2.4 Reducir brechas de desigualdad")</f>
        <v>2.4 Reducir brechas de desigualdad</v>
      </c>
      <c r="AP291" s="30" t="str">
        <f ca="1">IFERROR(__xludf.DUMMYFUNCTION("""COMPUTED_VALUE"""),"2.4.3 Descentralización de la oferta cultural")</f>
        <v>2.4.3 Descentralización de la oferta cultural</v>
      </c>
      <c r="AQ291" s="30" t="str">
        <f ca="1">IFERROR(__xludf.DUMMYFUNCTION("""COMPUTED_VALUE"""),"2.4.3.1 Impulsar el desarrollo artístico y cultural entre infancias y juventudes")</f>
        <v>2.4.3.1 Impulsar el desarrollo artístico y cultural entre infancias y juventudes</v>
      </c>
      <c r="AR291" s="30" t="str">
        <f ca="1">IFERROR(__xludf.DUMMYFUNCTION("""COMPUTED_VALUE"""),"Ninguno")</f>
        <v>Ninguno</v>
      </c>
      <c r="AS291" s="30"/>
      <c r="AT291" s="30" t="str">
        <f ca="1">IFERROR(__xludf.DUMMYFUNCTION("""COMPUTED_VALUE"""),"Fortalecimiento de la participación ciudadana y la mediación cultural")</f>
        <v>Fortalecimiento de la participación ciudadana y la mediación cultural</v>
      </c>
      <c r="AU291" s="30" t="str">
        <f ca="1">IFERROR(__xludf.DUMMYFUNCTION("""COMPUTED_VALUE"""),"Fortalecimiento del diálogo, la mediación y las capacidades de las redes comunitarias.")</f>
        <v>Fortalecimiento del diálogo, la mediación y las capacidades de las redes comunitarias.</v>
      </c>
      <c r="AV291"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91" s="30" t="str">
        <f ca="1">IFERROR(__xludf.DUMMYFUNCTION("""COMPUTED_VALUE"""),"Incrementar en 25% la oferta cultural realizada en los municipios.")</f>
        <v>Incrementar en 25% la oferta cultural realizada en los municipios.</v>
      </c>
      <c r="AX291" s="30" t="str">
        <f ca="1">IFERROR(__xludf.DUMMYFUNCTION("""COMPUTED_VALUE"""),"Taller")</f>
        <v>Taller</v>
      </c>
      <c r="AY291" s="30" t="str">
        <f ca="1">IFERROR(__xludf.DUMMYFUNCTION("""COMPUTED_VALUE"""),"Mediación")</f>
        <v>Mediación</v>
      </c>
      <c r="AZ291" s="30"/>
      <c r="BA291" s="30"/>
      <c r="BB291" s="30"/>
      <c r="BC291" s="30">
        <f ca="1">IFERROR(__xludf.DUMMYFUNCTION("""COMPUTED_VALUE"""),0)</f>
        <v>0</v>
      </c>
      <c r="BD291" s="30"/>
      <c r="BE291" s="30"/>
      <c r="BF291" s="30" t="b">
        <f ca="1">IFERROR(__xludf.DUMMYFUNCTION("""COMPUTED_VALUE"""),FALSE)</f>
        <v>0</v>
      </c>
      <c r="BG291" s="30"/>
      <c r="BH291" s="30"/>
      <c r="BI291" s="30"/>
      <c r="BJ291" s="30"/>
      <c r="BK291" s="30"/>
      <c r="BL291" s="30"/>
      <c r="BM291" s="30" t="str">
        <f ca="1">IFERROR(__xludf.DUMMYFUNCTION("""COMPUTED_VALUE"""),"No")</f>
        <v>No</v>
      </c>
      <c r="BN291" s="30"/>
      <c r="BO291" s="30" t="str">
        <f ca="1">IFERROR(__xludf.DUMMYFUNCTION("""COMPUTED_VALUE"""),"c9f2322b")</f>
        <v>c9f2322b</v>
      </c>
      <c r="BP291" s="29" t="str">
        <f ca="1">IFERROR(__xludf.DUMMYFUNCTION("""COMPUTED_VALUE"""),"León")</f>
        <v>León</v>
      </c>
      <c r="BQ291" s="30" t="str">
        <f ca="1">IFERROR(__xludf.DUMMYFUNCTION("""COMPUTED_VALUE"""),"Urbano")</f>
        <v>Urbano</v>
      </c>
      <c r="BR291" s="30"/>
      <c r="BS291" s="30"/>
      <c r="BT291" s="30"/>
      <c r="BU291" s="30" t="str">
        <f ca="1">IFERROR(__xludf.DUMMYFUNCTION("""COMPUTED_VALUE"""),"No")</f>
        <v>No</v>
      </c>
      <c r="BV291" s="30" t="str">
        <f ca="1">IFERROR(__xludf.DUMMYFUNCTION("""COMPUTED_VALUE"""),"No")</f>
        <v>No</v>
      </c>
      <c r="BW291" s="30">
        <f ca="1">IFERROR(__xludf.DUMMYFUNCTION("""COMPUTED_VALUE"""),87)</f>
        <v>87</v>
      </c>
      <c r="BX291" s="30"/>
      <c r="BY291" s="30">
        <f ca="1">IFERROR(__xludf.DUMMYFUNCTION("""COMPUTED_VALUE"""),87)</f>
        <v>87</v>
      </c>
      <c r="BZ291" s="30"/>
      <c r="CA291" s="30" t="str">
        <f ca="1">IFERROR(__xludf.DUMMYFUNCTION("""COMPUTED_VALUE"""),"No")</f>
        <v>No</v>
      </c>
      <c r="CB291" s="30" t="str">
        <f ca="1">IFERROR(__xludf.DUMMYFUNCTION("""COMPUTED_VALUE"""),"No")</f>
        <v>No</v>
      </c>
      <c r="CC291" s="30" t="str">
        <f ca="1">IFERROR(__xludf.DUMMYFUNCTION("""COMPUTED_VALUE"""),"0d79a551")</f>
        <v>0d79a551</v>
      </c>
      <c r="CD291" s="29" t="str">
        <f ca="1">IFERROR(__xludf.DUMMYFUNCTION("""COMPUTED_VALUE"""),"Niñas y Niños (6 a 12 años)")</f>
        <v>Niñas y Niños (6 a 12 años)</v>
      </c>
      <c r="CE291" s="30" t="str">
        <f ca="1">IFERROR(__xludf.DUMMYFUNCTION("""COMPUTED_VALUE"""),"Dato global")</f>
        <v>Dato global</v>
      </c>
      <c r="CF291" s="30" t="str">
        <f ca="1">IFERROR(__xludf.DUMMYFUNCTION("""COMPUTED_VALUE"""),"NNA (Niñas, Niños y Adolescentes)")</f>
        <v>NNA (Niñas, Niños y Adolescentes)</v>
      </c>
      <c r="CG291" s="30">
        <f ca="1">IFERROR(__xludf.DUMMYFUNCTION("""COMPUTED_VALUE"""),45)</f>
        <v>45</v>
      </c>
      <c r="CI291" s="30" t="str">
        <f ca="1">IFERROR(__xludf.DUMMYFUNCTION("""COMPUTED_VALUE"""),"0ce89ffd")</f>
        <v>0ce89ffd</v>
      </c>
      <c r="CJ291" s="29" t="str">
        <f ca="1">IFERROR(__xludf.DUMMYFUNCTION("""COMPUTED_VALUE"""),"Regitro_Evidencia_Files_/0ce89ffd.Archivo_Evidencia.174616.06102026.pdf")</f>
        <v>Regitro_Evidencia_Files_/0ce89ffd.Archivo_Evidencia.174616.06102026.pdf</v>
      </c>
      <c r="CK291" s="30" t="str">
        <f ca="1">IFERROR(__xludf.DUMMYFUNCTION("""COMPUTED_VALUE"""),"PDF")</f>
        <v>PDF</v>
      </c>
      <c r="CL291" s="30"/>
      <c r="CM291" s="30" t="str">
        <f ca="1">IFERROR(__xludf.DUMMYFUNCTION("""COMPUTED_VALUE"""),"León")</f>
        <v>León</v>
      </c>
      <c r="CN291" s="32" t="e">
        <f ca="1"/>
        <v>#NAME?</v>
      </c>
      <c r="CO291" s="32" t="e">
        <f ca="1"/>
        <v>#NAME?</v>
      </c>
      <c r="CP291" s="32" t="e">
        <f ca="1"/>
        <v>#NAME?</v>
      </c>
      <c r="CQ291" s="32" t="e">
        <f ca="1"/>
        <v>#NAME?</v>
      </c>
      <c r="CR291" s="30" t="e">
        <f ca="1"/>
        <v>#NAME?</v>
      </c>
      <c r="CS291" s="30" t="str">
        <f ca="1">IFERROR(__xludf.DUMMYFUNCTION("""COMPUTED_VALUE"""),"Ninguno (Población General), Ninguno (Población General), Ninguno (Población General)")</f>
        <v>Ninguno (Población General), Ninguno (Población General), Ninguno (Población General)</v>
      </c>
    </row>
    <row r="292" spans="1:97" ht="13">
      <c r="A292" s="29" t="str">
        <f ca="1">IFERROR(__xludf.DUMMYFUNCTION("""COMPUTED_VALUE"""),"ACT-SCOJ18223")</f>
        <v>ACT-SCOJ18223</v>
      </c>
      <c r="B292" s="30" t="str">
        <f ca="1">IFERROR(__xludf.DUMMYFUNCTION("""COMPUTED_VALUE"""),"SC-260820-163400")</f>
        <v>SC-260820-163400</v>
      </c>
      <c r="C292" s="62">
        <f ca="1">IFERROR(__xludf.DUMMYFUNCTION("""COMPUTED_VALUE"""),46254.6902777777)</f>
        <v>46254.6902777777</v>
      </c>
      <c r="D292" s="30">
        <f ca="1">IFERROR(__xludf.DUMMYFUNCTION("""COMPUTED_VALUE"""),92)</f>
        <v>92</v>
      </c>
      <c r="E292" s="30" t="str">
        <f ca="1">IFERROR(__xludf.DUMMYFUNCTION("""COMPUTED_VALUE"""),"PB3572")</f>
        <v>PB3572</v>
      </c>
      <c r="F29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2" s="30" t="str">
        <f ca="1">IFERROR(__xludf.DUMMYFUNCTION("""COMPUTED_VALUE"""),"SUBSECRETARÍA DE DESARROLLO Y PROMOCIÓN ARTÍSTICA Y CULTURAL")</f>
        <v>SUBSECRETARÍA DE DESARROLLO Y PROMOCIÓN ARTÍSTICA Y CULTURAL</v>
      </c>
      <c r="I292" s="34" t="str">
        <f ca="1">IFERROR(__xludf.DUMMYFUNCTION("""COMPUTED_VALUE"""),"DIRECCIÓN GENERAL DE MUSEOS, ARTES VISUALES Y EXPOSICIONES")</f>
        <v>DIRECCIÓN GENERAL DE MUSEOS, ARTES VISUALES Y EXPOSICIONES</v>
      </c>
      <c r="J292" s="30" t="str">
        <f ca="1">IFERROR(__xludf.DUMMYFUNCTION("""COMPUTED_VALUE"""),"Número de Actividades realizadas")</f>
        <v>Número de Actividades realizadas</v>
      </c>
      <c r="K292" s="30">
        <f ca="1">IFERROR(__xludf.DUMMYFUNCTION("""COMPUTED_VALUE"""),800)</f>
        <v>800</v>
      </c>
      <c r="L292" s="30" t="str">
        <f ca="1">IFERROR(__xludf.DUMMYFUNCTION("""COMPUTED_VALUE"""),"Cultural")</f>
        <v>Cultural</v>
      </c>
      <c r="M292" s="30" t="str">
        <f ca="1">IFERROR(__xludf.DUMMYFUNCTION("""COMPUTED_VALUE"""),"Rompecabezas del arcano mayor")</f>
        <v>Rompecabezas del arcano mayor</v>
      </c>
      <c r="N292" s="30" t="str">
        <f ca="1">IFERROR(__xludf.DUMMYFUNCTION("""COMPUTED_VALUE"""),"Actividad artística de taller familiar, corresponsabilidad con la exposición bajo el signo de saturno.")</f>
        <v>Actividad artística de taller familiar, corresponsabilidad con la exposición bajo el signo de saturno.</v>
      </c>
      <c r="O292" s="30" t="str">
        <f ca="1">IFERROR(__xludf.DUMMYFUNCTION("""COMPUTED_VALUE"""),"Única")</f>
        <v>Única</v>
      </c>
      <c r="P292" s="33">
        <f ca="1">IFERROR(__xludf.DUMMYFUNCTION("""COMPUTED_VALUE"""),46233)</f>
        <v>46233</v>
      </c>
      <c r="Q292" s="33">
        <f ca="1">IFERROR(__xludf.DUMMYFUNCTION("""COMPUTED_VALUE"""),46233)</f>
        <v>46233</v>
      </c>
      <c r="R292" s="30">
        <f ca="1">IFERROR(__xludf.DUMMYFUNCTION("""COMPUTED_VALUE"""),1)</f>
        <v>1</v>
      </c>
      <c r="S292" s="30" t="str">
        <f ca="1">IFERROR(__xludf.DUMMYFUNCTION("""COMPUTED_VALUE"""),"Cultura comunitaria")</f>
        <v>Cultura comunitaria</v>
      </c>
      <c r="T292" s="30" t="str">
        <f ca="1">IFERROR(__xludf.DUMMYFUNCTION("""COMPUTED_VALUE"""),"Mediación cultural")</f>
        <v>Mediación cultural</v>
      </c>
      <c r="U292" s="30" t="str">
        <f ca="1">IFERROR(__xludf.DUMMYFUNCTION("""COMPUTED_VALUE"""),"Taller")</f>
        <v>Taller</v>
      </c>
      <c r="V292" s="30" t="str">
        <f ca="1">IFERROR(__xludf.DUMMYFUNCTION("""COMPUTED_VALUE"""),"Ninguna")</f>
        <v>Ninguna</v>
      </c>
      <c r="W292" s="30" t="str">
        <f ca="1">IFERROR(__xludf.DUMMYFUNCTION("""COMPUTED_VALUE"""),"Presencial")</f>
        <v>Presencial</v>
      </c>
      <c r="X292" s="30" t="str">
        <f ca="1">IFERROR(__xludf.DUMMYFUNCTION("""COMPUTED_VALUE"""),"Espacio a Cargo de la Secretaría")</f>
        <v>Espacio a Cargo de la Secretaría</v>
      </c>
      <c r="Y292" s="30" t="str">
        <f ca="1">IFERROR(__xludf.DUMMYFUNCTION("""COMPUTED_VALUE"""),"Museo de Arte e Historia de Guanajuato, sala Feliciano Peña")</f>
        <v>Museo de Arte e Historia de Guanajuato, sala Feliciano Peña</v>
      </c>
      <c r="Z292" s="30"/>
      <c r="AA292" s="30"/>
      <c r="AB292" s="30" t="b">
        <f ca="1">IFERROR(__xludf.DUMMYFUNCTION("""COMPUTED_VALUE"""),FALSE)</f>
        <v>0</v>
      </c>
      <c r="AC292" s="30"/>
      <c r="AD292" s="30" t="b">
        <f ca="1">IFERROR(__xludf.DUMMYFUNCTION("""COMPUTED_VALUE"""),FALSE)</f>
        <v>0</v>
      </c>
      <c r="AE292" s="30"/>
      <c r="AF292" s="30" t="b">
        <f ca="1">IFERROR(__xludf.DUMMYFUNCTION("""COMPUTED_VALUE"""),FALSE)</f>
        <v>0</v>
      </c>
      <c r="AG292" s="30"/>
      <c r="AH292" s="30" t="str">
        <f ca="1">IFERROR(__xludf.DUMMYFUNCTION("""COMPUTED_VALUE"""),"Sin costo")</f>
        <v>Sin costo</v>
      </c>
      <c r="AI292" s="30"/>
      <c r="AJ292" s="30"/>
      <c r="AK292" s="30"/>
      <c r="AL292" s="30" t="str">
        <f ca="1">IFERROR(__xludf.DUMMYFUNCTION("""COMPUTED_VALUE"""),"ccardonav@guanajuato.gob.mx")</f>
        <v>ccardonav@guanajuato.gob.mx</v>
      </c>
      <c r="AM292" s="30" t="str">
        <f ca="1">IFERROR(__xludf.DUMMYFUNCTION("""COMPUTED_VALUE"""),"Arraigo y empoderamiento cultural de comunidades.")</f>
        <v>Arraigo y empoderamiento cultural de comunidades.</v>
      </c>
      <c r="AN292" s="30" t="str">
        <f ca="1">IFERROR(__xludf.DUMMYFUNCTION("""COMPUTED_VALUE"""),"2 Igualdad")</f>
        <v>2 Igualdad</v>
      </c>
      <c r="AO292" s="30" t="str">
        <f ca="1">IFERROR(__xludf.DUMMYFUNCTION("""COMPUTED_VALUE"""),"2.4 Reducir brechas de desigualdad")</f>
        <v>2.4 Reducir brechas de desigualdad</v>
      </c>
      <c r="AP292" s="30" t="str">
        <f ca="1">IFERROR(__xludf.DUMMYFUNCTION("""COMPUTED_VALUE"""),"2.4.3 Descentralización de la oferta cultural")</f>
        <v>2.4.3 Descentralización de la oferta cultural</v>
      </c>
      <c r="AQ292" s="30" t="str">
        <f ca="1">IFERROR(__xludf.DUMMYFUNCTION("""COMPUTED_VALUE"""),"2.4.3.1 Impulsar el desarrollo artístico y cultural entre infancias y juventudes")</f>
        <v>2.4.3.1 Impulsar el desarrollo artístico y cultural entre infancias y juventudes</v>
      </c>
      <c r="AR292" s="30" t="str">
        <f ca="1">IFERROR(__xludf.DUMMYFUNCTION("""COMPUTED_VALUE"""),"Ninguno")</f>
        <v>Ninguno</v>
      </c>
      <c r="AS292" s="30"/>
      <c r="AT292" s="30" t="str">
        <f ca="1">IFERROR(__xludf.DUMMYFUNCTION("""COMPUTED_VALUE"""),"Fortalecimiento de la participación ciudadana y la mediación cultural")</f>
        <v>Fortalecimiento de la participación ciudadana y la mediación cultural</v>
      </c>
      <c r="AU292" s="30" t="str">
        <f ca="1">IFERROR(__xludf.DUMMYFUNCTION("""COMPUTED_VALUE"""),"Fortalecimiento del diálogo, la mediación y las capacidades de las redes comunitarias.")</f>
        <v>Fortalecimiento del diálogo, la mediación y las capacidades de las redes comunitarias.</v>
      </c>
      <c r="AV292"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92" s="30" t="str">
        <f ca="1">IFERROR(__xludf.DUMMYFUNCTION("""COMPUTED_VALUE"""),"Incrementar en 25% la oferta cultural realizada en los municipios.")</f>
        <v>Incrementar en 25% la oferta cultural realizada en los municipios.</v>
      </c>
      <c r="AX292" s="30" t="str">
        <f ca="1">IFERROR(__xludf.DUMMYFUNCTION("""COMPUTED_VALUE"""),"Taller")</f>
        <v>Taller</v>
      </c>
      <c r="AY292" s="30" t="str">
        <f ca="1">IFERROR(__xludf.DUMMYFUNCTION("""COMPUTED_VALUE"""),"Mediación")</f>
        <v>Mediación</v>
      </c>
      <c r="AZ292" s="30"/>
      <c r="BA292" s="30"/>
      <c r="BB292" s="30"/>
      <c r="BC292" s="30">
        <f ca="1">IFERROR(__xludf.DUMMYFUNCTION("""COMPUTED_VALUE"""),0)</f>
        <v>0</v>
      </c>
      <c r="BD292" s="30"/>
      <c r="BE292" s="30"/>
      <c r="BF292" s="30" t="b">
        <f ca="1">IFERROR(__xludf.DUMMYFUNCTION("""COMPUTED_VALUE"""),FALSE)</f>
        <v>0</v>
      </c>
      <c r="BG292" s="30"/>
      <c r="BH292" s="30"/>
      <c r="BI292" s="30"/>
      <c r="BJ292" s="30"/>
      <c r="BK292" s="30"/>
      <c r="BL292" s="30"/>
      <c r="BM292" s="30" t="str">
        <f ca="1">IFERROR(__xludf.DUMMYFUNCTION("""COMPUTED_VALUE"""),"No")</f>
        <v>No</v>
      </c>
      <c r="BN292" s="30"/>
      <c r="BO292" s="30" t="str">
        <f ca="1">IFERROR(__xludf.DUMMYFUNCTION("""COMPUTED_VALUE"""),"8b73568c")</f>
        <v>8b73568c</v>
      </c>
      <c r="BP292" s="29" t="str">
        <f ca="1">IFERROR(__xludf.DUMMYFUNCTION("""COMPUTED_VALUE"""),"León")</f>
        <v>León</v>
      </c>
      <c r="BQ292" s="30" t="str">
        <f ca="1">IFERROR(__xludf.DUMMYFUNCTION("""COMPUTED_VALUE"""),"Urbano")</f>
        <v>Urbano</v>
      </c>
      <c r="BR292" s="30"/>
      <c r="BS292" s="30"/>
      <c r="BT292" s="30"/>
      <c r="BU292" s="30" t="str">
        <f ca="1">IFERROR(__xludf.DUMMYFUNCTION("""COMPUTED_VALUE"""),"No")</f>
        <v>No</v>
      </c>
      <c r="BV292" s="30" t="str">
        <f ca="1">IFERROR(__xludf.DUMMYFUNCTION("""COMPUTED_VALUE"""),"No")</f>
        <v>No</v>
      </c>
      <c r="BW292" s="30">
        <f ca="1">IFERROR(__xludf.DUMMYFUNCTION("""COMPUTED_VALUE"""),130)</f>
        <v>130</v>
      </c>
      <c r="BX292" s="30"/>
      <c r="BY292" s="30">
        <f ca="1">IFERROR(__xludf.DUMMYFUNCTION("""COMPUTED_VALUE"""),130)</f>
        <v>130</v>
      </c>
      <c r="BZ292" s="30"/>
      <c r="CA292" s="30" t="str">
        <f ca="1">IFERROR(__xludf.DUMMYFUNCTION("""COMPUTED_VALUE"""),"No")</f>
        <v>No</v>
      </c>
      <c r="CB292" s="30" t="str">
        <f ca="1">IFERROR(__xludf.DUMMYFUNCTION("""COMPUTED_VALUE"""),"No")</f>
        <v>No</v>
      </c>
      <c r="CC292" s="30" t="str">
        <f ca="1">IFERROR(__xludf.DUMMYFUNCTION("""COMPUTED_VALUE"""),"ba5ba047")</f>
        <v>ba5ba047</v>
      </c>
      <c r="CD292" s="29" t="str">
        <f ca="1">IFERROR(__xludf.DUMMYFUNCTION("""COMPUTED_VALUE"""),"Jóvenes (18 a 29 años)")</f>
        <v>Jóvenes (18 a 29 años)</v>
      </c>
      <c r="CE292" s="30" t="str">
        <f ca="1">IFERROR(__xludf.DUMMYFUNCTION("""COMPUTED_VALUE"""),"Dato global")</f>
        <v>Dato global</v>
      </c>
      <c r="CF292" s="30" t="str">
        <f ca="1">IFERROR(__xludf.DUMMYFUNCTION("""COMPUTED_VALUE"""),"Ninguno (Población General)")</f>
        <v>Ninguno (Población General)</v>
      </c>
      <c r="CG292" s="30">
        <f ca="1">IFERROR(__xludf.DUMMYFUNCTION("""COMPUTED_VALUE"""),50)</f>
        <v>50</v>
      </c>
      <c r="CI292" s="30" t="str">
        <f ca="1">IFERROR(__xludf.DUMMYFUNCTION("""COMPUTED_VALUE"""),"dc3170cb")</f>
        <v>dc3170cb</v>
      </c>
      <c r="CJ292" s="29" t="str">
        <f ca="1">IFERROR(__xludf.DUMMYFUNCTION("""COMPUTED_VALUE"""),"Regitro_Evidencia_Files_/dc3170cb.Archivo_Evidencia.183332.11102026.pdf")</f>
        <v>Regitro_Evidencia_Files_/dc3170cb.Archivo_Evidencia.183332.11102026.pdf</v>
      </c>
      <c r="CK292" s="30" t="str">
        <f ca="1">IFERROR(__xludf.DUMMYFUNCTION("""COMPUTED_VALUE"""),"PDF")</f>
        <v>PDF</v>
      </c>
      <c r="CL292" s="30"/>
      <c r="CM292" s="30" t="str">
        <f ca="1">IFERROR(__xludf.DUMMYFUNCTION("""COMPUTED_VALUE"""),"León")</f>
        <v>León</v>
      </c>
      <c r="CN292" s="32" t="e">
        <f ca="1"/>
        <v>#NAME?</v>
      </c>
      <c r="CO292" s="32" t="e">
        <f ca="1"/>
        <v>#NAME?</v>
      </c>
      <c r="CP292" s="32" t="e">
        <f ca="1"/>
        <v>#NAME?</v>
      </c>
      <c r="CQ292" s="32" t="e">
        <f ca="1"/>
        <v>#NAME?</v>
      </c>
      <c r="CR292" s="30" t="e">
        <f ca="1"/>
        <v>#NAME?</v>
      </c>
      <c r="CS292" s="30" t="str">
        <f ca="1">IFERROR(__xludf.DUMMYFUNCTION("""COMPUTED_VALUE"""),"Ninguno (Población General)")</f>
        <v>Ninguno (Población General)</v>
      </c>
    </row>
    <row r="293" spans="1:97" ht="13">
      <c r="A293" s="29" t="str">
        <f ca="1">IFERROR(__xludf.DUMMYFUNCTION("""COMPUTED_VALUE"""),"ACT-SCYI34868")</f>
        <v>ACT-SCYI34868</v>
      </c>
      <c r="B293" s="30" t="str">
        <f ca="1">IFERROR(__xludf.DUMMYFUNCTION("""COMPUTED_VALUE"""),"SC-260820-163952")</f>
        <v>SC-260820-163952</v>
      </c>
      <c r="C293" s="62">
        <f ca="1">IFERROR(__xludf.DUMMYFUNCTION("""COMPUTED_VALUE"""),46254.6943518518)</f>
        <v>46254.694351851802</v>
      </c>
      <c r="D293" s="30">
        <f ca="1">IFERROR(__xludf.DUMMYFUNCTION("""COMPUTED_VALUE"""),92)</f>
        <v>92</v>
      </c>
      <c r="E293" s="30" t="str">
        <f ca="1">IFERROR(__xludf.DUMMYFUNCTION("""COMPUTED_VALUE"""),"PB3572")</f>
        <v>PB3572</v>
      </c>
      <c r="F29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3" s="30" t="str">
        <f ca="1">IFERROR(__xludf.DUMMYFUNCTION("""COMPUTED_VALUE"""),"SUBSECRETARÍA DE DESARROLLO Y PROMOCIÓN ARTÍSTICA Y CULTURAL")</f>
        <v>SUBSECRETARÍA DE DESARROLLO Y PROMOCIÓN ARTÍSTICA Y CULTURAL</v>
      </c>
      <c r="I293" s="34" t="str">
        <f ca="1">IFERROR(__xludf.DUMMYFUNCTION("""COMPUTED_VALUE"""),"DIRECCIÓN GENERAL DE MUSEOS, ARTES VISUALES Y EXPOSICIONES")</f>
        <v>DIRECCIÓN GENERAL DE MUSEOS, ARTES VISUALES Y EXPOSICIONES</v>
      </c>
      <c r="J293" s="30" t="str">
        <f ca="1">IFERROR(__xludf.DUMMYFUNCTION("""COMPUTED_VALUE"""),"Número de Actividades realizadas")</f>
        <v>Número de Actividades realizadas</v>
      </c>
      <c r="K293" s="30">
        <f ca="1">IFERROR(__xludf.DUMMYFUNCTION("""COMPUTED_VALUE"""),800)</f>
        <v>800</v>
      </c>
      <c r="L293" s="30" t="str">
        <f ca="1">IFERROR(__xludf.DUMMYFUNCTION("""COMPUTED_VALUE"""),"Cultural")</f>
        <v>Cultural</v>
      </c>
      <c r="M293" s="30" t="str">
        <f ca="1">IFERROR(__xludf.DUMMYFUNCTION("""COMPUTED_VALUE"""),"Lectura dramatizada de oráculos griegos")</f>
        <v>Lectura dramatizada de oráculos griegos</v>
      </c>
      <c r="N293" s="30" t="str">
        <f ca="1">IFERROR(__xludf.DUMMYFUNCTION("""COMPUTED_VALUE"""),"Actividad artística de taller familiar, corresponsabilidad con la exposición bajo el signo de saturno.")</f>
        <v>Actividad artística de taller familiar, corresponsabilidad con la exposición bajo el signo de saturno.</v>
      </c>
      <c r="O293" s="30" t="str">
        <f ca="1">IFERROR(__xludf.DUMMYFUNCTION("""COMPUTED_VALUE"""),"Única")</f>
        <v>Única</v>
      </c>
      <c r="P293" s="33">
        <f ca="1">IFERROR(__xludf.DUMMYFUNCTION("""COMPUTED_VALUE"""),46228)</f>
        <v>46228</v>
      </c>
      <c r="Q293" s="33">
        <f ca="1">IFERROR(__xludf.DUMMYFUNCTION("""COMPUTED_VALUE"""),46228)</f>
        <v>46228</v>
      </c>
      <c r="R293" s="30">
        <f ca="1">IFERROR(__xludf.DUMMYFUNCTION("""COMPUTED_VALUE"""),1)</f>
        <v>1</v>
      </c>
      <c r="S293" s="30" t="str">
        <f ca="1">IFERROR(__xludf.DUMMYFUNCTION("""COMPUTED_VALUE"""),"Cultura comunitaria")</f>
        <v>Cultura comunitaria</v>
      </c>
      <c r="T293" s="30" t="str">
        <f ca="1">IFERROR(__xludf.DUMMYFUNCTION("""COMPUTED_VALUE"""),"Mediación cultural")</f>
        <v>Mediación cultural</v>
      </c>
      <c r="U293" s="30" t="str">
        <f ca="1">IFERROR(__xludf.DUMMYFUNCTION("""COMPUTED_VALUE"""),"Programación cultural en recinto")</f>
        <v>Programación cultural en recinto</v>
      </c>
      <c r="V293" s="30" t="str">
        <f ca="1">IFERROR(__xludf.DUMMYFUNCTION("""COMPUTED_VALUE"""),"Ninguna")</f>
        <v>Ninguna</v>
      </c>
      <c r="W293" s="30" t="str">
        <f ca="1">IFERROR(__xludf.DUMMYFUNCTION("""COMPUTED_VALUE"""),"Presencial")</f>
        <v>Presencial</v>
      </c>
      <c r="X293" s="30" t="str">
        <f ca="1">IFERROR(__xludf.DUMMYFUNCTION("""COMPUTED_VALUE"""),"Espacio a Cargo de la Secretaría")</f>
        <v>Espacio a Cargo de la Secretaría</v>
      </c>
      <c r="Y293" s="30" t="str">
        <f ca="1">IFERROR(__xludf.DUMMYFUNCTION("""COMPUTED_VALUE"""),"Museo de Arte e Historia de Guanajuato, sala Feliciano Peña")</f>
        <v>Museo de Arte e Historia de Guanajuato, sala Feliciano Peña</v>
      </c>
      <c r="Z293" s="30"/>
      <c r="AA293" s="30"/>
      <c r="AB293" s="30" t="b">
        <f ca="1">IFERROR(__xludf.DUMMYFUNCTION("""COMPUTED_VALUE"""),FALSE)</f>
        <v>0</v>
      </c>
      <c r="AC293" s="30"/>
      <c r="AD293" s="30" t="b">
        <f ca="1">IFERROR(__xludf.DUMMYFUNCTION("""COMPUTED_VALUE"""),FALSE)</f>
        <v>0</v>
      </c>
      <c r="AE293" s="30"/>
      <c r="AF293" s="30" t="b">
        <f ca="1">IFERROR(__xludf.DUMMYFUNCTION("""COMPUTED_VALUE"""),FALSE)</f>
        <v>0</v>
      </c>
      <c r="AG293" s="30"/>
      <c r="AH293" s="30" t="str">
        <f ca="1">IFERROR(__xludf.DUMMYFUNCTION("""COMPUTED_VALUE"""),"Sin costo")</f>
        <v>Sin costo</v>
      </c>
      <c r="AI293" s="30"/>
      <c r="AJ293" s="30"/>
      <c r="AK293" s="30"/>
      <c r="AL293" s="30" t="str">
        <f ca="1">IFERROR(__xludf.DUMMYFUNCTION("""COMPUTED_VALUE"""),"ccardonav@guanajuato.gob.mx")</f>
        <v>ccardonav@guanajuato.gob.mx</v>
      </c>
      <c r="AM293" s="30" t="str">
        <f ca="1">IFERROR(__xludf.DUMMYFUNCTION("""COMPUTED_VALUE"""),"Arraigo y empoderamiento cultural de comunidades.")</f>
        <v>Arraigo y empoderamiento cultural de comunidades.</v>
      </c>
      <c r="AN293" s="30" t="str">
        <f ca="1">IFERROR(__xludf.DUMMYFUNCTION("""COMPUTED_VALUE"""),"2 Igualdad")</f>
        <v>2 Igualdad</v>
      </c>
      <c r="AO293" s="30" t="str">
        <f ca="1">IFERROR(__xludf.DUMMYFUNCTION("""COMPUTED_VALUE"""),"2.4 Reducir brechas de desigualdad")</f>
        <v>2.4 Reducir brechas de desigualdad</v>
      </c>
      <c r="AP293" s="30" t="str">
        <f ca="1">IFERROR(__xludf.DUMMYFUNCTION("""COMPUTED_VALUE"""),"2.4.3 Descentralización de la oferta cultural")</f>
        <v>2.4.3 Descentralización de la oferta cultural</v>
      </c>
      <c r="AQ293" s="30" t="str">
        <f ca="1">IFERROR(__xludf.DUMMYFUNCTION("""COMPUTED_VALUE"""),"2.4.3.1 Impulsar el desarrollo artístico y cultural entre infancias y juventudes")</f>
        <v>2.4.3.1 Impulsar el desarrollo artístico y cultural entre infancias y juventudes</v>
      </c>
      <c r="AR293" s="30" t="str">
        <f ca="1">IFERROR(__xludf.DUMMYFUNCTION("""COMPUTED_VALUE"""),"Ninguno")</f>
        <v>Ninguno</v>
      </c>
      <c r="AS293" s="30"/>
      <c r="AT293" s="30" t="str">
        <f ca="1">IFERROR(__xludf.DUMMYFUNCTION("""COMPUTED_VALUE"""),"Fortalecimiento de la participación ciudadana y la mediación cultural")</f>
        <v>Fortalecimiento de la participación ciudadana y la mediación cultural</v>
      </c>
      <c r="AU293" s="30" t="str">
        <f ca="1">IFERROR(__xludf.DUMMYFUNCTION("""COMPUTED_VALUE"""),"Fortalecimiento del diálogo, la mediación y las capacidades de las redes comunitarias.")</f>
        <v>Fortalecimiento del diálogo, la mediación y las capacidades de las redes comunitarias.</v>
      </c>
      <c r="AV293"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93" s="30" t="str">
        <f ca="1">IFERROR(__xludf.DUMMYFUNCTION("""COMPUTED_VALUE"""),"Incrementar en 25% la oferta cultural realizada en los municipios.")</f>
        <v>Incrementar en 25% la oferta cultural realizada en los municipios.</v>
      </c>
      <c r="AX293" s="30" t="str">
        <f ca="1">IFERROR(__xludf.DUMMYFUNCTION("""COMPUTED_VALUE"""),"Taller")</f>
        <v>Taller</v>
      </c>
      <c r="AY293" s="30" t="str">
        <f ca="1">IFERROR(__xludf.DUMMYFUNCTION("""COMPUTED_VALUE"""),"Mediación")</f>
        <v>Mediación</v>
      </c>
      <c r="AZ293" s="30"/>
      <c r="BA293" s="30"/>
      <c r="BB293" s="30"/>
      <c r="BC293" s="30">
        <f ca="1">IFERROR(__xludf.DUMMYFUNCTION("""COMPUTED_VALUE"""),0)</f>
        <v>0</v>
      </c>
      <c r="BD293" s="30"/>
      <c r="BE293" s="30"/>
      <c r="BF293" s="30" t="b">
        <f ca="1">IFERROR(__xludf.DUMMYFUNCTION("""COMPUTED_VALUE"""),FALSE)</f>
        <v>0</v>
      </c>
      <c r="BG293" s="30"/>
      <c r="BH293" s="30"/>
      <c r="BI293" s="30"/>
      <c r="BJ293" s="30"/>
      <c r="BK293" s="30"/>
      <c r="BL293" s="30"/>
      <c r="BM293" s="30" t="str">
        <f ca="1">IFERROR(__xludf.DUMMYFUNCTION("""COMPUTED_VALUE"""),"No")</f>
        <v>No</v>
      </c>
      <c r="BN293" s="30"/>
      <c r="BO293" s="30" t="str">
        <f ca="1">IFERROR(__xludf.DUMMYFUNCTION("""COMPUTED_VALUE"""),"40b591ee")</f>
        <v>40b591ee</v>
      </c>
      <c r="BP293" s="29" t="str">
        <f ca="1">IFERROR(__xludf.DUMMYFUNCTION("""COMPUTED_VALUE"""),"León")</f>
        <v>León</v>
      </c>
      <c r="BQ293" s="30" t="str">
        <f ca="1">IFERROR(__xludf.DUMMYFUNCTION("""COMPUTED_VALUE"""),"Urbano")</f>
        <v>Urbano</v>
      </c>
      <c r="BR293" s="30"/>
      <c r="BS293" s="30"/>
      <c r="BT293" s="30"/>
      <c r="BU293" s="30" t="str">
        <f ca="1">IFERROR(__xludf.DUMMYFUNCTION("""COMPUTED_VALUE"""),"No")</f>
        <v>No</v>
      </c>
      <c r="BV293" s="30" t="str">
        <f ca="1">IFERROR(__xludf.DUMMYFUNCTION("""COMPUTED_VALUE"""),"No")</f>
        <v>No</v>
      </c>
      <c r="BW293" s="30">
        <f ca="1">IFERROR(__xludf.DUMMYFUNCTION("""COMPUTED_VALUE"""),15)</f>
        <v>15</v>
      </c>
      <c r="BX293" s="30"/>
      <c r="BY293" s="30">
        <f ca="1">IFERROR(__xludf.DUMMYFUNCTION("""COMPUTED_VALUE"""),15)</f>
        <v>15</v>
      </c>
      <c r="BZ293" s="30"/>
      <c r="CA293" s="30" t="str">
        <f ca="1">IFERROR(__xludf.DUMMYFUNCTION("""COMPUTED_VALUE"""),"No")</f>
        <v>No</v>
      </c>
      <c r="CB293" s="30" t="str">
        <f ca="1">IFERROR(__xludf.DUMMYFUNCTION("""COMPUTED_VALUE"""),"No")</f>
        <v>No</v>
      </c>
      <c r="CC293" s="30" t="str">
        <f ca="1">IFERROR(__xludf.DUMMYFUNCTION("""COMPUTED_VALUE"""),"eb7763ad")</f>
        <v>eb7763ad</v>
      </c>
      <c r="CD293" s="29" t="str">
        <f ca="1">IFERROR(__xludf.DUMMYFUNCTION("""COMPUTED_VALUE"""),"Jóvenes (18 a 29 años)")</f>
        <v>Jóvenes (18 a 29 años)</v>
      </c>
      <c r="CE293" s="30" t="str">
        <f ca="1">IFERROR(__xludf.DUMMYFUNCTION("""COMPUTED_VALUE"""),"Dato global")</f>
        <v>Dato global</v>
      </c>
      <c r="CF293" s="30" t="str">
        <f ca="1">IFERROR(__xludf.DUMMYFUNCTION("""COMPUTED_VALUE"""),"Ninguno (Población General)")</f>
        <v>Ninguno (Población General)</v>
      </c>
      <c r="CG293" s="30">
        <f ca="1">IFERROR(__xludf.DUMMYFUNCTION("""COMPUTED_VALUE"""),50)</f>
        <v>50</v>
      </c>
      <c r="CI293" s="30" t="str">
        <f ca="1">IFERROR(__xludf.DUMMYFUNCTION("""COMPUTED_VALUE"""),"d9289798")</f>
        <v>d9289798</v>
      </c>
      <c r="CJ293" s="29" t="str">
        <f ca="1">IFERROR(__xludf.DUMMYFUNCTION("""COMPUTED_VALUE"""),"Regitro_Evidencia_Files_/d9289798.Archivo_Evidencia.174415.pdf")</f>
        <v>Regitro_Evidencia_Files_/d9289798.Archivo_Evidencia.174415.pdf</v>
      </c>
      <c r="CK293" s="30" t="str">
        <f ca="1">IFERROR(__xludf.DUMMYFUNCTION("""COMPUTED_VALUE"""),"PDF")</f>
        <v>PDF</v>
      </c>
      <c r="CL293" s="30"/>
      <c r="CM293" s="30" t="str">
        <f ca="1">IFERROR(__xludf.DUMMYFUNCTION("""COMPUTED_VALUE"""),"León")</f>
        <v>León</v>
      </c>
      <c r="CN293" s="32" t="e">
        <f ca="1"/>
        <v>#NAME?</v>
      </c>
      <c r="CO293" s="32" t="e">
        <f ca="1"/>
        <v>#NAME?</v>
      </c>
      <c r="CP293" s="32" t="e">
        <f ca="1"/>
        <v>#NAME?</v>
      </c>
      <c r="CQ293" s="32" t="e">
        <f ca="1"/>
        <v>#NAME?</v>
      </c>
      <c r="CR293" s="30" t="e">
        <f ca="1"/>
        <v>#NAME?</v>
      </c>
      <c r="CS293" s="30" t="str">
        <f ca="1">IFERROR(__xludf.DUMMYFUNCTION("""COMPUTED_VALUE"""),"Ninguno (Población General)")</f>
        <v>Ninguno (Población General)</v>
      </c>
    </row>
    <row r="294" spans="1:97" ht="13">
      <c r="A294" s="29" t="str">
        <f ca="1">IFERROR(__xludf.DUMMYFUNCTION("""COMPUTED_VALUE"""),"ACT-SCLZ98766")</f>
        <v>ACT-SCLZ98766</v>
      </c>
      <c r="B294" s="30" t="str">
        <f ca="1">IFERROR(__xludf.DUMMYFUNCTION("""COMPUTED_VALUE"""),"SC-260820-164208")</f>
        <v>SC-260820-164208</v>
      </c>
      <c r="C294" s="62">
        <f ca="1">IFERROR(__xludf.DUMMYFUNCTION("""COMPUTED_VALUE"""),46254.6959259259)</f>
        <v>46254.695925925902</v>
      </c>
      <c r="D294" s="30">
        <f ca="1">IFERROR(__xludf.DUMMYFUNCTION("""COMPUTED_VALUE"""),92)</f>
        <v>92</v>
      </c>
      <c r="E294" s="30" t="str">
        <f ca="1">IFERROR(__xludf.DUMMYFUNCTION("""COMPUTED_VALUE"""),"PB3572")</f>
        <v>PB3572</v>
      </c>
      <c r="F29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4" s="30" t="str">
        <f ca="1">IFERROR(__xludf.DUMMYFUNCTION("""COMPUTED_VALUE"""),"SUBSECRETARÍA DE DESARROLLO Y PROMOCIÓN ARTÍSTICA Y CULTURAL")</f>
        <v>SUBSECRETARÍA DE DESARROLLO Y PROMOCIÓN ARTÍSTICA Y CULTURAL</v>
      </c>
      <c r="I294" s="34" t="str">
        <f ca="1">IFERROR(__xludf.DUMMYFUNCTION("""COMPUTED_VALUE"""),"DIRECCIÓN GENERAL DE MUSEOS, ARTES VISUALES Y EXPOSICIONES")</f>
        <v>DIRECCIÓN GENERAL DE MUSEOS, ARTES VISUALES Y EXPOSICIONES</v>
      </c>
      <c r="J294" s="30" t="str">
        <f ca="1">IFERROR(__xludf.DUMMYFUNCTION("""COMPUTED_VALUE"""),"Número de Actividades realizadas")</f>
        <v>Número de Actividades realizadas</v>
      </c>
      <c r="K294" s="30">
        <f ca="1">IFERROR(__xludf.DUMMYFUNCTION("""COMPUTED_VALUE"""),800)</f>
        <v>800</v>
      </c>
      <c r="L294" s="30" t="str">
        <f ca="1">IFERROR(__xludf.DUMMYFUNCTION("""COMPUTED_VALUE"""),"Cultural")</f>
        <v>Cultural</v>
      </c>
      <c r="M294" s="30" t="str">
        <f ca="1">IFERROR(__xludf.DUMMYFUNCTION("""COMPUTED_VALUE"""),"Lectura dramatizada de oráculos griegos")</f>
        <v>Lectura dramatizada de oráculos griegos</v>
      </c>
      <c r="N294" s="30" t="str">
        <f ca="1">IFERROR(__xludf.DUMMYFUNCTION("""COMPUTED_VALUE"""),"Actividad artística de taller familiar, corresponsabilidad con la exposición bajo el signo de saturno.")</f>
        <v>Actividad artística de taller familiar, corresponsabilidad con la exposición bajo el signo de saturno.</v>
      </c>
      <c r="O294" s="30" t="str">
        <f ca="1">IFERROR(__xludf.DUMMYFUNCTION("""COMPUTED_VALUE"""),"Única")</f>
        <v>Única</v>
      </c>
      <c r="P294" s="33">
        <f ca="1">IFERROR(__xludf.DUMMYFUNCTION("""COMPUTED_VALUE"""),46229)</f>
        <v>46229</v>
      </c>
      <c r="Q294" s="33">
        <f ca="1">IFERROR(__xludf.DUMMYFUNCTION("""COMPUTED_VALUE"""),46229)</f>
        <v>46229</v>
      </c>
      <c r="R294" s="30">
        <f ca="1">IFERROR(__xludf.DUMMYFUNCTION("""COMPUTED_VALUE"""),1)</f>
        <v>1</v>
      </c>
      <c r="S294" s="30" t="str">
        <f ca="1">IFERROR(__xludf.DUMMYFUNCTION("""COMPUTED_VALUE"""),"Cultura comunitaria")</f>
        <v>Cultura comunitaria</v>
      </c>
      <c r="T294" s="30" t="str">
        <f ca="1">IFERROR(__xludf.DUMMYFUNCTION("""COMPUTED_VALUE"""),"Mediación cultural")</f>
        <v>Mediación cultural</v>
      </c>
      <c r="U294" s="30" t="str">
        <f ca="1">IFERROR(__xludf.DUMMYFUNCTION("""COMPUTED_VALUE"""),"Programación cultural en recinto")</f>
        <v>Programación cultural en recinto</v>
      </c>
      <c r="V294" s="30" t="str">
        <f ca="1">IFERROR(__xludf.DUMMYFUNCTION("""COMPUTED_VALUE"""),"Ninguna")</f>
        <v>Ninguna</v>
      </c>
      <c r="W294" s="30" t="str">
        <f ca="1">IFERROR(__xludf.DUMMYFUNCTION("""COMPUTED_VALUE"""),"Presencial")</f>
        <v>Presencial</v>
      </c>
      <c r="X294" s="30" t="str">
        <f ca="1">IFERROR(__xludf.DUMMYFUNCTION("""COMPUTED_VALUE"""),"Espacio a Cargo de la Secretaría")</f>
        <v>Espacio a Cargo de la Secretaría</v>
      </c>
      <c r="Y294" s="30" t="str">
        <f ca="1">IFERROR(__xludf.DUMMYFUNCTION("""COMPUTED_VALUE"""),"Museo de Arte e Historia de Guanajuato, sala Feliciano Peña")</f>
        <v>Museo de Arte e Historia de Guanajuato, sala Feliciano Peña</v>
      </c>
      <c r="Z294" s="30"/>
      <c r="AA294" s="30"/>
      <c r="AB294" s="30" t="b">
        <f ca="1">IFERROR(__xludf.DUMMYFUNCTION("""COMPUTED_VALUE"""),FALSE)</f>
        <v>0</v>
      </c>
      <c r="AC294" s="30"/>
      <c r="AD294" s="30" t="b">
        <f ca="1">IFERROR(__xludf.DUMMYFUNCTION("""COMPUTED_VALUE"""),FALSE)</f>
        <v>0</v>
      </c>
      <c r="AE294" s="30"/>
      <c r="AF294" s="30" t="b">
        <f ca="1">IFERROR(__xludf.DUMMYFUNCTION("""COMPUTED_VALUE"""),FALSE)</f>
        <v>0</v>
      </c>
      <c r="AG294" s="30"/>
      <c r="AH294" s="30" t="str">
        <f ca="1">IFERROR(__xludf.DUMMYFUNCTION("""COMPUTED_VALUE"""),"Sin costo")</f>
        <v>Sin costo</v>
      </c>
      <c r="AI294" s="30"/>
      <c r="AJ294" s="30"/>
      <c r="AK294" s="30"/>
      <c r="AL294" s="30" t="str">
        <f ca="1">IFERROR(__xludf.DUMMYFUNCTION("""COMPUTED_VALUE"""),"ccardonav@guanajuato.gob.mx")</f>
        <v>ccardonav@guanajuato.gob.mx</v>
      </c>
      <c r="AM294" s="30" t="str">
        <f ca="1">IFERROR(__xludf.DUMMYFUNCTION("""COMPUTED_VALUE"""),"Arraigo y empoderamiento cultural de comunidades.")</f>
        <v>Arraigo y empoderamiento cultural de comunidades.</v>
      </c>
      <c r="AN294" s="30" t="str">
        <f ca="1">IFERROR(__xludf.DUMMYFUNCTION("""COMPUTED_VALUE"""),"2 Igualdad")</f>
        <v>2 Igualdad</v>
      </c>
      <c r="AO294" s="30" t="str">
        <f ca="1">IFERROR(__xludf.DUMMYFUNCTION("""COMPUTED_VALUE"""),"2.4 Reducir brechas de desigualdad")</f>
        <v>2.4 Reducir brechas de desigualdad</v>
      </c>
      <c r="AP294" s="30" t="str">
        <f ca="1">IFERROR(__xludf.DUMMYFUNCTION("""COMPUTED_VALUE"""),"2.4.3 Descentralización de la oferta cultural")</f>
        <v>2.4.3 Descentralización de la oferta cultural</v>
      </c>
      <c r="AQ294" s="30" t="str">
        <f ca="1">IFERROR(__xludf.DUMMYFUNCTION("""COMPUTED_VALUE"""),"2.4.3.1 Impulsar el desarrollo artístico y cultural entre infancias y juventudes")</f>
        <v>2.4.3.1 Impulsar el desarrollo artístico y cultural entre infancias y juventudes</v>
      </c>
      <c r="AR294" s="30" t="str">
        <f ca="1">IFERROR(__xludf.DUMMYFUNCTION("""COMPUTED_VALUE"""),"Ninguno")</f>
        <v>Ninguno</v>
      </c>
      <c r="AS294" s="30"/>
      <c r="AT294" s="30" t="str">
        <f ca="1">IFERROR(__xludf.DUMMYFUNCTION("""COMPUTED_VALUE"""),"Fortalecimiento de la participación ciudadana y la mediación cultural")</f>
        <v>Fortalecimiento de la participación ciudadana y la mediación cultural</v>
      </c>
      <c r="AU294" s="30" t="str">
        <f ca="1">IFERROR(__xludf.DUMMYFUNCTION("""COMPUTED_VALUE"""),"Fortalecimiento del diálogo, la mediación y las capacidades de las redes comunitarias.")</f>
        <v>Fortalecimiento del diálogo, la mediación y las capacidades de las redes comunitarias.</v>
      </c>
      <c r="AV294"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294" s="30" t="str">
        <f ca="1">IFERROR(__xludf.DUMMYFUNCTION("""COMPUTED_VALUE"""),"Incrementar en 25% la oferta cultural realizada en los municipios.")</f>
        <v>Incrementar en 25% la oferta cultural realizada en los municipios.</v>
      </c>
      <c r="AX294" s="30" t="str">
        <f ca="1">IFERROR(__xludf.DUMMYFUNCTION("""COMPUTED_VALUE"""),"Taller")</f>
        <v>Taller</v>
      </c>
      <c r="AY294" s="30" t="str">
        <f ca="1">IFERROR(__xludf.DUMMYFUNCTION("""COMPUTED_VALUE"""),"Mediación")</f>
        <v>Mediación</v>
      </c>
      <c r="AZ294" s="30"/>
      <c r="BA294" s="30"/>
      <c r="BB294" s="30"/>
      <c r="BC294" s="30">
        <f ca="1">IFERROR(__xludf.DUMMYFUNCTION("""COMPUTED_VALUE"""),0)</f>
        <v>0</v>
      </c>
      <c r="BD294" s="30"/>
      <c r="BE294" s="30"/>
      <c r="BF294" s="30" t="b">
        <f ca="1">IFERROR(__xludf.DUMMYFUNCTION("""COMPUTED_VALUE"""),FALSE)</f>
        <v>0</v>
      </c>
      <c r="BG294" s="30"/>
      <c r="BH294" s="30"/>
      <c r="BI294" s="30"/>
      <c r="BJ294" s="30"/>
      <c r="BK294" s="30"/>
      <c r="BL294" s="30"/>
      <c r="BM294" s="30" t="str">
        <f ca="1">IFERROR(__xludf.DUMMYFUNCTION("""COMPUTED_VALUE"""),"No")</f>
        <v>No</v>
      </c>
      <c r="BN294" s="30"/>
      <c r="BO294" s="30" t="str">
        <f ca="1">IFERROR(__xludf.DUMMYFUNCTION("""COMPUTED_VALUE"""),"d47ba2c2")</f>
        <v>d47ba2c2</v>
      </c>
      <c r="BP294" s="29" t="str">
        <f ca="1">IFERROR(__xludf.DUMMYFUNCTION("""COMPUTED_VALUE"""),"León")</f>
        <v>León</v>
      </c>
      <c r="BQ294" s="30" t="str">
        <f ca="1">IFERROR(__xludf.DUMMYFUNCTION("""COMPUTED_VALUE"""),"Urbano")</f>
        <v>Urbano</v>
      </c>
      <c r="BR294" s="30"/>
      <c r="BS294" s="30"/>
      <c r="BT294" s="30"/>
      <c r="BU294" s="30" t="str">
        <f ca="1">IFERROR(__xludf.DUMMYFUNCTION("""COMPUTED_VALUE"""),"No")</f>
        <v>No</v>
      </c>
      <c r="BV294" s="30" t="str">
        <f ca="1">IFERROR(__xludf.DUMMYFUNCTION("""COMPUTED_VALUE"""),"No")</f>
        <v>No</v>
      </c>
      <c r="BW294" s="30">
        <f ca="1">IFERROR(__xludf.DUMMYFUNCTION("""COMPUTED_VALUE"""),46)</f>
        <v>46</v>
      </c>
      <c r="BX294" s="30">
        <f ca="1">IFERROR(__xludf.DUMMYFUNCTION("""COMPUTED_VALUE"""),46)</f>
        <v>46</v>
      </c>
      <c r="BY294" s="30">
        <f ca="1">IFERROR(__xludf.DUMMYFUNCTION("""COMPUTED_VALUE"""),0)</f>
        <v>0</v>
      </c>
      <c r="BZ294" s="30"/>
      <c r="CA294" s="30" t="str">
        <f ca="1">IFERROR(__xludf.DUMMYFUNCTION("""COMPUTED_VALUE"""),"No")</f>
        <v>No</v>
      </c>
      <c r="CB294" s="30" t="str">
        <f ca="1">IFERROR(__xludf.DUMMYFUNCTION("""COMPUTED_VALUE"""),"No")</f>
        <v>No</v>
      </c>
      <c r="CC294" s="30" t="str">
        <f ca="1">IFERROR(__xludf.DUMMYFUNCTION("""COMPUTED_VALUE"""),"9165bde7")</f>
        <v>9165bde7</v>
      </c>
      <c r="CD294" s="29" t="str">
        <f ca="1">IFERROR(__xludf.DUMMYFUNCTION("""COMPUTED_VALUE"""),"Adolescentes (13 a 17 años)")</f>
        <v>Adolescentes (13 a 17 años)</v>
      </c>
      <c r="CE294" s="30" t="str">
        <f ca="1">IFERROR(__xludf.DUMMYFUNCTION("""COMPUTED_VALUE"""),"Dato global")</f>
        <v>Dato global</v>
      </c>
      <c r="CF294" s="30" t="str">
        <f ca="1">IFERROR(__xludf.DUMMYFUNCTION("""COMPUTED_VALUE"""),"Ninguno (Población General)")</f>
        <v>Ninguno (Población General)</v>
      </c>
      <c r="CG294" s="30">
        <f ca="1">IFERROR(__xludf.DUMMYFUNCTION("""COMPUTED_VALUE"""),41)</f>
        <v>41</v>
      </c>
      <c r="CI294" s="30" t="str">
        <f ca="1">IFERROR(__xludf.DUMMYFUNCTION("""COMPUTED_VALUE"""),"a1738be3")</f>
        <v>a1738be3</v>
      </c>
      <c r="CJ294" s="29" t="str">
        <f ca="1">IFERROR(__xludf.DUMMYFUNCTION("""COMPUTED_VALUE"""),"Regitro_Evidencia_Files_/a1738be3.Archivo_Evidencia.180327.pdf")</f>
        <v>Regitro_Evidencia_Files_/a1738be3.Archivo_Evidencia.180327.pdf</v>
      </c>
      <c r="CK294" s="30" t="str">
        <f ca="1">IFERROR(__xludf.DUMMYFUNCTION("""COMPUTED_VALUE"""),"PDF")</f>
        <v>PDF</v>
      </c>
      <c r="CL294" s="30"/>
      <c r="CM294" s="30" t="str">
        <f ca="1">IFERROR(__xludf.DUMMYFUNCTION("""COMPUTED_VALUE"""),"León")</f>
        <v>León</v>
      </c>
      <c r="CN294" s="32" t="e">
        <f ca="1"/>
        <v>#NAME?</v>
      </c>
      <c r="CO294" s="32" t="e">
        <f ca="1"/>
        <v>#NAME?</v>
      </c>
      <c r="CP294" s="32" t="e">
        <f ca="1"/>
        <v>#NAME?</v>
      </c>
      <c r="CQ294" s="32" t="e">
        <f ca="1"/>
        <v>#NAME?</v>
      </c>
      <c r="CR294" s="30" t="e">
        <f ca="1"/>
        <v>#NAME?</v>
      </c>
      <c r="CS294" s="30" t="str">
        <f ca="1">IFERROR(__xludf.DUMMYFUNCTION("""COMPUTED_VALUE"""),"Ninguno (Población General)")</f>
        <v>Ninguno (Población General)</v>
      </c>
    </row>
    <row r="295" spans="1:97" ht="13">
      <c r="A295" s="29" t="str">
        <f ca="1">IFERROR(__xludf.DUMMYFUNCTION("""COMPUTED_VALUE"""),"ACT-SCZY20708")</f>
        <v>ACT-SCZY20708</v>
      </c>
      <c r="B295" s="30" t="str">
        <f ca="1">IFERROR(__xludf.DUMMYFUNCTION("""COMPUTED_VALUE"""),"SC-260820-165021")</f>
        <v>SC-260820-165021</v>
      </c>
      <c r="C295" s="62">
        <f ca="1">IFERROR(__xludf.DUMMYFUNCTION("""COMPUTED_VALUE"""),46254.7016319444)</f>
        <v>46254.701631944401</v>
      </c>
      <c r="D295" s="30">
        <f ca="1">IFERROR(__xludf.DUMMYFUNCTION("""COMPUTED_VALUE"""),92)</f>
        <v>92</v>
      </c>
      <c r="E295" s="30" t="str">
        <f ca="1">IFERROR(__xludf.DUMMYFUNCTION("""COMPUTED_VALUE"""),"PB3572")</f>
        <v>PB3572</v>
      </c>
      <c r="F29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5" s="30" t="str">
        <f ca="1">IFERROR(__xludf.DUMMYFUNCTION("""COMPUTED_VALUE"""),"SUBSECRETARÍA DE DESARROLLO Y PROMOCIÓN ARTÍSTICA Y CULTURAL")</f>
        <v>SUBSECRETARÍA DE DESARROLLO Y PROMOCIÓN ARTÍSTICA Y CULTURAL</v>
      </c>
      <c r="I295" s="34" t="str">
        <f ca="1">IFERROR(__xludf.DUMMYFUNCTION("""COMPUTED_VALUE"""),"DIRECCIÓN GENERAL DE MUSEOS, ARTES VISUALES Y EXPOSICIONES")</f>
        <v>DIRECCIÓN GENERAL DE MUSEOS, ARTES VISUALES Y EXPOSICIONES</v>
      </c>
      <c r="J295" s="30" t="str">
        <f ca="1">IFERROR(__xludf.DUMMYFUNCTION("""COMPUTED_VALUE"""),"Número de Actividades realizadas")</f>
        <v>Número de Actividades realizadas</v>
      </c>
      <c r="K295" s="30">
        <f ca="1">IFERROR(__xludf.DUMMYFUNCTION("""COMPUTED_VALUE"""),800)</f>
        <v>800</v>
      </c>
      <c r="L295" s="30" t="str">
        <f ca="1">IFERROR(__xludf.DUMMYFUNCTION("""COMPUTED_VALUE"""),"Cultural")</f>
        <v>Cultural</v>
      </c>
      <c r="M295" s="30" t="str">
        <f ca="1">IFERROR(__xludf.DUMMYFUNCTION("""COMPUTED_VALUE"""),"Presentación del catálogo de la exposición Bajo el Signo de Saturno. Adivinación en el arte""")</f>
        <v>Presentación del catálogo de la exposición Bajo el Signo de Saturno. Adivinación en el arte"</v>
      </c>
      <c r="N295" s="30" t="str">
        <f ca="1">IFERROR(__xludf.DUMMYFUNCTION("""COMPUTED_VALUE"""),"Presentación del catálogo de la exposición Bajo el Signo de Saturno. Adivinación en el arte""")</f>
        <v>Presentación del catálogo de la exposición Bajo el Signo de Saturno. Adivinación en el arte"</v>
      </c>
      <c r="O295" s="30" t="str">
        <f ca="1">IFERROR(__xludf.DUMMYFUNCTION("""COMPUTED_VALUE"""),"Única")</f>
        <v>Única</v>
      </c>
      <c r="P295" s="33">
        <f ca="1">IFERROR(__xludf.DUMMYFUNCTION("""COMPUTED_VALUE"""),46204)</f>
        <v>46204</v>
      </c>
      <c r="Q295" s="33">
        <f ca="1">IFERROR(__xludf.DUMMYFUNCTION("""COMPUTED_VALUE"""),46204)</f>
        <v>46204</v>
      </c>
      <c r="R295" s="30">
        <f ca="1">IFERROR(__xludf.DUMMYFUNCTION("""COMPUTED_VALUE"""),1)</f>
        <v>1</v>
      </c>
      <c r="S295" s="30" t="str">
        <f ca="1">IFERROR(__xludf.DUMMYFUNCTION("""COMPUTED_VALUE"""),"Literatura")</f>
        <v>Literatura</v>
      </c>
      <c r="T295" s="30" t="str">
        <f ca="1">IFERROR(__xludf.DUMMYFUNCTION("""COMPUTED_VALUE"""),"Fomento a la lectura")</f>
        <v>Fomento a la lectura</v>
      </c>
      <c r="U295" s="30" t="str">
        <f ca="1">IFERROR(__xludf.DUMMYFUNCTION("""COMPUTED_VALUE"""),"Presentación editorial")</f>
        <v>Presentación editorial</v>
      </c>
      <c r="V295" s="30" t="str">
        <f ca="1">IFERROR(__xludf.DUMMYFUNCTION("""COMPUTED_VALUE"""),"Ninguna")</f>
        <v>Ninguna</v>
      </c>
      <c r="W295" s="30" t="str">
        <f ca="1">IFERROR(__xludf.DUMMYFUNCTION("""COMPUTED_VALUE"""),"Presencial")</f>
        <v>Presencial</v>
      </c>
      <c r="X295" s="30" t="str">
        <f ca="1">IFERROR(__xludf.DUMMYFUNCTION("""COMPUTED_VALUE"""),"Espacio a Cargo de la Secretaría")</f>
        <v>Espacio a Cargo de la Secretaría</v>
      </c>
      <c r="Y295" s="30" t="str">
        <f ca="1">IFERROR(__xludf.DUMMYFUNCTION("""COMPUTED_VALUE"""),"Museo de Arte e Historia de Guanajuato, sala Feliciano Peña")</f>
        <v>Museo de Arte e Historia de Guanajuato, sala Feliciano Peña</v>
      </c>
      <c r="Z295" s="30"/>
      <c r="AA295" s="30"/>
      <c r="AB295" s="30" t="b">
        <f ca="1">IFERROR(__xludf.DUMMYFUNCTION("""COMPUTED_VALUE"""),FALSE)</f>
        <v>0</v>
      </c>
      <c r="AC295" s="30"/>
      <c r="AD295" s="30" t="b">
        <f ca="1">IFERROR(__xludf.DUMMYFUNCTION("""COMPUTED_VALUE"""),FALSE)</f>
        <v>0</v>
      </c>
      <c r="AE295" s="30"/>
      <c r="AF295" s="30" t="b">
        <f ca="1">IFERROR(__xludf.DUMMYFUNCTION("""COMPUTED_VALUE"""),FALSE)</f>
        <v>0</v>
      </c>
      <c r="AG295" s="30"/>
      <c r="AH295" s="30" t="str">
        <f ca="1">IFERROR(__xludf.DUMMYFUNCTION("""COMPUTED_VALUE"""),"Sin costo")</f>
        <v>Sin costo</v>
      </c>
      <c r="AI295" s="30"/>
      <c r="AJ295" s="30"/>
      <c r="AK295" s="30"/>
      <c r="AL295" s="30" t="str">
        <f ca="1">IFERROR(__xludf.DUMMYFUNCTION("""COMPUTED_VALUE"""),"ccardonav@guanajuato.gob.mx")</f>
        <v>ccardonav@guanajuato.gob.mx</v>
      </c>
      <c r="AM295" s="30" t="str">
        <f ca="1">IFERROR(__xludf.DUMMYFUNCTION("""COMPUTED_VALUE"""),"Leer para crecer.")</f>
        <v>Leer para crecer.</v>
      </c>
      <c r="AN295" s="30" t="str">
        <f ca="1">IFERROR(__xludf.DUMMYFUNCTION("""COMPUTED_VALUE"""),"4 Vocación")</f>
        <v>4 Vocación</v>
      </c>
      <c r="AO295" s="30" t="str">
        <f ca="1">IFERROR(__xludf.DUMMYFUNCTION("""COMPUTED_VALUE"""),"4.4 Reforzar competencias lectoras y lógico matemáticas")</f>
        <v>4.4 Reforzar competencias lectoras y lógico matemáticas</v>
      </c>
      <c r="AP295" s="30" t="str">
        <f ca="1">IFERROR(__xludf.DUMMYFUNCTION("""COMPUTED_VALUE"""),"4.4.2 Competencias lectoras")</f>
        <v>4.4.2 Competencias lectoras</v>
      </c>
      <c r="AQ295" s="30" t="str">
        <f ca="1">IFERROR(__xludf.DUMMYFUNCTION("""COMPUTED_VALUE"""),"4.4.2 Fomentar el hábito lector")</f>
        <v>4.4.2 Fomentar el hábito lector</v>
      </c>
      <c r="AR295" s="30" t="str">
        <f ca="1">IFERROR(__xludf.DUMMYFUNCTION("""COMPUTED_VALUE"""),"Cooperación")</f>
        <v>Cooperación</v>
      </c>
      <c r="AS295" s="30"/>
      <c r="AT295" s="30" t="str">
        <f ca="1">IFERROR(__xludf.DUMMYFUNCTION("""COMPUTED_VALUE"""),"Fortalecimiento de la participación ciudadana y la mediación cultural")</f>
        <v>Fortalecimiento de la participación ciudadana y la mediación cultural</v>
      </c>
      <c r="AU295" s="30" t="str">
        <f ca="1">IFERROR(__xludf.DUMMYFUNCTION("""COMPUTED_VALUE"""),"Impulso a la ampliación de la oferta cultural en los territorios.")</f>
        <v>Impulso a la ampliación de la oferta cultural en los territorios.</v>
      </c>
      <c r="AV29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95" s="30" t="str">
        <f ca="1">IFERROR(__xludf.DUMMYFUNCTION("""COMPUTED_VALUE"""),"Incrementar en 25% la oferta cultural realizada en los municipios.")</f>
        <v>Incrementar en 25% la oferta cultural realizada en los municipios.</v>
      </c>
      <c r="AX295" s="30" t="str">
        <f ca="1">IFERROR(__xludf.DUMMYFUNCTION("""COMPUTED_VALUE"""),"Presentación editorial")</f>
        <v>Presentación editorial</v>
      </c>
      <c r="AY295" s="30" t="str">
        <f ca="1">IFERROR(__xludf.DUMMYFUNCTION("""COMPUTED_VALUE"""),"Producción")</f>
        <v>Producción</v>
      </c>
      <c r="AZ295" s="30"/>
      <c r="BA295" s="30"/>
      <c r="BB295" s="30"/>
      <c r="BC295" s="30">
        <f ca="1">IFERROR(__xludf.DUMMYFUNCTION("""COMPUTED_VALUE"""),0)</f>
        <v>0</v>
      </c>
      <c r="BD295" s="30"/>
      <c r="BE295" s="30"/>
      <c r="BF295" s="30" t="b">
        <f ca="1">IFERROR(__xludf.DUMMYFUNCTION("""COMPUTED_VALUE"""),FALSE)</f>
        <v>0</v>
      </c>
      <c r="BG295" s="30"/>
      <c r="BH295" s="30"/>
      <c r="BI295" s="30"/>
      <c r="BJ295" s="30"/>
      <c r="BK295" s="30"/>
      <c r="BL295" s="30" t="str">
        <f ca="1">IFERROR(__xludf.DUMMYFUNCTION("""COMPUTED_VALUE"""),"N/A")</f>
        <v>N/A</v>
      </c>
      <c r="BM295" s="30" t="str">
        <f ca="1">IFERROR(__xludf.DUMMYFUNCTION("""COMPUTED_VALUE"""),"Sí")</f>
        <v>Sí</v>
      </c>
      <c r="BN295" s="30" t="str">
        <f ca="1">IFERROR(__xludf.DUMMYFUNCTION("""COMPUTED_VALUE"""),"Acompañamiento Técnico")</f>
        <v>Acompañamiento Técnico</v>
      </c>
      <c r="BO295" s="30" t="str">
        <f ca="1">IFERROR(__xludf.DUMMYFUNCTION("""COMPUTED_VALUE"""),"0e63da2a")</f>
        <v>0e63da2a</v>
      </c>
      <c r="BP295" s="29" t="str">
        <f ca="1">IFERROR(__xludf.DUMMYFUNCTION("""COMPUTED_VALUE"""),"León")</f>
        <v>León</v>
      </c>
      <c r="BQ295" s="30" t="str">
        <f ca="1">IFERROR(__xludf.DUMMYFUNCTION("""COMPUTED_VALUE"""),"Urbano")</f>
        <v>Urbano</v>
      </c>
      <c r="BR295" s="30"/>
      <c r="BS295" s="30"/>
      <c r="BT295" s="30"/>
      <c r="BU295" s="30" t="str">
        <f ca="1">IFERROR(__xludf.DUMMYFUNCTION("""COMPUTED_VALUE"""),"No")</f>
        <v>No</v>
      </c>
      <c r="BV295" s="30" t="str">
        <f ca="1">IFERROR(__xludf.DUMMYFUNCTION("""COMPUTED_VALUE"""),"No")</f>
        <v>No</v>
      </c>
      <c r="BW295" s="30">
        <f ca="1">IFERROR(__xludf.DUMMYFUNCTION("""COMPUTED_VALUE"""),14)</f>
        <v>14</v>
      </c>
      <c r="BX295" s="30"/>
      <c r="BY295" s="30">
        <f ca="1">IFERROR(__xludf.DUMMYFUNCTION("""COMPUTED_VALUE"""),14)</f>
        <v>14</v>
      </c>
      <c r="BZ295" s="30"/>
      <c r="CA295" s="30" t="str">
        <f ca="1">IFERROR(__xludf.DUMMYFUNCTION("""COMPUTED_VALUE"""),"No")</f>
        <v>No</v>
      </c>
      <c r="CB295" s="30" t="str">
        <f ca="1">IFERROR(__xludf.DUMMYFUNCTION("""COMPUTED_VALUE"""),"No")</f>
        <v>No</v>
      </c>
      <c r="CC295" s="30" t="str">
        <f ca="1">IFERROR(__xludf.DUMMYFUNCTION("""COMPUTED_VALUE"""),"45276893")</f>
        <v>45276893</v>
      </c>
      <c r="CD295" s="29" t="str">
        <f ca="1">IFERROR(__xludf.DUMMYFUNCTION("""COMPUTED_VALUE"""),"Adultos (30 a 59 años)")</f>
        <v>Adultos (30 a 59 años)</v>
      </c>
      <c r="CE295" s="30" t="str">
        <f ca="1">IFERROR(__xludf.DUMMYFUNCTION("""COMPUTED_VALUE"""),"Dato global")</f>
        <v>Dato global</v>
      </c>
      <c r="CF295" s="30" t="str">
        <f ca="1">IFERROR(__xludf.DUMMYFUNCTION("""COMPUTED_VALUE"""),"Ninguno (Población General)")</f>
        <v>Ninguno (Población General)</v>
      </c>
      <c r="CG295" s="30">
        <f ca="1">IFERROR(__xludf.DUMMYFUNCTION("""COMPUTED_VALUE"""),1)</f>
        <v>1</v>
      </c>
      <c r="CI295" s="30" t="str">
        <f ca="1">IFERROR(__xludf.DUMMYFUNCTION("""COMPUTED_VALUE"""),"f6d3f0b8")</f>
        <v>f6d3f0b8</v>
      </c>
      <c r="CJ295" s="29" t="str">
        <f ca="1">IFERROR(__xludf.DUMMYFUNCTION("""COMPUTED_VALUE"""),"Regitro_Evidencia_Images/f6d3f0b8.Archivo_Evidencia.183426.jpg")</f>
        <v>Regitro_Evidencia_Images/f6d3f0b8.Archivo_Evidencia.183426.jpg</v>
      </c>
      <c r="CK295" s="30" t="str">
        <f ca="1">IFERROR(__xludf.DUMMYFUNCTION("""COMPUTED_VALUE"""),"Foto")</f>
        <v>Foto</v>
      </c>
      <c r="CL295" s="30"/>
      <c r="CM295" s="30" t="str">
        <f ca="1">IFERROR(__xludf.DUMMYFUNCTION("""COMPUTED_VALUE"""),"León")</f>
        <v>León</v>
      </c>
      <c r="CN295" s="32" t="e">
        <f ca="1"/>
        <v>#NAME?</v>
      </c>
      <c r="CO295" s="32" t="e">
        <f ca="1"/>
        <v>#NAME?</v>
      </c>
      <c r="CP295" s="32" t="e">
        <f ca="1"/>
        <v>#NAME?</v>
      </c>
      <c r="CQ295" s="32" t="e">
        <f ca="1"/>
        <v>#NAME?</v>
      </c>
      <c r="CR295" s="30" t="e">
        <f ca="1"/>
        <v>#NAME?</v>
      </c>
      <c r="CS295"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296" spans="1:97" ht="13">
      <c r="A296" s="29" t="str">
        <f ca="1">IFERROR(__xludf.DUMMYFUNCTION("""COMPUTED_VALUE"""),"ACT-SCPR20785")</f>
        <v>ACT-SCPR20785</v>
      </c>
      <c r="B296" s="30" t="str">
        <f ca="1">IFERROR(__xludf.DUMMYFUNCTION("""COMPUTED_VALUE"""),"SC-260820-165501")</f>
        <v>SC-260820-165501</v>
      </c>
      <c r="C296" s="62">
        <f ca="1">IFERROR(__xludf.DUMMYFUNCTION("""COMPUTED_VALUE"""),46254.7048726851)</f>
        <v>46254.704872685099</v>
      </c>
      <c r="D296" s="30">
        <f ca="1">IFERROR(__xludf.DUMMYFUNCTION("""COMPUTED_VALUE"""),92)</f>
        <v>92</v>
      </c>
      <c r="E296" s="30" t="str">
        <f ca="1">IFERROR(__xludf.DUMMYFUNCTION("""COMPUTED_VALUE"""),"PB3572")</f>
        <v>PB3572</v>
      </c>
      <c r="F29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6" s="30" t="str">
        <f ca="1">IFERROR(__xludf.DUMMYFUNCTION("""COMPUTED_VALUE"""),"SUBSECRETARÍA DE DESARROLLO Y PROMOCIÓN ARTÍSTICA Y CULTURAL")</f>
        <v>SUBSECRETARÍA DE DESARROLLO Y PROMOCIÓN ARTÍSTICA Y CULTURAL</v>
      </c>
      <c r="I296" s="34" t="str">
        <f ca="1">IFERROR(__xludf.DUMMYFUNCTION("""COMPUTED_VALUE"""),"DIRECCIÓN GENERAL DE MUSEOS, ARTES VISUALES Y EXPOSICIONES")</f>
        <v>DIRECCIÓN GENERAL DE MUSEOS, ARTES VISUALES Y EXPOSICIONES</v>
      </c>
      <c r="J296" s="30" t="str">
        <f ca="1">IFERROR(__xludf.DUMMYFUNCTION("""COMPUTED_VALUE"""),"Número de Actividades realizadas")</f>
        <v>Número de Actividades realizadas</v>
      </c>
      <c r="K296" s="30">
        <f ca="1">IFERROR(__xludf.DUMMYFUNCTION("""COMPUTED_VALUE"""),800)</f>
        <v>800</v>
      </c>
      <c r="L296" s="30" t="str">
        <f ca="1">IFERROR(__xludf.DUMMYFUNCTION("""COMPUTED_VALUE"""),"Cultural")</f>
        <v>Cultural</v>
      </c>
      <c r="M296" s="30" t="str">
        <f ca="1">IFERROR(__xludf.DUMMYFUNCTION("""COMPUTED_VALUE"""),"Presentación editorial ""Querida Inés. La herencia que no se pudo mirar ni se quiso mirar. Biodecodificación y Constelaciones"".")</f>
        <v>Presentación editorial "Querida Inés. La herencia que no se pudo mirar ni se quiso mirar. Biodecodificación y Constelaciones".</v>
      </c>
      <c r="N296" s="30" t="str">
        <f ca="1">IFERROR(__xludf.DUMMYFUNCTION("""COMPUTED_VALUE"""),"Presentación editorial ""Querida Inés. La herencia que no se pudo mirar ni se quiso mirar. Biodecodificación y Constelaciones"" Presenta la autora María de la luz Dorantes Montes de Oca, Norma Angélica López Ramírez y Arturo Mora Alba.")</f>
        <v>Presentación editorial "Querida Inés. La herencia que no se pudo mirar ni se quiso mirar. Biodecodificación y Constelaciones" Presenta la autora María de la luz Dorantes Montes de Oca, Norma Angélica López Ramírez y Arturo Mora Alba.</v>
      </c>
      <c r="O296" s="30" t="str">
        <f ca="1">IFERROR(__xludf.DUMMYFUNCTION("""COMPUTED_VALUE"""),"Única")</f>
        <v>Única</v>
      </c>
      <c r="P296" s="33">
        <f ca="1">IFERROR(__xludf.DUMMYFUNCTION("""COMPUTED_VALUE"""),46211)</f>
        <v>46211</v>
      </c>
      <c r="Q296" s="33">
        <f ca="1">IFERROR(__xludf.DUMMYFUNCTION("""COMPUTED_VALUE"""),46211)</f>
        <v>46211</v>
      </c>
      <c r="R296" s="30">
        <f ca="1">IFERROR(__xludf.DUMMYFUNCTION("""COMPUTED_VALUE"""),1)</f>
        <v>1</v>
      </c>
      <c r="S296" s="30" t="str">
        <f ca="1">IFERROR(__xludf.DUMMYFUNCTION("""COMPUTED_VALUE"""),"Literatura")</f>
        <v>Literatura</v>
      </c>
      <c r="T296" s="30" t="str">
        <f ca="1">IFERROR(__xludf.DUMMYFUNCTION("""COMPUTED_VALUE"""),"Fomento a la lectura")</f>
        <v>Fomento a la lectura</v>
      </c>
      <c r="U296" s="30" t="str">
        <f ca="1">IFERROR(__xludf.DUMMYFUNCTION("""COMPUTED_VALUE"""),"Presentación editorial")</f>
        <v>Presentación editorial</v>
      </c>
      <c r="V296" s="30" t="str">
        <f ca="1">IFERROR(__xludf.DUMMYFUNCTION("""COMPUTED_VALUE"""),"Ninguna")</f>
        <v>Ninguna</v>
      </c>
      <c r="W296" s="30" t="str">
        <f ca="1">IFERROR(__xludf.DUMMYFUNCTION("""COMPUTED_VALUE"""),"Presencial")</f>
        <v>Presencial</v>
      </c>
      <c r="X296" s="30" t="str">
        <f ca="1">IFERROR(__xludf.DUMMYFUNCTION("""COMPUTED_VALUE"""),"Espacio a Cargo de la Secretaría")</f>
        <v>Espacio a Cargo de la Secretaría</v>
      </c>
      <c r="Y296" s="30" t="str">
        <f ca="1">IFERROR(__xludf.DUMMYFUNCTION("""COMPUTED_VALUE"""),"Museo de Arte e Historia de Guanajuato, sala Feliciano Peña")</f>
        <v>Museo de Arte e Historia de Guanajuato, sala Feliciano Peña</v>
      </c>
      <c r="Z296" s="30"/>
      <c r="AA296" s="30"/>
      <c r="AB296" s="30" t="b">
        <f ca="1">IFERROR(__xludf.DUMMYFUNCTION("""COMPUTED_VALUE"""),FALSE)</f>
        <v>0</v>
      </c>
      <c r="AC296" s="30"/>
      <c r="AD296" s="30" t="b">
        <f ca="1">IFERROR(__xludf.DUMMYFUNCTION("""COMPUTED_VALUE"""),FALSE)</f>
        <v>0</v>
      </c>
      <c r="AE296" s="30"/>
      <c r="AF296" s="30" t="b">
        <f ca="1">IFERROR(__xludf.DUMMYFUNCTION("""COMPUTED_VALUE"""),FALSE)</f>
        <v>0</v>
      </c>
      <c r="AG296" s="30"/>
      <c r="AH296" s="30" t="str">
        <f ca="1">IFERROR(__xludf.DUMMYFUNCTION("""COMPUTED_VALUE"""),"Sin costo")</f>
        <v>Sin costo</v>
      </c>
      <c r="AI296" s="30"/>
      <c r="AJ296" s="30"/>
      <c r="AK296" s="30"/>
      <c r="AL296" s="30" t="str">
        <f ca="1">IFERROR(__xludf.DUMMYFUNCTION("""COMPUTED_VALUE"""),"ccardonav@guanajuato.gob.mx")</f>
        <v>ccardonav@guanajuato.gob.mx</v>
      </c>
      <c r="AM296" s="30" t="str">
        <f ca="1">IFERROR(__xludf.DUMMYFUNCTION("""COMPUTED_VALUE"""),"Leer para crecer.")</f>
        <v>Leer para crecer.</v>
      </c>
      <c r="AN296" s="30" t="str">
        <f ca="1">IFERROR(__xludf.DUMMYFUNCTION("""COMPUTED_VALUE"""),"4 Vocación")</f>
        <v>4 Vocación</v>
      </c>
      <c r="AO296" s="30" t="str">
        <f ca="1">IFERROR(__xludf.DUMMYFUNCTION("""COMPUTED_VALUE"""),"4.4 Reforzar competencias lectoras y lógico matemáticas")</f>
        <v>4.4 Reforzar competencias lectoras y lógico matemáticas</v>
      </c>
      <c r="AP296" s="30" t="str">
        <f ca="1">IFERROR(__xludf.DUMMYFUNCTION("""COMPUTED_VALUE"""),"4.4.2 Competencias lectoras")</f>
        <v>4.4.2 Competencias lectoras</v>
      </c>
      <c r="AQ296" s="30" t="str">
        <f ca="1">IFERROR(__xludf.DUMMYFUNCTION("""COMPUTED_VALUE"""),"4.4.2 Fomentar el hábito lector")</f>
        <v>4.4.2 Fomentar el hábito lector</v>
      </c>
      <c r="AR296" s="30" t="str">
        <f ca="1">IFERROR(__xludf.DUMMYFUNCTION("""COMPUTED_VALUE"""),"Cooperación")</f>
        <v>Cooperación</v>
      </c>
      <c r="AS296" s="30"/>
      <c r="AT296" s="30" t="str">
        <f ca="1">IFERROR(__xludf.DUMMYFUNCTION("""COMPUTED_VALUE"""),"Fortalecimiento de la participación ciudadana y la mediación cultural")</f>
        <v>Fortalecimiento de la participación ciudadana y la mediación cultural</v>
      </c>
      <c r="AU296" s="30" t="str">
        <f ca="1">IFERROR(__xludf.DUMMYFUNCTION("""COMPUTED_VALUE"""),"Impulso a la ampliación de la oferta cultural en los territorios.")</f>
        <v>Impulso a la ampliación de la oferta cultural en los territorios.</v>
      </c>
      <c r="AV29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96" s="30" t="str">
        <f ca="1">IFERROR(__xludf.DUMMYFUNCTION("""COMPUTED_VALUE"""),"Incrementar en 25% la oferta cultural realizada en los municipios.")</f>
        <v>Incrementar en 25% la oferta cultural realizada en los municipios.</v>
      </c>
      <c r="AX296" s="30" t="str">
        <f ca="1">IFERROR(__xludf.DUMMYFUNCTION("""COMPUTED_VALUE"""),"Presentación editorial")</f>
        <v>Presentación editorial</v>
      </c>
      <c r="AY296" s="30" t="str">
        <f ca="1">IFERROR(__xludf.DUMMYFUNCTION("""COMPUTED_VALUE"""),"Producción")</f>
        <v>Producción</v>
      </c>
      <c r="AZ296" s="30"/>
      <c r="BA296" s="30"/>
      <c r="BB296" s="30"/>
      <c r="BC296" s="30">
        <f ca="1">IFERROR(__xludf.DUMMYFUNCTION("""COMPUTED_VALUE"""),0)</f>
        <v>0</v>
      </c>
      <c r="BD296" s="30"/>
      <c r="BE296" s="30"/>
      <c r="BF296" s="30" t="b">
        <f ca="1">IFERROR(__xludf.DUMMYFUNCTION("""COMPUTED_VALUE"""),FALSE)</f>
        <v>0</v>
      </c>
      <c r="BG296" s="30"/>
      <c r="BH296" s="30"/>
      <c r="BI296" s="30"/>
      <c r="BJ296" s="30"/>
      <c r="BK296" s="30"/>
      <c r="BL296" s="30" t="str">
        <f ca="1">IFERROR(__xludf.DUMMYFUNCTION("""COMPUTED_VALUE"""),"N/A")</f>
        <v>N/A</v>
      </c>
      <c r="BM296" s="30" t="str">
        <f ca="1">IFERROR(__xludf.DUMMYFUNCTION("""COMPUTED_VALUE"""),"Sí")</f>
        <v>Sí</v>
      </c>
      <c r="BN296" s="30" t="str">
        <f ca="1">IFERROR(__xludf.DUMMYFUNCTION("""COMPUTED_VALUE"""),"Acompañamiento Técnico")</f>
        <v>Acompañamiento Técnico</v>
      </c>
      <c r="BO296" s="30" t="str">
        <f ca="1">IFERROR(__xludf.DUMMYFUNCTION("""COMPUTED_VALUE"""),"f1269da0")</f>
        <v>f1269da0</v>
      </c>
      <c r="BP296" s="29" t="str">
        <f ca="1">IFERROR(__xludf.DUMMYFUNCTION("""COMPUTED_VALUE"""),"León")</f>
        <v>León</v>
      </c>
      <c r="BQ296" s="30" t="str">
        <f ca="1">IFERROR(__xludf.DUMMYFUNCTION("""COMPUTED_VALUE"""),"Urbano")</f>
        <v>Urbano</v>
      </c>
      <c r="BR296" s="30"/>
      <c r="BS296" s="30"/>
      <c r="BT296" s="30"/>
      <c r="BU296" s="30" t="str">
        <f ca="1">IFERROR(__xludf.DUMMYFUNCTION("""COMPUTED_VALUE"""),"No")</f>
        <v>No</v>
      </c>
      <c r="BV296" s="30" t="str">
        <f ca="1">IFERROR(__xludf.DUMMYFUNCTION("""COMPUTED_VALUE"""),"No")</f>
        <v>No</v>
      </c>
      <c r="BW296" s="30">
        <f ca="1">IFERROR(__xludf.DUMMYFUNCTION("""COMPUTED_VALUE"""),141)</f>
        <v>141</v>
      </c>
      <c r="BX296" s="30"/>
      <c r="BY296" s="30">
        <f ca="1">IFERROR(__xludf.DUMMYFUNCTION("""COMPUTED_VALUE"""),141)</f>
        <v>141</v>
      </c>
      <c r="BZ296" s="30"/>
      <c r="CA296" s="30" t="str">
        <f ca="1">IFERROR(__xludf.DUMMYFUNCTION("""COMPUTED_VALUE"""),"No")</f>
        <v>No</v>
      </c>
      <c r="CB296" s="30" t="str">
        <f ca="1">IFERROR(__xludf.DUMMYFUNCTION("""COMPUTED_VALUE"""),"No")</f>
        <v>No</v>
      </c>
      <c r="CC296" s="30" t="str">
        <f ca="1">IFERROR(__xludf.DUMMYFUNCTION("""COMPUTED_VALUE"""),"5f33ddc1")</f>
        <v>5f33ddc1</v>
      </c>
      <c r="CD296" s="29" t="str">
        <f ca="1">IFERROR(__xludf.DUMMYFUNCTION("""COMPUTED_VALUE"""),"Adolescentes (13 a 17 años)")</f>
        <v>Adolescentes (13 a 17 años)</v>
      </c>
      <c r="CE296" s="30" t="str">
        <f ca="1">IFERROR(__xludf.DUMMYFUNCTION("""COMPUTED_VALUE"""),"Dato global")</f>
        <v>Dato global</v>
      </c>
      <c r="CF296" s="30" t="str">
        <f ca="1">IFERROR(__xludf.DUMMYFUNCTION("""COMPUTED_VALUE"""),"Ninguno (Población General)")</f>
        <v>Ninguno (Población General)</v>
      </c>
      <c r="CG296" s="30">
        <f ca="1">IFERROR(__xludf.DUMMYFUNCTION("""COMPUTED_VALUE"""),42)</f>
        <v>42</v>
      </c>
      <c r="CI296" s="30" t="str">
        <f ca="1">IFERROR(__xludf.DUMMYFUNCTION("""COMPUTED_VALUE"""),"56636922")</f>
        <v>56636922</v>
      </c>
      <c r="CJ296" s="29" t="str">
        <f ca="1">IFERROR(__xludf.DUMMYFUNCTION("""COMPUTED_VALUE"""),"Regitro_Evidencia_Images/56636922.Archivo_Evidencia.180645.jpg")</f>
        <v>Regitro_Evidencia_Images/56636922.Archivo_Evidencia.180645.jpg</v>
      </c>
      <c r="CK296" s="30" t="str">
        <f ca="1">IFERROR(__xludf.DUMMYFUNCTION("""COMPUTED_VALUE"""),"Foto")</f>
        <v>Foto</v>
      </c>
      <c r="CL296" s="30"/>
      <c r="CM296" s="30" t="str">
        <f ca="1">IFERROR(__xludf.DUMMYFUNCTION("""COMPUTED_VALUE"""),"León")</f>
        <v>León</v>
      </c>
      <c r="CN296" s="32" t="e">
        <f ca="1"/>
        <v>#NAME?</v>
      </c>
      <c r="CO296" s="32" t="e">
        <f ca="1"/>
        <v>#NAME?</v>
      </c>
      <c r="CP296" s="32" t="e">
        <f ca="1"/>
        <v>#NAME?</v>
      </c>
      <c r="CQ296" s="32" t="e">
        <f ca="1"/>
        <v>#NAME?</v>
      </c>
      <c r="CR296" s="30" t="e">
        <f ca="1"/>
        <v>#NAME?</v>
      </c>
      <c r="CS296" s="30" t="str">
        <f ca="1">IFERROR(__xludf.DUMMYFUNCTION("""COMPUTED_VALUE"""),"Ninguno (Población General), Ninguno (Población General)")</f>
        <v>Ninguno (Población General), Ninguno (Población General)</v>
      </c>
    </row>
    <row r="297" spans="1:97" ht="13">
      <c r="A297" s="29" t="str">
        <f ca="1">IFERROR(__xludf.DUMMYFUNCTION("""COMPUTED_VALUE"""),"ACT-SCEM90365")</f>
        <v>ACT-SCEM90365</v>
      </c>
      <c r="B297" s="30" t="str">
        <f ca="1">IFERROR(__xludf.DUMMYFUNCTION("""COMPUTED_VALUE"""),"SC-260820-170133")</f>
        <v>SC-260820-170133</v>
      </c>
      <c r="C297" s="62">
        <f ca="1">IFERROR(__xludf.DUMMYFUNCTION("""COMPUTED_VALUE"""),46254.7094097222)</f>
        <v>46254.7094097222</v>
      </c>
      <c r="D297" s="30">
        <f ca="1">IFERROR(__xludf.DUMMYFUNCTION("""COMPUTED_VALUE"""),92)</f>
        <v>92</v>
      </c>
      <c r="E297" s="30" t="str">
        <f ca="1">IFERROR(__xludf.DUMMYFUNCTION("""COMPUTED_VALUE"""),"PB3572")</f>
        <v>PB3572</v>
      </c>
      <c r="F29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7" s="30" t="str">
        <f ca="1">IFERROR(__xludf.DUMMYFUNCTION("""COMPUTED_VALUE"""),"SUBSECRETARÍA DE DESARROLLO Y PROMOCIÓN ARTÍSTICA Y CULTURAL")</f>
        <v>SUBSECRETARÍA DE DESARROLLO Y PROMOCIÓN ARTÍSTICA Y CULTURAL</v>
      </c>
      <c r="I297" s="34" t="str">
        <f ca="1">IFERROR(__xludf.DUMMYFUNCTION("""COMPUTED_VALUE"""),"DIRECCIÓN GENERAL DE MUSEOS, ARTES VISUALES Y EXPOSICIONES")</f>
        <v>DIRECCIÓN GENERAL DE MUSEOS, ARTES VISUALES Y EXPOSICIONES</v>
      </c>
      <c r="J297" s="30" t="str">
        <f ca="1">IFERROR(__xludf.DUMMYFUNCTION("""COMPUTED_VALUE"""),"Número de Actividades realizadas")</f>
        <v>Número de Actividades realizadas</v>
      </c>
      <c r="K297" s="30">
        <f ca="1">IFERROR(__xludf.DUMMYFUNCTION("""COMPUTED_VALUE"""),800)</f>
        <v>800</v>
      </c>
      <c r="L297" s="30" t="str">
        <f ca="1">IFERROR(__xludf.DUMMYFUNCTION("""COMPUTED_VALUE"""),"Cultural")</f>
        <v>Cultural</v>
      </c>
      <c r="M297" s="30" t="str">
        <f ca="1">IFERROR(__xludf.DUMMYFUNCTION("""COMPUTED_VALUE"""),"Taller de Lecto escritura: El revés de la imagen. Imparte Pedro Omar Rivera y Editorial Mar de Nombres")</f>
        <v>Taller de Lecto escritura: El revés de la imagen. Imparte Pedro Omar Rivera y Editorial Mar de Nombres</v>
      </c>
      <c r="N297" s="30" t="str">
        <f ca="1">IFERROR(__xludf.DUMMYFUNCTION("""COMPUTED_VALUE"""),"Escritura creativa a partir de la exposición Bajo el Signo de Saturno. Adivinación en el Arte. A través de un enfoque teórico-práctico desarrollado en dos sesiones, las personas utilizan la observación y la reflexión de las obras de la exposición derivand"&amp;"o en la construcción de personajes, relatos y textos introspectivos.  Imparte: Editorial Mar de Nombres y Pedro Omar Rivera  Jueves 2  Sesión 1 El símbolo como detonador narrativo: artrología y construcción de personajes.  Jueves 9  Sesión 2 Narrativa y e"&amp;"structura: el tarot como dispositivo de escritura.")</f>
        <v>Escritura creativa a partir de la exposición Bajo el Signo de Saturno. Adivinación en el Arte. A través de un enfoque teórico-práctico desarrollado en dos sesiones, las personas utilizan la observación y la reflexión de las obras de la exposición derivando en la construcción de personajes, relatos y textos introspectivos.  Imparte: Editorial Mar de Nombres y Pedro Omar Rivera  Jueves 2  Sesión 1 El símbolo como detonador narrativo: artrología y construcción de personajes.  Jueves 9  Sesión 2 Narrativa y estructura: el tarot como dispositivo de escritura.</v>
      </c>
      <c r="O297" s="30" t="str">
        <f ca="1">IFERROR(__xludf.DUMMYFUNCTION("""COMPUTED_VALUE"""),"Otras")</f>
        <v>Otras</v>
      </c>
      <c r="P297" s="33">
        <f ca="1">IFERROR(__xludf.DUMMYFUNCTION("""COMPUTED_VALUE"""),46205)</f>
        <v>46205</v>
      </c>
      <c r="Q297" s="33">
        <f ca="1">IFERROR(__xludf.DUMMYFUNCTION("""COMPUTED_VALUE"""),46212)</f>
        <v>46212</v>
      </c>
      <c r="R297" s="30">
        <f ca="1">IFERROR(__xludf.DUMMYFUNCTION("""COMPUTED_VALUE"""),3)</f>
        <v>3</v>
      </c>
      <c r="S297" s="30" t="str">
        <f ca="1">IFERROR(__xludf.DUMMYFUNCTION("""COMPUTED_VALUE"""),"Literatura")</f>
        <v>Literatura</v>
      </c>
      <c r="T297" s="30" t="str">
        <f ca="1">IFERROR(__xludf.DUMMYFUNCTION("""COMPUTED_VALUE"""),"Fomento a la lectura")</f>
        <v>Fomento a la lectura</v>
      </c>
      <c r="U297" s="30" t="str">
        <f ca="1">IFERROR(__xludf.DUMMYFUNCTION("""COMPUTED_VALUE"""),"Taller")</f>
        <v>Taller</v>
      </c>
      <c r="V297" s="30" t="str">
        <f ca="1">IFERROR(__xludf.DUMMYFUNCTION("""COMPUTED_VALUE"""),"Ninguna")</f>
        <v>Ninguna</v>
      </c>
      <c r="W297" s="30" t="str">
        <f ca="1">IFERROR(__xludf.DUMMYFUNCTION("""COMPUTED_VALUE"""),"Presencial")</f>
        <v>Presencial</v>
      </c>
      <c r="X297" s="30" t="str">
        <f ca="1">IFERROR(__xludf.DUMMYFUNCTION("""COMPUTED_VALUE"""),"Espacio a Cargo de la Secretaría")</f>
        <v>Espacio a Cargo de la Secretaría</v>
      </c>
      <c r="Y297" s="30" t="str">
        <f ca="1">IFERROR(__xludf.DUMMYFUNCTION("""COMPUTED_VALUE"""),"Museo de Arte e Historia de Guanajuato, sala Feliciano Peña")</f>
        <v>Museo de Arte e Historia de Guanajuato, sala Feliciano Peña</v>
      </c>
      <c r="Z297" s="30"/>
      <c r="AA297" s="30"/>
      <c r="AB297" s="30" t="b">
        <f ca="1">IFERROR(__xludf.DUMMYFUNCTION("""COMPUTED_VALUE"""),FALSE)</f>
        <v>0</v>
      </c>
      <c r="AC297" s="30"/>
      <c r="AD297" s="30" t="b">
        <f ca="1">IFERROR(__xludf.DUMMYFUNCTION("""COMPUTED_VALUE"""),FALSE)</f>
        <v>0</v>
      </c>
      <c r="AE297" s="30"/>
      <c r="AF297" s="30" t="b">
        <f ca="1">IFERROR(__xludf.DUMMYFUNCTION("""COMPUTED_VALUE"""),FALSE)</f>
        <v>0</v>
      </c>
      <c r="AG297" s="30"/>
      <c r="AH297" s="30" t="str">
        <f ca="1">IFERROR(__xludf.DUMMYFUNCTION("""COMPUTED_VALUE"""),"Sin costo")</f>
        <v>Sin costo</v>
      </c>
      <c r="AI297" s="30"/>
      <c r="AJ297" s="30"/>
      <c r="AK297" s="30"/>
      <c r="AL297" s="30" t="str">
        <f ca="1">IFERROR(__xludf.DUMMYFUNCTION("""COMPUTED_VALUE"""),"ccardonav@guanajuato.gob.mx")</f>
        <v>ccardonav@guanajuato.gob.mx</v>
      </c>
      <c r="AM297" s="30" t="str">
        <f ca="1">IFERROR(__xludf.DUMMYFUNCTION("""COMPUTED_VALUE"""),"Leer para crecer.")</f>
        <v>Leer para crecer.</v>
      </c>
      <c r="AN297" s="30" t="str">
        <f ca="1">IFERROR(__xludf.DUMMYFUNCTION("""COMPUTED_VALUE"""),"4 Vocación")</f>
        <v>4 Vocación</v>
      </c>
      <c r="AO297" s="30" t="str">
        <f ca="1">IFERROR(__xludf.DUMMYFUNCTION("""COMPUTED_VALUE"""),"4.4 Reforzar competencias lectoras y lógico matemáticas")</f>
        <v>4.4 Reforzar competencias lectoras y lógico matemáticas</v>
      </c>
      <c r="AP297" s="30" t="str">
        <f ca="1">IFERROR(__xludf.DUMMYFUNCTION("""COMPUTED_VALUE"""),"4.4.2 Competencias lectoras")</f>
        <v>4.4.2 Competencias lectoras</v>
      </c>
      <c r="AQ297" s="30" t="str">
        <f ca="1">IFERROR(__xludf.DUMMYFUNCTION("""COMPUTED_VALUE"""),"4.4.2 Fomentar el hábito lector")</f>
        <v>4.4.2 Fomentar el hábito lector</v>
      </c>
      <c r="AR297" s="30" t="str">
        <f ca="1">IFERROR(__xludf.DUMMYFUNCTION("""COMPUTED_VALUE"""),"Cooperación")</f>
        <v>Cooperación</v>
      </c>
      <c r="AS297" s="30"/>
      <c r="AT297" s="30" t="str">
        <f ca="1">IFERROR(__xludf.DUMMYFUNCTION("""COMPUTED_VALUE"""),"Fortalecimiento de la participación ciudadana y la mediación cultural")</f>
        <v>Fortalecimiento de la participación ciudadana y la mediación cultural</v>
      </c>
      <c r="AU297" s="30" t="str">
        <f ca="1">IFERROR(__xludf.DUMMYFUNCTION("""COMPUTED_VALUE"""),"Impulso a la ampliación de la oferta cultural en los territorios.")</f>
        <v>Impulso a la ampliación de la oferta cultural en los territorios.</v>
      </c>
      <c r="AV29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97" s="30" t="str">
        <f ca="1">IFERROR(__xludf.DUMMYFUNCTION("""COMPUTED_VALUE"""),"Incrementar en 25% la oferta cultural realizada en los municipios.")</f>
        <v>Incrementar en 25% la oferta cultural realizada en los municipios.</v>
      </c>
      <c r="AX297" s="30" t="str">
        <f ca="1">IFERROR(__xludf.DUMMYFUNCTION("""COMPUTED_VALUE"""),"Taller")</f>
        <v>Taller</v>
      </c>
      <c r="AY297" s="30" t="str">
        <f ca="1">IFERROR(__xludf.DUMMYFUNCTION("""COMPUTED_VALUE"""),"Producción")</f>
        <v>Producción</v>
      </c>
      <c r="AZ297" s="30"/>
      <c r="BA297" s="30"/>
      <c r="BB297" s="30"/>
      <c r="BC297" s="30">
        <f ca="1">IFERROR(__xludf.DUMMYFUNCTION("""COMPUTED_VALUE"""),0)</f>
        <v>0</v>
      </c>
      <c r="BD297" s="30"/>
      <c r="BE297" s="30"/>
      <c r="BF297" s="30" t="b">
        <f ca="1">IFERROR(__xludf.DUMMYFUNCTION("""COMPUTED_VALUE"""),FALSE)</f>
        <v>0</v>
      </c>
      <c r="BG297" s="30"/>
      <c r="BH297" s="30"/>
      <c r="BI297" s="30"/>
      <c r="BJ297" s="30"/>
      <c r="BK297" s="30"/>
      <c r="BL297" s="30"/>
      <c r="BM297" s="30" t="str">
        <f ca="1">IFERROR(__xludf.DUMMYFUNCTION("""COMPUTED_VALUE"""),"No")</f>
        <v>No</v>
      </c>
      <c r="BN297" s="30"/>
      <c r="BO297" s="30" t="str">
        <f ca="1">IFERROR(__xludf.DUMMYFUNCTION("""COMPUTED_VALUE"""),"037d8151")</f>
        <v>037d8151</v>
      </c>
      <c r="BP297" s="29" t="str">
        <f ca="1">IFERROR(__xludf.DUMMYFUNCTION("""COMPUTED_VALUE"""),"León")</f>
        <v>León</v>
      </c>
      <c r="BQ297" s="30" t="str">
        <f ca="1">IFERROR(__xludf.DUMMYFUNCTION("""COMPUTED_VALUE"""),"Urbano")</f>
        <v>Urbano</v>
      </c>
      <c r="BR297" s="30"/>
      <c r="BS297" s="30"/>
      <c r="BT297" s="30"/>
      <c r="BU297" s="30" t="str">
        <f ca="1">IFERROR(__xludf.DUMMYFUNCTION("""COMPUTED_VALUE"""),"No")</f>
        <v>No</v>
      </c>
      <c r="BV297" s="30" t="str">
        <f ca="1">IFERROR(__xludf.DUMMYFUNCTION("""COMPUTED_VALUE"""),"No")</f>
        <v>No</v>
      </c>
      <c r="BW297" s="30">
        <f ca="1">IFERROR(__xludf.DUMMYFUNCTION("""COMPUTED_VALUE"""),21)</f>
        <v>21</v>
      </c>
      <c r="BX297" s="30"/>
      <c r="BY297" s="30">
        <f ca="1">IFERROR(__xludf.DUMMYFUNCTION("""COMPUTED_VALUE"""),21)</f>
        <v>21</v>
      </c>
      <c r="BZ297" s="30"/>
      <c r="CA297" s="30" t="str">
        <f ca="1">IFERROR(__xludf.DUMMYFUNCTION("""COMPUTED_VALUE"""),"No")</f>
        <v>No</v>
      </c>
      <c r="CB297" s="30" t="str">
        <f ca="1">IFERROR(__xludf.DUMMYFUNCTION("""COMPUTED_VALUE"""),"No")</f>
        <v>No</v>
      </c>
      <c r="CC297" s="30" t="str">
        <f ca="1">IFERROR(__xludf.DUMMYFUNCTION("""COMPUTED_VALUE"""),"0288faa7")</f>
        <v>0288faa7</v>
      </c>
      <c r="CD297" s="29" t="str">
        <f ca="1">IFERROR(__xludf.DUMMYFUNCTION("""COMPUTED_VALUE"""),"Adultos (30 a 59 años)")</f>
        <v>Adultos (30 a 59 años)</v>
      </c>
      <c r="CE297" s="30" t="str">
        <f ca="1">IFERROR(__xludf.DUMMYFUNCTION("""COMPUTED_VALUE"""),"Dato global")</f>
        <v>Dato global</v>
      </c>
      <c r="CF297" s="30" t="str">
        <f ca="1">IFERROR(__xludf.DUMMYFUNCTION("""COMPUTED_VALUE"""),"Ninguno (Población General)")</f>
        <v>Ninguno (Población General)</v>
      </c>
      <c r="CG297" s="30">
        <f ca="1">IFERROR(__xludf.DUMMYFUNCTION("""COMPUTED_VALUE"""),1)</f>
        <v>1</v>
      </c>
      <c r="CI297" s="30" t="str">
        <f ca="1">IFERROR(__xludf.DUMMYFUNCTION("""COMPUTED_VALUE"""),"0c3896cd")</f>
        <v>0c3896cd</v>
      </c>
      <c r="CJ297" s="29" t="str">
        <f ca="1">IFERROR(__xludf.DUMMYFUNCTION("""COMPUTED_VALUE"""),"Regitro_Evidencia_Images/0c3896cd.Archivo_Evidencia.181419.jpg")</f>
        <v>Regitro_Evidencia_Images/0c3896cd.Archivo_Evidencia.181419.jpg</v>
      </c>
      <c r="CK297" s="30" t="str">
        <f ca="1">IFERROR(__xludf.DUMMYFUNCTION("""COMPUTED_VALUE"""),"Foto")</f>
        <v>Foto</v>
      </c>
      <c r="CL297" s="30"/>
      <c r="CM297" s="30" t="str">
        <f ca="1">IFERROR(__xludf.DUMMYFUNCTION("""COMPUTED_VALUE"""),"León")</f>
        <v>León</v>
      </c>
      <c r="CN297" s="32" t="e">
        <f ca="1"/>
        <v>#NAME?</v>
      </c>
      <c r="CO297" s="32" t="e">
        <f ca="1"/>
        <v>#NAME?</v>
      </c>
      <c r="CP297" s="32" t="e">
        <f ca="1"/>
        <v>#NAME?</v>
      </c>
      <c r="CQ297" s="32" t="e">
        <f ca="1"/>
        <v>#NAME?</v>
      </c>
      <c r="CR297" s="30" t="e">
        <f ca="1"/>
        <v>#NAME?</v>
      </c>
      <c r="CS297" s="30" t="str">
        <f ca="1">IFERROR(__xludf.DUMMYFUNCTION("""COMPUTED_VALUE"""),"NNA (Niñas, Niños y Adolescentes), Ninguno (Población General), Ninguno (Población General), Ninguno (Población General), Ninguno (Población General)")</f>
        <v>NNA (Niñas, Niños y Adolescentes), Ninguno (Población General), Ninguno (Población General), Ninguno (Población General), Ninguno (Población General)</v>
      </c>
    </row>
    <row r="298" spans="1:97" ht="13">
      <c r="A298" s="29" t="str">
        <f ca="1">IFERROR(__xludf.DUMMYFUNCTION("""COMPUTED_VALUE"""),"ACT-SCZA06114")</f>
        <v>ACT-SCZA06114</v>
      </c>
      <c r="B298" s="30" t="str">
        <f ca="1">IFERROR(__xludf.DUMMYFUNCTION("""COMPUTED_VALUE"""),"SC-260820-170525")</f>
        <v>SC-260820-170525</v>
      </c>
      <c r="C298" s="62">
        <f ca="1">IFERROR(__xludf.DUMMYFUNCTION("""COMPUTED_VALUE"""),46254.7120949074)</f>
        <v>46254.712094907401</v>
      </c>
      <c r="D298" s="30">
        <f ca="1">IFERROR(__xludf.DUMMYFUNCTION("""COMPUTED_VALUE"""),92)</f>
        <v>92</v>
      </c>
      <c r="E298" s="30" t="str">
        <f ca="1">IFERROR(__xludf.DUMMYFUNCTION("""COMPUTED_VALUE"""),"PB3572")</f>
        <v>PB3572</v>
      </c>
      <c r="F29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8" s="30" t="str">
        <f ca="1">IFERROR(__xludf.DUMMYFUNCTION("""COMPUTED_VALUE"""),"SUBSECRETARÍA DE DESARROLLO Y PROMOCIÓN ARTÍSTICA Y CULTURAL")</f>
        <v>SUBSECRETARÍA DE DESARROLLO Y PROMOCIÓN ARTÍSTICA Y CULTURAL</v>
      </c>
      <c r="I298" s="34" t="str">
        <f ca="1">IFERROR(__xludf.DUMMYFUNCTION("""COMPUTED_VALUE"""),"DIRECCIÓN GENERAL DE MUSEOS, ARTES VISUALES Y EXPOSICIONES")</f>
        <v>DIRECCIÓN GENERAL DE MUSEOS, ARTES VISUALES Y EXPOSICIONES</v>
      </c>
      <c r="J298" s="30" t="str">
        <f ca="1">IFERROR(__xludf.DUMMYFUNCTION("""COMPUTED_VALUE"""),"Número de Actividades realizadas")</f>
        <v>Número de Actividades realizadas</v>
      </c>
      <c r="K298" s="30">
        <f ca="1">IFERROR(__xludf.DUMMYFUNCTION("""COMPUTED_VALUE"""),800)</f>
        <v>800</v>
      </c>
      <c r="L298" s="30" t="str">
        <f ca="1">IFERROR(__xludf.DUMMYFUNCTION("""COMPUTED_VALUE"""),"Cultural")</f>
        <v>Cultural</v>
      </c>
      <c r="M298" s="30" t="str">
        <f ca="1">IFERROR(__xludf.DUMMYFUNCTION("""COMPUTED_VALUE"""),"Taller de Tarot Fotográfico Crea tu propio arcano. Imparten: Eduardo Gómez y Daniel Arróniz")</f>
        <v>Taller de Tarot Fotográfico Crea tu propio arcano. Imparten: Eduardo Gómez y Daniel Arróniz</v>
      </c>
      <c r="N298" s="30" t="str">
        <f ca="1">IFERROR(__xludf.DUMMYFUNCTION("""COMPUTED_VALUE"""),"El Tarot como herramienta creativa: Símbolos, Arquetipos y Azar en la creación de narrativas en el Arte")</f>
        <v>El Tarot como herramienta creativa: Símbolos, Arquetipos y Azar en la creación de narrativas en el Arte</v>
      </c>
      <c r="O298" s="30" t="str">
        <f ca="1">IFERROR(__xludf.DUMMYFUNCTION("""COMPUTED_VALUE"""),"Única")</f>
        <v>Única</v>
      </c>
      <c r="P298" s="33">
        <f ca="1">IFERROR(__xludf.DUMMYFUNCTION("""COMPUTED_VALUE"""),46221)</f>
        <v>46221</v>
      </c>
      <c r="Q298" s="33">
        <f ca="1">IFERROR(__xludf.DUMMYFUNCTION("""COMPUTED_VALUE"""),46221)</f>
        <v>46221</v>
      </c>
      <c r="R298" s="30">
        <f ca="1">IFERROR(__xludf.DUMMYFUNCTION("""COMPUTED_VALUE"""),1)</f>
        <v>1</v>
      </c>
      <c r="S298" s="30" t="str">
        <f ca="1">IFERROR(__xludf.DUMMYFUNCTION("""COMPUTED_VALUE"""),"Artes visuales")</f>
        <v>Artes visuales</v>
      </c>
      <c r="T298" s="30" t="str">
        <f ca="1">IFERROR(__xludf.DUMMYFUNCTION("""COMPUTED_VALUE"""),"Fotografía")</f>
        <v>Fotografía</v>
      </c>
      <c r="U298" s="30" t="str">
        <f ca="1">IFERROR(__xludf.DUMMYFUNCTION("""COMPUTED_VALUE"""),"Taller")</f>
        <v>Taller</v>
      </c>
      <c r="V298" s="30" t="str">
        <f ca="1">IFERROR(__xludf.DUMMYFUNCTION("""COMPUTED_VALUE"""),"Ninguna")</f>
        <v>Ninguna</v>
      </c>
      <c r="W298" s="30" t="str">
        <f ca="1">IFERROR(__xludf.DUMMYFUNCTION("""COMPUTED_VALUE"""),"Presencial")</f>
        <v>Presencial</v>
      </c>
      <c r="X298" s="30" t="str">
        <f ca="1">IFERROR(__xludf.DUMMYFUNCTION("""COMPUTED_VALUE"""),"Espacio a Cargo de la Secretaría")</f>
        <v>Espacio a Cargo de la Secretaría</v>
      </c>
      <c r="Y298" s="30" t="str">
        <f ca="1">IFERROR(__xludf.DUMMYFUNCTION("""COMPUTED_VALUE"""),"Museo de Arte e Historia de Guanajuato, sala Feliciano Peña")</f>
        <v>Museo de Arte e Historia de Guanajuato, sala Feliciano Peña</v>
      </c>
      <c r="Z298" s="30"/>
      <c r="AA298" s="30"/>
      <c r="AB298" s="30" t="b">
        <f ca="1">IFERROR(__xludf.DUMMYFUNCTION("""COMPUTED_VALUE"""),FALSE)</f>
        <v>0</v>
      </c>
      <c r="AC298" s="30"/>
      <c r="AD298" s="30" t="b">
        <f ca="1">IFERROR(__xludf.DUMMYFUNCTION("""COMPUTED_VALUE"""),FALSE)</f>
        <v>0</v>
      </c>
      <c r="AE298" s="30"/>
      <c r="AF298" s="30" t="b">
        <f ca="1">IFERROR(__xludf.DUMMYFUNCTION("""COMPUTED_VALUE"""),FALSE)</f>
        <v>0</v>
      </c>
      <c r="AG298" s="30"/>
      <c r="AH298" s="30" t="str">
        <f ca="1">IFERROR(__xludf.DUMMYFUNCTION("""COMPUTED_VALUE"""),"Sin costo")</f>
        <v>Sin costo</v>
      </c>
      <c r="AI298" s="30"/>
      <c r="AJ298" s="30"/>
      <c r="AK298" s="30"/>
      <c r="AL298" s="30" t="str">
        <f ca="1">IFERROR(__xludf.DUMMYFUNCTION("""COMPUTED_VALUE"""),"ccardonav@guanajuato.gob.mx")</f>
        <v>ccardonav@guanajuato.gob.mx</v>
      </c>
      <c r="AM298" s="30" t="str">
        <f ca="1">IFERROR(__xludf.DUMMYFUNCTION("""COMPUTED_VALUE"""),"Arraigo y empoderamiento cultural de comunidades.")</f>
        <v>Arraigo y empoderamiento cultural de comunidades.</v>
      </c>
      <c r="AN298" s="30" t="str">
        <f ca="1">IFERROR(__xludf.DUMMYFUNCTION("""COMPUTED_VALUE"""),"2 Igualdad")</f>
        <v>2 Igualdad</v>
      </c>
      <c r="AO298" s="30" t="str">
        <f ca="1">IFERROR(__xludf.DUMMYFUNCTION("""COMPUTED_VALUE"""),"2.4 Reducir brechas de desigualdad")</f>
        <v>2.4 Reducir brechas de desigualdad</v>
      </c>
      <c r="AP298" s="30" t="str">
        <f ca="1">IFERROR(__xludf.DUMMYFUNCTION("""COMPUTED_VALUE"""),"2.4.3 Descentralización de la oferta cultural")</f>
        <v>2.4.3 Descentralización de la oferta cultural</v>
      </c>
      <c r="AQ298" s="30" t="str">
        <f ca="1">IFERROR(__xludf.DUMMYFUNCTION("""COMPUTED_VALUE"""),"2.4.3.1 Impulsar el desarrollo artístico y cultural entre infancias y juventudes")</f>
        <v>2.4.3.1 Impulsar el desarrollo artístico y cultural entre infancias y juventudes</v>
      </c>
      <c r="AR298" s="30" t="str">
        <f ca="1">IFERROR(__xludf.DUMMYFUNCTION("""COMPUTED_VALUE"""),"Cooperación")</f>
        <v>Cooperación</v>
      </c>
      <c r="AS298" s="30"/>
      <c r="AT298" s="30" t="str">
        <f ca="1">IFERROR(__xludf.DUMMYFUNCTION("""COMPUTED_VALUE"""),"Fortalecimiento de la participación ciudadana y la mediación cultural")</f>
        <v>Fortalecimiento de la participación ciudadana y la mediación cultural</v>
      </c>
      <c r="AU298" s="30" t="str">
        <f ca="1">IFERROR(__xludf.DUMMYFUNCTION("""COMPUTED_VALUE"""),"Impulso a la ampliación de la oferta cultural en los territorios.")</f>
        <v>Impulso a la ampliación de la oferta cultural en los territorios.</v>
      </c>
      <c r="AV29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98" s="30" t="str">
        <f ca="1">IFERROR(__xludf.DUMMYFUNCTION("""COMPUTED_VALUE"""),"Incrementar en 25% la oferta cultural realizada en los municipios.")</f>
        <v>Incrementar en 25% la oferta cultural realizada en los municipios.</v>
      </c>
      <c r="AX298" s="30" t="str">
        <f ca="1">IFERROR(__xludf.DUMMYFUNCTION("""COMPUTED_VALUE"""),"Taller")</f>
        <v>Taller</v>
      </c>
      <c r="AY298" s="30" t="str">
        <f ca="1">IFERROR(__xludf.DUMMYFUNCTION("""COMPUTED_VALUE"""),"Producción")</f>
        <v>Producción</v>
      </c>
      <c r="AZ298" s="30"/>
      <c r="BA298" s="30"/>
      <c r="BB298" s="30"/>
      <c r="BC298" s="30">
        <f ca="1">IFERROR(__xludf.DUMMYFUNCTION("""COMPUTED_VALUE"""),0)</f>
        <v>0</v>
      </c>
      <c r="BD298" s="30"/>
      <c r="BE298" s="30"/>
      <c r="BF298" s="30" t="b">
        <f ca="1">IFERROR(__xludf.DUMMYFUNCTION("""COMPUTED_VALUE"""),FALSE)</f>
        <v>0</v>
      </c>
      <c r="BG298" s="30"/>
      <c r="BH298" s="30"/>
      <c r="BI298" s="30"/>
      <c r="BJ298" s="30"/>
      <c r="BK298" s="30"/>
      <c r="BL298" s="30" t="str">
        <f ca="1">IFERROR(__xludf.DUMMYFUNCTION("""COMPUTED_VALUE"""),"N/A")</f>
        <v>N/A</v>
      </c>
      <c r="BM298" s="30" t="str">
        <f ca="1">IFERROR(__xludf.DUMMYFUNCTION("""COMPUTED_VALUE"""),"Sí")</f>
        <v>Sí</v>
      </c>
      <c r="BN298" s="30" t="str">
        <f ca="1">IFERROR(__xludf.DUMMYFUNCTION("""COMPUTED_VALUE"""),"Acompañamiento Técnico")</f>
        <v>Acompañamiento Técnico</v>
      </c>
      <c r="BO298" s="30" t="str">
        <f ca="1">IFERROR(__xludf.DUMMYFUNCTION("""COMPUTED_VALUE"""),"23e3f879")</f>
        <v>23e3f879</v>
      </c>
      <c r="BP298" s="29" t="str">
        <f ca="1">IFERROR(__xludf.DUMMYFUNCTION("""COMPUTED_VALUE"""),"León")</f>
        <v>León</v>
      </c>
      <c r="BQ298" s="30" t="str">
        <f ca="1">IFERROR(__xludf.DUMMYFUNCTION("""COMPUTED_VALUE"""),"Urbano")</f>
        <v>Urbano</v>
      </c>
      <c r="BR298" s="30"/>
      <c r="BS298" s="30"/>
      <c r="BT298" s="30"/>
      <c r="BU298" s="30" t="str">
        <f ca="1">IFERROR(__xludf.DUMMYFUNCTION("""COMPUTED_VALUE"""),"No")</f>
        <v>No</v>
      </c>
      <c r="BV298" s="30" t="str">
        <f ca="1">IFERROR(__xludf.DUMMYFUNCTION("""COMPUTED_VALUE"""),"No")</f>
        <v>No</v>
      </c>
      <c r="BW298" s="30">
        <f ca="1">IFERROR(__xludf.DUMMYFUNCTION("""COMPUTED_VALUE"""),136)</f>
        <v>136</v>
      </c>
      <c r="BX298" s="30">
        <f ca="1">IFERROR(__xludf.DUMMYFUNCTION("""COMPUTED_VALUE"""),0)</f>
        <v>0</v>
      </c>
      <c r="BY298" s="30">
        <f ca="1">IFERROR(__xludf.DUMMYFUNCTION("""COMPUTED_VALUE"""),136)</f>
        <v>136</v>
      </c>
      <c r="BZ298" s="30"/>
      <c r="CA298" s="30" t="str">
        <f ca="1">IFERROR(__xludf.DUMMYFUNCTION("""COMPUTED_VALUE"""),"No")</f>
        <v>No</v>
      </c>
      <c r="CB298" s="30" t="str">
        <f ca="1">IFERROR(__xludf.DUMMYFUNCTION("""COMPUTED_VALUE"""),"No")</f>
        <v>No</v>
      </c>
      <c r="CC298" s="30" t="str">
        <f ca="1">IFERROR(__xludf.DUMMYFUNCTION("""COMPUTED_VALUE"""),"3b650792")</f>
        <v>3b650792</v>
      </c>
      <c r="CD298" s="29" t="str">
        <f ca="1">IFERROR(__xludf.DUMMYFUNCTION("""COMPUTED_VALUE"""),"Adolescentes (13 a 17 años)")</f>
        <v>Adolescentes (13 a 17 años)</v>
      </c>
      <c r="CE298" s="30" t="str">
        <f ca="1">IFERROR(__xludf.DUMMYFUNCTION("""COMPUTED_VALUE"""),"Dato global")</f>
        <v>Dato global</v>
      </c>
      <c r="CF298" s="30" t="str">
        <f ca="1">IFERROR(__xludf.DUMMYFUNCTION("""COMPUTED_VALUE"""),"Ninguno (Población General)")</f>
        <v>Ninguno (Población General)</v>
      </c>
      <c r="CG298" s="30">
        <f ca="1">IFERROR(__xludf.DUMMYFUNCTION("""COMPUTED_VALUE"""),48)</f>
        <v>48</v>
      </c>
      <c r="CI298" s="30" t="str">
        <f ca="1">IFERROR(__xludf.DUMMYFUNCTION("""COMPUTED_VALUE"""),"008be1ff")</f>
        <v>008be1ff</v>
      </c>
      <c r="CJ298" s="29" t="str">
        <f ca="1">IFERROR(__xludf.DUMMYFUNCTION("""COMPUTED_VALUE"""),"Regitro_Evidencia_Images/008be1ff.Archivo_Evidencia.182639.jpg")</f>
        <v>Regitro_Evidencia_Images/008be1ff.Archivo_Evidencia.182639.jpg</v>
      </c>
      <c r="CK298" s="30" t="str">
        <f ca="1">IFERROR(__xludf.DUMMYFUNCTION("""COMPUTED_VALUE"""),"Foto")</f>
        <v>Foto</v>
      </c>
      <c r="CL298" s="30"/>
      <c r="CM298" s="30" t="str">
        <f ca="1">IFERROR(__xludf.DUMMYFUNCTION("""COMPUTED_VALUE"""),"León")</f>
        <v>León</v>
      </c>
      <c r="CN298" s="32" t="e">
        <f ca="1"/>
        <v>#NAME?</v>
      </c>
      <c r="CO298" s="32" t="e">
        <f ca="1"/>
        <v>#NAME?</v>
      </c>
      <c r="CP298" s="32" t="e">
        <f ca="1"/>
        <v>#NAME?</v>
      </c>
      <c r="CQ298" s="32" t="e">
        <f ca="1"/>
        <v>#NAME?</v>
      </c>
      <c r="CR298" s="30" t="e">
        <f ca="1"/>
        <v>#NAME?</v>
      </c>
      <c r="CS298"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299" spans="1:97" ht="13">
      <c r="A299" s="29" t="str">
        <f ca="1">IFERROR(__xludf.DUMMYFUNCTION("""COMPUTED_VALUE"""),"ACT-SCLR62190")</f>
        <v>ACT-SCLR62190</v>
      </c>
      <c r="B299" s="30" t="str">
        <f ca="1">IFERROR(__xludf.DUMMYFUNCTION("""COMPUTED_VALUE"""),"SC-260820-170901")</f>
        <v>SC-260820-170901</v>
      </c>
      <c r="C299" s="62">
        <f ca="1">IFERROR(__xludf.DUMMYFUNCTION("""COMPUTED_VALUE"""),46254.7145949074)</f>
        <v>46254.714594907397</v>
      </c>
      <c r="D299" s="30">
        <f ca="1">IFERROR(__xludf.DUMMYFUNCTION("""COMPUTED_VALUE"""),92)</f>
        <v>92</v>
      </c>
      <c r="E299" s="30" t="str">
        <f ca="1">IFERROR(__xludf.DUMMYFUNCTION("""COMPUTED_VALUE"""),"PB3572")</f>
        <v>PB3572</v>
      </c>
      <c r="F29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29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299" s="30" t="str">
        <f ca="1">IFERROR(__xludf.DUMMYFUNCTION("""COMPUTED_VALUE"""),"SUBSECRETARÍA DE DESARROLLO Y PROMOCIÓN ARTÍSTICA Y CULTURAL")</f>
        <v>SUBSECRETARÍA DE DESARROLLO Y PROMOCIÓN ARTÍSTICA Y CULTURAL</v>
      </c>
      <c r="I299" s="34" t="str">
        <f ca="1">IFERROR(__xludf.DUMMYFUNCTION("""COMPUTED_VALUE"""),"DIRECCIÓN GENERAL DE MUSEOS, ARTES VISUALES Y EXPOSICIONES")</f>
        <v>DIRECCIÓN GENERAL DE MUSEOS, ARTES VISUALES Y EXPOSICIONES</v>
      </c>
      <c r="J299" s="30" t="str">
        <f ca="1">IFERROR(__xludf.DUMMYFUNCTION("""COMPUTED_VALUE"""),"Número de Actividades realizadas")</f>
        <v>Número de Actividades realizadas</v>
      </c>
      <c r="K299" s="30">
        <f ca="1">IFERROR(__xludf.DUMMYFUNCTION("""COMPUTED_VALUE"""),800)</f>
        <v>800</v>
      </c>
      <c r="L299" s="30" t="str">
        <f ca="1">IFERROR(__xludf.DUMMYFUNCTION("""COMPUTED_VALUE"""),"Cultural")</f>
        <v>Cultural</v>
      </c>
      <c r="M299" s="30" t="str">
        <f ca="1">IFERROR(__xludf.DUMMYFUNCTION("""COMPUTED_VALUE"""),"Conferencia Carta Bazi y Feng Shui")</f>
        <v>Conferencia Carta Bazi y Feng Shui</v>
      </c>
      <c r="N299" s="30" t="str">
        <f ca="1">IFERROR(__xludf.DUMMYFUNCTION("""COMPUTED_VALUE"""),"Conceptos de las artes metafísicas chinas, en los que el estudio del destino y la armonía energética nos ayudan a ampliar nuestras perspectivas sobre los mitos, tradiciones y simbolismos de la astrología ancestral china, en marco de la exposición temporal"&amp;" Bajo el Signo de Saturno, adivinación en el arte.")</f>
        <v>Conceptos de las artes metafísicas chinas, en los que el estudio del destino y la armonía energética nos ayudan a ampliar nuestras perspectivas sobre los mitos, tradiciones y simbolismos de la astrología ancestral china, en marco de la exposición temporal Bajo el Signo de Saturno, adivinación en el arte.</v>
      </c>
      <c r="O299" s="30" t="str">
        <f ca="1">IFERROR(__xludf.DUMMYFUNCTION("""COMPUTED_VALUE"""),"Única")</f>
        <v>Única</v>
      </c>
      <c r="P299" s="33">
        <f ca="1">IFERROR(__xludf.DUMMYFUNCTION("""COMPUTED_VALUE"""),46213)</f>
        <v>46213</v>
      </c>
      <c r="Q299" s="33">
        <f ca="1">IFERROR(__xludf.DUMMYFUNCTION("""COMPUTED_VALUE"""),46213)</f>
        <v>46213</v>
      </c>
      <c r="R299" s="30">
        <f ca="1">IFERROR(__xludf.DUMMYFUNCTION("""COMPUTED_VALUE"""),1)</f>
        <v>1</v>
      </c>
      <c r="S299" s="30" t="str">
        <f ca="1">IFERROR(__xludf.DUMMYFUNCTION("""COMPUTED_VALUE"""),"Multidisciplinario")</f>
        <v>Multidisciplinario</v>
      </c>
      <c r="T299" s="30" t="str">
        <f ca="1">IFERROR(__xludf.DUMMYFUNCTION("""COMPUTED_VALUE"""),"Interdisciplinario")</f>
        <v>Interdisciplinario</v>
      </c>
      <c r="U299" s="30" t="str">
        <f ca="1">IFERROR(__xludf.DUMMYFUNCTION("""COMPUTED_VALUE"""),"Conferencia")</f>
        <v>Conferencia</v>
      </c>
      <c r="V299" s="30" t="str">
        <f ca="1">IFERROR(__xludf.DUMMYFUNCTION("""COMPUTED_VALUE"""),"Ninguna")</f>
        <v>Ninguna</v>
      </c>
      <c r="W299" s="30" t="str">
        <f ca="1">IFERROR(__xludf.DUMMYFUNCTION("""COMPUTED_VALUE"""),"Presencial")</f>
        <v>Presencial</v>
      </c>
      <c r="X299" s="30" t="str">
        <f ca="1">IFERROR(__xludf.DUMMYFUNCTION("""COMPUTED_VALUE"""),"Espacio a Cargo de la Secretaría")</f>
        <v>Espacio a Cargo de la Secretaría</v>
      </c>
      <c r="Y299" s="30" t="str">
        <f ca="1">IFERROR(__xludf.DUMMYFUNCTION("""COMPUTED_VALUE"""),"Museo de Arte e Historia de Guanajuato, sala Feliciano Peña")</f>
        <v>Museo de Arte e Historia de Guanajuato, sala Feliciano Peña</v>
      </c>
      <c r="Z299" s="30"/>
      <c r="AA299" s="30"/>
      <c r="AB299" s="30" t="b">
        <f ca="1">IFERROR(__xludf.DUMMYFUNCTION("""COMPUTED_VALUE"""),FALSE)</f>
        <v>0</v>
      </c>
      <c r="AC299" s="30"/>
      <c r="AD299" s="30" t="b">
        <f ca="1">IFERROR(__xludf.DUMMYFUNCTION("""COMPUTED_VALUE"""),FALSE)</f>
        <v>0</v>
      </c>
      <c r="AE299" s="30"/>
      <c r="AF299" s="30" t="b">
        <f ca="1">IFERROR(__xludf.DUMMYFUNCTION("""COMPUTED_VALUE"""),FALSE)</f>
        <v>0</v>
      </c>
      <c r="AG299" s="30"/>
      <c r="AH299" s="30" t="str">
        <f ca="1">IFERROR(__xludf.DUMMYFUNCTION("""COMPUTED_VALUE"""),"Sin costo")</f>
        <v>Sin costo</v>
      </c>
      <c r="AI299" s="30"/>
      <c r="AJ299" s="30"/>
      <c r="AK299" s="30"/>
      <c r="AL299" s="30" t="str">
        <f ca="1">IFERROR(__xludf.DUMMYFUNCTION("""COMPUTED_VALUE"""),"ccardonav@guanajuato.gob.mx")</f>
        <v>ccardonav@guanajuato.gob.mx</v>
      </c>
      <c r="AM299" s="30" t="str">
        <f ca="1">IFERROR(__xludf.DUMMYFUNCTION("""COMPUTED_VALUE"""),"Arraigo y empoderamiento cultural de comunidades.")</f>
        <v>Arraigo y empoderamiento cultural de comunidades.</v>
      </c>
      <c r="AN299" s="30" t="str">
        <f ca="1">IFERROR(__xludf.DUMMYFUNCTION("""COMPUTED_VALUE"""),"2 Igualdad")</f>
        <v>2 Igualdad</v>
      </c>
      <c r="AO299" s="30" t="str">
        <f ca="1">IFERROR(__xludf.DUMMYFUNCTION("""COMPUTED_VALUE"""),"2.4 Reducir brechas de desigualdad")</f>
        <v>2.4 Reducir brechas de desigualdad</v>
      </c>
      <c r="AP299" s="30" t="str">
        <f ca="1">IFERROR(__xludf.DUMMYFUNCTION("""COMPUTED_VALUE"""),"2.4.3 Descentralización de la oferta cultural")</f>
        <v>2.4.3 Descentralización de la oferta cultural</v>
      </c>
      <c r="AQ299" s="30" t="str">
        <f ca="1">IFERROR(__xludf.DUMMYFUNCTION("""COMPUTED_VALUE"""),"2.4.3.1 Impulsar el desarrollo artístico y cultural entre infancias y juventudes")</f>
        <v>2.4.3.1 Impulsar el desarrollo artístico y cultural entre infancias y juventudes</v>
      </c>
      <c r="AR299" s="30" t="str">
        <f ca="1">IFERROR(__xludf.DUMMYFUNCTION("""COMPUTED_VALUE"""),"Cooperación")</f>
        <v>Cooperación</v>
      </c>
      <c r="AS299" s="30"/>
      <c r="AT299" s="30" t="str">
        <f ca="1">IFERROR(__xludf.DUMMYFUNCTION("""COMPUTED_VALUE"""),"Fortalecimiento de la participación ciudadana y la mediación cultural")</f>
        <v>Fortalecimiento de la participación ciudadana y la mediación cultural</v>
      </c>
      <c r="AU299" s="30" t="str">
        <f ca="1">IFERROR(__xludf.DUMMYFUNCTION("""COMPUTED_VALUE"""),"Impulso a la ampliación de la oferta cultural en los territorios.")</f>
        <v>Impulso a la ampliación de la oferta cultural en los territorios.</v>
      </c>
      <c r="AV29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299" s="30" t="str">
        <f ca="1">IFERROR(__xludf.DUMMYFUNCTION("""COMPUTED_VALUE"""),"Incrementar en 25% la oferta cultural realizada en los municipios.")</f>
        <v>Incrementar en 25% la oferta cultural realizada en los municipios.</v>
      </c>
      <c r="AX299" s="30" t="str">
        <f ca="1">IFERROR(__xludf.DUMMYFUNCTION("""COMPUTED_VALUE"""),"Conferencia")</f>
        <v>Conferencia</v>
      </c>
      <c r="AY299" s="30" t="str">
        <f ca="1">IFERROR(__xludf.DUMMYFUNCTION("""COMPUTED_VALUE"""),"Producción")</f>
        <v>Producción</v>
      </c>
      <c r="AZ299" s="30"/>
      <c r="BA299" s="30"/>
      <c r="BB299" s="30"/>
      <c r="BC299" s="30">
        <f ca="1">IFERROR(__xludf.DUMMYFUNCTION("""COMPUTED_VALUE"""),0)</f>
        <v>0</v>
      </c>
      <c r="BD299" s="30"/>
      <c r="BE299" s="30"/>
      <c r="BF299" s="30" t="b">
        <f ca="1">IFERROR(__xludf.DUMMYFUNCTION("""COMPUTED_VALUE"""),FALSE)</f>
        <v>0</v>
      </c>
      <c r="BG299" s="30"/>
      <c r="BH299" s="30"/>
      <c r="BI299" s="30"/>
      <c r="BJ299" s="30"/>
      <c r="BK299" s="30"/>
      <c r="BL299" s="30" t="str">
        <f ca="1">IFERROR(__xludf.DUMMYFUNCTION("""COMPUTED_VALUE"""),"N/A")</f>
        <v>N/A</v>
      </c>
      <c r="BM299" s="30" t="str">
        <f ca="1">IFERROR(__xludf.DUMMYFUNCTION("""COMPUTED_VALUE"""),"Sí")</f>
        <v>Sí</v>
      </c>
      <c r="BN299" s="30" t="str">
        <f ca="1">IFERROR(__xludf.DUMMYFUNCTION("""COMPUTED_VALUE"""),"Acompañamiento Técnico")</f>
        <v>Acompañamiento Técnico</v>
      </c>
      <c r="BO299" s="30" t="str">
        <f ca="1">IFERROR(__xludf.DUMMYFUNCTION("""COMPUTED_VALUE"""),"44317a5c")</f>
        <v>44317a5c</v>
      </c>
      <c r="BP299" s="29" t="str">
        <f ca="1">IFERROR(__xludf.DUMMYFUNCTION("""COMPUTED_VALUE"""),"León")</f>
        <v>León</v>
      </c>
      <c r="BQ299" s="30" t="str">
        <f ca="1">IFERROR(__xludf.DUMMYFUNCTION("""COMPUTED_VALUE"""),"Urbano")</f>
        <v>Urbano</v>
      </c>
      <c r="BR299" s="30"/>
      <c r="BS299" s="30"/>
      <c r="BT299" s="30"/>
      <c r="BU299" s="30" t="str">
        <f ca="1">IFERROR(__xludf.DUMMYFUNCTION("""COMPUTED_VALUE"""),"No")</f>
        <v>No</v>
      </c>
      <c r="BV299" s="30" t="str">
        <f ca="1">IFERROR(__xludf.DUMMYFUNCTION("""COMPUTED_VALUE"""),"No")</f>
        <v>No</v>
      </c>
      <c r="BW299" s="30">
        <f ca="1">IFERROR(__xludf.DUMMYFUNCTION("""COMPUTED_VALUE"""),47)</f>
        <v>47</v>
      </c>
      <c r="BX299" s="30"/>
      <c r="BY299" s="30">
        <f ca="1">IFERROR(__xludf.DUMMYFUNCTION("""COMPUTED_VALUE"""),47)</f>
        <v>47</v>
      </c>
      <c r="BZ299" s="30"/>
      <c r="CA299" s="30" t="str">
        <f ca="1">IFERROR(__xludf.DUMMYFUNCTION("""COMPUTED_VALUE"""),"No")</f>
        <v>No</v>
      </c>
      <c r="CB299" s="30" t="str">
        <f ca="1">IFERROR(__xludf.DUMMYFUNCTION("""COMPUTED_VALUE"""),"No")</f>
        <v>No</v>
      </c>
      <c r="CC299" s="30" t="str">
        <f ca="1">IFERROR(__xludf.DUMMYFUNCTION("""COMPUTED_VALUE"""),"da397a4c")</f>
        <v>da397a4c</v>
      </c>
      <c r="CD299" s="29" t="str">
        <f ca="1">IFERROR(__xludf.DUMMYFUNCTION("""COMPUTED_VALUE"""),"Adultos (30 a 59 años)")</f>
        <v>Adultos (30 a 59 años)</v>
      </c>
      <c r="CE299" s="30" t="str">
        <f ca="1">IFERROR(__xludf.DUMMYFUNCTION("""COMPUTED_VALUE"""),"Dato global")</f>
        <v>Dato global</v>
      </c>
      <c r="CF299" s="30" t="str">
        <f ca="1">IFERROR(__xludf.DUMMYFUNCTION("""COMPUTED_VALUE"""),"Ninguno (Población General)")</f>
        <v>Ninguno (Población General)</v>
      </c>
      <c r="CG299" s="30">
        <f ca="1">IFERROR(__xludf.DUMMYFUNCTION("""COMPUTED_VALUE"""),2)</f>
        <v>2</v>
      </c>
      <c r="CI299" s="30" t="str">
        <f ca="1">IFERROR(__xludf.DUMMYFUNCTION("""COMPUTED_VALUE"""),"4ab20ac0")</f>
        <v>4ab20ac0</v>
      </c>
      <c r="CJ299" s="29" t="str">
        <f ca="1">IFERROR(__xludf.DUMMYFUNCTION("""COMPUTED_VALUE"""),"Regitro_Evidencia_Images/4ab20ac0.Archivo_Evidencia.183914.jpg")</f>
        <v>Regitro_Evidencia_Images/4ab20ac0.Archivo_Evidencia.183914.jpg</v>
      </c>
      <c r="CK299" s="30" t="str">
        <f ca="1">IFERROR(__xludf.DUMMYFUNCTION("""COMPUTED_VALUE"""),"Foto")</f>
        <v>Foto</v>
      </c>
      <c r="CL299" s="30"/>
      <c r="CM299" s="30" t="str">
        <f ca="1">IFERROR(__xludf.DUMMYFUNCTION("""COMPUTED_VALUE"""),"Guanajuato")</f>
        <v>Guanajuato</v>
      </c>
      <c r="CN299" s="32" t="e">
        <f ca="1"/>
        <v>#NAME?</v>
      </c>
      <c r="CO299" s="32" t="e">
        <f ca="1"/>
        <v>#NAME?</v>
      </c>
      <c r="CP299" s="32" t="e">
        <f ca="1"/>
        <v>#NAME?</v>
      </c>
      <c r="CQ299" s="32" t="e">
        <f ca="1"/>
        <v>#NAME?</v>
      </c>
      <c r="CR299" s="30" t="e">
        <f ca="1"/>
        <v>#NAME?</v>
      </c>
      <c r="CS299" s="30" t="str">
        <f ca="1">IFERROR(__xludf.DUMMYFUNCTION("""COMPUTED_VALUE"""),"Ninguno (Población General), Ninguno (Población General), Ninguno (Población General)")</f>
        <v>Ninguno (Población General), Ninguno (Población General), Ninguno (Población General)</v>
      </c>
    </row>
    <row r="300" spans="1:97" ht="13">
      <c r="A300" s="29" t="str">
        <f ca="1">IFERROR(__xludf.DUMMYFUNCTION("""COMPUTED_VALUE"""),"ACT-SCNH26698")</f>
        <v>ACT-SCNH26698</v>
      </c>
      <c r="B300" s="30" t="str">
        <f ca="1">IFERROR(__xludf.DUMMYFUNCTION("""COMPUTED_VALUE"""),"SC-260820-171214")</f>
        <v>SC-260820-171214</v>
      </c>
      <c r="C300" s="62">
        <f ca="1">IFERROR(__xludf.DUMMYFUNCTION("""COMPUTED_VALUE"""),46254.7168287037)</f>
        <v>46254.716828703698</v>
      </c>
      <c r="D300" s="30">
        <f ca="1">IFERROR(__xludf.DUMMYFUNCTION("""COMPUTED_VALUE"""),92)</f>
        <v>92</v>
      </c>
      <c r="E300" s="30" t="str">
        <f ca="1">IFERROR(__xludf.DUMMYFUNCTION("""COMPUTED_VALUE"""),"PB3572")</f>
        <v>PB3572</v>
      </c>
      <c r="F30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0" s="30" t="str">
        <f ca="1">IFERROR(__xludf.DUMMYFUNCTION("""COMPUTED_VALUE"""),"SUBSECRETARÍA DE DESARROLLO Y PROMOCIÓN ARTÍSTICA Y CULTURAL")</f>
        <v>SUBSECRETARÍA DE DESARROLLO Y PROMOCIÓN ARTÍSTICA Y CULTURAL</v>
      </c>
      <c r="I300" s="34" t="str">
        <f ca="1">IFERROR(__xludf.DUMMYFUNCTION("""COMPUTED_VALUE"""),"DIRECCIÓN GENERAL DE MUSEOS, ARTES VISUALES Y EXPOSICIONES")</f>
        <v>DIRECCIÓN GENERAL DE MUSEOS, ARTES VISUALES Y EXPOSICIONES</v>
      </c>
      <c r="J300" s="30" t="str">
        <f ca="1">IFERROR(__xludf.DUMMYFUNCTION("""COMPUTED_VALUE"""),"Número de Actividades realizadas")</f>
        <v>Número de Actividades realizadas</v>
      </c>
      <c r="K300" s="30">
        <f ca="1">IFERROR(__xludf.DUMMYFUNCTION("""COMPUTED_VALUE"""),800)</f>
        <v>800</v>
      </c>
      <c r="L300" s="30" t="str">
        <f ca="1">IFERROR(__xludf.DUMMYFUNCTION("""COMPUTED_VALUE"""),"Cultural")</f>
        <v>Cultural</v>
      </c>
      <c r="M300" s="30" t="str">
        <f ca="1">IFERROR(__xludf.DUMMYFUNCTION("""COMPUTED_VALUE"""),"Conferencia El Tarot como herramienta creativa: Símbolos, Arquetipos y Azar en la creación de narrativas en el Arte")</f>
        <v>Conferencia El Tarot como herramienta creativa: Símbolos, Arquetipos y Azar en la creación de narrativas en el Arte</v>
      </c>
      <c r="N300" s="30" t="str">
        <f ca="1">IFERROR(__xludf.DUMMYFUNCTION("""COMPUTED_VALUE"""),"El Tarot como herramienta creativa: Símbolos, Arquetipos y Azar en la creación de narrativas en el Arte")</f>
        <v>El Tarot como herramienta creativa: Símbolos, Arquetipos y Azar en la creación de narrativas en el Arte</v>
      </c>
      <c r="O300" s="30" t="str">
        <f ca="1">IFERROR(__xludf.DUMMYFUNCTION("""COMPUTED_VALUE"""),"Única")</f>
        <v>Única</v>
      </c>
      <c r="P300" s="33">
        <f ca="1">IFERROR(__xludf.DUMMYFUNCTION("""COMPUTED_VALUE"""),46227)</f>
        <v>46227</v>
      </c>
      <c r="Q300" s="33">
        <f ca="1">IFERROR(__xludf.DUMMYFUNCTION("""COMPUTED_VALUE"""),46227)</f>
        <v>46227</v>
      </c>
      <c r="R300" s="30">
        <f ca="1">IFERROR(__xludf.DUMMYFUNCTION("""COMPUTED_VALUE"""),1)</f>
        <v>1</v>
      </c>
      <c r="S300" s="30" t="str">
        <f ca="1">IFERROR(__xludf.DUMMYFUNCTION("""COMPUTED_VALUE"""),"Multidisciplinario")</f>
        <v>Multidisciplinario</v>
      </c>
      <c r="T300" s="30" t="str">
        <f ca="1">IFERROR(__xludf.DUMMYFUNCTION("""COMPUTED_VALUE"""),"Interdisciplinario")</f>
        <v>Interdisciplinario</v>
      </c>
      <c r="U300" s="30" t="str">
        <f ca="1">IFERROR(__xludf.DUMMYFUNCTION("""COMPUTED_VALUE"""),"Conferencia")</f>
        <v>Conferencia</v>
      </c>
      <c r="V300" s="30" t="str">
        <f ca="1">IFERROR(__xludf.DUMMYFUNCTION("""COMPUTED_VALUE"""),"Ninguna")</f>
        <v>Ninguna</v>
      </c>
      <c r="W300" s="30" t="str">
        <f ca="1">IFERROR(__xludf.DUMMYFUNCTION("""COMPUTED_VALUE"""),"Presencial")</f>
        <v>Presencial</v>
      </c>
      <c r="X300" s="30" t="str">
        <f ca="1">IFERROR(__xludf.DUMMYFUNCTION("""COMPUTED_VALUE"""),"Espacio a Cargo de la Secretaría")</f>
        <v>Espacio a Cargo de la Secretaría</v>
      </c>
      <c r="Y300" s="30" t="str">
        <f ca="1">IFERROR(__xludf.DUMMYFUNCTION("""COMPUTED_VALUE"""),"Museo de Arte e Historia de Guanajuato, sala Feliciano Peña")</f>
        <v>Museo de Arte e Historia de Guanajuato, sala Feliciano Peña</v>
      </c>
      <c r="Z300" s="30"/>
      <c r="AA300" s="30"/>
      <c r="AB300" s="30" t="b">
        <f ca="1">IFERROR(__xludf.DUMMYFUNCTION("""COMPUTED_VALUE"""),FALSE)</f>
        <v>0</v>
      </c>
      <c r="AC300" s="30"/>
      <c r="AD300" s="30" t="b">
        <f ca="1">IFERROR(__xludf.DUMMYFUNCTION("""COMPUTED_VALUE"""),FALSE)</f>
        <v>0</v>
      </c>
      <c r="AE300" s="30"/>
      <c r="AF300" s="30" t="b">
        <f ca="1">IFERROR(__xludf.DUMMYFUNCTION("""COMPUTED_VALUE"""),FALSE)</f>
        <v>0</v>
      </c>
      <c r="AG300" s="30"/>
      <c r="AH300" s="30" t="str">
        <f ca="1">IFERROR(__xludf.DUMMYFUNCTION("""COMPUTED_VALUE"""),"Sin costo")</f>
        <v>Sin costo</v>
      </c>
      <c r="AI300" s="30"/>
      <c r="AJ300" s="30"/>
      <c r="AK300" s="30"/>
      <c r="AL300" s="30" t="str">
        <f ca="1">IFERROR(__xludf.DUMMYFUNCTION("""COMPUTED_VALUE"""),"ccardonav@guanajuato.gob.mx")</f>
        <v>ccardonav@guanajuato.gob.mx</v>
      </c>
      <c r="AM300" s="30" t="str">
        <f ca="1">IFERROR(__xludf.DUMMYFUNCTION("""COMPUTED_VALUE"""),"Arraigo y empoderamiento cultural de comunidades.")</f>
        <v>Arraigo y empoderamiento cultural de comunidades.</v>
      </c>
      <c r="AN300" s="30" t="str">
        <f ca="1">IFERROR(__xludf.DUMMYFUNCTION("""COMPUTED_VALUE"""),"2 Igualdad")</f>
        <v>2 Igualdad</v>
      </c>
      <c r="AO300" s="30" t="str">
        <f ca="1">IFERROR(__xludf.DUMMYFUNCTION("""COMPUTED_VALUE"""),"2.4 Reducir brechas de desigualdad")</f>
        <v>2.4 Reducir brechas de desigualdad</v>
      </c>
      <c r="AP300" s="30" t="str">
        <f ca="1">IFERROR(__xludf.DUMMYFUNCTION("""COMPUTED_VALUE"""),"2.4.3 Descentralización de la oferta cultural")</f>
        <v>2.4.3 Descentralización de la oferta cultural</v>
      </c>
      <c r="AQ300" s="30" t="str">
        <f ca="1">IFERROR(__xludf.DUMMYFUNCTION("""COMPUTED_VALUE"""),"2.4.3.1 Impulsar el desarrollo artístico y cultural entre infancias y juventudes")</f>
        <v>2.4.3.1 Impulsar el desarrollo artístico y cultural entre infancias y juventudes</v>
      </c>
      <c r="AR300" s="30" t="str">
        <f ca="1">IFERROR(__xludf.DUMMYFUNCTION("""COMPUTED_VALUE"""),"Cooperación")</f>
        <v>Cooperación</v>
      </c>
      <c r="AS300" s="30"/>
      <c r="AT300" s="30" t="str">
        <f ca="1">IFERROR(__xludf.DUMMYFUNCTION("""COMPUTED_VALUE"""),"Fortalecimiento de la participación ciudadana y la mediación cultural")</f>
        <v>Fortalecimiento de la participación ciudadana y la mediación cultural</v>
      </c>
      <c r="AU300" s="30" t="str">
        <f ca="1">IFERROR(__xludf.DUMMYFUNCTION("""COMPUTED_VALUE"""),"Impulso a la ampliación de la oferta cultural en los territorios.")</f>
        <v>Impulso a la ampliación de la oferta cultural en los territorios.</v>
      </c>
      <c r="AV30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0" s="30" t="str">
        <f ca="1">IFERROR(__xludf.DUMMYFUNCTION("""COMPUTED_VALUE"""),"Incrementar en 25% la oferta cultural realizada en los municipios.")</f>
        <v>Incrementar en 25% la oferta cultural realizada en los municipios.</v>
      </c>
      <c r="AX300" s="30" t="str">
        <f ca="1">IFERROR(__xludf.DUMMYFUNCTION("""COMPUTED_VALUE"""),"Conferencia")</f>
        <v>Conferencia</v>
      </c>
      <c r="AY300" s="30" t="str">
        <f ca="1">IFERROR(__xludf.DUMMYFUNCTION("""COMPUTED_VALUE"""),"Producción")</f>
        <v>Producción</v>
      </c>
      <c r="AZ300" s="30"/>
      <c r="BA300" s="30"/>
      <c r="BB300" s="30"/>
      <c r="BC300" s="30">
        <f ca="1">IFERROR(__xludf.DUMMYFUNCTION("""COMPUTED_VALUE"""),0)</f>
        <v>0</v>
      </c>
      <c r="BD300" s="30"/>
      <c r="BE300" s="30"/>
      <c r="BF300" s="30" t="b">
        <f ca="1">IFERROR(__xludf.DUMMYFUNCTION("""COMPUTED_VALUE"""),FALSE)</f>
        <v>0</v>
      </c>
      <c r="BG300" s="30"/>
      <c r="BH300" s="30"/>
      <c r="BI300" s="30"/>
      <c r="BJ300" s="30"/>
      <c r="BK300" s="30"/>
      <c r="BL300" s="30" t="str">
        <f ca="1">IFERROR(__xludf.DUMMYFUNCTION("""COMPUTED_VALUE"""),"N/A")</f>
        <v>N/A</v>
      </c>
      <c r="BM300" s="30" t="str">
        <f ca="1">IFERROR(__xludf.DUMMYFUNCTION("""COMPUTED_VALUE"""),"Sí")</f>
        <v>Sí</v>
      </c>
      <c r="BN300" s="30" t="str">
        <f ca="1">IFERROR(__xludf.DUMMYFUNCTION("""COMPUTED_VALUE"""),"Acompañamiento Técnico")</f>
        <v>Acompañamiento Técnico</v>
      </c>
      <c r="BO300" s="30" t="str">
        <f ca="1">IFERROR(__xludf.DUMMYFUNCTION("""COMPUTED_VALUE"""),"f4cb14a7")</f>
        <v>f4cb14a7</v>
      </c>
      <c r="BP300" s="29" t="str">
        <f ca="1">IFERROR(__xludf.DUMMYFUNCTION("""COMPUTED_VALUE"""),"Guanajuato")</f>
        <v>Guanajuato</v>
      </c>
      <c r="BQ300" s="30" t="str">
        <f ca="1">IFERROR(__xludf.DUMMYFUNCTION("""COMPUTED_VALUE"""),"Urbano")</f>
        <v>Urbano</v>
      </c>
      <c r="BR300" s="30"/>
      <c r="BS300" s="30"/>
      <c r="BT300" s="30"/>
      <c r="BU300" s="30" t="str">
        <f ca="1">IFERROR(__xludf.DUMMYFUNCTION("""COMPUTED_VALUE"""),"No")</f>
        <v>No</v>
      </c>
      <c r="BV300" s="30" t="str">
        <f ca="1">IFERROR(__xludf.DUMMYFUNCTION("""COMPUTED_VALUE"""),"No")</f>
        <v>No</v>
      </c>
      <c r="BW300" s="30">
        <f ca="1">IFERROR(__xludf.DUMMYFUNCTION("""COMPUTED_VALUE"""),71)</f>
        <v>71</v>
      </c>
      <c r="BX300" s="30"/>
      <c r="BY300" s="30">
        <f ca="1">IFERROR(__xludf.DUMMYFUNCTION("""COMPUTED_VALUE"""),71)</f>
        <v>71</v>
      </c>
      <c r="BZ300" s="30"/>
      <c r="CA300" s="30" t="str">
        <f ca="1">IFERROR(__xludf.DUMMYFUNCTION("""COMPUTED_VALUE"""),"No")</f>
        <v>No</v>
      </c>
      <c r="CB300" s="30" t="str">
        <f ca="1">IFERROR(__xludf.DUMMYFUNCTION("""COMPUTED_VALUE"""),"No")</f>
        <v>No</v>
      </c>
      <c r="CC300" s="30" t="str">
        <f ca="1">IFERROR(__xludf.DUMMYFUNCTION("""COMPUTED_VALUE"""),"97b1ffb3")</f>
        <v>97b1ffb3</v>
      </c>
      <c r="CD300" s="29" t="str">
        <f ca="1">IFERROR(__xludf.DUMMYFUNCTION("""COMPUTED_VALUE"""),"Adolescentes (13 a 17 años)")</f>
        <v>Adolescentes (13 a 17 años)</v>
      </c>
      <c r="CE300" s="30" t="str">
        <f ca="1">IFERROR(__xludf.DUMMYFUNCTION("""COMPUTED_VALUE"""),"Dato global")</f>
        <v>Dato global</v>
      </c>
      <c r="CF300" s="30" t="str">
        <f ca="1">IFERROR(__xludf.DUMMYFUNCTION("""COMPUTED_VALUE"""),"Ninguno (Población General)")</f>
        <v>Ninguno (Población General)</v>
      </c>
      <c r="CG300" s="30">
        <f ca="1">IFERROR(__xludf.DUMMYFUNCTION("""COMPUTED_VALUE"""),41)</f>
        <v>41</v>
      </c>
      <c r="CI300" s="30" t="str">
        <f ca="1">IFERROR(__xludf.DUMMYFUNCTION("""COMPUTED_VALUE"""),"439364fb")</f>
        <v>439364fb</v>
      </c>
      <c r="CJ300" s="29" t="str">
        <f ca="1">IFERROR(__xludf.DUMMYFUNCTION("""COMPUTED_VALUE"""),"Regitro_Evidencia_Images/439364fb.Archivo_Evidencia.184902.jpg")</f>
        <v>Regitro_Evidencia_Images/439364fb.Archivo_Evidencia.184902.jpg</v>
      </c>
      <c r="CK300" s="30" t="str">
        <f ca="1">IFERROR(__xludf.DUMMYFUNCTION("""COMPUTED_VALUE"""),"Foto")</f>
        <v>Foto</v>
      </c>
      <c r="CL300" s="30"/>
      <c r="CM300" s="30" t="str">
        <f ca="1">IFERROR(__xludf.DUMMYFUNCTION("""COMPUTED_VALUE"""),"Guanajuato")</f>
        <v>Guanajuato</v>
      </c>
      <c r="CN300" s="32" t="e">
        <f ca="1"/>
        <v>#NAME?</v>
      </c>
      <c r="CO300" s="32" t="e">
        <f ca="1"/>
        <v>#NAME?</v>
      </c>
      <c r="CP300" s="32" t="e">
        <f ca="1"/>
        <v>#NAME?</v>
      </c>
      <c r="CQ300" s="32" t="e">
        <f ca="1"/>
        <v>#NAME?</v>
      </c>
      <c r="CR300" s="30" t="e">
        <f ca="1"/>
        <v>#NAME?</v>
      </c>
      <c r="CS300" s="30" t="str">
        <f ca="1">IFERROR(__xludf.DUMMYFUNCTION("""COMPUTED_VALUE"""),"Ninguno (Población General)")</f>
        <v>Ninguno (Población General)</v>
      </c>
    </row>
    <row r="301" spans="1:97" ht="13">
      <c r="A301" s="29" t="str">
        <f ca="1">IFERROR(__xludf.DUMMYFUNCTION("""COMPUTED_VALUE"""),"ACT-SCYI20383")</f>
        <v>ACT-SCYI20383</v>
      </c>
      <c r="B301" s="30" t="str">
        <f ca="1">IFERROR(__xludf.DUMMYFUNCTION("""COMPUTED_VALUE"""),"SC-260820-171658")</f>
        <v>SC-260820-171658</v>
      </c>
      <c r="C301" s="62">
        <f ca="1">IFERROR(__xludf.DUMMYFUNCTION("""COMPUTED_VALUE"""),46254.7201157407)</f>
        <v>46254.720115740703</v>
      </c>
      <c r="D301" s="30">
        <f ca="1">IFERROR(__xludf.DUMMYFUNCTION("""COMPUTED_VALUE"""),92)</f>
        <v>92</v>
      </c>
      <c r="E301" s="30" t="str">
        <f ca="1">IFERROR(__xludf.DUMMYFUNCTION("""COMPUTED_VALUE"""),"PB3572")</f>
        <v>PB3572</v>
      </c>
      <c r="F30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1" s="30" t="str">
        <f ca="1">IFERROR(__xludf.DUMMYFUNCTION("""COMPUTED_VALUE"""),"SUBSECRETARÍA DE DESARROLLO Y PROMOCIÓN ARTÍSTICA Y CULTURAL")</f>
        <v>SUBSECRETARÍA DE DESARROLLO Y PROMOCIÓN ARTÍSTICA Y CULTURAL</v>
      </c>
      <c r="I301" s="34" t="str">
        <f ca="1">IFERROR(__xludf.DUMMYFUNCTION("""COMPUTED_VALUE"""),"DIRECCIÓN GENERAL DE MUSEOS, ARTES VISUALES Y EXPOSICIONES")</f>
        <v>DIRECCIÓN GENERAL DE MUSEOS, ARTES VISUALES Y EXPOSICIONES</v>
      </c>
      <c r="J301" s="30" t="str">
        <f ca="1">IFERROR(__xludf.DUMMYFUNCTION("""COMPUTED_VALUE"""),"Número de Actividades realizadas")</f>
        <v>Número de Actividades realizadas</v>
      </c>
      <c r="K301" s="30">
        <f ca="1">IFERROR(__xludf.DUMMYFUNCTION("""COMPUTED_VALUE"""),800)</f>
        <v>800</v>
      </c>
      <c r="L301" s="30" t="str">
        <f ca="1">IFERROR(__xludf.DUMMYFUNCTION("""COMPUTED_VALUE"""),"Cultural")</f>
        <v>Cultural</v>
      </c>
      <c r="M301" s="30" t="str">
        <f ca="1">IFERROR(__xludf.DUMMYFUNCTION("""COMPUTED_VALUE"""),"Lectura performática De lo espiritual en diálogos literarios. El revés de la imagen. Espacios Incidentales.")</f>
        <v>Lectura performática De lo espiritual en diálogos literarios. El revés de la imagen. Espacios Incidentales.</v>
      </c>
      <c r="N301" s="30" t="str">
        <f ca="1">IFERROR(__xludf.DUMMYFUNCTION("""COMPUTED_VALUE"""),"Escuchemos los resultados y propuestas literarias del taller de Escritura creativa en el que a través de la literatura encontraremos un excelente estrategia de diálogo con la exposición Bajo el Signo de Saturno. Adivinación en el Arte.")</f>
        <v>Escuchemos los resultados y propuestas literarias del taller de Escritura creativa en el que a través de la literatura encontraremos un excelente estrategia de diálogo con la exposición Bajo el Signo de Saturno. Adivinación en el Arte.</v>
      </c>
      <c r="O301" s="30" t="str">
        <f ca="1">IFERROR(__xludf.DUMMYFUNCTION("""COMPUTED_VALUE"""),"Única")</f>
        <v>Única</v>
      </c>
      <c r="P301" s="33">
        <f ca="1">IFERROR(__xludf.DUMMYFUNCTION("""COMPUTED_VALUE"""),46214)</f>
        <v>46214</v>
      </c>
      <c r="Q301" s="33">
        <f ca="1">IFERROR(__xludf.DUMMYFUNCTION("""COMPUTED_VALUE"""),46214)</f>
        <v>46214</v>
      </c>
      <c r="R301" s="30">
        <f ca="1">IFERROR(__xludf.DUMMYFUNCTION("""COMPUTED_VALUE"""),1)</f>
        <v>1</v>
      </c>
      <c r="S301" s="30" t="str">
        <f ca="1">IFERROR(__xludf.DUMMYFUNCTION("""COMPUTED_VALUE"""),"Literatura")</f>
        <v>Literatura</v>
      </c>
      <c r="T301" s="30" t="str">
        <f ca="1">IFERROR(__xludf.DUMMYFUNCTION("""COMPUTED_VALUE"""),"Fomento a la lectura")</f>
        <v>Fomento a la lectura</v>
      </c>
      <c r="U301" s="30" t="str">
        <f ca="1">IFERROR(__xludf.DUMMYFUNCTION("""COMPUTED_VALUE"""),"Muestra artística")</f>
        <v>Muestra artística</v>
      </c>
      <c r="V301" s="30" t="str">
        <f ca="1">IFERROR(__xludf.DUMMYFUNCTION("""COMPUTED_VALUE"""),"Ninguna")</f>
        <v>Ninguna</v>
      </c>
      <c r="W301" s="30" t="str">
        <f ca="1">IFERROR(__xludf.DUMMYFUNCTION("""COMPUTED_VALUE"""),"Presencial")</f>
        <v>Presencial</v>
      </c>
      <c r="X301" s="30" t="str">
        <f ca="1">IFERROR(__xludf.DUMMYFUNCTION("""COMPUTED_VALUE"""),"Espacio a Cargo de la Secretaría")</f>
        <v>Espacio a Cargo de la Secretaría</v>
      </c>
      <c r="Y301" s="30" t="str">
        <f ca="1">IFERROR(__xludf.DUMMYFUNCTION("""COMPUTED_VALUE"""),"Museo de Arte e Historia de Guanajuato, sala Feliciano Peña")</f>
        <v>Museo de Arte e Historia de Guanajuato, sala Feliciano Peña</v>
      </c>
      <c r="Z301" s="30"/>
      <c r="AA301" s="30"/>
      <c r="AB301" s="30" t="b">
        <f ca="1">IFERROR(__xludf.DUMMYFUNCTION("""COMPUTED_VALUE"""),FALSE)</f>
        <v>0</v>
      </c>
      <c r="AC301" s="30"/>
      <c r="AD301" s="30" t="b">
        <f ca="1">IFERROR(__xludf.DUMMYFUNCTION("""COMPUTED_VALUE"""),FALSE)</f>
        <v>0</v>
      </c>
      <c r="AE301" s="30"/>
      <c r="AF301" s="30" t="b">
        <f ca="1">IFERROR(__xludf.DUMMYFUNCTION("""COMPUTED_VALUE"""),FALSE)</f>
        <v>0</v>
      </c>
      <c r="AG301" s="30"/>
      <c r="AH301" s="30" t="str">
        <f ca="1">IFERROR(__xludf.DUMMYFUNCTION("""COMPUTED_VALUE"""),"Sin costo")</f>
        <v>Sin costo</v>
      </c>
      <c r="AI301" s="30"/>
      <c r="AJ301" s="30"/>
      <c r="AK301" s="30"/>
      <c r="AL301" s="30" t="str">
        <f ca="1">IFERROR(__xludf.DUMMYFUNCTION("""COMPUTED_VALUE"""),"ccardonav@guanajuato.gob.mx")</f>
        <v>ccardonav@guanajuato.gob.mx</v>
      </c>
      <c r="AM301" s="30" t="str">
        <f ca="1">IFERROR(__xludf.DUMMYFUNCTION("""COMPUTED_VALUE"""),"Arraigo y empoderamiento cultural de comunidades.")</f>
        <v>Arraigo y empoderamiento cultural de comunidades.</v>
      </c>
      <c r="AN301" s="30" t="str">
        <f ca="1">IFERROR(__xludf.DUMMYFUNCTION("""COMPUTED_VALUE"""),"2 Igualdad")</f>
        <v>2 Igualdad</v>
      </c>
      <c r="AO301" s="30" t="str">
        <f ca="1">IFERROR(__xludf.DUMMYFUNCTION("""COMPUTED_VALUE"""),"2.4 Reducir brechas de desigualdad")</f>
        <v>2.4 Reducir brechas de desigualdad</v>
      </c>
      <c r="AP301" s="30" t="str">
        <f ca="1">IFERROR(__xludf.DUMMYFUNCTION("""COMPUTED_VALUE"""),"2.4.3 Descentralización de la oferta cultural")</f>
        <v>2.4.3 Descentralización de la oferta cultural</v>
      </c>
      <c r="AQ301" s="30" t="str">
        <f ca="1">IFERROR(__xludf.DUMMYFUNCTION("""COMPUTED_VALUE"""),"2.4.3.1 Impulsar el desarrollo artístico y cultural entre infancias y juventudes")</f>
        <v>2.4.3.1 Impulsar el desarrollo artístico y cultural entre infancias y juventudes</v>
      </c>
      <c r="AR301" s="30" t="str">
        <f ca="1">IFERROR(__xludf.DUMMYFUNCTION("""COMPUTED_VALUE"""),"Cooperación")</f>
        <v>Cooperación</v>
      </c>
      <c r="AS301" s="30"/>
      <c r="AT301" s="30" t="str">
        <f ca="1">IFERROR(__xludf.DUMMYFUNCTION("""COMPUTED_VALUE"""),"Fortalecimiento de la participación ciudadana y la mediación cultural")</f>
        <v>Fortalecimiento de la participación ciudadana y la mediación cultural</v>
      </c>
      <c r="AU301" s="30" t="str">
        <f ca="1">IFERROR(__xludf.DUMMYFUNCTION("""COMPUTED_VALUE"""),"Impulso a la ampliación de la oferta cultural en los territorios.")</f>
        <v>Impulso a la ampliación de la oferta cultural en los territorios.</v>
      </c>
      <c r="AV30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1" s="30" t="str">
        <f ca="1">IFERROR(__xludf.DUMMYFUNCTION("""COMPUTED_VALUE"""),"Incrementar en 25% la oferta cultural realizada en los municipios.")</f>
        <v>Incrementar en 25% la oferta cultural realizada en los municipios.</v>
      </c>
      <c r="AX301" s="30" t="str">
        <f ca="1">IFERROR(__xludf.DUMMYFUNCTION("""COMPUTED_VALUE"""),"Presentación artística")</f>
        <v>Presentación artística</v>
      </c>
      <c r="AY301" s="30" t="str">
        <f ca="1">IFERROR(__xludf.DUMMYFUNCTION("""COMPUTED_VALUE"""),"Producción")</f>
        <v>Producción</v>
      </c>
      <c r="AZ301" s="30"/>
      <c r="BA301" s="30"/>
      <c r="BB301" s="30"/>
      <c r="BC301" s="30">
        <f ca="1">IFERROR(__xludf.DUMMYFUNCTION("""COMPUTED_VALUE"""),0)</f>
        <v>0</v>
      </c>
      <c r="BD301" s="30"/>
      <c r="BE301" s="30"/>
      <c r="BF301" s="30" t="b">
        <f ca="1">IFERROR(__xludf.DUMMYFUNCTION("""COMPUTED_VALUE"""),FALSE)</f>
        <v>0</v>
      </c>
      <c r="BG301" s="30"/>
      <c r="BH301" s="30"/>
      <c r="BI301" s="30"/>
      <c r="BJ301" s="30"/>
      <c r="BK301" s="30"/>
      <c r="BL301" s="30" t="str">
        <f ca="1">IFERROR(__xludf.DUMMYFUNCTION("""COMPUTED_VALUE"""),"N/A")</f>
        <v>N/A</v>
      </c>
      <c r="BM301" s="30" t="str">
        <f ca="1">IFERROR(__xludf.DUMMYFUNCTION("""COMPUTED_VALUE"""),"Sí")</f>
        <v>Sí</v>
      </c>
      <c r="BN301" s="30" t="str">
        <f ca="1">IFERROR(__xludf.DUMMYFUNCTION("""COMPUTED_VALUE"""),"Acompañamiento Técnico")</f>
        <v>Acompañamiento Técnico</v>
      </c>
      <c r="BO301" s="30" t="str">
        <f ca="1">IFERROR(__xludf.DUMMYFUNCTION("""COMPUTED_VALUE"""),"b9ad008a")</f>
        <v>b9ad008a</v>
      </c>
      <c r="BP301" s="29" t="str">
        <f ca="1">IFERROR(__xludf.DUMMYFUNCTION("""COMPUTED_VALUE"""),"Guanajuato")</f>
        <v>Guanajuato</v>
      </c>
      <c r="BQ301" s="30" t="str">
        <f ca="1">IFERROR(__xludf.DUMMYFUNCTION("""COMPUTED_VALUE"""),"Urbano")</f>
        <v>Urbano</v>
      </c>
      <c r="BR301" s="30">
        <f ca="1">IFERROR(__xludf.DUMMYFUNCTION("""COMPUTED_VALUE"""),49)</f>
        <v>49</v>
      </c>
      <c r="BS301" s="30" t="str">
        <f ca="1">IFERROR(__xludf.DUMMYFUNCTION("""COMPUTED_VALUE"""),"Guanajuato")</f>
        <v>Guanajuato</v>
      </c>
      <c r="BT301" s="30"/>
      <c r="BU301" s="30" t="str">
        <f ca="1">IFERROR(__xludf.DUMMYFUNCTION("""COMPUTED_VALUE"""),"Si")</f>
        <v>Si</v>
      </c>
      <c r="BV301" s="30" t="str">
        <f ca="1">IFERROR(__xludf.DUMMYFUNCTION("""COMPUTED_VALUE"""),"Si")</f>
        <v>Si</v>
      </c>
      <c r="BW301" s="30">
        <f ca="1">IFERROR(__xludf.DUMMYFUNCTION("""COMPUTED_VALUE"""),24)</f>
        <v>24</v>
      </c>
      <c r="BX301" s="30"/>
      <c r="BY301" s="30">
        <f ca="1">IFERROR(__xludf.DUMMYFUNCTION("""COMPUTED_VALUE"""),24)</f>
        <v>24</v>
      </c>
      <c r="BZ301" s="30" t="str">
        <f ca="1">IFERROR(__xludf.DUMMYFUNCTION("""COMPUTED_VALUE"""),"Guanajuato")</f>
        <v>Guanajuato</v>
      </c>
      <c r="CA301" s="30" t="str">
        <f ca="1">IFERROR(__xludf.DUMMYFUNCTION("""COMPUTED_VALUE"""),"No")</f>
        <v>No</v>
      </c>
      <c r="CB301" s="30" t="str">
        <f ca="1">IFERROR(__xludf.DUMMYFUNCTION("""COMPUTED_VALUE"""),"No")</f>
        <v>No</v>
      </c>
      <c r="CC301" s="30" t="str">
        <f ca="1">IFERROR(__xludf.DUMMYFUNCTION("""COMPUTED_VALUE"""),"b8222bfb")</f>
        <v>b8222bfb</v>
      </c>
      <c r="CD301" s="29" t="str">
        <f ca="1">IFERROR(__xludf.DUMMYFUNCTION("""COMPUTED_VALUE"""),"Adultos (30 a 59 años)")</f>
        <v>Adultos (30 a 59 años)</v>
      </c>
      <c r="CE301" s="30" t="str">
        <f ca="1">IFERROR(__xludf.DUMMYFUNCTION("""COMPUTED_VALUE"""),"Dato global")</f>
        <v>Dato global</v>
      </c>
      <c r="CF301" s="30" t="str">
        <f ca="1">IFERROR(__xludf.DUMMYFUNCTION("""COMPUTED_VALUE"""),"Ninguno (Población General)")</f>
        <v>Ninguno (Población General)</v>
      </c>
      <c r="CG301" s="30">
        <f ca="1">IFERROR(__xludf.DUMMYFUNCTION("""COMPUTED_VALUE"""),10)</f>
        <v>10</v>
      </c>
      <c r="CI301" s="30" t="str">
        <f ca="1">IFERROR(__xludf.DUMMYFUNCTION("""COMPUTED_VALUE"""),"3c415b7e")</f>
        <v>3c415b7e</v>
      </c>
      <c r="CJ301" s="29" t="str">
        <f ca="1">IFERROR(__xludf.DUMMYFUNCTION("""COMPUTED_VALUE"""),"Regitro_Evidencia_Images/3c415b7e.Archivo_Evidencia.185532.jpg")</f>
        <v>Regitro_Evidencia_Images/3c415b7e.Archivo_Evidencia.185532.jpg</v>
      </c>
      <c r="CK301" s="30" t="str">
        <f ca="1">IFERROR(__xludf.DUMMYFUNCTION("""COMPUTED_VALUE"""),"Foto")</f>
        <v>Foto</v>
      </c>
      <c r="CL301" s="30"/>
      <c r="CM301" s="30" t="str">
        <f ca="1">IFERROR(__xludf.DUMMYFUNCTION("""COMPUTED_VALUE"""),"Guanajuato")</f>
        <v>Guanajuato</v>
      </c>
      <c r="CN301" s="32" t="e">
        <f ca="1"/>
        <v>#NAME?</v>
      </c>
      <c r="CO301" s="32" t="e">
        <f ca="1"/>
        <v>#NAME?</v>
      </c>
      <c r="CP301" s="32" t="e">
        <f ca="1"/>
        <v>#NAME?</v>
      </c>
      <c r="CQ301" s="32" t="e">
        <f ca="1"/>
        <v>#NAME?</v>
      </c>
      <c r="CR301" s="30" t="e">
        <f ca="1"/>
        <v>#NAME?</v>
      </c>
      <c r="CS301" s="30" t="str">
        <f ca="1">IFERROR(__xludf.DUMMYFUNCTION("""COMPUTED_VALUE"""),"Ninguno (Población General)")</f>
        <v>Ninguno (Población General)</v>
      </c>
    </row>
    <row r="302" spans="1:97" ht="13">
      <c r="A302" s="29" t="str">
        <f ca="1">IFERROR(__xludf.DUMMYFUNCTION("""COMPUTED_VALUE"""),"ACT-SCHW41152")</f>
        <v>ACT-SCHW41152</v>
      </c>
      <c r="B302" s="30" t="str">
        <f ca="1">IFERROR(__xludf.DUMMYFUNCTION("""COMPUTED_VALUE"""),"SC-260820-172015")</f>
        <v>SC-260820-172015</v>
      </c>
      <c r="C302" s="62">
        <f ca="1">IFERROR(__xludf.DUMMYFUNCTION("""COMPUTED_VALUE"""),46254.7223958333)</f>
        <v>46254.722395833298</v>
      </c>
      <c r="D302" s="30">
        <f ca="1">IFERROR(__xludf.DUMMYFUNCTION("""COMPUTED_VALUE"""),92)</f>
        <v>92</v>
      </c>
      <c r="E302" s="30" t="str">
        <f ca="1">IFERROR(__xludf.DUMMYFUNCTION("""COMPUTED_VALUE"""),"PB3572")</f>
        <v>PB3572</v>
      </c>
      <c r="F30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2" s="30" t="str">
        <f ca="1">IFERROR(__xludf.DUMMYFUNCTION("""COMPUTED_VALUE"""),"SUBSECRETARÍA DE DESARROLLO Y PROMOCIÓN ARTÍSTICA Y CULTURAL")</f>
        <v>SUBSECRETARÍA DE DESARROLLO Y PROMOCIÓN ARTÍSTICA Y CULTURAL</v>
      </c>
      <c r="I302" s="34" t="str">
        <f ca="1">IFERROR(__xludf.DUMMYFUNCTION("""COMPUTED_VALUE"""),"DIRECCIÓN GENERAL DE MUSEOS, ARTES VISUALES Y EXPOSICIONES")</f>
        <v>DIRECCIÓN GENERAL DE MUSEOS, ARTES VISUALES Y EXPOSICIONES</v>
      </c>
      <c r="J302" s="30" t="str">
        <f ca="1">IFERROR(__xludf.DUMMYFUNCTION("""COMPUTED_VALUE"""),"Número de Actividades realizadas")</f>
        <v>Número de Actividades realizadas</v>
      </c>
      <c r="K302" s="30">
        <f ca="1">IFERROR(__xludf.DUMMYFUNCTION("""COMPUTED_VALUE"""),800)</f>
        <v>800</v>
      </c>
      <c r="L302" s="30" t="str">
        <f ca="1">IFERROR(__xludf.DUMMYFUNCTION("""COMPUTED_VALUE"""),"Cultural")</f>
        <v>Cultural</v>
      </c>
      <c r="M302" s="30" t="str">
        <f ca="1">IFERROR(__xludf.DUMMYFUNCTION("""COMPUTED_VALUE"""),"Coros del Valle de Señora.")</f>
        <v>Coros del Valle de Señora.</v>
      </c>
      <c r="N302" s="30" t="str">
        <f ca="1">IFERROR(__xludf.DUMMYFUNCTION("""COMPUTED_VALUE"""),"Disfrutemos del museo desde la música en compañía del Coro  Amanecer de la fundación Coros del Valle de Señora. Nos compartirán algunas piezas como La llorona, La bamba, Nanga Ti Feo y muchas más.")</f>
        <v>Disfrutemos del museo desde la música en compañía del Coro  Amanecer de la fundación Coros del Valle de Señora. Nos compartirán algunas piezas como La llorona, La bamba, Nanga Ti Feo y muchas más.</v>
      </c>
      <c r="O302" s="30" t="str">
        <f ca="1">IFERROR(__xludf.DUMMYFUNCTION("""COMPUTED_VALUE"""),"Única")</f>
        <v>Única</v>
      </c>
      <c r="P302" s="33">
        <f ca="1">IFERROR(__xludf.DUMMYFUNCTION("""COMPUTED_VALUE"""),46214)</f>
        <v>46214</v>
      </c>
      <c r="Q302" s="33">
        <f ca="1">IFERROR(__xludf.DUMMYFUNCTION("""COMPUTED_VALUE"""),46214)</f>
        <v>46214</v>
      </c>
      <c r="R302" s="30">
        <f ca="1">IFERROR(__xludf.DUMMYFUNCTION("""COMPUTED_VALUE"""),1)</f>
        <v>1</v>
      </c>
      <c r="S302" s="30" t="str">
        <f ca="1">IFERROR(__xludf.DUMMYFUNCTION("""COMPUTED_VALUE"""),"Música")</f>
        <v>Música</v>
      </c>
      <c r="T302" s="30" t="str">
        <f ca="1">IFERROR(__xludf.DUMMYFUNCTION("""COMPUTED_VALUE"""),"Música tradicional")</f>
        <v>Música tradicional</v>
      </c>
      <c r="U302" s="30" t="str">
        <f ca="1">IFERROR(__xludf.DUMMYFUNCTION("""COMPUTED_VALUE"""),"Muestra artística")</f>
        <v>Muestra artística</v>
      </c>
      <c r="V302" s="30" t="str">
        <f ca="1">IFERROR(__xludf.DUMMYFUNCTION("""COMPUTED_VALUE"""),"Ninguna")</f>
        <v>Ninguna</v>
      </c>
      <c r="W302" s="30" t="str">
        <f ca="1">IFERROR(__xludf.DUMMYFUNCTION("""COMPUTED_VALUE"""),"Presencial")</f>
        <v>Presencial</v>
      </c>
      <c r="X302" s="30" t="str">
        <f ca="1">IFERROR(__xludf.DUMMYFUNCTION("""COMPUTED_VALUE"""),"Espacio a Cargo de la Secretaría")</f>
        <v>Espacio a Cargo de la Secretaría</v>
      </c>
      <c r="Y302" s="30" t="str">
        <f ca="1">IFERROR(__xludf.DUMMYFUNCTION("""COMPUTED_VALUE"""),"Museo de Arte e Historia de Guanajuato, sala Feliciano Peña")</f>
        <v>Museo de Arte e Historia de Guanajuato, sala Feliciano Peña</v>
      </c>
      <c r="Z302" s="30"/>
      <c r="AA302" s="30"/>
      <c r="AB302" s="30" t="b">
        <f ca="1">IFERROR(__xludf.DUMMYFUNCTION("""COMPUTED_VALUE"""),FALSE)</f>
        <v>0</v>
      </c>
      <c r="AC302" s="30"/>
      <c r="AD302" s="30" t="b">
        <f ca="1">IFERROR(__xludf.DUMMYFUNCTION("""COMPUTED_VALUE"""),FALSE)</f>
        <v>0</v>
      </c>
      <c r="AE302" s="30"/>
      <c r="AF302" s="30" t="b">
        <f ca="1">IFERROR(__xludf.DUMMYFUNCTION("""COMPUTED_VALUE"""),FALSE)</f>
        <v>0</v>
      </c>
      <c r="AG302" s="30"/>
      <c r="AH302" s="30" t="str">
        <f ca="1">IFERROR(__xludf.DUMMYFUNCTION("""COMPUTED_VALUE"""),"Sin costo")</f>
        <v>Sin costo</v>
      </c>
      <c r="AI302" s="30"/>
      <c r="AJ302" s="30"/>
      <c r="AK302" s="30"/>
      <c r="AL302" s="30" t="str">
        <f ca="1">IFERROR(__xludf.DUMMYFUNCTION("""COMPUTED_VALUE"""),"ccardonav@guanajuato.gob.mx")</f>
        <v>ccardonav@guanajuato.gob.mx</v>
      </c>
      <c r="AM302" s="30" t="str">
        <f ca="1">IFERROR(__xludf.DUMMYFUNCTION("""COMPUTED_VALUE"""),"Arraigo y empoderamiento cultural de comunidades.")</f>
        <v>Arraigo y empoderamiento cultural de comunidades.</v>
      </c>
      <c r="AN302" s="30" t="str">
        <f ca="1">IFERROR(__xludf.DUMMYFUNCTION("""COMPUTED_VALUE"""),"2 Igualdad")</f>
        <v>2 Igualdad</v>
      </c>
      <c r="AO302" s="30" t="str">
        <f ca="1">IFERROR(__xludf.DUMMYFUNCTION("""COMPUTED_VALUE"""),"2.4 Reducir brechas de desigualdad")</f>
        <v>2.4 Reducir brechas de desigualdad</v>
      </c>
      <c r="AP302" s="30" t="str">
        <f ca="1">IFERROR(__xludf.DUMMYFUNCTION("""COMPUTED_VALUE"""),"2.4.3 Descentralización de la oferta cultural")</f>
        <v>2.4.3 Descentralización de la oferta cultural</v>
      </c>
      <c r="AQ302" s="30" t="str">
        <f ca="1">IFERROR(__xludf.DUMMYFUNCTION("""COMPUTED_VALUE"""),"2.4.3.1 Impulsar el desarrollo artístico y cultural entre infancias y juventudes")</f>
        <v>2.4.3.1 Impulsar el desarrollo artístico y cultural entre infancias y juventudes</v>
      </c>
      <c r="AR302" s="30" t="str">
        <f ca="1">IFERROR(__xludf.DUMMYFUNCTION("""COMPUTED_VALUE"""),"Cooperación")</f>
        <v>Cooperación</v>
      </c>
      <c r="AS302" s="30"/>
      <c r="AT302" s="30" t="str">
        <f ca="1">IFERROR(__xludf.DUMMYFUNCTION("""COMPUTED_VALUE"""),"Fortalecimiento de la participación ciudadana y la mediación cultural")</f>
        <v>Fortalecimiento de la participación ciudadana y la mediación cultural</v>
      </c>
      <c r="AU302" s="30" t="str">
        <f ca="1">IFERROR(__xludf.DUMMYFUNCTION("""COMPUTED_VALUE"""),"Impulso a la ampliación de la oferta cultural en los territorios.")</f>
        <v>Impulso a la ampliación de la oferta cultural en los territorios.</v>
      </c>
      <c r="AV30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2" s="30" t="str">
        <f ca="1">IFERROR(__xludf.DUMMYFUNCTION("""COMPUTED_VALUE"""),"Incrementar en 25% la oferta cultural realizada en los municipios.")</f>
        <v>Incrementar en 25% la oferta cultural realizada en los municipios.</v>
      </c>
      <c r="AX302" s="30" t="str">
        <f ca="1">IFERROR(__xludf.DUMMYFUNCTION("""COMPUTED_VALUE"""),"Presentación artística")</f>
        <v>Presentación artística</v>
      </c>
      <c r="AY302" s="30" t="str">
        <f ca="1">IFERROR(__xludf.DUMMYFUNCTION("""COMPUTED_VALUE"""),"Producción")</f>
        <v>Producción</v>
      </c>
      <c r="AZ302" s="30"/>
      <c r="BA302" s="30"/>
      <c r="BB302" s="30"/>
      <c r="BC302" s="30">
        <f ca="1">IFERROR(__xludf.DUMMYFUNCTION("""COMPUTED_VALUE"""),0)</f>
        <v>0</v>
      </c>
      <c r="BD302" s="30"/>
      <c r="BE302" s="30"/>
      <c r="BF302" s="30" t="b">
        <f ca="1">IFERROR(__xludf.DUMMYFUNCTION("""COMPUTED_VALUE"""),FALSE)</f>
        <v>0</v>
      </c>
      <c r="BG302" s="30"/>
      <c r="BH302" s="30"/>
      <c r="BI302" s="30"/>
      <c r="BJ302" s="30"/>
      <c r="BK302" s="30"/>
      <c r="BL302" s="30" t="str">
        <f ca="1">IFERROR(__xludf.DUMMYFUNCTION("""COMPUTED_VALUE"""),"N/A")</f>
        <v>N/A</v>
      </c>
      <c r="BM302" s="30" t="str">
        <f ca="1">IFERROR(__xludf.DUMMYFUNCTION("""COMPUTED_VALUE"""),"Sí")</f>
        <v>Sí</v>
      </c>
      <c r="BN302" s="30" t="str">
        <f ca="1">IFERROR(__xludf.DUMMYFUNCTION("""COMPUTED_VALUE"""),"Acompañamiento Técnico")</f>
        <v>Acompañamiento Técnico</v>
      </c>
      <c r="BO302" s="30" t="str">
        <f ca="1">IFERROR(__xludf.DUMMYFUNCTION("""COMPUTED_VALUE"""),"4ca4a50a")</f>
        <v>4ca4a50a</v>
      </c>
      <c r="BP302" s="29" t="str">
        <f ca="1">IFERROR(__xludf.DUMMYFUNCTION("""COMPUTED_VALUE"""),"Guanajuato")</f>
        <v>Guanajuato</v>
      </c>
      <c r="BQ302" s="30" t="str">
        <f ca="1">IFERROR(__xludf.DUMMYFUNCTION("""COMPUTED_VALUE"""),"Urbano")</f>
        <v>Urbano</v>
      </c>
      <c r="BR302" s="30"/>
      <c r="BS302" s="30"/>
      <c r="BT302" s="30"/>
      <c r="BU302" s="30" t="str">
        <f ca="1">IFERROR(__xludf.DUMMYFUNCTION("""COMPUTED_VALUE"""),"No")</f>
        <v>No</v>
      </c>
      <c r="BV302" s="30" t="str">
        <f ca="1">IFERROR(__xludf.DUMMYFUNCTION("""COMPUTED_VALUE"""),"No")</f>
        <v>No</v>
      </c>
      <c r="BW302" s="30">
        <f ca="1">IFERROR(__xludf.DUMMYFUNCTION("""COMPUTED_VALUE"""),19)</f>
        <v>19</v>
      </c>
      <c r="BX302" s="30">
        <f ca="1">IFERROR(__xludf.DUMMYFUNCTION("""COMPUTED_VALUE"""),19)</f>
        <v>19</v>
      </c>
      <c r="BY302" s="30">
        <f ca="1">IFERROR(__xludf.DUMMYFUNCTION("""COMPUTED_VALUE"""),0)</f>
        <v>0</v>
      </c>
      <c r="BZ302" s="30"/>
      <c r="CA302" s="30" t="str">
        <f ca="1">IFERROR(__xludf.DUMMYFUNCTION("""COMPUTED_VALUE"""),"No")</f>
        <v>No</v>
      </c>
      <c r="CB302" s="30" t="str">
        <f ca="1">IFERROR(__xludf.DUMMYFUNCTION("""COMPUTED_VALUE"""),"No")</f>
        <v>No</v>
      </c>
      <c r="CC302" s="30" t="str">
        <f ca="1">IFERROR(__xludf.DUMMYFUNCTION("""COMPUTED_VALUE"""),"c1306a65")</f>
        <v>c1306a65</v>
      </c>
      <c r="CD302" s="29" t="str">
        <f ca="1">IFERROR(__xludf.DUMMYFUNCTION("""COMPUTED_VALUE"""),"Adolescentes (13 a 17 años)")</f>
        <v>Adolescentes (13 a 17 años)</v>
      </c>
      <c r="CE302" s="30" t="str">
        <f ca="1">IFERROR(__xludf.DUMMYFUNCTION("""COMPUTED_VALUE"""),"Dato global")</f>
        <v>Dato global</v>
      </c>
      <c r="CF302" s="30" t="str">
        <f ca="1">IFERROR(__xludf.DUMMYFUNCTION("""COMPUTED_VALUE"""),"Ninguno (Población General)")</f>
        <v>Ninguno (Población General)</v>
      </c>
      <c r="CG302" s="30">
        <f ca="1">IFERROR(__xludf.DUMMYFUNCTION("""COMPUTED_VALUE"""),40)</f>
        <v>40</v>
      </c>
      <c r="CI302" s="30" t="str">
        <f ca="1">IFERROR(__xludf.DUMMYFUNCTION("""COMPUTED_VALUE"""),"4848d597")</f>
        <v>4848d597</v>
      </c>
      <c r="CJ302" s="29" t="str">
        <f ca="1">IFERROR(__xludf.DUMMYFUNCTION("""COMPUTED_VALUE"""),"Regitro_Evidencia_Images/4848d597.Archivo_Evidencia.201554.jpg")</f>
        <v>Regitro_Evidencia_Images/4848d597.Archivo_Evidencia.201554.jpg</v>
      </c>
      <c r="CK302" s="30" t="str">
        <f ca="1">IFERROR(__xludf.DUMMYFUNCTION("""COMPUTED_VALUE"""),"Foto")</f>
        <v>Foto</v>
      </c>
      <c r="CL302" s="30"/>
      <c r="CM302" s="30" t="str">
        <f ca="1">IFERROR(__xludf.DUMMYFUNCTION("""COMPUTED_VALUE"""),"Guanajuato")</f>
        <v>Guanajuato</v>
      </c>
      <c r="CN302" s="32" t="e">
        <f ca="1"/>
        <v>#NAME?</v>
      </c>
      <c r="CO302" s="32" t="e">
        <f ca="1"/>
        <v>#NAME?</v>
      </c>
      <c r="CP302" s="32" t="e">
        <f ca="1"/>
        <v>#NAME?</v>
      </c>
      <c r="CQ302" s="32" t="e">
        <f ca="1"/>
        <v>#NAME?</v>
      </c>
      <c r="CR302" s="30" t="e">
        <f ca="1"/>
        <v>#NAME?</v>
      </c>
      <c r="CS302" s="30" t="str">
        <f ca="1">IFERROR(__xludf.DUMMYFUNCTION("""COMPUTED_VALUE"""),"Ninguno (Población General)")</f>
        <v>Ninguno (Población General)</v>
      </c>
    </row>
    <row r="303" spans="1:97" ht="13">
      <c r="A303" s="29" t="str">
        <f ca="1">IFERROR(__xludf.DUMMYFUNCTION("""COMPUTED_VALUE"""),"ACT-SCXE00182")</f>
        <v>ACT-SCXE00182</v>
      </c>
      <c r="B303" s="30" t="str">
        <f ca="1">IFERROR(__xludf.DUMMYFUNCTION("""COMPUTED_VALUE"""),"SC-260820-172543")</f>
        <v>SC-260820-172543</v>
      </c>
      <c r="C303" s="62">
        <f ca="1">IFERROR(__xludf.DUMMYFUNCTION("""COMPUTED_VALUE"""),46254.7261921296)</f>
        <v>46254.726192129601</v>
      </c>
      <c r="D303" s="30">
        <f ca="1">IFERROR(__xludf.DUMMYFUNCTION("""COMPUTED_VALUE"""),92)</f>
        <v>92</v>
      </c>
      <c r="E303" s="30" t="str">
        <f ca="1">IFERROR(__xludf.DUMMYFUNCTION("""COMPUTED_VALUE"""),"PB3572")</f>
        <v>PB3572</v>
      </c>
      <c r="F30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3" s="30" t="str">
        <f ca="1">IFERROR(__xludf.DUMMYFUNCTION("""COMPUTED_VALUE"""),"SUBSECRETARÍA DE DESARROLLO Y PROMOCIÓN ARTÍSTICA Y CULTURAL")</f>
        <v>SUBSECRETARÍA DE DESARROLLO Y PROMOCIÓN ARTÍSTICA Y CULTURAL</v>
      </c>
      <c r="I303" s="34" t="str">
        <f ca="1">IFERROR(__xludf.DUMMYFUNCTION("""COMPUTED_VALUE"""),"DIRECCIÓN GENERAL DE MUSEOS, ARTES VISUALES Y EXPOSICIONES")</f>
        <v>DIRECCIÓN GENERAL DE MUSEOS, ARTES VISUALES Y EXPOSICIONES</v>
      </c>
      <c r="J303" s="30" t="str">
        <f ca="1">IFERROR(__xludf.DUMMYFUNCTION("""COMPUTED_VALUE"""),"Número de Actividades realizadas")</f>
        <v>Número de Actividades realizadas</v>
      </c>
      <c r="K303" s="30">
        <f ca="1">IFERROR(__xludf.DUMMYFUNCTION("""COMPUTED_VALUE"""),800)</f>
        <v>800</v>
      </c>
      <c r="L303" s="30" t="str">
        <f ca="1">IFERROR(__xludf.DUMMYFUNCTION("""COMPUTED_VALUE"""),"Cultural")</f>
        <v>Cultural</v>
      </c>
      <c r="M303" s="30" t="str">
        <f ca="1">IFERROR(__xludf.DUMMYFUNCTION("""COMPUTED_VALUE"""),"Lectura performática. Espacios indicentales.")</f>
        <v>Lectura performática. Espacios indicentales.</v>
      </c>
      <c r="N303" s="30" t="str">
        <f ca="1">IFERROR(__xludf.DUMMYFUNCTION("""COMPUTED_VALUE"""),"Performance literario donde a través de poemas y el performance dialogaremos con las temáticas del misticismo y la adivinación, temas tocados en la exposición Bajo el Signo de Saturno. Presenta: Marjha Paulino")</f>
        <v>Performance literario donde a través de poemas y el performance dialogaremos con las temáticas del misticismo y la adivinación, temas tocados en la exposición Bajo el Signo de Saturno. Presenta: Marjha Paulino</v>
      </c>
      <c r="O303" s="30" t="str">
        <f ca="1">IFERROR(__xludf.DUMMYFUNCTION("""COMPUTED_VALUE"""),"Única")</f>
        <v>Única</v>
      </c>
      <c r="P303" s="33">
        <f ca="1">IFERROR(__xludf.DUMMYFUNCTION("""COMPUTED_VALUE"""),46229)</f>
        <v>46229</v>
      </c>
      <c r="Q303" s="33">
        <f ca="1">IFERROR(__xludf.DUMMYFUNCTION("""COMPUTED_VALUE"""),46229)</f>
        <v>46229</v>
      </c>
      <c r="R303" s="30">
        <f ca="1">IFERROR(__xludf.DUMMYFUNCTION("""COMPUTED_VALUE"""),1)</f>
        <v>1</v>
      </c>
      <c r="S303" s="30" t="str">
        <f ca="1">IFERROR(__xludf.DUMMYFUNCTION("""COMPUTED_VALUE"""),"Literatura")</f>
        <v>Literatura</v>
      </c>
      <c r="T303" s="30" t="str">
        <f ca="1">IFERROR(__xludf.DUMMYFUNCTION("""COMPUTED_VALUE"""),"Fomento a la lectura")</f>
        <v>Fomento a la lectura</v>
      </c>
      <c r="U303" s="30" t="str">
        <f ca="1">IFERROR(__xludf.DUMMYFUNCTION("""COMPUTED_VALUE"""),"Muestra artística")</f>
        <v>Muestra artística</v>
      </c>
      <c r="V303" s="30" t="str">
        <f ca="1">IFERROR(__xludf.DUMMYFUNCTION("""COMPUTED_VALUE"""),"Ninguna")</f>
        <v>Ninguna</v>
      </c>
      <c r="W303" s="30" t="str">
        <f ca="1">IFERROR(__xludf.DUMMYFUNCTION("""COMPUTED_VALUE"""),"Presencial")</f>
        <v>Presencial</v>
      </c>
      <c r="X303" s="30" t="str">
        <f ca="1">IFERROR(__xludf.DUMMYFUNCTION("""COMPUTED_VALUE"""),"Espacio a Cargo de la Secretaría")</f>
        <v>Espacio a Cargo de la Secretaría</v>
      </c>
      <c r="Y303" s="30" t="str">
        <f ca="1">IFERROR(__xludf.DUMMYFUNCTION("""COMPUTED_VALUE"""),"Museo de Arte e Historia de Guanajuato, sala Feliciano Peña")</f>
        <v>Museo de Arte e Historia de Guanajuato, sala Feliciano Peña</v>
      </c>
      <c r="Z303" s="30"/>
      <c r="AA303" s="30"/>
      <c r="AB303" s="30" t="b">
        <f ca="1">IFERROR(__xludf.DUMMYFUNCTION("""COMPUTED_VALUE"""),FALSE)</f>
        <v>0</v>
      </c>
      <c r="AC303" s="30"/>
      <c r="AD303" s="30" t="b">
        <f ca="1">IFERROR(__xludf.DUMMYFUNCTION("""COMPUTED_VALUE"""),FALSE)</f>
        <v>0</v>
      </c>
      <c r="AE303" s="30"/>
      <c r="AF303" s="30" t="b">
        <f ca="1">IFERROR(__xludf.DUMMYFUNCTION("""COMPUTED_VALUE"""),FALSE)</f>
        <v>0</v>
      </c>
      <c r="AG303" s="30"/>
      <c r="AH303" s="30" t="str">
        <f ca="1">IFERROR(__xludf.DUMMYFUNCTION("""COMPUTED_VALUE"""),"Sin costo")</f>
        <v>Sin costo</v>
      </c>
      <c r="AI303" s="30"/>
      <c r="AJ303" s="30"/>
      <c r="AK303" s="30"/>
      <c r="AL303" s="30" t="str">
        <f ca="1">IFERROR(__xludf.DUMMYFUNCTION("""COMPUTED_VALUE"""),"ccardonav@guanajuato.gob.mx")</f>
        <v>ccardonav@guanajuato.gob.mx</v>
      </c>
      <c r="AM303" s="30" t="str">
        <f ca="1">IFERROR(__xludf.DUMMYFUNCTION("""COMPUTED_VALUE"""),"Arraigo y empoderamiento cultural de comunidades.")</f>
        <v>Arraigo y empoderamiento cultural de comunidades.</v>
      </c>
      <c r="AN303" s="30" t="str">
        <f ca="1">IFERROR(__xludf.DUMMYFUNCTION("""COMPUTED_VALUE"""),"2 Igualdad")</f>
        <v>2 Igualdad</v>
      </c>
      <c r="AO303" s="30" t="str">
        <f ca="1">IFERROR(__xludf.DUMMYFUNCTION("""COMPUTED_VALUE"""),"2.4 Reducir brechas de desigualdad")</f>
        <v>2.4 Reducir brechas de desigualdad</v>
      </c>
      <c r="AP303" s="30" t="str">
        <f ca="1">IFERROR(__xludf.DUMMYFUNCTION("""COMPUTED_VALUE"""),"2.4.3 Descentralización de la oferta cultural")</f>
        <v>2.4.3 Descentralización de la oferta cultural</v>
      </c>
      <c r="AQ303" s="30" t="str">
        <f ca="1">IFERROR(__xludf.DUMMYFUNCTION("""COMPUTED_VALUE"""),"2.4.3.1 Impulsar el desarrollo artístico y cultural entre infancias y juventudes")</f>
        <v>2.4.3.1 Impulsar el desarrollo artístico y cultural entre infancias y juventudes</v>
      </c>
      <c r="AR303" s="30" t="str">
        <f ca="1">IFERROR(__xludf.DUMMYFUNCTION("""COMPUTED_VALUE"""),"Cooperación")</f>
        <v>Cooperación</v>
      </c>
      <c r="AS303" s="30"/>
      <c r="AT303" s="30" t="str">
        <f ca="1">IFERROR(__xludf.DUMMYFUNCTION("""COMPUTED_VALUE"""),"Fortalecimiento de la participación ciudadana y la mediación cultural")</f>
        <v>Fortalecimiento de la participación ciudadana y la mediación cultural</v>
      </c>
      <c r="AU303" s="30" t="str">
        <f ca="1">IFERROR(__xludf.DUMMYFUNCTION("""COMPUTED_VALUE"""),"Impulso a la ampliación de la oferta cultural en los territorios.")</f>
        <v>Impulso a la ampliación de la oferta cultural en los territorios.</v>
      </c>
      <c r="AV30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3" s="30" t="str">
        <f ca="1">IFERROR(__xludf.DUMMYFUNCTION("""COMPUTED_VALUE"""),"Incrementar en 25% la oferta cultural realizada en los municipios.")</f>
        <v>Incrementar en 25% la oferta cultural realizada en los municipios.</v>
      </c>
      <c r="AX303" s="30" t="str">
        <f ca="1">IFERROR(__xludf.DUMMYFUNCTION("""COMPUTED_VALUE"""),"Presentación artística")</f>
        <v>Presentación artística</v>
      </c>
      <c r="AY303" s="30" t="str">
        <f ca="1">IFERROR(__xludf.DUMMYFUNCTION("""COMPUTED_VALUE"""),"Producción")</f>
        <v>Producción</v>
      </c>
      <c r="AZ303" s="30"/>
      <c r="BA303" s="30"/>
      <c r="BB303" s="30"/>
      <c r="BC303" s="30">
        <f ca="1">IFERROR(__xludf.DUMMYFUNCTION("""COMPUTED_VALUE"""),0)</f>
        <v>0</v>
      </c>
      <c r="BD303" s="30"/>
      <c r="BE303" s="30"/>
      <c r="BF303" s="30" t="b">
        <f ca="1">IFERROR(__xludf.DUMMYFUNCTION("""COMPUTED_VALUE"""),FALSE)</f>
        <v>0</v>
      </c>
      <c r="BG303" s="30"/>
      <c r="BH303" s="30"/>
      <c r="BI303" s="30"/>
      <c r="BJ303" s="30"/>
      <c r="BK303" s="30"/>
      <c r="BL303" s="30" t="str">
        <f ca="1">IFERROR(__xludf.DUMMYFUNCTION("""COMPUTED_VALUE"""),"N/A")</f>
        <v>N/A</v>
      </c>
      <c r="BM303" s="30" t="str">
        <f ca="1">IFERROR(__xludf.DUMMYFUNCTION("""COMPUTED_VALUE"""),"Sí")</f>
        <v>Sí</v>
      </c>
      <c r="BN303" s="30" t="str">
        <f ca="1">IFERROR(__xludf.DUMMYFUNCTION("""COMPUTED_VALUE"""),"Acompañamiento Técnico")</f>
        <v>Acompañamiento Técnico</v>
      </c>
      <c r="BO303" s="30" t="str">
        <f ca="1">IFERROR(__xludf.DUMMYFUNCTION("""COMPUTED_VALUE"""),"9283d901")</f>
        <v>9283d901</v>
      </c>
      <c r="BP303" s="29" t="str">
        <f ca="1">IFERROR(__xludf.DUMMYFUNCTION("""COMPUTED_VALUE"""),"Guanajuato")</f>
        <v>Guanajuato</v>
      </c>
      <c r="BQ303" s="30" t="str">
        <f ca="1">IFERROR(__xludf.DUMMYFUNCTION("""COMPUTED_VALUE"""),"Urbano")</f>
        <v>Urbano</v>
      </c>
      <c r="BR303" s="30"/>
      <c r="BS303" s="30"/>
      <c r="BT303" s="30"/>
      <c r="BU303" s="30" t="str">
        <f ca="1">IFERROR(__xludf.DUMMYFUNCTION("""COMPUTED_VALUE"""),"No")</f>
        <v>No</v>
      </c>
      <c r="BV303" s="30" t="str">
        <f ca="1">IFERROR(__xludf.DUMMYFUNCTION("""COMPUTED_VALUE"""),"No")</f>
        <v>No</v>
      </c>
      <c r="BW303" s="30">
        <f ca="1">IFERROR(__xludf.DUMMYFUNCTION("""COMPUTED_VALUE"""),35)</f>
        <v>35</v>
      </c>
      <c r="BX303" s="30">
        <f ca="1">IFERROR(__xludf.DUMMYFUNCTION("""COMPUTED_VALUE"""),35)</f>
        <v>35</v>
      </c>
      <c r="BY303" s="30">
        <f ca="1">IFERROR(__xludf.DUMMYFUNCTION("""COMPUTED_VALUE"""),0)</f>
        <v>0</v>
      </c>
      <c r="BZ303" s="30"/>
      <c r="CA303" s="30" t="str">
        <f ca="1">IFERROR(__xludf.DUMMYFUNCTION("""COMPUTED_VALUE"""),"No")</f>
        <v>No</v>
      </c>
      <c r="CB303" s="30" t="str">
        <f ca="1">IFERROR(__xludf.DUMMYFUNCTION("""COMPUTED_VALUE"""),"No")</f>
        <v>No</v>
      </c>
      <c r="CC303" s="30" t="str">
        <f ca="1">IFERROR(__xludf.DUMMYFUNCTION("""COMPUTED_VALUE"""),"0aefc60a")</f>
        <v>0aefc60a</v>
      </c>
      <c r="CD303" s="29" t="str">
        <f ca="1">IFERROR(__xludf.DUMMYFUNCTION("""COMPUTED_VALUE"""),"Adultos (30 a 59 años)")</f>
        <v>Adultos (30 a 59 años)</v>
      </c>
      <c r="CE303" s="30" t="str">
        <f ca="1">IFERROR(__xludf.DUMMYFUNCTION("""COMPUTED_VALUE"""),"Dato global")</f>
        <v>Dato global</v>
      </c>
      <c r="CF303" s="30" t="str">
        <f ca="1">IFERROR(__xludf.DUMMYFUNCTION("""COMPUTED_VALUE"""),"Ninguno (Población General)")</f>
        <v>Ninguno (Población General)</v>
      </c>
      <c r="CG303" s="30">
        <f ca="1">IFERROR(__xludf.DUMMYFUNCTION("""COMPUTED_VALUE"""),3)</f>
        <v>3</v>
      </c>
      <c r="CI303" s="30" t="str">
        <f ca="1">IFERROR(__xludf.DUMMYFUNCTION("""COMPUTED_VALUE"""),"6bbcc58c")</f>
        <v>6bbcc58c</v>
      </c>
      <c r="CJ303" s="29" t="str">
        <f ca="1">IFERROR(__xludf.DUMMYFUNCTION("""COMPUTED_VALUE"""),"Regitro_Evidencia_Images/6bbcc58c.Archivo_Evidencia.202134.jpg")</f>
        <v>Regitro_Evidencia_Images/6bbcc58c.Archivo_Evidencia.202134.jpg</v>
      </c>
      <c r="CK303" s="30" t="str">
        <f ca="1">IFERROR(__xludf.DUMMYFUNCTION("""COMPUTED_VALUE"""),"Foto")</f>
        <v>Foto</v>
      </c>
      <c r="CL303" s="30"/>
      <c r="CM303" s="30" t="str">
        <f ca="1">IFERROR(__xludf.DUMMYFUNCTION("""COMPUTED_VALUE"""),"Guanajuato")</f>
        <v>Guanajuato</v>
      </c>
      <c r="CN303" s="32" t="e">
        <f ca="1"/>
        <v>#NAME?</v>
      </c>
      <c r="CO303" s="32" t="e">
        <f ca="1"/>
        <v>#NAME?</v>
      </c>
      <c r="CP303" s="32" t="e">
        <f ca="1"/>
        <v>#NAME?</v>
      </c>
      <c r="CQ303" s="32" t="e">
        <f ca="1"/>
        <v>#NAME?</v>
      </c>
      <c r="CR303" s="30" t="e">
        <f ca="1"/>
        <v>#NAME?</v>
      </c>
      <c r="CS303" s="30" t="str">
        <f ca="1">IFERROR(__xludf.DUMMYFUNCTION("""COMPUTED_VALUE"""),"Ninguno (Población General)")</f>
        <v>Ninguno (Población General)</v>
      </c>
    </row>
    <row r="304" spans="1:97" ht="13">
      <c r="A304" s="29" t="str">
        <f ca="1">IFERROR(__xludf.DUMMYFUNCTION("""COMPUTED_VALUE"""),"ACT-SCLZ36153")</f>
        <v>ACT-SCLZ36153</v>
      </c>
      <c r="B304" s="30" t="str">
        <f ca="1">IFERROR(__xludf.DUMMYFUNCTION("""COMPUTED_VALUE"""),"SC-260820-173030")</f>
        <v>SC-260820-173030</v>
      </c>
      <c r="C304" s="62">
        <f ca="1">IFERROR(__xludf.DUMMYFUNCTION("""COMPUTED_VALUE"""),46254.7295138888)</f>
        <v>46254.7295138888</v>
      </c>
      <c r="D304" s="30">
        <f ca="1">IFERROR(__xludf.DUMMYFUNCTION("""COMPUTED_VALUE"""),91)</f>
        <v>91</v>
      </c>
      <c r="E304" s="30" t="str">
        <f ca="1">IFERROR(__xludf.DUMMYFUNCTION("""COMPUTED_VALUE"""),"PB3572")</f>
        <v>PB3572</v>
      </c>
      <c r="F30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4"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304" s="30" t="str">
        <f ca="1">IFERROR(__xludf.DUMMYFUNCTION("""COMPUTED_VALUE"""),"SUBSECRETARÍA DE DESARROLLO Y PROMOCIÓN ARTÍSTICA Y CULTURAL")</f>
        <v>SUBSECRETARÍA DE DESARROLLO Y PROMOCIÓN ARTÍSTICA Y CULTURAL</v>
      </c>
      <c r="I304" s="34" t="str">
        <f ca="1">IFERROR(__xludf.DUMMYFUNCTION("""COMPUTED_VALUE"""),"DIRECCIÓN GENERAL DE MUSEOS, ARTES VISUALES Y EXPOSICIONES")</f>
        <v>DIRECCIÓN GENERAL DE MUSEOS, ARTES VISUALES Y EXPOSICIONES</v>
      </c>
      <c r="J304" s="30" t="str">
        <f ca="1">IFERROR(__xludf.DUMMYFUNCTION("""COMPUTED_VALUE"""),"Número de Exposiciones inauguradas")</f>
        <v>Número de Exposiciones inauguradas</v>
      </c>
      <c r="K304" s="30">
        <f ca="1">IFERROR(__xludf.DUMMYFUNCTION("""COMPUTED_VALUE"""),28)</f>
        <v>28</v>
      </c>
      <c r="L304" s="30" t="str">
        <f ca="1">IFERROR(__xludf.DUMMYFUNCTION("""COMPUTED_VALUE"""),"Artística")</f>
        <v>Artística</v>
      </c>
      <c r="M304" s="30" t="str">
        <f ca="1">IFERROR(__xludf.DUMMYFUNCTION("""COMPUTED_VALUE"""),"Inauguracion de Exposición: Bajo la sombra del mezquite")</f>
        <v>Inauguracion de Exposición: Bajo la sombra del mezquite</v>
      </c>
      <c r="N304" s="30" t="str">
        <f ca="1">IFERROR(__xludf.DUMMYFUNCTION("""COMPUTED_VALUE"""),"Bajo la sombra del mezquite es un proyecto seleccionado de la Convocatoria Mujeres en las Artes Visuales en Guanajuato, que aborda la relación entre el cuerpo humano y el entorno vegetal a partir de biomateriales, registro de datos y activación sonora. La"&amp;" exposición reúne una serie de piezas desarrolladas con biotextiles, bioplásticos y biocompuestos derivados del mezquite, configuradas como extensiones corporales que operan dentro de un mismo sistema.   El proyecto parte del reconocimiento del mezquite c"&amp;"omo una especie clave en su ecosistema. Su capacidad para generar sombra, reducir la temperatura del entorno y favorecer la retención de humedad crea microclimas que permiten la coexistencia de otras formas de vida.")</f>
        <v>Bajo la sombra del mezquite es un proyecto seleccionado de la Convocatoria Mujeres en las Artes Visuales en Guanajuato, que aborda la relación entre el cuerpo humano y el entorno vegetal a partir de biomateriales, registro de datos y activación sonora. La exposición reúne una serie de piezas desarrolladas con biotextiles, bioplásticos y biocompuestos derivados del mezquite, configuradas como extensiones corporales que operan dentro de un mismo sistema.   El proyecto parte del reconocimiento del mezquite como una especie clave en su ecosistema. Su capacidad para generar sombra, reducir la temperatura del entorno y favorecer la retención de humedad crea microclimas que permiten la coexistencia de otras formas de vida.</v>
      </c>
      <c r="O304" s="30" t="str">
        <f ca="1">IFERROR(__xludf.DUMMYFUNCTION("""COMPUTED_VALUE"""),"Otras")</f>
        <v>Otras</v>
      </c>
      <c r="P304" s="33">
        <f ca="1">IFERROR(__xludf.DUMMYFUNCTION("""COMPUTED_VALUE"""),46219)</f>
        <v>46219</v>
      </c>
      <c r="Q304" s="33">
        <f ca="1">IFERROR(__xludf.DUMMYFUNCTION("""COMPUTED_VALUE"""),46271)</f>
        <v>46271</v>
      </c>
      <c r="R304" s="30">
        <f ca="1">IFERROR(__xludf.DUMMYFUNCTION("""COMPUTED_VALUE"""),0)</f>
        <v>0</v>
      </c>
      <c r="S304" s="30" t="str">
        <f ca="1">IFERROR(__xludf.DUMMYFUNCTION("""COMPUTED_VALUE"""),"Artes visuales")</f>
        <v>Artes visuales</v>
      </c>
      <c r="T304" s="30" t="str">
        <f ca="1">IFERROR(__xludf.DUMMYFUNCTION("""COMPUTED_VALUE"""),"Performance visual")</f>
        <v>Performance visual</v>
      </c>
      <c r="U304" s="30" t="str">
        <f ca="1">IFERROR(__xludf.DUMMYFUNCTION("""COMPUTED_VALUE"""),"Exposición")</f>
        <v>Exposición</v>
      </c>
      <c r="V304" s="30" t="str">
        <f ca="1">IFERROR(__xludf.DUMMYFUNCTION("""COMPUTED_VALUE"""),"Ninguna")</f>
        <v>Ninguna</v>
      </c>
      <c r="W304" s="30" t="str">
        <f ca="1">IFERROR(__xludf.DUMMYFUNCTION("""COMPUTED_VALUE"""),"Presencial")</f>
        <v>Presencial</v>
      </c>
      <c r="X304" s="30" t="str">
        <f ca="1">IFERROR(__xludf.DUMMYFUNCTION("""COMPUTED_VALUE"""),"Espacio a Cargo de la Secretaría")</f>
        <v>Espacio a Cargo de la Secretaría</v>
      </c>
      <c r="Y304" s="30" t="str">
        <f ca="1">IFERROR(__xludf.DUMMYFUNCTION("""COMPUTED_VALUE"""),"Museo de Arte-Olga Costa-José Chávez Morado")</f>
        <v>Museo de Arte-Olga Costa-José Chávez Morado</v>
      </c>
      <c r="Z304" s="30"/>
      <c r="AA304" s="30"/>
      <c r="AB304" s="30" t="b">
        <f ca="1">IFERROR(__xludf.DUMMYFUNCTION("""COMPUTED_VALUE"""),FALSE)</f>
        <v>0</v>
      </c>
      <c r="AC304" s="30"/>
      <c r="AD304" s="30" t="b">
        <f ca="1">IFERROR(__xludf.DUMMYFUNCTION("""COMPUTED_VALUE"""),TRUE)</f>
        <v>1</v>
      </c>
      <c r="AE304" s="30">
        <f ca="1">IFERROR(__xludf.DUMMYFUNCTION("""COMPUTED_VALUE"""),1)</f>
        <v>1</v>
      </c>
      <c r="AF304" s="30" t="b">
        <f ca="1">IFERROR(__xludf.DUMMYFUNCTION("""COMPUTED_VALUE"""),FALSE)</f>
        <v>0</v>
      </c>
      <c r="AG304" s="30"/>
      <c r="AH304" s="30" t="str">
        <f ca="1">IFERROR(__xludf.DUMMYFUNCTION("""COMPUTED_VALUE"""),"Sin costo")</f>
        <v>Sin costo</v>
      </c>
      <c r="AI304" s="30"/>
      <c r="AJ304" s="30"/>
      <c r="AK304" s="30"/>
      <c r="AL304" s="30" t="str">
        <f ca="1">IFERROR(__xludf.DUMMYFUNCTION("""COMPUTED_VALUE"""),"ccardonav@guanajuato.gob.mx")</f>
        <v>ccardonav@guanajuato.gob.mx</v>
      </c>
      <c r="AM304" s="30" t="str">
        <f ca="1">IFERROR(__xludf.DUMMYFUNCTION("""COMPUTED_VALUE"""),"Creación de la Secretaría de Cultura, con una visión social de la política cultural.")</f>
        <v>Creación de la Secretaría de Cultura, con una visión social de la política cultural.</v>
      </c>
      <c r="AN304" s="30" t="str">
        <f ca="1">IFERROR(__xludf.DUMMYFUNCTION("""COMPUTED_VALUE"""),"2 Igualdad")</f>
        <v>2 Igualdad</v>
      </c>
      <c r="AO304" s="30" t="str">
        <f ca="1">IFERROR(__xludf.DUMMYFUNCTION("""COMPUTED_VALUE"""),"2.4 Reducir brechas de desigualdad")</f>
        <v>2.4 Reducir brechas de desigualdad</v>
      </c>
      <c r="AP304" s="30" t="str">
        <f ca="1">IFERROR(__xludf.DUMMYFUNCTION("""COMPUTED_VALUE"""),"2.4.3 Descentralización de la oferta cultural")</f>
        <v>2.4.3 Descentralización de la oferta cultural</v>
      </c>
      <c r="AQ304" s="30" t="str">
        <f ca="1">IFERROR(__xludf.DUMMYFUNCTION("""COMPUTED_VALUE"""),"2.4.3.3 Incidir en el involucramiento de las personas con el ecosistema cultural")</f>
        <v>2.4.3.3 Incidir en el involucramiento de las personas con el ecosistema cultural</v>
      </c>
      <c r="AR304" s="30" t="str">
        <f ca="1">IFERROR(__xludf.DUMMYFUNCTION("""COMPUTED_VALUE"""),"Ninguno")</f>
        <v>Ninguno</v>
      </c>
      <c r="AS304" s="30"/>
      <c r="AT304" s="30" t="str">
        <f ca="1">IFERROR(__xludf.DUMMYFUNCTION("""COMPUTED_VALUE"""),"Fortalecimiento de la participación ciudadana y la mediación cultural")</f>
        <v>Fortalecimiento de la participación ciudadana y la mediación cultural</v>
      </c>
      <c r="AU304" s="30" t="str">
        <f ca="1">IFERROR(__xludf.DUMMYFUNCTION("""COMPUTED_VALUE"""),"Impulso a la ampliación de la oferta cultural en los territorios.")</f>
        <v>Impulso a la ampliación de la oferta cultural en los territorios.</v>
      </c>
      <c r="AV30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4" s="30" t="str">
        <f ca="1">IFERROR(__xludf.DUMMYFUNCTION("""COMPUTED_VALUE"""),"Incrementar en 25% la oferta cultural realizada en los municipios.")</f>
        <v>Incrementar en 25% la oferta cultural realizada en los municipios.</v>
      </c>
      <c r="AX304" s="30" t="str">
        <f ca="1">IFERROR(__xludf.DUMMYFUNCTION("""COMPUTED_VALUE"""),"Exposición")</f>
        <v>Exposición</v>
      </c>
      <c r="AY304" s="30" t="str">
        <f ca="1">IFERROR(__xludf.DUMMYFUNCTION("""COMPUTED_VALUE"""),"Circulación / Exhibición")</f>
        <v>Circulación / Exhibición</v>
      </c>
      <c r="AZ304" s="30"/>
      <c r="BA304" s="30"/>
      <c r="BB304" s="30"/>
      <c r="BC304" s="30">
        <f ca="1">IFERROR(__xludf.DUMMYFUNCTION("""COMPUTED_VALUE"""),0)</f>
        <v>0</v>
      </c>
      <c r="BD304" s="30"/>
      <c r="BE304" s="30"/>
      <c r="BF304" s="30" t="b">
        <f ca="1">IFERROR(__xludf.DUMMYFUNCTION("""COMPUTED_VALUE"""),TRUE)</f>
        <v>1</v>
      </c>
      <c r="BG304" s="30" t="str">
        <f ca="1">IFERROR(__xludf.DUMMYFUNCTION("""COMPUTED_VALUE"""),"Económico")</f>
        <v>Económico</v>
      </c>
      <c r="BH304" s="30"/>
      <c r="BI304" s="30"/>
      <c r="BJ304" s="30"/>
      <c r="BK304" s="30"/>
      <c r="BL304" s="30"/>
      <c r="BM304" s="30" t="str">
        <f ca="1">IFERROR(__xludf.DUMMYFUNCTION("""COMPUTED_VALUE"""),"Sí")</f>
        <v>Sí</v>
      </c>
      <c r="BN304" s="30" t="str">
        <f ca="1">IFERROR(__xludf.DUMMYFUNCTION("""COMPUTED_VALUE"""),"Acompañamiento Técnico")</f>
        <v>Acompañamiento Técnico</v>
      </c>
      <c r="BO304" s="30" t="str">
        <f ca="1">IFERROR(__xludf.DUMMYFUNCTION("""COMPUTED_VALUE"""),"64a0d378")</f>
        <v>64a0d378</v>
      </c>
      <c r="BP304" s="29" t="str">
        <f ca="1">IFERROR(__xludf.DUMMYFUNCTION("""COMPUTED_VALUE"""),"Guanajuato")</f>
        <v>Guanajuato</v>
      </c>
      <c r="BQ304" s="30" t="str">
        <f ca="1">IFERROR(__xludf.DUMMYFUNCTION("""COMPUTED_VALUE"""),"Urbano")</f>
        <v>Urbano</v>
      </c>
      <c r="BR304" s="30"/>
      <c r="BS304" s="30"/>
      <c r="BT304" s="30"/>
      <c r="BU304" s="30" t="str">
        <f ca="1">IFERROR(__xludf.DUMMYFUNCTION("""COMPUTED_VALUE"""),"No")</f>
        <v>No</v>
      </c>
      <c r="BV304" s="30" t="str">
        <f ca="1">IFERROR(__xludf.DUMMYFUNCTION("""COMPUTED_VALUE"""),"No")</f>
        <v>No</v>
      </c>
      <c r="BW304" s="30">
        <f ca="1">IFERROR(__xludf.DUMMYFUNCTION("""COMPUTED_VALUE"""),13)</f>
        <v>13</v>
      </c>
      <c r="BX304" s="30"/>
      <c r="BY304" s="30">
        <f ca="1">IFERROR(__xludf.DUMMYFUNCTION("""COMPUTED_VALUE"""),13)</f>
        <v>13</v>
      </c>
      <c r="BZ304" s="30"/>
      <c r="CA304" s="30" t="str">
        <f ca="1">IFERROR(__xludf.DUMMYFUNCTION("""COMPUTED_VALUE"""),"No")</f>
        <v>No</v>
      </c>
      <c r="CB304" s="30" t="str">
        <f ca="1">IFERROR(__xludf.DUMMYFUNCTION("""COMPUTED_VALUE"""),"No")</f>
        <v>No</v>
      </c>
      <c r="CC304" s="30" t="str">
        <f ca="1">IFERROR(__xludf.DUMMYFUNCTION("""COMPUTED_VALUE"""),"b5d50493")</f>
        <v>b5d50493</v>
      </c>
      <c r="CD304" s="29" t="str">
        <f ca="1">IFERROR(__xludf.DUMMYFUNCTION("""COMPUTED_VALUE"""),"Adolescentes (13 a 17 años)")</f>
        <v>Adolescentes (13 a 17 años)</v>
      </c>
      <c r="CE304" s="30" t="str">
        <f ca="1">IFERROR(__xludf.DUMMYFUNCTION("""COMPUTED_VALUE"""),"Dato global")</f>
        <v>Dato global</v>
      </c>
      <c r="CF304" s="30" t="str">
        <f ca="1">IFERROR(__xludf.DUMMYFUNCTION("""COMPUTED_VALUE"""),"Ninguno (Población General)")</f>
        <v>Ninguno (Población General)</v>
      </c>
      <c r="CG304" s="30">
        <f ca="1">IFERROR(__xludf.DUMMYFUNCTION("""COMPUTED_VALUE"""),35)</f>
        <v>35</v>
      </c>
      <c r="CI304" s="30" t="str">
        <f ca="1">IFERROR(__xludf.DUMMYFUNCTION("""COMPUTED_VALUE"""),"d016045f")</f>
        <v>d016045f</v>
      </c>
      <c r="CJ304" s="29" t="str">
        <f ca="1">IFERROR(__xludf.DUMMYFUNCTION("""COMPUTED_VALUE"""),"Regitro_Evidencia_Images/d016045f.Archivo_Evidencia.203655.jpg")</f>
        <v>Regitro_Evidencia_Images/d016045f.Archivo_Evidencia.203655.jpg</v>
      </c>
      <c r="CK304" s="30" t="str">
        <f ca="1">IFERROR(__xludf.DUMMYFUNCTION("""COMPUTED_VALUE"""),"Foto")</f>
        <v>Foto</v>
      </c>
      <c r="CL304" s="30"/>
      <c r="CM304" s="30" t="str">
        <f ca="1">IFERROR(__xludf.DUMMYFUNCTION("""COMPUTED_VALUE"""),"Guanajuato")</f>
        <v>Guanajuato</v>
      </c>
      <c r="CN304" s="32" t="e">
        <f ca="1"/>
        <v>#NAME?</v>
      </c>
      <c r="CO304" s="32" t="e">
        <f ca="1"/>
        <v>#NAME?</v>
      </c>
      <c r="CP304" s="32" t="e">
        <f ca="1"/>
        <v>#NAME?</v>
      </c>
      <c r="CQ304" s="32" t="e">
        <f ca="1"/>
        <v>#NAME?</v>
      </c>
      <c r="CR304" s="30" t="e">
        <f ca="1"/>
        <v>#NAME?</v>
      </c>
      <c r="CS304" s="30" t="str">
        <f ca="1">IFERROR(__xludf.DUMMYFUNCTION("""COMPUTED_VALUE"""),"Ninguno (Población General)")</f>
        <v>Ninguno (Población General)</v>
      </c>
    </row>
    <row r="305" spans="1:97" ht="13">
      <c r="A305" s="29" t="str">
        <f ca="1">IFERROR(__xludf.DUMMYFUNCTION("""COMPUTED_VALUE"""),"ACT-SCIW82641")</f>
        <v>ACT-SCIW82641</v>
      </c>
      <c r="B305" s="30" t="str">
        <f ca="1">IFERROR(__xludf.DUMMYFUNCTION("""COMPUTED_VALUE"""),"SC-260820-175730")</f>
        <v>SC-260820-175730</v>
      </c>
      <c r="C305" s="62">
        <f ca="1">IFERROR(__xludf.DUMMYFUNCTION("""COMPUTED_VALUE"""),46254.7482638888)</f>
        <v>46254.748263888803</v>
      </c>
      <c r="D305" s="30">
        <f ca="1">IFERROR(__xludf.DUMMYFUNCTION("""COMPUTED_VALUE"""),92)</f>
        <v>92</v>
      </c>
      <c r="E305" s="30" t="str">
        <f ca="1">IFERROR(__xludf.DUMMYFUNCTION("""COMPUTED_VALUE"""),"PB3572")</f>
        <v>PB3572</v>
      </c>
      <c r="F30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5" s="30" t="str">
        <f ca="1">IFERROR(__xludf.DUMMYFUNCTION("""COMPUTED_VALUE"""),"SUBSECRETARÍA DE DESARROLLO Y PROMOCIÓN ARTÍSTICA Y CULTURAL")</f>
        <v>SUBSECRETARÍA DE DESARROLLO Y PROMOCIÓN ARTÍSTICA Y CULTURAL</v>
      </c>
      <c r="I305" s="34" t="str">
        <f ca="1">IFERROR(__xludf.DUMMYFUNCTION("""COMPUTED_VALUE"""),"DIRECCIÓN GENERAL DE MUSEOS, ARTES VISUALES Y EXPOSICIONES")</f>
        <v>DIRECCIÓN GENERAL DE MUSEOS, ARTES VISUALES Y EXPOSICIONES</v>
      </c>
      <c r="J305" s="30" t="str">
        <f ca="1">IFERROR(__xludf.DUMMYFUNCTION("""COMPUTED_VALUE"""),"Número de Actividades realizadas")</f>
        <v>Número de Actividades realizadas</v>
      </c>
      <c r="K305" s="30">
        <f ca="1">IFERROR(__xludf.DUMMYFUNCTION("""COMPUTED_VALUE"""),800)</f>
        <v>800</v>
      </c>
      <c r="L305" s="30" t="str">
        <f ca="1">IFERROR(__xludf.DUMMYFUNCTION("""COMPUTED_VALUE"""),"Artística")</f>
        <v>Artística</v>
      </c>
      <c r="M305" s="30" t="str">
        <f ca="1">IFERROR(__xludf.DUMMYFUNCTION("""COMPUTED_VALUE"""),"Conversatorio: De la máquina a la marca, ¿cómo dejó de coser para otros y empiezo lo mío?")</f>
        <v>Conversatorio: De la máquina a la marca, ¿cómo dejó de coser para otros y empiezo lo mío?</v>
      </c>
      <c r="N305" s="30" t="str">
        <f ca="1">IFERROR(__xludf.DUMMYFUNCTION("""COMPUTED_VALUE"""),"Conversatorio con profesionales del diseño que nos contarán sobre su experiencia de emprendimiento y estrategías para desarrollos de proyectos de moda textil.")</f>
        <v>Conversatorio con profesionales del diseño que nos contarán sobre su experiencia de emprendimiento y estrategías para desarrollos de proyectos de moda textil.</v>
      </c>
      <c r="O305" s="30" t="str">
        <f ca="1">IFERROR(__xludf.DUMMYFUNCTION("""COMPUTED_VALUE"""),"Única")</f>
        <v>Única</v>
      </c>
      <c r="P305" s="33">
        <f ca="1">IFERROR(__xludf.DUMMYFUNCTION("""COMPUTED_VALUE"""),46212)</f>
        <v>46212</v>
      </c>
      <c r="Q305" s="33">
        <f ca="1">IFERROR(__xludf.DUMMYFUNCTION("""COMPUTED_VALUE"""),46212)</f>
        <v>46212</v>
      </c>
      <c r="R305" s="30">
        <f ca="1">IFERROR(__xludf.DUMMYFUNCTION("""COMPUTED_VALUE"""),1)</f>
        <v>1</v>
      </c>
      <c r="S305" s="30" t="str">
        <f ca="1">IFERROR(__xludf.DUMMYFUNCTION("""COMPUTED_VALUE"""),"Cultura comunitaria")</f>
        <v>Cultura comunitaria</v>
      </c>
      <c r="T305" s="30" t="str">
        <f ca="1">IFERROR(__xludf.DUMMYFUNCTION("""COMPUTED_VALUE"""),"Formación comunitaria")</f>
        <v>Formación comunitaria</v>
      </c>
      <c r="U305" s="30" t="str">
        <f ca="1">IFERROR(__xludf.DUMMYFUNCTION("""COMPUTED_VALUE"""),"Conversatorio")</f>
        <v>Conversatorio</v>
      </c>
      <c r="V305" s="30" t="str">
        <f ca="1">IFERROR(__xludf.DUMMYFUNCTION("""COMPUTED_VALUE"""),"Ninguna")</f>
        <v>Ninguna</v>
      </c>
      <c r="W305" s="30" t="str">
        <f ca="1">IFERROR(__xludf.DUMMYFUNCTION("""COMPUTED_VALUE"""),"Presencial")</f>
        <v>Presencial</v>
      </c>
      <c r="X305" s="30" t="str">
        <f ca="1">IFERROR(__xludf.DUMMYFUNCTION("""COMPUTED_VALUE"""),"Espacio a Cargo de la Secretaría")</f>
        <v>Espacio a Cargo de la Secretaría</v>
      </c>
      <c r="Y305" s="30" t="str">
        <f ca="1">IFERROR(__xludf.DUMMYFUNCTION("""COMPUTED_VALUE"""),"Museo del Pueblo de Guanajuato")</f>
        <v>Museo del Pueblo de Guanajuato</v>
      </c>
      <c r="Z305" s="30"/>
      <c r="AA305" s="30"/>
      <c r="AB305" s="30" t="b">
        <f ca="1">IFERROR(__xludf.DUMMYFUNCTION("""COMPUTED_VALUE"""),FALSE)</f>
        <v>0</v>
      </c>
      <c r="AC305" s="30"/>
      <c r="AD305" s="30" t="b">
        <f ca="1">IFERROR(__xludf.DUMMYFUNCTION("""COMPUTED_VALUE"""),FALSE)</f>
        <v>0</v>
      </c>
      <c r="AE305" s="30"/>
      <c r="AF305" s="30" t="b">
        <f ca="1">IFERROR(__xludf.DUMMYFUNCTION("""COMPUTED_VALUE"""),FALSE)</f>
        <v>0</v>
      </c>
      <c r="AG305" s="30"/>
      <c r="AH305" s="30" t="str">
        <f ca="1">IFERROR(__xludf.DUMMYFUNCTION("""COMPUTED_VALUE"""),"Sin costo")</f>
        <v>Sin costo</v>
      </c>
      <c r="AI305" s="30"/>
      <c r="AJ305" s="30"/>
      <c r="AK305" s="30"/>
      <c r="AL305" s="30" t="str">
        <f ca="1">IFERROR(__xludf.DUMMYFUNCTION("""COMPUTED_VALUE"""),"ccardonav@guanajuato.gob.mx")</f>
        <v>ccardonav@guanajuato.gob.mx</v>
      </c>
      <c r="AM305" s="30" t="str">
        <f ca="1">IFERROR(__xludf.DUMMYFUNCTION("""COMPUTED_VALUE"""),"Arraigo y empoderamiento cultural de comunidades.")</f>
        <v>Arraigo y empoderamiento cultural de comunidades.</v>
      </c>
      <c r="AN305" s="30" t="str">
        <f ca="1">IFERROR(__xludf.DUMMYFUNCTION("""COMPUTED_VALUE"""),"1 Tranquilidad")</f>
        <v>1 Tranquilidad</v>
      </c>
      <c r="AO305" s="30" t="str">
        <f ca="1">IFERROR(__xludf.DUMMYFUNCTION("""COMPUTED_VALUE"""),"1.2 Fortalecer prevención del delito")</f>
        <v>1.2 Fortalecer prevención del delito</v>
      </c>
      <c r="AP305" s="30" t="str">
        <f ca="1">IFERROR(__xludf.DUMMYFUNCTION("""COMPUTED_VALUE"""),"1.2.2 Fortalecimiento del tejido social")</f>
        <v>1.2.2 Fortalecimiento del tejido social</v>
      </c>
      <c r="AQ305" s="30" t="str">
        <f ca="1">IFERROR(__xludf.DUMMYFUNCTION("""COMPUTED_VALUE"""),"1.2.3.4 Promover una cultura de paz desde las expresiones artísticas y culturales")</f>
        <v>1.2.3.4 Promover una cultura de paz desde las expresiones artísticas y culturales</v>
      </c>
      <c r="AR305" s="30" t="str">
        <f ca="1">IFERROR(__xludf.DUMMYFUNCTION("""COMPUTED_VALUE"""),"Cooperación")</f>
        <v>Cooperación</v>
      </c>
      <c r="AS305" s="30"/>
      <c r="AT305" s="30" t="str">
        <f ca="1">IFERROR(__xludf.DUMMYFUNCTION("""COMPUTED_VALUE"""),"Fortalecimiento de la participación ciudadana y la mediación cultural")</f>
        <v>Fortalecimiento de la participación ciudadana y la mediación cultural</v>
      </c>
      <c r="AU305" s="30" t="str">
        <f ca="1">IFERROR(__xludf.DUMMYFUNCTION("""COMPUTED_VALUE"""),"Impulso a la ampliación de la oferta cultural en los territorios.")</f>
        <v>Impulso a la ampliación de la oferta cultural en los territorios.</v>
      </c>
      <c r="AV30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5" s="30" t="str">
        <f ca="1">IFERROR(__xludf.DUMMYFUNCTION("""COMPUTED_VALUE"""),"Incrementar en 25% la oferta cultural realizada en los municipios.")</f>
        <v>Incrementar en 25% la oferta cultural realizada en los municipios.</v>
      </c>
      <c r="AX305" s="30" t="str">
        <f ca="1">IFERROR(__xludf.DUMMYFUNCTION("""COMPUTED_VALUE"""),"Muestra artística")</f>
        <v>Muestra artística</v>
      </c>
      <c r="AY305" s="30" t="str">
        <f ca="1">IFERROR(__xludf.DUMMYFUNCTION("""COMPUTED_VALUE"""),"Formación")</f>
        <v>Formación</v>
      </c>
      <c r="AZ305" s="30"/>
      <c r="BA305" s="30"/>
      <c r="BB305" s="30"/>
      <c r="BC305" s="30">
        <f ca="1">IFERROR(__xludf.DUMMYFUNCTION("""COMPUTED_VALUE"""),0)</f>
        <v>0</v>
      </c>
      <c r="BD305" s="30"/>
      <c r="BE305" s="30"/>
      <c r="BF305" s="30" t="b">
        <f ca="1">IFERROR(__xludf.DUMMYFUNCTION("""COMPUTED_VALUE"""),FALSE)</f>
        <v>0</v>
      </c>
      <c r="BG305" s="30"/>
      <c r="BH305" s="30"/>
      <c r="BI305" s="30"/>
      <c r="BJ305" s="30"/>
      <c r="BK305" s="30"/>
      <c r="BL305" s="30"/>
      <c r="BM305" s="30" t="str">
        <f ca="1">IFERROR(__xludf.DUMMYFUNCTION("""COMPUTED_VALUE"""),"No")</f>
        <v>No</v>
      </c>
      <c r="BN305" s="30"/>
      <c r="BO305" s="30" t="str">
        <f ca="1">IFERROR(__xludf.DUMMYFUNCTION("""COMPUTED_VALUE"""),"b0fa9ab2")</f>
        <v>b0fa9ab2</v>
      </c>
      <c r="BP305" s="29" t="str">
        <f ca="1">IFERROR(__xludf.DUMMYFUNCTION("""COMPUTED_VALUE"""),"Guanajuato")</f>
        <v>Guanajuato</v>
      </c>
      <c r="BQ305" s="30" t="str">
        <f ca="1">IFERROR(__xludf.DUMMYFUNCTION("""COMPUTED_VALUE"""),"Urbano")</f>
        <v>Urbano</v>
      </c>
      <c r="BR305" s="30"/>
      <c r="BS305" s="30"/>
      <c r="BT305" s="30"/>
      <c r="BU305" s="30" t="str">
        <f ca="1">IFERROR(__xludf.DUMMYFUNCTION("""COMPUTED_VALUE"""),"No")</f>
        <v>No</v>
      </c>
      <c r="BV305" s="30" t="str">
        <f ca="1">IFERROR(__xludf.DUMMYFUNCTION("""COMPUTED_VALUE"""),"No")</f>
        <v>No</v>
      </c>
      <c r="BW305" s="30">
        <f ca="1">IFERROR(__xludf.DUMMYFUNCTION("""COMPUTED_VALUE"""),55)</f>
        <v>55</v>
      </c>
      <c r="BX305" s="30">
        <f ca="1">IFERROR(__xludf.DUMMYFUNCTION("""COMPUTED_VALUE"""),55)</f>
        <v>55</v>
      </c>
      <c r="BY305" s="30">
        <f ca="1">IFERROR(__xludf.DUMMYFUNCTION("""COMPUTED_VALUE"""),0)</f>
        <v>0</v>
      </c>
      <c r="BZ305" s="30"/>
      <c r="CA305" s="30" t="str">
        <f ca="1">IFERROR(__xludf.DUMMYFUNCTION("""COMPUTED_VALUE"""),"No")</f>
        <v>No</v>
      </c>
      <c r="CB305" s="30" t="str">
        <f ca="1">IFERROR(__xludf.DUMMYFUNCTION("""COMPUTED_VALUE"""),"No")</f>
        <v>No</v>
      </c>
      <c r="CC305" s="30" t="str">
        <f ca="1">IFERROR(__xludf.DUMMYFUNCTION("""COMPUTED_VALUE"""),"8283b4d0")</f>
        <v>8283b4d0</v>
      </c>
      <c r="CD305" s="29" t="str">
        <f ca="1">IFERROR(__xludf.DUMMYFUNCTION("""COMPUTED_VALUE"""),"Adultos (30 a 59 años)")</f>
        <v>Adultos (30 a 59 años)</v>
      </c>
      <c r="CE305" s="30" t="str">
        <f ca="1">IFERROR(__xludf.DUMMYFUNCTION("""COMPUTED_VALUE"""),"Dato global")</f>
        <v>Dato global</v>
      </c>
      <c r="CF305" s="30" t="str">
        <f ca="1">IFERROR(__xludf.DUMMYFUNCTION("""COMPUTED_VALUE"""),"Ninguno (Población General)")</f>
        <v>Ninguno (Población General)</v>
      </c>
      <c r="CG305" s="30">
        <f ca="1">IFERROR(__xludf.DUMMYFUNCTION("""COMPUTED_VALUE"""),35)</f>
        <v>35</v>
      </c>
      <c r="CI305" s="30" t="str">
        <f ca="1">IFERROR(__xludf.DUMMYFUNCTION("""COMPUTED_VALUE"""),"20ea5890")</f>
        <v>20ea5890</v>
      </c>
      <c r="CJ305" s="29" t="str">
        <f ca="1">IFERROR(__xludf.DUMMYFUNCTION("""COMPUTED_VALUE"""),"Regitro_Evidencia_Images/20ea5890.Archivo_Evidencia.204256.jpg")</f>
        <v>Regitro_Evidencia_Images/20ea5890.Archivo_Evidencia.204256.jpg</v>
      </c>
      <c r="CK305" s="30" t="str">
        <f ca="1">IFERROR(__xludf.DUMMYFUNCTION("""COMPUTED_VALUE"""),"Foto")</f>
        <v>Foto</v>
      </c>
      <c r="CL305" s="30"/>
      <c r="CM305" s="30" t="str">
        <f ca="1">IFERROR(__xludf.DUMMYFUNCTION("""COMPUTED_VALUE"""),"Guanajuato")</f>
        <v>Guanajuato</v>
      </c>
      <c r="CN305" s="32" t="e">
        <f ca="1"/>
        <v>#NAME?</v>
      </c>
      <c r="CO305" s="32" t="e">
        <f ca="1"/>
        <v>#NAME?</v>
      </c>
      <c r="CP305" s="32" t="e">
        <f ca="1"/>
        <v>#NAME?</v>
      </c>
      <c r="CQ305" s="32" t="e">
        <f ca="1"/>
        <v>#NAME?</v>
      </c>
      <c r="CR305" s="30" t="e">
        <f ca="1"/>
        <v>#NAME?</v>
      </c>
      <c r="CS305" s="30" t="str">
        <f ca="1">IFERROR(__xludf.DUMMYFUNCTION("""COMPUTED_VALUE"""),"Ninguno (Población General)")</f>
        <v>Ninguno (Población General)</v>
      </c>
    </row>
    <row r="306" spans="1:97" ht="13">
      <c r="A306" s="29" t="str">
        <f ca="1">IFERROR(__xludf.DUMMYFUNCTION("""COMPUTED_VALUE"""),"ACT-SCTW87174")</f>
        <v>ACT-SCTW87174</v>
      </c>
      <c r="B306" s="30" t="str">
        <f ca="1">IFERROR(__xludf.DUMMYFUNCTION("""COMPUTED_VALUE"""),"SC-260820-180147")</f>
        <v>SC-260820-180147</v>
      </c>
      <c r="C306" s="62">
        <f ca="1">IFERROR(__xludf.DUMMYFUNCTION("""COMPUTED_VALUE"""),46254.7512384259)</f>
        <v>46254.751238425903</v>
      </c>
      <c r="D306" s="30">
        <f ca="1">IFERROR(__xludf.DUMMYFUNCTION("""COMPUTED_VALUE"""),92)</f>
        <v>92</v>
      </c>
      <c r="E306" s="30" t="str">
        <f ca="1">IFERROR(__xludf.DUMMYFUNCTION("""COMPUTED_VALUE"""),"PB3572")</f>
        <v>PB3572</v>
      </c>
      <c r="F30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6" s="30" t="str">
        <f ca="1">IFERROR(__xludf.DUMMYFUNCTION("""COMPUTED_VALUE"""),"SUBSECRETARÍA DE DESARROLLO Y PROMOCIÓN ARTÍSTICA Y CULTURAL")</f>
        <v>SUBSECRETARÍA DE DESARROLLO Y PROMOCIÓN ARTÍSTICA Y CULTURAL</v>
      </c>
      <c r="I306" s="34" t="str">
        <f ca="1">IFERROR(__xludf.DUMMYFUNCTION("""COMPUTED_VALUE"""),"DIRECCIÓN GENERAL DE MUSEOS, ARTES VISUALES Y EXPOSICIONES")</f>
        <v>DIRECCIÓN GENERAL DE MUSEOS, ARTES VISUALES Y EXPOSICIONES</v>
      </c>
      <c r="J306" s="30" t="str">
        <f ca="1">IFERROR(__xludf.DUMMYFUNCTION("""COMPUTED_VALUE"""),"Número de Actividades realizadas")</f>
        <v>Número de Actividades realizadas</v>
      </c>
      <c r="K306" s="30">
        <f ca="1">IFERROR(__xludf.DUMMYFUNCTION("""COMPUTED_VALUE"""),800)</f>
        <v>800</v>
      </c>
      <c r="L306" s="30" t="str">
        <f ca="1">IFERROR(__xludf.DUMMYFUNCTION("""COMPUTED_VALUE"""),"Artística")</f>
        <v>Artística</v>
      </c>
      <c r="M306" s="30" t="str">
        <f ca="1">IFERROR(__xludf.DUMMYFUNCTION("""COMPUTED_VALUE"""),"Taller: Verbalizar el río.")</f>
        <v>Taller: Verbalizar el río.</v>
      </c>
      <c r="N306" s="30" t="str">
        <f ca="1">IFERROR(__xludf.DUMMYFUNCTION("""COMPUTED_VALUE"""),"Taller de reconocimiento y arborización de plantas del Ríos Pastita en Guanajuato capital.")</f>
        <v>Taller de reconocimiento y arborización de plantas del Ríos Pastita en Guanajuato capital.</v>
      </c>
      <c r="O306" s="30" t="str">
        <f ca="1">IFERROR(__xludf.DUMMYFUNCTION("""COMPUTED_VALUE"""),"Única")</f>
        <v>Única</v>
      </c>
      <c r="P306" s="33">
        <f ca="1">IFERROR(__xludf.DUMMYFUNCTION("""COMPUTED_VALUE"""),46213)</f>
        <v>46213</v>
      </c>
      <c r="Q306" s="33">
        <f ca="1">IFERROR(__xludf.DUMMYFUNCTION("""COMPUTED_VALUE"""),46213)</f>
        <v>46213</v>
      </c>
      <c r="R306" s="30">
        <f ca="1">IFERROR(__xludf.DUMMYFUNCTION("""COMPUTED_VALUE"""),1)</f>
        <v>1</v>
      </c>
      <c r="S306" s="30" t="str">
        <f ca="1">IFERROR(__xludf.DUMMYFUNCTION("""COMPUTED_VALUE"""),"Cultura comunitaria")</f>
        <v>Cultura comunitaria</v>
      </c>
      <c r="T306" s="30" t="str">
        <f ca="1">IFERROR(__xludf.DUMMYFUNCTION("""COMPUTED_VALUE"""),"Formación comunitaria")</f>
        <v>Formación comunitaria</v>
      </c>
      <c r="U306" s="30" t="str">
        <f ca="1">IFERROR(__xludf.DUMMYFUNCTION("""COMPUTED_VALUE"""),"Taller")</f>
        <v>Taller</v>
      </c>
      <c r="V306" s="30" t="str">
        <f ca="1">IFERROR(__xludf.DUMMYFUNCTION("""COMPUTED_VALUE"""),"Ninguna")</f>
        <v>Ninguna</v>
      </c>
      <c r="W306" s="30" t="str">
        <f ca="1">IFERROR(__xludf.DUMMYFUNCTION("""COMPUTED_VALUE"""),"Presencial")</f>
        <v>Presencial</v>
      </c>
      <c r="X306" s="30" t="str">
        <f ca="1">IFERROR(__xludf.DUMMYFUNCTION("""COMPUTED_VALUE"""),"Espacio a Cargo de la Secretaría")</f>
        <v>Espacio a Cargo de la Secretaría</v>
      </c>
      <c r="Y306" s="30" t="str">
        <f ca="1">IFERROR(__xludf.DUMMYFUNCTION("""COMPUTED_VALUE"""),"Museo de Arte-Olga Costa-José Chávez Morado")</f>
        <v>Museo de Arte-Olga Costa-José Chávez Morado</v>
      </c>
      <c r="Z306" s="30"/>
      <c r="AA306" s="30"/>
      <c r="AB306" s="30" t="b">
        <f ca="1">IFERROR(__xludf.DUMMYFUNCTION("""COMPUTED_VALUE"""),FALSE)</f>
        <v>0</v>
      </c>
      <c r="AC306" s="30"/>
      <c r="AD306" s="30" t="b">
        <f ca="1">IFERROR(__xludf.DUMMYFUNCTION("""COMPUTED_VALUE"""),FALSE)</f>
        <v>0</v>
      </c>
      <c r="AE306" s="30"/>
      <c r="AF306" s="30" t="b">
        <f ca="1">IFERROR(__xludf.DUMMYFUNCTION("""COMPUTED_VALUE"""),FALSE)</f>
        <v>0</v>
      </c>
      <c r="AG306" s="30"/>
      <c r="AH306" s="30" t="str">
        <f ca="1">IFERROR(__xludf.DUMMYFUNCTION("""COMPUTED_VALUE"""),"Sin costo")</f>
        <v>Sin costo</v>
      </c>
      <c r="AI306" s="30"/>
      <c r="AJ306" s="30"/>
      <c r="AK306" s="30"/>
      <c r="AL306" s="30" t="str">
        <f ca="1">IFERROR(__xludf.DUMMYFUNCTION("""COMPUTED_VALUE"""),"ccardonav@guanajuato.gob.mx")</f>
        <v>ccardonav@guanajuato.gob.mx</v>
      </c>
      <c r="AM306" s="30" t="str">
        <f ca="1">IFERROR(__xludf.DUMMYFUNCTION("""COMPUTED_VALUE"""),"Arraigo y empoderamiento cultural de comunidades.")</f>
        <v>Arraigo y empoderamiento cultural de comunidades.</v>
      </c>
      <c r="AN306" s="30" t="str">
        <f ca="1">IFERROR(__xludf.DUMMYFUNCTION("""COMPUTED_VALUE"""),"1 Tranquilidad")</f>
        <v>1 Tranquilidad</v>
      </c>
      <c r="AO306" s="30" t="str">
        <f ca="1">IFERROR(__xludf.DUMMYFUNCTION("""COMPUTED_VALUE"""),"1.2 Fortalecer prevención del delito")</f>
        <v>1.2 Fortalecer prevención del delito</v>
      </c>
      <c r="AP306" s="30" t="str">
        <f ca="1">IFERROR(__xludf.DUMMYFUNCTION("""COMPUTED_VALUE"""),"1.2.2 Fortalecimiento del tejido social")</f>
        <v>1.2.2 Fortalecimiento del tejido social</v>
      </c>
      <c r="AQ306" s="30" t="str">
        <f ca="1">IFERROR(__xludf.DUMMYFUNCTION("""COMPUTED_VALUE"""),"1.2.3.4 Promover una cultura de paz desde las expresiones artísticas y culturales")</f>
        <v>1.2.3.4 Promover una cultura de paz desde las expresiones artísticas y culturales</v>
      </c>
      <c r="AR306" s="30" t="str">
        <f ca="1">IFERROR(__xludf.DUMMYFUNCTION("""COMPUTED_VALUE"""),"Cooperación")</f>
        <v>Cooperación</v>
      </c>
      <c r="AS306" s="30"/>
      <c r="AT306" s="30" t="str">
        <f ca="1">IFERROR(__xludf.DUMMYFUNCTION("""COMPUTED_VALUE"""),"Fortalecimiento de la participación ciudadana y la mediación cultural")</f>
        <v>Fortalecimiento de la participación ciudadana y la mediación cultural</v>
      </c>
      <c r="AU306" s="30" t="str">
        <f ca="1">IFERROR(__xludf.DUMMYFUNCTION("""COMPUTED_VALUE"""),"Impulso a la ampliación de la oferta cultural en los territorios.")</f>
        <v>Impulso a la ampliación de la oferta cultural en los territorios.</v>
      </c>
      <c r="AV30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6" s="30" t="str">
        <f ca="1">IFERROR(__xludf.DUMMYFUNCTION("""COMPUTED_VALUE"""),"Incrementar en 25% la oferta cultural realizada en los municipios.")</f>
        <v>Incrementar en 25% la oferta cultural realizada en los municipios.</v>
      </c>
      <c r="AX306" s="30" t="str">
        <f ca="1">IFERROR(__xludf.DUMMYFUNCTION("""COMPUTED_VALUE"""),"Taller")</f>
        <v>Taller</v>
      </c>
      <c r="AY306" s="30" t="str">
        <f ca="1">IFERROR(__xludf.DUMMYFUNCTION("""COMPUTED_VALUE"""),"Formación")</f>
        <v>Formación</v>
      </c>
      <c r="AZ306" s="30"/>
      <c r="BA306" s="30"/>
      <c r="BB306" s="30"/>
      <c r="BC306" s="30">
        <f ca="1">IFERROR(__xludf.DUMMYFUNCTION("""COMPUTED_VALUE"""),0)</f>
        <v>0</v>
      </c>
      <c r="BD306" s="30"/>
      <c r="BE306" s="30"/>
      <c r="BF306" s="30" t="b">
        <f ca="1">IFERROR(__xludf.DUMMYFUNCTION("""COMPUTED_VALUE"""),FALSE)</f>
        <v>0</v>
      </c>
      <c r="BG306" s="30"/>
      <c r="BH306" s="30"/>
      <c r="BI306" s="30"/>
      <c r="BJ306" s="30"/>
      <c r="BK306" s="30"/>
      <c r="BL306" s="30"/>
      <c r="BM306" s="30" t="str">
        <f ca="1">IFERROR(__xludf.DUMMYFUNCTION("""COMPUTED_VALUE"""),"No")</f>
        <v>No</v>
      </c>
      <c r="BN306" s="30"/>
      <c r="BO306" s="30" t="str">
        <f ca="1">IFERROR(__xludf.DUMMYFUNCTION("""COMPUTED_VALUE"""),"e7f61cf4")</f>
        <v>e7f61cf4</v>
      </c>
      <c r="BP306" s="29" t="str">
        <f ca="1">IFERROR(__xludf.DUMMYFUNCTION("""COMPUTED_VALUE"""),"Guanajuato")</f>
        <v>Guanajuato</v>
      </c>
      <c r="BQ306" s="30" t="str">
        <f ca="1">IFERROR(__xludf.DUMMYFUNCTION("""COMPUTED_VALUE"""),"Urbano")</f>
        <v>Urbano</v>
      </c>
      <c r="BR306" s="30">
        <f ca="1">IFERROR(__xludf.DUMMYFUNCTION("""COMPUTED_VALUE"""),49)</f>
        <v>49</v>
      </c>
      <c r="BS306" s="30" t="str">
        <f ca="1">IFERROR(__xludf.DUMMYFUNCTION("""COMPUTED_VALUE"""),"Guanajuato")</f>
        <v>Guanajuato</v>
      </c>
      <c r="BT306" s="30"/>
      <c r="BU306" s="30" t="str">
        <f ca="1">IFERROR(__xludf.DUMMYFUNCTION("""COMPUTED_VALUE"""),"Si")</f>
        <v>Si</v>
      </c>
      <c r="BV306" s="30" t="str">
        <f ca="1">IFERROR(__xludf.DUMMYFUNCTION("""COMPUTED_VALUE"""),"Si")</f>
        <v>Si</v>
      </c>
      <c r="BW306" s="30">
        <f ca="1">IFERROR(__xludf.DUMMYFUNCTION("""COMPUTED_VALUE"""),17)</f>
        <v>17</v>
      </c>
      <c r="BX306" s="30">
        <f ca="1">IFERROR(__xludf.DUMMYFUNCTION("""COMPUTED_VALUE"""),17)</f>
        <v>17</v>
      </c>
      <c r="BY306" s="30">
        <f ca="1">IFERROR(__xludf.DUMMYFUNCTION("""COMPUTED_VALUE"""),0)</f>
        <v>0</v>
      </c>
      <c r="BZ306" s="30" t="str">
        <f ca="1">IFERROR(__xludf.DUMMYFUNCTION("""COMPUTED_VALUE"""),"Guanajuato")</f>
        <v>Guanajuato</v>
      </c>
      <c r="CA306" s="30" t="str">
        <f ca="1">IFERROR(__xludf.DUMMYFUNCTION("""COMPUTED_VALUE"""),"No")</f>
        <v>No</v>
      </c>
      <c r="CB306" s="30" t="str">
        <f ca="1">IFERROR(__xludf.DUMMYFUNCTION("""COMPUTED_VALUE"""),"No")</f>
        <v>No</v>
      </c>
      <c r="CC306" s="30" t="str">
        <f ca="1">IFERROR(__xludf.DUMMYFUNCTION("""COMPUTED_VALUE"""),"e51f184c")</f>
        <v>e51f184c</v>
      </c>
      <c r="CD306" s="29" t="str">
        <f ca="1">IFERROR(__xludf.DUMMYFUNCTION("""COMPUTED_VALUE"""),"Adolescentes (13 a 17 años)")</f>
        <v>Adolescentes (13 a 17 años)</v>
      </c>
      <c r="CE306" s="30" t="str">
        <f ca="1">IFERROR(__xludf.DUMMYFUNCTION("""COMPUTED_VALUE"""),"Dato global")</f>
        <v>Dato global</v>
      </c>
      <c r="CF306" s="30" t="str">
        <f ca="1">IFERROR(__xludf.DUMMYFUNCTION("""COMPUTED_VALUE"""),"Ninguno (Población General)")</f>
        <v>Ninguno (Población General)</v>
      </c>
      <c r="CG306" s="30">
        <f ca="1">IFERROR(__xludf.DUMMYFUNCTION("""COMPUTED_VALUE"""),30)</f>
        <v>30</v>
      </c>
      <c r="CI306" s="30" t="str">
        <f ca="1">IFERROR(__xludf.DUMMYFUNCTION("""COMPUTED_VALUE"""),"e0743c72")</f>
        <v>e0743c72</v>
      </c>
      <c r="CJ306" s="29" t="str">
        <f ca="1">IFERROR(__xludf.DUMMYFUNCTION("""COMPUTED_VALUE"""),"Regitro_Evidencia_Images/e0743c72.Archivo_Evidencia.205726.jpg")</f>
        <v>Regitro_Evidencia_Images/e0743c72.Archivo_Evidencia.205726.jpg</v>
      </c>
      <c r="CK306" s="30" t="str">
        <f ca="1">IFERROR(__xludf.DUMMYFUNCTION("""COMPUTED_VALUE"""),"Foto")</f>
        <v>Foto</v>
      </c>
      <c r="CL306" s="30"/>
      <c r="CM306" s="30" t="str">
        <f ca="1">IFERROR(__xludf.DUMMYFUNCTION("""COMPUTED_VALUE"""),"Guanajuato")</f>
        <v>Guanajuato</v>
      </c>
      <c r="CN306" s="32" t="e">
        <f ca="1"/>
        <v>#NAME?</v>
      </c>
      <c r="CO306" s="32" t="e">
        <f ca="1"/>
        <v>#NAME?</v>
      </c>
      <c r="CP306" s="32" t="e">
        <f ca="1"/>
        <v>#NAME?</v>
      </c>
      <c r="CQ306" s="32" t="e">
        <f ca="1"/>
        <v>#NAME?</v>
      </c>
      <c r="CR306" s="30" t="e">
        <f ca="1"/>
        <v>#NAME?</v>
      </c>
      <c r="CS306" s="30" t="str">
        <f ca="1">IFERROR(__xludf.DUMMYFUNCTION("""COMPUTED_VALUE"""),"Ninguno (Población General)")</f>
        <v>Ninguno (Población General)</v>
      </c>
    </row>
    <row r="307" spans="1:97" ht="13">
      <c r="A307" s="29" t="str">
        <f ca="1">IFERROR(__xludf.DUMMYFUNCTION("""COMPUTED_VALUE"""),"ACT-SCMI23044")</f>
        <v>ACT-SCMI23044</v>
      </c>
      <c r="B307" s="30" t="str">
        <f ca="1">IFERROR(__xludf.DUMMYFUNCTION("""COMPUTED_VALUE"""),"SC-260820-180507")</f>
        <v>SC-260820-180507</v>
      </c>
      <c r="C307" s="62">
        <f ca="1">IFERROR(__xludf.DUMMYFUNCTION("""COMPUTED_VALUE"""),46254.7535532407)</f>
        <v>46254.753553240698</v>
      </c>
      <c r="D307" s="30">
        <f ca="1">IFERROR(__xludf.DUMMYFUNCTION("""COMPUTED_VALUE"""),92)</f>
        <v>92</v>
      </c>
      <c r="E307" s="30" t="str">
        <f ca="1">IFERROR(__xludf.DUMMYFUNCTION("""COMPUTED_VALUE"""),"PB3572")</f>
        <v>PB3572</v>
      </c>
      <c r="F30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7" s="30" t="str">
        <f ca="1">IFERROR(__xludf.DUMMYFUNCTION("""COMPUTED_VALUE"""),"SUBSECRETARÍA DE DESARROLLO Y PROMOCIÓN ARTÍSTICA Y CULTURAL")</f>
        <v>SUBSECRETARÍA DE DESARROLLO Y PROMOCIÓN ARTÍSTICA Y CULTURAL</v>
      </c>
      <c r="I307" s="34" t="str">
        <f ca="1">IFERROR(__xludf.DUMMYFUNCTION("""COMPUTED_VALUE"""),"DIRECCIÓN GENERAL DE MUSEOS, ARTES VISUALES Y EXPOSICIONES")</f>
        <v>DIRECCIÓN GENERAL DE MUSEOS, ARTES VISUALES Y EXPOSICIONES</v>
      </c>
      <c r="J307" s="30" t="str">
        <f ca="1">IFERROR(__xludf.DUMMYFUNCTION("""COMPUTED_VALUE"""),"Número de Actividades realizadas")</f>
        <v>Número de Actividades realizadas</v>
      </c>
      <c r="K307" s="30">
        <f ca="1">IFERROR(__xludf.DUMMYFUNCTION("""COMPUTED_VALUE"""),800)</f>
        <v>800</v>
      </c>
      <c r="L307" s="30" t="str">
        <f ca="1">IFERROR(__xludf.DUMMYFUNCTION("""COMPUTED_VALUE"""),"Artística")</f>
        <v>Artística</v>
      </c>
      <c r="M307" s="30" t="str">
        <f ca="1">IFERROR(__xludf.DUMMYFUNCTION("""COMPUTED_VALUE"""),"Danzón, patrimonio vivo, clases de baile.")</f>
        <v>Danzón, patrimonio vivo, clases de baile.</v>
      </c>
      <c r="N307" s="30" t="str">
        <f ca="1">IFERROR(__xludf.DUMMYFUNCTION("""COMPUTED_VALUE"""),"Sesiones guiadas de introducción al Danzón dentro del museo a cargo del Mtro. Juan Robles, director de Romance Danzonero.")</f>
        <v>Sesiones guiadas de introducción al Danzón dentro del museo a cargo del Mtro. Juan Robles, director de Romance Danzonero.</v>
      </c>
      <c r="O307" s="30" t="str">
        <f ca="1">IFERROR(__xludf.DUMMYFUNCTION("""COMPUTED_VALUE"""),"Única")</f>
        <v>Única</v>
      </c>
      <c r="P307" s="33">
        <f ca="1">IFERROR(__xludf.DUMMYFUNCTION("""COMPUTED_VALUE"""),46214)</f>
        <v>46214</v>
      </c>
      <c r="Q307" s="33">
        <f ca="1">IFERROR(__xludf.DUMMYFUNCTION("""COMPUTED_VALUE"""),46214)</f>
        <v>46214</v>
      </c>
      <c r="R307" s="30">
        <f ca="1">IFERROR(__xludf.DUMMYFUNCTION("""COMPUTED_VALUE"""),1)</f>
        <v>1</v>
      </c>
      <c r="S307" s="30" t="str">
        <f ca="1">IFERROR(__xludf.DUMMYFUNCTION("""COMPUTED_VALUE"""),"Música")</f>
        <v>Música</v>
      </c>
      <c r="T307" s="30" t="str">
        <f ca="1">IFERROR(__xludf.DUMMYFUNCTION("""COMPUTED_VALUE"""),"Música tradicional")</f>
        <v>Música tradicional</v>
      </c>
      <c r="U307" s="30" t="str">
        <f ca="1">IFERROR(__xludf.DUMMYFUNCTION("""COMPUTED_VALUE"""),"Taller")</f>
        <v>Taller</v>
      </c>
      <c r="V307" s="30" t="str">
        <f ca="1">IFERROR(__xludf.DUMMYFUNCTION("""COMPUTED_VALUE"""),"Ninguna")</f>
        <v>Ninguna</v>
      </c>
      <c r="W307" s="30" t="str">
        <f ca="1">IFERROR(__xludf.DUMMYFUNCTION("""COMPUTED_VALUE"""),"Presencial")</f>
        <v>Presencial</v>
      </c>
      <c r="X307" s="30" t="str">
        <f ca="1">IFERROR(__xludf.DUMMYFUNCTION("""COMPUTED_VALUE"""),"Espacio a Cargo de la Secretaría")</f>
        <v>Espacio a Cargo de la Secretaría</v>
      </c>
      <c r="Y307" s="30" t="str">
        <f ca="1">IFERROR(__xludf.DUMMYFUNCTION("""COMPUTED_VALUE"""),"Museo Palacio de los Poderes")</f>
        <v>Museo Palacio de los Poderes</v>
      </c>
      <c r="Z307" s="30"/>
      <c r="AA307" s="30"/>
      <c r="AB307" s="30" t="b">
        <f ca="1">IFERROR(__xludf.DUMMYFUNCTION("""COMPUTED_VALUE"""),FALSE)</f>
        <v>0</v>
      </c>
      <c r="AC307" s="30"/>
      <c r="AD307" s="30" t="b">
        <f ca="1">IFERROR(__xludf.DUMMYFUNCTION("""COMPUTED_VALUE"""),FALSE)</f>
        <v>0</v>
      </c>
      <c r="AE307" s="30"/>
      <c r="AF307" s="30" t="b">
        <f ca="1">IFERROR(__xludf.DUMMYFUNCTION("""COMPUTED_VALUE"""),FALSE)</f>
        <v>0</v>
      </c>
      <c r="AG307" s="30"/>
      <c r="AH307" s="30" t="str">
        <f ca="1">IFERROR(__xludf.DUMMYFUNCTION("""COMPUTED_VALUE"""),"Sin costo")</f>
        <v>Sin costo</v>
      </c>
      <c r="AI307" s="30"/>
      <c r="AJ307" s="30"/>
      <c r="AK307" s="30"/>
      <c r="AL307" s="30" t="str">
        <f ca="1">IFERROR(__xludf.DUMMYFUNCTION("""COMPUTED_VALUE"""),"ccardonav@guanajuato.gob.mx")</f>
        <v>ccardonav@guanajuato.gob.mx</v>
      </c>
      <c r="AM307" s="30" t="str">
        <f ca="1">IFERROR(__xludf.DUMMYFUNCTION("""COMPUTED_VALUE"""),"Arraigo y empoderamiento cultural de comunidades.")</f>
        <v>Arraigo y empoderamiento cultural de comunidades.</v>
      </c>
      <c r="AN307" s="30" t="str">
        <f ca="1">IFERROR(__xludf.DUMMYFUNCTION("""COMPUTED_VALUE"""),"1 Tranquilidad")</f>
        <v>1 Tranquilidad</v>
      </c>
      <c r="AO307" s="30" t="str">
        <f ca="1">IFERROR(__xludf.DUMMYFUNCTION("""COMPUTED_VALUE"""),"1.2 Fortalecer prevención del delito")</f>
        <v>1.2 Fortalecer prevención del delito</v>
      </c>
      <c r="AP307" s="30" t="str">
        <f ca="1">IFERROR(__xludf.DUMMYFUNCTION("""COMPUTED_VALUE"""),"1.2.2 Fortalecimiento del tejido social")</f>
        <v>1.2.2 Fortalecimiento del tejido social</v>
      </c>
      <c r="AQ307" s="30" t="str">
        <f ca="1">IFERROR(__xludf.DUMMYFUNCTION("""COMPUTED_VALUE"""),"1.2.3.4 Promover una cultura de paz desde las expresiones artísticas y culturales")</f>
        <v>1.2.3.4 Promover una cultura de paz desde las expresiones artísticas y culturales</v>
      </c>
      <c r="AR307" s="30" t="str">
        <f ca="1">IFERROR(__xludf.DUMMYFUNCTION("""COMPUTED_VALUE"""),"Ninguno")</f>
        <v>Ninguno</v>
      </c>
      <c r="AS307" s="30"/>
      <c r="AT307" s="30" t="str">
        <f ca="1">IFERROR(__xludf.DUMMYFUNCTION("""COMPUTED_VALUE"""),"Fortalecimiento de la participación ciudadana y la mediación cultural")</f>
        <v>Fortalecimiento de la participación ciudadana y la mediación cultural</v>
      </c>
      <c r="AU307" s="30" t="str">
        <f ca="1">IFERROR(__xludf.DUMMYFUNCTION("""COMPUTED_VALUE"""),"Impulso a la ampliación de la oferta cultural en los territorios.")</f>
        <v>Impulso a la ampliación de la oferta cultural en los territorios.</v>
      </c>
      <c r="AV30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7" s="30" t="str">
        <f ca="1">IFERROR(__xludf.DUMMYFUNCTION("""COMPUTED_VALUE"""),"Incrementar en 25% la oferta cultural realizada en los municipios.")</f>
        <v>Incrementar en 25% la oferta cultural realizada en los municipios.</v>
      </c>
      <c r="AX307" s="30" t="str">
        <f ca="1">IFERROR(__xludf.DUMMYFUNCTION("""COMPUTED_VALUE"""),"Taller")</f>
        <v>Taller</v>
      </c>
      <c r="AY307" s="30" t="str">
        <f ca="1">IFERROR(__xludf.DUMMYFUNCTION("""COMPUTED_VALUE"""),"Formación")</f>
        <v>Formación</v>
      </c>
      <c r="AZ307" s="30"/>
      <c r="BA307" s="30"/>
      <c r="BB307" s="30"/>
      <c r="BC307" s="30">
        <f ca="1">IFERROR(__xludf.DUMMYFUNCTION("""COMPUTED_VALUE"""),0)</f>
        <v>0</v>
      </c>
      <c r="BD307" s="30"/>
      <c r="BE307" s="30"/>
      <c r="BF307" s="30" t="b">
        <f ca="1">IFERROR(__xludf.DUMMYFUNCTION("""COMPUTED_VALUE"""),FALSE)</f>
        <v>0</v>
      </c>
      <c r="BG307" s="30"/>
      <c r="BH307" s="30"/>
      <c r="BI307" s="30"/>
      <c r="BJ307" s="30"/>
      <c r="BK307" s="30"/>
      <c r="BL307" s="30"/>
      <c r="BM307" s="30" t="str">
        <f ca="1">IFERROR(__xludf.DUMMYFUNCTION("""COMPUTED_VALUE"""),"No")</f>
        <v>No</v>
      </c>
      <c r="BN307" s="30"/>
      <c r="BO307" s="30" t="str">
        <f ca="1">IFERROR(__xludf.DUMMYFUNCTION("""COMPUTED_VALUE"""),"7ea7981f")</f>
        <v>7ea7981f</v>
      </c>
      <c r="BP307" s="29" t="str">
        <f ca="1">IFERROR(__xludf.DUMMYFUNCTION("""COMPUTED_VALUE"""),"Guanajuato")</f>
        <v>Guanajuato</v>
      </c>
      <c r="BQ307" s="30" t="str">
        <f ca="1">IFERROR(__xludf.DUMMYFUNCTION("""COMPUTED_VALUE"""),"Urbano")</f>
        <v>Urbano</v>
      </c>
      <c r="BR307" s="30">
        <f ca="1">IFERROR(__xludf.DUMMYFUNCTION("""COMPUTED_VALUE"""),49)</f>
        <v>49</v>
      </c>
      <c r="BS307" s="30" t="str">
        <f ca="1">IFERROR(__xludf.DUMMYFUNCTION("""COMPUTED_VALUE"""),"Guanajuato")</f>
        <v>Guanajuato</v>
      </c>
      <c r="BT307" s="30"/>
      <c r="BU307" s="30" t="str">
        <f ca="1">IFERROR(__xludf.DUMMYFUNCTION("""COMPUTED_VALUE"""),"Si")</f>
        <v>Si</v>
      </c>
      <c r="BV307" s="30" t="str">
        <f ca="1">IFERROR(__xludf.DUMMYFUNCTION("""COMPUTED_VALUE"""),"Si")</f>
        <v>Si</v>
      </c>
      <c r="BW307" s="30">
        <f ca="1">IFERROR(__xludf.DUMMYFUNCTION("""COMPUTED_VALUE"""),19)</f>
        <v>19</v>
      </c>
      <c r="BX307" s="30"/>
      <c r="BY307" s="30">
        <f ca="1">IFERROR(__xludf.DUMMYFUNCTION("""COMPUTED_VALUE"""),19)</f>
        <v>19</v>
      </c>
      <c r="BZ307" s="30" t="str">
        <f ca="1">IFERROR(__xludf.DUMMYFUNCTION("""COMPUTED_VALUE"""),"Guanajuato")</f>
        <v>Guanajuato</v>
      </c>
      <c r="CA307" s="30" t="str">
        <f ca="1">IFERROR(__xludf.DUMMYFUNCTION("""COMPUTED_VALUE"""),"No")</f>
        <v>No</v>
      </c>
      <c r="CB307" s="30" t="str">
        <f ca="1">IFERROR(__xludf.DUMMYFUNCTION("""COMPUTED_VALUE"""),"No")</f>
        <v>No</v>
      </c>
      <c r="CC307" s="30" t="str">
        <f ca="1">IFERROR(__xludf.DUMMYFUNCTION("""COMPUTED_VALUE"""),"bc4ecdf7")</f>
        <v>bc4ecdf7</v>
      </c>
      <c r="CD307" s="29" t="str">
        <f ca="1">IFERROR(__xludf.DUMMYFUNCTION("""COMPUTED_VALUE"""),"Adultos (30 a 59 años)")</f>
        <v>Adultos (30 a 59 años)</v>
      </c>
      <c r="CE307" s="30" t="str">
        <f ca="1">IFERROR(__xludf.DUMMYFUNCTION("""COMPUTED_VALUE"""),"Dato global")</f>
        <v>Dato global</v>
      </c>
      <c r="CF307" s="30" t="str">
        <f ca="1">IFERROR(__xludf.DUMMYFUNCTION("""COMPUTED_VALUE"""),"Ninguno (Población General)")</f>
        <v>Ninguno (Población General)</v>
      </c>
      <c r="CG307" s="30">
        <f ca="1">IFERROR(__xludf.DUMMYFUNCTION("""COMPUTED_VALUE"""),30)</f>
        <v>30</v>
      </c>
      <c r="CI307" s="30" t="str">
        <f ca="1">IFERROR(__xludf.DUMMYFUNCTION("""COMPUTED_VALUE"""),"2fdc6d84")</f>
        <v>2fdc6d84</v>
      </c>
      <c r="CJ307" s="29" t="str">
        <f ca="1">IFERROR(__xludf.DUMMYFUNCTION("""COMPUTED_VALUE"""),"Regitro_Evidencia_Images/2fdc6d84.Archivo_Evidencia.213353.jpg")</f>
        <v>Regitro_Evidencia_Images/2fdc6d84.Archivo_Evidencia.213353.jpg</v>
      </c>
      <c r="CK307" s="30" t="str">
        <f ca="1">IFERROR(__xludf.DUMMYFUNCTION("""COMPUTED_VALUE"""),"Foto")</f>
        <v>Foto</v>
      </c>
      <c r="CL307" s="30"/>
      <c r="CM307" s="30" t="str">
        <f ca="1">IFERROR(__xludf.DUMMYFUNCTION("""COMPUTED_VALUE"""),"Guanajuato")</f>
        <v>Guanajuato</v>
      </c>
      <c r="CN307" s="32" t="e">
        <f ca="1"/>
        <v>#NAME?</v>
      </c>
      <c r="CO307" s="32" t="e">
        <f ca="1"/>
        <v>#NAME?</v>
      </c>
      <c r="CP307" s="32" t="e">
        <f ca="1"/>
        <v>#NAME?</v>
      </c>
      <c r="CQ307" s="32" t="e">
        <f ca="1"/>
        <v>#NAME?</v>
      </c>
      <c r="CR307" s="30" t="e">
        <f ca="1"/>
        <v>#NAME?</v>
      </c>
      <c r="CS307" s="30" t="str">
        <f ca="1">IFERROR(__xludf.DUMMYFUNCTION("""COMPUTED_VALUE"""),"Ninguno (Población General)")</f>
        <v>Ninguno (Población General)</v>
      </c>
    </row>
    <row r="308" spans="1:97" ht="13">
      <c r="A308" s="29" t="str">
        <f ca="1">IFERROR(__xludf.DUMMYFUNCTION("""COMPUTED_VALUE"""),"ACT-SCRK24440")</f>
        <v>ACT-SCRK24440</v>
      </c>
      <c r="B308" s="30" t="str">
        <f ca="1">IFERROR(__xludf.DUMMYFUNCTION("""COMPUTED_VALUE"""),"SC-260820-180751")</f>
        <v>SC-260820-180751</v>
      </c>
      <c r="C308" s="62">
        <f ca="1">IFERROR(__xludf.DUMMYFUNCTION("""COMPUTED_VALUE"""),46254.7554513888)</f>
        <v>46254.755451388803</v>
      </c>
      <c r="D308" s="30">
        <f ca="1">IFERROR(__xludf.DUMMYFUNCTION("""COMPUTED_VALUE"""),92)</f>
        <v>92</v>
      </c>
      <c r="E308" s="30" t="str">
        <f ca="1">IFERROR(__xludf.DUMMYFUNCTION("""COMPUTED_VALUE"""),"PB3572")</f>
        <v>PB3572</v>
      </c>
      <c r="F30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8" s="30" t="str">
        <f ca="1">IFERROR(__xludf.DUMMYFUNCTION("""COMPUTED_VALUE"""),"SUBSECRETARÍA DE DESARROLLO Y PROMOCIÓN ARTÍSTICA Y CULTURAL")</f>
        <v>SUBSECRETARÍA DE DESARROLLO Y PROMOCIÓN ARTÍSTICA Y CULTURAL</v>
      </c>
      <c r="I308" s="34" t="str">
        <f ca="1">IFERROR(__xludf.DUMMYFUNCTION("""COMPUTED_VALUE"""),"DIRECCIÓN GENERAL DE MUSEOS, ARTES VISUALES Y EXPOSICIONES")</f>
        <v>DIRECCIÓN GENERAL DE MUSEOS, ARTES VISUALES Y EXPOSICIONES</v>
      </c>
      <c r="J308" s="30" t="str">
        <f ca="1">IFERROR(__xludf.DUMMYFUNCTION("""COMPUTED_VALUE"""),"Número de Actividades realizadas")</f>
        <v>Número de Actividades realizadas</v>
      </c>
      <c r="K308" s="30">
        <f ca="1">IFERROR(__xludf.DUMMYFUNCTION("""COMPUTED_VALUE"""),800)</f>
        <v>800</v>
      </c>
      <c r="L308" s="30" t="str">
        <f ca="1">IFERROR(__xludf.DUMMYFUNCTION("""COMPUTED_VALUE"""),"Artística")</f>
        <v>Artística</v>
      </c>
      <c r="M308" s="30" t="str">
        <f ca="1">IFERROR(__xludf.DUMMYFUNCTION("""COMPUTED_VALUE"""),"Viaje sonoro, de la antigüedad a nuestros tiempos.")</f>
        <v>Viaje sonoro, de la antigüedad a nuestros tiempos.</v>
      </c>
      <c r="N308" s="30" t="str">
        <f ca="1">IFERROR(__xludf.DUMMYFUNCTION("""COMPUTED_VALUE"""),"El público será partícipe de Un Viaje Sonoro, en el que los ritmos más primitivos de la historia harán resonar el recinto")</f>
        <v>El público será partícipe de Un Viaje Sonoro, en el que los ritmos más primitivos de la historia harán resonar el recinto</v>
      </c>
      <c r="O308" s="30" t="str">
        <f ca="1">IFERROR(__xludf.DUMMYFUNCTION("""COMPUTED_VALUE"""),"Única")</f>
        <v>Única</v>
      </c>
      <c r="P308" s="33">
        <f ca="1">IFERROR(__xludf.DUMMYFUNCTION("""COMPUTED_VALUE"""),46222)</f>
        <v>46222</v>
      </c>
      <c r="Q308" s="33">
        <f ca="1">IFERROR(__xludf.DUMMYFUNCTION("""COMPUTED_VALUE"""),46222)</f>
        <v>46222</v>
      </c>
      <c r="R308" s="30">
        <f ca="1">IFERROR(__xludf.DUMMYFUNCTION("""COMPUTED_VALUE"""),1)</f>
        <v>1</v>
      </c>
      <c r="S308" s="30" t="str">
        <f ca="1">IFERROR(__xludf.DUMMYFUNCTION("""COMPUTED_VALUE"""),"Música")</f>
        <v>Música</v>
      </c>
      <c r="T308" s="30" t="str">
        <f ca="1">IFERROR(__xludf.DUMMYFUNCTION("""COMPUTED_VALUE"""),"Producción musical")</f>
        <v>Producción musical</v>
      </c>
      <c r="U308" s="30" t="str">
        <f ca="1">IFERROR(__xludf.DUMMYFUNCTION("""COMPUTED_VALUE"""),"Presentación artística")</f>
        <v>Presentación artística</v>
      </c>
      <c r="V308" s="30" t="str">
        <f ca="1">IFERROR(__xludf.DUMMYFUNCTION("""COMPUTED_VALUE"""),"Ninguna")</f>
        <v>Ninguna</v>
      </c>
      <c r="W308" s="30" t="str">
        <f ca="1">IFERROR(__xludf.DUMMYFUNCTION("""COMPUTED_VALUE"""),"Presencial")</f>
        <v>Presencial</v>
      </c>
      <c r="X308" s="30" t="str">
        <f ca="1">IFERROR(__xludf.DUMMYFUNCTION("""COMPUTED_VALUE"""),"Espacio a Cargo de la Secretaría")</f>
        <v>Espacio a Cargo de la Secretaría</v>
      </c>
      <c r="Y308" s="30" t="str">
        <f ca="1">IFERROR(__xludf.DUMMYFUNCTION("""COMPUTED_VALUE"""),"Museo Casa Diego Rivera")</f>
        <v>Museo Casa Diego Rivera</v>
      </c>
      <c r="Z308" s="30"/>
      <c r="AA308" s="30"/>
      <c r="AB308" s="30" t="b">
        <f ca="1">IFERROR(__xludf.DUMMYFUNCTION("""COMPUTED_VALUE"""),FALSE)</f>
        <v>0</v>
      </c>
      <c r="AC308" s="30"/>
      <c r="AD308" s="30" t="b">
        <f ca="1">IFERROR(__xludf.DUMMYFUNCTION("""COMPUTED_VALUE"""),FALSE)</f>
        <v>0</v>
      </c>
      <c r="AE308" s="30"/>
      <c r="AF308" s="30" t="b">
        <f ca="1">IFERROR(__xludf.DUMMYFUNCTION("""COMPUTED_VALUE"""),FALSE)</f>
        <v>0</v>
      </c>
      <c r="AG308" s="30"/>
      <c r="AH308" s="30" t="str">
        <f ca="1">IFERROR(__xludf.DUMMYFUNCTION("""COMPUTED_VALUE"""),"Sin costo")</f>
        <v>Sin costo</v>
      </c>
      <c r="AI308" s="30"/>
      <c r="AJ308" s="30"/>
      <c r="AK308" s="30"/>
      <c r="AL308" s="30" t="str">
        <f ca="1">IFERROR(__xludf.DUMMYFUNCTION("""COMPUTED_VALUE"""),"ccardonav@guanajuato.gob.mx")</f>
        <v>ccardonav@guanajuato.gob.mx</v>
      </c>
      <c r="AM308" s="30" t="str">
        <f ca="1">IFERROR(__xludf.DUMMYFUNCTION("""COMPUTED_VALUE"""),"Arraigo y empoderamiento cultural de comunidades.")</f>
        <v>Arraigo y empoderamiento cultural de comunidades.</v>
      </c>
      <c r="AN308" s="30" t="str">
        <f ca="1">IFERROR(__xludf.DUMMYFUNCTION("""COMPUTED_VALUE"""),"1 Tranquilidad")</f>
        <v>1 Tranquilidad</v>
      </c>
      <c r="AO308" s="30" t="str">
        <f ca="1">IFERROR(__xludf.DUMMYFUNCTION("""COMPUTED_VALUE"""),"1.2 Fortalecer prevención del delito")</f>
        <v>1.2 Fortalecer prevención del delito</v>
      </c>
      <c r="AP308" s="30" t="str">
        <f ca="1">IFERROR(__xludf.DUMMYFUNCTION("""COMPUTED_VALUE"""),"1.2.2 Fortalecimiento del tejido social")</f>
        <v>1.2.2 Fortalecimiento del tejido social</v>
      </c>
      <c r="AQ308" s="30" t="str">
        <f ca="1">IFERROR(__xludf.DUMMYFUNCTION("""COMPUTED_VALUE"""),"1.2.3.4 Promover una cultura de paz desde las expresiones artísticas y culturales")</f>
        <v>1.2.3.4 Promover una cultura de paz desde las expresiones artísticas y culturales</v>
      </c>
      <c r="AR308" s="30" t="str">
        <f ca="1">IFERROR(__xludf.DUMMYFUNCTION("""COMPUTED_VALUE"""),"Cooperación")</f>
        <v>Cooperación</v>
      </c>
      <c r="AS308" s="30"/>
      <c r="AT308" s="30" t="str">
        <f ca="1">IFERROR(__xludf.DUMMYFUNCTION("""COMPUTED_VALUE"""),"Fortalecimiento de la participación ciudadana y la mediación cultural")</f>
        <v>Fortalecimiento de la participación ciudadana y la mediación cultural</v>
      </c>
      <c r="AU308" s="30" t="str">
        <f ca="1">IFERROR(__xludf.DUMMYFUNCTION("""COMPUTED_VALUE"""),"Impulso a la ampliación de la oferta cultural en los territorios.")</f>
        <v>Impulso a la ampliación de la oferta cultural en los territorios.</v>
      </c>
      <c r="AV30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8" s="30" t="str">
        <f ca="1">IFERROR(__xludf.DUMMYFUNCTION("""COMPUTED_VALUE"""),"Incrementar en 25% la oferta cultural realizada en los municipios.")</f>
        <v>Incrementar en 25% la oferta cultural realizada en los municipios.</v>
      </c>
      <c r="AX308" s="30" t="str">
        <f ca="1">IFERROR(__xludf.DUMMYFUNCTION("""COMPUTED_VALUE"""),"Muestra artística")</f>
        <v>Muestra artística</v>
      </c>
      <c r="AY308" s="30" t="str">
        <f ca="1">IFERROR(__xludf.DUMMYFUNCTION("""COMPUTED_VALUE"""),"Formación")</f>
        <v>Formación</v>
      </c>
      <c r="AZ308" s="30"/>
      <c r="BA308" s="30"/>
      <c r="BB308" s="30"/>
      <c r="BC308" s="30">
        <f ca="1">IFERROR(__xludf.DUMMYFUNCTION("""COMPUTED_VALUE"""),0)</f>
        <v>0</v>
      </c>
      <c r="BD308" s="30"/>
      <c r="BE308" s="30"/>
      <c r="BF308" s="30" t="b">
        <f ca="1">IFERROR(__xludf.DUMMYFUNCTION("""COMPUTED_VALUE"""),FALSE)</f>
        <v>0</v>
      </c>
      <c r="BG308" s="30"/>
      <c r="BH308" s="30"/>
      <c r="BI308" s="30"/>
      <c r="BJ308" s="30"/>
      <c r="BK308" s="30"/>
      <c r="BL308" s="30"/>
      <c r="BM308" s="30" t="str">
        <f ca="1">IFERROR(__xludf.DUMMYFUNCTION("""COMPUTED_VALUE"""),"No")</f>
        <v>No</v>
      </c>
      <c r="BN308" s="30"/>
      <c r="BO308" s="30" t="str">
        <f ca="1">IFERROR(__xludf.DUMMYFUNCTION("""COMPUTED_VALUE"""),"ef05730f")</f>
        <v>ef05730f</v>
      </c>
      <c r="BP308" s="29" t="str">
        <f ca="1">IFERROR(__xludf.DUMMYFUNCTION("""COMPUTED_VALUE"""),"Guanajuato")</f>
        <v>Guanajuato</v>
      </c>
      <c r="BQ308" s="30" t="str">
        <f ca="1">IFERROR(__xludf.DUMMYFUNCTION("""COMPUTED_VALUE"""),"Urbano")</f>
        <v>Urbano</v>
      </c>
      <c r="BR308" s="30"/>
      <c r="BS308" s="30"/>
      <c r="BT308" s="30"/>
      <c r="BU308" s="30" t="str">
        <f ca="1">IFERROR(__xludf.DUMMYFUNCTION("""COMPUTED_VALUE"""),"No")</f>
        <v>No</v>
      </c>
      <c r="BV308" s="30" t="str">
        <f ca="1">IFERROR(__xludf.DUMMYFUNCTION("""COMPUTED_VALUE"""),"No")</f>
        <v>No</v>
      </c>
      <c r="BW308" s="30">
        <f ca="1">IFERROR(__xludf.DUMMYFUNCTION("""COMPUTED_VALUE"""),19)</f>
        <v>19</v>
      </c>
      <c r="BX308" s="30"/>
      <c r="BY308" s="30">
        <f ca="1">IFERROR(__xludf.DUMMYFUNCTION("""COMPUTED_VALUE"""),19)</f>
        <v>19</v>
      </c>
      <c r="BZ308" s="30"/>
      <c r="CA308" s="30" t="str">
        <f ca="1">IFERROR(__xludf.DUMMYFUNCTION("""COMPUTED_VALUE"""),"No")</f>
        <v>No</v>
      </c>
      <c r="CB308" s="30" t="str">
        <f ca="1">IFERROR(__xludf.DUMMYFUNCTION("""COMPUTED_VALUE"""),"No")</f>
        <v>No</v>
      </c>
      <c r="CC308" s="30" t="str">
        <f ca="1">IFERROR(__xludf.DUMMYFUNCTION("""COMPUTED_VALUE"""),"89a26a38")</f>
        <v>89a26a38</v>
      </c>
      <c r="CD308" s="29" t="str">
        <f ca="1">IFERROR(__xludf.DUMMYFUNCTION("""COMPUTED_VALUE"""),"Adolescentes (13 a 17 años)")</f>
        <v>Adolescentes (13 a 17 años)</v>
      </c>
      <c r="CE308" s="30" t="str">
        <f ca="1">IFERROR(__xludf.DUMMYFUNCTION("""COMPUTED_VALUE"""),"Dato global")</f>
        <v>Dato global</v>
      </c>
      <c r="CF308" s="30" t="str">
        <f ca="1">IFERROR(__xludf.DUMMYFUNCTION("""COMPUTED_VALUE"""),"Ninguno (Población General)")</f>
        <v>Ninguno (Población General)</v>
      </c>
      <c r="CG308" s="30">
        <f ca="1">IFERROR(__xludf.DUMMYFUNCTION("""COMPUTED_VALUE"""),40)</f>
        <v>40</v>
      </c>
      <c r="CI308" s="30" t="str">
        <f ca="1">IFERROR(__xludf.DUMMYFUNCTION("""COMPUTED_VALUE"""),"70903377")</f>
        <v>70903377</v>
      </c>
      <c r="CJ308" s="29" t="str">
        <f ca="1">IFERROR(__xludf.DUMMYFUNCTION("""COMPUTED_VALUE"""),"Regitro_Evidencia_Images/70903377.Archivo_Evidencia.214318.jpg")</f>
        <v>Regitro_Evidencia_Images/70903377.Archivo_Evidencia.214318.jpg</v>
      </c>
      <c r="CK308" s="30" t="str">
        <f ca="1">IFERROR(__xludf.DUMMYFUNCTION("""COMPUTED_VALUE"""),"Foto")</f>
        <v>Foto</v>
      </c>
      <c r="CL308" s="30"/>
      <c r="CM308" s="30" t="str">
        <f ca="1">IFERROR(__xludf.DUMMYFUNCTION("""COMPUTED_VALUE"""),"Guanajuato")</f>
        <v>Guanajuato</v>
      </c>
      <c r="CN308" s="32" t="e">
        <f ca="1"/>
        <v>#NAME?</v>
      </c>
      <c r="CO308" s="32" t="e">
        <f ca="1"/>
        <v>#NAME?</v>
      </c>
      <c r="CP308" s="32" t="e">
        <f ca="1"/>
        <v>#NAME?</v>
      </c>
      <c r="CQ308" s="32" t="e">
        <f ca="1"/>
        <v>#NAME?</v>
      </c>
      <c r="CR308" s="30" t="e">
        <f ca="1"/>
        <v>#NAME?</v>
      </c>
      <c r="CS308" s="30" t="str">
        <f ca="1">IFERROR(__xludf.DUMMYFUNCTION("""COMPUTED_VALUE"""),"NNA (Niñas, Niños y Adolescentes)")</f>
        <v>NNA (Niñas, Niños y Adolescentes)</v>
      </c>
    </row>
    <row r="309" spans="1:97" ht="13">
      <c r="A309" s="29" t="str">
        <f ca="1">IFERROR(__xludf.DUMMYFUNCTION("""COMPUTED_VALUE"""),"ACT-SCAS85845")</f>
        <v>ACT-SCAS85845</v>
      </c>
      <c r="B309" s="30" t="str">
        <f ca="1">IFERROR(__xludf.DUMMYFUNCTION("""COMPUTED_VALUE"""),"SC-260820-181251")</f>
        <v>SC-260820-181251</v>
      </c>
      <c r="C309" s="62">
        <f ca="1">IFERROR(__xludf.DUMMYFUNCTION("""COMPUTED_VALUE"""),46254.7589236111)</f>
        <v>46254.758923611102</v>
      </c>
      <c r="D309" s="30">
        <f ca="1">IFERROR(__xludf.DUMMYFUNCTION("""COMPUTED_VALUE"""),92)</f>
        <v>92</v>
      </c>
      <c r="E309" s="30" t="str">
        <f ca="1">IFERROR(__xludf.DUMMYFUNCTION("""COMPUTED_VALUE"""),"PB3572")</f>
        <v>PB3572</v>
      </c>
      <c r="F30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0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09" s="30" t="str">
        <f ca="1">IFERROR(__xludf.DUMMYFUNCTION("""COMPUTED_VALUE"""),"SUBSECRETARÍA DE DESARROLLO Y PROMOCIÓN ARTÍSTICA Y CULTURAL")</f>
        <v>SUBSECRETARÍA DE DESARROLLO Y PROMOCIÓN ARTÍSTICA Y CULTURAL</v>
      </c>
      <c r="I309" s="34" t="str">
        <f ca="1">IFERROR(__xludf.DUMMYFUNCTION("""COMPUTED_VALUE"""),"DIRECCIÓN GENERAL DE MUSEOS, ARTES VISUALES Y EXPOSICIONES")</f>
        <v>DIRECCIÓN GENERAL DE MUSEOS, ARTES VISUALES Y EXPOSICIONES</v>
      </c>
      <c r="J309" s="30" t="str">
        <f ca="1">IFERROR(__xludf.DUMMYFUNCTION("""COMPUTED_VALUE"""),"Número de Actividades realizadas")</f>
        <v>Número de Actividades realizadas</v>
      </c>
      <c r="K309" s="30">
        <f ca="1">IFERROR(__xludf.DUMMYFUNCTION("""COMPUTED_VALUE"""),800)</f>
        <v>800</v>
      </c>
      <c r="L309" s="30" t="str">
        <f ca="1">IFERROR(__xludf.DUMMYFUNCTION("""COMPUTED_VALUE"""),"Artística")</f>
        <v>Artística</v>
      </c>
      <c r="M309" s="30" t="str">
        <f ca="1">IFERROR(__xludf.DUMMYFUNCTION("""COMPUTED_VALUE"""),"Danzón, patrimonio vivo, clases de baile.")</f>
        <v>Danzón, patrimonio vivo, clases de baile.</v>
      </c>
      <c r="N309" s="30" t="str">
        <f ca="1">IFERROR(__xludf.DUMMYFUNCTION("""COMPUTED_VALUE"""),"Sesiones guiadas de introducción al Danzón dentro del museo a cargo del Mtro. Juan Robles, director de Romance Danzonero.")</f>
        <v>Sesiones guiadas de introducción al Danzón dentro del museo a cargo del Mtro. Juan Robles, director de Romance Danzonero.</v>
      </c>
      <c r="O309" s="30" t="str">
        <f ca="1">IFERROR(__xludf.DUMMYFUNCTION("""COMPUTED_VALUE"""),"Única")</f>
        <v>Única</v>
      </c>
      <c r="P309" s="33">
        <f ca="1">IFERROR(__xludf.DUMMYFUNCTION("""COMPUTED_VALUE"""),46221)</f>
        <v>46221</v>
      </c>
      <c r="Q309" s="33">
        <f ca="1">IFERROR(__xludf.DUMMYFUNCTION("""COMPUTED_VALUE"""),46221)</f>
        <v>46221</v>
      </c>
      <c r="R309" s="30">
        <f ca="1">IFERROR(__xludf.DUMMYFUNCTION("""COMPUTED_VALUE"""),1)</f>
        <v>1</v>
      </c>
      <c r="S309" s="30" t="str">
        <f ca="1">IFERROR(__xludf.DUMMYFUNCTION("""COMPUTED_VALUE"""),"Artes escénicas")</f>
        <v>Artes escénicas</v>
      </c>
      <c r="T309" s="30" t="str">
        <f ca="1">IFERROR(__xludf.DUMMYFUNCTION("""COMPUTED_VALUE"""),"Danza tradicional")</f>
        <v>Danza tradicional</v>
      </c>
      <c r="U309" s="30" t="str">
        <f ca="1">IFERROR(__xludf.DUMMYFUNCTION("""COMPUTED_VALUE"""),"Taller")</f>
        <v>Taller</v>
      </c>
      <c r="V309" s="30" t="str">
        <f ca="1">IFERROR(__xludf.DUMMYFUNCTION("""COMPUTED_VALUE"""),"Ninguna")</f>
        <v>Ninguna</v>
      </c>
      <c r="W309" s="30" t="str">
        <f ca="1">IFERROR(__xludf.DUMMYFUNCTION("""COMPUTED_VALUE"""),"Presencial")</f>
        <v>Presencial</v>
      </c>
      <c r="X309" s="30" t="str">
        <f ca="1">IFERROR(__xludf.DUMMYFUNCTION("""COMPUTED_VALUE"""),"Espacio a Cargo de la Secretaría")</f>
        <v>Espacio a Cargo de la Secretaría</v>
      </c>
      <c r="Y309" s="30" t="str">
        <f ca="1">IFERROR(__xludf.DUMMYFUNCTION("""COMPUTED_VALUE"""),"Museo Palacio de los Poderes")</f>
        <v>Museo Palacio de los Poderes</v>
      </c>
      <c r="Z309" s="30"/>
      <c r="AA309" s="30"/>
      <c r="AB309" s="30" t="b">
        <f ca="1">IFERROR(__xludf.DUMMYFUNCTION("""COMPUTED_VALUE"""),FALSE)</f>
        <v>0</v>
      </c>
      <c r="AC309" s="30"/>
      <c r="AD309" s="30" t="b">
        <f ca="1">IFERROR(__xludf.DUMMYFUNCTION("""COMPUTED_VALUE"""),FALSE)</f>
        <v>0</v>
      </c>
      <c r="AE309" s="30"/>
      <c r="AF309" s="30" t="b">
        <f ca="1">IFERROR(__xludf.DUMMYFUNCTION("""COMPUTED_VALUE"""),FALSE)</f>
        <v>0</v>
      </c>
      <c r="AG309" s="30"/>
      <c r="AH309" s="30" t="str">
        <f ca="1">IFERROR(__xludf.DUMMYFUNCTION("""COMPUTED_VALUE"""),"Sin costo")</f>
        <v>Sin costo</v>
      </c>
      <c r="AI309" s="30"/>
      <c r="AJ309" s="30"/>
      <c r="AK309" s="30"/>
      <c r="AL309" s="30" t="str">
        <f ca="1">IFERROR(__xludf.DUMMYFUNCTION("""COMPUTED_VALUE"""),"ccardonav@guanajuato.gob.mx")</f>
        <v>ccardonav@guanajuato.gob.mx</v>
      </c>
      <c r="AM309" s="30" t="str">
        <f ca="1">IFERROR(__xludf.DUMMYFUNCTION("""COMPUTED_VALUE"""),"Arraigo y empoderamiento cultural de comunidades.")</f>
        <v>Arraigo y empoderamiento cultural de comunidades.</v>
      </c>
      <c r="AN309" s="30" t="str">
        <f ca="1">IFERROR(__xludf.DUMMYFUNCTION("""COMPUTED_VALUE"""),"1 Tranquilidad")</f>
        <v>1 Tranquilidad</v>
      </c>
      <c r="AO309" s="30" t="str">
        <f ca="1">IFERROR(__xludf.DUMMYFUNCTION("""COMPUTED_VALUE"""),"1.2 Fortalecer prevención del delito")</f>
        <v>1.2 Fortalecer prevención del delito</v>
      </c>
      <c r="AP309" s="30" t="str">
        <f ca="1">IFERROR(__xludf.DUMMYFUNCTION("""COMPUTED_VALUE"""),"1.2.2 Fortalecimiento del tejido social")</f>
        <v>1.2.2 Fortalecimiento del tejido social</v>
      </c>
      <c r="AQ309" s="30" t="str">
        <f ca="1">IFERROR(__xludf.DUMMYFUNCTION("""COMPUTED_VALUE"""),"1.2.3.4 Promover una cultura de paz desde las expresiones artísticas y culturales")</f>
        <v>1.2.3.4 Promover una cultura de paz desde las expresiones artísticas y culturales</v>
      </c>
      <c r="AR309" s="30" t="str">
        <f ca="1">IFERROR(__xludf.DUMMYFUNCTION("""COMPUTED_VALUE"""),"Cooperación")</f>
        <v>Cooperación</v>
      </c>
      <c r="AS309" s="30"/>
      <c r="AT309" s="30" t="str">
        <f ca="1">IFERROR(__xludf.DUMMYFUNCTION("""COMPUTED_VALUE"""),"Fortalecimiento de la participación ciudadana y la mediación cultural")</f>
        <v>Fortalecimiento de la participación ciudadana y la mediación cultural</v>
      </c>
      <c r="AU309" s="30" t="str">
        <f ca="1">IFERROR(__xludf.DUMMYFUNCTION("""COMPUTED_VALUE"""),"Impulso a la ampliación de la oferta cultural en los territorios.")</f>
        <v>Impulso a la ampliación de la oferta cultural en los territorios.</v>
      </c>
      <c r="AV30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09" s="30" t="str">
        <f ca="1">IFERROR(__xludf.DUMMYFUNCTION("""COMPUTED_VALUE"""),"Incrementar en 25% la oferta cultural realizada en los municipios.")</f>
        <v>Incrementar en 25% la oferta cultural realizada en los municipios.</v>
      </c>
      <c r="AX309" s="30" t="str">
        <f ca="1">IFERROR(__xludf.DUMMYFUNCTION("""COMPUTED_VALUE"""),"Taller")</f>
        <v>Taller</v>
      </c>
      <c r="AY309" s="30" t="str">
        <f ca="1">IFERROR(__xludf.DUMMYFUNCTION("""COMPUTED_VALUE"""),"Formación")</f>
        <v>Formación</v>
      </c>
      <c r="AZ309" s="30"/>
      <c r="BA309" s="30"/>
      <c r="BB309" s="30"/>
      <c r="BC309" s="30">
        <f ca="1">IFERROR(__xludf.DUMMYFUNCTION("""COMPUTED_VALUE"""),0)</f>
        <v>0</v>
      </c>
      <c r="BD309" s="30"/>
      <c r="BE309" s="30"/>
      <c r="BF309" s="30" t="b">
        <f ca="1">IFERROR(__xludf.DUMMYFUNCTION("""COMPUTED_VALUE"""),FALSE)</f>
        <v>0</v>
      </c>
      <c r="BG309" s="30"/>
      <c r="BH309" s="30"/>
      <c r="BI309" s="30"/>
      <c r="BJ309" s="30"/>
      <c r="BK309" s="30"/>
      <c r="BL309" s="30"/>
      <c r="BM309" s="30" t="str">
        <f ca="1">IFERROR(__xludf.DUMMYFUNCTION("""COMPUTED_VALUE"""),"No")</f>
        <v>No</v>
      </c>
      <c r="BN309" s="30"/>
      <c r="BO309" s="30" t="str">
        <f ca="1">IFERROR(__xludf.DUMMYFUNCTION("""COMPUTED_VALUE"""),"57187227")</f>
        <v>57187227</v>
      </c>
      <c r="BP309" s="29" t="str">
        <f ca="1">IFERROR(__xludf.DUMMYFUNCTION("""COMPUTED_VALUE"""),"Guanajuato")</f>
        <v>Guanajuato</v>
      </c>
      <c r="BQ309" s="30" t="str">
        <f ca="1">IFERROR(__xludf.DUMMYFUNCTION("""COMPUTED_VALUE"""),"Urbano")</f>
        <v>Urbano</v>
      </c>
      <c r="BR309" s="30"/>
      <c r="BS309" s="30"/>
      <c r="BT309" s="30"/>
      <c r="BU309" s="30" t="str">
        <f ca="1">IFERROR(__xludf.DUMMYFUNCTION("""COMPUTED_VALUE"""),"No")</f>
        <v>No</v>
      </c>
      <c r="BV309" s="30" t="str">
        <f ca="1">IFERROR(__xludf.DUMMYFUNCTION("""COMPUTED_VALUE"""),"No")</f>
        <v>No</v>
      </c>
      <c r="BW309" s="30">
        <f ca="1">IFERROR(__xludf.DUMMYFUNCTION("""COMPUTED_VALUE"""),19)</f>
        <v>19</v>
      </c>
      <c r="BX309" s="30">
        <f ca="1">IFERROR(__xludf.DUMMYFUNCTION("""COMPUTED_VALUE"""),19)</f>
        <v>19</v>
      </c>
      <c r="BY309" s="30">
        <f ca="1">IFERROR(__xludf.DUMMYFUNCTION("""COMPUTED_VALUE"""),0)</f>
        <v>0</v>
      </c>
      <c r="BZ309" s="30"/>
      <c r="CA309" s="30" t="str">
        <f ca="1">IFERROR(__xludf.DUMMYFUNCTION("""COMPUTED_VALUE"""),"No")</f>
        <v>No</v>
      </c>
      <c r="CB309" s="30" t="str">
        <f ca="1">IFERROR(__xludf.DUMMYFUNCTION("""COMPUTED_VALUE"""),"No")</f>
        <v>No</v>
      </c>
      <c r="CC309" s="30" t="str">
        <f ca="1">IFERROR(__xludf.DUMMYFUNCTION("""COMPUTED_VALUE"""),"b13fec79")</f>
        <v>b13fec79</v>
      </c>
      <c r="CD309" s="29" t="str">
        <f ca="1">IFERROR(__xludf.DUMMYFUNCTION("""COMPUTED_VALUE"""),"Adultos (30 a 59 años)")</f>
        <v>Adultos (30 a 59 años)</v>
      </c>
      <c r="CE309" s="30" t="str">
        <f ca="1">IFERROR(__xludf.DUMMYFUNCTION("""COMPUTED_VALUE"""),"Dato global")</f>
        <v>Dato global</v>
      </c>
      <c r="CF309" s="30" t="str">
        <f ca="1">IFERROR(__xludf.DUMMYFUNCTION("""COMPUTED_VALUE"""),"Ninguno (Población General)")</f>
        <v>Ninguno (Población General)</v>
      </c>
      <c r="CG309" s="30">
        <f ca="1">IFERROR(__xludf.DUMMYFUNCTION("""COMPUTED_VALUE"""),2)</f>
        <v>2</v>
      </c>
      <c r="CJ309" s="29"/>
      <c r="CM309" s="30" t="str">
        <f ca="1">IFERROR(__xludf.DUMMYFUNCTION("""COMPUTED_VALUE"""),"Silao de la Victoria")</f>
        <v>Silao de la Victoria</v>
      </c>
      <c r="CN309" s="32" t="e">
        <f ca="1"/>
        <v>#NAME?</v>
      </c>
      <c r="CO309" s="32" t="e">
        <f ca="1"/>
        <v>#NAME?</v>
      </c>
      <c r="CP309" s="32" t="e">
        <f ca="1"/>
        <v>#NAME?</v>
      </c>
      <c r="CQ309" s="32" t="e">
        <f ca="1"/>
        <v>#NAME?</v>
      </c>
      <c r="CR309" s="30" t="e">
        <f ca="1"/>
        <v>#NAME?</v>
      </c>
      <c r="CS309"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310" spans="1:97" ht="13">
      <c r="A310" s="29" t="str">
        <f ca="1">IFERROR(__xludf.DUMMYFUNCTION("""COMPUTED_VALUE"""),"ACT-SCZE71261")</f>
        <v>ACT-SCZE71261</v>
      </c>
      <c r="B310" s="30" t="str">
        <f ca="1">IFERROR(__xludf.DUMMYFUNCTION("""COMPUTED_VALUE"""),"SC-260820-181906")</f>
        <v>SC-260820-181906</v>
      </c>
      <c r="C310" s="62">
        <f ca="1">IFERROR(__xludf.DUMMYFUNCTION("""COMPUTED_VALUE"""),46254.7632638888)</f>
        <v>46254.763263888803</v>
      </c>
      <c r="D310" s="30">
        <f ca="1">IFERROR(__xludf.DUMMYFUNCTION("""COMPUTED_VALUE"""),92)</f>
        <v>92</v>
      </c>
      <c r="E310" s="30" t="str">
        <f ca="1">IFERROR(__xludf.DUMMYFUNCTION("""COMPUTED_VALUE"""),"PB3572")</f>
        <v>PB3572</v>
      </c>
      <c r="F31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0" s="30" t="str">
        <f ca="1">IFERROR(__xludf.DUMMYFUNCTION("""COMPUTED_VALUE"""),"SUBSECRETARÍA DE DESARROLLO Y PROMOCIÓN ARTÍSTICA Y CULTURAL")</f>
        <v>SUBSECRETARÍA DE DESARROLLO Y PROMOCIÓN ARTÍSTICA Y CULTURAL</v>
      </c>
      <c r="I310" s="34" t="str">
        <f ca="1">IFERROR(__xludf.DUMMYFUNCTION("""COMPUTED_VALUE"""),"DIRECCIÓN GENERAL DE MUSEOS, ARTES VISUALES Y EXPOSICIONES")</f>
        <v>DIRECCIÓN GENERAL DE MUSEOS, ARTES VISUALES Y EXPOSICIONES</v>
      </c>
      <c r="J310" s="30" t="str">
        <f ca="1">IFERROR(__xludf.DUMMYFUNCTION("""COMPUTED_VALUE"""),"Número de Actividades realizadas")</f>
        <v>Número de Actividades realizadas</v>
      </c>
      <c r="K310" s="30">
        <f ca="1">IFERROR(__xludf.DUMMYFUNCTION("""COMPUTED_VALUE"""),800)</f>
        <v>800</v>
      </c>
      <c r="L310" s="30" t="str">
        <f ca="1">IFERROR(__xludf.DUMMYFUNCTION("""COMPUTED_VALUE"""),"Artística")</f>
        <v>Artística</v>
      </c>
      <c r="M310" s="30" t="str">
        <f ca="1">IFERROR(__xludf.DUMMYFUNCTION("""COMPUTED_VALUE"""),"Taller en búsqueda del Mezquite")</f>
        <v>Taller en búsqueda del Mezquite</v>
      </c>
      <c r="N310" s="30" t="str">
        <f ca="1">IFERROR(__xludf.DUMMYFUNCTION("""COMPUTED_VALUE"""),"Exploración de biomateriales y creación de amuletos a partir de las formas del mezquite.")</f>
        <v>Exploración de biomateriales y creación de amuletos a partir de las formas del mezquite.</v>
      </c>
      <c r="O310" s="30" t="str">
        <f ca="1">IFERROR(__xludf.DUMMYFUNCTION("""COMPUTED_VALUE"""),"Única")</f>
        <v>Única</v>
      </c>
      <c r="P310" s="33">
        <f ca="1">IFERROR(__xludf.DUMMYFUNCTION("""COMPUTED_VALUE"""),46220)</f>
        <v>46220</v>
      </c>
      <c r="Q310" s="33">
        <f ca="1">IFERROR(__xludf.DUMMYFUNCTION("""COMPUTED_VALUE"""),46220)</f>
        <v>46220</v>
      </c>
      <c r="R310" s="30">
        <f ca="1">IFERROR(__xludf.DUMMYFUNCTION("""COMPUTED_VALUE"""),1)</f>
        <v>1</v>
      </c>
      <c r="S310" s="30" t="str">
        <f ca="1">IFERROR(__xludf.DUMMYFUNCTION("""COMPUTED_VALUE"""),"Cultura comunitaria")</f>
        <v>Cultura comunitaria</v>
      </c>
      <c r="T310" s="30" t="str">
        <f ca="1">IFERROR(__xludf.DUMMYFUNCTION("""COMPUTED_VALUE"""),"Formación comunitaria")</f>
        <v>Formación comunitaria</v>
      </c>
      <c r="U310" s="30" t="str">
        <f ca="1">IFERROR(__xludf.DUMMYFUNCTION("""COMPUTED_VALUE"""),"Taller")</f>
        <v>Taller</v>
      </c>
      <c r="V310" s="30" t="str">
        <f ca="1">IFERROR(__xludf.DUMMYFUNCTION("""COMPUTED_VALUE"""),"Ninguna")</f>
        <v>Ninguna</v>
      </c>
      <c r="W310" s="30" t="str">
        <f ca="1">IFERROR(__xludf.DUMMYFUNCTION("""COMPUTED_VALUE"""),"Presencial")</f>
        <v>Presencial</v>
      </c>
      <c r="X310" s="30" t="str">
        <f ca="1">IFERROR(__xludf.DUMMYFUNCTION("""COMPUTED_VALUE"""),"Espacio a Cargo de la Secretaría")</f>
        <v>Espacio a Cargo de la Secretaría</v>
      </c>
      <c r="Y310" s="30" t="str">
        <f ca="1">IFERROR(__xludf.DUMMYFUNCTION("""COMPUTED_VALUE"""),"Museo de Arte-Olga Costa-José Chávez Morado")</f>
        <v>Museo de Arte-Olga Costa-José Chávez Morado</v>
      </c>
      <c r="Z310" s="30"/>
      <c r="AA310" s="30"/>
      <c r="AB310" s="30" t="b">
        <f ca="1">IFERROR(__xludf.DUMMYFUNCTION("""COMPUTED_VALUE"""),FALSE)</f>
        <v>0</v>
      </c>
      <c r="AC310" s="30"/>
      <c r="AD310" s="30" t="b">
        <f ca="1">IFERROR(__xludf.DUMMYFUNCTION("""COMPUTED_VALUE"""),FALSE)</f>
        <v>0</v>
      </c>
      <c r="AE310" s="30"/>
      <c r="AF310" s="30" t="b">
        <f ca="1">IFERROR(__xludf.DUMMYFUNCTION("""COMPUTED_VALUE"""),FALSE)</f>
        <v>0</v>
      </c>
      <c r="AG310" s="30"/>
      <c r="AH310" s="30" t="str">
        <f ca="1">IFERROR(__xludf.DUMMYFUNCTION("""COMPUTED_VALUE"""),"Sin costo")</f>
        <v>Sin costo</v>
      </c>
      <c r="AI310" s="30"/>
      <c r="AJ310" s="30"/>
      <c r="AK310" s="30"/>
      <c r="AL310" s="30" t="str">
        <f ca="1">IFERROR(__xludf.DUMMYFUNCTION("""COMPUTED_VALUE"""),"ccardonav@guanajuato.gob.mx")</f>
        <v>ccardonav@guanajuato.gob.mx</v>
      </c>
      <c r="AM310" s="30" t="str">
        <f ca="1">IFERROR(__xludf.DUMMYFUNCTION("""COMPUTED_VALUE"""),"Arraigo y empoderamiento cultural de comunidades.")</f>
        <v>Arraigo y empoderamiento cultural de comunidades.</v>
      </c>
      <c r="AN310" s="30" t="str">
        <f ca="1">IFERROR(__xludf.DUMMYFUNCTION("""COMPUTED_VALUE"""),"1 Tranquilidad")</f>
        <v>1 Tranquilidad</v>
      </c>
      <c r="AO310" s="30" t="str">
        <f ca="1">IFERROR(__xludf.DUMMYFUNCTION("""COMPUTED_VALUE"""),"1.2 Fortalecer prevención del delito")</f>
        <v>1.2 Fortalecer prevención del delito</v>
      </c>
      <c r="AP310" s="30" t="str">
        <f ca="1">IFERROR(__xludf.DUMMYFUNCTION("""COMPUTED_VALUE"""),"1.2.2 Fortalecimiento del tejido social")</f>
        <v>1.2.2 Fortalecimiento del tejido social</v>
      </c>
      <c r="AQ310" s="30" t="str">
        <f ca="1">IFERROR(__xludf.DUMMYFUNCTION("""COMPUTED_VALUE"""),"1.2.3.4 Promover una cultura de paz desde las expresiones artísticas y culturales")</f>
        <v>1.2.3.4 Promover una cultura de paz desde las expresiones artísticas y culturales</v>
      </c>
      <c r="AR310" s="30" t="str">
        <f ca="1">IFERROR(__xludf.DUMMYFUNCTION("""COMPUTED_VALUE"""),"Cooperación")</f>
        <v>Cooperación</v>
      </c>
      <c r="AS310" s="30"/>
      <c r="AT310" s="30" t="str">
        <f ca="1">IFERROR(__xludf.DUMMYFUNCTION("""COMPUTED_VALUE"""),"Fortalecimiento de la participación ciudadana y la mediación cultural")</f>
        <v>Fortalecimiento de la participación ciudadana y la mediación cultural</v>
      </c>
      <c r="AU310" s="30" t="str">
        <f ca="1">IFERROR(__xludf.DUMMYFUNCTION("""COMPUTED_VALUE"""),"Impulso a la ampliación de la oferta cultural en los territorios.")</f>
        <v>Impulso a la ampliación de la oferta cultural en los territorios.</v>
      </c>
      <c r="AV31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0" s="30" t="str">
        <f ca="1">IFERROR(__xludf.DUMMYFUNCTION("""COMPUTED_VALUE"""),"Incrementar en 25% la oferta cultural realizada en los municipios.")</f>
        <v>Incrementar en 25% la oferta cultural realizada en los municipios.</v>
      </c>
      <c r="AX310" s="30" t="str">
        <f ca="1">IFERROR(__xludf.DUMMYFUNCTION("""COMPUTED_VALUE"""),"Taller")</f>
        <v>Taller</v>
      </c>
      <c r="AY310" s="30" t="str">
        <f ca="1">IFERROR(__xludf.DUMMYFUNCTION("""COMPUTED_VALUE"""),"Formación")</f>
        <v>Formación</v>
      </c>
      <c r="AZ310" s="30"/>
      <c r="BA310" s="30"/>
      <c r="BB310" s="30"/>
      <c r="BC310" s="30">
        <f ca="1">IFERROR(__xludf.DUMMYFUNCTION("""COMPUTED_VALUE"""),0)</f>
        <v>0</v>
      </c>
      <c r="BD310" s="30"/>
      <c r="BE310" s="30"/>
      <c r="BF310" s="30" t="b">
        <f ca="1">IFERROR(__xludf.DUMMYFUNCTION("""COMPUTED_VALUE"""),FALSE)</f>
        <v>0</v>
      </c>
      <c r="BG310" s="30"/>
      <c r="BH310" s="30"/>
      <c r="BI310" s="30"/>
      <c r="BJ310" s="30"/>
      <c r="BK310" s="30"/>
      <c r="BL310" s="30"/>
      <c r="BM310" s="30" t="str">
        <f ca="1">IFERROR(__xludf.DUMMYFUNCTION("""COMPUTED_VALUE"""),"No")</f>
        <v>No</v>
      </c>
      <c r="BN310" s="30"/>
      <c r="BO310" s="30" t="str">
        <f ca="1">IFERROR(__xludf.DUMMYFUNCTION("""COMPUTED_VALUE"""),"55085379")</f>
        <v>55085379</v>
      </c>
      <c r="BP310" s="29" t="str">
        <f ca="1">IFERROR(__xludf.DUMMYFUNCTION("""COMPUTED_VALUE"""),"Silao de la Victoria")</f>
        <v>Silao de la Victoria</v>
      </c>
      <c r="BQ310" s="30" t="str">
        <f ca="1">IFERROR(__xludf.DUMMYFUNCTION("""COMPUTED_VALUE"""),"Urbano")</f>
        <v>Urbano</v>
      </c>
      <c r="BR310" s="30">
        <f ca="1">IFERROR(__xludf.DUMMYFUNCTION("""COMPUTED_VALUE"""),215)</f>
        <v>215</v>
      </c>
      <c r="BS310" s="30" t="str">
        <f ca="1">IFERROR(__xludf.DUMMYFUNCTION("""COMPUTED_VALUE"""),"Silao")</f>
        <v>Silao</v>
      </c>
      <c r="BT310" s="30"/>
      <c r="BU310" s="30" t="str">
        <f ca="1">IFERROR(__xludf.DUMMYFUNCTION("""COMPUTED_VALUE"""),"Si")</f>
        <v>Si</v>
      </c>
      <c r="BV310" s="30" t="str">
        <f ca="1">IFERROR(__xludf.DUMMYFUNCTION("""COMPUTED_VALUE"""),"Si")</f>
        <v>Si</v>
      </c>
      <c r="BW310" s="30">
        <f ca="1">IFERROR(__xludf.DUMMYFUNCTION("""COMPUTED_VALUE"""),10)</f>
        <v>10</v>
      </c>
      <c r="BX310" s="30"/>
      <c r="BY310" s="30">
        <f ca="1">IFERROR(__xludf.DUMMYFUNCTION("""COMPUTED_VALUE"""),10)</f>
        <v>10</v>
      </c>
      <c r="BZ310" s="30" t="str">
        <f ca="1">IFERROR(__xludf.DUMMYFUNCTION("""COMPUTED_VALUE"""),"Silao")</f>
        <v>Silao</v>
      </c>
      <c r="CA310" s="30" t="str">
        <f ca="1">IFERROR(__xludf.DUMMYFUNCTION("""COMPUTED_VALUE"""),"No")</f>
        <v>No</v>
      </c>
      <c r="CB310" s="30" t="str">
        <f ca="1">IFERROR(__xludf.DUMMYFUNCTION("""COMPUTED_VALUE"""),"No")</f>
        <v>No</v>
      </c>
      <c r="CC310" s="30" t="str">
        <f ca="1">IFERROR(__xludf.DUMMYFUNCTION("""COMPUTED_VALUE"""),"8fc5518d")</f>
        <v>8fc5518d</v>
      </c>
      <c r="CD310" s="29" t="str">
        <f ca="1">IFERROR(__xludf.DUMMYFUNCTION("""COMPUTED_VALUE"""),"Adolescentes (13 a 17 años)")</f>
        <v>Adolescentes (13 a 17 años)</v>
      </c>
      <c r="CE310" s="30" t="str">
        <f ca="1">IFERROR(__xludf.DUMMYFUNCTION("""COMPUTED_VALUE"""),"Dato global")</f>
        <v>Dato global</v>
      </c>
      <c r="CF310" s="30" t="str">
        <f ca="1">IFERROR(__xludf.DUMMYFUNCTION("""COMPUTED_VALUE"""),"Ninguno (Población General)")</f>
        <v>Ninguno (Población General)</v>
      </c>
      <c r="CG310" s="30">
        <f ca="1">IFERROR(__xludf.DUMMYFUNCTION("""COMPUTED_VALUE"""),40)</f>
        <v>40</v>
      </c>
      <c r="CJ310" s="29"/>
      <c r="CM310" s="30" t="str">
        <f ca="1">IFERROR(__xludf.DUMMYFUNCTION("""COMPUTED_VALUE"""),"Guanajuato")</f>
        <v>Guanajuato</v>
      </c>
      <c r="CN310" s="32" t="e">
        <f ca="1"/>
        <v>#NAME?</v>
      </c>
      <c r="CO310" s="32" t="e">
        <f ca="1"/>
        <v>#NAME?</v>
      </c>
      <c r="CP310" s="32" t="e">
        <f ca="1"/>
        <v>#NAME?</v>
      </c>
      <c r="CQ310" s="32" t="e">
        <f ca="1"/>
        <v>#NAME?</v>
      </c>
      <c r="CR310" s="30" t="e">
        <f ca="1"/>
        <v>#NAME?</v>
      </c>
      <c r="CS310" s="30" t="str">
        <f ca="1">IFERROR(__xludf.DUMMYFUNCTION("""COMPUTED_VALUE"""),"Ninguno (Población General)")</f>
        <v>Ninguno (Población General)</v>
      </c>
    </row>
    <row r="311" spans="1:97" ht="13">
      <c r="A311" s="29" t="str">
        <f ca="1">IFERROR(__xludf.DUMMYFUNCTION("""COMPUTED_VALUE"""),"ACT-SCIT34845")</f>
        <v>ACT-SCIT34845</v>
      </c>
      <c r="B311" s="30" t="str">
        <f ca="1">IFERROR(__xludf.DUMMYFUNCTION("""COMPUTED_VALUE"""),"SC-260820-182155")</f>
        <v>SC-260820-182155</v>
      </c>
      <c r="C311" s="62">
        <f ca="1">IFERROR(__xludf.DUMMYFUNCTION("""COMPUTED_VALUE"""),46254.7652199074)</f>
        <v>46254.7652199074</v>
      </c>
      <c r="D311" s="30">
        <f ca="1">IFERROR(__xludf.DUMMYFUNCTION("""COMPUTED_VALUE"""),92)</f>
        <v>92</v>
      </c>
      <c r="E311" s="30" t="str">
        <f ca="1">IFERROR(__xludf.DUMMYFUNCTION("""COMPUTED_VALUE"""),"PB3572")</f>
        <v>PB3572</v>
      </c>
      <c r="F31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1" s="30" t="str">
        <f ca="1">IFERROR(__xludf.DUMMYFUNCTION("""COMPUTED_VALUE"""),"SUBSECRETARÍA DE DESARROLLO Y PROMOCIÓN ARTÍSTICA Y CULTURAL")</f>
        <v>SUBSECRETARÍA DE DESARROLLO Y PROMOCIÓN ARTÍSTICA Y CULTURAL</v>
      </c>
      <c r="I311" s="34" t="str">
        <f ca="1">IFERROR(__xludf.DUMMYFUNCTION("""COMPUTED_VALUE"""),"DIRECCIÓN GENERAL DE MUSEOS, ARTES VISUALES Y EXPOSICIONES")</f>
        <v>DIRECCIÓN GENERAL DE MUSEOS, ARTES VISUALES Y EXPOSICIONES</v>
      </c>
      <c r="J311" s="30" t="str">
        <f ca="1">IFERROR(__xludf.DUMMYFUNCTION("""COMPUTED_VALUE"""),"Número de Actividades realizadas")</f>
        <v>Número de Actividades realizadas</v>
      </c>
      <c r="K311" s="30">
        <f ca="1">IFERROR(__xludf.DUMMYFUNCTION("""COMPUTED_VALUE"""),800)</f>
        <v>800</v>
      </c>
      <c r="L311" s="30" t="str">
        <f ca="1">IFERROR(__xludf.DUMMYFUNCTION("""COMPUTED_VALUE"""),"Artística")</f>
        <v>Artística</v>
      </c>
      <c r="M311" s="30" t="str">
        <f ca="1">IFERROR(__xludf.DUMMYFUNCTION("""COMPUTED_VALUE"""),"Coloquio Frida Kahlo y Diego Rivera: estudios críticos, perspectivas y relecturas contemporáneas.")</f>
        <v>Coloquio Frida Kahlo y Diego Rivera: estudios críticos, perspectivas y relecturas contemporáneas.</v>
      </c>
      <c r="N311" s="30" t="str">
        <f ca="1">IFERROR(__xludf.DUMMYFUNCTION("""COMPUTED_VALUE"""),"Espacio académico de reflexión, diálogo crítico y análisis interdisciplinario sobre la obra, la figura y vida de Frida Kahlo y Diego Rivera.")</f>
        <v>Espacio académico de reflexión, diálogo crítico y análisis interdisciplinario sobre la obra, la figura y vida de Frida Kahlo y Diego Rivera.</v>
      </c>
      <c r="O311" s="30" t="str">
        <f ca="1">IFERROR(__xludf.DUMMYFUNCTION("""COMPUTED_VALUE"""),"Única")</f>
        <v>Única</v>
      </c>
      <c r="P311" s="33">
        <f ca="1">IFERROR(__xludf.DUMMYFUNCTION("""COMPUTED_VALUE"""),46226)</f>
        <v>46226</v>
      </c>
      <c r="Q311" s="33">
        <f ca="1">IFERROR(__xludf.DUMMYFUNCTION("""COMPUTED_VALUE"""),46226)</f>
        <v>46226</v>
      </c>
      <c r="R311" s="30">
        <f ca="1">IFERROR(__xludf.DUMMYFUNCTION("""COMPUTED_VALUE"""),1)</f>
        <v>1</v>
      </c>
      <c r="S311" s="30" t="str">
        <f ca="1">IFERROR(__xludf.DUMMYFUNCTION("""COMPUTED_VALUE"""),"Cultura comunitaria")</f>
        <v>Cultura comunitaria</v>
      </c>
      <c r="T311" s="30" t="str">
        <f ca="1">IFERROR(__xludf.DUMMYFUNCTION("""COMPUTED_VALUE"""),"Formación comunitaria")</f>
        <v>Formación comunitaria</v>
      </c>
      <c r="U311" s="30" t="str">
        <f ca="1">IFERROR(__xludf.DUMMYFUNCTION("""COMPUTED_VALUE"""),"Conferencia")</f>
        <v>Conferencia</v>
      </c>
      <c r="V311" s="30" t="str">
        <f ca="1">IFERROR(__xludf.DUMMYFUNCTION("""COMPUTED_VALUE"""),"Ninguna")</f>
        <v>Ninguna</v>
      </c>
      <c r="W311" s="30" t="str">
        <f ca="1">IFERROR(__xludf.DUMMYFUNCTION("""COMPUTED_VALUE"""),"Presencial")</f>
        <v>Presencial</v>
      </c>
      <c r="X311" s="30" t="str">
        <f ca="1">IFERROR(__xludf.DUMMYFUNCTION("""COMPUTED_VALUE"""),"Espacio a Cargo de la Secretaría")</f>
        <v>Espacio a Cargo de la Secretaría</v>
      </c>
      <c r="Y311" s="30" t="str">
        <f ca="1">IFERROR(__xludf.DUMMYFUNCTION("""COMPUTED_VALUE"""),"Museo Casa Diego Rivera")</f>
        <v>Museo Casa Diego Rivera</v>
      </c>
      <c r="Z311" s="30"/>
      <c r="AA311" s="30"/>
      <c r="AB311" s="30" t="b">
        <f ca="1">IFERROR(__xludf.DUMMYFUNCTION("""COMPUTED_VALUE"""),FALSE)</f>
        <v>0</v>
      </c>
      <c r="AC311" s="30"/>
      <c r="AD311" s="30" t="b">
        <f ca="1">IFERROR(__xludf.DUMMYFUNCTION("""COMPUTED_VALUE"""),FALSE)</f>
        <v>0</v>
      </c>
      <c r="AE311" s="30"/>
      <c r="AF311" s="30" t="b">
        <f ca="1">IFERROR(__xludf.DUMMYFUNCTION("""COMPUTED_VALUE"""),FALSE)</f>
        <v>0</v>
      </c>
      <c r="AG311" s="30"/>
      <c r="AH311" s="30" t="str">
        <f ca="1">IFERROR(__xludf.DUMMYFUNCTION("""COMPUTED_VALUE"""),"Sin costo")</f>
        <v>Sin costo</v>
      </c>
      <c r="AI311" s="30"/>
      <c r="AJ311" s="30"/>
      <c r="AK311" s="30"/>
      <c r="AL311" s="30" t="str">
        <f ca="1">IFERROR(__xludf.DUMMYFUNCTION("""COMPUTED_VALUE"""),"ccardonav@guanajuato.gob.mx")</f>
        <v>ccardonav@guanajuato.gob.mx</v>
      </c>
      <c r="AM311" s="30" t="str">
        <f ca="1">IFERROR(__xludf.DUMMYFUNCTION("""COMPUTED_VALUE"""),"Arraigo y empoderamiento cultural de comunidades.")</f>
        <v>Arraigo y empoderamiento cultural de comunidades.</v>
      </c>
      <c r="AN311" s="30" t="str">
        <f ca="1">IFERROR(__xludf.DUMMYFUNCTION("""COMPUTED_VALUE"""),"1 Tranquilidad")</f>
        <v>1 Tranquilidad</v>
      </c>
      <c r="AO311" s="30" t="str">
        <f ca="1">IFERROR(__xludf.DUMMYFUNCTION("""COMPUTED_VALUE"""),"1.2 Fortalecer prevención del delito")</f>
        <v>1.2 Fortalecer prevención del delito</v>
      </c>
      <c r="AP311" s="30" t="str">
        <f ca="1">IFERROR(__xludf.DUMMYFUNCTION("""COMPUTED_VALUE"""),"1.2.2 Fortalecimiento del tejido social")</f>
        <v>1.2.2 Fortalecimiento del tejido social</v>
      </c>
      <c r="AQ311" s="30" t="str">
        <f ca="1">IFERROR(__xludf.DUMMYFUNCTION("""COMPUTED_VALUE"""),"1.2.3.4 Promover una cultura de paz desde las expresiones artísticas y culturales")</f>
        <v>1.2.3.4 Promover una cultura de paz desde las expresiones artísticas y culturales</v>
      </c>
      <c r="AR311" s="30" t="str">
        <f ca="1">IFERROR(__xludf.DUMMYFUNCTION("""COMPUTED_VALUE"""),"Cooperación")</f>
        <v>Cooperación</v>
      </c>
      <c r="AS311" s="30"/>
      <c r="AT311" s="30" t="str">
        <f ca="1">IFERROR(__xludf.DUMMYFUNCTION("""COMPUTED_VALUE"""),"Fortalecimiento de la participación ciudadana y la mediación cultural")</f>
        <v>Fortalecimiento de la participación ciudadana y la mediación cultural</v>
      </c>
      <c r="AU311" s="30" t="str">
        <f ca="1">IFERROR(__xludf.DUMMYFUNCTION("""COMPUTED_VALUE"""),"Impulso a la ampliación de la oferta cultural en los territorios.")</f>
        <v>Impulso a la ampliación de la oferta cultural en los territorios.</v>
      </c>
      <c r="AV31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1" s="30" t="str">
        <f ca="1">IFERROR(__xludf.DUMMYFUNCTION("""COMPUTED_VALUE"""),"Incrementar en 25% la oferta cultural realizada en los municipios.")</f>
        <v>Incrementar en 25% la oferta cultural realizada en los municipios.</v>
      </c>
      <c r="AX311" s="30" t="str">
        <f ca="1">IFERROR(__xludf.DUMMYFUNCTION("""COMPUTED_VALUE"""),"Conferencia")</f>
        <v>Conferencia</v>
      </c>
      <c r="AY311" s="30" t="str">
        <f ca="1">IFERROR(__xludf.DUMMYFUNCTION("""COMPUTED_VALUE"""),"Formación")</f>
        <v>Formación</v>
      </c>
      <c r="AZ311" s="30"/>
      <c r="BA311" s="30"/>
      <c r="BB311" s="30"/>
      <c r="BC311" s="30">
        <f ca="1">IFERROR(__xludf.DUMMYFUNCTION("""COMPUTED_VALUE"""),0)</f>
        <v>0</v>
      </c>
      <c r="BD311" s="30"/>
      <c r="BE311" s="30"/>
      <c r="BF311" s="30" t="b">
        <f ca="1">IFERROR(__xludf.DUMMYFUNCTION("""COMPUTED_VALUE"""),FALSE)</f>
        <v>0</v>
      </c>
      <c r="BG311" s="30"/>
      <c r="BH311" s="30"/>
      <c r="BI311" s="30"/>
      <c r="BJ311" s="30"/>
      <c r="BK311" s="30"/>
      <c r="BL311" s="30"/>
      <c r="BM311" s="30" t="str">
        <f ca="1">IFERROR(__xludf.DUMMYFUNCTION("""COMPUTED_VALUE"""),"No")</f>
        <v>No</v>
      </c>
      <c r="BN311" s="30"/>
      <c r="BO311" s="30" t="str">
        <f ca="1">IFERROR(__xludf.DUMMYFUNCTION("""COMPUTED_VALUE"""),"26ca7707")</f>
        <v>26ca7707</v>
      </c>
      <c r="BP311" s="29" t="str">
        <f ca="1">IFERROR(__xludf.DUMMYFUNCTION("""COMPUTED_VALUE"""),"Guanajuato")</f>
        <v>Guanajuato</v>
      </c>
      <c r="BQ311" s="30" t="str">
        <f ca="1">IFERROR(__xludf.DUMMYFUNCTION("""COMPUTED_VALUE"""),"Urbano")</f>
        <v>Urbano</v>
      </c>
      <c r="BR311" s="30">
        <f ca="1">IFERROR(__xludf.DUMMYFUNCTION("""COMPUTED_VALUE"""),49)</f>
        <v>49</v>
      </c>
      <c r="BS311" s="30" t="str">
        <f ca="1">IFERROR(__xludf.DUMMYFUNCTION("""COMPUTED_VALUE"""),"Guanajuato")</f>
        <v>Guanajuato</v>
      </c>
      <c r="BT311" s="30"/>
      <c r="BU311" s="30" t="str">
        <f ca="1">IFERROR(__xludf.DUMMYFUNCTION("""COMPUTED_VALUE"""),"Si")</f>
        <v>Si</v>
      </c>
      <c r="BV311" s="30" t="str">
        <f ca="1">IFERROR(__xludf.DUMMYFUNCTION("""COMPUTED_VALUE"""),"Si")</f>
        <v>Si</v>
      </c>
      <c r="BW311" s="30">
        <f ca="1">IFERROR(__xludf.DUMMYFUNCTION("""COMPUTED_VALUE"""),30)</f>
        <v>30</v>
      </c>
      <c r="BX311" s="30">
        <f ca="1">IFERROR(__xludf.DUMMYFUNCTION("""COMPUTED_VALUE"""),30)</f>
        <v>30</v>
      </c>
      <c r="BY311" s="30">
        <f ca="1">IFERROR(__xludf.DUMMYFUNCTION("""COMPUTED_VALUE"""),0)</f>
        <v>0</v>
      </c>
      <c r="BZ311" s="30" t="str">
        <f ca="1">IFERROR(__xludf.DUMMYFUNCTION("""COMPUTED_VALUE"""),"Guanajuato")</f>
        <v>Guanajuato</v>
      </c>
      <c r="CA311" s="30" t="str">
        <f ca="1">IFERROR(__xludf.DUMMYFUNCTION("""COMPUTED_VALUE"""),"No")</f>
        <v>No</v>
      </c>
      <c r="CB311" s="30" t="str">
        <f ca="1">IFERROR(__xludf.DUMMYFUNCTION("""COMPUTED_VALUE"""),"No")</f>
        <v>No</v>
      </c>
      <c r="CC311" s="30" t="str">
        <f ca="1">IFERROR(__xludf.DUMMYFUNCTION("""COMPUTED_VALUE"""),"b434dd1f")</f>
        <v>b434dd1f</v>
      </c>
      <c r="CD311" s="29" t="str">
        <f ca="1">IFERROR(__xludf.DUMMYFUNCTION("""COMPUTED_VALUE"""),"Adultos (30 a 59 años)")</f>
        <v>Adultos (30 a 59 años)</v>
      </c>
      <c r="CE311" s="30" t="str">
        <f ca="1">IFERROR(__xludf.DUMMYFUNCTION("""COMPUTED_VALUE"""),"Dato global")</f>
        <v>Dato global</v>
      </c>
      <c r="CF311" s="30" t="str">
        <f ca="1">IFERROR(__xludf.DUMMYFUNCTION("""COMPUTED_VALUE"""),"Ninguno (Población General)")</f>
        <v>Ninguno (Población General)</v>
      </c>
      <c r="CG311" s="30">
        <f ca="1">IFERROR(__xludf.DUMMYFUNCTION("""COMPUTED_VALUE"""),2)</f>
        <v>2</v>
      </c>
      <c r="CJ311" s="29"/>
      <c r="CM311" s="30" t="str">
        <f ca="1">IFERROR(__xludf.DUMMYFUNCTION("""COMPUTED_VALUE"""),"Guanajuato")</f>
        <v>Guanajuato</v>
      </c>
      <c r="CN311" s="32" t="e">
        <f ca="1"/>
        <v>#NAME?</v>
      </c>
      <c r="CO311" s="32" t="e">
        <f ca="1"/>
        <v>#NAME?</v>
      </c>
      <c r="CP311" s="32" t="e">
        <f ca="1"/>
        <v>#NAME?</v>
      </c>
      <c r="CQ311" s="32" t="e">
        <f ca="1"/>
        <v>#NAME?</v>
      </c>
      <c r="CR311" s="30" t="e">
        <f ca="1"/>
        <v>#NAME?</v>
      </c>
      <c r="CS311" s="30" t="str">
        <f ca="1">IFERROR(__xludf.DUMMYFUNCTION("""COMPUTED_VALUE"""),"Ninguno (Población General)")</f>
        <v>Ninguno (Población General)</v>
      </c>
    </row>
    <row r="312" spans="1:97" ht="13">
      <c r="A312" s="29" t="str">
        <f ca="1">IFERROR(__xludf.DUMMYFUNCTION("""COMPUTED_VALUE"""),"ACT-SCHK67760")</f>
        <v>ACT-SCHK67760</v>
      </c>
      <c r="B312" s="30" t="str">
        <f ca="1">IFERROR(__xludf.DUMMYFUNCTION("""COMPUTED_VALUE"""),"SC-260820-183030")</f>
        <v>SC-260820-183030</v>
      </c>
      <c r="C312" s="62">
        <f ca="1">IFERROR(__xludf.DUMMYFUNCTION("""COMPUTED_VALUE"""),46254.7711805555)</f>
        <v>46254.771180555501</v>
      </c>
      <c r="D312" s="30">
        <f ca="1">IFERROR(__xludf.DUMMYFUNCTION("""COMPUTED_VALUE"""),92)</f>
        <v>92</v>
      </c>
      <c r="E312" s="30" t="str">
        <f ca="1">IFERROR(__xludf.DUMMYFUNCTION("""COMPUTED_VALUE"""),"PB3572")</f>
        <v>PB3572</v>
      </c>
      <c r="F31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2" s="30" t="str">
        <f ca="1">IFERROR(__xludf.DUMMYFUNCTION("""COMPUTED_VALUE"""),"SUBSECRETARÍA DE DESARROLLO Y PROMOCIÓN ARTÍSTICA Y CULTURAL")</f>
        <v>SUBSECRETARÍA DE DESARROLLO Y PROMOCIÓN ARTÍSTICA Y CULTURAL</v>
      </c>
      <c r="I312" s="34" t="str">
        <f ca="1">IFERROR(__xludf.DUMMYFUNCTION("""COMPUTED_VALUE"""),"DIRECCIÓN GENERAL DE MUSEOS, ARTES VISUALES Y EXPOSICIONES")</f>
        <v>DIRECCIÓN GENERAL DE MUSEOS, ARTES VISUALES Y EXPOSICIONES</v>
      </c>
      <c r="J312" s="30" t="str">
        <f ca="1">IFERROR(__xludf.DUMMYFUNCTION("""COMPUTED_VALUE"""),"Número de Actividades realizadas")</f>
        <v>Número de Actividades realizadas</v>
      </c>
      <c r="K312" s="30">
        <f ca="1">IFERROR(__xludf.DUMMYFUNCTION("""COMPUTED_VALUE"""),800)</f>
        <v>800</v>
      </c>
      <c r="L312" s="30" t="str">
        <f ca="1">IFERROR(__xludf.DUMMYFUNCTION("""COMPUTED_VALUE"""),"Artística")</f>
        <v>Artística</v>
      </c>
      <c r="M312" s="30" t="str">
        <f ca="1">IFERROR(__xludf.DUMMYFUNCTION("""COMPUTED_VALUE"""),"San Pancho vs Milán: ¿El Sombrero Guanajuatense en la cabeza del mundo?")</f>
        <v>San Pancho vs Milán: ¿El Sombrero Guanajuatense en la cabeza del mundo?</v>
      </c>
      <c r="N312" s="30" t="str">
        <f ca="1">IFERROR(__xludf.DUMMYFUNCTION("""COMPUTED_VALUE"""),"Un espacio de diálogo y reflexión que explora el potencial del sombrero guanajuatense como símbolo de identidad")</f>
        <v>Un espacio de diálogo y reflexión que explora el potencial del sombrero guanajuatense como símbolo de identidad</v>
      </c>
      <c r="O312" s="30" t="str">
        <f ca="1">IFERROR(__xludf.DUMMYFUNCTION("""COMPUTED_VALUE"""),"Única")</f>
        <v>Única</v>
      </c>
      <c r="P312" s="33">
        <f ca="1">IFERROR(__xludf.DUMMYFUNCTION("""COMPUTED_VALUE"""),46228)</f>
        <v>46228</v>
      </c>
      <c r="Q312" s="33">
        <f ca="1">IFERROR(__xludf.DUMMYFUNCTION("""COMPUTED_VALUE"""),46228)</f>
        <v>46228</v>
      </c>
      <c r="R312" s="30">
        <f ca="1">IFERROR(__xludf.DUMMYFUNCTION("""COMPUTED_VALUE"""),1)</f>
        <v>1</v>
      </c>
      <c r="S312" s="30" t="str">
        <f ca="1">IFERROR(__xludf.DUMMYFUNCTION("""COMPUTED_VALUE"""),"Cultura comunitaria")</f>
        <v>Cultura comunitaria</v>
      </c>
      <c r="T312" s="30" t="str">
        <f ca="1">IFERROR(__xludf.DUMMYFUNCTION("""COMPUTED_VALUE"""),"Formación comunitaria")</f>
        <v>Formación comunitaria</v>
      </c>
      <c r="U312" s="30" t="str">
        <f ca="1">IFERROR(__xludf.DUMMYFUNCTION("""COMPUTED_VALUE"""),"Conversatorio")</f>
        <v>Conversatorio</v>
      </c>
      <c r="V312" s="30" t="str">
        <f ca="1">IFERROR(__xludf.DUMMYFUNCTION("""COMPUTED_VALUE"""),"Ninguna")</f>
        <v>Ninguna</v>
      </c>
      <c r="W312" s="30" t="str">
        <f ca="1">IFERROR(__xludf.DUMMYFUNCTION("""COMPUTED_VALUE"""),"Presencial")</f>
        <v>Presencial</v>
      </c>
      <c r="X312" s="30" t="str">
        <f ca="1">IFERROR(__xludf.DUMMYFUNCTION("""COMPUTED_VALUE"""),"Espacio a Cargo de la Secretaría")</f>
        <v>Espacio a Cargo de la Secretaría</v>
      </c>
      <c r="Y312" s="30" t="str">
        <f ca="1">IFERROR(__xludf.DUMMYFUNCTION("""COMPUTED_VALUE"""),"Museo del Pueblo de Guanajuato")</f>
        <v>Museo del Pueblo de Guanajuato</v>
      </c>
      <c r="Z312" s="30"/>
      <c r="AA312" s="30"/>
      <c r="AB312" s="30" t="b">
        <f ca="1">IFERROR(__xludf.DUMMYFUNCTION("""COMPUTED_VALUE"""),FALSE)</f>
        <v>0</v>
      </c>
      <c r="AC312" s="30"/>
      <c r="AD312" s="30" t="b">
        <f ca="1">IFERROR(__xludf.DUMMYFUNCTION("""COMPUTED_VALUE"""),FALSE)</f>
        <v>0</v>
      </c>
      <c r="AE312" s="30"/>
      <c r="AF312" s="30" t="b">
        <f ca="1">IFERROR(__xludf.DUMMYFUNCTION("""COMPUTED_VALUE"""),FALSE)</f>
        <v>0</v>
      </c>
      <c r="AG312" s="30"/>
      <c r="AH312" s="30" t="str">
        <f ca="1">IFERROR(__xludf.DUMMYFUNCTION("""COMPUTED_VALUE"""),"Sin costo")</f>
        <v>Sin costo</v>
      </c>
      <c r="AI312" s="30"/>
      <c r="AJ312" s="30"/>
      <c r="AK312" s="30"/>
      <c r="AL312" s="30" t="str">
        <f ca="1">IFERROR(__xludf.DUMMYFUNCTION("""COMPUTED_VALUE"""),"ccardonav@guanajuato.gob.mx")</f>
        <v>ccardonav@guanajuato.gob.mx</v>
      </c>
      <c r="AM312" s="30" t="str">
        <f ca="1">IFERROR(__xludf.DUMMYFUNCTION("""COMPUTED_VALUE"""),"Arraigo y empoderamiento cultural de comunidades.")</f>
        <v>Arraigo y empoderamiento cultural de comunidades.</v>
      </c>
      <c r="AN312" s="30" t="str">
        <f ca="1">IFERROR(__xludf.DUMMYFUNCTION("""COMPUTED_VALUE"""),"1 Tranquilidad")</f>
        <v>1 Tranquilidad</v>
      </c>
      <c r="AO312" s="30" t="str">
        <f ca="1">IFERROR(__xludf.DUMMYFUNCTION("""COMPUTED_VALUE"""),"1.2 Fortalecer prevención del delito")</f>
        <v>1.2 Fortalecer prevención del delito</v>
      </c>
      <c r="AP312" s="30" t="str">
        <f ca="1">IFERROR(__xludf.DUMMYFUNCTION("""COMPUTED_VALUE"""),"1.2.2 Fortalecimiento del tejido social")</f>
        <v>1.2.2 Fortalecimiento del tejido social</v>
      </c>
      <c r="AQ312" s="30" t="str">
        <f ca="1">IFERROR(__xludf.DUMMYFUNCTION("""COMPUTED_VALUE"""),"1.2.3.4 Promover una cultura de paz desde las expresiones artísticas y culturales")</f>
        <v>1.2.3.4 Promover una cultura de paz desde las expresiones artísticas y culturales</v>
      </c>
      <c r="AR312" s="30" t="str">
        <f ca="1">IFERROR(__xludf.DUMMYFUNCTION("""COMPUTED_VALUE"""),"Cooperación")</f>
        <v>Cooperación</v>
      </c>
      <c r="AS312" s="30"/>
      <c r="AT312" s="30" t="str">
        <f ca="1">IFERROR(__xludf.DUMMYFUNCTION("""COMPUTED_VALUE"""),"Fortalecimiento de la participación ciudadana y la mediación cultural")</f>
        <v>Fortalecimiento de la participación ciudadana y la mediación cultural</v>
      </c>
      <c r="AU312" s="30" t="str">
        <f ca="1">IFERROR(__xludf.DUMMYFUNCTION("""COMPUTED_VALUE"""),"Impulso a la ampliación de la oferta cultural en los territorios.")</f>
        <v>Impulso a la ampliación de la oferta cultural en los territorios.</v>
      </c>
      <c r="AV31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2" s="30" t="str">
        <f ca="1">IFERROR(__xludf.DUMMYFUNCTION("""COMPUTED_VALUE"""),"Incrementar en 25% la oferta cultural realizada en los municipios.")</f>
        <v>Incrementar en 25% la oferta cultural realizada en los municipios.</v>
      </c>
      <c r="AX312" s="30" t="str">
        <f ca="1">IFERROR(__xludf.DUMMYFUNCTION("""COMPUTED_VALUE"""),"Charla")</f>
        <v>Charla</v>
      </c>
      <c r="AY312" s="30" t="str">
        <f ca="1">IFERROR(__xludf.DUMMYFUNCTION("""COMPUTED_VALUE"""),"Formación")</f>
        <v>Formación</v>
      </c>
      <c r="AZ312" s="30"/>
      <c r="BA312" s="30"/>
      <c r="BB312" s="30"/>
      <c r="BC312" s="30">
        <f ca="1">IFERROR(__xludf.DUMMYFUNCTION("""COMPUTED_VALUE"""),0)</f>
        <v>0</v>
      </c>
      <c r="BD312" s="30"/>
      <c r="BE312" s="30"/>
      <c r="BF312" s="30" t="b">
        <f ca="1">IFERROR(__xludf.DUMMYFUNCTION("""COMPUTED_VALUE"""),FALSE)</f>
        <v>0</v>
      </c>
      <c r="BG312" s="30"/>
      <c r="BH312" s="30"/>
      <c r="BI312" s="30"/>
      <c r="BJ312" s="30"/>
      <c r="BK312" s="30"/>
      <c r="BL312" s="30"/>
      <c r="BM312" s="30" t="str">
        <f ca="1">IFERROR(__xludf.DUMMYFUNCTION("""COMPUTED_VALUE"""),"No")</f>
        <v>No</v>
      </c>
      <c r="BN312" s="30"/>
      <c r="BO312" s="30" t="str">
        <f ca="1">IFERROR(__xludf.DUMMYFUNCTION("""COMPUTED_VALUE"""),"f7d40f48")</f>
        <v>f7d40f48</v>
      </c>
      <c r="BP312" s="29" t="str">
        <f ca="1">IFERROR(__xludf.DUMMYFUNCTION("""COMPUTED_VALUE"""),"Guanajuato")</f>
        <v>Guanajuato</v>
      </c>
      <c r="BQ312" s="30" t="str">
        <f ca="1">IFERROR(__xludf.DUMMYFUNCTION("""COMPUTED_VALUE"""),"Urbano")</f>
        <v>Urbano</v>
      </c>
      <c r="BR312" s="30"/>
      <c r="BS312" s="30"/>
      <c r="BT312" s="30"/>
      <c r="BU312" s="30" t="str">
        <f ca="1">IFERROR(__xludf.DUMMYFUNCTION("""COMPUTED_VALUE"""),"No")</f>
        <v>No</v>
      </c>
      <c r="BV312" s="30" t="str">
        <f ca="1">IFERROR(__xludf.DUMMYFUNCTION("""COMPUTED_VALUE"""),"No")</f>
        <v>No</v>
      </c>
      <c r="BW312" s="30">
        <f ca="1">IFERROR(__xludf.DUMMYFUNCTION("""COMPUTED_VALUE"""),3)</f>
        <v>3</v>
      </c>
      <c r="BX312" s="30"/>
      <c r="BY312" s="30">
        <f ca="1">IFERROR(__xludf.DUMMYFUNCTION("""COMPUTED_VALUE"""),3)</f>
        <v>3</v>
      </c>
      <c r="BZ312" s="30"/>
      <c r="CA312" s="30" t="str">
        <f ca="1">IFERROR(__xludf.DUMMYFUNCTION("""COMPUTED_VALUE"""),"No")</f>
        <v>No</v>
      </c>
      <c r="CB312" s="30" t="str">
        <f ca="1">IFERROR(__xludf.DUMMYFUNCTION("""COMPUTED_VALUE"""),"No")</f>
        <v>No</v>
      </c>
      <c r="CC312" s="30" t="str">
        <f ca="1">IFERROR(__xludf.DUMMYFUNCTION("""COMPUTED_VALUE"""),"65a23710")</f>
        <v>65a23710</v>
      </c>
      <c r="CD312" s="29" t="str">
        <f ca="1">IFERROR(__xludf.DUMMYFUNCTION("""COMPUTED_VALUE"""),"Adolescentes (13 a 17 años)")</f>
        <v>Adolescentes (13 a 17 años)</v>
      </c>
      <c r="CE312" s="30" t="str">
        <f ca="1">IFERROR(__xludf.DUMMYFUNCTION("""COMPUTED_VALUE"""),"Dato global")</f>
        <v>Dato global</v>
      </c>
      <c r="CF312" s="30" t="str">
        <f ca="1">IFERROR(__xludf.DUMMYFUNCTION("""COMPUTED_VALUE"""),"Ninguno (Población General)")</f>
        <v>Ninguno (Población General)</v>
      </c>
      <c r="CG312" s="30">
        <f ca="1">IFERROR(__xludf.DUMMYFUNCTION("""COMPUTED_VALUE"""),15)</f>
        <v>15</v>
      </c>
      <c r="CJ312" s="29"/>
      <c r="CM312" s="30" t="str">
        <f ca="1">IFERROR(__xludf.DUMMYFUNCTION("""COMPUTED_VALUE"""),"Guanajuato")</f>
        <v>Guanajuato</v>
      </c>
      <c r="CN312" s="32" t="e">
        <f ca="1"/>
        <v>#NAME?</v>
      </c>
      <c r="CO312" s="32" t="e">
        <f ca="1"/>
        <v>#NAME?</v>
      </c>
      <c r="CP312" s="32" t="e">
        <f ca="1"/>
        <v>#NAME?</v>
      </c>
      <c r="CQ312" s="32" t="e">
        <f ca="1"/>
        <v>#NAME?</v>
      </c>
      <c r="CR312" s="30" t="e">
        <f ca="1"/>
        <v>#NAME?</v>
      </c>
      <c r="CS312" s="30" t="str">
        <f ca="1">IFERROR(__xludf.DUMMYFUNCTION("""COMPUTED_VALUE"""),"NNA (Niñas, Niños y Adolescentes)")</f>
        <v>NNA (Niñas, Niños y Adolescentes)</v>
      </c>
    </row>
    <row r="313" spans="1:97" ht="13">
      <c r="A313" s="29" t="str">
        <f ca="1">IFERROR(__xludf.DUMMYFUNCTION("""COMPUTED_VALUE"""),"ACT-SCAX15944")</f>
        <v>ACT-SCAX15944</v>
      </c>
      <c r="B313" s="30" t="str">
        <f ca="1">IFERROR(__xludf.DUMMYFUNCTION("""COMPUTED_VALUE"""),"SC-260820-183419")</f>
        <v>SC-260820-183419</v>
      </c>
      <c r="C313" s="62">
        <f ca="1">IFERROR(__xludf.DUMMYFUNCTION("""COMPUTED_VALUE"""),46254.7738310185)</f>
        <v>46254.773831018501</v>
      </c>
      <c r="D313" s="30">
        <f ca="1">IFERROR(__xludf.DUMMYFUNCTION("""COMPUTED_VALUE"""),92)</f>
        <v>92</v>
      </c>
      <c r="E313" s="30" t="str">
        <f ca="1">IFERROR(__xludf.DUMMYFUNCTION("""COMPUTED_VALUE"""),"PB3572")</f>
        <v>PB3572</v>
      </c>
      <c r="F31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3" s="30" t="str">
        <f ca="1">IFERROR(__xludf.DUMMYFUNCTION("""COMPUTED_VALUE"""),"SUBSECRETARÍA DE DESARROLLO Y PROMOCIÓN ARTÍSTICA Y CULTURAL")</f>
        <v>SUBSECRETARÍA DE DESARROLLO Y PROMOCIÓN ARTÍSTICA Y CULTURAL</v>
      </c>
      <c r="I313" s="34" t="str">
        <f ca="1">IFERROR(__xludf.DUMMYFUNCTION("""COMPUTED_VALUE"""),"DIRECCIÓN GENERAL DE MUSEOS, ARTES VISUALES Y EXPOSICIONES")</f>
        <v>DIRECCIÓN GENERAL DE MUSEOS, ARTES VISUALES Y EXPOSICIONES</v>
      </c>
      <c r="J313" s="30" t="str">
        <f ca="1">IFERROR(__xludf.DUMMYFUNCTION("""COMPUTED_VALUE"""),"Número de Actividades realizadas")</f>
        <v>Número de Actividades realizadas</v>
      </c>
      <c r="K313" s="30">
        <f ca="1">IFERROR(__xludf.DUMMYFUNCTION("""COMPUTED_VALUE"""),800)</f>
        <v>800</v>
      </c>
      <c r="L313" s="30" t="str">
        <f ca="1">IFERROR(__xludf.DUMMYFUNCTION("""COMPUTED_VALUE"""),"Artística")</f>
        <v>Artística</v>
      </c>
      <c r="M313" s="30" t="str">
        <f ca="1">IFERROR(__xludf.DUMMYFUNCTION("""COMPUTED_VALUE"""),"Talleres familiares de verano: Realismo mágico en Cianotipia")</f>
        <v>Talleres familiares de verano: Realismo mágico en Cianotipia</v>
      </c>
      <c r="N313" s="30" t="str">
        <f ca="1">IFERROR(__xludf.DUMMYFUNCTION("""COMPUTED_VALUE"""),"A través de la técnica de cianotipia, las familias crearán imágenes únicas utilizando elementos naturales y objetos cotidianos.")</f>
        <v>A través de la técnica de cianotipia, las familias crearán imágenes únicas utilizando elementos naturales y objetos cotidianos.</v>
      </c>
      <c r="O313" s="30" t="str">
        <f ca="1">IFERROR(__xludf.DUMMYFUNCTION("""COMPUTED_VALUE"""),"Única")</f>
        <v>Única</v>
      </c>
      <c r="P313" s="33">
        <f ca="1">IFERROR(__xludf.DUMMYFUNCTION("""COMPUTED_VALUE"""),46228)</f>
        <v>46228</v>
      </c>
      <c r="Q313" s="33">
        <f ca="1">IFERROR(__xludf.DUMMYFUNCTION("""COMPUTED_VALUE"""),46228)</f>
        <v>46228</v>
      </c>
      <c r="R313" s="30">
        <f ca="1">IFERROR(__xludf.DUMMYFUNCTION("""COMPUTED_VALUE"""),1)</f>
        <v>1</v>
      </c>
      <c r="S313" s="30" t="str">
        <f ca="1">IFERROR(__xludf.DUMMYFUNCTION("""COMPUTED_VALUE"""),"Artes visuales")</f>
        <v>Artes visuales</v>
      </c>
      <c r="T313" s="30" t="str">
        <f ca="1">IFERROR(__xludf.DUMMYFUNCTION("""COMPUTED_VALUE"""),"Fotografía")</f>
        <v>Fotografía</v>
      </c>
      <c r="U313" s="30" t="str">
        <f ca="1">IFERROR(__xludf.DUMMYFUNCTION("""COMPUTED_VALUE"""),"Taller")</f>
        <v>Taller</v>
      </c>
      <c r="V313" s="30" t="str">
        <f ca="1">IFERROR(__xludf.DUMMYFUNCTION("""COMPUTED_VALUE"""),"Ninguna")</f>
        <v>Ninguna</v>
      </c>
      <c r="W313" s="30" t="str">
        <f ca="1">IFERROR(__xludf.DUMMYFUNCTION("""COMPUTED_VALUE"""),"Presencial")</f>
        <v>Presencial</v>
      </c>
      <c r="X313" s="30" t="str">
        <f ca="1">IFERROR(__xludf.DUMMYFUNCTION("""COMPUTED_VALUE"""),"Espacio a Cargo de la Secretaría")</f>
        <v>Espacio a Cargo de la Secretaría</v>
      </c>
      <c r="Y313" s="30" t="str">
        <f ca="1">IFERROR(__xludf.DUMMYFUNCTION("""COMPUTED_VALUE"""),"Museo Casa Diego Rivera")</f>
        <v>Museo Casa Diego Rivera</v>
      </c>
      <c r="Z313" s="30"/>
      <c r="AA313" s="30"/>
      <c r="AB313" s="30" t="b">
        <f ca="1">IFERROR(__xludf.DUMMYFUNCTION("""COMPUTED_VALUE"""),FALSE)</f>
        <v>0</v>
      </c>
      <c r="AC313" s="30"/>
      <c r="AD313" s="30" t="b">
        <f ca="1">IFERROR(__xludf.DUMMYFUNCTION("""COMPUTED_VALUE"""),FALSE)</f>
        <v>0</v>
      </c>
      <c r="AE313" s="30"/>
      <c r="AF313" s="30" t="b">
        <f ca="1">IFERROR(__xludf.DUMMYFUNCTION("""COMPUTED_VALUE"""),FALSE)</f>
        <v>0</v>
      </c>
      <c r="AG313" s="30"/>
      <c r="AH313" s="30" t="str">
        <f ca="1">IFERROR(__xludf.DUMMYFUNCTION("""COMPUTED_VALUE"""),"Sin costo")</f>
        <v>Sin costo</v>
      </c>
      <c r="AI313" s="30"/>
      <c r="AJ313" s="30"/>
      <c r="AK313" s="30"/>
      <c r="AL313" s="30" t="str">
        <f ca="1">IFERROR(__xludf.DUMMYFUNCTION("""COMPUTED_VALUE"""),"ccardonav@guanajuato.gob.mx")</f>
        <v>ccardonav@guanajuato.gob.mx</v>
      </c>
      <c r="AM313" s="30" t="str">
        <f ca="1">IFERROR(__xludf.DUMMYFUNCTION("""COMPUTED_VALUE"""),"Arraigo y empoderamiento cultural de comunidades.")</f>
        <v>Arraigo y empoderamiento cultural de comunidades.</v>
      </c>
      <c r="AN313" s="30" t="str">
        <f ca="1">IFERROR(__xludf.DUMMYFUNCTION("""COMPUTED_VALUE"""),"1 Tranquilidad")</f>
        <v>1 Tranquilidad</v>
      </c>
      <c r="AO313" s="30" t="str">
        <f ca="1">IFERROR(__xludf.DUMMYFUNCTION("""COMPUTED_VALUE"""),"1.2 Fortalecer prevención del delito")</f>
        <v>1.2 Fortalecer prevención del delito</v>
      </c>
      <c r="AP313" s="30" t="str">
        <f ca="1">IFERROR(__xludf.DUMMYFUNCTION("""COMPUTED_VALUE"""),"1.2.2 Fortalecimiento del tejido social")</f>
        <v>1.2.2 Fortalecimiento del tejido social</v>
      </c>
      <c r="AQ313" s="30" t="str">
        <f ca="1">IFERROR(__xludf.DUMMYFUNCTION("""COMPUTED_VALUE"""),"1.2.3.4 Promover una cultura de paz desde las expresiones artísticas y culturales")</f>
        <v>1.2.3.4 Promover una cultura de paz desde las expresiones artísticas y culturales</v>
      </c>
      <c r="AR313" s="30" t="str">
        <f ca="1">IFERROR(__xludf.DUMMYFUNCTION("""COMPUTED_VALUE"""),"Inclusión")</f>
        <v>Inclusión</v>
      </c>
      <c r="AS313" s="30" t="str">
        <f ca="1">IFERROR(__xludf.DUMMYFUNCTION("""COMPUTED_VALUE"""),"NNA (Niñas, Niños y Adolescentes)")</f>
        <v>NNA (Niñas, Niños y Adolescentes)</v>
      </c>
      <c r="AT313" s="30" t="str">
        <f ca="1">IFERROR(__xludf.DUMMYFUNCTION("""COMPUTED_VALUE"""),"Fortalecimiento de la participación ciudadana y la mediación cultural")</f>
        <v>Fortalecimiento de la participación ciudadana y la mediación cultural</v>
      </c>
      <c r="AU313" s="30" t="str">
        <f ca="1">IFERROR(__xludf.DUMMYFUNCTION("""COMPUTED_VALUE"""),"Impulso a la ampliación de la oferta cultural en los territorios.")</f>
        <v>Impulso a la ampliación de la oferta cultural en los territorios.</v>
      </c>
      <c r="AV31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3" s="30" t="str">
        <f ca="1">IFERROR(__xludf.DUMMYFUNCTION("""COMPUTED_VALUE"""),"Incrementar en 25% la oferta cultural realizada en los municipios.")</f>
        <v>Incrementar en 25% la oferta cultural realizada en los municipios.</v>
      </c>
      <c r="AX313" s="30" t="str">
        <f ca="1">IFERROR(__xludf.DUMMYFUNCTION("""COMPUTED_VALUE"""),"Taller")</f>
        <v>Taller</v>
      </c>
      <c r="AY313" s="30" t="str">
        <f ca="1">IFERROR(__xludf.DUMMYFUNCTION("""COMPUTED_VALUE"""),"Formación")</f>
        <v>Formación</v>
      </c>
      <c r="AZ313" s="30"/>
      <c r="BA313" s="30"/>
      <c r="BB313" s="30"/>
      <c r="BC313" s="30">
        <f ca="1">IFERROR(__xludf.DUMMYFUNCTION("""COMPUTED_VALUE"""),0)</f>
        <v>0</v>
      </c>
      <c r="BD313" s="30"/>
      <c r="BE313" s="30"/>
      <c r="BF313" s="30" t="b">
        <f ca="1">IFERROR(__xludf.DUMMYFUNCTION("""COMPUTED_VALUE"""),FALSE)</f>
        <v>0</v>
      </c>
      <c r="BG313" s="30"/>
      <c r="BH313" s="30"/>
      <c r="BI313" s="30"/>
      <c r="BJ313" s="30"/>
      <c r="BK313" s="30"/>
      <c r="BL313" s="30"/>
      <c r="BM313" s="30" t="str">
        <f ca="1">IFERROR(__xludf.DUMMYFUNCTION("""COMPUTED_VALUE"""),"No")</f>
        <v>No</v>
      </c>
      <c r="BN313" s="30"/>
      <c r="BO313" s="30" t="str">
        <f ca="1">IFERROR(__xludf.DUMMYFUNCTION("""COMPUTED_VALUE"""),"60c1efc7")</f>
        <v>60c1efc7</v>
      </c>
      <c r="BP313" s="29" t="str">
        <f ca="1">IFERROR(__xludf.DUMMYFUNCTION("""COMPUTED_VALUE"""),"Guanajuato")</f>
        <v>Guanajuato</v>
      </c>
      <c r="BQ313" s="30" t="str">
        <f ca="1">IFERROR(__xludf.DUMMYFUNCTION("""COMPUTED_VALUE"""),"Urbano")</f>
        <v>Urbano</v>
      </c>
      <c r="BR313" s="30"/>
      <c r="BS313" s="30"/>
      <c r="BT313" s="30"/>
      <c r="BU313" s="30" t="str">
        <f ca="1">IFERROR(__xludf.DUMMYFUNCTION("""COMPUTED_VALUE"""),"No")</f>
        <v>No</v>
      </c>
      <c r="BV313" s="30" t="str">
        <f ca="1">IFERROR(__xludf.DUMMYFUNCTION("""COMPUTED_VALUE"""),"No")</f>
        <v>No</v>
      </c>
      <c r="BW313" s="30">
        <f ca="1">IFERROR(__xludf.DUMMYFUNCTION("""COMPUTED_VALUE"""),31)</f>
        <v>31</v>
      </c>
      <c r="BX313" s="30">
        <f ca="1">IFERROR(__xludf.DUMMYFUNCTION("""COMPUTED_VALUE"""),31)</f>
        <v>31</v>
      </c>
      <c r="BY313" s="30">
        <f ca="1">IFERROR(__xludf.DUMMYFUNCTION("""COMPUTED_VALUE"""),0)</f>
        <v>0</v>
      </c>
      <c r="BZ313" s="30"/>
      <c r="CA313" s="30" t="str">
        <f ca="1">IFERROR(__xludf.DUMMYFUNCTION("""COMPUTED_VALUE"""),"No")</f>
        <v>No</v>
      </c>
      <c r="CB313" s="30" t="str">
        <f ca="1">IFERROR(__xludf.DUMMYFUNCTION("""COMPUTED_VALUE"""),"No")</f>
        <v>No</v>
      </c>
      <c r="CC313" s="30" t="str">
        <f ca="1">IFERROR(__xludf.DUMMYFUNCTION("""COMPUTED_VALUE"""),"bafe20c3")</f>
        <v>bafe20c3</v>
      </c>
      <c r="CD313" s="29" t="str">
        <f ca="1">IFERROR(__xludf.DUMMYFUNCTION("""COMPUTED_VALUE"""),"Adultos (30 a 59 años)")</f>
        <v>Adultos (30 a 59 años)</v>
      </c>
      <c r="CE313" s="30" t="str">
        <f ca="1">IFERROR(__xludf.DUMMYFUNCTION("""COMPUTED_VALUE"""),"Dato global")</f>
        <v>Dato global</v>
      </c>
      <c r="CF313" s="30" t="str">
        <f ca="1">IFERROR(__xludf.DUMMYFUNCTION("""COMPUTED_VALUE"""),"Ninguno (Población General)")</f>
        <v>Ninguno (Población General)</v>
      </c>
      <c r="CG313" s="30">
        <f ca="1">IFERROR(__xludf.DUMMYFUNCTION("""COMPUTED_VALUE"""),180)</f>
        <v>180</v>
      </c>
      <c r="CJ313" s="29"/>
      <c r="CM313" s="30" t="str">
        <f ca="1">IFERROR(__xludf.DUMMYFUNCTION("""COMPUTED_VALUE"""),"Guanajuato")</f>
        <v>Guanajuato</v>
      </c>
      <c r="CN313" s="32" t="e">
        <f ca="1"/>
        <v>#NAME?</v>
      </c>
      <c r="CO313" s="32" t="e">
        <f ca="1"/>
        <v>#NAME?</v>
      </c>
      <c r="CP313" s="32" t="e">
        <f ca="1"/>
        <v>#NAME?</v>
      </c>
      <c r="CQ313" s="32" t="e">
        <f ca="1"/>
        <v>#NAME?</v>
      </c>
      <c r="CR313" s="30" t="e">
        <f ca="1"/>
        <v>#NAME?</v>
      </c>
      <c r="CS313" s="30" t="str">
        <f ca="1">IFERROR(__xludf.DUMMYFUNCTION("""COMPUTED_VALUE"""),"NNA (Niñas, Niños y Adolescentes)")</f>
        <v>NNA (Niñas, Niños y Adolescentes)</v>
      </c>
    </row>
    <row r="314" spans="1:97" ht="13">
      <c r="A314" s="29" t="str">
        <f ca="1">IFERROR(__xludf.DUMMYFUNCTION("""COMPUTED_VALUE"""),"ACT-SCLB87432")</f>
        <v>ACT-SCLB87432</v>
      </c>
      <c r="B314" s="30" t="str">
        <f ca="1">IFERROR(__xludf.DUMMYFUNCTION("""COMPUTED_VALUE"""),"SC-260820-184347")</f>
        <v>SC-260820-184347</v>
      </c>
      <c r="C314" s="62">
        <f ca="1">IFERROR(__xludf.DUMMYFUNCTION("""COMPUTED_VALUE"""),46254.7804050925)</f>
        <v>46254.780405092497</v>
      </c>
      <c r="D314" s="30">
        <f ca="1">IFERROR(__xludf.DUMMYFUNCTION("""COMPUTED_VALUE"""),92)</f>
        <v>92</v>
      </c>
      <c r="E314" s="30" t="str">
        <f ca="1">IFERROR(__xludf.DUMMYFUNCTION("""COMPUTED_VALUE"""),"PB3572")</f>
        <v>PB3572</v>
      </c>
      <c r="F31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4" s="30" t="str">
        <f ca="1">IFERROR(__xludf.DUMMYFUNCTION("""COMPUTED_VALUE"""),"SUBSECRETARÍA DE DESARROLLO Y PROMOCIÓN ARTÍSTICA Y CULTURAL")</f>
        <v>SUBSECRETARÍA DE DESARROLLO Y PROMOCIÓN ARTÍSTICA Y CULTURAL</v>
      </c>
      <c r="I314" s="34" t="str">
        <f ca="1">IFERROR(__xludf.DUMMYFUNCTION("""COMPUTED_VALUE"""),"DIRECCIÓN GENERAL DE MUSEOS, ARTES VISUALES Y EXPOSICIONES")</f>
        <v>DIRECCIÓN GENERAL DE MUSEOS, ARTES VISUALES Y EXPOSICIONES</v>
      </c>
      <c r="J314" s="30" t="str">
        <f ca="1">IFERROR(__xludf.DUMMYFUNCTION("""COMPUTED_VALUE"""),"Número de Actividades realizadas")</f>
        <v>Número de Actividades realizadas</v>
      </c>
      <c r="K314" s="30">
        <f ca="1">IFERROR(__xludf.DUMMYFUNCTION("""COMPUTED_VALUE"""),800)</f>
        <v>800</v>
      </c>
      <c r="L314" s="30" t="str">
        <f ca="1">IFERROR(__xludf.DUMMYFUNCTION("""COMPUTED_VALUE"""),"Cultural")</f>
        <v>Cultural</v>
      </c>
      <c r="M314" s="30" t="str">
        <f ca="1">IFERROR(__xludf.DUMMYFUNCTION("""COMPUTED_VALUE"""),"Circulo de lectura")</f>
        <v>Circulo de lectura</v>
      </c>
      <c r="N314" s="30" t="str">
        <f ca="1">IFERROR(__xludf.DUMMYFUNCTION("""COMPUTED_VALUE"""),"Circulo de lectura")</f>
        <v>Circulo de lectura</v>
      </c>
      <c r="O314" s="30" t="str">
        <f ca="1">IFERROR(__xludf.DUMMYFUNCTION("""COMPUTED_VALUE"""),"Única")</f>
        <v>Única</v>
      </c>
      <c r="P314" s="33">
        <f ca="1">IFERROR(__xludf.DUMMYFUNCTION("""COMPUTED_VALUE"""),46228)</f>
        <v>46228</v>
      </c>
      <c r="Q314" s="33">
        <f ca="1">IFERROR(__xludf.DUMMYFUNCTION("""COMPUTED_VALUE"""),46228)</f>
        <v>46228</v>
      </c>
      <c r="R314" s="30">
        <f ca="1">IFERROR(__xludf.DUMMYFUNCTION("""COMPUTED_VALUE"""),1)</f>
        <v>1</v>
      </c>
      <c r="S314" s="30" t="str">
        <f ca="1">IFERROR(__xludf.DUMMYFUNCTION("""COMPUTED_VALUE"""),"Literatura")</f>
        <v>Literatura</v>
      </c>
      <c r="T314" s="30" t="str">
        <f ca="1">IFERROR(__xludf.DUMMYFUNCTION("""COMPUTED_VALUE"""),"Fomento a la lectura")</f>
        <v>Fomento a la lectura</v>
      </c>
      <c r="U314" s="30" t="str">
        <f ca="1">IFERROR(__xludf.DUMMYFUNCTION("""COMPUTED_VALUE"""),"Programación cultural en espacio público")</f>
        <v>Programación cultural en espacio público</v>
      </c>
      <c r="V314" s="30" t="str">
        <f ca="1">IFERROR(__xludf.DUMMYFUNCTION("""COMPUTED_VALUE"""),"Ninguna")</f>
        <v>Ninguna</v>
      </c>
      <c r="W314" s="30" t="str">
        <f ca="1">IFERROR(__xludf.DUMMYFUNCTION("""COMPUTED_VALUE"""),"Presencial")</f>
        <v>Presencial</v>
      </c>
      <c r="X314" s="30" t="str">
        <f ca="1">IFERROR(__xludf.DUMMYFUNCTION("""COMPUTED_VALUE"""),"Espacio a Cargo de la Secretaría")</f>
        <v>Espacio a Cargo de la Secretaría</v>
      </c>
      <c r="Y314" s="30" t="str">
        <f ca="1">IFERROR(__xludf.DUMMYFUNCTION("""COMPUTED_VALUE"""),"Museo José y Tomas Chavez Morado")</f>
        <v>Museo José y Tomas Chavez Morado</v>
      </c>
      <c r="Z314" s="30"/>
      <c r="AA314" s="30"/>
      <c r="AB314" s="30" t="b">
        <f ca="1">IFERROR(__xludf.DUMMYFUNCTION("""COMPUTED_VALUE"""),FALSE)</f>
        <v>0</v>
      </c>
      <c r="AC314" s="30"/>
      <c r="AD314" s="30" t="b">
        <f ca="1">IFERROR(__xludf.DUMMYFUNCTION("""COMPUTED_VALUE"""),FALSE)</f>
        <v>0</v>
      </c>
      <c r="AE314" s="30"/>
      <c r="AF314" s="30" t="b">
        <f ca="1">IFERROR(__xludf.DUMMYFUNCTION("""COMPUTED_VALUE"""),FALSE)</f>
        <v>0</v>
      </c>
      <c r="AG314" s="30"/>
      <c r="AH314" s="30" t="str">
        <f ca="1">IFERROR(__xludf.DUMMYFUNCTION("""COMPUTED_VALUE"""),"Sin costo")</f>
        <v>Sin costo</v>
      </c>
      <c r="AI314" s="30"/>
      <c r="AJ314" s="30"/>
      <c r="AK314" s="30"/>
      <c r="AL314" s="30" t="str">
        <f ca="1">IFERROR(__xludf.DUMMYFUNCTION("""COMPUTED_VALUE"""),"ccardonav@guanajuato.gob.mx")</f>
        <v>ccardonav@guanajuato.gob.mx</v>
      </c>
      <c r="AM314" s="30" t="str">
        <f ca="1">IFERROR(__xludf.DUMMYFUNCTION("""COMPUTED_VALUE"""),"Leer para crecer.")</f>
        <v>Leer para crecer.</v>
      </c>
      <c r="AN314" s="30" t="str">
        <f ca="1">IFERROR(__xludf.DUMMYFUNCTION("""COMPUTED_VALUE"""),"1 Tranquilidad")</f>
        <v>1 Tranquilidad</v>
      </c>
      <c r="AO314" s="30" t="str">
        <f ca="1">IFERROR(__xludf.DUMMYFUNCTION("""COMPUTED_VALUE"""),"1.2 Fortalecer prevención del delito")</f>
        <v>1.2 Fortalecer prevención del delito</v>
      </c>
      <c r="AP314" s="30" t="str">
        <f ca="1">IFERROR(__xludf.DUMMYFUNCTION("""COMPUTED_VALUE"""),"1.2.2 Fortalecimiento del tejido social")</f>
        <v>1.2.2 Fortalecimiento del tejido social</v>
      </c>
      <c r="AQ314" s="30" t="str">
        <f ca="1">IFERROR(__xludf.DUMMYFUNCTION("""COMPUTED_VALUE"""),"1.2.3.4 Promover una cultura de paz desde las expresiones artísticas y culturales")</f>
        <v>1.2.3.4 Promover una cultura de paz desde las expresiones artísticas y culturales</v>
      </c>
      <c r="AR314" s="30" t="str">
        <f ca="1">IFERROR(__xludf.DUMMYFUNCTION("""COMPUTED_VALUE"""),"Inclusión")</f>
        <v>Inclusión</v>
      </c>
      <c r="AS314" s="30" t="str">
        <f ca="1">IFERROR(__xludf.DUMMYFUNCTION("""COMPUTED_VALUE"""),"Ninguno (Población General)")</f>
        <v>Ninguno (Población General)</v>
      </c>
      <c r="AT314" s="30" t="str">
        <f ca="1">IFERROR(__xludf.DUMMYFUNCTION("""COMPUTED_VALUE"""),"Sostenibilidad del trabajo cultural y la economía creativa.")</f>
        <v>Sostenibilidad del trabajo cultural y la economía creativa.</v>
      </c>
      <c r="AU314"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314" s="30" t="str">
        <f ca="1">IFERROR(__xludf.DUMMYFUNCTION("""COMPUTED_VALUE"""),"Diseñar programas de formación y gestión cultural de base comunitaria.")</f>
        <v>Diseñar programas de formación y gestión cultural de base comunitaria.</v>
      </c>
      <c r="AW314"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314" s="30" t="str">
        <f ca="1">IFERROR(__xludf.DUMMYFUNCTION("""COMPUTED_VALUE"""),"Campaña de difusión cultural")</f>
        <v>Campaña de difusión cultural</v>
      </c>
      <c r="AY314" s="30" t="str">
        <f ca="1">IFERROR(__xludf.DUMMYFUNCTION("""COMPUTED_VALUE"""),"Circulación / Exhibición")</f>
        <v>Circulación / Exhibición</v>
      </c>
      <c r="AZ314" s="30"/>
      <c r="BA314" s="30"/>
      <c r="BB314" s="30"/>
      <c r="BC314" s="30">
        <f ca="1">IFERROR(__xludf.DUMMYFUNCTION("""COMPUTED_VALUE"""),0)</f>
        <v>0</v>
      </c>
      <c r="BD314" s="30"/>
      <c r="BE314" s="30"/>
      <c r="BF314" s="30" t="b">
        <f ca="1">IFERROR(__xludf.DUMMYFUNCTION("""COMPUTED_VALUE"""),FALSE)</f>
        <v>0</v>
      </c>
      <c r="BG314" s="30"/>
      <c r="BH314" s="30"/>
      <c r="BI314" s="30"/>
      <c r="BJ314" s="30"/>
      <c r="BK314" s="30"/>
      <c r="BL314" s="30" t="str">
        <f ca="1">IFERROR(__xludf.DUMMYFUNCTION("""COMPUTED_VALUE"""),"N/A")</f>
        <v>N/A</v>
      </c>
      <c r="BM314" s="30" t="str">
        <f ca="1">IFERROR(__xludf.DUMMYFUNCTION("""COMPUTED_VALUE"""),"Sí")</f>
        <v>Sí</v>
      </c>
      <c r="BN314" s="30" t="str">
        <f ca="1">IFERROR(__xludf.DUMMYFUNCTION("""COMPUTED_VALUE"""),"Acompañamiento Técnico")</f>
        <v>Acompañamiento Técnico</v>
      </c>
      <c r="BO314" s="30" t="str">
        <f ca="1">IFERROR(__xludf.DUMMYFUNCTION("""COMPUTED_VALUE"""),"f89db9f9")</f>
        <v>f89db9f9</v>
      </c>
      <c r="BP314" s="29" t="str">
        <f ca="1">IFERROR(__xludf.DUMMYFUNCTION("""COMPUTED_VALUE"""),"Guanajuato")</f>
        <v>Guanajuato</v>
      </c>
      <c r="BQ314" s="30" t="str">
        <f ca="1">IFERROR(__xludf.DUMMYFUNCTION("""COMPUTED_VALUE"""),"Urbano")</f>
        <v>Urbano</v>
      </c>
      <c r="BR314" s="30"/>
      <c r="BS314" s="30"/>
      <c r="BT314" s="30"/>
      <c r="BU314" s="30" t="str">
        <f ca="1">IFERROR(__xludf.DUMMYFUNCTION("""COMPUTED_VALUE"""),"No")</f>
        <v>No</v>
      </c>
      <c r="BV314" s="30" t="str">
        <f ca="1">IFERROR(__xludf.DUMMYFUNCTION("""COMPUTED_VALUE"""),"No")</f>
        <v>No</v>
      </c>
      <c r="BW314" s="30">
        <f ca="1">IFERROR(__xludf.DUMMYFUNCTION("""COMPUTED_VALUE"""),9)</f>
        <v>9</v>
      </c>
      <c r="BX314" s="30">
        <f ca="1">IFERROR(__xludf.DUMMYFUNCTION("""COMPUTED_VALUE"""),9)</f>
        <v>9</v>
      </c>
      <c r="BY314" s="30">
        <f ca="1">IFERROR(__xludf.DUMMYFUNCTION("""COMPUTED_VALUE"""),0)</f>
        <v>0</v>
      </c>
      <c r="BZ314" s="30"/>
      <c r="CA314" s="30" t="str">
        <f ca="1">IFERROR(__xludf.DUMMYFUNCTION("""COMPUTED_VALUE"""),"No")</f>
        <v>No</v>
      </c>
      <c r="CB314" s="30" t="str">
        <f ca="1">IFERROR(__xludf.DUMMYFUNCTION("""COMPUTED_VALUE"""),"No")</f>
        <v>No</v>
      </c>
      <c r="CC314" s="30" t="str">
        <f ca="1">IFERROR(__xludf.DUMMYFUNCTION("""COMPUTED_VALUE"""),"36b853e9")</f>
        <v>36b853e9</v>
      </c>
      <c r="CD314" s="29" t="str">
        <f ca="1">IFERROR(__xludf.DUMMYFUNCTION("""COMPUTED_VALUE"""),"Adultos Mayores (60 años o más)")</f>
        <v>Adultos Mayores (60 años o más)</v>
      </c>
      <c r="CE314" s="30" t="str">
        <f ca="1">IFERROR(__xludf.DUMMYFUNCTION("""COMPUTED_VALUE"""),"Dato global")</f>
        <v>Dato global</v>
      </c>
      <c r="CF314" s="30" t="str">
        <f ca="1">IFERROR(__xludf.DUMMYFUNCTION("""COMPUTED_VALUE"""),"Ninguno (Población General)")</f>
        <v>Ninguno (Población General)</v>
      </c>
      <c r="CG314" s="30">
        <f ca="1">IFERROR(__xludf.DUMMYFUNCTION("""COMPUTED_VALUE"""),25)</f>
        <v>25</v>
      </c>
      <c r="CJ314" s="29"/>
      <c r="CM314" s="30" t="str">
        <f ca="1">IFERROR(__xludf.DUMMYFUNCTION("""COMPUTED_VALUE"""),"Guanajuato")</f>
        <v>Guanajuato</v>
      </c>
      <c r="CN314" s="32" t="e">
        <f ca="1"/>
        <v>#NAME?</v>
      </c>
      <c r="CO314" s="32" t="e">
        <f ca="1"/>
        <v>#NAME?</v>
      </c>
      <c r="CP314" s="32" t="e">
        <f ca="1"/>
        <v>#NAME?</v>
      </c>
      <c r="CQ314" s="32" t="e">
        <f ca="1"/>
        <v>#NAME?</v>
      </c>
      <c r="CR314" s="30" t="e">
        <f ca="1"/>
        <v>#NAME?</v>
      </c>
      <c r="CS314" s="30" t="str">
        <f ca="1">IFERROR(__xludf.DUMMYFUNCTION("""COMPUTED_VALUE"""),"NNA (Niñas, Niños y Adolescentes)")</f>
        <v>NNA (Niñas, Niños y Adolescentes)</v>
      </c>
    </row>
    <row r="315" spans="1:97" ht="13">
      <c r="A315" s="29" t="str">
        <f ca="1">IFERROR(__xludf.DUMMYFUNCTION("""COMPUTED_VALUE"""),"ACT-SCQN00282")</f>
        <v>ACT-SCQN00282</v>
      </c>
      <c r="B315" s="30" t="str">
        <f ca="1">IFERROR(__xludf.DUMMYFUNCTION("""COMPUTED_VALUE"""),"SC-260821-111858")</f>
        <v>SC-260821-111858</v>
      </c>
      <c r="C315" s="62">
        <f ca="1">IFERROR(__xludf.DUMMYFUNCTION("""COMPUTED_VALUE"""),46255.4715046296)</f>
        <v>46255.471504629597</v>
      </c>
      <c r="D315" s="30">
        <f ca="1">IFERROR(__xludf.DUMMYFUNCTION("""COMPUTED_VALUE"""),92)</f>
        <v>92</v>
      </c>
      <c r="E315" s="30" t="str">
        <f ca="1">IFERROR(__xludf.DUMMYFUNCTION("""COMPUTED_VALUE"""),"PB3572")</f>
        <v>PB3572</v>
      </c>
      <c r="F31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5" s="30" t="str">
        <f ca="1">IFERROR(__xludf.DUMMYFUNCTION("""COMPUTED_VALUE"""),"SUBSECRETARÍA DE DESARROLLO Y PROMOCIÓN ARTÍSTICA Y CULTURAL")</f>
        <v>SUBSECRETARÍA DE DESARROLLO Y PROMOCIÓN ARTÍSTICA Y CULTURAL</v>
      </c>
      <c r="I315" s="34" t="str">
        <f ca="1">IFERROR(__xludf.DUMMYFUNCTION("""COMPUTED_VALUE"""),"DIRECCIÓN GENERAL DE MUSEOS, ARTES VISUALES Y EXPOSICIONES")</f>
        <v>DIRECCIÓN GENERAL DE MUSEOS, ARTES VISUALES Y EXPOSICIONES</v>
      </c>
      <c r="J315" s="30" t="str">
        <f ca="1">IFERROR(__xludf.DUMMYFUNCTION("""COMPUTED_VALUE"""),"Número de Actividades realizadas")</f>
        <v>Número de Actividades realizadas</v>
      </c>
      <c r="K315" s="30">
        <f ca="1">IFERROR(__xludf.DUMMYFUNCTION("""COMPUTED_VALUE"""),800)</f>
        <v>800</v>
      </c>
      <c r="L315" s="30" t="str">
        <f ca="1">IFERROR(__xludf.DUMMYFUNCTION("""COMPUTED_VALUE"""),"Artística")</f>
        <v>Artística</v>
      </c>
      <c r="M315" s="30" t="str">
        <f ca="1">IFERROR(__xludf.DUMMYFUNCTION("""COMPUTED_VALUE"""),"Danzón, patrimonio vivo, clases de baile.")</f>
        <v>Danzón, patrimonio vivo, clases de baile.</v>
      </c>
      <c r="N315" s="30" t="str">
        <f ca="1">IFERROR(__xludf.DUMMYFUNCTION("""COMPUTED_VALUE"""),"Sesiones guiadas de introducción al Danzón dentro del museo a cargo del Mtro. Juan Robles, director de Romance Danzonero.")</f>
        <v>Sesiones guiadas de introducción al Danzón dentro del museo a cargo del Mtro. Juan Robles, director de Romance Danzonero.</v>
      </c>
      <c r="O315" s="30" t="str">
        <f ca="1">IFERROR(__xludf.DUMMYFUNCTION("""COMPUTED_VALUE"""),"Única")</f>
        <v>Única</v>
      </c>
      <c r="P315" s="33">
        <f ca="1">IFERROR(__xludf.DUMMYFUNCTION("""COMPUTED_VALUE"""),46207)</f>
        <v>46207</v>
      </c>
      <c r="Q315" s="33">
        <f ca="1">IFERROR(__xludf.DUMMYFUNCTION("""COMPUTED_VALUE"""),46207)</f>
        <v>46207</v>
      </c>
      <c r="R315" s="30">
        <f ca="1">IFERROR(__xludf.DUMMYFUNCTION("""COMPUTED_VALUE"""),1)</f>
        <v>1</v>
      </c>
      <c r="S315" s="30" t="str">
        <f ca="1">IFERROR(__xludf.DUMMYFUNCTION("""COMPUTED_VALUE"""),"Artes escénicas")</f>
        <v>Artes escénicas</v>
      </c>
      <c r="T315" s="30" t="str">
        <f ca="1">IFERROR(__xludf.DUMMYFUNCTION("""COMPUTED_VALUE"""),"Danza tradicional")</f>
        <v>Danza tradicional</v>
      </c>
      <c r="U315" s="30" t="str">
        <f ca="1">IFERROR(__xludf.DUMMYFUNCTION("""COMPUTED_VALUE"""),"Taller")</f>
        <v>Taller</v>
      </c>
      <c r="V315" s="30" t="str">
        <f ca="1">IFERROR(__xludf.DUMMYFUNCTION("""COMPUTED_VALUE"""),"Ninguna")</f>
        <v>Ninguna</v>
      </c>
      <c r="W315" s="30" t="str">
        <f ca="1">IFERROR(__xludf.DUMMYFUNCTION("""COMPUTED_VALUE"""),"Presencial")</f>
        <v>Presencial</v>
      </c>
      <c r="X315" s="30" t="str">
        <f ca="1">IFERROR(__xludf.DUMMYFUNCTION("""COMPUTED_VALUE"""),"Espacio a Cargo de la Secretaría")</f>
        <v>Espacio a Cargo de la Secretaría</v>
      </c>
      <c r="Y315" s="30" t="str">
        <f ca="1">IFERROR(__xludf.DUMMYFUNCTION("""COMPUTED_VALUE"""),"Museo Palacio de los Poderes")</f>
        <v>Museo Palacio de los Poderes</v>
      </c>
      <c r="Z315" s="30"/>
      <c r="AA315" s="30"/>
      <c r="AB315" s="30" t="b">
        <f ca="1">IFERROR(__xludf.DUMMYFUNCTION("""COMPUTED_VALUE"""),FALSE)</f>
        <v>0</v>
      </c>
      <c r="AC315" s="30"/>
      <c r="AD315" s="30" t="b">
        <f ca="1">IFERROR(__xludf.DUMMYFUNCTION("""COMPUTED_VALUE"""),FALSE)</f>
        <v>0</v>
      </c>
      <c r="AE315" s="30"/>
      <c r="AF315" s="30" t="b">
        <f ca="1">IFERROR(__xludf.DUMMYFUNCTION("""COMPUTED_VALUE"""),FALSE)</f>
        <v>0</v>
      </c>
      <c r="AG315" s="30"/>
      <c r="AH315" s="30" t="str">
        <f ca="1">IFERROR(__xludf.DUMMYFUNCTION("""COMPUTED_VALUE"""),"Sin costo")</f>
        <v>Sin costo</v>
      </c>
      <c r="AI315" s="30"/>
      <c r="AJ315" s="30"/>
      <c r="AK315" s="30"/>
      <c r="AL315" s="30" t="str">
        <f ca="1">IFERROR(__xludf.DUMMYFUNCTION("""COMPUTED_VALUE"""),"ccardonav@guanajuato.gob.mx")</f>
        <v>ccardonav@guanajuato.gob.mx</v>
      </c>
      <c r="AM315" s="30" t="str">
        <f ca="1">IFERROR(__xludf.DUMMYFUNCTION("""COMPUTED_VALUE"""),"Arraigo y empoderamiento cultural de comunidades.")</f>
        <v>Arraigo y empoderamiento cultural de comunidades.</v>
      </c>
      <c r="AN315" s="30" t="str">
        <f ca="1">IFERROR(__xludf.DUMMYFUNCTION("""COMPUTED_VALUE"""),"1 Tranquilidad")</f>
        <v>1 Tranquilidad</v>
      </c>
      <c r="AO315" s="30" t="str">
        <f ca="1">IFERROR(__xludf.DUMMYFUNCTION("""COMPUTED_VALUE"""),"1.2 Fortalecer prevención del delito")</f>
        <v>1.2 Fortalecer prevención del delito</v>
      </c>
      <c r="AP315" s="30" t="str">
        <f ca="1">IFERROR(__xludf.DUMMYFUNCTION("""COMPUTED_VALUE"""),"1.2.2 Fortalecimiento del tejido social")</f>
        <v>1.2.2 Fortalecimiento del tejido social</v>
      </c>
      <c r="AQ315" s="30" t="str">
        <f ca="1">IFERROR(__xludf.DUMMYFUNCTION("""COMPUTED_VALUE"""),"1.2.3.4 Promover una cultura de paz desde las expresiones artísticas y culturales")</f>
        <v>1.2.3.4 Promover una cultura de paz desde las expresiones artísticas y culturales</v>
      </c>
      <c r="AR315" s="30" t="str">
        <f ca="1">IFERROR(__xludf.DUMMYFUNCTION("""COMPUTED_VALUE"""),"Cooperación")</f>
        <v>Cooperación</v>
      </c>
      <c r="AS315" s="30"/>
      <c r="AT315" s="30" t="str">
        <f ca="1">IFERROR(__xludf.DUMMYFUNCTION("""COMPUTED_VALUE"""),"Fortalecimiento de la participación ciudadana y la mediación cultural")</f>
        <v>Fortalecimiento de la participación ciudadana y la mediación cultural</v>
      </c>
      <c r="AU315" s="30" t="str">
        <f ca="1">IFERROR(__xludf.DUMMYFUNCTION("""COMPUTED_VALUE"""),"Impulso a la ampliación de la oferta cultural en los territorios.")</f>
        <v>Impulso a la ampliación de la oferta cultural en los territorios.</v>
      </c>
      <c r="AV31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5" s="30" t="str">
        <f ca="1">IFERROR(__xludf.DUMMYFUNCTION("""COMPUTED_VALUE"""),"Incrementar en 25% la oferta cultural realizada en los municipios.")</f>
        <v>Incrementar en 25% la oferta cultural realizada en los municipios.</v>
      </c>
      <c r="AX315" s="30" t="str">
        <f ca="1">IFERROR(__xludf.DUMMYFUNCTION("""COMPUTED_VALUE"""),"Taller")</f>
        <v>Taller</v>
      </c>
      <c r="AY315" s="30" t="str">
        <f ca="1">IFERROR(__xludf.DUMMYFUNCTION("""COMPUTED_VALUE"""),"Formación")</f>
        <v>Formación</v>
      </c>
      <c r="AZ315" s="30" t="str">
        <f ca="1">IFERROR(__xludf.DUMMYFUNCTION("""COMPUTED_VALUE"""),"Formación")</f>
        <v>Formación</v>
      </c>
      <c r="BA315" s="30"/>
      <c r="BB315" s="30"/>
      <c r="BC315" s="30">
        <f ca="1">IFERROR(__xludf.DUMMYFUNCTION("""COMPUTED_VALUE"""),0)</f>
        <v>0</v>
      </c>
      <c r="BD315" s="30"/>
      <c r="BE315" s="30"/>
      <c r="BF315" s="30" t="b">
        <f ca="1">IFERROR(__xludf.DUMMYFUNCTION("""COMPUTED_VALUE"""),FALSE)</f>
        <v>0</v>
      </c>
      <c r="BG315" s="30"/>
      <c r="BH315" s="30"/>
      <c r="BI315" s="30"/>
      <c r="BJ315" s="30"/>
      <c r="BK315" s="30"/>
      <c r="BL315" s="30"/>
      <c r="BM315" s="30" t="str">
        <f ca="1">IFERROR(__xludf.DUMMYFUNCTION("""COMPUTED_VALUE"""),"No")</f>
        <v>No</v>
      </c>
      <c r="BN315" s="30"/>
      <c r="BO315" s="30" t="str">
        <f ca="1">IFERROR(__xludf.DUMMYFUNCTION("""COMPUTED_VALUE"""),"822740a7")</f>
        <v>822740a7</v>
      </c>
      <c r="BP315" s="29" t="str">
        <f ca="1">IFERROR(__xludf.DUMMYFUNCTION("""COMPUTED_VALUE"""),"Guanajuato")</f>
        <v>Guanajuato</v>
      </c>
      <c r="BQ315" s="30" t="str">
        <f ca="1">IFERROR(__xludf.DUMMYFUNCTION("""COMPUTED_VALUE"""),"Urbano")</f>
        <v>Urbano</v>
      </c>
      <c r="BR315" s="30"/>
      <c r="BS315" s="30"/>
      <c r="BT315" s="30"/>
      <c r="BU315" s="30" t="str">
        <f ca="1">IFERROR(__xludf.DUMMYFUNCTION("""COMPUTED_VALUE"""),"No")</f>
        <v>No</v>
      </c>
      <c r="BV315" s="30" t="str">
        <f ca="1">IFERROR(__xludf.DUMMYFUNCTION("""COMPUTED_VALUE"""),"No")</f>
        <v>No</v>
      </c>
      <c r="BW315" s="30">
        <f ca="1">IFERROR(__xludf.DUMMYFUNCTION("""COMPUTED_VALUE"""),18)</f>
        <v>18</v>
      </c>
      <c r="BX315" s="30"/>
      <c r="BY315" s="30">
        <f ca="1">IFERROR(__xludf.DUMMYFUNCTION("""COMPUTED_VALUE"""),18)</f>
        <v>18</v>
      </c>
      <c r="BZ315" s="30"/>
      <c r="CA315" s="30" t="str">
        <f ca="1">IFERROR(__xludf.DUMMYFUNCTION("""COMPUTED_VALUE"""),"No")</f>
        <v>No</v>
      </c>
      <c r="CB315" s="30" t="str">
        <f ca="1">IFERROR(__xludf.DUMMYFUNCTION("""COMPUTED_VALUE"""),"No")</f>
        <v>No</v>
      </c>
      <c r="CC315" s="30" t="str">
        <f ca="1">IFERROR(__xludf.DUMMYFUNCTION("""COMPUTED_VALUE"""),"86dacc71")</f>
        <v>86dacc71</v>
      </c>
      <c r="CD315" s="29" t="str">
        <f ca="1">IFERROR(__xludf.DUMMYFUNCTION("""COMPUTED_VALUE"""),"Niñas y Niños (6 a 12 años)")</f>
        <v>Niñas y Niños (6 a 12 años)</v>
      </c>
      <c r="CE315" s="30" t="str">
        <f ca="1">IFERROR(__xludf.DUMMYFUNCTION("""COMPUTED_VALUE"""),"Dato global")</f>
        <v>Dato global</v>
      </c>
      <c r="CF315" s="30" t="str">
        <f ca="1">IFERROR(__xludf.DUMMYFUNCTION("""COMPUTED_VALUE"""),"Ninguno (Población General)")</f>
        <v>Ninguno (Población General)</v>
      </c>
      <c r="CG315" s="30">
        <f ca="1">IFERROR(__xludf.DUMMYFUNCTION("""COMPUTED_VALUE"""),55)</f>
        <v>55</v>
      </c>
      <c r="CJ315" s="29"/>
      <c r="CM315" s="30" t="str">
        <f ca="1">IFERROR(__xludf.DUMMYFUNCTION("""COMPUTED_VALUE"""),"Guanajuato")</f>
        <v>Guanajuato</v>
      </c>
      <c r="CN315" s="32" t="e">
        <f ca="1"/>
        <v>#NAME?</v>
      </c>
      <c r="CO315" s="32" t="e">
        <f ca="1"/>
        <v>#NAME?</v>
      </c>
      <c r="CP315" s="32" t="e">
        <f ca="1"/>
        <v>#NAME?</v>
      </c>
      <c r="CQ315" s="32" t="e">
        <f ca="1"/>
        <v>#NAME?</v>
      </c>
      <c r="CR315" s="30" t="e">
        <f ca="1"/>
        <v>#NAME?</v>
      </c>
      <c r="CS315" s="30" t="str">
        <f ca="1">IFERROR(__xludf.DUMMYFUNCTION("""COMPUTED_VALUE"""),"Ninguno (Población General)")</f>
        <v>Ninguno (Población General)</v>
      </c>
    </row>
    <row r="316" spans="1:97" ht="13">
      <c r="A316" s="29" t="str">
        <f ca="1">IFERROR(__xludf.DUMMYFUNCTION("""COMPUTED_VALUE"""),"ACT-SCHU10776")</f>
        <v>ACT-SCHU10776</v>
      </c>
      <c r="B316" s="30" t="str">
        <f ca="1">IFERROR(__xludf.DUMMYFUNCTION("""COMPUTED_VALUE"""),"SC-260821-112253")</f>
        <v>SC-260821-112253</v>
      </c>
      <c r="C316" s="62">
        <f ca="1">IFERROR(__xludf.DUMMYFUNCTION("""COMPUTED_VALUE"""),46255.474224537)</f>
        <v>46255.474224537</v>
      </c>
      <c r="D316" s="30">
        <f ca="1">IFERROR(__xludf.DUMMYFUNCTION("""COMPUTED_VALUE"""),92)</f>
        <v>92</v>
      </c>
      <c r="E316" s="30" t="str">
        <f ca="1">IFERROR(__xludf.DUMMYFUNCTION("""COMPUTED_VALUE"""),"PB3572")</f>
        <v>PB3572</v>
      </c>
      <c r="F31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6" s="30" t="str">
        <f ca="1">IFERROR(__xludf.DUMMYFUNCTION("""COMPUTED_VALUE"""),"SUBSECRETARÍA DE DESARROLLO Y PROMOCIÓN ARTÍSTICA Y CULTURAL")</f>
        <v>SUBSECRETARÍA DE DESARROLLO Y PROMOCIÓN ARTÍSTICA Y CULTURAL</v>
      </c>
      <c r="I316" s="34" t="str">
        <f ca="1">IFERROR(__xludf.DUMMYFUNCTION("""COMPUTED_VALUE"""),"DIRECCIÓN GENERAL DE MUSEOS, ARTES VISUALES Y EXPOSICIONES")</f>
        <v>DIRECCIÓN GENERAL DE MUSEOS, ARTES VISUALES Y EXPOSICIONES</v>
      </c>
      <c r="J316" s="30" t="str">
        <f ca="1">IFERROR(__xludf.DUMMYFUNCTION("""COMPUTED_VALUE"""),"Número de Actividades realizadas")</f>
        <v>Número de Actividades realizadas</v>
      </c>
      <c r="K316" s="30">
        <f ca="1">IFERROR(__xludf.DUMMYFUNCTION("""COMPUTED_VALUE"""),800)</f>
        <v>800</v>
      </c>
      <c r="L316" s="30" t="str">
        <f ca="1">IFERROR(__xludf.DUMMYFUNCTION("""COMPUTED_VALUE"""),"Artística")</f>
        <v>Artística</v>
      </c>
      <c r="M316" s="30" t="str">
        <f ca="1">IFERROR(__xludf.DUMMYFUNCTION("""COMPUTED_VALUE"""),"Recorrido guiado Casa Mata")</f>
        <v>Recorrido guiado Casa Mata</v>
      </c>
      <c r="N316" s="30" t="str">
        <f ca="1">IFERROR(__xludf.DUMMYFUNCTION("""COMPUTED_VALUE"""),"Recorrido guiado por el museo")</f>
        <v>Recorrido guiado por el museo</v>
      </c>
      <c r="O316" s="30" t="str">
        <f ca="1">IFERROR(__xludf.DUMMYFUNCTION("""COMPUTED_VALUE"""),"Única")</f>
        <v>Única</v>
      </c>
      <c r="P316" s="33">
        <f ca="1">IFERROR(__xludf.DUMMYFUNCTION("""COMPUTED_VALUE"""),46211)</f>
        <v>46211</v>
      </c>
      <c r="Q316" s="33">
        <f ca="1">IFERROR(__xludf.DUMMYFUNCTION("""COMPUTED_VALUE"""),46211)</f>
        <v>46211</v>
      </c>
      <c r="R316" s="30">
        <f ca="1">IFERROR(__xludf.DUMMYFUNCTION("""COMPUTED_VALUE"""),1)</f>
        <v>1</v>
      </c>
      <c r="S316" s="30" t="str">
        <f ca="1">IFERROR(__xludf.DUMMYFUNCTION("""COMPUTED_VALUE"""),"Cultura comunitaria")</f>
        <v>Cultura comunitaria</v>
      </c>
      <c r="T316" s="30" t="str">
        <f ca="1">IFERROR(__xludf.DUMMYFUNCTION("""COMPUTED_VALUE"""),"Formación comunitaria")</f>
        <v>Formación comunitaria</v>
      </c>
      <c r="U316" s="30" t="str">
        <f ca="1">IFERROR(__xludf.DUMMYFUNCTION("""COMPUTED_VALUE"""),"Visitas guiadas")</f>
        <v>Visitas guiadas</v>
      </c>
      <c r="V316" s="30" t="str">
        <f ca="1">IFERROR(__xludf.DUMMYFUNCTION("""COMPUTED_VALUE"""),"Ninguna")</f>
        <v>Ninguna</v>
      </c>
      <c r="W316" s="30" t="str">
        <f ca="1">IFERROR(__xludf.DUMMYFUNCTION("""COMPUTED_VALUE"""),"Presencial")</f>
        <v>Presencial</v>
      </c>
      <c r="X316" s="30" t="str">
        <f ca="1">IFERROR(__xludf.DUMMYFUNCTION("""COMPUTED_VALUE"""),"Espacio a Cargo de la Secretaría")</f>
        <v>Espacio a Cargo de la Secretaría</v>
      </c>
      <c r="Y316" s="30" t="str">
        <f ca="1">IFERROR(__xludf.DUMMYFUNCTION("""COMPUTED_VALUE"""),"Museo Casa Diego Rivera")</f>
        <v>Museo Casa Diego Rivera</v>
      </c>
      <c r="Z316" s="30"/>
      <c r="AA316" s="30"/>
      <c r="AB316" s="30" t="b">
        <f ca="1">IFERROR(__xludf.DUMMYFUNCTION("""COMPUTED_VALUE"""),FALSE)</f>
        <v>0</v>
      </c>
      <c r="AC316" s="30"/>
      <c r="AD316" s="30" t="b">
        <f ca="1">IFERROR(__xludf.DUMMYFUNCTION("""COMPUTED_VALUE"""),FALSE)</f>
        <v>0</v>
      </c>
      <c r="AE316" s="30"/>
      <c r="AF316" s="30" t="b">
        <f ca="1">IFERROR(__xludf.DUMMYFUNCTION("""COMPUTED_VALUE"""),FALSE)</f>
        <v>0</v>
      </c>
      <c r="AG316" s="30"/>
      <c r="AH316" s="30" t="str">
        <f ca="1">IFERROR(__xludf.DUMMYFUNCTION("""COMPUTED_VALUE"""),"Sin costo")</f>
        <v>Sin costo</v>
      </c>
      <c r="AI316" s="30"/>
      <c r="AJ316" s="30"/>
      <c r="AK316" s="30"/>
      <c r="AL316" s="30" t="str">
        <f ca="1">IFERROR(__xludf.DUMMYFUNCTION("""COMPUTED_VALUE"""),"ccardonav@guanajuato.gob.mx")</f>
        <v>ccardonav@guanajuato.gob.mx</v>
      </c>
      <c r="AM316" s="30" t="str">
        <f ca="1">IFERROR(__xludf.DUMMYFUNCTION("""COMPUTED_VALUE"""),"Arraigo y empoderamiento cultural de comunidades.")</f>
        <v>Arraigo y empoderamiento cultural de comunidades.</v>
      </c>
      <c r="AN316" s="30" t="str">
        <f ca="1">IFERROR(__xludf.DUMMYFUNCTION("""COMPUTED_VALUE"""),"1 Tranquilidad")</f>
        <v>1 Tranquilidad</v>
      </c>
      <c r="AO316" s="30" t="str">
        <f ca="1">IFERROR(__xludf.DUMMYFUNCTION("""COMPUTED_VALUE"""),"1.2 Fortalecer prevención del delito")</f>
        <v>1.2 Fortalecer prevención del delito</v>
      </c>
      <c r="AP316" s="30" t="str">
        <f ca="1">IFERROR(__xludf.DUMMYFUNCTION("""COMPUTED_VALUE"""),"1.2.2 Fortalecimiento del tejido social")</f>
        <v>1.2.2 Fortalecimiento del tejido social</v>
      </c>
      <c r="AQ316" s="30" t="str">
        <f ca="1">IFERROR(__xludf.DUMMYFUNCTION("""COMPUTED_VALUE"""),"1.2.3.4 Promover una cultura de paz desde las expresiones artísticas y culturales")</f>
        <v>1.2.3.4 Promover una cultura de paz desde las expresiones artísticas y culturales</v>
      </c>
      <c r="AR316" s="30" t="str">
        <f ca="1">IFERROR(__xludf.DUMMYFUNCTION("""COMPUTED_VALUE"""),"Cooperación")</f>
        <v>Cooperación</v>
      </c>
      <c r="AS316" s="30"/>
      <c r="AT316" s="30" t="str">
        <f ca="1">IFERROR(__xludf.DUMMYFUNCTION("""COMPUTED_VALUE"""),"Fortalecimiento de la participación ciudadana y la mediación cultural")</f>
        <v>Fortalecimiento de la participación ciudadana y la mediación cultural</v>
      </c>
      <c r="AU316" s="30" t="str">
        <f ca="1">IFERROR(__xludf.DUMMYFUNCTION("""COMPUTED_VALUE"""),"Impulso a la ampliación de la oferta cultural en los territorios.")</f>
        <v>Impulso a la ampliación de la oferta cultural en los territorios.</v>
      </c>
      <c r="AV31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6" s="30" t="str">
        <f ca="1">IFERROR(__xludf.DUMMYFUNCTION("""COMPUTED_VALUE"""),"Incrementar en 25% la oferta cultural realizada en los municipios.")</f>
        <v>Incrementar en 25% la oferta cultural realizada en los municipios.</v>
      </c>
      <c r="AX316" s="30" t="str">
        <f ca="1">IFERROR(__xludf.DUMMYFUNCTION("""COMPUTED_VALUE"""),"Visitas guiadas")</f>
        <v>Visitas guiadas</v>
      </c>
      <c r="AY316" s="30" t="str">
        <f ca="1">IFERROR(__xludf.DUMMYFUNCTION("""COMPUTED_VALUE"""),"Formación")</f>
        <v>Formación</v>
      </c>
      <c r="AZ316" s="30" t="str">
        <f ca="1">IFERROR(__xludf.DUMMYFUNCTION("""COMPUTED_VALUE"""),"Formación")</f>
        <v>Formación</v>
      </c>
      <c r="BA316" s="30"/>
      <c r="BB316" s="30"/>
      <c r="BC316" s="30">
        <f ca="1">IFERROR(__xludf.DUMMYFUNCTION("""COMPUTED_VALUE"""),0)</f>
        <v>0</v>
      </c>
      <c r="BD316" s="30"/>
      <c r="BE316" s="30"/>
      <c r="BF316" s="30" t="b">
        <f ca="1">IFERROR(__xludf.DUMMYFUNCTION("""COMPUTED_VALUE"""),FALSE)</f>
        <v>0</v>
      </c>
      <c r="BG316" s="30"/>
      <c r="BH316" s="30"/>
      <c r="BI316" s="30"/>
      <c r="BJ316" s="30"/>
      <c r="BK316" s="30"/>
      <c r="BL316" s="30"/>
      <c r="BM316" s="30" t="str">
        <f ca="1">IFERROR(__xludf.DUMMYFUNCTION("""COMPUTED_VALUE"""),"No")</f>
        <v>No</v>
      </c>
      <c r="BN316" s="30"/>
      <c r="BO316" s="30" t="str">
        <f ca="1">IFERROR(__xludf.DUMMYFUNCTION("""COMPUTED_VALUE"""),"c670cb86")</f>
        <v>c670cb86</v>
      </c>
      <c r="BP316" s="29" t="str">
        <f ca="1">IFERROR(__xludf.DUMMYFUNCTION("""COMPUTED_VALUE"""),"Guanajuato")</f>
        <v>Guanajuato</v>
      </c>
      <c r="BQ316" s="30" t="str">
        <f ca="1">IFERROR(__xludf.DUMMYFUNCTION("""COMPUTED_VALUE"""),"Urbano")</f>
        <v>Urbano</v>
      </c>
      <c r="BR316" s="30"/>
      <c r="BS316" s="30"/>
      <c r="BT316" s="30"/>
      <c r="BU316" s="30" t="str">
        <f ca="1">IFERROR(__xludf.DUMMYFUNCTION("""COMPUTED_VALUE"""),"No")</f>
        <v>No</v>
      </c>
      <c r="BV316" s="30" t="str">
        <f ca="1">IFERROR(__xludf.DUMMYFUNCTION("""COMPUTED_VALUE"""),"No")</f>
        <v>No</v>
      </c>
      <c r="BW316" s="30">
        <f ca="1">IFERROR(__xludf.DUMMYFUNCTION("""COMPUTED_VALUE"""),25)</f>
        <v>25</v>
      </c>
      <c r="BX316" s="30"/>
      <c r="BY316" s="30">
        <f ca="1">IFERROR(__xludf.DUMMYFUNCTION("""COMPUTED_VALUE"""),25)</f>
        <v>25</v>
      </c>
      <c r="BZ316" s="30"/>
      <c r="CA316" s="30" t="str">
        <f ca="1">IFERROR(__xludf.DUMMYFUNCTION("""COMPUTED_VALUE"""),"No")</f>
        <v>No</v>
      </c>
      <c r="CB316" s="30" t="str">
        <f ca="1">IFERROR(__xludf.DUMMYFUNCTION("""COMPUTED_VALUE"""),"No")</f>
        <v>No</v>
      </c>
      <c r="CC316" s="30" t="str">
        <f ca="1">IFERROR(__xludf.DUMMYFUNCTION("""COMPUTED_VALUE"""),"8b2706bb")</f>
        <v>8b2706bb</v>
      </c>
      <c r="CD316" s="29" t="str">
        <f ca="1">IFERROR(__xludf.DUMMYFUNCTION("""COMPUTED_VALUE"""),"Adultos (30 a 59 años)")</f>
        <v>Adultos (30 a 59 años)</v>
      </c>
      <c r="CE316" s="30" t="str">
        <f ca="1">IFERROR(__xludf.DUMMYFUNCTION("""COMPUTED_VALUE"""),"Dato global")</f>
        <v>Dato global</v>
      </c>
      <c r="CF316" s="30" t="str">
        <f ca="1">IFERROR(__xludf.DUMMYFUNCTION("""COMPUTED_VALUE"""),"Ninguno (Población General)")</f>
        <v>Ninguno (Población General)</v>
      </c>
      <c r="CG316" s="30">
        <f ca="1">IFERROR(__xludf.DUMMYFUNCTION("""COMPUTED_VALUE"""),20)</f>
        <v>20</v>
      </c>
      <c r="CJ316" s="29"/>
      <c r="CM316" s="30" t="str">
        <f ca="1">IFERROR(__xludf.DUMMYFUNCTION("""COMPUTED_VALUE"""),"Guanajuato")</f>
        <v>Guanajuato</v>
      </c>
      <c r="CN316" s="32" t="e">
        <f ca="1"/>
        <v>#NAME?</v>
      </c>
      <c r="CO316" s="32" t="e">
        <f ca="1"/>
        <v>#NAME?</v>
      </c>
      <c r="CP316" s="32" t="e">
        <f ca="1"/>
        <v>#NAME?</v>
      </c>
      <c r="CQ316" s="32" t="e">
        <f ca="1"/>
        <v>#NAME?</v>
      </c>
      <c r="CR316" s="30" t="e">
        <f ca="1"/>
        <v>#NAME?</v>
      </c>
      <c r="CS316" s="30" t="str">
        <f ca="1">IFERROR(__xludf.DUMMYFUNCTION("""COMPUTED_VALUE"""),"Ninguno (Población General)")</f>
        <v>Ninguno (Población General)</v>
      </c>
    </row>
    <row r="317" spans="1:97" ht="13">
      <c r="A317" s="29" t="str">
        <f ca="1">IFERROR(__xludf.DUMMYFUNCTION("""COMPUTED_VALUE"""),"ACT-SCDT56541")</f>
        <v>ACT-SCDT56541</v>
      </c>
      <c r="B317" s="30" t="str">
        <f ca="1">IFERROR(__xludf.DUMMYFUNCTION("""COMPUTED_VALUE"""),"SC-260821-112707")</f>
        <v>SC-260821-112707</v>
      </c>
      <c r="C317" s="62">
        <f ca="1">IFERROR(__xludf.DUMMYFUNCTION("""COMPUTED_VALUE"""),46255.4771643518)</f>
        <v>46255.477164351803</v>
      </c>
      <c r="D317" s="30">
        <f ca="1">IFERROR(__xludf.DUMMYFUNCTION("""COMPUTED_VALUE"""),92)</f>
        <v>92</v>
      </c>
      <c r="E317" s="30" t="str">
        <f ca="1">IFERROR(__xludf.DUMMYFUNCTION("""COMPUTED_VALUE"""),"PB3572")</f>
        <v>PB3572</v>
      </c>
      <c r="F31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7" s="30" t="str">
        <f ca="1">IFERROR(__xludf.DUMMYFUNCTION("""COMPUTED_VALUE"""),"SUBSECRETARÍA DE DESARROLLO Y PROMOCIÓN ARTÍSTICA Y CULTURAL")</f>
        <v>SUBSECRETARÍA DE DESARROLLO Y PROMOCIÓN ARTÍSTICA Y CULTURAL</v>
      </c>
      <c r="I317" s="34" t="str">
        <f ca="1">IFERROR(__xludf.DUMMYFUNCTION("""COMPUTED_VALUE"""),"DIRECCIÓN GENERAL DE MUSEOS, ARTES VISUALES Y EXPOSICIONES")</f>
        <v>DIRECCIÓN GENERAL DE MUSEOS, ARTES VISUALES Y EXPOSICIONES</v>
      </c>
      <c r="J317" s="30" t="str">
        <f ca="1">IFERROR(__xludf.DUMMYFUNCTION("""COMPUTED_VALUE"""),"Número de Actividades realizadas")</f>
        <v>Número de Actividades realizadas</v>
      </c>
      <c r="K317" s="30">
        <f ca="1">IFERROR(__xludf.DUMMYFUNCTION("""COMPUTED_VALUE"""),800)</f>
        <v>800</v>
      </c>
      <c r="L317" s="30" t="str">
        <f ca="1">IFERROR(__xludf.DUMMYFUNCTION("""COMPUTED_VALUE"""),"Artística")</f>
        <v>Artística</v>
      </c>
      <c r="M317" s="30" t="str">
        <f ca="1">IFERROR(__xludf.DUMMYFUNCTION("""COMPUTED_VALUE"""),"Talleres familiares de verano: Realismo mágico en Cianotipia")</f>
        <v>Talleres familiares de verano: Realismo mágico en Cianotipia</v>
      </c>
      <c r="N317" s="30" t="str">
        <f ca="1">IFERROR(__xludf.DUMMYFUNCTION("""COMPUTED_VALUE"""),"A través de la técnica de cianotipia, las familias crearán imágenes únicas utilizando elementos naturales y objetos cotidianos.")</f>
        <v>A través de la técnica de cianotipia, las familias crearán imágenes únicas utilizando elementos naturales y objetos cotidianos.</v>
      </c>
      <c r="O317" s="30" t="str">
        <f ca="1">IFERROR(__xludf.DUMMYFUNCTION("""COMPUTED_VALUE"""),"Única")</f>
        <v>Única</v>
      </c>
      <c r="P317" s="33">
        <f ca="1">IFERROR(__xludf.DUMMYFUNCTION("""COMPUTED_VALUE"""),46229)</f>
        <v>46229</v>
      </c>
      <c r="Q317" s="33">
        <f ca="1">IFERROR(__xludf.DUMMYFUNCTION("""COMPUTED_VALUE"""),46229)</f>
        <v>46229</v>
      </c>
      <c r="R317" s="30">
        <f ca="1">IFERROR(__xludf.DUMMYFUNCTION("""COMPUTED_VALUE"""),1)</f>
        <v>1</v>
      </c>
      <c r="S317" s="30" t="str">
        <f ca="1">IFERROR(__xludf.DUMMYFUNCTION("""COMPUTED_VALUE"""),"Artes visuales")</f>
        <v>Artes visuales</v>
      </c>
      <c r="T317" s="30" t="str">
        <f ca="1">IFERROR(__xludf.DUMMYFUNCTION("""COMPUTED_VALUE"""),"Fotografía")</f>
        <v>Fotografía</v>
      </c>
      <c r="U317" s="30" t="str">
        <f ca="1">IFERROR(__xludf.DUMMYFUNCTION("""COMPUTED_VALUE"""),"Taller")</f>
        <v>Taller</v>
      </c>
      <c r="V317" s="30" t="str">
        <f ca="1">IFERROR(__xludf.DUMMYFUNCTION("""COMPUTED_VALUE"""),"Ninguna")</f>
        <v>Ninguna</v>
      </c>
      <c r="W317" s="30" t="str">
        <f ca="1">IFERROR(__xludf.DUMMYFUNCTION("""COMPUTED_VALUE"""),"Presencial")</f>
        <v>Presencial</v>
      </c>
      <c r="X317" s="30" t="str">
        <f ca="1">IFERROR(__xludf.DUMMYFUNCTION("""COMPUTED_VALUE"""),"Espacio a Cargo de la Secretaría")</f>
        <v>Espacio a Cargo de la Secretaría</v>
      </c>
      <c r="Y317" s="30" t="str">
        <f ca="1">IFERROR(__xludf.DUMMYFUNCTION("""COMPUTED_VALUE"""),"Museo Casa Diego Rivera")</f>
        <v>Museo Casa Diego Rivera</v>
      </c>
      <c r="Z317" s="30"/>
      <c r="AA317" s="30"/>
      <c r="AB317" s="30" t="b">
        <f ca="1">IFERROR(__xludf.DUMMYFUNCTION("""COMPUTED_VALUE"""),FALSE)</f>
        <v>0</v>
      </c>
      <c r="AC317" s="30"/>
      <c r="AD317" s="30" t="b">
        <f ca="1">IFERROR(__xludf.DUMMYFUNCTION("""COMPUTED_VALUE"""),FALSE)</f>
        <v>0</v>
      </c>
      <c r="AE317" s="30"/>
      <c r="AF317" s="30" t="b">
        <f ca="1">IFERROR(__xludf.DUMMYFUNCTION("""COMPUTED_VALUE"""),FALSE)</f>
        <v>0</v>
      </c>
      <c r="AG317" s="30"/>
      <c r="AH317" s="30" t="str">
        <f ca="1">IFERROR(__xludf.DUMMYFUNCTION("""COMPUTED_VALUE"""),"Sin costo")</f>
        <v>Sin costo</v>
      </c>
      <c r="AI317" s="30"/>
      <c r="AJ317" s="30"/>
      <c r="AK317" s="30"/>
      <c r="AL317" s="30" t="str">
        <f ca="1">IFERROR(__xludf.DUMMYFUNCTION("""COMPUTED_VALUE"""),"ccardonav@guanajuato.gob.mx")</f>
        <v>ccardonav@guanajuato.gob.mx</v>
      </c>
      <c r="AM317" s="30" t="str">
        <f ca="1">IFERROR(__xludf.DUMMYFUNCTION("""COMPUTED_VALUE"""),"Arraigo y empoderamiento cultural de comunidades.")</f>
        <v>Arraigo y empoderamiento cultural de comunidades.</v>
      </c>
      <c r="AN317" s="30" t="str">
        <f ca="1">IFERROR(__xludf.DUMMYFUNCTION("""COMPUTED_VALUE"""),"1 Tranquilidad")</f>
        <v>1 Tranquilidad</v>
      </c>
      <c r="AO317" s="30" t="str">
        <f ca="1">IFERROR(__xludf.DUMMYFUNCTION("""COMPUTED_VALUE"""),"1.2 Fortalecer prevención del delito")</f>
        <v>1.2 Fortalecer prevención del delito</v>
      </c>
      <c r="AP317" s="30" t="str">
        <f ca="1">IFERROR(__xludf.DUMMYFUNCTION("""COMPUTED_VALUE"""),"1.2.2 Fortalecimiento del tejido social")</f>
        <v>1.2.2 Fortalecimiento del tejido social</v>
      </c>
      <c r="AQ317" s="30" t="str">
        <f ca="1">IFERROR(__xludf.DUMMYFUNCTION("""COMPUTED_VALUE"""),"1.2.3.4 Promover una cultura de paz desde las expresiones artísticas y culturales")</f>
        <v>1.2.3.4 Promover una cultura de paz desde las expresiones artísticas y culturales</v>
      </c>
      <c r="AR317" s="30" t="str">
        <f ca="1">IFERROR(__xludf.DUMMYFUNCTION("""COMPUTED_VALUE"""),"Inclusión")</f>
        <v>Inclusión</v>
      </c>
      <c r="AS317" s="30" t="str">
        <f ca="1">IFERROR(__xludf.DUMMYFUNCTION("""COMPUTED_VALUE"""),"NNA (Niñas, Niños y Adolescentes)")</f>
        <v>NNA (Niñas, Niños y Adolescentes)</v>
      </c>
      <c r="AT317" s="30" t="str">
        <f ca="1">IFERROR(__xludf.DUMMYFUNCTION("""COMPUTED_VALUE"""),"Fortalecimiento de la participación ciudadana y la mediación cultural")</f>
        <v>Fortalecimiento de la participación ciudadana y la mediación cultural</v>
      </c>
      <c r="AU317" s="30" t="str">
        <f ca="1">IFERROR(__xludf.DUMMYFUNCTION("""COMPUTED_VALUE"""),"Impulso a la ampliación de la oferta cultural en los territorios.")</f>
        <v>Impulso a la ampliación de la oferta cultural en los territorios.</v>
      </c>
      <c r="AV31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7" s="30" t="str">
        <f ca="1">IFERROR(__xludf.DUMMYFUNCTION("""COMPUTED_VALUE"""),"Incrementar en 25% la oferta cultural realizada en los municipios.")</f>
        <v>Incrementar en 25% la oferta cultural realizada en los municipios.</v>
      </c>
      <c r="AX317" s="30" t="str">
        <f ca="1">IFERROR(__xludf.DUMMYFUNCTION("""COMPUTED_VALUE"""),"Taller")</f>
        <v>Taller</v>
      </c>
      <c r="AY317" s="30" t="str">
        <f ca="1">IFERROR(__xludf.DUMMYFUNCTION("""COMPUTED_VALUE"""),"Formación")</f>
        <v>Formación</v>
      </c>
      <c r="AZ317" s="30" t="str">
        <f ca="1">IFERROR(__xludf.DUMMYFUNCTION("""COMPUTED_VALUE"""),"Formación")</f>
        <v>Formación</v>
      </c>
      <c r="BA317" s="30"/>
      <c r="BB317" s="30"/>
      <c r="BC317" s="30">
        <f ca="1">IFERROR(__xludf.DUMMYFUNCTION("""COMPUTED_VALUE"""),0)</f>
        <v>0</v>
      </c>
      <c r="BD317" s="30"/>
      <c r="BE317" s="30"/>
      <c r="BF317" s="30" t="b">
        <f ca="1">IFERROR(__xludf.DUMMYFUNCTION("""COMPUTED_VALUE"""),FALSE)</f>
        <v>0</v>
      </c>
      <c r="BG317" s="30"/>
      <c r="BH317" s="30"/>
      <c r="BI317" s="30"/>
      <c r="BJ317" s="30"/>
      <c r="BK317" s="30"/>
      <c r="BL317" s="30"/>
      <c r="BM317" s="30" t="str">
        <f ca="1">IFERROR(__xludf.DUMMYFUNCTION("""COMPUTED_VALUE"""),"No")</f>
        <v>No</v>
      </c>
      <c r="BN317" s="30"/>
      <c r="BO317" s="30" t="str">
        <f ca="1">IFERROR(__xludf.DUMMYFUNCTION("""COMPUTED_VALUE"""),"41817708")</f>
        <v>41817708</v>
      </c>
      <c r="BP317" s="29" t="str">
        <f ca="1">IFERROR(__xludf.DUMMYFUNCTION("""COMPUTED_VALUE"""),"Guanajuato")</f>
        <v>Guanajuato</v>
      </c>
      <c r="BQ317" s="30" t="str">
        <f ca="1">IFERROR(__xludf.DUMMYFUNCTION("""COMPUTED_VALUE"""),"Urbano")</f>
        <v>Urbano</v>
      </c>
      <c r="BR317" s="30"/>
      <c r="BS317" s="30"/>
      <c r="BT317" s="30"/>
      <c r="BU317" s="30" t="str">
        <f ca="1">IFERROR(__xludf.DUMMYFUNCTION("""COMPUTED_VALUE"""),"No")</f>
        <v>No</v>
      </c>
      <c r="BV317" s="30" t="str">
        <f ca="1">IFERROR(__xludf.DUMMYFUNCTION("""COMPUTED_VALUE"""),"No")</f>
        <v>No</v>
      </c>
      <c r="BW317" s="30">
        <f ca="1">IFERROR(__xludf.DUMMYFUNCTION("""COMPUTED_VALUE"""),10)</f>
        <v>10</v>
      </c>
      <c r="BX317" s="30"/>
      <c r="BY317" s="30">
        <f ca="1">IFERROR(__xludf.DUMMYFUNCTION("""COMPUTED_VALUE"""),10)</f>
        <v>10</v>
      </c>
      <c r="BZ317" s="30"/>
      <c r="CA317" s="30" t="str">
        <f ca="1">IFERROR(__xludf.DUMMYFUNCTION("""COMPUTED_VALUE"""),"No")</f>
        <v>No</v>
      </c>
      <c r="CB317" s="30" t="str">
        <f ca="1">IFERROR(__xludf.DUMMYFUNCTION("""COMPUTED_VALUE"""),"No")</f>
        <v>No</v>
      </c>
      <c r="CC317" s="30" t="str">
        <f ca="1">IFERROR(__xludf.DUMMYFUNCTION("""COMPUTED_VALUE"""),"b5a8d8a7")</f>
        <v>b5a8d8a7</v>
      </c>
      <c r="CD317" s="29" t="str">
        <f ca="1">IFERROR(__xludf.DUMMYFUNCTION("""COMPUTED_VALUE"""),"Adultos (30 a 59 años)")</f>
        <v>Adultos (30 a 59 años)</v>
      </c>
      <c r="CE317" s="30" t="str">
        <f ca="1">IFERROR(__xludf.DUMMYFUNCTION("""COMPUTED_VALUE"""),"Dato global")</f>
        <v>Dato global</v>
      </c>
      <c r="CF317" s="30" t="str">
        <f ca="1">IFERROR(__xludf.DUMMYFUNCTION("""COMPUTED_VALUE"""),"Ninguno (Población General)")</f>
        <v>Ninguno (Población General)</v>
      </c>
      <c r="CG317" s="30">
        <f ca="1">IFERROR(__xludf.DUMMYFUNCTION("""COMPUTED_VALUE"""),43)</f>
        <v>43</v>
      </c>
      <c r="CJ317" s="29"/>
      <c r="CM317" s="30" t="str">
        <f ca="1">IFERROR(__xludf.DUMMYFUNCTION("""COMPUTED_VALUE"""),"Guanajuato")</f>
        <v>Guanajuato</v>
      </c>
      <c r="CN317" s="32" t="e">
        <f ca="1"/>
        <v>#NAME?</v>
      </c>
      <c r="CO317" s="32" t="e">
        <f ca="1"/>
        <v>#NAME?</v>
      </c>
      <c r="CP317" s="32" t="e">
        <f ca="1"/>
        <v>#NAME?</v>
      </c>
      <c r="CQ317" s="32" t="e">
        <f ca="1"/>
        <v>#NAME?</v>
      </c>
      <c r="CR317" s="30" t="e">
        <f ca="1"/>
        <v>#NAME?</v>
      </c>
      <c r="CS317" s="30" t="str">
        <f ca="1">IFERROR(__xludf.DUMMYFUNCTION("""COMPUTED_VALUE"""),"Ninguno (Población General)")</f>
        <v>Ninguno (Población General)</v>
      </c>
    </row>
    <row r="318" spans="1:97" ht="13">
      <c r="A318" s="29" t="str">
        <f ca="1">IFERROR(__xludf.DUMMYFUNCTION("""COMPUTED_VALUE"""),"ACT-SCFC55475")</f>
        <v>ACT-SCFC55475</v>
      </c>
      <c r="B318" s="30" t="str">
        <f ca="1">IFERROR(__xludf.DUMMYFUNCTION("""COMPUTED_VALUE"""),"SC-260821-113259")</f>
        <v>SC-260821-113259</v>
      </c>
      <c r="C318" s="62">
        <f ca="1">IFERROR(__xludf.DUMMYFUNCTION("""COMPUTED_VALUE"""),46255.4812384259)</f>
        <v>46255.481238425898</v>
      </c>
      <c r="D318" s="30">
        <f ca="1">IFERROR(__xludf.DUMMYFUNCTION("""COMPUTED_VALUE"""),92)</f>
        <v>92</v>
      </c>
      <c r="E318" s="30" t="str">
        <f ca="1">IFERROR(__xludf.DUMMYFUNCTION("""COMPUTED_VALUE"""),"PB3572")</f>
        <v>PB3572</v>
      </c>
      <c r="F31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8" s="30" t="str">
        <f ca="1">IFERROR(__xludf.DUMMYFUNCTION("""COMPUTED_VALUE"""),"SUBSECRETARÍA DE DESARROLLO Y PROMOCIÓN ARTÍSTICA Y CULTURAL")</f>
        <v>SUBSECRETARÍA DE DESARROLLO Y PROMOCIÓN ARTÍSTICA Y CULTURAL</v>
      </c>
      <c r="I318" s="34" t="str">
        <f ca="1">IFERROR(__xludf.DUMMYFUNCTION("""COMPUTED_VALUE"""),"DIRECCIÓN GENERAL DE MUSEOS, ARTES VISUALES Y EXPOSICIONES")</f>
        <v>DIRECCIÓN GENERAL DE MUSEOS, ARTES VISUALES Y EXPOSICIONES</v>
      </c>
      <c r="J318" s="30" t="str">
        <f ca="1">IFERROR(__xludf.DUMMYFUNCTION("""COMPUTED_VALUE"""),"Número de Actividades realizadas")</f>
        <v>Número de Actividades realizadas</v>
      </c>
      <c r="K318" s="30">
        <f ca="1">IFERROR(__xludf.DUMMYFUNCTION("""COMPUTED_VALUE"""),800)</f>
        <v>800</v>
      </c>
      <c r="L318" s="30" t="str">
        <f ca="1">IFERROR(__xludf.DUMMYFUNCTION("""COMPUTED_VALUE"""),"Artística")</f>
        <v>Artística</v>
      </c>
      <c r="M318" s="30" t="str">
        <f ca="1">IFERROR(__xludf.DUMMYFUNCTION("""COMPUTED_VALUE"""),"Curso de verano: Laboratorio de cartoneria")</f>
        <v>Curso de verano: Laboratorio de cartoneria</v>
      </c>
      <c r="N318" s="30" t="str">
        <f ca="1">IFERROR(__xludf.DUMMYFUNCTION("""COMPUTED_VALUE"""),"A través de la cartonería y el arte popular, las niñas y los niños explorarán su creatividad")</f>
        <v>A través de la cartonería y el arte popular, las niñas y los niños explorarán su creatividad</v>
      </c>
      <c r="O318" s="30" t="str">
        <f ca="1">IFERROR(__xludf.DUMMYFUNCTION("""COMPUTED_VALUE"""),"Otras")</f>
        <v>Otras</v>
      </c>
      <c r="P318" s="33">
        <f ca="1">IFERROR(__xludf.DUMMYFUNCTION("""COMPUTED_VALUE"""),46230)</f>
        <v>46230</v>
      </c>
      <c r="Q318" s="33">
        <f ca="1">IFERROR(__xludf.DUMMYFUNCTION("""COMPUTED_VALUE"""),46233)</f>
        <v>46233</v>
      </c>
      <c r="R318" s="30">
        <f ca="1">IFERROR(__xludf.DUMMYFUNCTION("""COMPUTED_VALUE"""),4)</f>
        <v>4</v>
      </c>
      <c r="S318" s="30" t="str">
        <f ca="1">IFERROR(__xludf.DUMMYFUNCTION("""COMPUTED_VALUE"""),"Artesanías y arte popular")</f>
        <v>Artesanías y arte popular</v>
      </c>
      <c r="T318" s="30" t="str">
        <f ca="1">IFERROR(__xludf.DUMMYFUNCTION("""COMPUTED_VALUE"""),"Cartonería")</f>
        <v>Cartonería</v>
      </c>
      <c r="U318" s="30" t="str">
        <f ca="1">IFERROR(__xludf.DUMMYFUNCTION("""COMPUTED_VALUE"""),"Taller")</f>
        <v>Taller</v>
      </c>
      <c r="V318" s="30" t="str">
        <f ca="1">IFERROR(__xludf.DUMMYFUNCTION("""COMPUTED_VALUE"""),"Ninguna")</f>
        <v>Ninguna</v>
      </c>
      <c r="W318" s="30" t="str">
        <f ca="1">IFERROR(__xludf.DUMMYFUNCTION("""COMPUTED_VALUE"""),"Presencial")</f>
        <v>Presencial</v>
      </c>
      <c r="X318" s="30" t="str">
        <f ca="1">IFERROR(__xludf.DUMMYFUNCTION("""COMPUTED_VALUE"""),"Espacio a Cargo de la Secretaría")</f>
        <v>Espacio a Cargo de la Secretaría</v>
      </c>
      <c r="Y318" s="30" t="str">
        <f ca="1">IFERROR(__xludf.DUMMYFUNCTION("""COMPUTED_VALUE"""),"Museo Casa Diego Rivera")</f>
        <v>Museo Casa Diego Rivera</v>
      </c>
      <c r="Z318" s="30"/>
      <c r="AA318" s="30"/>
      <c r="AB318" s="30" t="b">
        <f ca="1">IFERROR(__xludf.DUMMYFUNCTION("""COMPUTED_VALUE"""),FALSE)</f>
        <v>0</v>
      </c>
      <c r="AC318" s="30"/>
      <c r="AD318" s="30" t="b">
        <f ca="1">IFERROR(__xludf.DUMMYFUNCTION("""COMPUTED_VALUE"""),TRUE)</f>
        <v>1</v>
      </c>
      <c r="AE318" s="30">
        <f ca="1">IFERROR(__xludf.DUMMYFUNCTION("""COMPUTED_VALUE"""),3)</f>
        <v>3</v>
      </c>
      <c r="AF318" s="30" t="b">
        <f ca="1">IFERROR(__xludf.DUMMYFUNCTION("""COMPUTED_VALUE"""),FALSE)</f>
        <v>0</v>
      </c>
      <c r="AG318" s="30"/>
      <c r="AH318" s="30" t="str">
        <f ca="1">IFERROR(__xludf.DUMMYFUNCTION("""COMPUTED_VALUE"""),"Sin costo")</f>
        <v>Sin costo</v>
      </c>
      <c r="AI318" s="30"/>
      <c r="AJ318" s="30"/>
      <c r="AK318" s="30"/>
      <c r="AL318" s="30" t="str">
        <f ca="1">IFERROR(__xludf.DUMMYFUNCTION("""COMPUTED_VALUE"""),"ccardonav@guanajuato.gob.mx")</f>
        <v>ccardonav@guanajuato.gob.mx</v>
      </c>
      <c r="AM318" s="30" t="str">
        <f ca="1">IFERROR(__xludf.DUMMYFUNCTION("""COMPUTED_VALUE"""),"Arraigo y empoderamiento cultural de comunidades.")</f>
        <v>Arraigo y empoderamiento cultural de comunidades.</v>
      </c>
      <c r="AN318" s="30" t="str">
        <f ca="1">IFERROR(__xludf.DUMMYFUNCTION("""COMPUTED_VALUE"""),"1 Tranquilidad")</f>
        <v>1 Tranquilidad</v>
      </c>
      <c r="AO318" s="30" t="str">
        <f ca="1">IFERROR(__xludf.DUMMYFUNCTION("""COMPUTED_VALUE"""),"1.2 Fortalecer prevención del delito")</f>
        <v>1.2 Fortalecer prevención del delito</v>
      </c>
      <c r="AP318" s="30" t="str">
        <f ca="1">IFERROR(__xludf.DUMMYFUNCTION("""COMPUTED_VALUE"""),"1.2.2 Fortalecimiento del tejido social")</f>
        <v>1.2.2 Fortalecimiento del tejido social</v>
      </c>
      <c r="AQ318" s="30" t="str">
        <f ca="1">IFERROR(__xludf.DUMMYFUNCTION("""COMPUTED_VALUE"""),"1.2.3.4 Promover una cultura de paz desde las expresiones artísticas y culturales")</f>
        <v>1.2.3.4 Promover una cultura de paz desde las expresiones artísticas y culturales</v>
      </c>
      <c r="AR318" s="30" t="str">
        <f ca="1">IFERROR(__xludf.DUMMYFUNCTION("""COMPUTED_VALUE"""),"Inclusión")</f>
        <v>Inclusión</v>
      </c>
      <c r="AS318" s="30" t="str">
        <f ca="1">IFERROR(__xludf.DUMMYFUNCTION("""COMPUTED_VALUE"""),"NNA (Niñas, Niños y Adolescentes)")</f>
        <v>NNA (Niñas, Niños y Adolescentes)</v>
      </c>
      <c r="AT318" s="30" t="str">
        <f ca="1">IFERROR(__xludf.DUMMYFUNCTION("""COMPUTED_VALUE"""),"Fortalecimiento de la participación ciudadana y la mediación cultural")</f>
        <v>Fortalecimiento de la participación ciudadana y la mediación cultural</v>
      </c>
      <c r="AU318" s="30" t="str">
        <f ca="1">IFERROR(__xludf.DUMMYFUNCTION("""COMPUTED_VALUE"""),"Impulso a la ampliación de la oferta cultural en los territorios.")</f>
        <v>Impulso a la ampliación de la oferta cultural en los territorios.</v>
      </c>
      <c r="AV31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8" s="30" t="str">
        <f ca="1">IFERROR(__xludf.DUMMYFUNCTION("""COMPUTED_VALUE"""),"Incrementar en 25% la oferta cultural realizada en los municipios.")</f>
        <v>Incrementar en 25% la oferta cultural realizada en los municipios.</v>
      </c>
      <c r="AX318" s="30" t="str">
        <f ca="1">IFERROR(__xludf.DUMMYFUNCTION("""COMPUTED_VALUE"""),"Laboratorio creativo")</f>
        <v>Laboratorio creativo</v>
      </c>
      <c r="AY318" s="30" t="str">
        <f ca="1">IFERROR(__xludf.DUMMYFUNCTION("""COMPUTED_VALUE"""),"Formación")</f>
        <v>Formación</v>
      </c>
      <c r="AZ318" s="30"/>
      <c r="BA318" s="30"/>
      <c r="BB318" s="30"/>
      <c r="BC318" s="30">
        <f ca="1">IFERROR(__xludf.DUMMYFUNCTION("""COMPUTED_VALUE"""),0)</f>
        <v>0</v>
      </c>
      <c r="BD318" s="30"/>
      <c r="BE318" s="30"/>
      <c r="BF318" s="30" t="b">
        <f ca="1">IFERROR(__xludf.DUMMYFUNCTION("""COMPUTED_VALUE"""),FALSE)</f>
        <v>0</v>
      </c>
      <c r="BG318" s="30"/>
      <c r="BH318" s="30"/>
      <c r="BI318" s="30"/>
      <c r="BJ318" s="30"/>
      <c r="BK318" s="30"/>
      <c r="BL318" s="30"/>
      <c r="BM318" s="30" t="str">
        <f ca="1">IFERROR(__xludf.DUMMYFUNCTION("""COMPUTED_VALUE"""),"No")</f>
        <v>No</v>
      </c>
      <c r="BN318" s="30"/>
      <c r="BO318" s="30" t="str">
        <f ca="1">IFERROR(__xludf.DUMMYFUNCTION("""COMPUTED_VALUE"""),"1abb1273")</f>
        <v>1abb1273</v>
      </c>
      <c r="BP318" s="29" t="str">
        <f ca="1">IFERROR(__xludf.DUMMYFUNCTION("""COMPUTED_VALUE"""),"Guanajuato")</f>
        <v>Guanajuato</v>
      </c>
      <c r="BQ318" s="30" t="str">
        <f ca="1">IFERROR(__xludf.DUMMYFUNCTION("""COMPUTED_VALUE"""),"Urbano")</f>
        <v>Urbano</v>
      </c>
      <c r="BR318" s="30"/>
      <c r="BS318" s="30"/>
      <c r="BT318" s="30"/>
      <c r="BU318" s="30" t="str">
        <f ca="1">IFERROR(__xludf.DUMMYFUNCTION("""COMPUTED_VALUE"""),"No")</f>
        <v>No</v>
      </c>
      <c r="BV318" s="30" t="str">
        <f ca="1">IFERROR(__xludf.DUMMYFUNCTION("""COMPUTED_VALUE"""),"No")</f>
        <v>No</v>
      </c>
      <c r="BW318" s="30">
        <f ca="1">IFERROR(__xludf.DUMMYFUNCTION("""COMPUTED_VALUE"""),18)</f>
        <v>18</v>
      </c>
      <c r="BX318" s="30"/>
      <c r="BY318" s="30">
        <f ca="1">IFERROR(__xludf.DUMMYFUNCTION("""COMPUTED_VALUE"""),18)</f>
        <v>18</v>
      </c>
      <c r="BZ318" s="30"/>
      <c r="CA318" s="30" t="str">
        <f ca="1">IFERROR(__xludf.DUMMYFUNCTION("""COMPUTED_VALUE"""),"No")</f>
        <v>No</v>
      </c>
      <c r="CB318" s="30" t="str">
        <f ca="1">IFERROR(__xludf.DUMMYFUNCTION("""COMPUTED_VALUE"""),"No")</f>
        <v>No</v>
      </c>
      <c r="CC318" s="30" t="str">
        <f ca="1">IFERROR(__xludf.DUMMYFUNCTION("""COMPUTED_VALUE"""),"e6765393")</f>
        <v>e6765393</v>
      </c>
      <c r="CD318" s="29" t="str">
        <f ca="1">IFERROR(__xludf.DUMMYFUNCTION("""COMPUTED_VALUE"""),"Adultos (30 a 59 años)")</f>
        <v>Adultos (30 a 59 años)</v>
      </c>
      <c r="CE318" s="30" t="str">
        <f ca="1">IFERROR(__xludf.DUMMYFUNCTION("""COMPUTED_VALUE"""),"Dato global")</f>
        <v>Dato global</v>
      </c>
      <c r="CF318" s="30" t="str">
        <f ca="1">IFERROR(__xludf.DUMMYFUNCTION("""COMPUTED_VALUE"""),"Ninguno (Población General)")</f>
        <v>Ninguno (Población General)</v>
      </c>
      <c r="CG318" s="30">
        <f ca="1">IFERROR(__xludf.DUMMYFUNCTION("""COMPUTED_VALUE"""),41)</f>
        <v>41</v>
      </c>
      <c r="CJ318" s="29"/>
      <c r="CM318" s="30" t="str">
        <f ca="1">IFERROR(__xludf.DUMMYFUNCTION("""COMPUTED_VALUE"""),"Guanajuato")</f>
        <v>Guanajuato</v>
      </c>
      <c r="CN318" s="32" t="e">
        <f ca="1"/>
        <v>#NAME?</v>
      </c>
      <c r="CO318" s="32" t="e">
        <f ca="1"/>
        <v>#NAME?</v>
      </c>
      <c r="CP318" s="32" t="e">
        <f ca="1"/>
        <v>#NAME?</v>
      </c>
      <c r="CQ318" s="32" t="e">
        <f ca="1"/>
        <v>#NAME?</v>
      </c>
      <c r="CR318" s="30" t="e">
        <f ca="1"/>
        <v>#NAME?</v>
      </c>
      <c r="CS318" s="30" t="str">
        <f ca="1">IFERROR(__xludf.DUMMYFUNCTION("""COMPUTED_VALUE"""),"Ninguno (Población General)")</f>
        <v>Ninguno (Población General)</v>
      </c>
    </row>
    <row r="319" spans="1:97" ht="13">
      <c r="A319" s="29" t="str">
        <f ca="1">IFERROR(__xludf.DUMMYFUNCTION("""COMPUTED_VALUE"""),"ACT-SCGS74384")</f>
        <v>ACT-SCGS74384</v>
      </c>
      <c r="B319" s="30" t="str">
        <f ca="1">IFERROR(__xludf.DUMMYFUNCTION("""COMPUTED_VALUE"""),"SC-260821-113938")</f>
        <v>SC-260821-113938</v>
      </c>
      <c r="C319" s="62">
        <f ca="1">IFERROR(__xludf.DUMMYFUNCTION("""COMPUTED_VALUE"""),46255.4858564814)</f>
        <v>46255.485856481399</v>
      </c>
      <c r="D319" s="30">
        <f ca="1">IFERROR(__xludf.DUMMYFUNCTION("""COMPUTED_VALUE"""),92)</f>
        <v>92</v>
      </c>
      <c r="E319" s="30" t="str">
        <f ca="1">IFERROR(__xludf.DUMMYFUNCTION("""COMPUTED_VALUE"""),"PB3572")</f>
        <v>PB3572</v>
      </c>
      <c r="F31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1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19" s="30" t="str">
        <f ca="1">IFERROR(__xludf.DUMMYFUNCTION("""COMPUTED_VALUE"""),"SUBSECRETARÍA DE DESARROLLO Y PROMOCIÓN ARTÍSTICA Y CULTURAL")</f>
        <v>SUBSECRETARÍA DE DESARROLLO Y PROMOCIÓN ARTÍSTICA Y CULTURAL</v>
      </c>
      <c r="I319" s="34" t="str">
        <f ca="1">IFERROR(__xludf.DUMMYFUNCTION("""COMPUTED_VALUE"""),"DIRECCIÓN GENERAL DE MUSEOS, ARTES VISUALES Y EXPOSICIONES")</f>
        <v>DIRECCIÓN GENERAL DE MUSEOS, ARTES VISUALES Y EXPOSICIONES</v>
      </c>
      <c r="J319" s="30" t="str">
        <f ca="1">IFERROR(__xludf.DUMMYFUNCTION("""COMPUTED_VALUE"""),"Número de Actividades realizadas")</f>
        <v>Número de Actividades realizadas</v>
      </c>
      <c r="K319" s="30">
        <f ca="1">IFERROR(__xludf.DUMMYFUNCTION("""COMPUTED_VALUE"""),800)</f>
        <v>800</v>
      </c>
      <c r="L319" s="30" t="str">
        <f ca="1">IFERROR(__xludf.DUMMYFUNCTION("""COMPUTED_VALUE"""),"Artística")</f>
        <v>Artística</v>
      </c>
      <c r="M319" s="30" t="str">
        <f ca="1">IFERROR(__xludf.DUMMYFUNCTION("""COMPUTED_VALUE"""),"Visita Guiada ""Escuela Secundaria Rudolph""")</f>
        <v>Visita Guiada "Escuela Secundaria Rudolph"</v>
      </c>
      <c r="N319" s="30" t="str">
        <f ca="1">IFERROR(__xludf.DUMMYFUNCTION("""COMPUTED_VALUE"""),"Recorrido guiado por el museo")</f>
        <v>Recorrido guiado por el museo</v>
      </c>
      <c r="O319" s="30" t="str">
        <f ca="1">IFERROR(__xludf.DUMMYFUNCTION("""COMPUTED_VALUE"""),"Única")</f>
        <v>Única</v>
      </c>
      <c r="P319" s="33">
        <f ca="1">IFERROR(__xludf.DUMMYFUNCTION("""COMPUTED_VALUE"""),46206)</f>
        <v>46206</v>
      </c>
      <c r="Q319" s="33">
        <f ca="1">IFERROR(__xludf.DUMMYFUNCTION("""COMPUTED_VALUE"""),46206)</f>
        <v>46206</v>
      </c>
      <c r="R319" s="30">
        <f ca="1">IFERROR(__xludf.DUMMYFUNCTION("""COMPUTED_VALUE"""),1)</f>
        <v>1</v>
      </c>
      <c r="S319" s="30" t="str">
        <f ca="1">IFERROR(__xludf.DUMMYFUNCTION("""COMPUTED_VALUE"""),"Cultura comunitaria")</f>
        <v>Cultura comunitaria</v>
      </c>
      <c r="T319" s="30" t="str">
        <f ca="1">IFERROR(__xludf.DUMMYFUNCTION("""COMPUTED_VALUE"""),"Formación comunitaria")</f>
        <v>Formación comunitaria</v>
      </c>
      <c r="U319" s="30" t="str">
        <f ca="1">IFERROR(__xludf.DUMMYFUNCTION("""COMPUTED_VALUE"""),"Visitas escolares")</f>
        <v>Visitas escolares</v>
      </c>
      <c r="V319" s="30" t="str">
        <f ca="1">IFERROR(__xludf.DUMMYFUNCTION("""COMPUTED_VALUE"""),"Ninguna")</f>
        <v>Ninguna</v>
      </c>
      <c r="W319" s="30" t="str">
        <f ca="1">IFERROR(__xludf.DUMMYFUNCTION("""COMPUTED_VALUE"""),"Presencial")</f>
        <v>Presencial</v>
      </c>
      <c r="X319" s="30" t="str">
        <f ca="1">IFERROR(__xludf.DUMMYFUNCTION("""COMPUTED_VALUE"""),"Espacio a Cargo de la Secretaría")</f>
        <v>Espacio a Cargo de la Secretaría</v>
      </c>
      <c r="Y319" s="30" t="str">
        <f ca="1">IFERROR(__xludf.DUMMYFUNCTION("""COMPUTED_VALUE"""),"Museo Palacio de los Poderes")</f>
        <v>Museo Palacio de los Poderes</v>
      </c>
      <c r="Z319" s="30"/>
      <c r="AA319" s="30"/>
      <c r="AB319" s="30" t="b">
        <f ca="1">IFERROR(__xludf.DUMMYFUNCTION("""COMPUTED_VALUE"""),FALSE)</f>
        <v>0</v>
      </c>
      <c r="AC319" s="30"/>
      <c r="AD319" s="30" t="b">
        <f ca="1">IFERROR(__xludf.DUMMYFUNCTION("""COMPUTED_VALUE"""),FALSE)</f>
        <v>0</v>
      </c>
      <c r="AE319" s="30"/>
      <c r="AF319" s="30" t="b">
        <f ca="1">IFERROR(__xludf.DUMMYFUNCTION("""COMPUTED_VALUE"""),FALSE)</f>
        <v>0</v>
      </c>
      <c r="AG319" s="30"/>
      <c r="AH319" s="30" t="str">
        <f ca="1">IFERROR(__xludf.DUMMYFUNCTION("""COMPUTED_VALUE"""),"Sin costo")</f>
        <v>Sin costo</v>
      </c>
      <c r="AI319" s="30"/>
      <c r="AJ319" s="30"/>
      <c r="AK319" s="30"/>
      <c r="AL319" s="30" t="str">
        <f ca="1">IFERROR(__xludf.DUMMYFUNCTION("""COMPUTED_VALUE"""),"ccardonav@guanajuato.gob.mx")</f>
        <v>ccardonav@guanajuato.gob.mx</v>
      </c>
      <c r="AM319" s="30" t="str">
        <f ca="1">IFERROR(__xludf.DUMMYFUNCTION("""COMPUTED_VALUE"""),"Arraigo y empoderamiento cultural de comunidades.")</f>
        <v>Arraigo y empoderamiento cultural de comunidades.</v>
      </c>
      <c r="AN319" s="30" t="str">
        <f ca="1">IFERROR(__xludf.DUMMYFUNCTION("""COMPUTED_VALUE"""),"1 Tranquilidad")</f>
        <v>1 Tranquilidad</v>
      </c>
      <c r="AO319" s="30" t="str">
        <f ca="1">IFERROR(__xludf.DUMMYFUNCTION("""COMPUTED_VALUE"""),"1.2 Fortalecer prevención del delito")</f>
        <v>1.2 Fortalecer prevención del delito</v>
      </c>
      <c r="AP319" s="30" t="str">
        <f ca="1">IFERROR(__xludf.DUMMYFUNCTION("""COMPUTED_VALUE"""),"1.2.2 Fortalecimiento del tejido social")</f>
        <v>1.2.2 Fortalecimiento del tejido social</v>
      </c>
      <c r="AQ319" s="30" t="str">
        <f ca="1">IFERROR(__xludf.DUMMYFUNCTION("""COMPUTED_VALUE"""),"1.2.3.4 Promover una cultura de paz desde las expresiones artísticas y culturales")</f>
        <v>1.2.3.4 Promover una cultura de paz desde las expresiones artísticas y culturales</v>
      </c>
      <c r="AR319" s="30" t="str">
        <f ca="1">IFERROR(__xludf.DUMMYFUNCTION("""COMPUTED_VALUE"""),"Inclusión")</f>
        <v>Inclusión</v>
      </c>
      <c r="AS319" s="30" t="str">
        <f ca="1">IFERROR(__xludf.DUMMYFUNCTION("""COMPUTED_VALUE"""),"NNA (Niñas, Niños y Adolescentes)")</f>
        <v>NNA (Niñas, Niños y Adolescentes)</v>
      </c>
      <c r="AT319" s="30" t="str">
        <f ca="1">IFERROR(__xludf.DUMMYFUNCTION("""COMPUTED_VALUE"""),"Fortalecimiento de la participación ciudadana y la mediación cultural")</f>
        <v>Fortalecimiento de la participación ciudadana y la mediación cultural</v>
      </c>
      <c r="AU319" s="30" t="str">
        <f ca="1">IFERROR(__xludf.DUMMYFUNCTION("""COMPUTED_VALUE"""),"Impulso a la ampliación de la oferta cultural en los territorios.")</f>
        <v>Impulso a la ampliación de la oferta cultural en los territorios.</v>
      </c>
      <c r="AV31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19" s="30" t="str">
        <f ca="1">IFERROR(__xludf.DUMMYFUNCTION("""COMPUTED_VALUE"""),"Incrementar en 25% la oferta cultural realizada en los municipios.")</f>
        <v>Incrementar en 25% la oferta cultural realizada en los municipios.</v>
      </c>
      <c r="AX319" s="30" t="str">
        <f ca="1">IFERROR(__xludf.DUMMYFUNCTION("""COMPUTED_VALUE"""),"Visitas escolares")</f>
        <v>Visitas escolares</v>
      </c>
      <c r="AY319" s="30" t="str">
        <f ca="1">IFERROR(__xludf.DUMMYFUNCTION("""COMPUTED_VALUE"""),"Formación")</f>
        <v>Formación</v>
      </c>
      <c r="AZ319" s="30"/>
      <c r="BA319" s="30"/>
      <c r="BB319" s="30"/>
      <c r="BC319" s="30">
        <f ca="1">IFERROR(__xludf.DUMMYFUNCTION("""COMPUTED_VALUE"""),0)</f>
        <v>0</v>
      </c>
      <c r="BD319" s="30"/>
      <c r="BE319" s="30"/>
      <c r="BF319" s="30" t="b">
        <f ca="1">IFERROR(__xludf.DUMMYFUNCTION("""COMPUTED_VALUE"""),FALSE)</f>
        <v>0</v>
      </c>
      <c r="BG319" s="30"/>
      <c r="BH319" s="30"/>
      <c r="BI319" s="30"/>
      <c r="BJ319" s="30"/>
      <c r="BK319" s="30"/>
      <c r="BL319" s="30"/>
      <c r="BM319" s="30" t="str">
        <f ca="1">IFERROR(__xludf.DUMMYFUNCTION("""COMPUTED_VALUE"""),"No")</f>
        <v>No</v>
      </c>
      <c r="BN319" s="30"/>
      <c r="BO319" s="30" t="str">
        <f ca="1">IFERROR(__xludf.DUMMYFUNCTION("""COMPUTED_VALUE"""),"617e136c")</f>
        <v>617e136c</v>
      </c>
      <c r="BP319" s="29" t="str">
        <f ca="1">IFERROR(__xludf.DUMMYFUNCTION("""COMPUTED_VALUE"""),"Guanajuato")</f>
        <v>Guanajuato</v>
      </c>
      <c r="BQ319" s="30" t="str">
        <f ca="1">IFERROR(__xludf.DUMMYFUNCTION("""COMPUTED_VALUE"""),"Urbano")</f>
        <v>Urbano</v>
      </c>
      <c r="BR319" s="30"/>
      <c r="BS319" s="30"/>
      <c r="BT319" s="30"/>
      <c r="BU319" s="30" t="str">
        <f ca="1">IFERROR(__xludf.DUMMYFUNCTION("""COMPUTED_VALUE"""),"No")</f>
        <v>No</v>
      </c>
      <c r="BV319" s="30" t="str">
        <f ca="1">IFERROR(__xludf.DUMMYFUNCTION("""COMPUTED_VALUE"""),"No")</f>
        <v>No</v>
      </c>
      <c r="BW319" s="30">
        <f ca="1">IFERROR(__xludf.DUMMYFUNCTION("""COMPUTED_VALUE"""),13)</f>
        <v>13</v>
      </c>
      <c r="BX319" s="30"/>
      <c r="BY319" s="30">
        <f ca="1">IFERROR(__xludf.DUMMYFUNCTION("""COMPUTED_VALUE"""),13)</f>
        <v>13</v>
      </c>
      <c r="BZ319" s="30"/>
      <c r="CA319" s="30" t="str">
        <f ca="1">IFERROR(__xludf.DUMMYFUNCTION("""COMPUTED_VALUE"""),"No")</f>
        <v>No</v>
      </c>
      <c r="CB319" s="30" t="str">
        <f ca="1">IFERROR(__xludf.DUMMYFUNCTION("""COMPUTED_VALUE"""),"No")</f>
        <v>No</v>
      </c>
      <c r="CC319" s="30" t="str">
        <f ca="1">IFERROR(__xludf.DUMMYFUNCTION("""COMPUTED_VALUE"""),"19d014a8")</f>
        <v>19d014a8</v>
      </c>
      <c r="CD319" s="29" t="str">
        <f ca="1">IFERROR(__xludf.DUMMYFUNCTION("""COMPUTED_VALUE"""),"Niñas y Niños (6 a 12 años)")</f>
        <v>Niñas y Niños (6 a 12 años)</v>
      </c>
      <c r="CE319" s="30" t="str">
        <f ca="1">IFERROR(__xludf.DUMMYFUNCTION("""COMPUTED_VALUE"""),"Dato global")</f>
        <v>Dato global</v>
      </c>
      <c r="CF319" s="30" t="str">
        <f ca="1">IFERROR(__xludf.DUMMYFUNCTION("""COMPUTED_VALUE"""),"Ninguno (Población General)")</f>
        <v>Ninguno (Población General)</v>
      </c>
      <c r="CG319" s="30">
        <f ca="1">IFERROR(__xludf.DUMMYFUNCTION("""COMPUTED_VALUE"""),46)</f>
        <v>46</v>
      </c>
      <c r="CJ319" s="29"/>
      <c r="CM319" s="30" t="str">
        <f ca="1">IFERROR(__xludf.DUMMYFUNCTION("""COMPUTED_VALUE"""),"Guanajuato")</f>
        <v>Guanajuato</v>
      </c>
      <c r="CN319" s="32" t="e">
        <f ca="1"/>
        <v>#NAME?</v>
      </c>
      <c r="CO319" s="32" t="e">
        <f ca="1"/>
        <v>#NAME?</v>
      </c>
      <c r="CP319" s="32" t="e">
        <f ca="1"/>
        <v>#NAME?</v>
      </c>
      <c r="CQ319" s="32" t="e">
        <f ca="1"/>
        <v>#NAME?</v>
      </c>
      <c r="CR319" s="30" t="e">
        <f ca="1"/>
        <v>#NAME?</v>
      </c>
      <c r="CS319" s="30" t="str">
        <f ca="1">IFERROR(__xludf.DUMMYFUNCTION("""COMPUTED_VALUE"""),"NNA (Niñas, Niños y Adolescentes)")</f>
        <v>NNA (Niñas, Niños y Adolescentes)</v>
      </c>
    </row>
    <row r="320" spans="1:97" ht="13">
      <c r="A320" s="29" t="str">
        <f ca="1">IFERROR(__xludf.DUMMYFUNCTION("""COMPUTED_VALUE"""),"ACT-SCNF45811")</f>
        <v>ACT-SCNF45811</v>
      </c>
      <c r="B320" s="30" t="str">
        <f ca="1">IFERROR(__xludf.DUMMYFUNCTION("""COMPUTED_VALUE"""),"SC-260821-114520")</f>
        <v>SC-260821-114520</v>
      </c>
      <c r="C320" s="62">
        <f ca="1">IFERROR(__xludf.DUMMYFUNCTION("""COMPUTED_VALUE"""),46255.4898148148)</f>
        <v>46255.489814814799</v>
      </c>
      <c r="D320" s="30">
        <f ca="1">IFERROR(__xludf.DUMMYFUNCTION("""COMPUTED_VALUE"""),92)</f>
        <v>92</v>
      </c>
      <c r="E320" s="30" t="str">
        <f ca="1">IFERROR(__xludf.DUMMYFUNCTION("""COMPUTED_VALUE"""),"PB3572")</f>
        <v>PB3572</v>
      </c>
      <c r="F32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0" s="30" t="str">
        <f ca="1">IFERROR(__xludf.DUMMYFUNCTION("""COMPUTED_VALUE"""),"SUBSECRETARÍA DE DESARROLLO Y PROMOCIÓN ARTÍSTICA Y CULTURAL")</f>
        <v>SUBSECRETARÍA DE DESARROLLO Y PROMOCIÓN ARTÍSTICA Y CULTURAL</v>
      </c>
      <c r="I320" s="34" t="str">
        <f ca="1">IFERROR(__xludf.DUMMYFUNCTION("""COMPUTED_VALUE"""),"DIRECCIÓN GENERAL DE MUSEOS, ARTES VISUALES Y EXPOSICIONES")</f>
        <v>DIRECCIÓN GENERAL DE MUSEOS, ARTES VISUALES Y EXPOSICIONES</v>
      </c>
      <c r="J320" s="30" t="str">
        <f ca="1">IFERROR(__xludf.DUMMYFUNCTION("""COMPUTED_VALUE"""),"Número de Actividades realizadas")</f>
        <v>Número de Actividades realizadas</v>
      </c>
      <c r="K320" s="30">
        <f ca="1">IFERROR(__xludf.DUMMYFUNCTION("""COMPUTED_VALUE"""),800)</f>
        <v>800</v>
      </c>
      <c r="L320" s="30" t="str">
        <f ca="1">IFERROR(__xludf.DUMMYFUNCTION("""COMPUTED_VALUE"""),"Artística")</f>
        <v>Artística</v>
      </c>
      <c r="M320" s="30" t="str">
        <f ca="1">IFERROR(__xludf.DUMMYFUNCTION("""COMPUTED_VALUE"""),"Recorrido Eterno Femenino")</f>
        <v>Recorrido Eterno Femenino</v>
      </c>
      <c r="N320" s="30" t="str">
        <f ca="1">IFERROR(__xludf.DUMMYFUNCTION("""COMPUTED_VALUE"""),"Recorrido guiado por el museo")</f>
        <v>Recorrido guiado por el museo</v>
      </c>
      <c r="O320" s="30" t="str">
        <f ca="1">IFERROR(__xludf.DUMMYFUNCTION("""COMPUTED_VALUE"""),"Única")</f>
        <v>Única</v>
      </c>
      <c r="P320" s="33">
        <f ca="1">IFERROR(__xludf.DUMMYFUNCTION("""COMPUTED_VALUE"""),46217)</f>
        <v>46217</v>
      </c>
      <c r="Q320" s="33">
        <f ca="1">IFERROR(__xludf.DUMMYFUNCTION("""COMPUTED_VALUE"""),46217)</f>
        <v>46217</v>
      </c>
      <c r="R320" s="30">
        <f ca="1">IFERROR(__xludf.DUMMYFUNCTION("""COMPUTED_VALUE"""),1)</f>
        <v>1</v>
      </c>
      <c r="S320" s="30" t="str">
        <f ca="1">IFERROR(__xludf.DUMMYFUNCTION("""COMPUTED_VALUE"""),"Cultura comunitaria")</f>
        <v>Cultura comunitaria</v>
      </c>
      <c r="T320" s="30" t="str">
        <f ca="1">IFERROR(__xludf.DUMMYFUNCTION("""COMPUTED_VALUE"""),"Formación comunitaria")</f>
        <v>Formación comunitaria</v>
      </c>
      <c r="U320" s="30" t="str">
        <f ca="1">IFERROR(__xludf.DUMMYFUNCTION("""COMPUTED_VALUE"""),"Visitas guiadas")</f>
        <v>Visitas guiadas</v>
      </c>
      <c r="V320" s="30" t="str">
        <f ca="1">IFERROR(__xludf.DUMMYFUNCTION("""COMPUTED_VALUE"""),"Ninguna")</f>
        <v>Ninguna</v>
      </c>
      <c r="W320" s="30" t="str">
        <f ca="1">IFERROR(__xludf.DUMMYFUNCTION("""COMPUTED_VALUE"""),"Presencial")</f>
        <v>Presencial</v>
      </c>
      <c r="X320" s="30" t="str">
        <f ca="1">IFERROR(__xludf.DUMMYFUNCTION("""COMPUTED_VALUE"""),"Espacio a Cargo de la Secretaría")</f>
        <v>Espacio a Cargo de la Secretaría</v>
      </c>
      <c r="Y320" s="30" t="str">
        <f ca="1">IFERROR(__xludf.DUMMYFUNCTION("""COMPUTED_VALUE"""),"Museo Palacio de los Poderes")</f>
        <v>Museo Palacio de los Poderes</v>
      </c>
      <c r="Z320" s="30"/>
      <c r="AA320" s="30"/>
      <c r="AB320" s="30" t="b">
        <f ca="1">IFERROR(__xludf.DUMMYFUNCTION("""COMPUTED_VALUE"""),FALSE)</f>
        <v>0</v>
      </c>
      <c r="AC320" s="30"/>
      <c r="AD320" s="30" t="b">
        <f ca="1">IFERROR(__xludf.DUMMYFUNCTION("""COMPUTED_VALUE"""),FALSE)</f>
        <v>0</v>
      </c>
      <c r="AE320" s="30"/>
      <c r="AF320" s="30" t="b">
        <f ca="1">IFERROR(__xludf.DUMMYFUNCTION("""COMPUTED_VALUE"""),FALSE)</f>
        <v>0</v>
      </c>
      <c r="AG320" s="30"/>
      <c r="AH320" s="30" t="str">
        <f ca="1">IFERROR(__xludf.DUMMYFUNCTION("""COMPUTED_VALUE"""),"Sin costo")</f>
        <v>Sin costo</v>
      </c>
      <c r="AI320" s="30"/>
      <c r="AJ320" s="30"/>
      <c r="AK320" s="30"/>
      <c r="AL320" s="30" t="str">
        <f ca="1">IFERROR(__xludf.DUMMYFUNCTION("""COMPUTED_VALUE"""),"ccardonav@guanajuato.gob.mx")</f>
        <v>ccardonav@guanajuato.gob.mx</v>
      </c>
      <c r="AM320" s="30" t="str">
        <f ca="1">IFERROR(__xludf.DUMMYFUNCTION("""COMPUTED_VALUE"""),"Arraigo y empoderamiento cultural de comunidades.")</f>
        <v>Arraigo y empoderamiento cultural de comunidades.</v>
      </c>
      <c r="AN320" s="30" t="str">
        <f ca="1">IFERROR(__xludf.DUMMYFUNCTION("""COMPUTED_VALUE"""),"1 Tranquilidad")</f>
        <v>1 Tranquilidad</v>
      </c>
      <c r="AO320" s="30" t="str">
        <f ca="1">IFERROR(__xludf.DUMMYFUNCTION("""COMPUTED_VALUE"""),"1.2 Fortalecer prevención del delito")</f>
        <v>1.2 Fortalecer prevención del delito</v>
      </c>
      <c r="AP320" s="30" t="str">
        <f ca="1">IFERROR(__xludf.DUMMYFUNCTION("""COMPUTED_VALUE"""),"1.2.2 Fortalecimiento del tejido social")</f>
        <v>1.2.2 Fortalecimiento del tejido social</v>
      </c>
      <c r="AQ320" s="30" t="str">
        <f ca="1">IFERROR(__xludf.DUMMYFUNCTION("""COMPUTED_VALUE"""),"1.2.3.4 Promover una cultura de paz desde las expresiones artísticas y culturales")</f>
        <v>1.2.3.4 Promover una cultura de paz desde las expresiones artísticas y culturales</v>
      </c>
      <c r="AR320" s="30" t="str">
        <f ca="1">IFERROR(__xludf.DUMMYFUNCTION("""COMPUTED_VALUE"""),"Cooperación")</f>
        <v>Cooperación</v>
      </c>
      <c r="AS320" s="30"/>
      <c r="AT320" s="30" t="str">
        <f ca="1">IFERROR(__xludf.DUMMYFUNCTION("""COMPUTED_VALUE"""),"Fortalecimiento de la participación ciudadana y la mediación cultural")</f>
        <v>Fortalecimiento de la participación ciudadana y la mediación cultural</v>
      </c>
      <c r="AU320" s="30" t="str">
        <f ca="1">IFERROR(__xludf.DUMMYFUNCTION("""COMPUTED_VALUE"""),"Impulso a la ampliación de la oferta cultural en los territorios.")</f>
        <v>Impulso a la ampliación de la oferta cultural en los territorios.</v>
      </c>
      <c r="AV32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0" s="30" t="str">
        <f ca="1">IFERROR(__xludf.DUMMYFUNCTION("""COMPUTED_VALUE"""),"Incrementar en 25% la oferta cultural realizada en los municipios.")</f>
        <v>Incrementar en 25% la oferta cultural realizada en los municipios.</v>
      </c>
      <c r="AX320" s="30" t="str">
        <f ca="1">IFERROR(__xludf.DUMMYFUNCTION("""COMPUTED_VALUE"""),"Visitas guiadas")</f>
        <v>Visitas guiadas</v>
      </c>
      <c r="AY320" s="30" t="str">
        <f ca="1">IFERROR(__xludf.DUMMYFUNCTION("""COMPUTED_VALUE"""),"Formación")</f>
        <v>Formación</v>
      </c>
      <c r="AZ320" s="30"/>
      <c r="BA320" s="30"/>
      <c r="BB320" s="30"/>
      <c r="BC320" s="30">
        <f ca="1">IFERROR(__xludf.DUMMYFUNCTION("""COMPUTED_VALUE"""),0)</f>
        <v>0</v>
      </c>
      <c r="BD320" s="30"/>
      <c r="BE320" s="30"/>
      <c r="BF320" s="30" t="b">
        <f ca="1">IFERROR(__xludf.DUMMYFUNCTION("""COMPUTED_VALUE"""),FALSE)</f>
        <v>0</v>
      </c>
      <c r="BG320" s="30"/>
      <c r="BH320" s="30"/>
      <c r="BI320" s="30"/>
      <c r="BJ320" s="30"/>
      <c r="BK320" s="30"/>
      <c r="BL320" s="30"/>
      <c r="BM320" s="30" t="str">
        <f ca="1">IFERROR(__xludf.DUMMYFUNCTION("""COMPUTED_VALUE"""),"No")</f>
        <v>No</v>
      </c>
      <c r="BN320" s="30"/>
      <c r="BO320" s="30" t="str">
        <f ca="1">IFERROR(__xludf.DUMMYFUNCTION("""COMPUTED_VALUE"""),"a32a788c")</f>
        <v>a32a788c</v>
      </c>
      <c r="BP320" s="29" t="str">
        <f ca="1">IFERROR(__xludf.DUMMYFUNCTION("""COMPUTED_VALUE"""),"Guanajuato")</f>
        <v>Guanajuato</v>
      </c>
      <c r="BQ320" s="30" t="str">
        <f ca="1">IFERROR(__xludf.DUMMYFUNCTION("""COMPUTED_VALUE"""),"Urbano")</f>
        <v>Urbano</v>
      </c>
      <c r="BR320" s="30"/>
      <c r="BS320" s="30"/>
      <c r="BT320" s="30"/>
      <c r="BU320" s="30" t="str">
        <f ca="1">IFERROR(__xludf.DUMMYFUNCTION("""COMPUTED_VALUE"""),"No")</f>
        <v>No</v>
      </c>
      <c r="BV320" s="30" t="str">
        <f ca="1">IFERROR(__xludf.DUMMYFUNCTION("""COMPUTED_VALUE"""),"No")</f>
        <v>No</v>
      </c>
      <c r="BW320" s="30">
        <f ca="1">IFERROR(__xludf.DUMMYFUNCTION("""COMPUTED_VALUE"""),6)</f>
        <v>6</v>
      </c>
      <c r="BX320" s="30"/>
      <c r="BY320" s="30">
        <f ca="1">IFERROR(__xludf.DUMMYFUNCTION("""COMPUTED_VALUE"""),6)</f>
        <v>6</v>
      </c>
      <c r="BZ320" s="30"/>
      <c r="CA320" s="30" t="str">
        <f ca="1">IFERROR(__xludf.DUMMYFUNCTION("""COMPUTED_VALUE"""),"No")</f>
        <v>No</v>
      </c>
      <c r="CB320" s="30" t="str">
        <f ca="1">IFERROR(__xludf.DUMMYFUNCTION("""COMPUTED_VALUE"""),"No")</f>
        <v>No</v>
      </c>
      <c r="CC320" s="30" t="str">
        <f ca="1">IFERROR(__xludf.DUMMYFUNCTION("""COMPUTED_VALUE"""),"8160de89")</f>
        <v>8160de89</v>
      </c>
      <c r="CD320" s="29" t="str">
        <f ca="1">IFERROR(__xludf.DUMMYFUNCTION("""COMPUTED_VALUE"""),"Adultos (30 a 59 años)")</f>
        <v>Adultos (30 a 59 años)</v>
      </c>
      <c r="CE320" s="30" t="str">
        <f ca="1">IFERROR(__xludf.DUMMYFUNCTION("""COMPUTED_VALUE"""),"Dato global")</f>
        <v>Dato global</v>
      </c>
      <c r="CF320" s="30" t="str">
        <f ca="1">IFERROR(__xludf.DUMMYFUNCTION("""COMPUTED_VALUE"""),"Ninguno (Población General)")</f>
        <v>Ninguno (Población General)</v>
      </c>
      <c r="CG320" s="30">
        <f ca="1">IFERROR(__xludf.DUMMYFUNCTION("""COMPUTED_VALUE"""),3)</f>
        <v>3</v>
      </c>
      <c r="CJ320" s="29"/>
      <c r="CM320" s="30" t="str">
        <f ca="1">IFERROR(__xludf.DUMMYFUNCTION("""COMPUTED_VALUE"""),"Guanajuato")</f>
        <v>Guanajuato</v>
      </c>
      <c r="CN320" s="32" t="e">
        <f ca="1"/>
        <v>#NAME?</v>
      </c>
      <c r="CO320" s="32" t="e">
        <f ca="1"/>
        <v>#NAME?</v>
      </c>
      <c r="CP320" s="32" t="e">
        <f ca="1"/>
        <v>#NAME?</v>
      </c>
      <c r="CQ320" s="32" t="e">
        <f ca="1"/>
        <v>#NAME?</v>
      </c>
      <c r="CR320" s="30" t="e">
        <f ca="1"/>
        <v>#NAME?</v>
      </c>
      <c r="CS320" s="30" t="str">
        <f ca="1">IFERROR(__xludf.DUMMYFUNCTION("""COMPUTED_VALUE"""),"Ninguno (Población General)")</f>
        <v>Ninguno (Población General)</v>
      </c>
    </row>
    <row r="321" spans="1:97" ht="13">
      <c r="A321" s="29" t="str">
        <f ca="1">IFERROR(__xludf.DUMMYFUNCTION("""COMPUTED_VALUE"""),"ACT-SCML75018")</f>
        <v>ACT-SCML75018</v>
      </c>
      <c r="B321" s="30" t="str">
        <f ca="1">IFERROR(__xludf.DUMMYFUNCTION("""COMPUTED_VALUE"""),"SC-260821-114845")</f>
        <v>SC-260821-114845</v>
      </c>
      <c r="C321" s="62">
        <f ca="1">IFERROR(__xludf.DUMMYFUNCTION("""COMPUTED_VALUE"""),46255.4921875)</f>
        <v>46255.4921875</v>
      </c>
      <c r="D321" s="30">
        <f ca="1">IFERROR(__xludf.DUMMYFUNCTION("""COMPUTED_VALUE"""),92)</f>
        <v>92</v>
      </c>
      <c r="E321" s="30" t="str">
        <f ca="1">IFERROR(__xludf.DUMMYFUNCTION("""COMPUTED_VALUE"""),"PB3572")</f>
        <v>PB3572</v>
      </c>
      <c r="F32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1" s="30" t="str">
        <f ca="1">IFERROR(__xludf.DUMMYFUNCTION("""COMPUTED_VALUE"""),"SUBSECRETARÍA DE DESARROLLO Y PROMOCIÓN ARTÍSTICA Y CULTURAL")</f>
        <v>SUBSECRETARÍA DE DESARROLLO Y PROMOCIÓN ARTÍSTICA Y CULTURAL</v>
      </c>
      <c r="I321" s="34" t="str">
        <f ca="1">IFERROR(__xludf.DUMMYFUNCTION("""COMPUTED_VALUE"""),"DIRECCIÓN GENERAL DE MUSEOS, ARTES VISUALES Y EXPOSICIONES")</f>
        <v>DIRECCIÓN GENERAL DE MUSEOS, ARTES VISUALES Y EXPOSICIONES</v>
      </c>
      <c r="J321" s="30" t="str">
        <f ca="1">IFERROR(__xludf.DUMMYFUNCTION("""COMPUTED_VALUE"""),"Número de Actividades realizadas")</f>
        <v>Número de Actividades realizadas</v>
      </c>
      <c r="K321" s="30">
        <f ca="1">IFERROR(__xludf.DUMMYFUNCTION("""COMPUTED_VALUE"""),800)</f>
        <v>800</v>
      </c>
      <c r="L321" s="30" t="str">
        <f ca="1">IFERROR(__xludf.DUMMYFUNCTION("""COMPUTED_VALUE"""),"Artística")</f>
        <v>Artística</v>
      </c>
      <c r="M321" s="30" t="str">
        <f ca="1">IFERROR(__xludf.DUMMYFUNCTION("""COMPUTED_VALUE"""),"Taller: Intervención en sombreros de palma de San Francisco del Rincón")</f>
        <v>Taller: Intervención en sombreros de palma de San Francisco del Rincón</v>
      </c>
      <c r="N321" s="30" t="str">
        <f ca="1">IFERROR(__xludf.DUMMYFUNCTION("""COMPUTED_VALUE"""),"Un taller práctico y creativo que invita a los participantes a descubrir y aplicar técnicas de bordado artesanal sobre sombreros de palma")</f>
        <v>Un taller práctico y creativo que invita a los participantes a descubrir y aplicar técnicas de bordado artesanal sobre sombreros de palma</v>
      </c>
      <c r="O321" s="30" t="str">
        <f ca="1">IFERROR(__xludf.DUMMYFUNCTION("""COMPUTED_VALUE"""),"Única")</f>
        <v>Única</v>
      </c>
      <c r="P321" s="33">
        <f ca="1">IFERROR(__xludf.DUMMYFUNCTION("""COMPUTED_VALUE"""),46228)</f>
        <v>46228</v>
      </c>
      <c r="Q321" s="33">
        <f ca="1">IFERROR(__xludf.DUMMYFUNCTION("""COMPUTED_VALUE"""),46228)</f>
        <v>46228</v>
      </c>
      <c r="R321" s="30">
        <f ca="1">IFERROR(__xludf.DUMMYFUNCTION("""COMPUTED_VALUE"""),1)</f>
        <v>1</v>
      </c>
      <c r="S321" s="30" t="str">
        <f ca="1">IFERROR(__xludf.DUMMYFUNCTION("""COMPUTED_VALUE"""),"Artesanías y arte popular")</f>
        <v>Artesanías y arte popular</v>
      </c>
      <c r="T321" s="30" t="str">
        <f ca="1">IFERROR(__xludf.DUMMYFUNCTION("""COMPUTED_VALUE"""),"Arte popular")</f>
        <v>Arte popular</v>
      </c>
      <c r="U321" s="30" t="str">
        <f ca="1">IFERROR(__xludf.DUMMYFUNCTION("""COMPUTED_VALUE"""),"Taller")</f>
        <v>Taller</v>
      </c>
      <c r="V321" s="30" t="str">
        <f ca="1">IFERROR(__xludf.DUMMYFUNCTION("""COMPUTED_VALUE"""),"Ninguna")</f>
        <v>Ninguna</v>
      </c>
      <c r="W321" s="30" t="str">
        <f ca="1">IFERROR(__xludf.DUMMYFUNCTION("""COMPUTED_VALUE"""),"Presencial")</f>
        <v>Presencial</v>
      </c>
      <c r="X321" s="30" t="str">
        <f ca="1">IFERROR(__xludf.DUMMYFUNCTION("""COMPUTED_VALUE"""),"Espacio a Cargo de la Secretaría")</f>
        <v>Espacio a Cargo de la Secretaría</v>
      </c>
      <c r="Y321" s="30" t="str">
        <f ca="1">IFERROR(__xludf.DUMMYFUNCTION("""COMPUTED_VALUE"""),"Museo del Pueblo de Guanajuato")</f>
        <v>Museo del Pueblo de Guanajuato</v>
      </c>
      <c r="Z321" s="30"/>
      <c r="AA321" s="30"/>
      <c r="AB321" s="30" t="b">
        <f ca="1">IFERROR(__xludf.DUMMYFUNCTION("""COMPUTED_VALUE"""),FALSE)</f>
        <v>0</v>
      </c>
      <c r="AC321" s="30"/>
      <c r="AD321" s="30" t="b">
        <f ca="1">IFERROR(__xludf.DUMMYFUNCTION("""COMPUTED_VALUE"""),FALSE)</f>
        <v>0</v>
      </c>
      <c r="AE321" s="30"/>
      <c r="AF321" s="30" t="b">
        <f ca="1">IFERROR(__xludf.DUMMYFUNCTION("""COMPUTED_VALUE"""),FALSE)</f>
        <v>0</v>
      </c>
      <c r="AG321" s="30"/>
      <c r="AH321" s="30" t="str">
        <f ca="1">IFERROR(__xludf.DUMMYFUNCTION("""COMPUTED_VALUE"""),"Sin costo")</f>
        <v>Sin costo</v>
      </c>
      <c r="AI321" s="30"/>
      <c r="AJ321" s="30"/>
      <c r="AK321" s="30"/>
      <c r="AL321" s="30" t="str">
        <f ca="1">IFERROR(__xludf.DUMMYFUNCTION("""COMPUTED_VALUE"""),"ccardonav@guanajuato.gob.mx")</f>
        <v>ccardonav@guanajuato.gob.mx</v>
      </c>
      <c r="AM321" s="30" t="str">
        <f ca="1">IFERROR(__xludf.DUMMYFUNCTION("""COMPUTED_VALUE"""),"Arraigo y empoderamiento cultural de comunidades.")</f>
        <v>Arraigo y empoderamiento cultural de comunidades.</v>
      </c>
      <c r="AN321" s="30" t="str">
        <f ca="1">IFERROR(__xludf.DUMMYFUNCTION("""COMPUTED_VALUE"""),"1 Tranquilidad")</f>
        <v>1 Tranquilidad</v>
      </c>
      <c r="AO321" s="30" t="str">
        <f ca="1">IFERROR(__xludf.DUMMYFUNCTION("""COMPUTED_VALUE"""),"1.2 Fortalecer prevención del delito")</f>
        <v>1.2 Fortalecer prevención del delito</v>
      </c>
      <c r="AP321" s="30" t="str">
        <f ca="1">IFERROR(__xludf.DUMMYFUNCTION("""COMPUTED_VALUE"""),"1.2.2 Fortalecimiento del tejido social")</f>
        <v>1.2.2 Fortalecimiento del tejido social</v>
      </c>
      <c r="AQ321" s="30" t="str">
        <f ca="1">IFERROR(__xludf.DUMMYFUNCTION("""COMPUTED_VALUE"""),"1.2.3.4 Promover una cultura de paz desde las expresiones artísticas y culturales")</f>
        <v>1.2.3.4 Promover una cultura de paz desde las expresiones artísticas y culturales</v>
      </c>
      <c r="AR321" s="30" t="str">
        <f ca="1">IFERROR(__xludf.DUMMYFUNCTION("""COMPUTED_VALUE"""),"Cooperación")</f>
        <v>Cooperación</v>
      </c>
      <c r="AS321" s="30"/>
      <c r="AT321" s="30" t="str">
        <f ca="1">IFERROR(__xludf.DUMMYFUNCTION("""COMPUTED_VALUE"""),"Fortalecimiento de la participación ciudadana y la mediación cultural")</f>
        <v>Fortalecimiento de la participación ciudadana y la mediación cultural</v>
      </c>
      <c r="AU321" s="30" t="str">
        <f ca="1">IFERROR(__xludf.DUMMYFUNCTION("""COMPUTED_VALUE"""),"Impulso a la ampliación de la oferta cultural en los territorios.")</f>
        <v>Impulso a la ampliación de la oferta cultural en los territorios.</v>
      </c>
      <c r="AV32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1" s="30" t="str">
        <f ca="1">IFERROR(__xludf.DUMMYFUNCTION("""COMPUTED_VALUE"""),"Incrementar en 25% la oferta cultural realizada en los municipios.")</f>
        <v>Incrementar en 25% la oferta cultural realizada en los municipios.</v>
      </c>
      <c r="AX321" s="30" t="str">
        <f ca="1">IFERROR(__xludf.DUMMYFUNCTION("""COMPUTED_VALUE"""),"Taller")</f>
        <v>Taller</v>
      </c>
      <c r="AY321" s="30" t="str">
        <f ca="1">IFERROR(__xludf.DUMMYFUNCTION("""COMPUTED_VALUE"""),"Formación")</f>
        <v>Formación</v>
      </c>
      <c r="AZ321" s="30"/>
      <c r="BA321" s="30"/>
      <c r="BB321" s="30"/>
      <c r="BC321" s="30">
        <f ca="1">IFERROR(__xludf.DUMMYFUNCTION("""COMPUTED_VALUE"""),0)</f>
        <v>0</v>
      </c>
      <c r="BD321" s="30"/>
      <c r="BE321" s="30"/>
      <c r="BF321" s="30" t="b">
        <f ca="1">IFERROR(__xludf.DUMMYFUNCTION("""COMPUTED_VALUE"""),FALSE)</f>
        <v>0</v>
      </c>
      <c r="BG321" s="30"/>
      <c r="BH321" s="30"/>
      <c r="BI321" s="30"/>
      <c r="BJ321" s="30"/>
      <c r="BK321" s="30"/>
      <c r="BL321" s="30"/>
      <c r="BM321" s="30" t="str">
        <f ca="1">IFERROR(__xludf.DUMMYFUNCTION("""COMPUTED_VALUE"""),"No")</f>
        <v>No</v>
      </c>
      <c r="BN321" s="30"/>
      <c r="BO321" s="30" t="str">
        <f ca="1">IFERROR(__xludf.DUMMYFUNCTION("""COMPUTED_VALUE"""),"48c9364b")</f>
        <v>48c9364b</v>
      </c>
      <c r="BP321" s="29" t="str">
        <f ca="1">IFERROR(__xludf.DUMMYFUNCTION("""COMPUTED_VALUE"""),"Guanajuato")</f>
        <v>Guanajuato</v>
      </c>
      <c r="BQ321" s="30" t="str">
        <f ca="1">IFERROR(__xludf.DUMMYFUNCTION("""COMPUTED_VALUE"""),"Urbano")</f>
        <v>Urbano</v>
      </c>
      <c r="BR321" s="30"/>
      <c r="BS321" s="30"/>
      <c r="BT321" s="30"/>
      <c r="BU321" s="30" t="str">
        <f ca="1">IFERROR(__xludf.DUMMYFUNCTION("""COMPUTED_VALUE"""),"No")</f>
        <v>No</v>
      </c>
      <c r="BV321" s="30" t="str">
        <f ca="1">IFERROR(__xludf.DUMMYFUNCTION("""COMPUTED_VALUE"""),"No")</f>
        <v>No</v>
      </c>
      <c r="BW321" s="30">
        <f ca="1">IFERROR(__xludf.DUMMYFUNCTION("""COMPUTED_VALUE"""),4)</f>
        <v>4</v>
      </c>
      <c r="BX321" s="30"/>
      <c r="BY321" s="30">
        <f ca="1">IFERROR(__xludf.DUMMYFUNCTION("""COMPUTED_VALUE"""),4)</f>
        <v>4</v>
      </c>
      <c r="BZ321" s="30"/>
      <c r="CA321" s="30" t="str">
        <f ca="1">IFERROR(__xludf.DUMMYFUNCTION("""COMPUTED_VALUE"""),"No")</f>
        <v>No</v>
      </c>
      <c r="CB321" s="30" t="str">
        <f ca="1">IFERROR(__xludf.DUMMYFUNCTION("""COMPUTED_VALUE"""),"No")</f>
        <v>No</v>
      </c>
      <c r="CC321" s="30" t="str">
        <f ca="1">IFERROR(__xludf.DUMMYFUNCTION("""COMPUTED_VALUE"""),"7026c0ee")</f>
        <v>7026c0ee</v>
      </c>
      <c r="CD321" s="29" t="str">
        <f ca="1">IFERROR(__xludf.DUMMYFUNCTION("""COMPUTED_VALUE"""),"Adultos (30 a 59 años)")</f>
        <v>Adultos (30 a 59 años)</v>
      </c>
      <c r="CE321" s="30" t="str">
        <f ca="1">IFERROR(__xludf.DUMMYFUNCTION("""COMPUTED_VALUE"""),"Dato global")</f>
        <v>Dato global</v>
      </c>
      <c r="CF321" s="30" t="str">
        <f ca="1">IFERROR(__xludf.DUMMYFUNCTION("""COMPUTED_VALUE"""),"Ninguno (Población General)")</f>
        <v>Ninguno (Población General)</v>
      </c>
      <c r="CG321" s="30">
        <f ca="1">IFERROR(__xludf.DUMMYFUNCTION("""COMPUTED_VALUE"""),4)</f>
        <v>4</v>
      </c>
      <c r="CJ321" s="29"/>
      <c r="CM321" s="30" t="str">
        <f ca="1">IFERROR(__xludf.DUMMYFUNCTION("""COMPUTED_VALUE"""),"Guanajuato")</f>
        <v>Guanajuato</v>
      </c>
      <c r="CN321" s="32" t="e">
        <f ca="1"/>
        <v>#NAME?</v>
      </c>
      <c r="CO321" s="32" t="e">
        <f ca="1"/>
        <v>#NAME?</v>
      </c>
      <c r="CP321" s="32" t="e">
        <f ca="1"/>
        <v>#NAME?</v>
      </c>
      <c r="CQ321" s="32" t="e">
        <f ca="1"/>
        <v>#NAME?</v>
      </c>
      <c r="CR321" s="30" t="e">
        <f ca="1"/>
        <v>#NAME?</v>
      </c>
      <c r="CS321" s="30" t="str">
        <f ca="1">IFERROR(__xludf.DUMMYFUNCTION("""COMPUTED_VALUE"""),"NNA (Niñas, Niños y Adolescentes)")</f>
        <v>NNA (Niñas, Niños y Adolescentes)</v>
      </c>
    </row>
    <row r="322" spans="1:97" ht="13">
      <c r="A322" s="29" t="str">
        <f ca="1">IFERROR(__xludf.DUMMYFUNCTION("""COMPUTED_VALUE"""),"ACT-SCOW93048")</f>
        <v>ACT-SCOW93048</v>
      </c>
      <c r="B322" s="30" t="str">
        <f ca="1">IFERROR(__xludf.DUMMYFUNCTION("""COMPUTED_VALUE"""),"SC-260821-120220")</f>
        <v>SC-260821-120220</v>
      </c>
      <c r="C322" s="62">
        <f ca="1">IFERROR(__xludf.DUMMYFUNCTION("""COMPUTED_VALUE"""),46255.5016203703)</f>
        <v>46255.501620370298</v>
      </c>
      <c r="D322" s="30">
        <f ca="1">IFERROR(__xludf.DUMMYFUNCTION("""COMPUTED_VALUE"""),92)</f>
        <v>92</v>
      </c>
      <c r="E322" s="30" t="str">
        <f ca="1">IFERROR(__xludf.DUMMYFUNCTION("""COMPUTED_VALUE"""),"PB3572")</f>
        <v>PB3572</v>
      </c>
      <c r="F32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2" s="30" t="str">
        <f ca="1">IFERROR(__xludf.DUMMYFUNCTION("""COMPUTED_VALUE"""),"SUBSECRETARÍA DE DESARROLLO Y PROMOCIÓN ARTÍSTICA Y CULTURAL")</f>
        <v>SUBSECRETARÍA DE DESARROLLO Y PROMOCIÓN ARTÍSTICA Y CULTURAL</v>
      </c>
      <c r="I322" s="34" t="str">
        <f ca="1">IFERROR(__xludf.DUMMYFUNCTION("""COMPUTED_VALUE"""),"DIRECCIÓN GENERAL DE MUSEOS, ARTES VISUALES Y EXPOSICIONES")</f>
        <v>DIRECCIÓN GENERAL DE MUSEOS, ARTES VISUALES Y EXPOSICIONES</v>
      </c>
      <c r="J322" s="30" t="str">
        <f ca="1">IFERROR(__xludf.DUMMYFUNCTION("""COMPUTED_VALUE"""),"Número de Actividades realizadas")</f>
        <v>Número de Actividades realizadas</v>
      </c>
      <c r="K322" s="30">
        <f ca="1">IFERROR(__xludf.DUMMYFUNCTION("""COMPUTED_VALUE"""),800)</f>
        <v>800</v>
      </c>
      <c r="L322" s="30" t="str">
        <f ca="1">IFERROR(__xludf.DUMMYFUNCTION("""COMPUTED_VALUE"""),"Artística")</f>
        <v>Artística</v>
      </c>
      <c r="M322" s="30" t="str">
        <f ca="1">IFERROR(__xludf.DUMMYFUNCTION("""COMPUTED_VALUE"""),"Recorrido Eterno Femenino")</f>
        <v>Recorrido Eterno Femenino</v>
      </c>
      <c r="N322" s="30" t="str">
        <f ca="1">IFERROR(__xludf.DUMMYFUNCTION("""COMPUTED_VALUE"""),"Recorrido guiado por el museo")</f>
        <v>Recorrido guiado por el museo</v>
      </c>
      <c r="O322" s="30" t="str">
        <f ca="1">IFERROR(__xludf.DUMMYFUNCTION("""COMPUTED_VALUE"""),"Única")</f>
        <v>Única</v>
      </c>
      <c r="P322" s="33">
        <f ca="1">IFERROR(__xludf.DUMMYFUNCTION("""COMPUTED_VALUE"""),46218)</f>
        <v>46218</v>
      </c>
      <c r="Q322" s="33">
        <f ca="1">IFERROR(__xludf.DUMMYFUNCTION("""COMPUTED_VALUE"""),46218)</f>
        <v>46218</v>
      </c>
      <c r="R322" s="30">
        <f ca="1">IFERROR(__xludf.DUMMYFUNCTION("""COMPUTED_VALUE"""),1)</f>
        <v>1</v>
      </c>
      <c r="S322" s="30" t="str">
        <f ca="1">IFERROR(__xludf.DUMMYFUNCTION("""COMPUTED_VALUE"""),"Cultura comunitaria")</f>
        <v>Cultura comunitaria</v>
      </c>
      <c r="T322" s="30" t="str">
        <f ca="1">IFERROR(__xludf.DUMMYFUNCTION("""COMPUTED_VALUE"""),"Formación comunitaria")</f>
        <v>Formación comunitaria</v>
      </c>
      <c r="U322" s="30" t="str">
        <f ca="1">IFERROR(__xludf.DUMMYFUNCTION("""COMPUTED_VALUE"""),"Visitas guiadas")</f>
        <v>Visitas guiadas</v>
      </c>
      <c r="V322" s="30" t="str">
        <f ca="1">IFERROR(__xludf.DUMMYFUNCTION("""COMPUTED_VALUE"""),"Ninguna")</f>
        <v>Ninguna</v>
      </c>
      <c r="W322" s="30" t="str">
        <f ca="1">IFERROR(__xludf.DUMMYFUNCTION("""COMPUTED_VALUE"""),"Presencial")</f>
        <v>Presencial</v>
      </c>
      <c r="X322" s="30" t="str">
        <f ca="1">IFERROR(__xludf.DUMMYFUNCTION("""COMPUTED_VALUE"""),"Espacio a Cargo de la Secretaría")</f>
        <v>Espacio a Cargo de la Secretaría</v>
      </c>
      <c r="Y322" s="30" t="str">
        <f ca="1">IFERROR(__xludf.DUMMYFUNCTION("""COMPUTED_VALUE"""),"Museo Palacio de los Poderes")</f>
        <v>Museo Palacio de los Poderes</v>
      </c>
      <c r="Z322" s="30"/>
      <c r="AA322" s="30"/>
      <c r="AB322" s="30" t="b">
        <f ca="1">IFERROR(__xludf.DUMMYFUNCTION("""COMPUTED_VALUE"""),FALSE)</f>
        <v>0</v>
      </c>
      <c r="AC322" s="30"/>
      <c r="AD322" s="30" t="b">
        <f ca="1">IFERROR(__xludf.DUMMYFUNCTION("""COMPUTED_VALUE"""),FALSE)</f>
        <v>0</v>
      </c>
      <c r="AE322" s="30"/>
      <c r="AF322" s="30" t="b">
        <f ca="1">IFERROR(__xludf.DUMMYFUNCTION("""COMPUTED_VALUE"""),FALSE)</f>
        <v>0</v>
      </c>
      <c r="AG322" s="30"/>
      <c r="AH322" s="30" t="str">
        <f ca="1">IFERROR(__xludf.DUMMYFUNCTION("""COMPUTED_VALUE"""),"Sin costo")</f>
        <v>Sin costo</v>
      </c>
      <c r="AI322" s="30"/>
      <c r="AJ322" s="30"/>
      <c r="AK322" s="30"/>
      <c r="AL322" s="30" t="str">
        <f ca="1">IFERROR(__xludf.DUMMYFUNCTION("""COMPUTED_VALUE"""),"ccardonav@guanajuato.gob.mx")</f>
        <v>ccardonav@guanajuato.gob.mx</v>
      </c>
      <c r="AM322" s="30" t="str">
        <f ca="1">IFERROR(__xludf.DUMMYFUNCTION("""COMPUTED_VALUE"""),"Arraigo y empoderamiento cultural de comunidades.")</f>
        <v>Arraigo y empoderamiento cultural de comunidades.</v>
      </c>
      <c r="AN322" s="30" t="str">
        <f ca="1">IFERROR(__xludf.DUMMYFUNCTION("""COMPUTED_VALUE"""),"1 Tranquilidad")</f>
        <v>1 Tranquilidad</v>
      </c>
      <c r="AO322" s="30" t="str">
        <f ca="1">IFERROR(__xludf.DUMMYFUNCTION("""COMPUTED_VALUE"""),"1.2 Fortalecer prevención del delito")</f>
        <v>1.2 Fortalecer prevención del delito</v>
      </c>
      <c r="AP322" s="30" t="str">
        <f ca="1">IFERROR(__xludf.DUMMYFUNCTION("""COMPUTED_VALUE"""),"1.2.2 Fortalecimiento del tejido social")</f>
        <v>1.2.2 Fortalecimiento del tejido social</v>
      </c>
      <c r="AQ322" s="30" t="str">
        <f ca="1">IFERROR(__xludf.DUMMYFUNCTION("""COMPUTED_VALUE"""),"1.2.3.4 Promover una cultura de paz desde las expresiones artísticas y culturales")</f>
        <v>1.2.3.4 Promover una cultura de paz desde las expresiones artísticas y culturales</v>
      </c>
      <c r="AR322" s="30" t="str">
        <f ca="1">IFERROR(__xludf.DUMMYFUNCTION("""COMPUTED_VALUE"""),"Cooperación")</f>
        <v>Cooperación</v>
      </c>
      <c r="AS322" s="30"/>
      <c r="AT322" s="30" t="str">
        <f ca="1">IFERROR(__xludf.DUMMYFUNCTION("""COMPUTED_VALUE"""),"Fortalecimiento de la participación ciudadana y la mediación cultural")</f>
        <v>Fortalecimiento de la participación ciudadana y la mediación cultural</v>
      </c>
      <c r="AU322" s="30" t="str">
        <f ca="1">IFERROR(__xludf.DUMMYFUNCTION("""COMPUTED_VALUE"""),"Impulso a la ampliación de la oferta cultural en los territorios.")</f>
        <v>Impulso a la ampliación de la oferta cultural en los territorios.</v>
      </c>
      <c r="AV32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2" s="30" t="str">
        <f ca="1">IFERROR(__xludf.DUMMYFUNCTION("""COMPUTED_VALUE"""),"Incrementar en 25% la oferta cultural realizada en los municipios.")</f>
        <v>Incrementar en 25% la oferta cultural realizada en los municipios.</v>
      </c>
      <c r="AX322" s="30" t="str">
        <f ca="1">IFERROR(__xludf.DUMMYFUNCTION("""COMPUTED_VALUE"""),"Visitas guiadas")</f>
        <v>Visitas guiadas</v>
      </c>
      <c r="AY322" s="30" t="str">
        <f ca="1">IFERROR(__xludf.DUMMYFUNCTION("""COMPUTED_VALUE"""),"Formación")</f>
        <v>Formación</v>
      </c>
      <c r="AZ322" s="30"/>
      <c r="BA322" s="30"/>
      <c r="BB322" s="30"/>
      <c r="BC322" s="30">
        <f ca="1">IFERROR(__xludf.DUMMYFUNCTION("""COMPUTED_VALUE"""),0)</f>
        <v>0</v>
      </c>
      <c r="BD322" s="30"/>
      <c r="BE322" s="30"/>
      <c r="BF322" s="30" t="b">
        <f ca="1">IFERROR(__xludf.DUMMYFUNCTION("""COMPUTED_VALUE"""),FALSE)</f>
        <v>0</v>
      </c>
      <c r="BG322" s="30"/>
      <c r="BH322" s="30"/>
      <c r="BI322" s="30"/>
      <c r="BJ322" s="30"/>
      <c r="BK322" s="30"/>
      <c r="BL322" s="30"/>
      <c r="BM322" s="30" t="str">
        <f ca="1">IFERROR(__xludf.DUMMYFUNCTION("""COMPUTED_VALUE"""),"No")</f>
        <v>No</v>
      </c>
      <c r="BN322" s="30"/>
      <c r="BO322" s="30" t="str">
        <f ca="1">IFERROR(__xludf.DUMMYFUNCTION("""COMPUTED_VALUE"""),"f62c562b")</f>
        <v>f62c562b</v>
      </c>
      <c r="BP322" s="29" t="str">
        <f ca="1">IFERROR(__xludf.DUMMYFUNCTION("""COMPUTED_VALUE"""),"Guanajuato")</f>
        <v>Guanajuato</v>
      </c>
      <c r="BQ322" s="30" t="str">
        <f ca="1">IFERROR(__xludf.DUMMYFUNCTION("""COMPUTED_VALUE"""),"Urbano")</f>
        <v>Urbano</v>
      </c>
      <c r="BR322" s="30"/>
      <c r="BS322" s="30"/>
      <c r="BT322" s="30"/>
      <c r="BU322" s="30" t="str">
        <f ca="1">IFERROR(__xludf.DUMMYFUNCTION("""COMPUTED_VALUE"""),"No")</f>
        <v>No</v>
      </c>
      <c r="BV322" s="30" t="str">
        <f ca="1">IFERROR(__xludf.DUMMYFUNCTION("""COMPUTED_VALUE"""),"No")</f>
        <v>No</v>
      </c>
      <c r="BW322" s="30">
        <f ca="1">IFERROR(__xludf.DUMMYFUNCTION("""COMPUTED_VALUE"""),13)</f>
        <v>13</v>
      </c>
      <c r="BX322" s="30"/>
      <c r="BY322" s="30">
        <f ca="1">IFERROR(__xludf.DUMMYFUNCTION("""COMPUTED_VALUE"""),13)</f>
        <v>13</v>
      </c>
      <c r="BZ322" s="30"/>
      <c r="CA322" s="30" t="str">
        <f ca="1">IFERROR(__xludf.DUMMYFUNCTION("""COMPUTED_VALUE"""),"No")</f>
        <v>No</v>
      </c>
      <c r="CB322" s="30" t="str">
        <f ca="1">IFERROR(__xludf.DUMMYFUNCTION("""COMPUTED_VALUE"""),"No")</f>
        <v>No</v>
      </c>
      <c r="CC322" s="30" t="str">
        <f ca="1">IFERROR(__xludf.DUMMYFUNCTION("""COMPUTED_VALUE"""),"ff809b6f")</f>
        <v>ff809b6f</v>
      </c>
      <c r="CD322" s="29" t="str">
        <f ca="1">IFERROR(__xludf.DUMMYFUNCTION("""COMPUTED_VALUE"""),"Adultos Mayores (60 años o más)")</f>
        <v>Adultos Mayores (60 años o más)</v>
      </c>
      <c r="CE322" s="30" t="str">
        <f ca="1">IFERROR(__xludf.DUMMYFUNCTION("""COMPUTED_VALUE"""),"Dato global")</f>
        <v>Dato global</v>
      </c>
      <c r="CF322" s="30" t="str">
        <f ca="1">IFERROR(__xludf.DUMMYFUNCTION("""COMPUTED_VALUE"""),"Ninguno (Población General)")</f>
        <v>Ninguno (Población General)</v>
      </c>
      <c r="CG322" s="30">
        <f ca="1">IFERROR(__xludf.DUMMYFUNCTION("""COMPUTED_VALUE"""),4)</f>
        <v>4</v>
      </c>
      <c r="CJ322" s="29"/>
      <c r="CM322" s="30" t="str">
        <f ca="1">IFERROR(__xludf.DUMMYFUNCTION("""COMPUTED_VALUE"""),"Guanajuato")</f>
        <v>Guanajuato</v>
      </c>
      <c r="CN322" s="32" t="e">
        <f ca="1"/>
        <v>#NAME?</v>
      </c>
      <c r="CO322" s="32" t="e">
        <f ca="1"/>
        <v>#NAME?</v>
      </c>
      <c r="CP322" s="32" t="e">
        <f ca="1"/>
        <v>#NAME?</v>
      </c>
      <c r="CQ322" s="32" t="e">
        <f ca="1"/>
        <v>#NAME?</v>
      </c>
      <c r="CR322" s="30" t="e">
        <f ca="1"/>
        <v>#NAME?</v>
      </c>
      <c r="CS322" s="30" t="str">
        <f ca="1">IFERROR(__xludf.DUMMYFUNCTION("""COMPUTED_VALUE"""),"Población General")</f>
        <v>Población General</v>
      </c>
    </row>
    <row r="323" spans="1:97" ht="13">
      <c r="A323" s="29" t="str">
        <f ca="1">IFERROR(__xludf.DUMMYFUNCTION("""COMPUTED_VALUE"""),"ACT-SCCL84222")</f>
        <v>ACT-SCCL84222</v>
      </c>
      <c r="B323" s="30" t="str">
        <f ca="1">IFERROR(__xludf.DUMMYFUNCTION("""COMPUTED_VALUE"""),"SC-260821-120924")</f>
        <v>SC-260821-120924</v>
      </c>
      <c r="C323" s="62">
        <f ca="1">IFERROR(__xludf.DUMMYFUNCTION("""COMPUTED_VALUE"""),46255.5065277777)</f>
        <v>46255.506527777703</v>
      </c>
      <c r="D323" s="30">
        <f ca="1">IFERROR(__xludf.DUMMYFUNCTION("""COMPUTED_VALUE"""),92)</f>
        <v>92</v>
      </c>
      <c r="E323" s="30" t="str">
        <f ca="1">IFERROR(__xludf.DUMMYFUNCTION("""COMPUTED_VALUE"""),"PB3572")</f>
        <v>PB3572</v>
      </c>
      <c r="F32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3" s="30" t="str">
        <f ca="1">IFERROR(__xludf.DUMMYFUNCTION("""COMPUTED_VALUE"""),"SUBSECRETARÍA DE DESARROLLO Y PROMOCIÓN ARTÍSTICA Y CULTURAL")</f>
        <v>SUBSECRETARÍA DE DESARROLLO Y PROMOCIÓN ARTÍSTICA Y CULTURAL</v>
      </c>
      <c r="I323" s="34" t="str">
        <f ca="1">IFERROR(__xludf.DUMMYFUNCTION("""COMPUTED_VALUE"""),"DIRECCIÓN GENERAL DE MUSEOS, ARTES VISUALES Y EXPOSICIONES")</f>
        <v>DIRECCIÓN GENERAL DE MUSEOS, ARTES VISUALES Y EXPOSICIONES</v>
      </c>
      <c r="J323" s="30" t="str">
        <f ca="1">IFERROR(__xludf.DUMMYFUNCTION("""COMPUTED_VALUE"""),"Número de Actividades realizadas")</f>
        <v>Número de Actividades realizadas</v>
      </c>
      <c r="K323" s="30">
        <f ca="1">IFERROR(__xludf.DUMMYFUNCTION("""COMPUTED_VALUE"""),800)</f>
        <v>800</v>
      </c>
      <c r="L323" s="30" t="str">
        <f ca="1">IFERROR(__xludf.DUMMYFUNCTION("""COMPUTED_VALUE"""),"Artística")</f>
        <v>Artística</v>
      </c>
      <c r="M323" s="30" t="str">
        <f ca="1">IFERROR(__xludf.DUMMYFUNCTION("""COMPUTED_VALUE"""),"Recorrido Eterno Femenino")</f>
        <v>Recorrido Eterno Femenino</v>
      </c>
      <c r="N323" s="30" t="str">
        <f ca="1">IFERROR(__xludf.DUMMYFUNCTION("""COMPUTED_VALUE"""),"Recorrido guiado por el museo")</f>
        <v>Recorrido guiado por el museo</v>
      </c>
      <c r="O323" s="30" t="str">
        <f ca="1">IFERROR(__xludf.DUMMYFUNCTION("""COMPUTED_VALUE"""),"Única")</f>
        <v>Única</v>
      </c>
      <c r="P323" s="33">
        <f ca="1">IFERROR(__xludf.DUMMYFUNCTION("""COMPUTED_VALUE"""),46219)</f>
        <v>46219</v>
      </c>
      <c r="Q323" s="33">
        <f ca="1">IFERROR(__xludf.DUMMYFUNCTION("""COMPUTED_VALUE"""),46219)</f>
        <v>46219</v>
      </c>
      <c r="R323" s="30">
        <f ca="1">IFERROR(__xludf.DUMMYFUNCTION("""COMPUTED_VALUE"""),1)</f>
        <v>1</v>
      </c>
      <c r="S323" s="30" t="str">
        <f ca="1">IFERROR(__xludf.DUMMYFUNCTION("""COMPUTED_VALUE"""),"Cultura comunitaria")</f>
        <v>Cultura comunitaria</v>
      </c>
      <c r="T323" s="30" t="str">
        <f ca="1">IFERROR(__xludf.DUMMYFUNCTION("""COMPUTED_VALUE"""),"Formación comunitaria")</f>
        <v>Formación comunitaria</v>
      </c>
      <c r="U323" s="30" t="str">
        <f ca="1">IFERROR(__xludf.DUMMYFUNCTION("""COMPUTED_VALUE"""),"Visitas guiadas")</f>
        <v>Visitas guiadas</v>
      </c>
      <c r="V323" s="30" t="str">
        <f ca="1">IFERROR(__xludf.DUMMYFUNCTION("""COMPUTED_VALUE"""),"Ninguna")</f>
        <v>Ninguna</v>
      </c>
      <c r="W323" s="30" t="str">
        <f ca="1">IFERROR(__xludf.DUMMYFUNCTION("""COMPUTED_VALUE"""),"Presencial")</f>
        <v>Presencial</v>
      </c>
      <c r="X323" s="30" t="str">
        <f ca="1">IFERROR(__xludf.DUMMYFUNCTION("""COMPUTED_VALUE"""),"Espacio a Cargo de la Secretaría")</f>
        <v>Espacio a Cargo de la Secretaría</v>
      </c>
      <c r="Y323" s="30" t="str">
        <f ca="1">IFERROR(__xludf.DUMMYFUNCTION("""COMPUTED_VALUE"""),"Museo Palacio de los Poderes")</f>
        <v>Museo Palacio de los Poderes</v>
      </c>
      <c r="Z323" s="30"/>
      <c r="AA323" s="30"/>
      <c r="AB323" s="30" t="b">
        <f ca="1">IFERROR(__xludf.DUMMYFUNCTION("""COMPUTED_VALUE"""),FALSE)</f>
        <v>0</v>
      </c>
      <c r="AC323" s="30"/>
      <c r="AD323" s="30" t="b">
        <f ca="1">IFERROR(__xludf.DUMMYFUNCTION("""COMPUTED_VALUE"""),FALSE)</f>
        <v>0</v>
      </c>
      <c r="AE323" s="30"/>
      <c r="AF323" s="30" t="b">
        <f ca="1">IFERROR(__xludf.DUMMYFUNCTION("""COMPUTED_VALUE"""),FALSE)</f>
        <v>0</v>
      </c>
      <c r="AG323" s="30"/>
      <c r="AH323" s="30" t="str">
        <f ca="1">IFERROR(__xludf.DUMMYFUNCTION("""COMPUTED_VALUE"""),"Sin costo")</f>
        <v>Sin costo</v>
      </c>
      <c r="AI323" s="30"/>
      <c r="AJ323" s="30"/>
      <c r="AK323" s="30"/>
      <c r="AL323" s="30" t="str">
        <f ca="1">IFERROR(__xludf.DUMMYFUNCTION("""COMPUTED_VALUE"""),"ccardonav@guanajuato.gob.mx")</f>
        <v>ccardonav@guanajuato.gob.mx</v>
      </c>
      <c r="AM323" s="30" t="str">
        <f ca="1">IFERROR(__xludf.DUMMYFUNCTION("""COMPUTED_VALUE"""),"Arraigo y empoderamiento cultural de comunidades.")</f>
        <v>Arraigo y empoderamiento cultural de comunidades.</v>
      </c>
      <c r="AN323" s="30" t="str">
        <f ca="1">IFERROR(__xludf.DUMMYFUNCTION("""COMPUTED_VALUE"""),"1 Tranquilidad")</f>
        <v>1 Tranquilidad</v>
      </c>
      <c r="AO323" s="30" t="str">
        <f ca="1">IFERROR(__xludf.DUMMYFUNCTION("""COMPUTED_VALUE"""),"1.2 Fortalecer prevención del delito")</f>
        <v>1.2 Fortalecer prevención del delito</v>
      </c>
      <c r="AP323" s="30" t="str">
        <f ca="1">IFERROR(__xludf.DUMMYFUNCTION("""COMPUTED_VALUE"""),"1.2.2 Fortalecimiento del tejido social")</f>
        <v>1.2.2 Fortalecimiento del tejido social</v>
      </c>
      <c r="AQ323" s="30" t="str">
        <f ca="1">IFERROR(__xludf.DUMMYFUNCTION("""COMPUTED_VALUE"""),"1.2.3.4 Promover una cultura de paz desde las expresiones artísticas y culturales")</f>
        <v>1.2.3.4 Promover una cultura de paz desde las expresiones artísticas y culturales</v>
      </c>
      <c r="AR323" s="30" t="str">
        <f ca="1">IFERROR(__xludf.DUMMYFUNCTION("""COMPUTED_VALUE"""),"Cooperación")</f>
        <v>Cooperación</v>
      </c>
      <c r="AS323" s="30"/>
      <c r="AT323" s="30" t="str">
        <f ca="1">IFERROR(__xludf.DUMMYFUNCTION("""COMPUTED_VALUE"""),"Fortalecimiento de la participación ciudadana y la mediación cultural")</f>
        <v>Fortalecimiento de la participación ciudadana y la mediación cultural</v>
      </c>
      <c r="AU323" s="30" t="str">
        <f ca="1">IFERROR(__xludf.DUMMYFUNCTION("""COMPUTED_VALUE"""),"Impulso a la ampliación de la oferta cultural en los territorios.")</f>
        <v>Impulso a la ampliación de la oferta cultural en los territorios.</v>
      </c>
      <c r="AV32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3" s="30" t="str">
        <f ca="1">IFERROR(__xludf.DUMMYFUNCTION("""COMPUTED_VALUE"""),"Incrementar en 25% la oferta cultural realizada en los municipios.")</f>
        <v>Incrementar en 25% la oferta cultural realizada en los municipios.</v>
      </c>
      <c r="AX323" s="30" t="str">
        <f ca="1">IFERROR(__xludf.DUMMYFUNCTION("""COMPUTED_VALUE"""),"Visitas guiadas")</f>
        <v>Visitas guiadas</v>
      </c>
      <c r="AY323" s="30" t="str">
        <f ca="1">IFERROR(__xludf.DUMMYFUNCTION("""COMPUTED_VALUE"""),"Formación")</f>
        <v>Formación</v>
      </c>
      <c r="AZ323" s="30"/>
      <c r="BA323" s="30"/>
      <c r="BB323" s="30"/>
      <c r="BC323" s="30">
        <f ca="1">IFERROR(__xludf.DUMMYFUNCTION("""COMPUTED_VALUE"""),0)</f>
        <v>0</v>
      </c>
      <c r="BD323" s="30"/>
      <c r="BE323" s="30"/>
      <c r="BF323" s="30" t="b">
        <f ca="1">IFERROR(__xludf.DUMMYFUNCTION("""COMPUTED_VALUE"""),FALSE)</f>
        <v>0</v>
      </c>
      <c r="BG323" s="30"/>
      <c r="BH323" s="30"/>
      <c r="BI323" s="30"/>
      <c r="BJ323" s="30"/>
      <c r="BK323" s="30"/>
      <c r="BL323" s="30"/>
      <c r="BM323" s="30" t="str">
        <f ca="1">IFERROR(__xludf.DUMMYFUNCTION("""COMPUTED_VALUE"""),"No")</f>
        <v>No</v>
      </c>
      <c r="BN323" s="30"/>
      <c r="BO323" s="30" t="str">
        <f ca="1">IFERROR(__xludf.DUMMYFUNCTION("""COMPUTED_VALUE"""),"f56c88d0")</f>
        <v>f56c88d0</v>
      </c>
      <c r="BP323" s="29" t="str">
        <f ca="1">IFERROR(__xludf.DUMMYFUNCTION("""COMPUTED_VALUE"""),"Guanajuato")</f>
        <v>Guanajuato</v>
      </c>
      <c r="BQ323" s="30" t="str">
        <f ca="1">IFERROR(__xludf.DUMMYFUNCTION("""COMPUTED_VALUE"""),"Urbano")</f>
        <v>Urbano</v>
      </c>
      <c r="BR323" s="30">
        <f ca="1">IFERROR(__xludf.DUMMYFUNCTION("""COMPUTED_VALUE"""),0)</f>
        <v>0</v>
      </c>
      <c r="BS323" s="30" t="str">
        <f ca="1">IFERROR(__xludf.DUMMYFUNCTION("""COMPUTED_VALUE"""),"Zona centro")</f>
        <v>Zona centro</v>
      </c>
      <c r="BT323" s="30"/>
      <c r="BU323" s="30"/>
      <c r="BV323" s="30"/>
      <c r="BW323" s="30">
        <f ca="1">IFERROR(__xludf.DUMMYFUNCTION("""COMPUTED_VALUE"""),22)</f>
        <v>22</v>
      </c>
      <c r="BX323" s="30">
        <f ca="1">IFERROR(__xludf.DUMMYFUNCTION("""COMPUTED_VALUE"""),1)</f>
        <v>1</v>
      </c>
      <c r="BY323" s="30">
        <f ca="1">IFERROR(__xludf.DUMMYFUNCTION("""COMPUTED_VALUE"""),21)</f>
        <v>21</v>
      </c>
      <c r="BZ323" s="30" t="str">
        <f ca="1">IFERROR(__xludf.DUMMYFUNCTION("""COMPUTED_VALUE"""),"Zona centro")</f>
        <v>Zona centro</v>
      </c>
      <c r="CA323" s="30" t="str">
        <f ca="1">IFERROR(__xludf.DUMMYFUNCTION("""COMPUTED_VALUE"""),"No")</f>
        <v>No</v>
      </c>
      <c r="CB323" s="30" t="str">
        <f ca="1">IFERROR(__xludf.DUMMYFUNCTION("""COMPUTED_VALUE"""),"No")</f>
        <v>No</v>
      </c>
      <c r="CC323" s="30" t="str">
        <f ca="1">IFERROR(__xludf.DUMMYFUNCTION("""COMPUTED_VALUE"""),"631510dc")</f>
        <v>631510dc</v>
      </c>
      <c r="CD323" s="29" t="str">
        <f ca="1">IFERROR(__xludf.DUMMYFUNCTION("""COMPUTED_VALUE"""),"Niñas y Niños (6 a 12 años)")</f>
        <v>Niñas y Niños (6 a 12 años)</v>
      </c>
      <c r="CE323" s="30" t="str">
        <f ca="1">IFERROR(__xludf.DUMMYFUNCTION("""COMPUTED_VALUE"""),"Dato global")</f>
        <v>Dato global</v>
      </c>
      <c r="CF323" s="30" t="str">
        <f ca="1">IFERROR(__xludf.DUMMYFUNCTION("""COMPUTED_VALUE"""),"Ninguno (Población General)")</f>
        <v>Ninguno (Población General)</v>
      </c>
      <c r="CG323" s="30">
        <f ca="1">IFERROR(__xludf.DUMMYFUNCTION("""COMPUTED_VALUE"""),13)</f>
        <v>13</v>
      </c>
      <c r="CJ323" s="29"/>
      <c r="CM323" s="30" t="str">
        <f ca="1">IFERROR(__xludf.DUMMYFUNCTION("""COMPUTED_VALUE"""),"Guanajuato")</f>
        <v>Guanajuato</v>
      </c>
      <c r="CN323" s="32" t="e">
        <f ca="1"/>
        <v>#NAME?</v>
      </c>
      <c r="CO323" s="32" t="e">
        <f ca="1"/>
        <v>#NAME?</v>
      </c>
      <c r="CP323" s="32" t="e">
        <f ca="1"/>
        <v>#NAME?</v>
      </c>
      <c r="CQ323" s="32" t="e">
        <f ca="1"/>
        <v>#NAME?</v>
      </c>
      <c r="CR323" s="30" t="e">
        <f ca="1"/>
        <v>#NAME?</v>
      </c>
      <c r="CS323" s="30" t="str">
        <f ca="1">IFERROR(__xludf.DUMMYFUNCTION("""COMPUTED_VALUE"""),"Población General")</f>
        <v>Población General</v>
      </c>
    </row>
    <row r="324" spans="1:97" ht="13">
      <c r="A324" s="29" t="str">
        <f ca="1">IFERROR(__xludf.DUMMYFUNCTION("""COMPUTED_VALUE"""),"ACT-SCSL55418")</f>
        <v>ACT-SCSL55418</v>
      </c>
      <c r="B324" s="30" t="str">
        <f ca="1">IFERROR(__xludf.DUMMYFUNCTION("""COMPUTED_VALUE"""),"SC-260821-121140")</f>
        <v>SC-260821-121140</v>
      </c>
      <c r="C324" s="62">
        <f ca="1">IFERROR(__xludf.DUMMYFUNCTION("""COMPUTED_VALUE"""),46255.5081018518)</f>
        <v>46255.508101851803</v>
      </c>
      <c r="D324" s="30">
        <f ca="1">IFERROR(__xludf.DUMMYFUNCTION("""COMPUTED_VALUE"""),92)</f>
        <v>92</v>
      </c>
      <c r="E324" s="30" t="str">
        <f ca="1">IFERROR(__xludf.DUMMYFUNCTION("""COMPUTED_VALUE"""),"PB3572")</f>
        <v>PB3572</v>
      </c>
      <c r="F32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4" s="30" t="str">
        <f ca="1">IFERROR(__xludf.DUMMYFUNCTION("""COMPUTED_VALUE"""),"SUBSECRETARÍA DE DESARROLLO Y PROMOCIÓN ARTÍSTICA Y CULTURAL")</f>
        <v>SUBSECRETARÍA DE DESARROLLO Y PROMOCIÓN ARTÍSTICA Y CULTURAL</v>
      </c>
      <c r="I324" s="34" t="str">
        <f ca="1">IFERROR(__xludf.DUMMYFUNCTION("""COMPUTED_VALUE"""),"DIRECCIÓN GENERAL DE MUSEOS, ARTES VISUALES Y EXPOSICIONES")</f>
        <v>DIRECCIÓN GENERAL DE MUSEOS, ARTES VISUALES Y EXPOSICIONES</v>
      </c>
      <c r="J324" s="30" t="str">
        <f ca="1">IFERROR(__xludf.DUMMYFUNCTION("""COMPUTED_VALUE"""),"Número de Actividades realizadas")</f>
        <v>Número de Actividades realizadas</v>
      </c>
      <c r="K324" s="30">
        <f ca="1">IFERROR(__xludf.DUMMYFUNCTION("""COMPUTED_VALUE"""),800)</f>
        <v>800</v>
      </c>
      <c r="L324" s="30" t="str">
        <f ca="1">IFERROR(__xludf.DUMMYFUNCTION("""COMPUTED_VALUE"""),"Artística")</f>
        <v>Artística</v>
      </c>
      <c r="M324" s="30" t="str">
        <f ca="1">IFERROR(__xludf.DUMMYFUNCTION("""COMPUTED_VALUE"""),"Verano en el museo: Recorrido por Poética del paisaje y Manuel Álvarez Bravo, los años decisivos")</f>
        <v>Verano en el museo: Recorrido por Poética del paisaje y Manuel Álvarez Bravo, los años decisivos</v>
      </c>
      <c r="N324" s="30" t="str">
        <f ca="1">IFERROR(__xludf.DUMMYFUNCTION("""COMPUTED_VALUE"""),"Recorrido guiado por el museo")</f>
        <v>Recorrido guiado por el museo</v>
      </c>
      <c r="O324" s="30" t="str">
        <f ca="1">IFERROR(__xludf.DUMMYFUNCTION("""COMPUTED_VALUE"""),"Única")</f>
        <v>Única</v>
      </c>
      <c r="P324" s="33">
        <f ca="1">IFERROR(__xludf.DUMMYFUNCTION("""COMPUTED_VALUE"""),46221)</f>
        <v>46221</v>
      </c>
      <c r="Q324" s="33">
        <f ca="1">IFERROR(__xludf.DUMMYFUNCTION("""COMPUTED_VALUE"""),46221)</f>
        <v>46221</v>
      </c>
      <c r="R324" s="30">
        <f ca="1">IFERROR(__xludf.DUMMYFUNCTION("""COMPUTED_VALUE"""),1)</f>
        <v>1</v>
      </c>
      <c r="S324" s="30" t="str">
        <f ca="1">IFERROR(__xludf.DUMMYFUNCTION("""COMPUTED_VALUE"""),"Cultura comunitaria")</f>
        <v>Cultura comunitaria</v>
      </c>
      <c r="T324" s="30" t="str">
        <f ca="1">IFERROR(__xludf.DUMMYFUNCTION("""COMPUTED_VALUE"""),"Formación comunitaria")</f>
        <v>Formación comunitaria</v>
      </c>
      <c r="U324" s="30" t="str">
        <f ca="1">IFERROR(__xludf.DUMMYFUNCTION("""COMPUTED_VALUE"""),"Visitas guiadas")</f>
        <v>Visitas guiadas</v>
      </c>
      <c r="V324" s="30" t="str">
        <f ca="1">IFERROR(__xludf.DUMMYFUNCTION("""COMPUTED_VALUE"""),"Ninguna")</f>
        <v>Ninguna</v>
      </c>
      <c r="W324" s="30" t="str">
        <f ca="1">IFERROR(__xludf.DUMMYFUNCTION("""COMPUTED_VALUE"""),"Presencial")</f>
        <v>Presencial</v>
      </c>
      <c r="X324" s="30" t="str">
        <f ca="1">IFERROR(__xludf.DUMMYFUNCTION("""COMPUTED_VALUE"""),"Espacio a Cargo de la Secretaría")</f>
        <v>Espacio a Cargo de la Secretaría</v>
      </c>
      <c r="Y324" s="30" t="str">
        <f ca="1">IFERROR(__xludf.DUMMYFUNCTION("""COMPUTED_VALUE"""),"Museo Casa Diego Rivera")</f>
        <v>Museo Casa Diego Rivera</v>
      </c>
      <c r="Z324" s="30"/>
      <c r="AA324" s="30"/>
      <c r="AB324" s="30" t="b">
        <f ca="1">IFERROR(__xludf.DUMMYFUNCTION("""COMPUTED_VALUE"""),FALSE)</f>
        <v>0</v>
      </c>
      <c r="AC324" s="30"/>
      <c r="AD324" s="30" t="b">
        <f ca="1">IFERROR(__xludf.DUMMYFUNCTION("""COMPUTED_VALUE"""),FALSE)</f>
        <v>0</v>
      </c>
      <c r="AE324" s="30"/>
      <c r="AF324" s="30" t="b">
        <f ca="1">IFERROR(__xludf.DUMMYFUNCTION("""COMPUTED_VALUE"""),FALSE)</f>
        <v>0</v>
      </c>
      <c r="AG324" s="30"/>
      <c r="AH324" s="30" t="str">
        <f ca="1">IFERROR(__xludf.DUMMYFUNCTION("""COMPUTED_VALUE"""),"Sin costo")</f>
        <v>Sin costo</v>
      </c>
      <c r="AI324" s="30"/>
      <c r="AJ324" s="30"/>
      <c r="AK324" s="30"/>
      <c r="AL324" s="30" t="str">
        <f ca="1">IFERROR(__xludf.DUMMYFUNCTION("""COMPUTED_VALUE"""),"ccardonav@guanajuato.gob.mx")</f>
        <v>ccardonav@guanajuato.gob.mx</v>
      </c>
      <c r="AM324" s="30" t="str">
        <f ca="1">IFERROR(__xludf.DUMMYFUNCTION("""COMPUTED_VALUE"""),"Arraigo y empoderamiento cultural de comunidades.")</f>
        <v>Arraigo y empoderamiento cultural de comunidades.</v>
      </c>
      <c r="AN324" s="30" t="str">
        <f ca="1">IFERROR(__xludf.DUMMYFUNCTION("""COMPUTED_VALUE"""),"1 Tranquilidad")</f>
        <v>1 Tranquilidad</v>
      </c>
      <c r="AO324" s="30" t="str">
        <f ca="1">IFERROR(__xludf.DUMMYFUNCTION("""COMPUTED_VALUE"""),"1.2 Fortalecer prevención del delito")</f>
        <v>1.2 Fortalecer prevención del delito</v>
      </c>
      <c r="AP324" s="30" t="str">
        <f ca="1">IFERROR(__xludf.DUMMYFUNCTION("""COMPUTED_VALUE"""),"1.2.2 Fortalecimiento del tejido social")</f>
        <v>1.2.2 Fortalecimiento del tejido social</v>
      </c>
      <c r="AQ324" s="30" t="str">
        <f ca="1">IFERROR(__xludf.DUMMYFUNCTION("""COMPUTED_VALUE"""),"1.2.3.4 Promover una cultura de paz desde las expresiones artísticas y culturales")</f>
        <v>1.2.3.4 Promover una cultura de paz desde las expresiones artísticas y culturales</v>
      </c>
      <c r="AR324" s="30" t="str">
        <f ca="1">IFERROR(__xludf.DUMMYFUNCTION("""COMPUTED_VALUE"""),"Inclusión")</f>
        <v>Inclusión</v>
      </c>
      <c r="AS324" s="30" t="str">
        <f ca="1">IFERROR(__xludf.DUMMYFUNCTION("""COMPUTED_VALUE"""),"NNA (Niñas, Niños y Adolescentes)")</f>
        <v>NNA (Niñas, Niños y Adolescentes)</v>
      </c>
      <c r="AT324" s="30" t="str">
        <f ca="1">IFERROR(__xludf.DUMMYFUNCTION("""COMPUTED_VALUE"""),"Fortalecimiento de la participación ciudadana y la mediación cultural")</f>
        <v>Fortalecimiento de la participación ciudadana y la mediación cultural</v>
      </c>
      <c r="AU324" s="30" t="str">
        <f ca="1">IFERROR(__xludf.DUMMYFUNCTION("""COMPUTED_VALUE"""),"Impulso a la ampliación de la oferta cultural en los territorios.")</f>
        <v>Impulso a la ampliación de la oferta cultural en los territorios.</v>
      </c>
      <c r="AV32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4" s="30" t="str">
        <f ca="1">IFERROR(__xludf.DUMMYFUNCTION("""COMPUTED_VALUE"""),"Incrementar en 25% la oferta cultural realizada en los municipios.")</f>
        <v>Incrementar en 25% la oferta cultural realizada en los municipios.</v>
      </c>
      <c r="AX324" s="30" t="str">
        <f ca="1">IFERROR(__xludf.DUMMYFUNCTION("""COMPUTED_VALUE"""),"Visitas guiadas")</f>
        <v>Visitas guiadas</v>
      </c>
      <c r="AY324" s="30" t="str">
        <f ca="1">IFERROR(__xludf.DUMMYFUNCTION("""COMPUTED_VALUE"""),"Formación")</f>
        <v>Formación</v>
      </c>
      <c r="AZ324" s="30"/>
      <c r="BA324" s="30"/>
      <c r="BB324" s="30"/>
      <c r="BC324" s="30">
        <f ca="1">IFERROR(__xludf.DUMMYFUNCTION("""COMPUTED_VALUE"""),0)</f>
        <v>0</v>
      </c>
      <c r="BD324" s="30"/>
      <c r="BE324" s="30"/>
      <c r="BF324" s="30" t="b">
        <f ca="1">IFERROR(__xludf.DUMMYFUNCTION("""COMPUTED_VALUE"""),FALSE)</f>
        <v>0</v>
      </c>
      <c r="BG324" s="30"/>
      <c r="BH324" s="30"/>
      <c r="BI324" s="30"/>
      <c r="BJ324" s="30"/>
      <c r="BK324" s="30"/>
      <c r="BL324" s="30"/>
      <c r="BM324" s="30" t="str">
        <f ca="1">IFERROR(__xludf.DUMMYFUNCTION("""COMPUTED_VALUE"""),"No")</f>
        <v>No</v>
      </c>
      <c r="BN324" s="30"/>
      <c r="BO324" s="30" t="str">
        <f ca="1">IFERROR(__xludf.DUMMYFUNCTION("""COMPUTED_VALUE"""),"3fde7cdc")</f>
        <v>3fde7cdc</v>
      </c>
      <c r="BP324" s="29" t="str">
        <f ca="1">IFERROR(__xludf.DUMMYFUNCTION("""COMPUTED_VALUE"""),"Guanajuato")</f>
        <v>Guanajuato</v>
      </c>
      <c r="BQ324" s="30" t="str">
        <f ca="1">IFERROR(__xludf.DUMMYFUNCTION("""COMPUTED_VALUE"""),"Urbano")</f>
        <v>Urbano</v>
      </c>
      <c r="BR324" s="30">
        <f ca="1">IFERROR(__xludf.DUMMYFUNCTION("""COMPUTED_VALUE"""),0)</f>
        <v>0</v>
      </c>
      <c r="BS324" s="30" t="str">
        <f ca="1">IFERROR(__xludf.DUMMYFUNCTION("""COMPUTED_VALUE"""),"Zona centro")</f>
        <v>Zona centro</v>
      </c>
      <c r="BT324" s="30"/>
      <c r="BU324" s="30"/>
      <c r="BV324" s="30"/>
      <c r="BW324" s="30">
        <f ca="1">IFERROR(__xludf.DUMMYFUNCTION("""COMPUTED_VALUE"""),63)</f>
        <v>63</v>
      </c>
      <c r="BX324" s="30">
        <f ca="1">IFERROR(__xludf.DUMMYFUNCTION("""COMPUTED_VALUE"""),13)</f>
        <v>13</v>
      </c>
      <c r="BY324" s="30">
        <f ca="1">IFERROR(__xludf.DUMMYFUNCTION("""COMPUTED_VALUE"""),50)</f>
        <v>50</v>
      </c>
      <c r="BZ324" s="30" t="str">
        <f ca="1">IFERROR(__xludf.DUMMYFUNCTION("""COMPUTED_VALUE"""),"Zona centro")</f>
        <v>Zona centro</v>
      </c>
      <c r="CA324" s="30" t="str">
        <f ca="1">IFERROR(__xludf.DUMMYFUNCTION("""COMPUTED_VALUE"""),"No")</f>
        <v>No</v>
      </c>
      <c r="CB324" s="30" t="str">
        <f ca="1">IFERROR(__xludf.DUMMYFUNCTION("""COMPUTED_VALUE"""),"No")</f>
        <v>No</v>
      </c>
      <c r="CC324" s="30" t="str">
        <f ca="1">IFERROR(__xludf.DUMMYFUNCTION("""COMPUTED_VALUE"""),"33269a56")</f>
        <v>33269a56</v>
      </c>
      <c r="CD324" s="29" t="str">
        <f ca="1">IFERROR(__xludf.DUMMYFUNCTION("""COMPUTED_VALUE"""),"Adolescentes (13 a 17 años)")</f>
        <v>Adolescentes (13 a 17 años)</v>
      </c>
      <c r="CE324" s="30" t="str">
        <f ca="1">IFERROR(__xludf.DUMMYFUNCTION("""COMPUTED_VALUE"""),"Dato global")</f>
        <v>Dato global</v>
      </c>
      <c r="CF324" s="30" t="str">
        <f ca="1">IFERROR(__xludf.DUMMYFUNCTION("""COMPUTED_VALUE"""),"Ninguno (Población General)")</f>
        <v>Ninguno (Población General)</v>
      </c>
      <c r="CG324" s="30">
        <f ca="1">IFERROR(__xludf.DUMMYFUNCTION("""COMPUTED_VALUE"""),4)</f>
        <v>4</v>
      </c>
      <c r="CJ324" s="29"/>
      <c r="CM324" s="30" t="str">
        <f ca="1">IFERROR(__xludf.DUMMYFUNCTION("""COMPUTED_VALUE"""),"Guanajuato")</f>
        <v>Guanajuato</v>
      </c>
      <c r="CN324" s="32" t="e">
        <f ca="1"/>
        <v>#NAME?</v>
      </c>
      <c r="CO324" s="32" t="e">
        <f ca="1"/>
        <v>#NAME?</v>
      </c>
      <c r="CP324" s="32" t="e">
        <f ca="1"/>
        <v>#NAME?</v>
      </c>
      <c r="CQ324" s="32" t="e">
        <f ca="1"/>
        <v>#NAME?</v>
      </c>
      <c r="CR324" s="30" t="e">
        <f ca="1"/>
        <v>#NAME?</v>
      </c>
      <c r="CS324" s="30" t="str">
        <f ca="1">IFERROR(__xludf.DUMMYFUNCTION("""COMPUTED_VALUE"""),"Población General")</f>
        <v>Población General</v>
      </c>
    </row>
    <row r="325" spans="1:97" ht="13">
      <c r="A325" s="29" t="str">
        <f ca="1">IFERROR(__xludf.DUMMYFUNCTION("""COMPUTED_VALUE"""),"ACT-SCMG26633")</f>
        <v>ACT-SCMG26633</v>
      </c>
      <c r="B325" s="30" t="str">
        <f ca="1">IFERROR(__xludf.DUMMYFUNCTION("""COMPUTED_VALUE"""),"SC-260821-122322")</f>
        <v>SC-260821-122322</v>
      </c>
      <c r="C325" s="62">
        <f ca="1">IFERROR(__xludf.DUMMYFUNCTION("""COMPUTED_VALUE"""),46255.5162268518)</f>
        <v>46255.516226851803</v>
      </c>
      <c r="D325" s="30">
        <f ca="1">IFERROR(__xludf.DUMMYFUNCTION("""COMPUTED_VALUE"""),92)</f>
        <v>92</v>
      </c>
      <c r="E325" s="30" t="str">
        <f ca="1">IFERROR(__xludf.DUMMYFUNCTION("""COMPUTED_VALUE"""),"PB3572")</f>
        <v>PB3572</v>
      </c>
      <c r="F32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5" s="30" t="str">
        <f ca="1">IFERROR(__xludf.DUMMYFUNCTION("""COMPUTED_VALUE"""),"SUBSECRETARÍA DE DESARROLLO Y PROMOCIÓN ARTÍSTICA Y CULTURAL")</f>
        <v>SUBSECRETARÍA DE DESARROLLO Y PROMOCIÓN ARTÍSTICA Y CULTURAL</v>
      </c>
      <c r="I325" s="34" t="str">
        <f ca="1">IFERROR(__xludf.DUMMYFUNCTION("""COMPUTED_VALUE"""),"DIRECCIÓN GENERAL DE MUSEOS, ARTES VISUALES Y EXPOSICIONES")</f>
        <v>DIRECCIÓN GENERAL DE MUSEOS, ARTES VISUALES Y EXPOSICIONES</v>
      </c>
      <c r="J325" s="30" t="str">
        <f ca="1">IFERROR(__xludf.DUMMYFUNCTION("""COMPUTED_VALUE"""),"Número de Actividades realizadas")</f>
        <v>Número de Actividades realizadas</v>
      </c>
      <c r="K325" s="30">
        <f ca="1">IFERROR(__xludf.DUMMYFUNCTION("""COMPUTED_VALUE"""),800)</f>
        <v>800</v>
      </c>
      <c r="L325" s="30" t="str">
        <f ca="1">IFERROR(__xludf.DUMMYFUNCTION("""COMPUTED_VALUE"""),"Artística")</f>
        <v>Artística</v>
      </c>
      <c r="M325" s="30" t="str">
        <f ca="1">IFERROR(__xludf.DUMMYFUNCTION("""COMPUTED_VALUE"""),"Verano en el museo: Recorrido por ¡Moda hoy! Diseño latinoamericanex y latinex")</f>
        <v>Verano en el museo: Recorrido por ¡Moda hoy! Diseño latinoamericanex y latinex</v>
      </c>
      <c r="N325" s="30" t="str">
        <f ca="1">IFERROR(__xludf.DUMMYFUNCTION("""COMPUTED_VALUE"""),"Recorrido guiado por el museo")</f>
        <v>Recorrido guiado por el museo</v>
      </c>
      <c r="O325" s="30" t="str">
        <f ca="1">IFERROR(__xludf.DUMMYFUNCTION("""COMPUTED_VALUE"""),"Única")</f>
        <v>Única</v>
      </c>
      <c r="P325" s="33">
        <f ca="1">IFERROR(__xludf.DUMMYFUNCTION("""COMPUTED_VALUE"""),46221)</f>
        <v>46221</v>
      </c>
      <c r="Q325" s="33">
        <f ca="1">IFERROR(__xludf.DUMMYFUNCTION("""COMPUTED_VALUE"""),46221)</f>
        <v>46221</v>
      </c>
      <c r="R325" s="30">
        <f ca="1">IFERROR(__xludf.DUMMYFUNCTION("""COMPUTED_VALUE"""),1)</f>
        <v>1</v>
      </c>
      <c r="S325" s="30" t="str">
        <f ca="1">IFERROR(__xludf.DUMMYFUNCTION("""COMPUTED_VALUE"""),"Cultura comunitaria")</f>
        <v>Cultura comunitaria</v>
      </c>
      <c r="T325" s="30" t="str">
        <f ca="1">IFERROR(__xludf.DUMMYFUNCTION("""COMPUTED_VALUE"""),"Formación comunitaria")</f>
        <v>Formación comunitaria</v>
      </c>
      <c r="U325" s="30" t="str">
        <f ca="1">IFERROR(__xludf.DUMMYFUNCTION("""COMPUTED_VALUE"""),"Visitas guiadas")</f>
        <v>Visitas guiadas</v>
      </c>
      <c r="V325" s="30" t="str">
        <f ca="1">IFERROR(__xludf.DUMMYFUNCTION("""COMPUTED_VALUE"""),"Ninguna")</f>
        <v>Ninguna</v>
      </c>
      <c r="W325" s="30" t="str">
        <f ca="1">IFERROR(__xludf.DUMMYFUNCTION("""COMPUTED_VALUE"""),"Presencial")</f>
        <v>Presencial</v>
      </c>
      <c r="X325" s="30" t="str">
        <f ca="1">IFERROR(__xludf.DUMMYFUNCTION("""COMPUTED_VALUE"""),"Espacio a Cargo de la Secretaría")</f>
        <v>Espacio a Cargo de la Secretaría</v>
      </c>
      <c r="Y325" s="30" t="str">
        <f ca="1">IFERROR(__xludf.DUMMYFUNCTION("""COMPUTED_VALUE"""),"Museo del Pueblo de Guanajuato")</f>
        <v>Museo del Pueblo de Guanajuato</v>
      </c>
      <c r="Z325" s="30"/>
      <c r="AA325" s="30"/>
      <c r="AB325" s="30" t="b">
        <f ca="1">IFERROR(__xludf.DUMMYFUNCTION("""COMPUTED_VALUE"""),FALSE)</f>
        <v>0</v>
      </c>
      <c r="AC325" s="30"/>
      <c r="AD325" s="30" t="b">
        <f ca="1">IFERROR(__xludf.DUMMYFUNCTION("""COMPUTED_VALUE"""),FALSE)</f>
        <v>0</v>
      </c>
      <c r="AE325" s="30"/>
      <c r="AF325" s="30" t="b">
        <f ca="1">IFERROR(__xludf.DUMMYFUNCTION("""COMPUTED_VALUE"""),FALSE)</f>
        <v>0</v>
      </c>
      <c r="AG325" s="30"/>
      <c r="AH325" s="30" t="str">
        <f ca="1">IFERROR(__xludf.DUMMYFUNCTION("""COMPUTED_VALUE"""),"Sin costo")</f>
        <v>Sin costo</v>
      </c>
      <c r="AI325" s="30"/>
      <c r="AJ325" s="30"/>
      <c r="AK325" s="30"/>
      <c r="AL325" s="30" t="str">
        <f ca="1">IFERROR(__xludf.DUMMYFUNCTION("""COMPUTED_VALUE"""),"ccardonav@guanajuato.gob.mx")</f>
        <v>ccardonav@guanajuato.gob.mx</v>
      </c>
      <c r="AM325" s="30" t="str">
        <f ca="1">IFERROR(__xludf.DUMMYFUNCTION("""COMPUTED_VALUE"""),"Arraigo y empoderamiento cultural de comunidades.")</f>
        <v>Arraigo y empoderamiento cultural de comunidades.</v>
      </c>
      <c r="AN325" s="30" t="str">
        <f ca="1">IFERROR(__xludf.DUMMYFUNCTION("""COMPUTED_VALUE"""),"1 Tranquilidad")</f>
        <v>1 Tranquilidad</v>
      </c>
      <c r="AO325" s="30" t="str">
        <f ca="1">IFERROR(__xludf.DUMMYFUNCTION("""COMPUTED_VALUE"""),"1.2 Fortalecer prevención del delito")</f>
        <v>1.2 Fortalecer prevención del delito</v>
      </c>
      <c r="AP325" s="30" t="str">
        <f ca="1">IFERROR(__xludf.DUMMYFUNCTION("""COMPUTED_VALUE"""),"1.2.2 Fortalecimiento del tejido social")</f>
        <v>1.2.2 Fortalecimiento del tejido social</v>
      </c>
      <c r="AQ325" s="30" t="str">
        <f ca="1">IFERROR(__xludf.DUMMYFUNCTION("""COMPUTED_VALUE"""),"1.2.3.4 Promover una cultura de paz desde las expresiones artísticas y culturales")</f>
        <v>1.2.3.4 Promover una cultura de paz desde las expresiones artísticas y culturales</v>
      </c>
      <c r="AR325" s="30" t="str">
        <f ca="1">IFERROR(__xludf.DUMMYFUNCTION("""COMPUTED_VALUE"""),"Cooperación")</f>
        <v>Cooperación</v>
      </c>
      <c r="AS325" s="30"/>
      <c r="AT325" s="30" t="str">
        <f ca="1">IFERROR(__xludf.DUMMYFUNCTION("""COMPUTED_VALUE"""),"Fortalecimiento de la participación ciudadana y la mediación cultural")</f>
        <v>Fortalecimiento de la participación ciudadana y la mediación cultural</v>
      </c>
      <c r="AU325" s="30" t="str">
        <f ca="1">IFERROR(__xludf.DUMMYFUNCTION("""COMPUTED_VALUE"""),"Impulso a la ampliación de la oferta cultural en los territorios.")</f>
        <v>Impulso a la ampliación de la oferta cultural en los territorios.</v>
      </c>
      <c r="AV32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5" s="30" t="str">
        <f ca="1">IFERROR(__xludf.DUMMYFUNCTION("""COMPUTED_VALUE"""),"Incrementar en 25% la oferta cultural realizada en los municipios.")</f>
        <v>Incrementar en 25% la oferta cultural realizada en los municipios.</v>
      </c>
      <c r="AX325" s="30" t="str">
        <f ca="1">IFERROR(__xludf.DUMMYFUNCTION("""COMPUTED_VALUE"""),"Visitas guiadas")</f>
        <v>Visitas guiadas</v>
      </c>
      <c r="AY325" s="30" t="str">
        <f ca="1">IFERROR(__xludf.DUMMYFUNCTION("""COMPUTED_VALUE"""),"Formación")</f>
        <v>Formación</v>
      </c>
      <c r="AZ325" s="30"/>
      <c r="BA325" s="30"/>
      <c r="BB325" s="30"/>
      <c r="BC325" s="30">
        <f ca="1">IFERROR(__xludf.DUMMYFUNCTION("""COMPUTED_VALUE"""),0)</f>
        <v>0</v>
      </c>
      <c r="BD325" s="30"/>
      <c r="BE325" s="30"/>
      <c r="BF325" s="30" t="b">
        <f ca="1">IFERROR(__xludf.DUMMYFUNCTION("""COMPUTED_VALUE"""),FALSE)</f>
        <v>0</v>
      </c>
      <c r="BG325" s="30"/>
      <c r="BH325" s="30"/>
      <c r="BI325" s="30"/>
      <c r="BJ325" s="30"/>
      <c r="BK325" s="30"/>
      <c r="BL325" s="30"/>
      <c r="BM325" s="30" t="str">
        <f ca="1">IFERROR(__xludf.DUMMYFUNCTION("""COMPUTED_VALUE"""),"No")</f>
        <v>No</v>
      </c>
      <c r="BN325" s="30"/>
      <c r="BO325" s="30" t="str">
        <f ca="1">IFERROR(__xludf.DUMMYFUNCTION("""COMPUTED_VALUE"""),"e1294bb5")</f>
        <v>e1294bb5</v>
      </c>
      <c r="BP325" s="29" t="str">
        <f ca="1">IFERROR(__xludf.DUMMYFUNCTION("""COMPUTED_VALUE"""),"Guanajuato")</f>
        <v>Guanajuato</v>
      </c>
      <c r="BQ325" s="30" t="str">
        <f ca="1">IFERROR(__xludf.DUMMYFUNCTION("""COMPUTED_VALUE"""),"Urbano")</f>
        <v>Urbano</v>
      </c>
      <c r="BR325" s="30">
        <f ca="1">IFERROR(__xludf.DUMMYFUNCTION("""COMPUTED_VALUE"""),0)</f>
        <v>0</v>
      </c>
      <c r="BS325" s="30" t="str">
        <f ca="1">IFERROR(__xludf.DUMMYFUNCTION("""COMPUTED_VALUE"""),"Zona centro")</f>
        <v>Zona centro</v>
      </c>
      <c r="BT325" s="30"/>
      <c r="BU325" s="30"/>
      <c r="BV325" s="30"/>
      <c r="BW325" s="30">
        <f ca="1">IFERROR(__xludf.DUMMYFUNCTION("""COMPUTED_VALUE"""),5969)</f>
        <v>5969</v>
      </c>
      <c r="BX325" s="30">
        <f ca="1">IFERROR(__xludf.DUMMYFUNCTION("""COMPUTED_VALUE"""),14)</f>
        <v>14</v>
      </c>
      <c r="BY325" s="30">
        <f ca="1">IFERROR(__xludf.DUMMYFUNCTION("""COMPUTED_VALUE"""),5955)</f>
        <v>5955</v>
      </c>
      <c r="BZ325" s="30" t="str">
        <f ca="1">IFERROR(__xludf.DUMMYFUNCTION("""COMPUTED_VALUE"""),"Zona centro")</f>
        <v>Zona centro</v>
      </c>
      <c r="CA325" s="30" t="str">
        <f ca="1">IFERROR(__xludf.DUMMYFUNCTION("""COMPUTED_VALUE"""),"No")</f>
        <v>No</v>
      </c>
      <c r="CB325" s="30" t="str">
        <f ca="1">IFERROR(__xludf.DUMMYFUNCTION("""COMPUTED_VALUE"""),"No")</f>
        <v>No</v>
      </c>
      <c r="CC325" s="30" t="str">
        <f ca="1">IFERROR(__xludf.DUMMYFUNCTION("""COMPUTED_VALUE"""),"e9152173")</f>
        <v>e9152173</v>
      </c>
      <c r="CD325" s="29" t="str">
        <f ca="1">IFERROR(__xludf.DUMMYFUNCTION("""COMPUTED_VALUE"""),"Adultos (30 a 59 años)")</f>
        <v>Adultos (30 a 59 años)</v>
      </c>
      <c r="CE325" s="30" t="str">
        <f ca="1">IFERROR(__xludf.DUMMYFUNCTION("""COMPUTED_VALUE"""),"Dato global")</f>
        <v>Dato global</v>
      </c>
      <c r="CF325" s="30" t="str">
        <f ca="1">IFERROR(__xludf.DUMMYFUNCTION("""COMPUTED_VALUE"""),"Ninguno (Población General)")</f>
        <v>Ninguno (Población General)</v>
      </c>
      <c r="CG325" s="30">
        <f ca="1">IFERROR(__xludf.DUMMYFUNCTION("""COMPUTED_VALUE"""),22)</f>
        <v>22</v>
      </c>
      <c r="CJ325" s="29"/>
      <c r="CM325" s="30" t="str">
        <f ca="1">IFERROR(__xludf.DUMMYFUNCTION("""COMPUTED_VALUE"""),"León")</f>
        <v>León</v>
      </c>
      <c r="CN325" s="32" t="e">
        <f ca="1"/>
        <v>#NAME?</v>
      </c>
      <c r="CO325" s="32" t="e">
        <f ca="1"/>
        <v>#NAME?</v>
      </c>
      <c r="CP325" s="32" t="e">
        <f ca="1"/>
        <v>#NAME?</v>
      </c>
      <c r="CQ325" s="32" t="e">
        <f ca="1"/>
        <v>#NAME?</v>
      </c>
      <c r="CR325" s="30" t="e">
        <f ca="1"/>
        <v>#NAME?</v>
      </c>
      <c r="CS325" s="30" t="str">
        <f ca="1">IFERROR(__xludf.DUMMYFUNCTION("""COMPUTED_VALUE"""),"Comunidad LGBTIQ+")</f>
        <v>Comunidad LGBTIQ+</v>
      </c>
    </row>
    <row r="326" spans="1:97" ht="13">
      <c r="A326" s="29" t="str">
        <f ca="1">IFERROR(__xludf.DUMMYFUNCTION("""COMPUTED_VALUE"""),"ACT-SCBR91119")</f>
        <v>ACT-SCBR91119</v>
      </c>
      <c r="B326" s="30" t="str">
        <f ca="1">IFERROR(__xludf.DUMMYFUNCTION("""COMPUTED_VALUE"""),"SC-260821-123728")</f>
        <v>SC-260821-123728</v>
      </c>
      <c r="C326" s="62">
        <f ca="1">IFERROR(__xludf.DUMMYFUNCTION("""COMPUTED_VALUE"""),46255.5260185185)</f>
        <v>46255.526018518503</v>
      </c>
      <c r="D326" s="30">
        <f ca="1">IFERROR(__xludf.DUMMYFUNCTION("""COMPUTED_VALUE"""),92)</f>
        <v>92</v>
      </c>
      <c r="E326" s="30" t="str">
        <f ca="1">IFERROR(__xludf.DUMMYFUNCTION("""COMPUTED_VALUE"""),"PB3572")</f>
        <v>PB3572</v>
      </c>
      <c r="F32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2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26" s="30" t="str">
        <f ca="1">IFERROR(__xludf.DUMMYFUNCTION("""COMPUTED_VALUE"""),"SUBSECRETARÍA DE DESARROLLO Y PROMOCIÓN ARTÍSTICA Y CULTURAL")</f>
        <v>SUBSECRETARÍA DE DESARROLLO Y PROMOCIÓN ARTÍSTICA Y CULTURAL</v>
      </c>
      <c r="I326" s="34" t="str">
        <f ca="1">IFERROR(__xludf.DUMMYFUNCTION("""COMPUTED_VALUE"""),"DIRECCIÓN GENERAL DE MUSEOS, ARTES VISUALES Y EXPOSICIONES")</f>
        <v>DIRECCIÓN GENERAL DE MUSEOS, ARTES VISUALES Y EXPOSICIONES</v>
      </c>
      <c r="J326" s="30" t="str">
        <f ca="1">IFERROR(__xludf.DUMMYFUNCTION("""COMPUTED_VALUE"""),"Número de Actividades realizadas")</f>
        <v>Número de Actividades realizadas</v>
      </c>
      <c r="K326" s="30">
        <f ca="1">IFERROR(__xludf.DUMMYFUNCTION("""COMPUTED_VALUE"""),800)</f>
        <v>800</v>
      </c>
      <c r="L326" s="30" t="str">
        <f ca="1">IFERROR(__xludf.DUMMYFUNCTION("""COMPUTED_VALUE"""),"Artística")</f>
        <v>Artística</v>
      </c>
      <c r="M326" s="30" t="str">
        <f ca="1">IFERROR(__xludf.DUMMYFUNCTION("""COMPUTED_VALUE"""),"Verano en el museo: Recorrido por ¡Moda hoy! Diseño latinoamericanex y latinex")</f>
        <v>Verano en el museo: Recorrido por ¡Moda hoy! Diseño latinoamericanex y latinex</v>
      </c>
      <c r="N326" s="30" t="str">
        <f ca="1">IFERROR(__xludf.DUMMYFUNCTION("""COMPUTED_VALUE"""),"Recorrido guiado por el museo")</f>
        <v>Recorrido guiado por el museo</v>
      </c>
      <c r="O326" s="30" t="str">
        <f ca="1">IFERROR(__xludf.DUMMYFUNCTION("""COMPUTED_VALUE"""),"Única")</f>
        <v>Única</v>
      </c>
      <c r="P326" s="33">
        <f ca="1">IFERROR(__xludf.DUMMYFUNCTION("""COMPUTED_VALUE"""),46228)</f>
        <v>46228</v>
      </c>
      <c r="Q326" s="33">
        <f ca="1">IFERROR(__xludf.DUMMYFUNCTION("""COMPUTED_VALUE"""),46228)</f>
        <v>46228</v>
      </c>
      <c r="R326" s="30">
        <f ca="1">IFERROR(__xludf.DUMMYFUNCTION("""COMPUTED_VALUE"""),1)</f>
        <v>1</v>
      </c>
      <c r="S326" s="30" t="str">
        <f ca="1">IFERROR(__xludf.DUMMYFUNCTION("""COMPUTED_VALUE"""),"Cultura comunitaria")</f>
        <v>Cultura comunitaria</v>
      </c>
      <c r="T326" s="30" t="str">
        <f ca="1">IFERROR(__xludf.DUMMYFUNCTION("""COMPUTED_VALUE"""),"Formación comunitaria")</f>
        <v>Formación comunitaria</v>
      </c>
      <c r="U326" s="30" t="str">
        <f ca="1">IFERROR(__xludf.DUMMYFUNCTION("""COMPUTED_VALUE"""),"Visitas guiadas")</f>
        <v>Visitas guiadas</v>
      </c>
      <c r="V326" s="30" t="str">
        <f ca="1">IFERROR(__xludf.DUMMYFUNCTION("""COMPUTED_VALUE"""),"Ninguna")</f>
        <v>Ninguna</v>
      </c>
      <c r="W326" s="30" t="str">
        <f ca="1">IFERROR(__xludf.DUMMYFUNCTION("""COMPUTED_VALUE"""),"Presencial")</f>
        <v>Presencial</v>
      </c>
      <c r="X326" s="30" t="str">
        <f ca="1">IFERROR(__xludf.DUMMYFUNCTION("""COMPUTED_VALUE"""),"Espacio a Cargo de la Secretaría")</f>
        <v>Espacio a Cargo de la Secretaría</v>
      </c>
      <c r="Y326" s="30" t="str">
        <f ca="1">IFERROR(__xludf.DUMMYFUNCTION("""COMPUTED_VALUE"""),"Museo del Pueblo de Guanajuato")</f>
        <v>Museo del Pueblo de Guanajuato</v>
      </c>
      <c r="Z326" s="30"/>
      <c r="AA326" s="30"/>
      <c r="AB326" s="30" t="b">
        <f ca="1">IFERROR(__xludf.DUMMYFUNCTION("""COMPUTED_VALUE"""),FALSE)</f>
        <v>0</v>
      </c>
      <c r="AC326" s="30"/>
      <c r="AD326" s="30" t="b">
        <f ca="1">IFERROR(__xludf.DUMMYFUNCTION("""COMPUTED_VALUE"""),FALSE)</f>
        <v>0</v>
      </c>
      <c r="AE326" s="30"/>
      <c r="AF326" s="30" t="b">
        <f ca="1">IFERROR(__xludf.DUMMYFUNCTION("""COMPUTED_VALUE"""),FALSE)</f>
        <v>0</v>
      </c>
      <c r="AG326" s="30"/>
      <c r="AH326" s="30" t="str">
        <f ca="1">IFERROR(__xludf.DUMMYFUNCTION("""COMPUTED_VALUE"""),"Sin costo")</f>
        <v>Sin costo</v>
      </c>
      <c r="AI326" s="30"/>
      <c r="AJ326" s="30"/>
      <c r="AK326" s="30"/>
      <c r="AL326" s="30" t="str">
        <f ca="1">IFERROR(__xludf.DUMMYFUNCTION("""COMPUTED_VALUE"""),"ccardonav@guanajuato.gob.mx")</f>
        <v>ccardonav@guanajuato.gob.mx</v>
      </c>
      <c r="AM326" s="30" t="str">
        <f ca="1">IFERROR(__xludf.DUMMYFUNCTION("""COMPUTED_VALUE"""),"Arraigo y empoderamiento cultural de comunidades.")</f>
        <v>Arraigo y empoderamiento cultural de comunidades.</v>
      </c>
      <c r="AN326" s="30" t="str">
        <f ca="1">IFERROR(__xludf.DUMMYFUNCTION("""COMPUTED_VALUE"""),"1 Tranquilidad")</f>
        <v>1 Tranquilidad</v>
      </c>
      <c r="AO326" s="30" t="str">
        <f ca="1">IFERROR(__xludf.DUMMYFUNCTION("""COMPUTED_VALUE"""),"1.2 Fortalecer prevención del delito")</f>
        <v>1.2 Fortalecer prevención del delito</v>
      </c>
      <c r="AP326" s="30" t="str">
        <f ca="1">IFERROR(__xludf.DUMMYFUNCTION("""COMPUTED_VALUE"""),"1.2.2 Fortalecimiento del tejido social")</f>
        <v>1.2.2 Fortalecimiento del tejido social</v>
      </c>
      <c r="AQ326" s="30" t="str">
        <f ca="1">IFERROR(__xludf.DUMMYFUNCTION("""COMPUTED_VALUE"""),"1.2.3.4 Promover una cultura de paz desde las expresiones artísticas y culturales")</f>
        <v>1.2.3.4 Promover una cultura de paz desde las expresiones artísticas y culturales</v>
      </c>
      <c r="AR326" s="30" t="str">
        <f ca="1">IFERROR(__xludf.DUMMYFUNCTION("""COMPUTED_VALUE"""),"Inclusión")</f>
        <v>Inclusión</v>
      </c>
      <c r="AS326" s="30" t="str">
        <f ca="1">IFERROR(__xludf.DUMMYFUNCTION("""COMPUTED_VALUE"""),"NNA (Niñas, Niños y Adolescentes)")</f>
        <v>NNA (Niñas, Niños y Adolescentes)</v>
      </c>
      <c r="AT326" s="30" t="str">
        <f ca="1">IFERROR(__xludf.DUMMYFUNCTION("""COMPUTED_VALUE"""),"Fortalecimiento de la participación ciudadana y la mediación cultural")</f>
        <v>Fortalecimiento de la participación ciudadana y la mediación cultural</v>
      </c>
      <c r="AU326" s="30" t="str">
        <f ca="1">IFERROR(__xludf.DUMMYFUNCTION("""COMPUTED_VALUE"""),"Impulso a la ampliación de la oferta cultural en los territorios.")</f>
        <v>Impulso a la ampliación de la oferta cultural en los territorios.</v>
      </c>
      <c r="AV32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6" s="30" t="str">
        <f ca="1">IFERROR(__xludf.DUMMYFUNCTION("""COMPUTED_VALUE"""),"Incrementar en 25% la oferta cultural realizada en los municipios.")</f>
        <v>Incrementar en 25% la oferta cultural realizada en los municipios.</v>
      </c>
      <c r="AX326" s="30" t="str">
        <f ca="1">IFERROR(__xludf.DUMMYFUNCTION("""COMPUTED_VALUE"""),"Visitas guiadas")</f>
        <v>Visitas guiadas</v>
      </c>
      <c r="AY326" s="30" t="str">
        <f ca="1">IFERROR(__xludf.DUMMYFUNCTION("""COMPUTED_VALUE"""),"Formación")</f>
        <v>Formación</v>
      </c>
      <c r="AZ326" s="30"/>
      <c r="BA326" s="30"/>
      <c r="BB326" s="30"/>
      <c r="BC326" s="30">
        <f ca="1">IFERROR(__xludf.DUMMYFUNCTION("""COMPUTED_VALUE"""),0)</f>
        <v>0</v>
      </c>
      <c r="BD326" s="30"/>
      <c r="BE326" s="30"/>
      <c r="BF326" s="30" t="b">
        <f ca="1">IFERROR(__xludf.DUMMYFUNCTION("""COMPUTED_VALUE"""),FALSE)</f>
        <v>0</v>
      </c>
      <c r="BG326" s="30"/>
      <c r="BH326" s="30"/>
      <c r="BI326" s="30"/>
      <c r="BJ326" s="30"/>
      <c r="BK326" s="30"/>
      <c r="BL326" s="30"/>
      <c r="BM326" s="30" t="str">
        <f ca="1">IFERROR(__xludf.DUMMYFUNCTION("""COMPUTED_VALUE"""),"No")</f>
        <v>No</v>
      </c>
      <c r="BN326" s="30"/>
      <c r="BO326" s="30" t="str">
        <f ca="1">IFERROR(__xludf.DUMMYFUNCTION("""COMPUTED_VALUE"""),"086d77b6")</f>
        <v>086d77b6</v>
      </c>
      <c r="BP326" s="29" t="str">
        <f ca="1">IFERROR(__xludf.DUMMYFUNCTION("""COMPUTED_VALUE"""),"León")</f>
        <v>León</v>
      </c>
      <c r="BQ326" s="30" t="str">
        <f ca="1">IFERROR(__xludf.DUMMYFUNCTION("""COMPUTED_VALUE"""),"Urbano")</f>
        <v>Urbano</v>
      </c>
      <c r="BR326" s="30"/>
      <c r="BS326" s="30" t="str">
        <f ca="1">IFERROR(__xludf.DUMMYFUNCTION("""COMPUTED_VALUE"""),"Zona centro")</f>
        <v>Zona centro</v>
      </c>
      <c r="BT326" s="30"/>
      <c r="BU326" s="30" t="str">
        <f ca="1">IFERROR(__xludf.DUMMYFUNCTION("""COMPUTED_VALUE"""),"No")</f>
        <v>No</v>
      </c>
      <c r="BV326" s="30" t="str">
        <f ca="1">IFERROR(__xludf.DUMMYFUNCTION("""COMPUTED_VALUE"""),"No")</f>
        <v>No</v>
      </c>
      <c r="BW326" s="30">
        <f ca="1">IFERROR(__xludf.DUMMYFUNCTION("""COMPUTED_VALUE"""),118)</f>
        <v>118</v>
      </c>
      <c r="BX326" s="30"/>
      <c r="BY326" s="30">
        <f ca="1">IFERROR(__xludf.DUMMYFUNCTION("""COMPUTED_VALUE"""),118)</f>
        <v>118</v>
      </c>
      <c r="BZ326" s="30" t="str">
        <f ca="1">IFERROR(__xludf.DUMMYFUNCTION("""COMPUTED_VALUE"""),"Zona centro")</f>
        <v>Zona centro</v>
      </c>
      <c r="CA326" s="30" t="str">
        <f ca="1">IFERROR(__xludf.DUMMYFUNCTION("""COMPUTED_VALUE"""),"No")</f>
        <v>No</v>
      </c>
      <c r="CB326" s="30" t="str">
        <f ca="1">IFERROR(__xludf.DUMMYFUNCTION("""COMPUTED_VALUE"""),"No")</f>
        <v>No</v>
      </c>
      <c r="CC326" s="30" t="str">
        <f ca="1">IFERROR(__xludf.DUMMYFUNCTION("""COMPUTED_VALUE"""),"e5b6dbb6")</f>
        <v>e5b6dbb6</v>
      </c>
      <c r="CD326" s="29" t="str">
        <f ca="1">IFERROR(__xludf.DUMMYFUNCTION("""COMPUTED_VALUE"""),"Adultos Mayores (60 años o más)")</f>
        <v>Adultos Mayores (60 años o más)</v>
      </c>
      <c r="CE326" s="30" t="str">
        <f ca="1">IFERROR(__xludf.DUMMYFUNCTION("""COMPUTED_VALUE"""),"Dato global")</f>
        <v>Dato global</v>
      </c>
      <c r="CF326" s="30" t="str">
        <f ca="1">IFERROR(__xludf.DUMMYFUNCTION("""COMPUTED_VALUE"""),"Ninguno (Población General)")</f>
        <v>Ninguno (Población General)</v>
      </c>
      <c r="CG326" s="30">
        <f ca="1">IFERROR(__xludf.DUMMYFUNCTION("""COMPUTED_VALUE"""),2)</f>
        <v>2</v>
      </c>
      <c r="CJ326" s="29"/>
      <c r="CM326" s="30" t="str">
        <f ca="1">IFERROR(__xludf.DUMMYFUNCTION("""COMPUTED_VALUE"""),"San Miguel de Allende")</f>
        <v>San Miguel de Allende</v>
      </c>
      <c r="CN326" s="32" t="e">
        <f ca="1"/>
        <v>#NAME?</v>
      </c>
      <c r="CO326" s="32" t="e">
        <f ca="1"/>
        <v>#NAME?</v>
      </c>
      <c r="CP326" s="32" t="e">
        <f ca="1"/>
        <v>#NAME?</v>
      </c>
      <c r="CQ326" s="32" t="e">
        <f ca="1"/>
        <v>#NAME?</v>
      </c>
      <c r="CR326" s="30" t="e">
        <f ca="1"/>
        <v>#NAME?</v>
      </c>
      <c r="CS326" s="30" t="str">
        <f ca="1">IFERROR(__xludf.DUMMYFUNCTION("""COMPUTED_VALUE"""),"NNA (Niñas, Niños y Adolescentes), NNA (Niñas, Niños y Adolescentes)")</f>
        <v>NNA (Niñas, Niños y Adolescentes), NNA (Niñas, Niños y Adolescentes)</v>
      </c>
    </row>
    <row r="327" spans="1:97" ht="13">
      <c r="A327" s="29" t="str">
        <f ca="1">IFERROR(__xludf.DUMMYFUNCTION("""COMPUTED_VALUE"""),"ACT-SCXX09472")</f>
        <v>ACT-SCXX09472</v>
      </c>
      <c r="B327" s="30" t="str">
        <f ca="1">IFERROR(__xludf.DUMMYFUNCTION("""COMPUTED_VALUE"""),"SC-260827-095836")</f>
        <v>SC-260827-095836</v>
      </c>
      <c r="C327" s="62">
        <f ca="1">IFERROR(__xludf.DUMMYFUNCTION("""COMPUTED_VALUE"""),46261.4156944444)</f>
        <v>46261.415694444397</v>
      </c>
      <c r="D327" s="30">
        <f ca="1">IFERROR(__xludf.DUMMYFUNCTION("""COMPUTED_VALUE"""),88)</f>
        <v>88</v>
      </c>
      <c r="E327" s="30" t="str">
        <f ca="1">IFERROR(__xludf.DUMMYFUNCTION("""COMPUTED_VALUE"""),"PB3573")</f>
        <v>PB3573</v>
      </c>
      <c r="F327" s="30" t="str">
        <f ca="1">IFERROR(__xludf.DUMMYFUNCTION("""COMPUTED_VALUE"""),"Fortalecimiento del libro y sus plataformas: creación, producción, distribución e impulso a creadores")</f>
        <v>Fortalecimiento del libro y sus plataformas: creación, producción, distribución e impulso a creadores</v>
      </c>
      <c r="G327" s="30" t="str">
        <f ca="1">IFERROR(__xludf.DUMMYFUNCTION("""COMPUTED_VALUE"""),"Actividades de promoción y difusión de productos editoriales de manera presencial como son presentaciones de libros en diferentes municipios.")</f>
        <v>Actividades de promoción y difusión de productos editoriales de manera presencial como son presentaciones de libros en diferentes municipios.</v>
      </c>
      <c r="H327" s="30" t="str">
        <f ca="1">IFERROR(__xludf.DUMMYFUNCTION("""COMPUTED_VALUE"""),"SUBSECRETARÍA DE DESARROLLO Y PROMOCIÓN ARTÍSTICA Y CULTURAL")</f>
        <v>SUBSECRETARÍA DE DESARROLLO Y PROMOCIÓN ARTÍSTICA Y CULTURAL</v>
      </c>
      <c r="I327" s="34" t="str">
        <f ca="1">IFERROR(__xludf.DUMMYFUNCTION("""COMPUTED_VALUE"""),"DIRECCIÓN GENERAL DE EDITORIAL Y PUBLICACIONES")</f>
        <v>DIRECCIÓN GENERAL DE EDITORIAL Y PUBLICACIONES</v>
      </c>
      <c r="J327" s="30" t="str">
        <f ca="1">IFERROR(__xludf.DUMMYFUNCTION("""COMPUTED_VALUE"""),"Presentaciones realizadas")</f>
        <v>Presentaciones realizadas</v>
      </c>
      <c r="K327" s="30">
        <f ca="1">IFERROR(__xludf.DUMMYFUNCTION("""COMPUTED_VALUE"""),92)</f>
        <v>92</v>
      </c>
      <c r="L327" s="30" t="str">
        <f ca="1">IFERROR(__xludf.DUMMYFUNCTION("""COMPUTED_VALUE"""),"Cultural")</f>
        <v>Cultural</v>
      </c>
      <c r="M327" s="30" t="str">
        <f ca="1">IFERROR(__xludf.DUMMYFUNCTION("""COMPUTED_VALUE"""),"Premiación Premio Nacional de Poesía Efraín Huerta")</f>
        <v>Premiación Premio Nacional de Poesía Efraín Huerta</v>
      </c>
      <c r="N327" s="30" t="str">
        <f ca="1">IFERROR(__xludf.DUMMYFUNCTION("""COMPUTED_VALUE"""),"Premiación")</f>
        <v>Premiación</v>
      </c>
      <c r="O327" s="30" t="str">
        <f ca="1">IFERROR(__xludf.DUMMYFUNCTION("""COMPUTED_VALUE"""),"Única")</f>
        <v>Única</v>
      </c>
      <c r="P327" s="33">
        <f ca="1">IFERROR(__xludf.DUMMYFUNCTION("""COMPUTED_VALUE"""),46072)</f>
        <v>46072</v>
      </c>
      <c r="Q327" s="33">
        <f ca="1">IFERROR(__xludf.DUMMYFUNCTION("""COMPUTED_VALUE"""),46072)</f>
        <v>46072</v>
      </c>
      <c r="R327" s="30">
        <f ca="1">IFERROR(__xludf.DUMMYFUNCTION("""COMPUTED_VALUE"""),1)</f>
        <v>1</v>
      </c>
      <c r="S327" s="30" t="str">
        <f ca="1">IFERROR(__xludf.DUMMYFUNCTION("""COMPUTED_VALUE"""),"Cultura comunitaria")</f>
        <v>Cultura comunitaria</v>
      </c>
      <c r="T327" s="30" t="str">
        <f ca="1">IFERROR(__xludf.DUMMYFUNCTION("""COMPUTED_VALUE"""),"Gestión cultural")</f>
        <v>Gestión cultural</v>
      </c>
      <c r="U327" s="30" t="str">
        <f ca="1">IFERROR(__xludf.DUMMYFUNCTION("""COMPUTED_VALUE"""),"Ceremonia de Premiación")</f>
        <v>Ceremonia de Premiación</v>
      </c>
      <c r="V327" s="30" t="str">
        <f ca="1">IFERROR(__xludf.DUMMYFUNCTION("""COMPUTED_VALUE"""),"Entrega de estímulos")</f>
        <v>Entrega de estímulos</v>
      </c>
      <c r="W327" s="30" t="str">
        <f ca="1">IFERROR(__xludf.DUMMYFUNCTION("""COMPUTED_VALUE"""),"Presencial")</f>
        <v>Presencial</v>
      </c>
      <c r="X327" s="30" t="str">
        <f ca="1">IFERROR(__xludf.DUMMYFUNCTION("""COMPUTED_VALUE"""),"Espacio Público")</f>
        <v>Espacio Público</v>
      </c>
      <c r="Y327" s="30"/>
      <c r="Z327" s="30" t="str">
        <f ca="1">IFERROR(__xludf.DUMMYFUNCTION("""COMPUTED_VALUE"""),"Foyer Teatro Juárez")</f>
        <v>Foyer Teatro Juárez</v>
      </c>
      <c r="AA327" s="30"/>
      <c r="AB327" s="30" t="b">
        <f ca="1">IFERROR(__xludf.DUMMYFUNCTION("""COMPUTED_VALUE"""),FALSE)</f>
        <v>0</v>
      </c>
      <c r="AC327" s="30"/>
      <c r="AD327" s="30" t="b">
        <f ca="1">IFERROR(__xludf.DUMMYFUNCTION("""COMPUTED_VALUE"""),FALSE)</f>
        <v>0</v>
      </c>
      <c r="AE327" s="30"/>
      <c r="AF327" s="30" t="b">
        <f ca="1">IFERROR(__xludf.DUMMYFUNCTION("""COMPUTED_VALUE"""),FALSE)</f>
        <v>0</v>
      </c>
      <c r="AG327" s="30"/>
      <c r="AH327" s="30" t="str">
        <f ca="1">IFERROR(__xludf.DUMMYFUNCTION("""COMPUTED_VALUE"""),"Sin costo")</f>
        <v>Sin costo</v>
      </c>
      <c r="AI327" s="30"/>
      <c r="AJ327" s="30"/>
      <c r="AK327" s="30"/>
      <c r="AL327" s="30" t="str">
        <f ca="1">IFERROR(__xludf.DUMMYFUNCTION("""COMPUTED_VALUE"""),"fmolinar@guanajuato.gob.mx")</f>
        <v>fmolinar@guanajuato.gob.mx</v>
      </c>
      <c r="AM327" s="30" t="str">
        <f ca="1">IFERROR(__xludf.DUMMYFUNCTION("""COMPUTED_VALUE"""),"Mayor inversión en conservación del patrimonio artístico y cultural.")</f>
        <v>Mayor inversión en conservación del patrimonio artístico y cultural.</v>
      </c>
      <c r="AN327" s="30" t="str">
        <f ca="1">IFERROR(__xludf.DUMMYFUNCTION("""COMPUTED_VALUE"""),"1 Tranquilidad")</f>
        <v>1 Tranquilidad</v>
      </c>
      <c r="AO327" s="30" t="str">
        <f ca="1">IFERROR(__xludf.DUMMYFUNCTION("""COMPUTED_VALUE"""),"1.2 Fortalecer prevención del delito")</f>
        <v>1.2 Fortalecer prevención del delito</v>
      </c>
      <c r="AP327" s="30" t="str">
        <f ca="1">IFERROR(__xludf.DUMMYFUNCTION("""COMPUTED_VALUE"""),"1.2.2 Fortalecimiento del tejido social")</f>
        <v>1.2.2 Fortalecimiento del tejido social</v>
      </c>
      <c r="AQ327" s="30" t="str">
        <f ca="1">IFERROR(__xludf.DUMMYFUNCTION("""COMPUTED_VALUE"""),"1.2.3.4 Promover una cultura de paz desde las expresiones artísticas y culturales")</f>
        <v>1.2.3.4 Promover una cultura de paz desde las expresiones artísticas y culturales</v>
      </c>
      <c r="AR327" s="30" t="str">
        <f ca="1">IFERROR(__xludf.DUMMYFUNCTION("""COMPUTED_VALUE"""),"Ninguno")</f>
        <v>Ninguno</v>
      </c>
      <c r="AS327" s="30" t="str">
        <f ca="1">IFERROR(__xludf.DUMMYFUNCTION("""COMPUTED_VALUE"""),"Ninguno (Población General)")</f>
        <v>Ninguno (Población General)</v>
      </c>
      <c r="AT327" s="30" t="str">
        <f ca="1">IFERROR(__xludf.DUMMYFUNCTION("""COMPUTED_VALUE"""),"Fortalecimiento de la participación ciudadana y la mediación cultural")</f>
        <v>Fortalecimiento de la participación ciudadana y la mediación cultural</v>
      </c>
      <c r="AU327" s="30" t="str">
        <f ca="1">IFERROR(__xludf.DUMMYFUNCTION("""COMPUTED_VALUE"""),"Impulso a la ampliación de la oferta cultural en los territorios.")</f>
        <v>Impulso a la ampliación de la oferta cultural en los territorios.</v>
      </c>
      <c r="AV32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27" s="30" t="str">
        <f ca="1">IFERROR(__xludf.DUMMYFUNCTION("""COMPUTED_VALUE"""),"Incrementar en 25% la oferta cultural realizada en los municipios.")</f>
        <v>Incrementar en 25% la oferta cultural realizada en los municipios.</v>
      </c>
      <c r="AX327" s="30" t="str">
        <f ca="1">IFERROR(__xludf.DUMMYFUNCTION("""COMPUTED_VALUE"""),"Ceremonia")</f>
        <v>Ceremonia</v>
      </c>
      <c r="AY327" s="30" t="str">
        <f ca="1">IFERROR(__xludf.DUMMYFUNCTION("""COMPUTED_VALUE"""),"Creación")</f>
        <v>Creación</v>
      </c>
      <c r="AZ327" s="30"/>
      <c r="BA327" s="30"/>
      <c r="BB327" s="30">
        <f ca="1">IFERROR(__xludf.DUMMYFUNCTION("""COMPUTED_VALUE"""),1)</f>
        <v>1</v>
      </c>
      <c r="BC327" s="30">
        <f ca="1">IFERROR(__xludf.DUMMYFUNCTION("""COMPUTED_VALUE"""),1)</f>
        <v>1</v>
      </c>
      <c r="BD327" s="30" t="str">
        <f ca="1">IFERROR(__xludf.DUMMYFUNCTION("""COMPUTED_VALUE"""),"Nuevo")</f>
        <v>Nuevo</v>
      </c>
      <c r="BE327" s="30" t="str">
        <f ca="1">IFERROR(__xludf.DUMMYFUNCTION("""COMPUTED_VALUE"""),"Minerva Reynoso")</f>
        <v>Minerva Reynoso</v>
      </c>
      <c r="BF327" s="30" t="b">
        <f ca="1">IFERROR(__xludf.DUMMYFUNCTION("""COMPUTED_VALUE"""),FALSE)</f>
        <v>0</v>
      </c>
      <c r="BG327" s="30"/>
      <c r="BH327" s="30">
        <f ca="1">IFERROR(__xludf.DUMMYFUNCTION("""COMPUTED_VALUE"""),0)</f>
        <v>0</v>
      </c>
      <c r="BI327" s="30"/>
      <c r="BJ327" s="30"/>
      <c r="BK327" s="30"/>
      <c r="BL327" s="30"/>
      <c r="BM327" s="30" t="str">
        <f ca="1">IFERROR(__xludf.DUMMYFUNCTION("""COMPUTED_VALUE"""),"No")</f>
        <v>No</v>
      </c>
      <c r="BN327" s="30"/>
      <c r="BO327" s="30" t="str">
        <f ca="1">IFERROR(__xludf.DUMMYFUNCTION("""COMPUTED_VALUE"""),"35b295f4")</f>
        <v>35b295f4</v>
      </c>
      <c r="BP327" s="29" t="str">
        <f ca="1">IFERROR(__xludf.DUMMYFUNCTION("""COMPUTED_VALUE"""),"San Miguel de Allende")</f>
        <v>San Miguel de Allende</v>
      </c>
      <c r="BQ327" s="30" t="str">
        <f ca="1">IFERROR(__xludf.DUMMYFUNCTION("""COMPUTED_VALUE"""),"Rural")</f>
        <v>Rural</v>
      </c>
      <c r="BR327" s="30">
        <f ca="1">IFERROR(__xludf.DUMMYFUNCTION("""COMPUTED_VALUE"""),204)</f>
        <v>204</v>
      </c>
      <c r="BS327" s="30" t="str">
        <f ca="1">IFERROR(__xludf.DUMMYFUNCTION("""COMPUTED_VALUE"""),"San Miguel de Allende")</f>
        <v>San Miguel de Allende</v>
      </c>
      <c r="BT327" s="30"/>
      <c r="BU327" s="30" t="str">
        <f ca="1">IFERROR(__xludf.DUMMYFUNCTION("""COMPUTED_VALUE"""),"Si")</f>
        <v>Si</v>
      </c>
      <c r="BV327" s="30" t="str">
        <f ca="1">IFERROR(__xludf.DUMMYFUNCTION("""COMPUTED_VALUE"""),"Si")</f>
        <v>Si</v>
      </c>
      <c r="BW327" s="30">
        <f ca="1">IFERROR(__xludf.DUMMYFUNCTION("""COMPUTED_VALUE"""),49465)</f>
        <v>49465</v>
      </c>
      <c r="BX327" s="30"/>
      <c r="BY327" s="30">
        <f ca="1">IFERROR(__xludf.DUMMYFUNCTION("""COMPUTED_VALUE"""),49465)</f>
        <v>49465</v>
      </c>
      <c r="BZ327" s="30" t="str">
        <f ca="1">IFERROR(__xludf.DUMMYFUNCTION("""COMPUTED_VALUE"""),"San Miguel de Allende")</f>
        <v>San Miguel de Allende</v>
      </c>
      <c r="CA327" s="30" t="str">
        <f ca="1">IFERROR(__xludf.DUMMYFUNCTION("""COMPUTED_VALUE"""),"No")</f>
        <v>No</v>
      </c>
      <c r="CB327" s="30" t="str">
        <f ca="1">IFERROR(__xludf.DUMMYFUNCTION("""COMPUTED_VALUE"""),"No")</f>
        <v>No</v>
      </c>
      <c r="CC327" s="30" t="str">
        <f ca="1">IFERROR(__xludf.DUMMYFUNCTION("""COMPUTED_VALUE"""),"014ccd21")</f>
        <v>014ccd21</v>
      </c>
      <c r="CD327" s="29" t="str">
        <f ca="1">IFERROR(__xludf.DUMMYFUNCTION("""COMPUTED_VALUE"""),"Niñas y Niños (6 a 12 años)")</f>
        <v>Niñas y Niños (6 a 12 años)</v>
      </c>
      <c r="CE327" s="30" t="str">
        <f ca="1">IFERROR(__xludf.DUMMYFUNCTION("""COMPUTED_VALUE"""),"Dato global")</f>
        <v>Dato global</v>
      </c>
      <c r="CF327" s="30" t="str">
        <f ca="1">IFERROR(__xludf.DUMMYFUNCTION("""COMPUTED_VALUE"""),"Ninguno (Población General)")</f>
        <v>Ninguno (Población General)</v>
      </c>
      <c r="CG327" s="30">
        <f ca="1">IFERROR(__xludf.DUMMYFUNCTION("""COMPUTED_VALUE"""),37)</f>
        <v>37</v>
      </c>
      <c r="CJ327" s="29"/>
      <c r="CM327" s="30" t="str">
        <f ca="1">IFERROR(__xludf.DUMMYFUNCTION("""COMPUTED_VALUE"""),"León")</f>
        <v>León</v>
      </c>
      <c r="CN327" s="32" t="e">
        <f ca="1"/>
        <v>#NAME?</v>
      </c>
      <c r="CO327" s="32" t="e">
        <f ca="1"/>
        <v>#NAME?</v>
      </c>
      <c r="CP327" s="32" t="e">
        <f ca="1"/>
        <v>#NAME?</v>
      </c>
      <c r="CQ327" s="32" t="e">
        <f ca="1"/>
        <v>#NAME?</v>
      </c>
      <c r="CR327" s="30" t="e">
        <f ca="1"/>
        <v>#NAME?</v>
      </c>
      <c r="CS327" s="30" t="str">
        <f ca="1">IFERROR(__xludf.DUMMYFUNCTION("""COMPUTED_VALUE"""),"Población General")</f>
        <v>Población General</v>
      </c>
    </row>
    <row r="328" spans="1:97" ht="13">
      <c r="A328" s="29" t="str">
        <f ca="1">IFERROR(__xludf.DUMMYFUNCTION("""COMPUTED_VALUE"""),"ACT-SCHG41917")</f>
        <v>ACT-SCHG41917</v>
      </c>
      <c r="B328" s="30" t="str">
        <f ca="1">IFERROR(__xludf.DUMMYFUNCTION("""COMPUTED_VALUE"""),"SC-260827-102744")</f>
        <v>SC-260827-102744</v>
      </c>
      <c r="C328" s="62">
        <f ca="1">IFERROR(__xludf.DUMMYFUNCTION("""COMPUTED_VALUE"""),46261.4359259259)</f>
        <v>46261.4359259259</v>
      </c>
      <c r="D328" s="30">
        <f ca="1">IFERROR(__xludf.DUMMYFUNCTION("""COMPUTED_VALUE"""),87)</f>
        <v>87</v>
      </c>
      <c r="E328" s="30" t="str">
        <f ca="1">IFERROR(__xludf.DUMMYFUNCTION("""COMPUTED_VALUE"""),"PB3573")</f>
        <v>PB3573</v>
      </c>
      <c r="F328" s="30" t="str">
        <f ca="1">IFERROR(__xludf.DUMMYFUNCTION("""COMPUTED_VALUE"""),"Fortalecimiento del libro y sus plataformas: creación, producción, distribución e impulso a creadores")</f>
        <v>Fortalecimiento del libro y sus plataformas: creación, producción, distribución e impulso a creadores</v>
      </c>
      <c r="G328" s="30" t="str">
        <f ca="1">IFERROR(__xludf.DUMMYFUNCTION("""COMPUTED_VALUE"""),"Participación en ferias de libro nacionales e internacionales")</f>
        <v>Participación en ferias de libro nacionales e internacionales</v>
      </c>
      <c r="H328" s="30" t="str">
        <f ca="1">IFERROR(__xludf.DUMMYFUNCTION("""COMPUTED_VALUE"""),"SUBSECRETARÍA DE DESARROLLO Y PROMOCIÓN ARTÍSTICA Y CULTURAL")</f>
        <v>SUBSECRETARÍA DE DESARROLLO Y PROMOCIÓN ARTÍSTICA Y CULTURAL</v>
      </c>
      <c r="I328" s="34" t="str">
        <f ca="1">IFERROR(__xludf.DUMMYFUNCTION("""COMPUTED_VALUE"""),"DIRECCIÓN GENERAL DE EDITORIAL Y PUBLICACIONES")</f>
        <v>DIRECCIÓN GENERAL DE EDITORIAL Y PUBLICACIONES</v>
      </c>
      <c r="J328" s="30" t="str">
        <f ca="1">IFERROR(__xludf.DUMMYFUNCTION("""COMPUTED_VALUE"""),"Ferias de libros en las que se participa")</f>
        <v>Ferias de libros en las que se participa</v>
      </c>
      <c r="K328" s="30">
        <f ca="1">IFERROR(__xludf.DUMMYFUNCTION("""COMPUTED_VALUE"""),4)</f>
        <v>4</v>
      </c>
      <c r="L328" s="30" t="str">
        <f ca="1">IFERROR(__xludf.DUMMYFUNCTION("""COMPUTED_VALUE"""),"Cultural")</f>
        <v>Cultural</v>
      </c>
      <c r="M328" s="30" t="str">
        <f ca="1">IFERROR(__xludf.DUMMYFUNCTION("""COMPUTED_VALUE"""),"mesa de dialogo")</f>
        <v>mesa de dialogo</v>
      </c>
      <c r="N328" s="30" t="str">
        <f ca="1">IFERROR(__xludf.DUMMYFUNCTION("""COMPUTED_VALUE"""),"Mesas de dialogo de la escritoras")</f>
        <v>Mesas de dialogo de la escritoras</v>
      </c>
      <c r="O328" s="30" t="str">
        <f ca="1">IFERROR(__xludf.DUMMYFUNCTION("""COMPUTED_VALUE"""),"Semanal")</f>
        <v>Semanal</v>
      </c>
      <c r="P328" s="33">
        <f ca="1">IFERROR(__xludf.DUMMYFUNCTION("""COMPUTED_VALUE"""),46085)</f>
        <v>46085</v>
      </c>
      <c r="Q328" s="33">
        <f ca="1">IFERROR(__xludf.DUMMYFUNCTION("""COMPUTED_VALUE"""),46106)</f>
        <v>46106</v>
      </c>
      <c r="R328" s="30">
        <f ca="1">IFERROR(__xludf.DUMMYFUNCTION("""COMPUTED_VALUE"""),4)</f>
        <v>4</v>
      </c>
      <c r="S328" s="30" t="str">
        <f ca="1">IFERROR(__xludf.DUMMYFUNCTION("""COMPUTED_VALUE"""),"Literatura")</f>
        <v>Literatura</v>
      </c>
      <c r="T328" s="30" t="str">
        <f ca="1">IFERROR(__xludf.DUMMYFUNCTION("""COMPUTED_VALUE"""),"Literatura infantil y juvenil")</f>
        <v>Literatura infantil y juvenil</v>
      </c>
      <c r="U328" s="30" t="str">
        <f ca="1">IFERROR(__xludf.DUMMYFUNCTION("""COMPUTED_VALUE"""),"Mesa de trabajo")</f>
        <v>Mesa de trabajo</v>
      </c>
      <c r="V328" s="30" t="str">
        <f ca="1">IFERROR(__xludf.DUMMYFUNCTION("""COMPUTED_VALUE"""),"Ninguna")</f>
        <v>Ninguna</v>
      </c>
      <c r="W328" s="30" t="str">
        <f ca="1">IFERROR(__xludf.DUMMYFUNCTION("""COMPUTED_VALUE"""),"Presencial")</f>
        <v>Presencial</v>
      </c>
      <c r="X328" s="30" t="str">
        <f ca="1">IFERROR(__xludf.DUMMYFUNCTION("""COMPUTED_VALUE"""),"Espacio a Cargo de la Secretaría")</f>
        <v>Espacio a Cargo de la Secretaría</v>
      </c>
      <c r="Y328" s="30" t="str">
        <f ca="1">IFERROR(__xludf.DUMMYFUNCTION("""COMPUTED_VALUE"""),"Museo del Pueblo de Guanajuato")</f>
        <v>Museo del Pueblo de Guanajuato</v>
      </c>
      <c r="Z328" s="30"/>
      <c r="AA328" s="30"/>
      <c r="AB328" s="30" t="b">
        <f ca="1">IFERROR(__xludf.DUMMYFUNCTION("""COMPUTED_VALUE"""),FALSE)</f>
        <v>0</v>
      </c>
      <c r="AC328" s="30"/>
      <c r="AD328" s="30" t="b">
        <f ca="1">IFERROR(__xludf.DUMMYFUNCTION("""COMPUTED_VALUE"""),TRUE)</f>
        <v>1</v>
      </c>
      <c r="AE328" s="30">
        <f ca="1">IFERROR(__xludf.DUMMYFUNCTION("""COMPUTED_VALUE"""),1)</f>
        <v>1</v>
      </c>
      <c r="AF328" s="30" t="b">
        <f ca="1">IFERROR(__xludf.DUMMYFUNCTION("""COMPUTED_VALUE"""),FALSE)</f>
        <v>0</v>
      </c>
      <c r="AG328" s="30"/>
      <c r="AH328" s="30" t="str">
        <f ca="1">IFERROR(__xludf.DUMMYFUNCTION("""COMPUTED_VALUE"""),"Sin costo")</f>
        <v>Sin costo</v>
      </c>
      <c r="AI328" s="30"/>
      <c r="AJ328" s="30"/>
      <c r="AK328" s="30"/>
      <c r="AL328" s="30" t="str">
        <f ca="1">IFERROR(__xludf.DUMMYFUNCTION("""COMPUTED_VALUE"""),"fmolinar@guanajuato.gob.mx")</f>
        <v>fmolinar@guanajuato.gob.mx</v>
      </c>
      <c r="AM328"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328" s="30" t="str">
        <f ca="1">IFERROR(__xludf.DUMMYFUNCTION("""COMPUTED_VALUE"""),"1 Tranquilidad")</f>
        <v>1 Tranquilidad</v>
      </c>
      <c r="AO328" s="30" t="str">
        <f ca="1">IFERROR(__xludf.DUMMYFUNCTION("""COMPUTED_VALUE"""),"1.2 Fortalecer prevención del delito")</f>
        <v>1.2 Fortalecer prevención del delito</v>
      </c>
      <c r="AP328" s="30" t="str">
        <f ca="1">IFERROR(__xludf.DUMMYFUNCTION("""COMPUTED_VALUE"""),"1.2.2 Fortalecimiento del tejido social")</f>
        <v>1.2.2 Fortalecimiento del tejido social</v>
      </c>
      <c r="AQ328" s="30" t="str">
        <f ca="1">IFERROR(__xludf.DUMMYFUNCTION("""COMPUTED_VALUE"""),"1.2.3.4 Promover una cultura de paz desde las expresiones artísticas y culturales")</f>
        <v>1.2.3.4 Promover una cultura de paz desde las expresiones artísticas y culturales</v>
      </c>
      <c r="AR328" s="30" t="str">
        <f ca="1">IFERROR(__xludf.DUMMYFUNCTION("""COMPUTED_VALUE"""),"Ninguno")</f>
        <v>Ninguno</v>
      </c>
      <c r="AS328" s="30"/>
      <c r="AT328" s="30" t="str">
        <f ca="1">IFERROR(__xludf.DUMMYFUNCTION("""COMPUTED_VALUE"""),"Fomento a la creación y circulación cultural.")</f>
        <v>Fomento a la creación y circulación cultural.</v>
      </c>
      <c r="AU328" s="30" t="str">
        <f ca="1">IFERROR(__xludf.DUMMYFUNCTION("""COMPUTED_VALUE"""),"Incentivar la creación y producción artística y cultural de agentes locales.")</f>
        <v>Incentivar la creación y producción artística y cultural de agentes locales.</v>
      </c>
      <c r="AV328" s="30" t="str">
        <f ca="1">IFERROR(__xludf.DUMMYFUNCTION("""COMPUTED_VALUE"""),"Incrementar la contratación de talento artístico local en actividades comunitarias.")</f>
        <v>Incrementar la contratación de talento artístico local en actividades comunitarias.</v>
      </c>
      <c r="AW328" s="30" t="str">
        <f ca="1">IFERROR(__xludf.DUMMYFUNCTION("""COMPUTED_VALUE"""),"Incrementar nuevas producciones, obras y proyectos culturales en un 15% anual.")</f>
        <v>Incrementar nuevas producciones, obras y proyectos culturales en un 15% anual.</v>
      </c>
      <c r="AX328" s="30" t="str">
        <f ca="1">IFERROR(__xludf.DUMMYFUNCTION("""COMPUTED_VALUE"""),"Mesa de trabajo")</f>
        <v>Mesa de trabajo</v>
      </c>
      <c r="AY328" s="30" t="str">
        <f ca="1">IFERROR(__xludf.DUMMYFUNCTION("""COMPUTED_VALUE"""),"Producción")</f>
        <v>Producción</v>
      </c>
      <c r="AZ328" s="30"/>
      <c r="BA328" s="30"/>
      <c r="BB328" s="30">
        <f ca="1">IFERROR(__xludf.DUMMYFUNCTION("""COMPUTED_VALUE"""),10)</f>
        <v>10</v>
      </c>
      <c r="BC328" s="30">
        <f ca="1">IFERROR(__xludf.DUMMYFUNCTION("""COMPUTED_VALUE"""),13)</f>
        <v>13</v>
      </c>
      <c r="BD328" s="30" t="str">
        <f ca="1">IFERROR(__xludf.DUMMYFUNCTION("""COMPUTED_VALUE"""),"Apoyado con anterioridad")</f>
        <v>Apoyado con anterioridad</v>
      </c>
      <c r="BE328" s="30" t="str">
        <f ca="1">IFERROR(__xludf.DUMMYFUNCTION("""COMPUTED_VALUE"""),"Ana Paulina Calvillo, Amaranata Caballero, Rocio Corona, Flor Bisco, Karla Gasca,Lola Homer, Julieta Navarrete, Maria Edith Velázquez, Marjha Paulino, Ambara Gallardo, Sara Muñoz, Yadira Moreno, Camelia Rocio")</f>
        <v>Ana Paulina Calvillo, Amaranata Caballero, Rocio Corona, Flor Bisco, Karla Gasca,Lola Homer, Julieta Navarrete, Maria Edith Velázquez, Marjha Paulino, Ambara Gallardo, Sara Muñoz, Yadira Moreno, Camelia Rocio</v>
      </c>
      <c r="BF328" s="30" t="b">
        <f ca="1">IFERROR(__xludf.DUMMYFUNCTION("""COMPUTED_VALUE"""),TRUE)</f>
        <v>1</v>
      </c>
      <c r="BG328" s="30" t="str">
        <f ca="1">IFERROR(__xludf.DUMMYFUNCTION("""COMPUTED_VALUE"""),"Económico")</f>
        <v>Económico</v>
      </c>
      <c r="BH328" s="30">
        <f ca="1">IFERROR(__xludf.DUMMYFUNCTION("""COMPUTED_VALUE"""),17980.01)</f>
        <v>17980.009999999998</v>
      </c>
      <c r="BI328" s="30"/>
      <c r="BJ328" s="30"/>
      <c r="BK328" s="30"/>
      <c r="BL328" s="30"/>
      <c r="BM328" s="30" t="str">
        <f ca="1">IFERROR(__xludf.DUMMYFUNCTION("""COMPUTED_VALUE"""),"No")</f>
        <v>No</v>
      </c>
      <c r="BN328" s="30"/>
      <c r="BO328" s="30" t="str">
        <f ca="1">IFERROR(__xludf.DUMMYFUNCTION("""COMPUTED_VALUE"""),"a8b80110")</f>
        <v>a8b80110</v>
      </c>
      <c r="BP328" s="29" t="str">
        <f ca="1">IFERROR(__xludf.DUMMYFUNCTION("""COMPUTED_VALUE"""),"León")</f>
        <v>León</v>
      </c>
      <c r="BQ328" s="30" t="str">
        <f ca="1">IFERROR(__xludf.DUMMYFUNCTION("""COMPUTED_VALUE"""),"Urbano")</f>
        <v>Urbano</v>
      </c>
      <c r="BR328" s="30">
        <f ca="1">IFERROR(__xludf.DUMMYFUNCTION("""COMPUTED_VALUE"""),93)</f>
        <v>93</v>
      </c>
      <c r="BS328" s="30" t="str">
        <f ca="1">IFERROR(__xludf.DUMMYFUNCTION("""COMPUTED_VALUE"""),"Leon 1")</f>
        <v>Leon 1</v>
      </c>
      <c r="BT328" s="30"/>
      <c r="BU328" s="30" t="str">
        <f ca="1">IFERROR(__xludf.DUMMYFUNCTION("""COMPUTED_VALUE"""),"Si")</f>
        <v>Si</v>
      </c>
      <c r="BV328" s="30" t="str">
        <f ca="1">IFERROR(__xludf.DUMMYFUNCTION("""COMPUTED_VALUE"""),"Si")</f>
        <v>Si</v>
      </c>
      <c r="BW328" s="30">
        <f ca="1">IFERROR(__xludf.DUMMYFUNCTION("""COMPUTED_VALUE"""),6)</f>
        <v>6</v>
      </c>
      <c r="BX328" s="30">
        <f ca="1">IFERROR(__xludf.DUMMYFUNCTION("""COMPUTED_VALUE"""),1)</f>
        <v>1</v>
      </c>
      <c r="BY328" s="30">
        <f ca="1">IFERROR(__xludf.DUMMYFUNCTION("""COMPUTED_VALUE"""),5)</f>
        <v>5</v>
      </c>
      <c r="BZ328" s="30" t="str">
        <f ca="1">IFERROR(__xludf.DUMMYFUNCTION("""COMPUTED_VALUE"""),"Leon 1")</f>
        <v>Leon 1</v>
      </c>
      <c r="CA328" s="30" t="str">
        <f ca="1">IFERROR(__xludf.DUMMYFUNCTION("""COMPUTED_VALUE"""),"No")</f>
        <v>No</v>
      </c>
      <c r="CB328" s="30" t="str">
        <f ca="1">IFERROR(__xludf.DUMMYFUNCTION("""COMPUTED_VALUE"""),"No")</f>
        <v>No</v>
      </c>
      <c r="CC328" s="30" t="str">
        <f ca="1">IFERROR(__xludf.DUMMYFUNCTION("""COMPUTED_VALUE"""),"2fd41228")</f>
        <v>2fd41228</v>
      </c>
      <c r="CD328" s="29" t="str">
        <f ca="1">IFERROR(__xludf.DUMMYFUNCTION("""COMPUTED_VALUE"""),"Adultos (30 a 59 años)")</f>
        <v>Adultos (30 a 59 años)</v>
      </c>
      <c r="CE328" s="30" t="str">
        <f ca="1">IFERROR(__xludf.DUMMYFUNCTION("""COMPUTED_VALUE"""),"Dato global")</f>
        <v>Dato global</v>
      </c>
      <c r="CF328" s="30" t="str">
        <f ca="1">IFERROR(__xludf.DUMMYFUNCTION("""COMPUTED_VALUE"""),"Ninguno (Población General)")</f>
        <v>Ninguno (Población General)</v>
      </c>
      <c r="CG328" s="30">
        <f ca="1">IFERROR(__xludf.DUMMYFUNCTION("""COMPUTED_VALUE"""),6)</f>
        <v>6</v>
      </c>
      <c r="CJ328" s="29"/>
      <c r="CM328" s="30" t="str">
        <f ca="1">IFERROR(__xludf.DUMMYFUNCTION("""COMPUTED_VALUE"""),"Guanajuato, San Miguel de Allende")</f>
        <v>Guanajuato, San Miguel de Allende</v>
      </c>
      <c r="CN328" s="32" t="e">
        <f ca="1"/>
        <v>#NAME?</v>
      </c>
      <c r="CO328" s="32" t="e">
        <f ca="1"/>
        <v>#NAME?</v>
      </c>
      <c r="CP328" s="32" t="e">
        <f ca="1"/>
        <v>#NAME?</v>
      </c>
      <c r="CQ328" s="32" t="e">
        <f ca="1"/>
        <v>#NAME?</v>
      </c>
      <c r="CR328" s="30" t="e">
        <f ca="1"/>
        <v>#NAME?</v>
      </c>
      <c r="CS328" s="30" t="str">
        <f ca="1">IFERROR(__xludf.DUMMYFUNCTION("""COMPUTED_VALUE"""),"Población General")</f>
        <v>Población General</v>
      </c>
    </row>
    <row r="329" spans="1:97" ht="13">
      <c r="A329" s="29" t="str">
        <f ca="1">IFERROR(__xludf.DUMMYFUNCTION("""COMPUTED_VALUE"""),"ACT-SCTQ57837")</f>
        <v>ACT-SCTQ57837</v>
      </c>
      <c r="B329" s="30" t="str">
        <f ca="1">IFERROR(__xludf.DUMMYFUNCTION("""COMPUTED_VALUE"""),"SC-260827-134835")</f>
        <v>SC-260827-134835</v>
      </c>
      <c r="C329" s="62">
        <f ca="1">IFERROR(__xludf.DUMMYFUNCTION("""COMPUTED_VALUE"""),46261.5754050925)</f>
        <v>46261.575405092502</v>
      </c>
      <c r="D329" s="30">
        <f ca="1">IFERROR(__xludf.DUMMYFUNCTION("""COMPUTED_VALUE"""),88)</f>
        <v>88</v>
      </c>
      <c r="E329" s="30" t="str">
        <f ca="1">IFERROR(__xludf.DUMMYFUNCTION("""COMPUTED_VALUE"""),"PB3573")</f>
        <v>PB3573</v>
      </c>
      <c r="F329" s="30" t="str">
        <f ca="1">IFERROR(__xludf.DUMMYFUNCTION("""COMPUTED_VALUE"""),"Fortalecimiento del libro y sus plataformas: creación, producción, distribución e impulso a creadores")</f>
        <v>Fortalecimiento del libro y sus plataformas: creación, producción, distribución e impulso a creadores</v>
      </c>
      <c r="G329" s="30" t="str">
        <f ca="1">IFERROR(__xludf.DUMMYFUNCTION("""COMPUTED_VALUE"""),"Actividades de promoción y difusión de productos editoriales de manera presencial como son presentaciones de libros en diferentes municipios.")</f>
        <v>Actividades de promoción y difusión de productos editoriales de manera presencial como son presentaciones de libros en diferentes municipios.</v>
      </c>
      <c r="H329" s="30" t="str">
        <f ca="1">IFERROR(__xludf.DUMMYFUNCTION("""COMPUTED_VALUE"""),"SUBSECRETARÍA DE DESARROLLO Y PROMOCIÓN ARTÍSTICA Y CULTURAL")</f>
        <v>SUBSECRETARÍA DE DESARROLLO Y PROMOCIÓN ARTÍSTICA Y CULTURAL</v>
      </c>
      <c r="I329" s="34" t="str">
        <f ca="1">IFERROR(__xludf.DUMMYFUNCTION("""COMPUTED_VALUE"""),"DIRECCIÓN GENERAL DE EDITORIAL Y PUBLICACIONES")</f>
        <v>DIRECCIÓN GENERAL DE EDITORIAL Y PUBLICACIONES</v>
      </c>
      <c r="J329" s="30" t="str">
        <f ca="1">IFERROR(__xludf.DUMMYFUNCTION("""COMPUTED_VALUE"""),"Presentaciones realizadas")</f>
        <v>Presentaciones realizadas</v>
      </c>
      <c r="K329" s="30">
        <f ca="1">IFERROR(__xludf.DUMMYFUNCTION("""COMPUTED_VALUE"""),92)</f>
        <v>92</v>
      </c>
      <c r="L329" s="30" t="str">
        <f ca="1">IFERROR(__xludf.DUMMYFUNCTION("""COMPUTED_VALUE"""),"Cultural")</f>
        <v>Cultural</v>
      </c>
      <c r="M329" s="30" t="str">
        <f ca="1">IFERROR(__xludf.DUMMYFUNCTION("""COMPUTED_VALUE"""),"Foro virtual del libro")</f>
        <v>Foro virtual del libro</v>
      </c>
      <c r="N329" s="30" t="str">
        <f ca="1">IFERROR(__xludf.DUMMYFUNCTION("""COMPUTED_VALUE"""),"Foro virtual para publico en general")</f>
        <v>Foro virtual para publico en general</v>
      </c>
      <c r="O329" s="30" t="str">
        <f ca="1">IFERROR(__xludf.DUMMYFUNCTION("""COMPUTED_VALUE"""),"Diaria")</f>
        <v>Diaria</v>
      </c>
      <c r="P329" s="33">
        <f ca="1">IFERROR(__xludf.DUMMYFUNCTION("""COMPUTED_VALUE"""),46135)</f>
        <v>46135</v>
      </c>
      <c r="Q329" s="33">
        <f ca="1">IFERROR(__xludf.DUMMYFUNCTION("""COMPUTED_VALUE"""),46136)</f>
        <v>46136</v>
      </c>
      <c r="R329" s="30">
        <f ca="1">IFERROR(__xludf.DUMMYFUNCTION("""COMPUTED_VALUE"""),6)</f>
        <v>6</v>
      </c>
      <c r="S329" s="30" t="str">
        <f ca="1">IFERROR(__xludf.DUMMYFUNCTION("""COMPUTED_VALUE"""),"Cinematografía y medios audiovisuales")</f>
        <v>Cinematografía y medios audiovisuales</v>
      </c>
      <c r="T329" s="30" t="str">
        <f ca="1">IFERROR(__xludf.DUMMYFUNCTION("""COMPUTED_VALUE"""),"Producción audiovisual")</f>
        <v>Producción audiovisual</v>
      </c>
      <c r="U329" s="30" t="str">
        <f ca="1">IFERROR(__xludf.DUMMYFUNCTION("""COMPUTED_VALUE"""),"Foro virtual")</f>
        <v>Foro virtual</v>
      </c>
      <c r="V329" s="30" t="str">
        <f ca="1">IFERROR(__xludf.DUMMYFUNCTION("""COMPUTED_VALUE"""),"Ninguna")</f>
        <v>Ninguna</v>
      </c>
      <c r="W329" s="30" t="str">
        <f ca="1">IFERROR(__xludf.DUMMYFUNCTION("""COMPUTED_VALUE"""),"Virtual")</f>
        <v>Virtual</v>
      </c>
      <c r="X329" s="30" t="str">
        <f ca="1">IFERROR(__xludf.DUMMYFUNCTION("""COMPUTED_VALUE"""),"Espacio a Cargo de la Secretaría")</f>
        <v>Espacio a Cargo de la Secretaría</v>
      </c>
      <c r="Y329" s="30" t="str">
        <f ca="1">IFERROR(__xludf.DUMMYFUNCTION("""COMPUTED_VALUE"""),"Museo Palacio de los Poderes")</f>
        <v>Museo Palacio de los Poderes</v>
      </c>
      <c r="Z329" s="30"/>
      <c r="AA329" s="30"/>
      <c r="AB329" s="30" t="b">
        <f ca="1">IFERROR(__xludf.DUMMYFUNCTION("""COMPUTED_VALUE"""),FALSE)</f>
        <v>0</v>
      </c>
      <c r="AC329" s="30"/>
      <c r="AD329" s="30" t="b">
        <f ca="1">IFERROR(__xludf.DUMMYFUNCTION("""COMPUTED_VALUE"""),TRUE)</f>
        <v>1</v>
      </c>
      <c r="AE329" s="30">
        <f ca="1">IFERROR(__xludf.DUMMYFUNCTION("""COMPUTED_VALUE"""),14)</f>
        <v>14</v>
      </c>
      <c r="AF329" s="30" t="b">
        <f ca="1">IFERROR(__xludf.DUMMYFUNCTION("""COMPUTED_VALUE"""),FALSE)</f>
        <v>0</v>
      </c>
      <c r="AG329" s="30"/>
      <c r="AH329" s="30" t="str">
        <f ca="1">IFERROR(__xludf.DUMMYFUNCTION("""COMPUTED_VALUE"""),"Sin costo")</f>
        <v>Sin costo</v>
      </c>
      <c r="AI329" s="30"/>
      <c r="AJ329" s="30"/>
      <c r="AK329" s="30"/>
      <c r="AL329" s="30" t="str">
        <f ca="1">IFERROR(__xludf.DUMMYFUNCTION("""COMPUTED_VALUE"""),"fmolinar@guanajuato.gob.mx")</f>
        <v>fmolinar@guanajuato.gob.mx</v>
      </c>
      <c r="AM329" s="30" t="str">
        <f ca="1">IFERROR(__xludf.DUMMYFUNCTION("""COMPUTED_VALUE"""),"Guanajuato Digital: Promoción de la oferta cultural y turística con uso de tecnología.")</f>
        <v>Guanajuato Digital: Promoción de la oferta cultural y turística con uso de tecnología.</v>
      </c>
      <c r="AN329" s="30" t="str">
        <f ca="1">IFERROR(__xludf.DUMMYFUNCTION("""COMPUTED_VALUE"""),"2 Igualdad")</f>
        <v>2 Igualdad</v>
      </c>
      <c r="AO329" s="30" t="str">
        <f ca="1">IFERROR(__xludf.DUMMYFUNCTION("""COMPUTED_VALUE"""),"2.4 Reducir brechas de desigualdad")</f>
        <v>2.4 Reducir brechas de desigualdad</v>
      </c>
      <c r="AP329" s="30" t="str">
        <f ca="1">IFERROR(__xludf.DUMMYFUNCTION("""COMPUTED_VALUE"""),"2.4.3 Descentralización de la oferta cultural")</f>
        <v>2.4.3 Descentralización de la oferta cultural</v>
      </c>
      <c r="AQ329" s="30" t="str">
        <f ca="1">IFERROR(__xludf.DUMMYFUNCTION("""COMPUTED_VALUE"""),"2.4.3.3 Incidir en el involucramiento de las personas con el ecosistema cultural")</f>
        <v>2.4.3.3 Incidir en el involucramiento de las personas con el ecosistema cultural</v>
      </c>
      <c r="AR329" s="30" t="str">
        <f ca="1">IFERROR(__xludf.DUMMYFUNCTION("""COMPUTED_VALUE"""),"Ninguno")</f>
        <v>Ninguno</v>
      </c>
      <c r="AS329" s="30"/>
      <c r="AT329" s="30" t="str">
        <f ca="1">IFERROR(__xludf.DUMMYFUNCTION("""COMPUTED_VALUE"""),"Fortalecimiento de la participación ciudadana y la mediación cultural")</f>
        <v>Fortalecimiento de la participación ciudadana y la mediación cultural</v>
      </c>
      <c r="AU329" s="30" t="str">
        <f ca="1">IFERROR(__xludf.DUMMYFUNCTION("""COMPUTED_VALUE"""),"Impulso a la ampliación de la oferta cultural en los territorios.")</f>
        <v>Impulso a la ampliación de la oferta cultural en los territorios.</v>
      </c>
      <c r="AV329" s="30" t="str">
        <f ca="1">IFERROR(__xludf.DUMMYFUNCTION("""COMPUTED_VALUE"""),"Impulsar los proyectos culturales itinerantes.")</f>
        <v>Impulsar los proyectos culturales itinerantes.</v>
      </c>
      <c r="AW329" s="30" t="str">
        <f ca="1">IFERROR(__xludf.DUMMYFUNCTION("""COMPUTED_VALUE"""),"Incrementar en 25% la oferta cultural realizada en los municipios.")</f>
        <v>Incrementar en 25% la oferta cultural realizada en los municipios.</v>
      </c>
      <c r="AX329" s="30" t="str">
        <f ca="1">IFERROR(__xludf.DUMMYFUNCTION("""COMPUTED_VALUE"""),"Foro")</f>
        <v>Foro</v>
      </c>
      <c r="AY329" s="30" t="str">
        <f ca="1">IFERROR(__xludf.DUMMYFUNCTION("""COMPUTED_VALUE"""),"Producción")</f>
        <v>Producción</v>
      </c>
      <c r="AZ329" s="30"/>
      <c r="BA329" s="30"/>
      <c r="BB329" s="30">
        <f ca="1">IFERROR(__xludf.DUMMYFUNCTION("""COMPUTED_VALUE"""),10)</f>
        <v>10</v>
      </c>
      <c r="BC329" s="30">
        <f ca="1">IFERROR(__xludf.DUMMYFUNCTION("""COMPUTED_VALUE"""),14)</f>
        <v>14</v>
      </c>
      <c r="BD329" s="30" t="str">
        <f ca="1">IFERROR(__xludf.DUMMYFUNCTION("""COMPUTED_VALUE"""),"Apoyado con anterioridad")</f>
        <v>Apoyado con anterioridad</v>
      </c>
      <c r="BE329" s="30" t="str">
        <f ca="1">IFERROR(__xludf.DUMMYFUNCTION("""COMPUTED_VALUE"""),"León Plascencia, José Antonio, Cecilia Eudave, Julieta Navarrete, Sara Pinedo, Ana Paulina Calvillo, Luis Felipe Pérez, Balam Rodrigo, Carlos Ulises Mata, Verónica Murguía Jorge Gutiérrez, Olga Gutiérrez , Amaranta caballero")</f>
        <v>León Plascencia, José Antonio, Cecilia Eudave, Julieta Navarrete, Sara Pinedo, Ana Paulina Calvillo, Luis Felipe Pérez, Balam Rodrigo, Carlos Ulises Mata, Verónica Murguía Jorge Gutiérrez, Olga Gutiérrez , Amaranta caballero</v>
      </c>
      <c r="BF329" s="30" t="b">
        <f ca="1">IFERROR(__xludf.DUMMYFUNCTION("""COMPUTED_VALUE"""),TRUE)</f>
        <v>1</v>
      </c>
      <c r="BG329" s="30" t="str">
        <f ca="1">IFERROR(__xludf.DUMMYFUNCTION("""COMPUTED_VALUE"""),"Económico")</f>
        <v>Económico</v>
      </c>
      <c r="BH329" s="30">
        <f ca="1">IFERROR(__xludf.DUMMYFUNCTION("""COMPUTED_VALUE"""),17400)</f>
        <v>17400</v>
      </c>
      <c r="BI329" s="30"/>
      <c r="BJ329" s="30"/>
      <c r="BK329" s="30"/>
      <c r="BL329" s="30"/>
      <c r="BM329" s="30" t="str">
        <f ca="1">IFERROR(__xludf.DUMMYFUNCTION("""COMPUTED_VALUE"""),"No")</f>
        <v>No</v>
      </c>
      <c r="BN329" s="30"/>
      <c r="BO329" s="30" t="str">
        <f ca="1">IFERROR(__xludf.DUMMYFUNCTION("""COMPUTED_VALUE"""),"672e67ac")</f>
        <v>672e67ac</v>
      </c>
      <c r="BP329" s="29" t="str">
        <f ca="1">IFERROR(__xludf.DUMMYFUNCTION("""COMPUTED_VALUE"""),"Guanajuato")</f>
        <v>Guanajuato</v>
      </c>
      <c r="BQ329" s="30" t="str">
        <f ca="1">IFERROR(__xludf.DUMMYFUNCTION("""COMPUTED_VALUE"""),"Urbano")</f>
        <v>Urbano</v>
      </c>
      <c r="BR329" s="30">
        <f ca="1">IFERROR(__xludf.DUMMYFUNCTION("""COMPUTED_VALUE"""),49)</f>
        <v>49</v>
      </c>
      <c r="BS329" s="30" t="str">
        <f ca="1">IFERROR(__xludf.DUMMYFUNCTION("""COMPUTED_VALUE"""),"Guanajuato")</f>
        <v>Guanajuato</v>
      </c>
      <c r="BT329" s="30"/>
      <c r="BU329" s="30" t="str">
        <f ca="1">IFERROR(__xludf.DUMMYFUNCTION("""COMPUTED_VALUE"""),"Si")</f>
        <v>Si</v>
      </c>
      <c r="BV329" s="30" t="str">
        <f ca="1">IFERROR(__xludf.DUMMYFUNCTION("""COMPUTED_VALUE"""),"Si")</f>
        <v>Si</v>
      </c>
      <c r="BW329" s="30">
        <f ca="1">IFERROR(__xludf.DUMMYFUNCTION("""COMPUTED_VALUE"""),28)</f>
        <v>28</v>
      </c>
      <c r="BX329" s="30">
        <f ca="1">IFERROR(__xludf.DUMMYFUNCTION("""COMPUTED_VALUE"""),27)</f>
        <v>27</v>
      </c>
      <c r="BY329" s="30">
        <f ca="1">IFERROR(__xludf.DUMMYFUNCTION("""COMPUTED_VALUE"""),1)</f>
        <v>1</v>
      </c>
      <c r="BZ329" s="30" t="str">
        <f ca="1">IFERROR(__xludf.DUMMYFUNCTION("""COMPUTED_VALUE"""),"Guanajuato")</f>
        <v>Guanajuato</v>
      </c>
      <c r="CA329" s="30" t="str">
        <f ca="1">IFERROR(__xludf.DUMMYFUNCTION("""COMPUTED_VALUE"""),"No")</f>
        <v>No</v>
      </c>
      <c r="CB329" s="30" t="str">
        <f ca="1">IFERROR(__xludf.DUMMYFUNCTION("""COMPUTED_VALUE"""),"No")</f>
        <v>No</v>
      </c>
      <c r="CC329" s="30" t="str">
        <f ca="1">IFERROR(__xludf.DUMMYFUNCTION("""COMPUTED_VALUE"""),"62107680")</f>
        <v>62107680</v>
      </c>
      <c r="CD329" s="29" t="str">
        <f ca="1">IFERROR(__xludf.DUMMYFUNCTION("""COMPUTED_VALUE"""),"Niñas y Niños (6 a 12 años)")</f>
        <v>Niñas y Niños (6 a 12 años)</v>
      </c>
      <c r="CE329" s="30" t="str">
        <f ca="1">IFERROR(__xludf.DUMMYFUNCTION("""COMPUTED_VALUE"""),"Dato global")</f>
        <v>Dato global</v>
      </c>
      <c r="CF329" s="30" t="str">
        <f ca="1">IFERROR(__xludf.DUMMYFUNCTION("""COMPUTED_VALUE"""),"Ninguno (Población General)")</f>
        <v>Ninguno (Población General)</v>
      </c>
      <c r="CG329" s="30">
        <f ca="1">IFERROR(__xludf.DUMMYFUNCTION("""COMPUTED_VALUE"""),35)</f>
        <v>35</v>
      </c>
      <c r="CJ329" s="29"/>
      <c r="CM329" s="30" t="str">
        <f ca="1">IFERROR(__xludf.DUMMYFUNCTION("""COMPUTED_VALUE"""),"Ciudad de mexico")</f>
        <v>Ciudad de mexico</v>
      </c>
      <c r="CN329" s="32" t="e">
        <f ca="1"/>
        <v>#NAME?</v>
      </c>
      <c r="CO329" s="32" t="e">
        <f ca="1"/>
        <v>#NAME?</v>
      </c>
      <c r="CP329" s="32" t="e">
        <f ca="1"/>
        <v>#NAME?</v>
      </c>
      <c r="CQ329" s="32" t="e">
        <f ca="1"/>
        <v>#NAME?</v>
      </c>
      <c r="CR329" s="30" t="e">
        <f ca="1"/>
        <v>#NAME?</v>
      </c>
      <c r="CS329" s="30" t="str">
        <f ca="1">IFERROR(__xludf.DUMMYFUNCTION("""COMPUTED_VALUE"""),"Población General")</f>
        <v>Población General</v>
      </c>
    </row>
    <row r="330" spans="1:97" ht="13">
      <c r="A330" s="29" t="str">
        <f ca="1">IFERROR(__xludf.DUMMYFUNCTION("""COMPUTED_VALUE"""),"ACT-SCWI08231")</f>
        <v>ACT-SCWI08231</v>
      </c>
      <c r="B330" s="30" t="str">
        <f ca="1">IFERROR(__xludf.DUMMYFUNCTION("""COMPUTED_VALUE"""),"SC-260827-151753")</f>
        <v>SC-260827-151753</v>
      </c>
      <c r="C330" s="62">
        <f ca="1">IFERROR(__xludf.DUMMYFUNCTION("""COMPUTED_VALUE"""),46261.6374189814)</f>
        <v>46261.637418981401</v>
      </c>
      <c r="D330" s="30">
        <f ca="1">IFERROR(__xludf.DUMMYFUNCTION("""COMPUTED_VALUE"""),88)</f>
        <v>88</v>
      </c>
      <c r="E330" s="30" t="str">
        <f ca="1">IFERROR(__xludf.DUMMYFUNCTION("""COMPUTED_VALUE"""),"PB3573")</f>
        <v>PB3573</v>
      </c>
      <c r="F330" s="30" t="str">
        <f ca="1">IFERROR(__xludf.DUMMYFUNCTION("""COMPUTED_VALUE"""),"Fortalecimiento del libro y sus plataformas: creación, producción, distribución e impulso a creadores")</f>
        <v>Fortalecimiento del libro y sus plataformas: creación, producción, distribución e impulso a creadores</v>
      </c>
      <c r="G330" s="30" t="str">
        <f ca="1">IFERROR(__xludf.DUMMYFUNCTION("""COMPUTED_VALUE"""),"Actividades de promoción y difusión de productos editoriales de manera presencial como son presentaciones de libros en diferentes municipios.")</f>
        <v>Actividades de promoción y difusión de productos editoriales de manera presencial como son presentaciones de libros en diferentes municipios.</v>
      </c>
      <c r="H330" s="30" t="str">
        <f ca="1">IFERROR(__xludf.DUMMYFUNCTION("""COMPUTED_VALUE"""),"SUBSECRETARÍA DE DESARROLLO Y PROMOCIÓN ARTÍSTICA Y CULTURAL")</f>
        <v>SUBSECRETARÍA DE DESARROLLO Y PROMOCIÓN ARTÍSTICA Y CULTURAL</v>
      </c>
      <c r="I330" s="34" t="str">
        <f ca="1">IFERROR(__xludf.DUMMYFUNCTION("""COMPUTED_VALUE"""),"DIRECCIÓN GENERAL DE EDITORIAL Y PUBLICACIONES")</f>
        <v>DIRECCIÓN GENERAL DE EDITORIAL Y PUBLICACIONES</v>
      </c>
      <c r="J330" s="30" t="str">
        <f ca="1">IFERROR(__xludf.DUMMYFUNCTION("""COMPUTED_VALUE"""),"Presentaciones realizadas")</f>
        <v>Presentaciones realizadas</v>
      </c>
      <c r="K330" s="30">
        <f ca="1">IFERROR(__xludf.DUMMYFUNCTION("""COMPUTED_VALUE"""),92)</f>
        <v>92</v>
      </c>
      <c r="L330" s="30" t="str">
        <f ca="1">IFERROR(__xludf.DUMMYFUNCTION("""COMPUTED_VALUE"""),"Cultural")</f>
        <v>Cultural</v>
      </c>
      <c r="M330" s="30" t="str">
        <f ca="1">IFERROR(__xludf.DUMMYFUNCTION("""COMPUTED_VALUE"""),"Cuentos de la Decima Letra")</f>
        <v>Cuentos de la Decima Letra</v>
      </c>
      <c r="N330" s="30" t="str">
        <f ca="1">IFERROR(__xludf.DUMMYFUNCTION("""COMPUTED_VALUE"""),"Festival literario por el mes del orgullo")</f>
        <v>Festival literario por el mes del orgullo</v>
      </c>
      <c r="O330" s="30" t="str">
        <f ca="1">IFERROR(__xludf.DUMMYFUNCTION("""COMPUTED_VALUE"""),"Semanal")</f>
        <v>Semanal</v>
      </c>
      <c r="P330" s="33">
        <f ca="1">IFERROR(__xludf.DUMMYFUNCTION("""COMPUTED_VALUE"""),46191)</f>
        <v>46191</v>
      </c>
      <c r="Q330" s="33">
        <f ca="1">IFERROR(__xludf.DUMMYFUNCTION("""COMPUTED_VALUE"""),46206)</f>
        <v>46206</v>
      </c>
      <c r="R330" s="30">
        <f ca="1">IFERROR(__xludf.DUMMYFUNCTION("""COMPUTED_VALUE"""),10)</f>
        <v>10</v>
      </c>
      <c r="S330" s="30" t="str">
        <f ca="1">IFERROR(__xludf.DUMMYFUNCTION("""COMPUTED_VALUE"""),"Multidisciplinario")</f>
        <v>Multidisciplinario</v>
      </c>
      <c r="T330" s="30" t="str">
        <f ca="1">IFERROR(__xludf.DUMMYFUNCTION("""COMPUTED_VALUE"""),"Innovación cultural")</f>
        <v>Innovación cultural</v>
      </c>
      <c r="U330" s="30" t="str">
        <f ca="1">IFERROR(__xludf.DUMMYFUNCTION("""COMPUTED_VALUE"""),"Festival Literario")</f>
        <v>Festival Literario</v>
      </c>
      <c r="V330" s="30" t="str">
        <f ca="1">IFERROR(__xludf.DUMMYFUNCTION("""COMPUTED_VALUE"""),"Ninguna")</f>
        <v>Ninguna</v>
      </c>
      <c r="W330" s="30" t="str">
        <f ca="1">IFERROR(__xludf.DUMMYFUNCTION("""COMPUTED_VALUE"""),"Presencial")</f>
        <v>Presencial</v>
      </c>
      <c r="X330" s="30" t="str">
        <f ca="1">IFERROR(__xludf.DUMMYFUNCTION("""COMPUTED_VALUE"""),"Espacio a Cargo de la Secretaría")</f>
        <v>Espacio a Cargo de la Secretaría</v>
      </c>
      <c r="Y330" s="30" t="str">
        <f ca="1">IFERROR(__xludf.DUMMYFUNCTION("""COMPUTED_VALUE"""),"Forum Cultural Guanajuato")</f>
        <v>Forum Cultural Guanajuato</v>
      </c>
      <c r="Z330" s="30"/>
      <c r="AA330" s="30"/>
      <c r="AB330" s="30" t="b">
        <f ca="1">IFERROR(__xludf.DUMMYFUNCTION("""COMPUTED_VALUE"""),FALSE)</f>
        <v>0</v>
      </c>
      <c r="AC330" s="30"/>
      <c r="AD330" s="30" t="b">
        <f ca="1">IFERROR(__xludf.DUMMYFUNCTION("""COMPUTED_VALUE"""),TRUE)</f>
        <v>1</v>
      </c>
      <c r="AE330" s="30">
        <f ca="1">IFERROR(__xludf.DUMMYFUNCTION("""COMPUTED_VALUE"""),1)</f>
        <v>1</v>
      </c>
      <c r="AF330" s="30" t="b">
        <f ca="1">IFERROR(__xludf.DUMMYFUNCTION("""COMPUTED_VALUE"""),FALSE)</f>
        <v>0</v>
      </c>
      <c r="AG330" s="30"/>
      <c r="AH330" s="30" t="str">
        <f ca="1">IFERROR(__xludf.DUMMYFUNCTION("""COMPUTED_VALUE"""),"Sin costo")</f>
        <v>Sin costo</v>
      </c>
      <c r="AI330" s="30"/>
      <c r="AJ330" s="30"/>
      <c r="AK330" s="30"/>
      <c r="AL330" s="30" t="str">
        <f ca="1">IFERROR(__xludf.DUMMYFUNCTION("""COMPUTED_VALUE"""),"fmolinar@guanajuato.gob.mx")</f>
        <v>fmolinar@guanajuato.gob.mx</v>
      </c>
      <c r="AM330" s="30" t="str">
        <f ca="1">IFERROR(__xludf.DUMMYFUNCTION("""COMPUTED_VALUE"""),"Educación: Arte, cultura, activación física y deporte de calidad en todas las escuelas.")</f>
        <v>Educación: Arte, cultura, activación física y deporte de calidad en todas las escuelas.</v>
      </c>
      <c r="AN330" s="30" t="str">
        <f ca="1">IFERROR(__xludf.DUMMYFUNCTION("""COMPUTED_VALUE"""),"1 Tranquilidad")</f>
        <v>1 Tranquilidad</v>
      </c>
      <c r="AO330" s="30" t="str">
        <f ca="1">IFERROR(__xludf.DUMMYFUNCTION("""COMPUTED_VALUE"""),"1.2 Fortalecer prevención del delito")</f>
        <v>1.2 Fortalecer prevención del delito</v>
      </c>
      <c r="AP330" s="30" t="str">
        <f ca="1">IFERROR(__xludf.DUMMYFUNCTION("""COMPUTED_VALUE"""),"1.2.2 Fortalecimiento del tejido social")</f>
        <v>1.2.2 Fortalecimiento del tejido social</v>
      </c>
      <c r="AQ330" s="30" t="str">
        <f ca="1">IFERROR(__xludf.DUMMYFUNCTION("""COMPUTED_VALUE"""),"1.2.3.4 Promover una cultura de paz desde las expresiones artísticas y culturales")</f>
        <v>1.2.3.4 Promover una cultura de paz desde las expresiones artísticas y culturales</v>
      </c>
      <c r="AR330" s="30" t="str">
        <f ca="1">IFERROR(__xludf.DUMMYFUNCTION("""COMPUTED_VALUE"""),"Inclusión")</f>
        <v>Inclusión</v>
      </c>
      <c r="AS330" s="30" t="str">
        <f ca="1">IFERROR(__xludf.DUMMYFUNCTION("""COMPUTED_VALUE"""),"Comunidad LGBTIQ+")</f>
        <v>Comunidad LGBTIQ+</v>
      </c>
      <c r="AT330" s="30" t="str">
        <f ca="1">IFERROR(__xludf.DUMMYFUNCTION("""COMPUTED_VALUE"""),"Fortalecimiento de la participación ciudadana y la mediación cultural")</f>
        <v>Fortalecimiento de la participación ciudadana y la mediación cultural</v>
      </c>
      <c r="AU330" s="30" t="str">
        <f ca="1">IFERROR(__xludf.DUMMYFUNCTION("""COMPUTED_VALUE"""),"Impulso a la ampliación de la oferta cultural en los territorios.")</f>
        <v>Impulso a la ampliación de la oferta cultural en los territorios.</v>
      </c>
      <c r="AV330" s="30" t="str">
        <f ca="1">IFERROR(__xludf.DUMMYFUNCTION("""COMPUTED_VALUE"""),"Impulsar los proyectos culturales itinerantes.")</f>
        <v>Impulsar los proyectos culturales itinerantes.</v>
      </c>
      <c r="AW330" s="30" t="str">
        <f ca="1">IFERROR(__xludf.DUMMYFUNCTION("""COMPUTED_VALUE"""),"Incrementar en 25% la oferta cultural realizada en los municipios.")</f>
        <v>Incrementar en 25% la oferta cultural realizada en los municipios.</v>
      </c>
      <c r="AX330" s="30" t="str">
        <f ca="1">IFERROR(__xludf.DUMMYFUNCTION("""COMPUTED_VALUE"""),"Encuentro cultural")</f>
        <v>Encuentro cultural</v>
      </c>
      <c r="AY330" s="30" t="str">
        <f ca="1">IFERROR(__xludf.DUMMYFUNCTION("""COMPUTED_VALUE"""),"Producción")</f>
        <v>Producción</v>
      </c>
      <c r="AZ330" s="30"/>
      <c r="BA330" s="30"/>
      <c r="BB330" s="30">
        <f ca="1">IFERROR(__xludf.DUMMYFUNCTION("""COMPUTED_VALUE"""),10)</f>
        <v>10</v>
      </c>
      <c r="BC330" s="30">
        <f ca="1">IFERROR(__xludf.DUMMYFUNCTION("""COMPUTED_VALUE"""),13)</f>
        <v>13</v>
      </c>
      <c r="BD330" s="30" t="str">
        <f ca="1">IFERROR(__xludf.DUMMYFUNCTION("""COMPUTED_VALUE"""),"Nuevo")</f>
        <v>Nuevo</v>
      </c>
      <c r="BE330" s="30" t="str">
        <f ca="1">IFERROR(__xludf.DUMMYFUNCTION("""COMPUTED_VALUE"""),"Patho Villagrán, Marjha Paulino, Francisco Cuellar, Chrivan Suxi, Juanki Buenrostro, Isis Yepez, Ania Ghertz, Lael, Iván Mata, Terry Holiday, Nicolas Andrew, José Manuel Rios")</f>
        <v>Patho Villagrán, Marjha Paulino, Francisco Cuellar, Chrivan Suxi, Juanki Buenrostro, Isis Yepez, Ania Ghertz, Lael, Iván Mata, Terry Holiday, Nicolas Andrew, José Manuel Rios</v>
      </c>
      <c r="BF330" s="30" t="b">
        <f ca="1">IFERROR(__xludf.DUMMYFUNCTION("""COMPUTED_VALUE"""),TRUE)</f>
        <v>1</v>
      </c>
      <c r="BG330" s="30" t="str">
        <f ca="1">IFERROR(__xludf.DUMMYFUNCTION("""COMPUTED_VALUE"""),"Económico")</f>
        <v>Económico</v>
      </c>
      <c r="BH330" s="30">
        <f ca="1">IFERROR(__xludf.DUMMYFUNCTION("""COMPUTED_VALUE"""),50000)</f>
        <v>50000</v>
      </c>
      <c r="BI330" s="30"/>
      <c r="BJ330" s="30"/>
      <c r="BK330" s="30"/>
      <c r="BL330" s="30"/>
      <c r="BM330" s="30" t="str">
        <f ca="1">IFERROR(__xludf.DUMMYFUNCTION("""COMPUTED_VALUE"""),"No")</f>
        <v>No</v>
      </c>
      <c r="BN330" s="30"/>
      <c r="BO330" s="30" t="str">
        <f ca="1">IFERROR(__xludf.DUMMYFUNCTION("""COMPUTED_VALUE"""),"466e653b")</f>
        <v>466e653b</v>
      </c>
      <c r="BP330" s="29" t="str">
        <f ca="1">IFERROR(__xludf.DUMMYFUNCTION("""COMPUTED_VALUE"""),"San Miguel de Allende")</f>
        <v>San Miguel de Allende</v>
      </c>
      <c r="BQ330" s="30" t="str">
        <f ca="1">IFERROR(__xludf.DUMMYFUNCTION("""COMPUTED_VALUE"""),"Urbano")</f>
        <v>Urbano</v>
      </c>
      <c r="BR330" s="30">
        <f ca="1">IFERROR(__xludf.DUMMYFUNCTION("""COMPUTED_VALUE"""),204)</f>
        <v>204</v>
      </c>
      <c r="BS330" s="30" t="str">
        <f ca="1">IFERROR(__xludf.DUMMYFUNCTION("""COMPUTED_VALUE"""),"San Miguel de Allende")</f>
        <v>San Miguel de Allende</v>
      </c>
      <c r="BT330" s="30"/>
      <c r="BU330" s="30" t="str">
        <f ca="1">IFERROR(__xludf.DUMMYFUNCTION("""COMPUTED_VALUE"""),"Si")</f>
        <v>Si</v>
      </c>
      <c r="BV330" s="30" t="str">
        <f ca="1">IFERROR(__xludf.DUMMYFUNCTION("""COMPUTED_VALUE"""),"Si")</f>
        <v>Si</v>
      </c>
      <c r="BW330" s="30">
        <f ca="1">IFERROR(__xludf.DUMMYFUNCTION("""COMPUTED_VALUE"""),300)</f>
        <v>300</v>
      </c>
      <c r="BX330" s="30"/>
      <c r="BY330" s="30">
        <f ca="1">IFERROR(__xludf.DUMMYFUNCTION("""COMPUTED_VALUE"""),300)</f>
        <v>300</v>
      </c>
      <c r="BZ330" s="30" t="str">
        <f ca="1">IFERROR(__xludf.DUMMYFUNCTION("""COMPUTED_VALUE"""),"San Miguel de Allende")</f>
        <v>San Miguel de Allende</v>
      </c>
      <c r="CA330" s="30" t="str">
        <f ca="1">IFERROR(__xludf.DUMMYFUNCTION("""COMPUTED_VALUE"""),"No")</f>
        <v>No</v>
      </c>
      <c r="CB330" s="30" t="str">
        <f ca="1">IFERROR(__xludf.DUMMYFUNCTION("""COMPUTED_VALUE"""),"No")</f>
        <v>No</v>
      </c>
      <c r="CC330" s="30" t="str">
        <f ca="1">IFERROR(__xludf.DUMMYFUNCTION("""COMPUTED_VALUE"""),"2f7102e0")</f>
        <v>2f7102e0</v>
      </c>
      <c r="CD330" s="29" t="str">
        <f ca="1">IFERROR(__xludf.DUMMYFUNCTION("""COMPUTED_VALUE"""),"Adultos (30 a 59 años)")</f>
        <v>Adultos (30 a 59 años)</v>
      </c>
      <c r="CE330" s="30" t="str">
        <f ca="1">IFERROR(__xludf.DUMMYFUNCTION("""COMPUTED_VALUE"""),"Dato global")</f>
        <v>Dato global</v>
      </c>
      <c r="CF330" s="30" t="str">
        <f ca="1">IFERROR(__xludf.DUMMYFUNCTION("""COMPUTED_VALUE"""),"Ninguno (Población General)")</f>
        <v>Ninguno (Población General)</v>
      </c>
      <c r="CG330" s="30">
        <f ca="1">IFERROR(__xludf.DUMMYFUNCTION("""COMPUTED_VALUE"""),4)</f>
        <v>4</v>
      </c>
      <c r="CJ330" s="29"/>
      <c r="CM330" s="30" t="str">
        <f ca="1">IFERROR(__xludf.DUMMYFUNCTION("""COMPUTED_VALUE"""),"Comonfort")</f>
        <v>Comonfort</v>
      </c>
      <c r="CN330" s="32" t="e">
        <f ca="1"/>
        <v>#NAME?</v>
      </c>
      <c r="CO330" s="32" t="e">
        <f ca="1"/>
        <v>#NAME?</v>
      </c>
      <c r="CP330" s="32" t="e">
        <f ca="1"/>
        <v>#NAME?</v>
      </c>
      <c r="CQ330" s="32" t="e">
        <f ca="1"/>
        <v>#NAME?</v>
      </c>
      <c r="CR330" s="30" t="e">
        <f ca="1"/>
        <v>#NAME?</v>
      </c>
      <c r="CS330" s="30" t="str">
        <f ca="1">IFERROR(__xludf.DUMMYFUNCTION("""COMPUTED_VALUE"""),"Ninguno (Población General), Ninguno (Población General)")</f>
        <v>Ninguno (Población General), Ninguno (Población General)</v>
      </c>
    </row>
    <row r="331" spans="1:97" ht="13">
      <c r="A331" s="29" t="str">
        <f ca="1">IFERROR(__xludf.DUMMYFUNCTION("""COMPUTED_VALUE"""),"ACT-SCBV52724")</f>
        <v>ACT-SCBV52724</v>
      </c>
      <c r="B331" s="30" t="str">
        <f ca="1">IFERROR(__xludf.DUMMYFUNCTION("""COMPUTED_VALUE"""),"SC-260828-100954")</f>
        <v>SC-260828-100954</v>
      </c>
      <c r="C331" s="62">
        <f ca="1">IFERROR(__xludf.DUMMYFUNCTION("""COMPUTED_VALUE"""),46262.4235416666)</f>
        <v>46262.423541666598</v>
      </c>
      <c r="D331" s="30">
        <f ca="1">IFERROR(__xludf.DUMMYFUNCTION("""COMPUTED_VALUE"""),13)</f>
        <v>13</v>
      </c>
      <c r="E331" s="30" t="str">
        <f ca="1">IFERROR(__xludf.DUMMYFUNCTION("""COMPUTED_VALUE"""),"QC4042")</f>
        <v>QC4042</v>
      </c>
      <c r="F331" s="30" t="str">
        <f ca="1">IFERROR(__xludf.DUMMYFUNCTION("""COMPUTED_VALUE"""),"Preservación de Zonas Arqueológicas de Guanajuato, Sitio Arqueológico Cañada de la Virgen")</f>
        <v>Preservación de Zonas Arqueológicas de Guanajuato, Sitio Arqueológico Cañada de la Virgen</v>
      </c>
      <c r="G331" s="30" t="str">
        <f ca="1">IFERROR(__xludf.DUMMYFUNCTION("""COMPUTED_VALUE"""),"Atención a personas para conocer el Sitio Arqueológico Cañada de la Virgen en San Miguel de Allende tanto de forma presencial como por medios electrónicos.")</f>
        <v>Atención a personas para conocer el Sitio Arqueológico Cañada de la Virgen en San Miguel de Allende tanto de forma presencial como por medios electrónicos.</v>
      </c>
      <c r="H331" s="30" t="str">
        <f ca="1">IFERROR(__xludf.DUMMYFUNCTION("""COMPUTED_VALUE"""),"SUBSECRETARÍA DE DESARROLLO COMUNITARIO Y PROMOCIÓN PATRIMONIAL")</f>
        <v>SUBSECRETARÍA DE DESARROLLO COMUNITARIO Y PROMOCIÓN PATRIMONIAL</v>
      </c>
      <c r="I331" s="34" t="str">
        <f ca="1">IFERROR(__xludf.DUMMYFUNCTION("""COMPUTED_VALUE"""),"DIRECCIÓN GENERAL DE PATRIMONIO CULTURAL")</f>
        <v>DIRECCIÓN GENERAL DE PATRIMONIO CULTURAL</v>
      </c>
      <c r="J331" s="30" t="str">
        <f ca="1">IFERROR(__xludf.DUMMYFUNCTION("""COMPUTED_VALUE"""),"Personas atendidas de manera presencial y virtual")</f>
        <v>Personas atendidas de manera presencial y virtual</v>
      </c>
      <c r="K331" s="30">
        <f ca="1">IFERROR(__xludf.DUMMYFUNCTION("""COMPUTED_VALUE"""),105000)</f>
        <v>105000</v>
      </c>
      <c r="L331" s="30" t="str">
        <f ca="1">IFERROR(__xludf.DUMMYFUNCTION("""COMPUTED_VALUE"""),"Cultural")</f>
        <v>Cultural</v>
      </c>
      <c r="M331" s="30" t="str">
        <f ca="1">IFERROR(__xludf.DUMMYFUNCTION("""COMPUTED_VALUE"""),"Reporte de visitantes presenciales y virtuales en la Zona Arqueológica de Cañada de la Virgen en SMA.")</f>
        <v>Reporte de visitantes presenciales y virtuales en la Zona Arqueológica de Cañada de la Virgen en SMA.</v>
      </c>
      <c r="N331" s="30" t="str">
        <f ca="1">IFERROR(__xludf.DUMMYFUNCTION("""COMPUTED_VALUE"""),"La atención al público es de martes a domingo de 10:00 a 18:00 horas, se otorga con servicios como; estacionamiento, transporte para traslado a la zona, taquilla, paquetería, sala introductoria, salas de exposición permanente y temporal, sanitarios, para "&amp;"proporcionar de la mejor manera, la atención a visitantes. Atención a grupos escolares de cualquier nivel. Las Zonas arqueológicas trabajan a través de un FIDEICOMISO, los lineamientos con los que operan permiten la exención de pago para grupos escolares "&amp;"únicamente los días miércoles.")</f>
        <v>La atención al público es de martes a domingo de 10:00 a 18:00 horas, se otorga con servicios como; estacionamiento, transporte para traslado a la zona, taquilla, paquetería, sala introductoria, salas de exposición permanente y temporal, sanitarios, para proporcionar de la mejor manera, la atención a visitantes. Atención a grupos escolares de cualquier nivel. Las Zonas arqueológicas trabajan a través de un FIDEICOMISO, los lineamientos con los que operan permiten la exención de pago para grupos escolares únicamente los días miércoles.</v>
      </c>
      <c r="O331" s="30" t="str">
        <f ca="1">IFERROR(__xludf.DUMMYFUNCTION("""COMPUTED_VALUE"""),"Otras")</f>
        <v>Otras</v>
      </c>
      <c r="P331" s="33">
        <f ca="1">IFERROR(__xludf.DUMMYFUNCTION("""COMPUTED_VALUE"""),46023)</f>
        <v>46023</v>
      </c>
      <c r="Q331" s="33">
        <f ca="1">IFERROR(__xludf.DUMMYFUNCTION("""COMPUTED_VALUE"""),46203)</f>
        <v>46203</v>
      </c>
      <c r="R331" s="30">
        <f ca="1">IFERROR(__xludf.DUMMYFUNCTION("""COMPUTED_VALUE"""),1)</f>
        <v>1</v>
      </c>
      <c r="S331" s="30" t="str">
        <f ca="1">IFERROR(__xludf.DUMMYFUNCTION("""COMPUTED_VALUE"""),"Patrimonio cultural")</f>
        <v>Patrimonio cultural</v>
      </c>
      <c r="T331" s="30" t="str">
        <f ca="1">IFERROR(__xludf.DUMMYFUNCTION("""COMPUTED_VALUE"""),"Zonas arqueológicas")</f>
        <v>Zonas arqueológicas</v>
      </c>
      <c r="U331" s="30" t="str">
        <f ca="1">IFERROR(__xludf.DUMMYFUNCTION("""COMPUTED_VALUE"""),"Visitas guiadas")</f>
        <v>Visitas guiadas</v>
      </c>
      <c r="V331" s="30" t="str">
        <f ca="1">IFERROR(__xludf.DUMMYFUNCTION("""COMPUTED_VALUE"""),"Ninguna")</f>
        <v>Ninguna</v>
      </c>
      <c r="W331" s="30" t="str">
        <f ca="1">IFERROR(__xludf.DUMMYFUNCTION("""COMPUTED_VALUE"""),"Híbrido")</f>
        <v>Híbrido</v>
      </c>
      <c r="X331" s="30" t="str">
        <f ca="1">IFERROR(__xludf.DUMMYFUNCTION("""COMPUTED_VALUE"""),"Sitio Patrimonial")</f>
        <v>Sitio Patrimonial</v>
      </c>
      <c r="Y331" s="30" t="str">
        <f ca="1">IFERROR(__xludf.DUMMYFUNCTION("""COMPUTED_VALUE"""),"Zona Arqueológica Cañada de la Virgen")</f>
        <v>Zona Arqueológica Cañada de la Virgen</v>
      </c>
      <c r="Z331" s="30"/>
      <c r="AA331" s="30"/>
      <c r="AB331" s="30" t="b">
        <f ca="1">IFERROR(__xludf.DUMMYFUNCTION("""COMPUTED_VALUE"""),TRUE)</f>
        <v>1</v>
      </c>
      <c r="AC331" s="30">
        <f ca="1">IFERROR(__xludf.DUMMYFUNCTION("""COMPUTED_VALUE"""),100)</f>
        <v>100</v>
      </c>
      <c r="AD331" s="30" t="b">
        <f ca="1">IFERROR(__xludf.DUMMYFUNCTION("""COMPUTED_VALUE"""),FALSE)</f>
        <v>0</v>
      </c>
      <c r="AE331" s="30"/>
      <c r="AF331" s="30" t="b">
        <f ca="1">IFERROR(__xludf.DUMMYFUNCTION("""COMPUTED_VALUE"""),FALSE)</f>
        <v>0</v>
      </c>
      <c r="AG331" s="30"/>
      <c r="AH331" s="30" t="str">
        <f ca="1">IFERROR(__xludf.DUMMYFUNCTION("""COMPUTED_VALUE"""),"Con costo")</f>
        <v>Con costo</v>
      </c>
      <c r="AI331" s="30">
        <f ca="1">IFERROR(__xludf.DUMMYFUNCTION("""COMPUTED_VALUE"""),25)</f>
        <v>25</v>
      </c>
      <c r="AJ331" s="30">
        <f ca="1">IFERROR(__xludf.DUMMYFUNCTION("""COMPUTED_VALUE"""),100)</f>
        <v>100</v>
      </c>
      <c r="AK331" s="30" t="str">
        <f ca="1">IFERROR(__xludf.DUMMYFUNCTION("""COMPUTED_VALUE"""),"Niños $25, adultos $100")</f>
        <v>Niños $25, adultos $100</v>
      </c>
      <c r="AL331" s="30" t="str">
        <f ca="1">IFERROR(__xludf.DUMMYFUNCTION("""COMPUTED_VALUE"""),"ealvarezt@guanajuato.gob.mx")</f>
        <v>ealvarezt@guanajuato.gob.mx</v>
      </c>
      <c r="AM331" s="30" t="str">
        <f ca="1">IFERROR(__xludf.DUMMYFUNCTION("""COMPUTED_VALUE"""),"Arraigo y empoderamiento cultural de comunidades.")</f>
        <v>Arraigo y empoderamiento cultural de comunidades.</v>
      </c>
      <c r="AN331" s="30" t="str">
        <f ca="1">IFERROR(__xludf.DUMMYFUNCTION("""COMPUTED_VALUE"""),"5 Prosperidad")</f>
        <v>5 Prosperidad</v>
      </c>
      <c r="AO331" s="30" t="str">
        <f ca="1">IFERROR(__xludf.DUMMYFUNCTION("""COMPUTED_VALUE"""),"5.4 Fortalecer presencia turística")</f>
        <v>5.4 Fortalecer presencia turística</v>
      </c>
      <c r="AP331" s="30" t="str">
        <f ca="1">IFERROR(__xludf.DUMMYFUNCTION("""COMPUTED_VALUE"""),"5.4 Fortalecer presencia turística")</f>
        <v>5.4 Fortalecer presencia turística</v>
      </c>
      <c r="AQ331" s="30" t="str">
        <f ca="1">IFERROR(__xludf.DUMMYFUNCTION("""COMPUTED_VALUE"""),"5.4 Fortalecer presencia turística")</f>
        <v>5.4 Fortalecer presencia turística</v>
      </c>
      <c r="AR331" s="30" t="str">
        <f ca="1">IFERROR(__xludf.DUMMYFUNCTION("""COMPUTED_VALUE"""),"Ninguno")</f>
        <v>Ninguno</v>
      </c>
      <c r="AS331" s="30"/>
      <c r="AT331" s="30" t="str">
        <f ca="1">IFERROR(__xludf.DUMMYFUNCTION("""COMPUTED_VALUE"""),"Protección y dinamización del patrimonio, la memoria y los espacios culturales")</f>
        <v>Protección y dinamización del patrimonio, la memoria y los espacios culturales</v>
      </c>
      <c r="AU331"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331" s="30" t="str">
        <f ca="1">IFERROR(__xludf.DUMMYFUNCTION("""COMPUTED_VALUE"""),"Impulsar proyectos de autogestión comunitaria para el cuidado, mantenimiento y aprovechamiento de espacios culturales y zonas patrimoniales.")</f>
        <v>Impulsar proyectos de autogestión comunitaria para el cuidado, mantenimiento y aprovechamiento de espacios culturales y zonas patrimoniales.</v>
      </c>
      <c r="AW331"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331" s="30" t="str">
        <f ca="1">IFERROR(__xludf.DUMMYFUNCTION("""COMPUTED_VALUE"""),"Visitas guiadas")</f>
        <v>Visitas guiadas</v>
      </c>
      <c r="AY331" s="30" t="str">
        <f ca="1">IFERROR(__xludf.DUMMYFUNCTION("""COMPUTED_VALUE"""),"Circulación / Exhibición")</f>
        <v>Circulación / Exhibición</v>
      </c>
      <c r="AZ331" s="30"/>
      <c r="BA331" s="30"/>
      <c r="BB331" s="30">
        <f ca="1">IFERROR(__xludf.DUMMYFUNCTION("""COMPUTED_VALUE"""),15)</f>
        <v>15</v>
      </c>
      <c r="BC331" s="30">
        <f ca="1">IFERROR(__xludf.DUMMYFUNCTION("""COMPUTED_VALUE"""),0)</f>
        <v>0</v>
      </c>
      <c r="BD331" s="30"/>
      <c r="BE331" s="30"/>
      <c r="BF331" s="30" t="b">
        <f ca="1">IFERROR(__xludf.DUMMYFUNCTION("""COMPUTED_VALUE"""),FALSE)</f>
        <v>0</v>
      </c>
      <c r="BG331" s="30"/>
      <c r="BH331" s="30"/>
      <c r="BI331" s="30"/>
      <c r="BJ331" s="30"/>
      <c r="BK331" s="30"/>
      <c r="BL331" s="30"/>
      <c r="BM331" s="30" t="str">
        <f ca="1">IFERROR(__xludf.DUMMYFUNCTION("""COMPUTED_VALUE"""),"No")</f>
        <v>No</v>
      </c>
      <c r="BN331" s="30"/>
      <c r="BO331" s="30" t="str">
        <f ca="1">IFERROR(__xludf.DUMMYFUNCTION("""COMPUTED_VALUE"""),"f8723946")</f>
        <v>f8723946</v>
      </c>
      <c r="BP331" s="29" t="str">
        <f ca="1">IFERROR(__xludf.DUMMYFUNCTION("""COMPUTED_VALUE"""),"Ciudad de mexico")</f>
        <v>Ciudad de mexico</v>
      </c>
      <c r="BQ331" s="30" t="str">
        <f ca="1">IFERROR(__xludf.DUMMYFUNCTION("""COMPUTED_VALUE"""),"Urbano")</f>
        <v>Urbano</v>
      </c>
      <c r="BR331" s="30"/>
      <c r="BS331" s="30" t="str">
        <f ca="1">IFERROR(__xludf.DUMMYFUNCTION("""COMPUTED_VALUE"""),"Zona centro")</f>
        <v>Zona centro</v>
      </c>
      <c r="BT331" s="30"/>
      <c r="BU331" s="30" t="str">
        <f ca="1">IFERROR(__xludf.DUMMYFUNCTION("""COMPUTED_VALUE"""),"No")</f>
        <v>No</v>
      </c>
      <c r="BV331" s="30" t="str">
        <f ca="1">IFERROR(__xludf.DUMMYFUNCTION("""COMPUTED_VALUE"""),"No")</f>
        <v>No</v>
      </c>
      <c r="BW331" s="30">
        <f ca="1">IFERROR(__xludf.DUMMYFUNCTION("""COMPUTED_VALUE"""),300)</f>
        <v>300</v>
      </c>
      <c r="BX331" s="30"/>
      <c r="BY331" s="30">
        <f ca="1">IFERROR(__xludf.DUMMYFUNCTION("""COMPUTED_VALUE"""),300)</f>
        <v>300</v>
      </c>
      <c r="BZ331" s="30" t="str">
        <f ca="1">IFERROR(__xludf.DUMMYFUNCTION("""COMPUTED_VALUE"""),"Zona centro")</f>
        <v>Zona centro</v>
      </c>
      <c r="CA331" s="30" t="str">
        <f ca="1">IFERROR(__xludf.DUMMYFUNCTION("""COMPUTED_VALUE"""),"No")</f>
        <v>No</v>
      </c>
      <c r="CB331" s="30" t="str">
        <f ca="1">IFERROR(__xludf.DUMMYFUNCTION("""COMPUTED_VALUE"""),"No")</f>
        <v>No</v>
      </c>
      <c r="CC331" s="30" t="str">
        <f ca="1">IFERROR(__xludf.DUMMYFUNCTION("""COMPUTED_VALUE"""),"2d9f7e94")</f>
        <v>2d9f7e94</v>
      </c>
      <c r="CD331" s="29" t="str">
        <f ca="1">IFERROR(__xludf.DUMMYFUNCTION("""COMPUTED_VALUE"""),"Adolescentes (13 a 17 años)")</f>
        <v>Adolescentes (13 a 17 años)</v>
      </c>
      <c r="CE331" s="30" t="str">
        <f ca="1">IFERROR(__xludf.DUMMYFUNCTION("""COMPUTED_VALUE"""),"Dato global")</f>
        <v>Dato global</v>
      </c>
      <c r="CF331" s="30" t="str">
        <f ca="1">IFERROR(__xludf.DUMMYFUNCTION("""COMPUTED_VALUE"""),"Ninguno (Población General)")</f>
        <v>Ninguno (Población General)</v>
      </c>
      <c r="CG331" s="30">
        <f ca="1">IFERROR(__xludf.DUMMYFUNCTION("""COMPUTED_VALUE"""),50)</f>
        <v>50</v>
      </c>
      <c r="CJ331" s="29"/>
      <c r="CM331" s="30" t="str">
        <f ca="1">IFERROR(__xludf.DUMMYFUNCTION("""COMPUTED_VALUE"""),"")</f>
        <v/>
      </c>
      <c r="CN331" s="32" t="e">
        <f ca="1"/>
        <v>#NAME?</v>
      </c>
      <c r="CO331" s="32" t="e">
        <f ca="1"/>
        <v>#NAME?</v>
      </c>
      <c r="CP331" s="32" t="e">
        <f ca="1"/>
        <v>#NAME?</v>
      </c>
      <c r="CQ331" s="32" t="e">
        <f ca="1"/>
        <v>#NAME?</v>
      </c>
      <c r="CR331" s="30" t="e">
        <f ca="1"/>
        <v>#NAME?</v>
      </c>
      <c r="CS331" s="30" t="str">
        <f ca="1">IFERROR(__xludf.DUMMYFUNCTION("""COMPUTED_VALUE"""),"Población General")</f>
        <v>Población General</v>
      </c>
    </row>
    <row r="332" spans="1:97" ht="13">
      <c r="A332" s="29" t="str">
        <f ca="1">IFERROR(__xludf.DUMMYFUNCTION("""COMPUTED_VALUE"""),"ACT-SCCO91399")</f>
        <v>ACT-SCCO91399</v>
      </c>
      <c r="B332" s="30" t="str">
        <f ca="1">IFERROR(__xludf.DUMMYFUNCTION("""COMPUTED_VALUE"""),"SC-260828-124703")</f>
        <v>SC-260828-124703</v>
      </c>
      <c r="C332" s="62">
        <f ca="1">IFERROR(__xludf.DUMMYFUNCTION("""COMPUTED_VALUE"""),46262.5326736111)</f>
        <v>46262.532673611102</v>
      </c>
      <c r="D332" s="30">
        <f ca="1">IFERROR(__xludf.DUMMYFUNCTION("""COMPUTED_VALUE"""),38)</f>
        <v>38</v>
      </c>
      <c r="E332" s="30" t="str">
        <f ca="1">IFERROR(__xludf.DUMMYFUNCTION("""COMPUTED_VALUE"""),"QC4045")</f>
        <v>QC4045</v>
      </c>
      <c r="F332" s="30" t="str">
        <f ca="1">IFERROR(__xludf.DUMMYFUNCTION("""COMPUTED_VALUE"""),"Fortalecimiento de Ediciones La Rana")</f>
        <v>Fortalecimiento de Ediciones La Rana</v>
      </c>
      <c r="G332" s="30" t="str">
        <f ca="1">IFERROR(__xludf.DUMMYFUNCTION("""COMPUTED_VALUE"""),"Dictamen de la convocatoria de Premio Nacional de Cuento, premiar al autor seleccionado y gestionar la publicación de texto ganador")</f>
        <v>Dictamen de la convocatoria de Premio Nacional de Cuento, premiar al autor seleccionado y gestionar la publicación de texto ganador</v>
      </c>
      <c r="H332" s="30" t="str">
        <f ca="1">IFERROR(__xludf.DUMMYFUNCTION("""COMPUTED_VALUE"""),"SUBSECRETARÍA DE DESARROLLO Y PROMOCIÓN ARTÍSTICA Y CULTURAL")</f>
        <v>SUBSECRETARÍA DE DESARROLLO Y PROMOCIÓN ARTÍSTICA Y CULTURAL</v>
      </c>
      <c r="I332" s="34" t="str">
        <f ca="1">IFERROR(__xludf.DUMMYFUNCTION("""COMPUTED_VALUE"""),"DIRECCIÓN GENERAL DE EDITORIAL Y PUBLICACIONES")</f>
        <v>DIRECCIÓN GENERAL DE EDITORIAL Y PUBLICACIONES</v>
      </c>
      <c r="J332" s="30" t="str">
        <f ca="1">IFERROR(__xludf.DUMMYFUNCTION("""COMPUTED_VALUE"""),"Dictamen de la convocatoria por tres jurados para otorgar premio")</f>
        <v>Dictamen de la convocatoria por tres jurados para otorgar premio</v>
      </c>
      <c r="K332" s="30">
        <f ca="1">IFERROR(__xludf.DUMMYFUNCTION("""COMPUTED_VALUE"""),1)</f>
        <v>1</v>
      </c>
      <c r="L332" s="30" t="str">
        <f ca="1">IFERROR(__xludf.DUMMYFUNCTION("""COMPUTED_VALUE"""),"Cultural")</f>
        <v>Cultural</v>
      </c>
      <c r="M332" s="30" t="str">
        <f ca="1">IFERROR(__xludf.DUMMYFUNCTION("""COMPUTED_VALUE"""),"Premiación")</f>
        <v>Premiación</v>
      </c>
      <c r="N332" s="30" t="str">
        <f ca="1">IFERROR(__xludf.DUMMYFUNCTION("""COMPUTED_VALUE"""),"Entrega de Premio Nacional de Cuento")</f>
        <v>Entrega de Premio Nacional de Cuento</v>
      </c>
      <c r="O332" s="30" t="str">
        <f ca="1">IFERROR(__xludf.DUMMYFUNCTION("""COMPUTED_VALUE"""),"Única")</f>
        <v>Única</v>
      </c>
      <c r="P332" s="33">
        <f ca="1">IFERROR(__xludf.DUMMYFUNCTION("""COMPUTED_VALUE"""),46248)</f>
        <v>46248</v>
      </c>
      <c r="Q332" s="33">
        <f ca="1">IFERROR(__xludf.DUMMYFUNCTION("""COMPUTED_VALUE"""),46248)</f>
        <v>46248</v>
      </c>
      <c r="R332" s="30">
        <f ca="1">IFERROR(__xludf.DUMMYFUNCTION("""COMPUTED_VALUE"""),1)</f>
        <v>1</v>
      </c>
      <c r="S332" s="30" t="str">
        <f ca="1">IFERROR(__xludf.DUMMYFUNCTION("""COMPUTED_VALUE"""),"Cultura comunitaria")</f>
        <v>Cultura comunitaria</v>
      </c>
      <c r="T332" s="30" t="str">
        <f ca="1">IFERROR(__xludf.DUMMYFUNCTION("""COMPUTED_VALUE"""),"Gestión cultural")</f>
        <v>Gestión cultural</v>
      </c>
      <c r="U332" s="30" t="str">
        <f ca="1">IFERROR(__xludf.DUMMYFUNCTION("""COMPUTED_VALUE"""),"Reconocimiento público")</f>
        <v>Reconocimiento público</v>
      </c>
      <c r="V332" s="30" t="str">
        <f ca="1">IFERROR(__xludf.DUMMYFUNCTION("""COMPUTED_VALUE"""),"Entrega de estímulos")</f>
        <v>Entrega de estímulos</v>
      </c>
      <c r="W332" s="30" t="str">
        <f ca="1">IFERROR(__xludf.DUMMYFUNCTION("""COMPUTED_VALUE"""),"Presencial")</f>
        <v>Presencial</v>
      </c>
      <c r="X332" s="30" t="str">
        <f ca="1">IFERROR(__xludf.DUMMYFUNCTION("""COMPUTED_VALUE"""),"Espacio a Cargo de la Secretaría")</f>
        <v>Espacio a Cargo de la Secretaría</v>
      </c>
      <c r="Y332" s="30" t="str">
        <f ca="1">IFERROR(__xludf.DUMMYFUNCTION("""COMPUTED_VALUE"""),"Forum Cultural Guanajuato")</f>
        <v>Forum Cultural Guanajuato</v>
      </c>
      <c r="Z332" s="30"/>
      <c r="AA332" s="30"/>
      <c r="AB332" s="30" t="b">
        <f ca="1">IFERROR(__xludf.DUMMYFUNCTION("""COMPUTED_VALUE"""),FALSE)</f>
        <v>0</v>
      </c>
      <c r="AC332" s="30"/>
      <c r="AD332" s="30" t="b">
        <f ca="1">IFERROR(__xludf.DUMMYFUNCTION("""COMPUTED_VALUE"""),TRUE)</f>
        <v>1</v>
      </c>
      <c r="AE332" s="30">
        <f ca="1">IFERROR(__xludf.DUMMYFUNCTION("""COMPUTED_VALUE"""),1)</f>
        <v>1</v>
      </c>
      <c r="AF332" s="30" t="b">
        <f ca="1">IFERROR(__xludf.DUMMYFUNCTION("""COMPUTED_VALUE"""),FALSE)</f>
        <v>0</v>
      </c>
      <c r="AG332" s="30"/>
      <c r="AH332" s="30" t="str">
        <f ca="1">IFERROR(__xludf.DUMMYFUNCTION("""COMPUTED_VALUE"""),"Sin costo")</f>
        <v>Sin costo</v>
      </c>
      <c r="AI332" s="30"/>
      <c r="AJ332" s="30"/>
      <c r="AK332" s="30"/>
      <c r="AL332" s="30" t="str">
        <f ca="1">IFERROR(__xludf.DUMMYFUNCTION("""COMPUTED_VALUE"""),"fmolinar@guanajuato.gob.mx")</f>
        <v>fmolinar@guanajuato.gob.mx</v>
      </c>
      <c r="AM332" s="30" t="str">
        <f ca="1">IFERROR(__xludf.DUMMYFUNCTION("""COMPUTED_VALUE"""),"Apoyos para artistas populares.")</f>
        <v>Apoyos para artistas populares.</v>
      </c>
      <c r="AN332" s="30" t="str">
        <f ca="1">IFERROR(__xludf.DUMMYFUNCTION("""COMPUTED_VALUE"""),"1 Tranquilidad")</f>
        <v>1 Tranquilidad</v>
      </c>
      <c r="AO332" s="30" t="str">
        <f ca="1">IFERROR(__xludf.DUMMYFUNCTION("""COMPUTED_VALUE"""),"1.2 Fortalecer prevención del delito")</f>
        <v>1.2 Fortalecer prevención del delito</v>
      </c>
      <c r="AP332" s="30" t="str">
        <f ca="1">IFERROR(__xludf.DUMMYFUNCTION("""COMPUTED_VALUE"""),"1.2.2 Fortalecimiento del tejido social")</f>
        <v>1.2.2 Fortalecimiento del tejido social</v>
      </c>
      <c r="AQ332" s="30" t="str">
        <f ca="1">IFERROR(__xludf.DUMMYFUNCTION("""COMPUTED_VALUE"""),"1.2.3.4 Promover una cultura de paz desde las expresiones artísticas y culturales")</f>
        <v>1.2.3.4 Promover una cultura de paz desde las expresiones artísticas y culturales</v>
      </c>
      <c r="AR332" s="30" t="str">
        <f ca="1">IFERROR(__xludf.DUMMYFUNCTION("""COMPUTED_VALUE"""),"Ninguno")</f>
        <v>Ninguno</v>
      </c>
      <c r="AS332" s="30"/>
      <c r="AT332" s="30" t="str">
        <f ca="1">IFERROR(__xludf.DUMMYFUNCTION("""COMPUTED_VALUE"""),"Fortalecimiento de la participación ciudadana y la mediación cultural")</f>
        <v>Fortalecimiento de la participación ciudadana y la mediación cultural</v>
      </c>
      <c r="AU332" s="30" t="str">
        <f ca="1">IFERROR(__xludf.DUMMYFUNCTION("""COMPUTED_VALUE"""),"Impulso a la ampliación de la oferta cultural en los territorios.")</f>
        <v>Impulso a la ampliación de la oferta cultural en los territorios.</v>
      </c>
      <c r="AV33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32" s="30" t="str">
        <f ca="1">IFERROR(__xludf.DUMMYFUNCTION("""COMPUTED_VALUE"""),"Incrementar en 25% la oferta cultural realizada en los municipios.")</f>
        <v>Incrementar en 25% la oferta cultural realizada en los municipios.</v>
      </c>
      <c r="AX332" s="30" t="str">
        <f ca="1">IFERROR(__xludf.DUMMYFUNCTION("""COMPUTED_VALUE"""),"Ceremonia")</f>
        <v>Ceremonia</v>
      </c>
      <c r="AY332" s="30" t="str">
        <f ca="1">IFERROR(__xludf.DUMMYFUNCTION("""COMPUTED_VALUE"""),"Producción")</f>
        <v>Producción</v>
      </c>
      <c r="AZ332" s="30"/>
      <c r="BA332" s="30"/>
      <c r="BB332" s="30">
        <f ca="1">IFERROR(__xludf.DUMMYFUNCTION("""COMPUTED_VALUE"""),9)</f>
        <v>9</v>
      </c>
      <c r="BC332" s="30">
        <f ca="1">IFERROR(__xludf.DUMMYFUNCTION("""COMPUTED_VALUE"""),1)</f>
        <v>1</v>
      </c>
      <c r="BD332" s="30" t="str">
        <f ca="1">IFERROR(__xludf.DUMMYFUNCTION("""COMPUTED_VALUE"""),"Nuevo")</f>
        <v>Nuevo</v>
      </c>
      <c r="BE332" s="30" t="str">
        <f ca="1">IFERROR(__xludf.DUMMYFUNCTION("""COMPUTED_VALUE"""),"Ernesto Guevara")</f>
        <v>Ernesto Guevara</v>
      </c>
      <c r="BF332" s="30" t="b">
        <f ca="1">IFERROR(__xludf.DUMMYFUNCTION("""COMPUTED_VALUE"""),FALSE)</f>
        <v>0</v>
      </c>
      <c r="BG332" s="30"/>
      <c r="BH332" s="30"/>
      <c r="BI332" s="30"/>
      <c r="BJ332" s="30"/>
      <c r="BK332" s="30"/>
      <c r="BL332" s="30"/>
      <c r="BM332" s="30" t="str">
        <f ca="1">IFERROR(__xludf.DUMMYFUNCTION("""COMPUTED_VALUE"""),"No")</f>
        <v>No</v>
      </c>
      <c r="BN332" s="30"/>
      <c r="BO332" s="30" t="str">
        <f ca="1">IFERROR(__xludf.DUMMYFUNCTION("""COMPUTED_VALUE"""),"8f6806e9")</f>
        <v>8f6806e9</v>
      </c>
      <c r="BP332" s="29" t="str">
        <f ca="1">IFERROR(__xludf.DUMMYFUNCTION("""COMPUTED_VALUE"""),"Comonfort")</f>
        <v>Comonfort</v>
      </c>
      <c r="BQ332" s="30" t="str">
        <f ca="1">IFERROR(__xludf.DUMMYFUNCTION("""COMPUTED_VALUE"""),"Urbano")</f>
        <v>Urbano</v>
      </c>
      <c r="BR332" s="30">
        <f ca="1">IFERROR(__xludf.DUMMYFUNCTION("""COMPUTED_VALUE"""),28)</f>
        <v>28</v>
      </c>
      <c r="BS332" s="30" t="str">
        <f ca="1">IFERROR(__xludf.DUMMYFUNCTION("""COMPUTED_VALUE"""),"Comonfort")</f>
        <v>Comonfort</v>
      </c>
      <c r="BT332" s="30"/>
      <c r="BU332" s="30" t="str">
        <f ca="1">IFERROR(__xludf.DUMMYFUNCTION("""COMPUTED_VALUE"""),"Si")</f>
        <v>Si</v>
      </c>
      <c r="BV332" s="30" t="str">
        <f ca="1">IFERROR(__xludf.DUMMYFUNCTION("""COMPUTED_VALUE"""),"Si")</f>
        <v>Si</v>
      </c>
      <c r="BW332" s="30">
        <f ca="1">IFERROR(__xludf.DUMMYFUNCTION("""COMPUTED_VALUE"""),20)</f>
        <v>20</v>
      </c>
      <c r="BX332" s="30">
        <f ca="1">IFERROR(__xludf.DUMMYFUNCTION("""COMPUTED_VALUE"""),20)</f>
        <v>20</v>
      </c>
      <c r="BY332" s="30">
        <f ca="1">IFERROR(__xludf.DUMMYFUNCTION("""COMPUTED_VALUE"""),0)</f>
        <v>0</v>
      </c>
      <c r="BZ332" s="30" t="str">
        <f ca="1">IFERROR(__xludf.DUMMYFUNCTION("""COMPUTED_VALUE"""),"Comonfort")</f>
        <v>Comonfort</v>
      </c>
      <c r="CA332" s="30" t="str">
        <f ca="1">IFERROR(__xludf.DUMMYFUNCTION("""COMPUTED_VALUE"""),"No")</f>
        <v>No</v>
      </c>
      <c r="CB332" s="30" t="str">
        <f ca="1">IFERROR(__xludf.DUMMYFUNCTION("""COMPUTED_VALUE"""),"No")</f>
        <v>No</v>
      </c>
      <c r="CC332" s="30" t="str">
        <f ca="1">IFERROR(__xludf.DUMMYFUNCTION("""COMPUTED_VALUE"""),"2304ab9d")</f>
        <v>2304ab9d</v>
      </c>
      <c r="CD332" s="29" t="str">
        <f ca="1">IFERROR(__xludf.DUMMYFUNCTION("""COMPUTED_VALUE"""),"Adultos (30 a 59 años)")</f>
        <v>Adultos (30 a 59 años)</v>
      </c>
      <c r="CE332" s="30" t="str">
        <f ca="1">IFERROR(__xludf.DUMMYFUNCTION("""COMPUTED_VALUE"""),"Dato global")</f>
        <v>Dato global</v>
      </c>
      <c r="CF332" s="30" t="str">
        <f ca="1">IFERROR(__xludf.DUMMYFUNCTION("""COMPUTED_VALUE"""),"Ninguno (Población General)")</f>
        <v>Ninguno (Población General)</v>
      </c>
      <c r="CG332" s="30">
        <f ca="1">IFERROR(__xludf.DUMMYFUNCTION("""COMPUTED_VALUE"""),2)</f>
        <v>2</v>
      </c>
      <c r="CJ332" s="29"/>
      <c r="CM332" s="30" t="str">
        <f ca="1">IFERROR(__xludf.DUMMYFUNCTION("""COMPUTED_VALUE"""),"Acámbaro")</f>
        <v>Acámbaro</v>
      </c>
      <c r="CN332" s="32" t="e">
        <f ca="1"/>
        <v>#NAME?</v>
      </c>
      <c r="CO332" s="32" t="e">
        <f ca="1"/>
        <v>#NAME?</v>
      </c>
      <c r="CP332" s="32" t="e">
        <f ca="1"/>
        <v>#NAME?</v>
      </c>
      <c r="CQ332" s="32" t="e">
        <f ca="1"/>
        <v>#NAME?</v>
      </c>
      <c r="CR332" s="30" t="e">
        <f ca="1"/>
        <v>#NAME?</v>
      </c>
      <c r="CS332" s="30" t="str">
        <f ca="1">IFERROR(__xludf.DUMMYFUNCTION("""COMPUTED_VALUE"""),"Ninguno (Población General), Ninguno (Población General)")</f>
        <v>Ninguno (Población General), Ninguno (Población General)</v>
      </c>
    </row>
    <row r="333" spans="1:97" ht="13">
      <c r="A333" s="29" t="str">
        <f ca="1">IFERROR(__xludf.DUMMYFUNCTION("""COMPUTED_VALUE"""),"ACT-SCFB82875")</f>
        <v>ACT-SCFB82875</v>
      </c>
      <c r="B333" s="30" t="str">
        <f ca="1">IFERROR(__xludf.DUMMYFUNCTION("""COMPUTED_VALUE"""),"SC-260828-133942")</f>
        <v>SC-260828-133942</v>
      </c>
      <c r="C333" s="62">
        <f ca="1">IFERROR(__xludf.DUMMYFUNCTION("""COMPUTED_VALUE"""),46262.5692361111)</f>
        <v>46262.5692361111</v>
      </c>
      <c r="D333" s="30">
        <f ca="1">IFERROR(__xludf.DUMMYFUNCTION("""COMPUTED_VALUE"""),89)</f>
        <v>89</v>
      </c>
      <c r="E333" s="30" t="str">
        <f ca="1">IFERROR(__xludf.DUMMYFUNCTION("""COMPUTED_VALUE"""),"PB3573")</f>
        <v>PB3573</v>
      </c>
      <c r="F333" s="30" t="str">
        <f ca="1">IFERROR(__xludf.DUMMYFUNCTION("""COMPUTED_VALUE"""),"Fortalecimiento del libro y sus plataformas: creación, producción, distribución e impulso a creadores")</f>
        <v>Fortalecimiento del libro y sus plataformas: creación, producción, distribución e impulso a creadores</v>
      </c>
      <c r="G333" s="30" t="str">
        <f ca="1">IFERROR(__xludf.DUMMYFUNCTION("""COMPUTED_VALUE"""),"Encuentros profesionales de la cadena del valor del libro.")</f>
        <v>Encuentros profesionales de la cadena del valor del libro.</v>
      </c>
      <c r="H333" s="30" t="str">
        <f ca="1">IFERROR(__xludf.DUMMYFUNCTION("""COMPUTED_VALUE"""),"SUBSECRETARÍA DE DESARROLLO Y PROMOCIÓN ARTÍSTICA Y CULTURAL")</f>
        <v>SUBSECRETARÍA DE DESARROLLO Y PROMOCIÓN ARTÍSTICA Y CULTURAL</v>
      </c>
      <c r="I333" s="34" t="str">
        <f ca="1">IFERROR(__xludf.DUMMYFUNCTION("""COMPUTED_VALUE"""),"DIRECCIÓN GENERAL DE EDITORIAL Y PUBLICACIONES")</f>
        <v>DIRECCIÓN GENERAL DE EDITORIAL Y PUBLICACIONES</v>
      </c>
      <c r="J333" s="30" t="str">
        <f ca="1">IFERROR(__xludf.DUMMYFUNCTION("""COMPUTED_VALUE"""),"Encuentros realizados")</f>
        <v>Encuentros realizados</v>
      </c>
      <c r="K333" s="30">
        <f ca="1">IFERROR(__xludf.DUMMYFUNCTION("""COMPUTED_VALUE"""),2)</f>
        <v>2</v>
      </c>
      <c r="L333" s="30" t="str">
        <f ca="1">IFERROR(__xludf.DUMMYFUNCTION("""COMPUTED_VALUE"""),"Cultural")</f>
        <v>Cultural</v>
      </c>
      <c r="M333" s="30" t="str">
        <f ca="1">IFERROR(__xludf.DUMMYFUNCTION("""COMPUTED_VALUE"""),"Festival de Escritores San Miguel de Allende")</f>
        <v>Festival de Escritores San Miguel de Allende</v>
      </c>
      <c r="N333" s="30" t="str">
        <f ca="1">IFERROR(__xludf.DUMMYFUNCTION("""COMPUTED_VALUE"""),"Festival para escritores")</f>
        <v>Festival para escritores</v>
      </c>
      <c r="O333" s="30" t="str">
        <f ca="1">IFERROR(__xludf.DUMMYFUNCTION("""COMPUTED_VALUE"""),"Diaria")</f>
        <v>Diaria</v>
      </c>
      <c r="P333" s="33">
        <f ca="1">IFERROR(__xludf.DUMMYFUNCTION("""COMPUTED_VALUE"""),46064)</f>
        <v>46064</v>
      </c>
      <c r="Q333" s="33">
        <f ca="1">IFERROR(__xludf.DUMMYFUNCTION("""COMPUTED_VALUE"""),46068)</f>
        <v>46068</v>
      </c>
      <c r="R333" s="30">
        <f ca="1">IFERROR(__xludf.DUMMYFUNCTION("""COMPUTED_VALUE"""),5)</f>
        <v>5</v>
      </c>
      <c r="S333" s="30" t="str">
        <f ca="1">IFERROR(__xludf.DUMMYFUNCTION("""COMPUTED_VALUE"""),"Multidisciplinario")</f>
        <v>Multidisciplinario</v>
      </c>
      <c r="T333" s="30" t="str">
        <f ca="1">IFERROR(__xludf.DUMMYFUNCTION("""COMPUTED_VALUE"""),"Innovación cultural")</f>
        <v>Innovación cultural</v>
      </c>
      <c r="U333" s="30" t="str">
        <f ca="1">IFERROR(__xludf.DUMMYFUNCTION("""COMPUTED_VALUE"""),"Festival")</f>
        <v>Festival</v>
      </c>
      <c r="V333" s="30" t="str">
        <f ca="1">IFERROR(__xludf.DUMMYFUNCTION("""COMPUTED_VALUE"""),"Ninguna")</f>
        <v>Ninguna</v>
      </c>
      <c r="W333" s="30" t="str">
        <f ca="1">IFERROR(__xludf.DUMMYFUNCTION("""COMPUTED_VALUE"""),"Presencial")</f>
        <v>Presencial</v>
      </c>
      <c r="X333" s="30" t="str">
        <f ca="1">IFERROR(__xludf.DUMMYFUNCTION("""COMPUTED_VALUE"""),"Espacio Público")</f>
        <v>Espacio Público</v>
      </c>
      <c r="Y333" s="30"/>
      <c r="Z333" s="30" t="str">
        <f ca="1">IFERROR(__xludf.DUMMYFUNCTION("""COMPUTED_VALUE"""),"Hotel Real de Minas, San Miguel de Allende")</f>
        <v>Hotel Real de Minas, San Miguel de Allende</v>
      </c>
      <c r="AA333" s="30"/>
      <c r="AB333" s="30" t="b">
        <f ca="1">IFERROR(__xludf.DUMMYFUNCTION("""COMPUTED_VALUE"""),FALSE)</f>
        <v>0</v>
      </c>
      <c r="AC333" s="30"/>
      <c r="AD333" s="30" t="b">
        <f ca="1">IFERROR(__xludf.DUMMYFUNCTION("""COMPUTED_VALUE"""),TRUE)</f>
        <v>1</v>
      </c>
      <c r="AE333" s="30">
        <f ca="1">IFERROR(__xludf.DUMMYFUNCTION("""COMPUTED_VALUE"""),1)</f>
        <v>1</v>
      </c>
      <c r="AF333" s="30" t="b">
        <f ca="1">IFERROR(__xludf.DUMMYFUNCTION("""COMPUTED_VALUE"""),FALSE)</f>
        <v>0</v>
      </c>
      <c r="AG333" s="30"/>
      <c r="AH333" s="30" t="str">
        <f ca="1">IFERROR(__xludf.DUMMYFUNCTION("""COMPUTED_VALUE"""),"Sin costo")</f>
        <v>Sin costo</v>
      </c>
      <c r="AI333" s="30"/>
      <c r="AJ333" s="30"/>
      <c r="AK333" s="30"/>
      <c r="AL333" s="30" t="str">
        <f ca="1">IFERROR(__xludf.DUMMYFUNCTION("""COMPUTED_VALUE"""),"fmolinar@guanajuato.gob.mx")</f>
        <v>fmolinar@guanajuato.gob.mx</v>
      </c>
      <c r="AM333" s="30" t="str">
        <f ca="1">IFERROR(__xludf.DUMMYFUNCTION("""COMPUTED_VALUE"""),"Educación: Arte, cultura, activación física y deporte de calidad en todas las escuelas.")</f>
        <v>Educación: Arte, cultura, activación física y deporte de calidad en todas las escuelas.</v>
      </c>
      <c r="AN333" s="30" t="str">
        <f ca="1">IFERROR(__xludf.DUMMYFUNCTION("""COMPUTED_VALUE"""),"1 Tranquilidad")</f>
        <v>1 Tranquilidad</v>
      </c>
      <c r="AO333" s="30" t="str">
        <f ca="1">IFERROR(__xludf.DUMMYFUNCTION("""COMPUTED_VALUE"""),"1.2 Fortalecer prevención del delito")</f>
        <v>1.2 Fortalecer prevención del delito</v>
      </c>
      <c r="AP333" s="30" t="str">
        <f ca="1">IFERROR(__xludf.DUMMYFUNCTION("""COMPUTED_VALUE"""),"1.2.2 Fortalecimiento del tejido social")</f>
        <v>1.2.2 Fortalecimiento del tejido social</v>
      </c>
      <c r="AQ333" s="30" t="str">
        <f ca="1">IFERROR(__xludf.DUMMYFUNCTION("""COMPUTED_VALUE"""),"1.2.3.4 Promover una cultura de paz desde las expresiones artísticas y culturales")</f>
        <v>1.2.3.4 Promover una cultura de paz desde las expresiones artísticas y culturales</v>
      </c>
      <c r="AR333" s="30" t="str">
        <f ca="1">IFERROR(__xludf.DUMMYFUNCTION("""COMPUTED_VALUE"""),"Ninguno")</f>
        <v>Ninguno</v>
      </c>
      <c r="AS333" s="30"/>
      <c r="AT333" s="30" t="str">
        <f ca="1">IFERROR(__xludf.DUMMYFUNCTION("""COMPUTED_VALUE"""),"Fomento a la creación y circulación cultural.")</f>
        <v>Fomento a la creación y circulación cultural.</v>
      </c>
      <c r="AU333" s="30" t="str">
        <f ca="1">IFERROR(__xludf.DUMMYFUNCTION("""COMPUTED_VALUE"""),"Incentivar la creación y producción artística y cultural de agentes locales.")</f>
        <v>Incentivar la creación y producción artística y cultural de agentes locales.</v>
      </c>
      <c r="AV333" s="30" t="str">
        <f ca="1">IFERROR(__xludf.DUMMYFUNCTION("""COMPUTED_VALUE"""),"Diseñar e implementar un sistema de reconocimiento público a las comunidades culturales.")</f>
        <v>Diseñar e implementar un sistema de reconocimiento público a las comunidades culturales.</v>
      </c>
      <c r="AW333" s="30" t="str">
        <f ca="1">IFERROR(__xludf.DUMMYFUNCTION("""COMPUTED_VALUE"""),"Incrementar nuevas producciones, obras y proyectos culturales en un 15% anual.")</f>
        <v>Incrementar nuevas producciones, obras y proyectos culturales en un 15% anual.</v>
      </c>
      <c r="AX333" s="30" t="str">
        <f ca="1">IFERROR(__xludf.DUMMYFUNCTION("""COMPUTED_VALUE"""),"Festival")</f>
        <v>Festival</v>
      </c>
      <c r="AY333" s="30" t="str">
        <f ca="1">IFERROR(__xludf.DUMMYFUNCTION("""COMPUTED_VALUE"""),"Mediación")</f>
        <v>Mediación</v>
      </c>
      <c r="AZ333" s="30"/>
      <c r="BA333" s="30"/>
      <c r="BB333" s="30">
        <f ca="1">IFERROR(__xludf.DUMMYFUNCTION("""COMPUTED_VALUE"""),17)</f>
        <v>17</v>
      </c>
      <c r="BC333" s="30">
        <f ca="1">IFERROR(__xludf.DUMMYFUNCTION("""COMPUTED_VALUE"""),7)</f>
        <v>7</v>
      </c>
      <c r="BD333" s="30" t="str">
        <f ca="1">IFERROR(__xludf.DUMMYFUNCTION("""COMPUTED_VALUE"""),"Apoyado con anterioridad")</f>
        <v>Apoyado con anterioridad</v>
      </c>
      <c r="BE333" s="30" t="str">
        <f ca="1">IFERROR(__xludf.DUMMYFUNCTION("""COMPUTED_VALUE"""),"Karen Pailla, Estefani Vanesa, Maria Victoria, Jose Francisco, JJmason, Edgar Méndez, Cinthia")</f>
        <v>Karen Pailla, Estefani Vanesa, Maria Victoria, Jose Francisco, JJmason, Edgar Méndez, Cinthia</v>
      </c>
      <c r="BF333" s="30" t="b">
        <f ca="1">IFERROR(__xludf.DUMMYFUNCTION("""COMPUTED_VALUE"""),TRUE)</f>
        <v>1</v>
      </c>
      <c r="BG333" s="30" t="str">
        <f ca="1">IFERROR(__xludf.DUMMYFUNCTION("""COMPUTED_VALUE"""),"Económico")</f>
        <v>Económico</v>
      </c>
      <c r="BH333" s="30">
        <f ca="1">IFERROR(__xludf.DUMMYFUNCTION("""COMPUTED_VALUE"""),84100)</f>
        <v>84100</v>
      </c>
      <c r="BI333" s="30"/>
      <c r="BJ333" s="30"/>
      <c r="BK333" s="30"/>
      <c r="BL333" s="30"/>
      <c r="BM333" s="30" t="str">
        <f ca="1">IFERROR(__xludf.DUMMYFUNCTION("""COMPUTED_VALUE"""),"No")</f>
        <v>No</v>
      </c>
      <c r="BN333" s="30"/>
      <c r="BO333" s="30" t="str">
        <f ca="1">IFERROR(__xludf.DUMMYFUNCTION("""COMPUTED_VALUE"""),"d8507719")</f>
        <v>d8507719</v>
      </c>
      <c r="BP333" s="29" t="str">
        <f ca="1">IFERROR(__xludf.DUMMYFUNCTION("""COMPUTED_VALUE"""),"Acámbaro")</f>
        <v>Acámbaro</v>
      </c>
      <c r="BQ333" s="30" t="str">
        <f ca="1">IFERROR(__xludf.DUMMYFUNCTION("""COMPUTED_VALUE"""),"Periurbano")</f>
        <v>Periurbano</v>
      </c>
      <c r="BR333" s="30"/>
      <c r="BS333" s="30" t="str">
        <f ca="1">IFERROR(__xludf.DUMMYFUNCTION("""COMPUTED_VALUE"""),"Zona centro")</f>
        <v>Zona centro</v>
      </c>
      <c r="BT333" s="30" t="str">
        <f ca="1">IFERROR(__xludf.DUMMYFUNCTION("""COMPUTED_VALUE"""),"ftgfdgfdg")</f>
        <v>ftgfdgfdg</v>
      </c>
      <c r="BU333" s="30" t="str">
        <f ca="1">IFERROR(__xludf.DUMMYFUNCTION("""COMPUTED_VALUE"""),"No")</f>
        <v>No</v>
      </c>
      <c r="BV333" s="30" t="str">
        <f ca="1">IFERROR(__xludf.DUMMYFUNCTION("""COMPUTED_VALUE"""),"No")</f>
        <v>No</v>
      </c>
      <c r="BW333" s="30">
        <f ca="1">IFERROR(__xludf.DUMMYFUNCTION("""COMPUTED_VALUE"""),8)</f>
        <v>8</v>
      </c>
      <c r="BX333" s="30">
        <f ca="1">IFERROR(__xludf.DUMMYFUNCTION("""COMPUTED_VALUE"""),3)</f>
        <v>3</v>
      </c>
      <c r="BY333" s="30">
        <f ca="1">IFERROR(__xludf.DUMMYFUNCTION("""COMPUTED_VALUE"""),5)</f>
        <v>5</v>
      </c>
      <c r="BZ333" s="30" t="str">
        <f ca="1">IFERROR(__xludf.DUMMYFUNCTION("""COMPUTED_VALUE"""),"Zona centro")</f>
        <v>Zona centro</v>
      </c>
      <c r="CA333" s="30" t="str">
        <f ca="1">IFERROR(__xludf.DUMMYFUNCTION("""COMPUTED_VALUE"""),"No")</f>
        <v>No</v>
      </c>
      <c r="CB333" s="30" t="str">
        <f ca="1">IFERROR(__xludf.DUMMYFUNCTION("""COMPUTED_VALUE"""),"No")</f>
        <v>No</v>
      </c>
      <c r="CC333" s="30" t="str">
        <f ca="1">IFERROR(__xludf.DUMMYFUNCTION("""COMPUTED_VALUE"""),"01dae375")</f>
        <v>01dae375</v>
      </c>
      <c r="CD333" s="29" t="str">
        <f ca="1">IFERROR(__xludf.DUMMYFUNCTION("""COMPUTED_VALUE"""),"Adolescentes (13 a 17 años)")</f>
        <v>Adolescentes (13 a 17 años)</v>
      </c>
      <c r="CE333" s="30" t="str">
        <f ca="1">IFERROR(__xludf.DUMMYFUNCTION("""COMPUTED_VALUE"""),"Dato global")</f>
        <v>Dato global</v>
      </c>
      <c r="CF333" s="30" t="str">
        <f ca="1">IFERROR(__xludf.DUMMYFUNCTION("""COMPUTED_VALUE"""),"Ninguno (Población General)")</f>
        <v>Ninguno (Población General)</v>
      </c>
      <c r="CG333" s="30">
        <f ca="1">IFERROR(__xludf.DUMMYFUNCTION("""COMPUTED_VALUE"""),50)</f>
        <v>50</v>
      </c>
      <c r="CJ333" s="29"/>
      <c r="CM333" s="30" t="str">
        <f ca="1">IFERROR(__xludf.DUMMYFUNCTION("""COMPUTED_VALUE"""),"Guanajuato")</f>
        <v>Guanajuato</v>
      </c>
      <c r="CN333" s="32" t="e">
        <f ca="1"/>
        <v>#NAME?</v>
      </c>
      <c r="CO333" s="32" t="e">
        <f ca="1"/>
        <v>#NAME?</v>
      </c>
      <c r="CP333" s="32" t="e">
        <f ca="1"/>
        <v>#NAME?</v>
      </c>
      <c r="CQ333" s="32" t="e">
        <f ca="1"/>
        <v>#NAME?</v>
      </c>
      <c r="CR333" s="30" t="e">
        <f ca="1"/>
        <v>#NAME?</v>
      </c>
      <c r="CS333" s="30" t="str">
        <f ca="1">IFERROR(__xludf.DUMMYFUNCTION("""COMPUTED_VALUE"""),"Ninguno (Población General)")</f>
        <v>Ninguno (Población General)</v>
      </c>
    </row>
    <row r="334" spans="1:97" ht="13">
      <c r="A334" s="29" t="str">
        <f ca="1">IFERROR(__xludf.DUMMYFUNCTION("""COMPUTED_VALUE"""),"ACT-SCIG15181")</f>
        <v>ACT-SCIG15181</v>
      </c>
      <c r="B334" s="30" t="str">
        <f ca="1">IFERROR(__xludf.DUMMYFUNCTION("""COMPUTED_VALUE"""),"SC-260828-145525")</f>
        <v>SC-260828-145525</v>
      </c>
      <c r="C334" s="62">
        <f ca="1">IFERROR(__xludf.DUMMYFUNCTION("""COMPUTED_VALUE"""),46262.6218171296)</f>
        <v>46262.621817129599</v>
      </c>
      <c r="D334" s="30">
        <f ca="1">IFERROR(__xludf.DUMMYFUNCTION("""COMPUTED_VALUE"""),89)</f>
        <v>89</v>
      </c>
      <c r="E334" s="30" t="str">
        <f ca="1">IFERROR(__xludf.DUMMYFUNCTION("""COMPUTED_VALUE"""),"PB3573")</f>
        <v>PB3573</v>
      </c>
      <c r="F334" s="30" t="str">
        <f ca="1">IFERROR(__xludf.DUMMYFUNCTION("""COMPUTED_VALUE"""),"Fortalecimiento del libro y sus plataformas: creación, producción, distribución e impulso a creadores")</f>
        <v>Fortalecimiento del libro y sus plataformas: creación, producción, distribución e impulso a creadores</v>
      </c>
      <c r="G334" s="30" t="str">
        <f ca="1">IFERROR(__xludf.DUMMYFUNCTION("""COMPUTED_VALUE"""),"Encuentros profesionales de la cadena del valor del libro.")</f>
        <v>Encuentros profesionales de la cadena del valor del libro.</v>
      </c>
      <c r="H334" s="30" t="str">
        <f ca="1">IFERROR(__xludf.DUMMYFUNCTION("""COMPUTED_VALUE"""),"SUBSECRETARÍA DE DESARROLLO Y PROMOCIÓN ARTÍSTICA Y CULTURAL")</f>
        <v>SUBSECRETARÍA DE DESARROLLO Y PROMOCIÓN ARTÍSTICA Y CULTURAL</v>
      </c>
      <c r="I334" s="34" t="str">
        <f ca="1">IFERROR(__xludf.DUMMYFUNCTION("""COMPUTED_VALUE"""),"DIRECCIÓN GENERAL DE EDITORIAL Y PUBLICACIONES")</f>
        <v>DIRECCIÓN GENERAL DE EDITORIAL Y PUBLICACIONES</v>
      </c>
      <c r="J334" s="30" t="str">
        <f ca="1">IFERROR(__xludf.DUMMYFUNCTION("""COMPUTED_VALUE"""),"Encuentros realizados")</f>
        <v>Encuentros realizados</v>
      </c>
      <c r="K334" s="30">
        <f ca="1">IFERROR(__xludf.DUMMYFUNCTION("""COMPUTED_VALUE"""),2)</f>
        <v>2</v>
      </c>
      <c r="L334" s="30" t="str">
        <f ca="1">IFERROR(__xludf.DUMMYFUNCTION("""COMPUTED_VALUE"""),"Cultural")</f>
        <v>Cultural</v>
      </c>
      <c r="M334" s="30" t="str">
        <f ca="1">IFERROR(__xludf.DUMMYFUNCTION("""COMPUTED_VALUE"""),"Voces Guanajuato")</f>
        <v>Voces Guanajuato</v>
      </c>
      <c r="N334" s="30" t="str">
        <f ca="1">IFERROR(__xludf.DUMMYFUNCTION("""COMPUTED_VALUE"""),"Conversatorio y lectura, voces Guanajuato")</f>
        <v>Conversatorio y lectura, voces Guanajuato</v>
      </c>
      <c r="O334" s="30" t="str">
        <f ca="1">IFERROR(__xludf.DUMMYFUNCTION("""COMPUTED_VALUE"""),"Diaria")</f>
        <v>Diaria</v>
      </c>
      <c r="P334" s="33">
        <f ca="1">IFERROR(__xludf.DUMMYFUNCTION("""COMPUTED_VALUE"""),46231)</f>
        <v>46231</v>
      </c>
      <c r="Q334" s="33">
        <f ca="1">IFERROR(__xludf.DUMMYFUNCTION("""COMPUTED_VALUE"""),46232)</f>
        <v>46232</v>
      </c>
      <c r="R334" s="30">
        <f ca="1">IFERROR(__xludf.DUMMYFUNCTION("""COMPUTED_VALUE"""),2)</f>
        <v>2</v>
      </c>
      <c r="S334" s="30" t="str">
        <f ca="1">IFERROR(__xludf.DUMMYFUNCTION("""COMPUTED_VALUE"""),"Literatura")</f>
        <v>Literatura</v>
      </c>
      <c r="T334" s="30" t="str">
        <f ca="1">IFERROR(__xludf.DUMMYFUNCTION("""COMPUTED_VALUE"""),"Fomento a la lectura")</f>
        <v>Fomento a la lectura</v>
      </c>
      <c r="U334" s="30" t="str">
        <f ca="1">IFERROR(__xludf.DUMMYFUNCTION("""COMPUTED_VALUE"""),"Conversatorio")</f>
        <v>Conversatorio</v>
      </c>
      <c r="V334" s="30" t="str">
        <f ca="1">IFERROR(__xludf.DUMMYFUNCTION("""COMPUTED_VALUE"""),"Ninguna")</f>
        <v>Ninguna</v>
      </c>
      <c r="W334" s="30" t="str">
        <f ca="1">IFERROR(__xludf.DUMMYFUNCTION("""COMPUTED_VALUE"""),"Presencial")</f>
        <v>Presencial</v>
      </c>
      <c r="X334" s="30" t="str">
        <f ca="1">IFERROR(__xludf.DUMMYFUNCTION("""COMPUTED_VALUE"""),"Espacio Público")</f>
        <v>Espacio Público</v>
      </c>
      <c r="Y334" s="30"/>
      <c r="Z334" s="30" t="str">
        <f ca="1">IFERROR(__xludf.DUMMYFUNCTION("""COMPUTED_VALUE"""),"Centro de Creación Literaria Xavier Villaurrutia")</f>
        <v>Centro de Creación Literaria Xavier Villaurrutia</v>
      </c>
      <c r="AA334" s="30"/>
      <c r="AB334" s="30" t="b">
        <f ca="1">IFERROR(__xludf.DUMMYFUNCTION("""COMPUTED_VALUE"""),FALSE)</f>
        <v>0</v>
      </c>
      <c r="AC334" s="30"/>
      <c r="AD334" s="30" t="b">
        <f ca="1">IFERROR(__xludf.DUMMYFUNCTION("""COMPUTED_VALUE"""),FALSE)</f>
        <v>0</v>
      </c>
      <c r="AE334" s="30"/>
      <c r="AF334" s="30" t="b">
        <f ca="1">IFERROR(__xludf.DUMMYFUNCTION("""COMPUTED_VALUE"""),FALSE)</f>
        <v>0</v>
      </c>
      <c r="AG334" s="30"/>
      <c r="AH334" s="30" t="str">
        <f ca="1">IFERROR(__xludf.DUMMYFUNCTION("""COMPUTED_VALUE"""),"Sin costo")</f>
        <v>Sin costo</v>
      </c>
      <c r="AI334" s="30"/>
      <c r="AJ334" s="30"/>
      <c r="AK334" s="30"/>
      <c r="AL334" s="30" t="str">
        <f ca="1">IFERROR(__xludf.DUMMYFUNCTION("""COMPUTED_VALUE"""),"fmolinar@guanajuato.gob.mx")</f>
        <v>fmolinar@guanajuato.gob.mx</v>
      </c>
      <c r="AM334"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334" s="30" t="str">
        <f ca="1">IFERROR(__xludf.DUMMYFUNCTION("""COMPUTED_VALUE"""),"1 Tranquilidad")</f>
        <v>1 Tranquilidad</v>
      </c>
      <c r="AO334" s="30" t="str">
        <f ca="1">IFERROR(__xludf.DUMMYFUNCTION("""COMPUTED_VALUE"""),"1.2 Fortalecer prevención del delito")</f>
        <v>1.2 Fortalecer prevención del delito</v>
      </c>
      <c r="AP334" s="30" t="str">
        <f ca="1">IFERROR(__xludf.DUMMYFUNCTION("""COMPUTED_VALUE"""),"1.2.2 Fortalecimiento del tejido social")</f>
        <v>1.2.2 Fortalecimiento del tejido social</v>
      </c>
      <c r="AQ334" s="30" t="str">
        <f ca="1">IFERROR(__xludf.DUMMYFUNCTION("""COMPUTED_VALUE"""),"1.2.3.4 Promover una cultura de paz desde las expresiones artísticas y culturales")</f>
        <v>1.2.3.4 Promover una cultura de paz desde las expresiones artísticas y culturales</v>
      </c>
      <c r="AR334" s="30" t="str">
        <f ca="1">IFERROR(__xludf.DUMMYFUNCTION("""COMPUTED_VALUE"""),"Ninguno")</f>
        <v>Ninguno</v>
      </c>
      <c r="AS334" s="30"/>
      <c r="AT334" s="30" t="str">
        <f ca="1">IFERROR(__xludf.DUMMYFUNCTION("""COMPUTED_VALUE"""),"Fortalecimiento de la participación ciudadana y la mediación cultural")</f>
        <v>Fortalecimiento de la participación ciudadana y la mediación cultural</v>
      </c>
      <c r="AU334" s="30" t="str">
        <f ca="1">IFERROR(__xludf.DUMMYFUNCTION("""COMPUTED_VALUE"""),"Impulso a la ampliación de la oferta cultural en los territorios.")</f>
        <v>Impulso a la ampliación de la oferta cultural en los territorios.</v>
      </c>
      <c r="AV33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34" s="30" t="str">
        <f ca="1">IFERROR(__xludf.DUMMYFUNCTION("""COMPUTED_VALUE"""),"Incrementar en 25% la oferta cultural realizada en los municipios.")</f>
        <v>Incrementar en 25% la oferta cultural realizada en los municipios.</v>
      </c>
      <c r="AX334" s="30" t="str">
        <f ca="1">IFERROR(__xludf.DUMMYFUNCTION("""COMPUTED_VALUE"""),"Conversatorio")</f>
        <v>Conversatorio</v>
      </c>
      <c r="AY334" s="30" t="str">
        <f ca="1">IFERROR(__xludf.DUMMYFUNCTION("""COMPUTED_VALUE"""),"Mediación")</f>
        <v>Mediación</v>
      </c>
      <c r="AZ334" s="30"/>
      <c r="BA334" s="30"/>
      <c r="BB334" s="30">
        <f ca="1">IFERROR(__xludf.DUMMYFUNCTION("""COMPUTED_VALUE"""),17)</f>
        <v>17</v>
      </c>
      <c r="BC334" s="30">
        <f ca="1">IFERROR(__xludf.DUMMYFUNCTION("""COMPUTED_VALUE"""),3)</f>
        <v>3</v>
      </c>
      <c r="BD334" s="30" t="str">
        <f ca="1">IFERROR(__xludf.DUMMYFUNCTION("""COMPUTED_VALUE"""),"Apoyado con anterioridad")</f>
        <v>Apoyado con anterioridad</v>
      </c>
      <c r="BE334" s="30" t="str">
        <f ca="1">IFERROR(__xludf.DUMMYFUNCTION("""COMPUTED_VALUE"""),"Ana Paulina Calvillo, Karla Gasca y Ámbar Gallardo")</f>
        <v>Ana Paulina Calvillo, Karla Gasca y Ámbar Gallardo</v>
      </c>
      <c r="BF334" s="30" t="b">
        <f ca="1">IFERROR(__xludf.DUMMYFUNCTION("""COMPUTED_VALUE"""),TRUE)</f>
        <v>1</v>
      </c>
      <c r="BG334" s="30" t="str">
        <f ca="1">IFERROR(__xludf.DUMMYFUNCTION("""COMPUTED_VALUE"""),"Económico")</f>
        <v>Económico</v>
      </c>
      <c r="BH334" s="30">
        <f ca="1">IFERROR(__xludf.DUMMYFUNCTION("""COMPUTED_VALUE"""),7000)</f>
        <v>7000</v>
      </c>
      <c r="BI334" s="30"/>
      <c r="BJ334" s="30"/>
      <c r="BK334" s="30"/>
      <c r="BL334" s="30"/>
      <c r="BM334" s="30" t="str">
        <f ca="1">IFERROR(__xludf.DUMMYFUNCTION("""COMPUTED_VALUE"""),"No")</f>
        <v>No</v>
      </c>
      <c r="BN334" s="30"/>
      <c r="BO334" s="30" t="str">
        <f ca="1">IFERROR(__xludf.DUMMYFUNCTION("""COMPUTED_VALUE"""),"1a1bb7cb")</f>
        <v>1a1bb7cb</v>
      </c>
      <c r="BP334" s="29" t="str">
        <f ca="1">IFERROR(__xludf.DUMMYFUNCTION("""COMPUTED_VALUE"""),"Guanajuato")</f>
        <v>Guanajuato</v>
      </c>
      <c r="BQ334" s="30" t="str">
        <f ca="1">IFERROR(__xludf.DUMMYFUNCTION("""COMPUTED_VALUE"""),"Urbano")</f>
        <v>Urbano</v>
      </c>
      <c r="BR334" s="30"/>
      <c r="BS334" s="30" t="str">
        <f ca="1">IFERROR(__xludf.DUMMYFUNCTION("""COMPUTED_VALUE"""),"Zona centro")</f>
        <v>Zona centro</v>
      </c>
      <c r="BT334" s="30"/>
      <c r="BU334" s="30" t="str">
        <f ca="1">IFERROR(__xludf.DUMMYFUNCTION("""COMPUTED_VALUE"""),"No")</f>
        <v>No</v>
      </c>
      <c r="BV334" s="30" t="str">
        <f ca="1">IFERROR(__xludf.DUMMYFUNCTION("""COMPUTED_VALUE"""),"No")</f>
        <v>No</v>
      </c>
      <c r="BW334" s="30">
        <f ca="1">IFERROR(__xludf.DUMMYFUNCTION("""COMPUTED_VALUE"""),4)</f>
        <v>4</v>
      </c>
      <c r="BX334" s="30">
        <f ca="1">IFERROR(__xludf.DUMMYFUNCTION("""COMPUTED_VALUE"""),4)</f>
        <v>4</v>
      </c>
      <c r="BY334" s="30">
        <f ca="1">IFERROR(__xludf.DUMMYFUNCTION("""COMPUTED_VALUE"""),0)</f>
        <v>0</v>
      </c>
      <c r="BZ334" s="30" t="str">
        <f ca="1">IFERROR(__xludf.DUMMYFUNCTION("""COMPUTED_VALUE"""),"Zona centro")</f>
        <v>Zona centro</v>
      </c>
      <c r="CA334" s="30" t="str">
        <f ca="1">IFERROR(__xludf.DUMMYFUNCTION("""COMPUTED_VALUE"""),"No")</f>
        <v>No</v>
      </c>
      <c r="CB334" s="30" t="str">
        <f ca="1">IFERROR(__xludf.DUMMYFUNCTION("""COMPUTED_VALUE"""),"No")</f>
        <v>No</v>
      </c>
      <c r="CC334" s="30" t="str">
        <f ca="1">IFERROR(__xludf.DUMMYFUNCTION("""COMPUTED_VALUE"""),"15dc6d02")</f>
        <v>15dc6d02</v>
      </c>
      <c r="CD334" s="29" t="str">
        <f ca="1">IFERROR(__xludf.DUMMYFUNCTION("""COMPUTED_VALUE"""),"Adultos Mayores (60 años o más)")</f>
        <v>Adultos Mayores (60 años o más)</v>
      </c>
      <c r="CE334" s="30" t="str">
        <f ca="1">IFERROR(__xludf.DUMMYFUNCTION("""COMPUTED_VALUE"""),"Dato global")</f>
        <v>Dato global</v>
      </c>
      <c r="CF334" s="30" t="str">
        <f ca="1">IFERROR(__xludf.DUMMYFUNCTION("""COMPUTED_VALUE"""),"Ninguno (Población General)")</f>
        <v>Ninguno (Población General)</v>
      </c>
      <c r="CG334" s="30">
        <f ca="1">IFERROR(__xludf.DUMMYFUNCTION("""COMPUTED_VALUE"""),2)</f>
        <v>2</v>
      </c>
      <c r="CJ334" s="29"/>
      <c r="CM334" s="30" t="str">
        <f ca="1">IFERROR(__xludf.DUMMYFUNCTION("""COMPUTED_VALUE"""),"Guanajuato")</f>
        <v>Guanajuato</v>
      </c>
      <c r="CN334" s="32" t="e">
        <f ca="1"/>
        <v>#NAME?</v>
      </c>
      <c r="CO334" s="32" t="e">
        <f ca="1"/>
        <v>#NAME?</v>
      </c>
      <c r="CP334" s="32" t="e">
        <f ca="1"/>
        <v>#NAME?</v>
      </c>
      <c r="CQ334" s="32" t="e">
        <f ca="1"/>
        <v>#NAME?</v>
      </c>
      <c r="CR334" s="30" t="e">
        <f ca="1"/>
        <v>#NAME?</v>
      </c>
      <c r="CS334" s="30" t="str">
        <f ca="1">IFERROR(__xludf.DUMMYFUNCTION("""COMPUTED_VALUE"""),"Ninguno (Población General)")</f>
        <v>Ninguno (Población General)</v>
      </c>
    </row>
    <row r="335" spans="1:97" ht="13">
      <c r="A335" s="29" t="str">
        <f ca="1">IFERROR(__xludf.DUMMYFUNCTION("""COMPUTED_VALUE"""),"ACT-SCDJ57410")</f>
        <v>ACT-SCDJ57410</v>
      </c>
      <c r="B335" s="30" t="str">
        <f ca="1">IFERROR(__xludf.DUMMYFUNCTION("""COMPUTED_VALUE"""),"SC-260828-161632")</f>
        <v>SC-260828-161632</v>
      </c>
      <c r="C335" s="62">
        <f ca="1">IFERROR(__xludf.DUMMYFUNCTION("""COMPUTED_VALUE"""),46262.6781481481)</f>
        <v>46262.678148148101</v>
      </c>
      <c r="D335" s="30">
        <f ca="1">IFERROR(__xludf.DUMMYFUNCTION("""COMPUTED_VALUE"""),93)</f>
        <v>93</v>
      </c>
      <c r="E335" s="30" t="str">
        <f ca="1">IFERROR(__xludf.DUMMYFUNCTION("""COMPUTED_VALUE"""),"PB3572")</f>
        <v>PB3572</v>
      </c>
      <c r="F33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35" s="30" t="str">
        <f ca="1">IFERROR(__xludf.DUMMYFUNCTION("""COMPUTED_VALUE"""),"Participación de artistas en las actividades extramuros en municipios del Estado de Guanajuato")</f>
        <v>Participación de artistas en las actividades extramuros en municipios del Estado de Guanajuato</v>
      </c>
      <c r="H335" s="30" t="str">
        <f ca="1">IFERROR(__xludf.DUMMYFUNCTION("""COMPUTED_VALUE"""),"SUBSECRETARÍA DE DESARROLLO Y PROMOCIÓN ARTÍSTICA Y CULTURAL")</f>
        <v>SUBSECRETARÍA DE DESARROLLO Y PROMOCIÓN ARTÍSTICA Y CULTURAL</v>
      </c>
      <c r="I335" s="34" t="str">
        <f ca="1">IFERROR(__xludf.DUMMYFUNCTION("""COMPUTED_VALUE"""),"DIRECCIÓN GENERAL DE MUSEOS, ARTES VISUALES Y EXPOSICIONES")</f>
        <v>DIRECCIÓN GENERAL DE MUSEOS, ARTES VISUALES Y EXPOSICIONES</v>
      </c>
      <c r="J335" s="30" t="str">
        <f ca="1">IFERROR(__xludf.DUMMYFUNCTION("""COMPUTED_VALUE"""),"Número de Actividades realizadas")</f>
        <v>Número de Actividades realizadas</v>
      </c>
      <c r="K335" s="30">
        <f ca="1">IFERROR(__xludf.DUMMYFUNCTION("""COMPUTED_VALUE"""),10)</f>
        <v>10</v>
      </c>
      <c r="L335" s="30" t="str">
        <f ca="1">IFERROR(__xludf.DUMMYFUNCTION("""COMPUTED_VALUE"""),"Artística")</f>
        <v>Artística</v>
      </c>
      <c r="M335" s="30" t="str">
        <f ca="1">IFERROR(__xludf.DUMMYFUNCTION("""COMPUTED_VALUE"""),"Activación de la exposicion ""Homo Videns"" municipio de Comonfort")</f>
        <v>Activación de la exposicion "Homo Videns" municipio de Comonfort</v>
      </c>
      <c r="N335" s="30" t="str">
        <f ca="1">IFERROR(__xludf.DUMMYFUNCTION("""COMPUTED_VALUE"""),"Activación de la exposición ""Homo Videns"" en el municipio de Comonfort como parte del programa Arte en tu Plaza")</f>
        <v>Activación de la exposición "Homo Videns" en el municipio de Comonfort como parte del programa Arte en tu Plaza</v>
      </c>
      <c r="O335" s="30" t="str">
        <f ca="1">IFERROR(__xludf.DUMMYFUNCTION("""COMPUTED_VALUE"""),"Única")</f>
        <v>Única</v>
      </c>
      <c r="P335" s="33">
        <f ca="1">IFERROR(__xludf.DUMMYFUNCTION("""COMPUTED_VALUE"""),46258)</f>
        <v>46258</v>
      </c>
      <c r="Q335" s="33">
        <f ca="1">IFERROR(__xludf.DUMMYFUNCTION("""COMPUTED_VALUE"""),46258)</f>
        <v>46258</v>
      </c>
      <c r="R335" s="30">
        <f ca="1">IFERROR(__xludf.DUMMYFUNCTION("""COMPUTED_VALUE"""),1)</f>
        <v>1</v>
      </c>
      <c r="S335" s="30" t="str">
        <f ca="1">IFERROR(__xludf.DUMMYFUNCTION("""COMPUTED_VALUE"""),"Cultura comunitaria")</f>
        <v>Cultura comunitaria</v>
      </c>
      <c r="T335" s="30" t="str">
        <f ca="1">IFERROR(__xludf.DUMMYFUNCTION("""COMPUTED_VALUE"""),"Gestión cultural")</f>
        <v>Gestión cultural</v>
      </c>
      <c r="U335" s="30" t="str">
        <f ca="1">IFERROR(__xludf.DUMMYFUNCTION("""COMPUTED_VALUE"""),"Taller")</f>
        <v>Taller</v>
      </c>
      <c r="V335" s="30" t="str">
        <f ca="1">IFERROR(__xludf.DUMMYFUNCTION("""COMPUTED_VALUE"""),"Ninguna")</f>
        <v>Ninguna</v>
      </c>
      <c r="W335" s="30" t="str">
        <f ca="1">IFERROR(__xludf.DUMMYFUNCTION("""COMPUTED_VALUE"""),"Presencial")</f>
        <v>Presencial</v>
      </c>
      <c r="X335" s="30" t="str">
        <f ca="1">IFERROR(__xludf.DUMMYFUNCTION("""COMPUTED_VALUE"""),"Espacio Público")</f>
        <v>Espacio Público</v>
      </c>
      <c r="Y335" s="30"/>
      <c r="Z335" s="30" t="str">
        <f ca="1">IFERROR(__xludf.DUMMYFUNCTION("""COMPUTED_VALUE"""),"Plaza Civica Dr. Mora en el municipio de Comonfort")</f>
        <v>Plaza Civica Dr. Mora en el municipio de Comonfort</v>
      </c>
      <c r="AA335" s="30"/>
      <c r="AB335" s="30" t="b">
        <f ca="1">IFERROR(__xludf.DUMMYFUNCTION("""COMPUTED_VALUE"""),FALSE)</f>
        <v>0</v>
      </c>
      <c r="AC335" s="30"/>
      <c r="AD335" s="30" t="b">
        <f ca="1">IFERROR(__xludf.DUMMYFUNCTION("""COMPUTED_VALUE"""),TRUE)</f>
        <v>1</v>
      </c>
      <c r="AE335" s="30"/>
      <c r="AF335" s="30" t="b">
        <f ca="1">IFERROR(__xludf.DUMMYFUNCTION("""COMPUTED_VALUE"""),FALSE)</f>
        <v>0</v>
      </c>
      <c r="AG335" s="30"/>
      <c r="AH335" s="30" t="str">
        <f ca="1">IFERROR(__xludf.DUMMYFUNCTION("""COMPUTED_VALUE"""),"Sin costo")</f>
        <v>Sin costo</v>
      </c>
      <c r="AI335" s="30"/>
      <c r="AJ335" s="30"/>
      <c r="AK335" s="30"/>
      <c r="AL335" s="30" t="str">
        <f ca="1">IFERROR(__xludf.DUMMYFUNCTION("""COMPUTED_VALUE"""),"ccardonav@guanajuato.gob.mx")</f>
        <v>ccardonav@guanajuato.gob.mx</v>
      </c>
      <c r="AM335"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335" s="30" t="str">
        <f ca="1">IFERROR(__xludf.DUMMYFUNCTION("""COMPUTED_VALUE"""),"2 Igualdad")</f>
        <v>2 Igualdad</v>
      </c>
      <c r="AO335" s="30" t="str">
        <f ca="1">IFERROR(__xludf.DUMMYFUNCTION("""COMPUTED_VALUE"""),"2.4 Reducir brechas de desigualdad")</f>
        <v>2.4 Reducir brechas de desigualdad</v>
      </c>
      <c r="AP335" s="30" t="str">
        <f ca="1">IFERROR(__xludf.DUMMYFUNCTION("""COMPUTED_VALUE"""),"2.4.3 Descentralización de la oferta cultural")</f>
        <v>2.4.3 Descentralización de la oferta cultural</v>
      </c>
      <c r="AQ335" s="30" t="str">
        <f ca="1">IFERROR(__xludf.DUMMYFUNCTION("""COMPUTED_VALUE"""),"2.4.3.3 Incidir en el involucramiento de las personas con el ecosistema cultural")</f>
        <v>2.4.3.3 Incidir en el involucramiento de las personas con el ecosistema cultural</v>
      </c>
      <c r="AR335" s="30" t="str">
        <f ca="1">IFERROR(__xludf.DUMMYFUNCTION("""COMPUTED_VALUE"""),"Inclusión")</f>
        <v>Inclusión</v>
      </c>
      <c r="AS335" s="30" t="str">
        <f ca="1">IFERROR(__xludf.DUMMYFUNCTION("""COMPUTED_VALUE"""),"Ninguno (Población General)")</f>
        <v>Ninguno (Población General)</v>
      </c>
      <c r="AT335" s="30" t="str">
        <f ca="1">IFERROR(__xludf.DUMMYFUNCTION("""COMPUTED_VALUE"""),"Fortalecimiento de la participación ciudadana y la mediación cultural")</f>
        <v>Fortalecimiento de la participación ciudadana y la mediación cultural</v>
      </c>
      <c r="AU335" s="30" t="str">
        <f ca="1">IFERROR(__xludf.DUMMYFUNCTION("""COMPUTED_VALUE"""),"Impulso a la ampliación de la oferta cultural en los territorios.")</f>
        <v>Impulso a la ampliación de la oferta cultural en los territorios.</v>
      </c>
      <c r="AV335" s="30" t="str">
        <f ca="1">IFERROR(__xludf.DUMMYFUNCTION("""COMPUTED_VALUE"""),"Impulsar los proyectos culturales itinerantes.")</f>
        <v>Impulsar los proyectos culturales itinerantes.</v>
      </c>
      <c r="AW335" s="30" t="str">
        <f ca="1">IFERROR(__xludf.DUMMYFUNCTION("""COMPUTED_VALUE"""),"Incrementar en 25% la oferta cultural realizada en los municipios.")</f>
        <v>Incrementar en 25% la oferta cultural realizada en los municipios.</v>
      </c>
      <c r="AX335" s="30" t="str">
        <f ca="1">IFERROR(__xludf.DUMMYFUNCTION("""COMPUTED_VALUE"""),"Taller")</f>
        <v>Taller</v>
      </c>
      <c r="AY335" s="30" t="str">
        <f ca="1">IFERROR(__xludf.DUMMYFUNCTION("""COMPUTED_VALUE"""),"Mediación")</f>
        <v>Mediación</v>
      </c>
      <c r="AZ335" s="30"/>
      <c r="BA335" s="30"/>
      <c r="BB335" s="30"/>
      <c r="BC335" s="30">
        <f ca="1">IFERROR(__xludf.DUMMYFUNCTION("""COMPUTED_VALUE"""),0)</f>
        <v>0</v>
      </c>
      <c r="BD335" s="30"/>
      <c r="BE335" s="30"/>
      <c r="BF335" s="30" t="b">
        <f ca="1">IFERROR(__xludf.DUMMYFUNCTION("""COMPUTED_VALUE"""),TRUE)</f>
        <v>1</v>
      </c>
      <c r="BG335" s="30" t="str">
        <f ca="1">IFERROR(__xludf.DUMMYFUNCTION("""COMPUTED_VALUE"""),"Especie")</f>
        <v>Especie</v>
      </c>
      <c r="BH335" s="30"/>
      <c r="BI335" s="30"/>
      <c r="BJ335" s="30"/>
      <c r="BK335" s="30"/>
      <c r="BL335" s="30"/>
      <c r="BM335" s="30" t="str">
        <f ca="1">IFERROR(__xludf.DUMMYFUNCTION("""COMPUTED_VALUE"""),"Sí")</f>
        <v>Sí</v>
      </c>
      <c r="BN335" s="30" t="str">
        <f ca="1">IFERROR(__xludf.DUMMYFUNCTION("""COMPUTED_VALUE"""),"Acompañamiento Técnico")</f>
        <v>Acompañamiento Técnico</v>
      </c>
      <c r="BO335" s="30" t="str">
        <f ca="1">IFERROR(__xludf.DUMMYFUNCTION("""COMPUTED_VALUE"""),"08d11cbf")</f>
        <v>08d11cbf</v>
      </c>
      <c r="BP335" s="29" t="str">
        <f ca="1">IFERROR(__xludf.DUMMYFUNCTION("""COMPUTED_VALUE"""),"Guanajuato")</f>
        <v>Guanajuato</v>
      </c>
      <c r="BQ335" s="30" t="str">
        <f ca="1">IFERROR(__xludf.DUMMYFUNCTION("""COMPUTED_VALUE"""),"Urbano")</f>
        <v>Urbano</v>
      </c>
      <c r="BR335" s="30"/>
      <c r="BS335" s="30" t="str">
        <f ca="1">IFERROR(__xludf.DUMMYFUNCTION("""COMPUTED_VALUE"""),"Zona centro")</f>
        <v>Zona centro</v>
      </c>
      <c r="BT335" s="30"/>
      <c r="BU335" s="30" t="str">
        <f ca="1">IFERROR(__xludf.DUMMYFUNCTION("""COMPUTED_VALUE"""),"No")</f>
        <v>No</v>
      </c>
      <c r="BV335" s="30" t="str">
        <f ca="1">IFERROR(__xludf.DUMMYFUNCTION("""COMPUTED_VALUE"""),"No")</f>
        <v>No</v>
      </c>
      <c r="BW335" s="30">
        <f ca="1">IFERROR(__xludf.DUMMYFUNCTION("""COMPUTED_VALUE"""),3)</f>
        <v>3</v>
      </c>
      <c r="BX335" s="30">
        <f ca="1">IFERROR(__xludf.DUMMYFUNCTION("""COMPUTED_VALUE"""),3)</f>
        <v>3</v>
      </c>
      <c r="BY335" s="30">
        <f ca="1">IFERROR(__xludf.DUMMYFUNCTION("""COMPUTED_VALUE"""),0)</f>
        <v>0</v>
      </c>
      <c r="BZ335" s="30" t="str">
        <f ca="1">IFERROR(__xludf.DUMMYFUNCTION("""COMPUTED_VALUE"""),"Zona centro")</f>
        <v>Zona centro</v>
      </c>
      <c r="CA335" s="30" t="str">
        <f ca="1">IFERROR(__xludf.DUMMYFUNCTION("""COMPUTED_VALUE"""),"No")</f>
        <v>No</v>
      </c>
      <c r="CB335" s="30" t="str">
        <f ca="1">IFERROR(__xludf.DUMMYFUNCTION("""COMPUTED_VALUE"""),"No")</f>
        <v>No</v>
      </c>
      <c r="CC335" s="30" t="str">
        <f ca="1">IFERROR(__xludf.DUMMYFUNCTION("""COMPUTED_VALUE"""),"6ced7724")</f>
        <v>6ced7724</v>
      </c>
      <c r="CD335" s="29" t="str">
        <f ca="1">IFERROR(__xludf.DUMMYFUNCTION("""COMPUTED_VALUE"""),"Adolescentes (13 a 17 años)")</f>
        <v>Adolescentes (13 a 17 años)</v>
      </c>
      <c r="CE335" s="30" t="str">
        <f ca="1">IFERROR(__xludf.DUMMYFUNCTION("""COMPUTED_VALUE"""),"Dato global")</f>
        <v>Dato global</v>
      </c>
      <c r="CF335" s="30" t="str">
        <f ca="1">IFERROR(__xludf.DUMMYFUNCTION("""COMPUTED_VALUE"""),"Ninguno (Población General)")</f>
        <v>Ninguno (Población General)</v>
      </c>
      <c r="CG335" s="30">
        <f ca="1">IFERROR(__xludf.DUMMYFUNCTION("""COMPUTED_VALUE"""),129)</f>
        <v>129</v>
      </c>
      <c r="CJ335" s="29"/>
      <c r="CM335" s="30" t="str">
        <f ca="1">IFERROR(__xludf.DUMMYFUNCTION("""COMPUTED_VALUE"""),"Guanajuato")</f>
        <v>Guanajuato</v>
      </c>
      <c r="CN335" s="32" t="e">
        <f ca="1"/>
        <v>#NAME?</v>
      </c>
      <c r="CO335" s="32" t="e">
        <f ca="1"/>
        <v>#NAME?</v>
      </c>
      <c r="CP335" s="32" t="e">
        <f ca="1"/>
        <v>#NAME?</v>
      </c>
      <c r="CQ335" s="32" t="e">
        <f ca="1"/>
        <v>#NAME?</v>
      </c>
      <c r="CR335" s="30" t="e">
        <f ca="1"/>
        <v>#NAME?</v>
      </c>
      <c r="CS335" s="30" t="str">
        <f ca="1">IFERROR(__xludf.DUMMYFUNCTION("""COMPUTED_VALUE"""),"Ninguno (Población General)")</f>
        <v>Ninguno (Población General)</v>
      </c>
    </row>
    <row r="336" spans="1:97" ht="13">
      <c r="A336" s="29" t="str">
        <f ca="1">IFERROR(__xludf.DUMMYFUNCTION("""COMPUTED_VALUE"""),"ACT-SCBX82448")</f>
        <v>ACT-SCBX82448</v>
      </c>
      <c r="B336" s="30" t="str">
        <f ca="1">IFERROR(__xludf.DUMMYFUNCTION("""COMPUTED_VALUE"""),"SC-260828-162355")</f>
        <v>SC-260828-162355</v>
      </c>
      <c r="C336" s="62">
        <f ca="1">IFERROR(__xludf.DUMMYFUNCTION("""COMPUTED_VALUE"""),46262.6832754629)</f>
        <v>46262.683275462899</v>
      </c>
      <c r="D336" s="30">
        <f ca="1">IFERROR(__xludf.DUMMYFUNCTION("""COMPUTED_VALUE"""),63)</f>
        <v>63</v>
      </c>
      <c r="E336" s="30" t="str">
        <f ca="1">IFERROR(__xludf.DUMMYFUNCTION("""COMPUTED_VALUE"""),"PB3565")</f>
        <v>PB3565</v>
      </c>
      <c r="F336" s="30" t="str">
        <f ca="1">IFERROR(__xludf.DUMMYFUNCTION("""COMPUTED_VALUE"""),"Fortalecimiento de procesos participativos municipales")</f>
        <v>Fortalecimiento de procesos participativos municipales</v>
      </c>
      <c r="G336" s="30" t="str">
        <f ca="1">IFERROR(__xludf.DUMMYFUNCTION("""COMPUTED_VALUE"""),"Programa y listado de asistentes al Curso taller para la difusión del patrimonio cultural de la entidad.")</f>
        <v>Programa y listado de asistentes al Curso taller para la difusión del patrimonio cultural de la entidad.</v>
      </c>
      <c r="H336" s="30" t="str">
        <f ca="1">IFERROR(__xludf.DUMMYFUNCTION("""COMPUTED_VALUE"""),"SUBSECRETARÍA DE DESARROLLO COMUNITARIO Y PROMOCIÓN PATRIMONIAL")</f>
        <v>SUBSECRETARÍA DE DESARROLLO COMUNITARIO Y PROMOCIÓN PATRIMONIAL</v>
      </c>
      <c r="I336" s="34" t="str">
        <f ca="1">IFERROR(__xludf.DUMMYFUNCTION("""COMPUTED_VALUE"""),"DIRECCIÓN GENERAL DE PATRIMONIO CULTURAL")</f>
        <v>DIRECCIÓN GENERAL DE PATRIMONIO CULTURAL</v>
      </c>
      <c r="J336" s="30" t="str">
        <f ca="1">IFERROR(__xludf.DUMMYFUNCTION("""COMPUTED_VALUE"""),"Curso taller realizado")</f>
        <v>Curso taller realizado</v>
      </c>
      <c r="K336" s="30">
        <f ca="1">IFERROR(__xludf.DUMMYFUNCTION("""COMPUTED_VALUE"""),1)</f>
        <v>1</v>
      </c>
      <c r="L336" s="30" t="str">
        <f ca="1">IFERROR(__xludf.DUMMYFUNCTION("""COMPUTED_VALUE"""),"Cultural")</f>
        <v>Cultural</v>
      </c>
      <c r="M336" s="30" t="str">
        <f ca="1">IFERROR(__xludf.DUMMYFUNCTION("""COMPUTED_VALUE"""),"Identificación y uso adecuado de materiales pétreos para la conservación del patrimonio edificado en Guanajuato")</f>
        <v>Identificación y uso adecuado de materiales pétreos para la conservación del patrimonio edificado en Guanajuato</v>
      </c>
      <c r="N336" s="30" t="str">
        <f ca="1">IFERROR(__xludf.DUMMYFUNCTION("""COMPUTED_VALUE"""),"Identificar, evaluar, seleccionar y emplear adecuadamente los materiales pétreos originales y de reposición en la conservación del patrimonio edificado de Guanajuato")</f>
        <v>Identificar, evaluar, seleccionar y emplear adecuadamente los materiales pétreos originales y de reposición en la conservación del patrimonio edificado de Guanajuato</v>
      </c>
      <c r="O336" s="30" t="str">
        <f ca="1">IFERROR(__xludf.DUMMYFUNCTION("""COMPUTED_VALUE"""),"Semanal")</f>
        <v>Semanal</v>
      </c>
      <c r="P336" s="33">
        <f ca="1">IFERROR(__xludf.DUMMYFUNCTION("""COMPUTED_VALUE"""),46191)</f>
        <v>46191</v>
      </c>
      <c r="Q336" s="33">
        <f ca="1">IFERROR(__xludf.DUMMYFUNCTION("""COMPUTED_VALUE"""),46200)</f>
        <v>46200</v>
      </c>
      <c r="R336" s="30">
        <f ca="1">IFERROR(__xludf.DUMMYFUNCTION("""COMPUTED_VALUE"""),4)</f>
        <v>4</v>
      </c>
      <c r="S336" s="30" t="str">
        <f ca="1">IFERROR(__xludf.DUMMYFUNCTION("""COMPUTED_VALUE"""),"Patrimonio cultural")</f>
        <v>Patrimonio cultural</v>
      </c>
      <c r="T336" s="30" t="str">
        <f ca="1">IFERROR(__xludf.DUMMYFUNCTION("""COMPUTED_VALUE"""),"Patrimonio arquitectónico")</f>
        <v>Patrimonio arquitectónico</v>
      </c>
      <c r="U336" s="30" t="str">
        <f ca="1">IFERROR(__xludf.DUMMYFUNCTION("""COMPUTED_VALUE"""),"Curso")</f>
        <v>Curso</v>
      </c>
      <c r="V336" s="30" t="str">
        <f ca="1">IFERROR(__xludf.DUMMYFUNCTION("""COMPUTED_VALUE"""),"Ninguna")</f>
        <v>Ninguna</v>
      </c>
      <c r="W336" s="30" t="str">
        <f ca="1">IFERROR(__xludf.DUMMYFUNCTION("""COMPUTED_VALUE"""),"Híbrido")</f>
        <v>Híbrido</v>
      </c>
      <c r="X336" s="30" t="str">
        <f ca="1">IFERROR(__xludf.DUMMYFUNCTION("""COMPUTED_VALUE"""),"Espacio a Cargo de la Secretaría")</f>
        <v>Espacio a Cargo de la Secretaría</v>
      </c>
      <c r="Y336" s="30" t="str">
        <f ca="1">IFERROR(__xludf.DUMMYFUNCTION("""COMPUTED_VALUE"""),"Teatro Juárez")</f>
        <v>Teatro Juárez</v>
      </c>
      <c r="Z336" s="30"/>
      <c r="AA336" s="30"/>
      <c r="AB336" s="30" t="b">
        <f ca="1">IFERROR(__xludf.DUMMYFUNCTION("""COMPUTED_VALUE"""),TRUE)</f>
        <v>1</v>
      </c>
      <c r="AC336" s="30">
        <f ca="1">IFERROR(__xludf.DUMMYFUNCTION("""COMPUTED_VALUE"""),30000)</f>
        <v>30000</v>
      </c>
      <c r="AD336" s="30" t="b">
        <f ca="1">IFERROR(__xludf.DUMMYFUNCTION("""COMPUTED_VALUE"""),TRUE)</f>
        <v>1</v>
      </c>
      <c r="AE336" s="30">
        <f ca="1">IFERROR(__xludf.DUMMYFUNCTION("""COMPUTED_VALUE"""),1)</f>
        <v>1</v>
      </c>
      <c r="AF336" s="30" t="b">
        <f ca="1">IFERROR(__xludf.DUMMYFUNCTION("""COMPUTED_VALUE"""),FALSE)</f>
        <v>0</v>
      </c>
      <c r="AG336" s="30"/>
      <c r="AH336" s="30" t="str">
        <f ca="1">IFERROR(__xludf.DUMMYFUNCTION("""COMPUTED_VALUE"""),"Con costo")</f>
        <v>Con costo</v>
      </c>
      <c r="AI336" s="30">
        <f ca="1">IFERROR(__xludf.DUMMYFUNCTION("""COMPUTED_VALUE"""),1092)</f>
        <v>1092</v>
      </c>
      <c r="AJ336" s="30"/>
      <c r="AK336" s="30"/>
      <c r="AL336" s="30" t="str">
        <f ca="1">IFERROR(__xludf.DUMMYFUNCTION("""COMPUTED_VALUE"""),"mbmontero@guanajuato.gob.mx")</f>
        <v>mbmontero@guanajuato.gob.mx</v>
      </c>
      <c r="AM336"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336" s="30" t="str">
        <f ca="1">IFERROR(__xludf.DUMMYFUNCTION("""COMPUTED_VALUE"""),"2 Igualdad")</f>
        <v>2 Igualdad</v>
      </c>
      <c r="AO336" s="30" t="str">
        <f ca="1">IFERROR(__xludf.DUMMYFUNCTION("""COMPUTED_VALUE"""),"2.4 Reducir brechas de desigualdad")</f>
        <v>2.4 Reducir brechas de desigualdad</v>
      </c>
      <c r="AP336" s="30" t="str">
        <f ca="1">IFERROR(__xludf.DUMMYFUNCTION("""COMPUTED_VALUE"""),"2.4.3 Descentralización de la oferta cultural")</f>
        <v>2.4.3 Descentralización de la oferta cultural</v>
      </c>
      <c r="AQ336" s="30" t="str">
        <f ca="1">IFERROR(__xludf.DUMMYFUNCTION("""COMPUTED_VALUE"""),"2.4.3.3 Incidir en el involucramiento de las personas con el ecosistema cultural")</f>
        <v>2.4.3.3 Incidir en el involucramiento de las personas con el ecosistema cultural</v>
      </c>
      <c r="AR336" s="30" t="str">
        <f ca="1">IFERROR(__xludf.DUMMYFUNCTION("""COMPUTED_VALUE"""),"Ninguno")</f>
        <v>Ninguno</v>
      </c>
      <c r="AS336" s="30"/>
      <c r="AT336" s="30" t="str">
        <f ca="1">IFERROR(__xludf.DUMMYFUNCTION("""COMPUTED_VALUE"""),"Impulso a la educación artística y a la profesionalización del sector cultural")</f>
        <v>Impulso a la educación artística y a la profesionalización del sector cultural</v>
      </c>
      <c r="AU336" s="30" t="str">
        <f ca="1">IFERROR(__xludf.DUMMYFUNCTION("""COMPUTED_VALUE"""),"Fortalecimiento de las alianzas entre el sector cultural, educativo y productivo")</f>
        <v>Fortalecimiento de las alianzas entre el sector cultural, educativo y productivo</v>
      </c>
      <c r="AV336" s="30" t="str">
        <f ca="1">IFERROR(__xludf.DUMMYFUNCTION("""COMPUTED_VALUE"""),"Establecer convenios con la Secretaría de Educación, universidades y el sector privado para ampliar la oferta de formación en modalidad presencial y virtual.")</f>
        <v>Establecer convenios con la Secretaría de Educación, universidades y el sector privado para ampliar la oferta de formación en modalidad presencial y virtual.</v>
      </c>
      <c r="AW336" s="30" t="str">
        <f ca="1">IFERROR(__xludf.DUMMYFUNCTION("""COMPUTED_VALUE"""),"Lograr un incremento del 30% de participación en agentes culturales en procesos de formación y profesionalización.")</f>
        <v>Lograr un incremento del 30% de participación en agentes culturales en procesos de formación y profesionalización.</v>
      </c>
      <c r="AX336" s="30" t="str">
        <f ca="1">IFERROR(__xludf.DUMMYFUNCTION("""COMPUTED_VALUE"""),"Taller")</f>
        <v>Taller</v>
      </c>
      <c r="AY336" s="30" t="str">
        <f ca="1">IFERROR(__xludf.DUMMYFUNCTION("""COMPUTED_VALUE"""),"Formación")</f>
        <v>Formación</v>
      </c>
      <c r="AZ336" s="30" t="str">
        <f ca="1">IFERROR(__xludf.DUMMYFUNCTION("""COMPUTED_VALUE"""),"Formación")</f>
        <v>Formación</v>
      </c>
      <c r="BA336" s="30" t="str">
        <f ca="1">IFERROR(__xludf.DUMMYFUNCTION("""COMPUTED_VALUE"""),"Fortalecer las capacidades técnicas  garantizando intervenciones compatibles, sustentables y acordes con los criterios de autenticidad y mínima alteración.")</f>
        <v>Fortalecer las capacidades técnicas  garantizando intervenciones compatibles, sustentables y acordes con los criterios de autenticidad y mínima alteración.</v>
      </c>
      <c r="BB336" s="30"/>
      <c r="BC336" s="30">
        <f ca="1">IFERROR(__xludf.DUMMYFUNCTION("""COMPUTED_VALUE"""),0)</f>
        <v>0</v>
      </c>
      <c r="BD336" s="30"/>
      <c r="BE336" s="30"/>
      <c r="BF336" s="30" t="b">
        <f ca="1">IFERROR(__xludf.DUMMYFUNCTION("""COMPUTED_VALUE"""),FALSE)</f>
        <v>0</v>
      </c>
      <c r="BG336" s="30"/>
      <c r="BH336" s="30"/>
      <c r="BI336" s="30"/>
      <c r="BJ336" s="30"/>
      <c r="BK336" s="30"/>
      <c r="BL336" s="30"/>
      <c r="BM336" s="30" t="str">
        <f ca="1">IFERROR(__xludf.DUMMYFUNCTION("""COMPUTED_VALUE"""),"No")</f>
        <v>No</v>
      </c>
      <c r="BN336" s="30"/>
      <c r="BO336" s="30" t="str">
        <f ca="1">IFERROR(__xludf.DUMMYFUNCTION("""COMPUTED_VALUE"""),"9446b28f")</f>
        <v>9446b28f</v>
      </c>
      <c r="BP336" s="29" t="str">
        <f ca="1">IFERROR(__xludf.DUMMYFUNCTION("""COMPUTED_VALUE"""),"Guanajuato")</f>
        <v>Guanajuato</v>
      </c>
      <c r="BQ336" s="30" t="str">
        <f ca="1">IFERROR(__xludf.DUMMYFUNCTION("""COMPUTED_VALUE"""),"Urbano")</f>
        <v>Urbano</v>
      </c>
      <c r="BR336" s="30"/>
      <c r="BS336" s="30" t="str">
        <f ca="1">IFERROR(__xludf.DUMMYFUNCTION("""COMPUTED_VALUE"""),"Zona centro")</f>
        <v>Zona centro</v>
      </c>
      <c r="BT336" s="30"/>
      <c r="BU336" s="30" t="str">
        <f ca="1">IFERROR(__xludf.DUMMYFUNCTION("""COMPUTED_VALUE"""),"No")</f>
        <v>No</v>
      </c>
      <c r="BV336" s="30" t="str">
        <f ca="1">IFERROR(__xludf.DUMMYFUNCTION("""COMPUTED_VALUE"""),"No")</f>
        <v>No</v>
      </c>
      <c r="BW336" s="30">
        <f ca="1">IFERROR(__xludf.DUMMYFUNCTION("""COMPUTED_VALUE"""),13)</f>
        <v>13</v>
      </c>
      <c r="BX336" s="30">
        <f ca="1">IFERROR(__xludf.DUMMYFUNCTION("""COMPUTED_VALUE"""),13)</f>
        <v>13</v>
      </c>
      <c r="BY336" s="30">
        <f ca="1">IFERROR(__xludf.DUMMYFUNCTION("""COMPUTED_VALUE"""),0)</f>
        <v>0</v>
      </c>
      <c r="BZ336" s="30" t="str">
        <f ca="1">IFERROR(__xludf.DUMMYFUNCTION("""COMPUTED_VALUE"""),"Zona centro")</f>
        <v>Zona centro</v>
      </c>
      <c r="CA336" s="30" t="str">
        <f ca="1">IFERROR(__xludf.DUMMYFUNCTION("""COMPUTED_VALUE"""),"No")</f>
        <v>No</v>
      </c>
      <c r="CB336" s="30" t="str">
        <f ca="1">IFERROR(__xludf.DUMMYFUNCTION("""COMPUTED_VALUE"""),"No")</f>
        <v>No</v>
      </c>
      <c r="CC336" s="30" t="str">
        <f ca="1">IFERROR(__xludf.DUMMYFUNCTION("""COMPUTED_VALUE"""),"1d630d4f")</f>
        <v>1d630d4f</v>
      </c>
      <c r="CD336" s="29" t="str">
        <f ca="1">IFERROR(__xludf.DUMMYFUNCTION("""COMPUTED_VALUE"""),"Adultos (30 a 59 años)")</f>
        <v>Adultos (30 a 59 años)</v>
      </c>
      <c r="CE336" s="30" t="str">
        <f ca="1">IFERROR(__xludf.DUMMYFUNCTION("""COMPUTED_VALUE"""),"Dato global")</f>
        <v>Dato global</v>
      </c>
      <c r="CF336" s="30" t="str">
        <f ca="1">IFERROR(__xludf.DUMMYFUNCTION("""COMPUTED_VALUE"""),"Ninguno (Población General)")</f>
        <v>Ninguno (Población General)</v>
      </c>
      <c r="CG336" s="30">
        <f ca="1">IFERROR(__xludf.DUMMYFUNCTION("""COMPUTED_VALUE"""),6)</f>
        <v>6</v>
      </c>
      <c r="CJ336" s="29"/>
      <c r="CM336" s="30" t="str">
        <f ca="1">IFERROR(__xludf.DUMMYFUNCTION("""COMPUTED_VALUE"""),"Guanajuato")</f>
        <v>Guanajuato</v>
      </c>
      <c r="CN336" s="32" t="e">
        <f ca="1"/>
        <v>#NAME?</v>
      </c>
      <c r="CO336" s="32" t="e">
        <f ca="1"/>
        <v>#NAME?</v>
      </c>
      <c r="CP336" s="32" t="e">
        <f ca="1"/>
        <v>#NAME?</v>
      </c>
      <c r="CQ336" s="32" t="e">
        <f ca="1"/>
        <v>#NAME?</v>
      </c>
      <c r="CR336" s="30" t="e">
        <f ca="1"/>
        <v>#NAME?</v>
      </c>
      <c r="CS336" s="30" t="str">
        <f ca="1">IFERROR(__xludf.DUMMYFUNCTION("""COMPUTED_VALUE"""),"Ninguno (Población General)")</f>
        <v>Ninguno (Población General)</v>
      </c>
    </row>
    <row r="337" spans="1:97" ht="13">
      <c r="A337" s="29" t="str">
        <f ca="1">IFERROR(__xludf.DUMMYFUNCTION("""COMPUTED_VALUE"""),"ACT-SCMI05636")</f>
        <v>ACT-SCMI05636</v>
      </c>
      <c r="B337" s="30" t="str">
        <f ca="1">IFERROR(__xludf.DUMMYFUNCTION("""COMPUTED_VALUE"""),"SC-260831-141459")</f>
        <v>SC-260831-141459</v>
      </c>
      <c r="C337" s="62">
        <f ca="1">IFERROR(__xludf.DUMMYFUNCTION("""COMPUTED_VALUE"""),46265.5937384259)</f>
        <v>46265.593738425901</v>
      </c>
      <c r="D337" s="30">
        <f ca="1">IFERROR(__xludf.DUMMYFUNCTION("""COMPUTED_VALUE"""),6)</f>
        <v>6</v>
      </c>
      <c r="E337" s="30" t="str">
        <f ca="1">IFERROR(__xludf.DUMMYFUNCTION("""COMPUTED_VALUE"""),"QC4140")</f>
        <v>QC4140</v>
      </c>
      <c r="F337" s="30" t="str">
        <f ca="1">IFERROR(__xludf.DUMMYFUNCTION("""COMPUTED_VALUE"""),"Festivales, Encuentros y Ferias Culturales y Artísticas")</f>
        <v>Festivales, Encuentros y Ferias Culturales y Artísticas</v>
      </c>
      <c r="G337" s="30" t="str">
        <f ca="1">IFERROR(__xludf.DUMMYFUNCTION("""COMPUTED_VALUE"""),"Encuentros culturales enfocados en la formación, reflexión y profesionalización de artistas, investigadoras, creadoras, docentes, promotoras culturales, gestoras y editoras, con actividades como talleres, clases magistrales.")</f>
        <v>Encuentros culturales enfocados en la formación, reflexión y profesionalización de artistas, investigadoras, creadoras, docentes, promotoras culturales, gestoras y editoras, con actividades como talleres, clases magistrales.</v>
      </c>
      <c r="H337" s="30" t="str">
        <f ca="1">IFERROR(__xludf.DUMMYFUNCTION("""COMPUTED_VALUE"""),"SUBSECRETARÍA DE DESARROLLO Y PROMOCIÓN ARTÍSTICA Y CULTURAL")</f>
        <v>SUBSECRETARÍA DE DESARROLLO Y PROMOCIÓN ARTÍSTICA Y CULTURAL</v>
      </c>
      <c r="I337" s="34" t="str">
        <f ca="1">IFERROR(__xludf.DUMMYFUNCTION("""COMPUTED_VALUE"""),"SIN ASIGNAR")</f>
        <v>SIN ASIGNAR</v>
      </c>
      <c r="J337" s="30" t="str">
        <f ca="1">IFERROR(__xludf.DUMMYFUNCTION("""COMPUTED_VALUE"""),"Asistentes y participantes de los encuentros")</f>
        <v>Asistentes y participantes de los encuentros</v>
      </c>
      <c r="K337" s="30">
        <f ca="1">IFERROR(__xludf.DUMMYFUNCTION("""COMPUTED_VALUE"""),6000)</f>
        <v>6000</v>
      </c>
      <c r="L337" s="30" t="str">
        <f ca="1">IFERROR(__xludf.DUMMYFUNCTION("""COMPUTED_VALUE"""),"Cultural")</f>
        <v>Cultural</v>
      </c>
      <c r="M337" s="30" t="str">
        <f ca="1">IFERROR(__xludf.DUMMYFUNCTION("""COMPUTED_VALUE"""),"abece")</f>
        <v>abece</v>
      </c>
      <c r="N337" s="30" t="str">
        <f ca="1">IFERROR(__xludf.DUMMYFUNCTION("""COMPUTED_VALUE"""),"fgggggggfd")</f>
        <v>fgggggggfd</v>
      </c>
      <c r="O337" s="30" t="str">
        <f ca="1">IFERROR(__xludf.DUMMYFUNCTION("""COMPUTED_VALUE"""),"Semanal")</f>
        <v>Semanal</v>
      </c>
      <c r="P337" s="33">
        <f ca="1">IFERROR(__xludf.DUMMYFUNCTION("""COMPUTED_VALUE"""),46244)</f>
        <v>46244</v>
      </c>
      <c r="Q337" s="33">
        <f ca="1">IFERROR(__xludf.DUMMYFUNCTION("""COMPUTED_VALUE"""),46258)</f>
        <v>46258</v>
      </c>
      <c r="R337" s="30">
        <f ca="1">IFERROR(__xludf.DUMMYFUNCTION("""COMPUTED_VALUE"""),3)</f>
        <v>3</v>
      </c>
      <c r="S337" s="30" t="str">
        <f ca="1">IFERROR(__xludf.DUMMYFUNCTION("""COMPUTED_VALUE"""),"Artes visuales")</f>
        <v>Artes visuales</v>
      </c>
      <c r="T337" s="30" t="str">
        <f ca="1">IFERROR(__xludf.DUMMYFUNCTION("""COMPUTED_VALUE"""),"Grabado")</f>
        <v>Grabado</v>
      </c>
      <c r="U337" s="30" t="str">
        <f ca="1">IFERROR(__xludf.DUMMYFUNCTION("""COMPUTED_VALUE"""),"Curso")</f>
        <v>Curso</v>
      </c>
      <c r="V337" s="30" t="str">
        <f ca="1">IFERROR(__xludf.DUMMYFUNCTION("""COMPUTED_VALUE"""),"Ninguna")</f>
        <v>Ninguna</v>
      </c>
      <c r="W337" s="30" t="str">
        <f ca="1">IFERROR(__xludf.DUMMYFUNCTION("""COMPUTED_VALUE"""),"Presencial")</f>
        <v>Presencial</v>
      </c>
      <c r="X337" s="30" t="str">
        <f ca="1">IFERROR(__xludf.DUMMYFUNCTION("""COMPUTED_VALUE"""),"Espacio a Cargo de la Secretaría")</f>
        <v>Espacio a Cargo de la Secretaría</v>
      </c>
      <c r="Y337" s="30" t="str">
        <f ca="1">IFERROR(__xludf.DUMMYFUNCTION("""COMPUTED_VALUE"""),"Museo Casa Diego Rivera")</f>
        <v>Museo Casa Diego Rivera</v>
      </c>
      <c r="Z337" s="30"/>
      <c r="AA337" s="30"/>
      <c r="AB337" s="30" t="b">
        <f ca="1">IFERROR(__xludf.DUMMYFUNCTION("""COMPUTED_VALUE"""),TRUE)</f>
        <v>1</v>
      </c>
      <c r="AC337" s="30"/>
      <c r="AD337" s="30" t="b">
        <f ca="1">IFERROR(__xludf.DUMMYFUNCTION("""COMPUTED_VALUE"""),TRUE)</f>
        <v>1</v>
      </c>
      <c r="AE337" s="30"/>
      <c r="AF337" s="30" t="b">
        <f ca="1">IFERROR(__xludf.DUMMYFUNCTION("""COMPUTED_VALUE"""),FALSE)</f>
        <v>0</v>
      </c>
      <c r="AG337" s="30"/>
      <c r="AH337" s="30" t="str">
        <f ca="1">IFERROR(__xludf.DUMMYFUNCTION("""COMPUTED_VALUE"""),"Sin costo")</f>
        <v>Sin costo</v>
      </c>
      <c r="AI337" s="30"/>
      <c r="AJ337" s="30"/>
      <c r="AK337" s="30"/>
      <c r="AL337" s="30" t="str">
        <f ca="1">IFERROR(__xludf.DUMMYFUNCTION("""COMPUTED_VALUE"""),"llarag@guanajuato.gob.mx")</f>
        <v>llarag@guanajuato.gob.mx</v>
      </c>
      <c r="AM337" s="30" t="str">
        <f ca="1">IFERROR(__xludf.DUMMYFUNCTION("""COMPUTED_VALUE"""),"Juventudes: Apropiación de espacios públicos: revitalizar espacios subutilizados para actividades comunitarias y culturales, con jóvenes en su diseño y gestión.")</f>
        <v>Juventudes: Apropiación de espacios públicos: revitalizar espacios subutilizados para actividades comunitarias y culturales, con jóvenes en su diseño y gestión.</v>
      </c>
      <c r="AN337" s="30" t="str">
        <f ca="1">IFERROR(__xludf.DUMMYFUNCTION("""COMPUTED_VALUE"""),"1 Tranquilidad")</f>
        <v>1 Tranquilidad</v>
      </c>
      <c r="AO337" s="30" t="str">
        <f ca="1">IFERROR(__xludf.DUMMYFUNCTION("""COMPUTED_VALUE"""),"1.2 Fortalecer prevención del delito")</f>
        <v>1.2 Fortalecer prevención del delito</v>
      </c>
      <c r="AP337" s="30" t="str">
        <f ca="1">IFERROR(__xludf.DUMMYFUNCTION("""COMPUTED_VALUE"""),"1.2.2 Fortalecimiento del tejido social")</f>
        <v>1.2.2 Fortalecimiento del tejido social</v>
      </c>
      <c r="AQ337" s="30" t="str">
        <f ca="1">IFERROR(__xludf.DUMMYFUNCTION("""COMPUTED_VALUE"""),"1.2.3.4 Promover una cultura de paz desde las expresiones artísticas y culturales")</f>
        <v>1.2.3.4 Promover una cultura de paz desde las expresiones artísticas y culturales</v>
      </c>
      <c r="AR337" s="30" t="str">
        <f ca="1">IFERROR(__xludf.DUMMYFUNCTION("""COMPUTED_VALUE"""),"Ninguno")</f>
        <v>Ninguno</v>
      </c>
      <c r="AS337" s="30"/>
      <c r="AT337" s="30" t="str">
        <f ca="1">IFERROR(__xludf.DUMMYFUNCTION("""COMPUTED_VALUE"""),"Fortalecimiento de la participación ciudadana y la mediación cultural")</f>
        <v>Fortalecimiento de la participación ciudadana y la mediación cultural</v>
      </c>
      <c r="AU337" s="30" t="str">
        <f ca="1">IFERROR(__xludf.DUMMYFUNCTION("""COMPUTED_VALUE"""),"Fortalecimiento del diálogo, la mediación y las capacidades de las redes comunitarias.")</f>
        <v>Fortalecimiento del diálogo, la mediación y las capacidades de las redes comunitarias.</v>
      </c>
      <c r="AV337" s="30" t="str">
        <f ca="1">IFERROR(__xludf.DUMMYFUNCTION("""COMPUTED_VALUE"""),"Impulsar programas de mediación con líneas de trabajo enfocadas a la participación y acceso de grupos prioritarios y población de zonas prioritarias")</f>
        <v>Impulsar programas de mediación con líneas de trabajo enfocadas a la participación y acceso de grupos prioritarios y población de zonas prioritarias</v>
      </c>
      <c r="AW337" s="30" t="str">
        <f ca="1">IFERROR(__xludf.DUMMYFUNCTION("""COMPUTED_VALUE"""),"Incrementar en 25% la oferta cultural realizada en los municipios.")</f>
        <v>Incrementar en 25% la oferta cultural realizada en los municipios.</v>
      </c>
      <c r="AX337" s="30" t="str">
        <f ca="1">IFERROR(__xludf.DUMMYFUNCTION("""COMPUTED_VALUE"""),"Taller")</f>
        <v>Taller</v>
      </c>
      <c r="AY337" s="30" t="str">
        <f ca="1">IFERROR(__xludf.DUMMYFUNCTION("""COMPUTED_VALUE"""),"Creación")</f>
        <v>Creación</v>
      </c>
      <c r="AZ337" s="30"/>
      <c r="BA337" s="30"/>
      <c r="BB337" s="30">
        <f ca="1">IFERROR(__xludf.DUMMYFUNCTION("""COMPUTED_VALUE"""),1)</f>
        <v>1</v>
      </c>
      <c r="BC337" s="30">
        <f ca="1">IFERROR(__xludf.DUMMYFUNCTION("""COMPUTED_VALUE"""),25)</f>
        <v>25</v>
      </c>
      <c r="BD337" s="30"/>
      <c r="BE337" s="30"/>
      <c r="BF337" s="30" t="b">
        <f ca="1">IFERROR(__xludf.DUMMYFUNCTION("""COMPUTED_VALUE"""),TRUE)</f>
        <v>1</v>
      </c>
      <c r="BG337" s="30"/>
      <c r="BH337" s="30"/>
      <c r="BI337" s="30"/>
      <c r="BJ337" s="30"/>
      <c r="BK337" s="30"/>
      <c r="BL337" s="30" t="str">
        <f ca="1">IFERROR(__xludf.DUMMYFUNCTION("""COMPUTED_VALUE"""),"hbghngcn")</f>
        <v>hbghngcn</v>
      </c>
      <c r="BM337" s="30" t="str">
        <f ca="1">IFERROR(__xludf.DUMMYFUNCTION("""COMPUTED_VALUE"""),"Sí")</f>
        <v>Sí</v>
      </c>
      <c r="BN337" s="30" t="str">
        <f ca="1">IFERROR(__xludf.DUMMYFUNCTION("""COMPUTED_VALUE"""),"Gestión de recursos económicos")</f>
        <v>Gestión de recursos económicos</v>
      </c>
      <c r="BO337" s="30" t="str">
        <f ca="1">IFERROR(__xludf.DUMMYFUNCTION("""COMPUTED_VALUE"""),"8b9c93df")</f>
        <v>8b9c93df</v>
      </c>
      <c r="BP337" s="29" t="str">
        <f ca="1">IFERROR(__xludf.DUMMYFUNCTION("""COMPUTED_VALUE"""),"Guanajuato")</f>
        <v>Guanajuato</v>
      </c>
      <c r="BQ337" s="30" t="str">
        <f ca="1">IFERROR(__xludf.DUMMYFUNCTION("""COMPUTED_VALUE"""),"Urbano")</f>
        <v>Urbano</v>
      </c>
      <c r="BR337" s="30"/>
      <c r="BS337" s="30" t="str">
        <f ca="1">IFERROR(__xludf.DUMMYFUNCTION("""COMPUTED_VALUE"""),"Zona centro")</f>
        <v>Zona centro</v>
      </c>
      <c r="BT337" s="30"/>
      <c r="BU337" s="30" t="str">
        <f ca="1">IFERROR(__xludf.DUMMYFUNCTION("""COMPUTED_VALUE"""),"No")</f>
        <v>No</v>
      </c>
      <c r="BV337" s="30" t="str">
        <f ca="1">IFERROR(__xludf.DUMMYFUNCTION("""COMPUTED_VALUE"""),"No")</f>
        <v>No</v>
      </c>
      <c r="BW337" s="30">
        <f ca="1">IFERROR(__xludf.DUMMYFUNCTION("""COMPUTED_VALUE"""),40)</f>
        <v>40</v>
      </c>
      <c r="BX337" s="30">
        <f ca="1">IFERROR(__xludf.DUMMYFUNCTION("""COMPUTED_VALUE"""),40)</f>
        <v>40</v>
      </c>
      <c r="BY337" s="30">
        <f ca="1">IFERROR(__xludf.DUMMYFUNCTION("""COMPUTED_VALUE"""),0)</f>
        <v>0</v>
      </c>
      <c r="BZ337" s="30" t="str">
        <f ca="1">IFERROR(__xludf.DUMMYFUNCTION("""COMPUTED_VALUE"""),"Zona centro")</f>
        <v>Zona centro</v>
      </c>
      <c r="CA337" s="30" t="str">
        <f ca="1">IFERROR(__xludf.DUMMYFUNCTION("""COMPUTED_VALUE"""),"No")</f>
        <v>No</v>
      </c>
      <c r="CB337" s="30" t="str">
        <f ca="1">IFERROR(__xludf.DUMMYFUNCTION("""COMPUTED_VALUE"""),"No")</f>
        <v>No</v>
      </c>
      <c r="CC337" s="30" t="str">
        <f ca="1">IFERROR(__xludf.DUMMYFUNCTION("""COMPUTED_VALUE"""),"493b3399")</f>
        <v>493b3399</v>
      </c>
      <c r="CD337" s="29" t="str">
        <f ca="1">IFERROR(__xludf.DUMMYFUNCTION("""COMPUTED_VALUE"""),"Niñas y Niños (6 a 12 años)")</f>
        <v>Niñas y Niños (6 a 12 años)</v>
      </c>
      <c r="CE337" s="30" t="str">
        <f ca="1">IFERROR(__xludf.DUMMYFUNCTION("""COMPUTED_VALUE"""),"Dato global")</f>
        <v>Dato global</v>
      </c>
      <c r="CF337" s="30" t="str">
        <f ca="1">IFERROR(__xludf.DUMMYFUNCTION("""COMPUTED_VALUE"""),"Ninguno (Población General)")</f>
        <v>Ninguno (Población General)</v>
      </c>
      <c r="CG337" s="30">
        <f ca="1">IFERROR(__xludf.DUMMYFUNCTION("""COMPUTED_VALUE"""),58)</f>
        <v>58</v>
      </c>
      <c r="CJ337" s="29"/>
      <c r="CM337" s="30" t="str">
        <f ca="1">IFERROR(__xludf.DUMMYFUNCTION("""COMPUTED_VALUE"""),"Guanajuato")</f>
        <v>Guanajuato</v>
      </c>
      <c r="CN337" s="32" t="e">
        <f ca="1"/>
        <v>#NAME?</v>
      </c>
      <c r="CO337" s="32" t="e">
        <f ca="1"/>
        <v>#NAME?</v>
      </c>
      <c r="CP337" s="32" t="e">
        <f ca="1"/>
        <v>#NAME?</v>
      </c>
      <c r="CQ337" s="32" t="e">
        <f ca="1"/>
        <v>#NAME?</v>
      </c>
      <c r="CR337" s="30" t="e">
        <f ca="1"/>
        <v>#NAME?</v>
      </c>
      <c r="CS337" s="30" t="str">
        <f ca="1">IFERROR(__xludf.DUMMYFUNCTION("""COMPUTED_VALUE"""),"Ninguno (Población General)")</f>
        <v>Ninguno (Población General)</v>
      </c>
    </row>
    <row r="338" spans="1:97" ht="13">
      <c r="A338" s="29" t="str">
        <f ca="1">IFERROR(__xludf.DUMMYFUNCTION("""COMPUTED_VALUE"""),"ACT-SCDR96816")</f>
        <v>ACT-SCDR96816</v>
      </c>
      <c r="B338" s="30" t="str">
        <f ca="1">IFERROR(__xludf.DUMMYFUNCTION("""COMPUTED_VALUE"""),"SC-260904-102348")</f>
        <v>SC-260904-102348</v>
      </c>
      <c r="C338" s="62">
        <f ca="1">IFERROR(__xludf.DUMMYFUNCTION("""COMPUTED_VALUE"""),46269.4331944444)</f>
        <v>46269.433194444398</v>
      </c>
      <c r="D338" s="30">
        <f ca="1">IFERROR(__xludf.DUMMYFUNCTION("""COMPUTED_VALUE"""),92)</f>
        <v>92</v>
      </c>
      <c r="E338" s="30" t="str">
        <f ca="1">IFERROR(__xludf.DUMMYFUNCTION("""COMPUTED_VALUE"""),"PB3572")</f>
        <v>PB3572</v>
      </c>
      <c r="F33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3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38" s="30" t="str">
        <f ca="1">IFERROR(__xludf.DUMMYFUNCTION("""COMPUTED_VALUE"""),"SUBSECRETARÍA DE DESARROLLO Y PROMOCIÓN ARTÍSTICA Y CULTURAL")</f>
        <v>SUBSECRETARÍA DE DESARROLLO Y PROMOCIÓN ARTÍSTICA Y CULTURAL</v>
      </c>
      <c r="I338" s="34" t="str">
        <f ca="1">IFERROR(__xludf.DUMMYFUNCTION("""COMPUTED_VALUE"""),"DIRECCIÓN GENERAL DE MUSEOS, ARTES VISUALES Y EXPOSICIONES")</f>
        <v>DIRECCIÓN GENERAL DE MUSEOS, ARTES VISUALES Y EXPOSICIONES</v>
      </c>
      <c r="J338" s="30" t="str">
        <f ca="1">IFERROR(__xludf.DUMMYFUNCTION("""COMPUTED_VALUE"""),"Número de Actividades realizadas")</f>
        <v>Número de Actividades realizadas</v>
      </c>
      <c r="K338" s="30">
        <f ca="1">IFERROR(__xludf.DUMMYFUNCTION("""COMPUTED_VALUE"""),800)</f>
        <v>800</v>
      </c>
      <c r="L338" s="30" t="str">
        <f ca="1">IFERROR(__xludf.DUMMYFUNCTION("""COMPUTED_VALUE"""),"Artística")</f>
        <v>Artística</v>
      </c>
      <c r="M338" s="30" t="str">
        <f ca="1">IFERROR(__xludf.DUMMYFUNCTION("""COMPUTED_VALUE"""),"Taller de inclusivo: El paisaje entre las manos.")</f>
        <v>Taller de inclusivo: El paisaje entre las manos.</v>
      </c>
      <c r="N338" s="30" t="str">
        <f ca="1">IFERROR(__xludf.DUMMYFUNCTION("""COMPUTED_VALUE"""),"Representación de un paisaje a través de la exploración de texturas, olores y sensaciones, privilegiando el sentido del tacto.")</f>
        <v>Representación de un paisaje a través de la exploración de texturas, olores y sensaciones, privilegiando el sentido del tacto.</v>
      </c>
      <c r="O338" s="30" t="str">
        <f ca="1">IFERROR(__xludf.DUMMYFUNCTION("""COMPUTED_VALUE"""),"Única")</f>
        <v>Única</v>
      </c>
      <c r="P338" s="33">
        <f ca="1">IFERROR(__xludf.DUMMYFUNCTION("""COMPUTED_VALUE"""),46235)</f>
        <v>46235</v>
      </c>
      <c r="Q338" s="33">
        <f ca="1">IFERROR(__xludf.DUMMYFUNCTION("""COMPUTED_VALUE"""),46235)</f>
        <v>46235</v>
      </c>
      <c r="R338" s="30">
        <f ca="1">IFERROR(__xludf.DUMMYFUNCTION("""COMPUTED_VALUE"""),1)</f>
        <v>1</v>
      </c>
      <c r="S338" s="30" t="str">
        <f ca="1">IFERROR(__xludf.DUMMYFUNCTION("""COMPUTED_VALUE"""),"Cultura comunitaria")</f>
        <v>Cultura comunitaria</v>
      </c>
      <c r="T338" s="30" t="str">
        <f ca="1">IFERROR(__xludf.DUMMYFUNCTION("""COMPUTED_VALUE"""),"Formación comunitaria")</f>
        <v>Formación comunitaria</v>
      </c>
      <c r="U338" s="30" t="str">
        <f ca="1">IFERROR(__xludf.DUMMYFUNCTION("""COMPUTED_VALUE"""),"Taller")</f>
        <v>Taller</v>
      </c>
      <c r="V338" s="30" t="str">
        <f ca="1">IFERROR(__xludf.DUMMYFUNCTION("""COMPUTED_VALUE"""),"Ninguna")</f>
        <v>Ninguna</v>
      </c>
      <c r="W338" s="30" t="str">
        <f ca="1">IFERROR(__xludf.DUMMYFUNCTION("""COMPUTED_VALUE"""),"Presencial")</f>
        <v>Presencial</v>
      </c>
      <c r="X338" s="30" t="str">
        <f ca="1">IFERROR(__xludf.DUMMYFUNCTION("""COMPUTED_VALUE"""),"Espacio a Cargo de la Secretaría")</f>
        <v>Espacio a Cargo de la Secretaría</v>
      </c>
      <c r="Y338" s="30" t="str">
        <f ca="1">IFERROR(__xludf.DUMMYFUNCTION("""COMPUTED_VALUE"""),"Museo Casa Diego Rivera")</f>
        <v>Museo Casa Diego Rivera</v>
      </c>
      <c r="Z338" s="30"/>
      <c r="AA338" s="30"/>
      <c r="AB338" s="30" t="b">
        <f ca="1">IFERROR(__xludf.DUMMYFUNCTION("""COMPUTED_VALUE"""),FALSE)</f>
        <v>0</v>
      </c>
      <c r="AC338" s="30"/>
      <c r="AD338" s="30" t="b">
        <f ca="1">IFERROR(__xludf.DUMMYFUNCTION("""COMPUTED_VALUE"""),FALSE)</f>
        <v>0</v>
      </c>
      <c r="AE338" s="30"/>
      <c r="AF338" s="30" t="b">
        <f ca="1">IFERROR(__xludf.DUMMYFUNCTION("""COMPUTED_VALUE"""),FALSE)</f>
        <v>0</v>
      </c>
      <c r="AG338" s="30"/>
      <c r="AH338" s="30" t="str">
        <f ca="1">IFERROR(__xludf.DUMMYFUNCTION("""COMPUTED_VALUE"""),"Sin costo")</f>
        <v>Sin costo</v>
      </c>
      <c r="AI338" s="30"/>
      <c r="AJ338" s="30"/>
      <c r="AK338" s="30"/>
      <c r="AL338" s="30" t="str">
        <f ca="1">IFERROR(__xludf.DUMMYFUNCTION("""COMPUTED_VALUE"""),"ccardonav@guanajuato.gob.mx")</f>
        <v>ccardonav@guanajuato.gob.mx</v>
      </c>
      <c r="AM338" s="30" t="str">
        <f ca="1">IFERROR(__xludf.DUMMYFUNCTION("""COMPUTED_VALUE"""),"Arraigo y empoderamiento cultural de comunidades.")</f>
        <v>Arraigo y empoderamiento cultural de comunidades.</v>
      </c>
      <c r="AN338" s="30" t="str">
        <f ca="1">IFERROR(__xludf.DUMMYFUNCTION("""COMPUTED_VALUE"""),"1 Tranquilidad")</f>
        <v>1 Tranquilidad</v>
      </c>
      <c r="AO338" s="30" t="str">
        <f ca="1">IFERROR(__xludf.DUMMYFUNCTION("""COMPUTED_VALUE"""),"1.2 Fortalecer prevención del delito")</f>
        <v>1.2 Fortalecer prevención del delito</v>
      </c>
      <c r="AP338" s="30" t="str">
        <f ca="1">IFERROR(__xludf.DUMMYFUNCTION("""COMPUTED_VALUE"""),"1.2.2 Fortalecimiento del tejido social")</f>
        <v>1.2.2 Fortalecimiento del tejido social</v>
      </c>
      <c r="AQ338" s="30" t="str">
        <f ca="1">IFERROR(__xludf.DUMMYFUNCTION("""COMPUTED_VALUE"""),"1.2.3.4 Promover una cultura de paz desde las expresiones artísticas y culturales")</f>
        <v>1.2.3.4 Promover una cultura de paz desde las expresiones artísticas y culturales</v>
      </c>
      <c r="AR338" s="30" t="str">
        <f ca="1">IFERROR(__xludf.DUMMYFUNCTION("""COMPUTED_VALUE"""),"Cooperación")</f>
        <v>Cooperación</v>
      </c>
      <c r="AS338" s="30"/>
      <c r="AT338" s="30" t="str">
        <f ca="1">IFERROR(__xludf.DUMMYFUNCTION("""COMPUTED_VALUE"""),"Fortalecimiento de la participación ciudadana y la mediación cultural")</f>
        <v>Fortalecimiento de la participación ciudadana y la mediación cultural</v>
      </c>
      <c r="AU338" s="30" t="str">
        <f ca="1">IFERROR(__xludf.DUMMYFUNCTION("""COMPUTED_VALUE"""),"Impulso a la ampliación de la oferta cultural en los territorios.")</f>
        <v>Impulso a la ampliación de la oferta cultural en los territorios.</v>
      </c>
      <c r="AV33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38" s="30" t="str">
        <f ca="1">IFERROR(__xludf.DUMMYFUNCTION("""COMPUTED_VALUE"""),"Incrementar en 25% la oferta cultural realizada en los municipios.")</f>
        <v>Incrementar en 25% la oferta cultural realizada en los municipios.</v>
      </c>
      <c r="AX338" s="30" t="str">
        <f ca="1">IFERROR(__xludf.DUMMYFUNCTION("""COMPUTED_VALUE"""),"Taller")</f>
        <v>Taller</v>
      </c>
      <c r="AY338" s="30" t="str">
        <f ca="1">IFERROR(__xludf.DUMMYFUNCTION("""COMPUTED_VALUE"""),"Formación")</f>
        <v>Formación</v>
      </c>
      <c r="AZ338" s="30" t="str">
        <f ca="1">IFERROR(__xludf.DUMMYFUNCTION("""COMPUTED_VALUE"""),"Formación")</f>
        <v>Formación</v>
      </c>
      <c r="BA338" s="30"/>
      <c r="BB338" s="30"/>
      <c r="BC338" s="30">
        <f ca="1">IFERROR(__xludf.DUMMYFUNCTION("""COMPUTED_VALUE"""),0)</f>
        <v>0</v>
      </c>
      <c r="BD338" s="30"/>
      <c r="BE338" s="30"/>
      <c r="BF338" s="30" t="b">
        <f ca="1">IFERROR(__xludf.DUMMYFUNCTION("""COMPUTED_VALUE"""),FALSE)</f>
        <v>0</v>
      </c>
      <c r="BG338" s="30"/>
      <c r="BH338" s="30"/>
      <c r="BI338" s="30"/>
      <c r="BJ338" s="30"/>
      <c r="BK338" s="30"/>
      <c r="BL338" s="30"/>
      <c r="BM338" s="30" t="str">
        <f ca="1">IFERROR(__xludf.DUMMYFUNCTION("""COMPUTED_VALUE"""),"No")</f>
        <v>No</v>
      </c>
      <c r="BN338" s="30"/>
      <c r="BO338" s="30" t="str">
        <f ca="1">IFERROR(__xludf.DUMMYFUNCTION("""COMPUTED_VALUE"""),"2afb1b26")</f>
        <v>2afb1b26</v>
      </c>
      <c r="BP338" s="29" t="str">
        <f ca="1">IFERROR(__xludf.DUMMYFUNCTION("""COMPUTED_VALUE"""),"Guanajuato")</f>
        <v>Guanajuato</v>
      </c>
      <c r="BQ338" s="30" t="str">
        <f ca="1">IFERROR(__xludf.DUMMYFUNCTION("""COMPUTED_VALUE"""),"Urbano")</f>
        <v>Urbano</v>
      </c>
      <c r="BR338" s="30"/>
      <c r="BS338" s="30" t="str">
        <f ca="1">IFERROR(__xludf.DUMMYFUNCTION("""COMPUTED_VALUE"""),"Zona centro")</f>
        <v>Zona centro</v>
      </c>
      <c r="BT338" s="30"/>
      <c r="BU338" s="30" t="str">
        <f ca="1">IFERROR(__xludf.DUMMYFUNCTION("""COMPUTED_VALUE"""),"No")</f>
        <v>No</v>
      </c>
      <c r="BV338" s="30" t="str">
        <f ca="1">IFERROR(__xludf.DUMMYFUNCTION("""COMPUTED_VALUE"""),"No")</f>
        <v>No</v>
      </c>
      <c r="BW338" s="30">
        <f ca="1">IFERROR(__xludf.DUMMYFUNCTION("""COMPUTED_VALUE"""),15)</f>
        <v>15</v>
      </c>
      <c r="BX338" s="30">
        <f ca="1">IFERROR(__xludf.DUMMYFUNCTION("""COMPUTED_VALUE"""),15)</f>
        <v>15</v>
      </c>
      <c r="BY338" s="30">
        <f ca="1">IFERROR(__xludf.DUMMYFUNCTION("""COMPUTED_VALUE"""),0)</f>
        <v>0</v>
      </c>
      <c r="BZ338" s="30" t="str">
        <f ca="1">IFERROR(__xludf.DUMMYFUNCTION("""COMPUTED_VALUE"""),"Zona centro")</f>
        <v>Zona centro</v>
      </c>
      <c r="CA338" s="30" t="str">
        <f ca="1">IFERROR(__xludf.DUMMYFUNCTION("""COMPUTED_VALUE"""),"No")</f>
        <v>No</v>
      </c>
      <c r="CB338" s="30" t="str">
        <f ca="1">IFERROR(__xludf.DUMMYFUNCTION("""COMPUTED_VALUE"""),"No")</f>
        <v>No</v>
      </c>
      <c r="CC338" s="30" t="str">
        <f ca="1">IFERROR(__xludf.DUMMYFUNCTION("""COMPUTED_VALUE"""),"0d96479e")</f>
        <v>0d96479e</v>
      </c>
      <c r="CD338" s="29" t="str">
        <f ca="1">IFERROR(__xludf.DUMMYFUNCTION("""COMPUTED_VALUE"""),"Adultos (30 a 59 años)")</f>
        <v>Adultos (30 a 59 años)</v>
      </c>
      <c r="CE338" s="30" t="str">
        <f ca="1">IFERROR(__xludf.DUMMYFUNCTION("""COMPUTED_VALUE"""),"Dato global")</f>
        <v>Dato global</v>
      </c>
      <c r="CF338" s="30" t="str">
        <f ca="1">IFERROR(__xludf.DUMMYFUNCTION("""COMPUTED_VALUE"""),"Ninguno (Población General)")</f>
        <v>Ninguno (Población General)</v>
      </c>
      <c r="CG338" s="30">
        <f ca="1">IFERROR(__xludf.DUMMYFUNCTION("""COMPUTED_VALUE"""),25)</f>
        <v>25</v>
      </c>
      <c r="CJ338" s="29"/>
      <c r="CM338" s="30" t="str">
        <f ca="1">IFERROR(__xludf.DUMMYFUNCTION("""COMPUTED_VALUE"""),"Guanajuato")</f>
        <v>Guanajuato</v>
      </c>
      <c r="CN338" s="32" t="e">
        <f ca="1"/>
        <v>#NAME?</v>
      </c>
      <c r="CO338" s="32" t="e">
        <f ca="1"/>
        <v>#NAME?</v>
      </c>
      <c r="CP338" s="32" t="e">
        <f ca="1"/>
        <v>#NAME?</v>
      </c>
      <c r="CQ338" s="32" t="e">
        <f ca="1"/>
        <v>#NAME?</v>
      </c>
      <c r="CR338" s="30" t="e">
        <f ca="1"/>
        <v>#NAME?</v>
      </c>
      <c r="CS338" s="30" t="str">
        <f ca="1">IFERROR(__xludf.DUMMYFUNCTION("""COMPUTED_VALUE"""),"Ninguno (Población General)")</f>
        <v>Ninguno (Población General)</v>
      </c>
    </row>
    <row r="339" spans="1:97" ht="13">
      <c r="A339" s="29" t="str">
        <f ca="1">IFERROR(__xludf.DUMMYFUNCTION("""COMPUTED_VALUE"""),"ACT-SCHD32027")</f>
        <v>ACT-SCHD32027</v>
      </c>
      <c r="B339" s="30" t="str">
        <f ca="1">IFERROR(__xludf.DUMMYFUNCTION("""COMPUTED_VALUE"""),"SC-260904-104122")</f>
        <v>SC-260904-104122</v>
      </c>
      <c r="C339" s="62">
        <f ca="1">IFERROR(__xludf.DUMMYFUNCTION("""COMPUTED_VALUE"""),46269.4453935185)</f>
        <v>46269.445393518501</v>
      </c>
      <c r="D339" s="30">
        <f ca="1">IFERROR(__xludf.DUMMYFUNCTION("""COMPUTED_VALUE"""),92)</f>
        <v>92</v>
      </c>
      <c r="E339" s="30" t="str">
        <f ca="1">IFERROR(__xludf.DUMMYFUNCTION("""COMPUTED_VALUE"""),"PB3572")</f>
        <v>PB3572</v>
      </c>
      <c r="F33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3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39" s="30" t="str">
        <f ca="1">IFERROR(__xludf.DUMMYFUNCTION("""COMPUTED_VALUE"""),"SUBSECRETARÍA DE DESARROLLO Y PROMOCIÓN ARTÍSTICA Y CULTURAL")</f>
        <v>SUBSECRETARÍA DE DESARROLLO Y PROMOCIÓN ARTÍSTICA Y CULTURAL</v>
      </c>
      <c r="I339" s="34" t="str">
        <f ca="1">IFERROR(__xludf.DUMMYFUNCTION("""COMPUTED_VALUE"""),"DIRECCIÓN GENERAL DE MUSEOS, ARTES VISUALES Y EXPOSICIONES")</f>
        <v>DIRECCIÓN GENERAL DE MUSEOS, ARTES VISUALES Y EXPOSICIONES</v>
      </c>
      <c r="J339" s="30" t="str">
        <f ca="1">IFERROR(__xludf.DUMMYFUNCTION("""COMPUTED_VALUE"""),"Número de Actividades realizadas")</f>
        <v>Número de Actividades realizadas</v>
      </c>
      <c r="K339" s="30">
        <f ca="1">IFERROR(__xludf.DUMMYFUNCTION("""COMPUTED_VALUE"""),800)</f>
        <v>800</v>
      </c>
      <c r="L339" s="30" t="str">
        <f ca="1">IFERROR(__xludf.DUMMYFUNCTION("""COMPUTED_VALUE"""),"Artística")</f>
        <v>Artística</v>
      </c>
      <c r="M339" s="30" t="str">
        <f ca="1">IFERROR(__xludf.DUMMYFUNCTION("""COMPUTED_VALUE"""),"Talleres familiares de verano: Paisajes que cuentan historias.")</f>
        <v>Talleres familiares de verano: Paisajes que cuentan historias.</v>
      </c>
      <c r="N339" s="30" t="str">
        <f ca="1">IFERROR(__xludf.DUMMYFUNCTION("""COMPUTED_VALUE"""),"Las y los participantes descubren cómo los paisajes pueden expresar recuerdos, emociones y experiencias")</f>
        <v>Las y los participantes descubren cómo los paisajes pueden expresar recuerdos, emociones y experiencias</v>
      </c>
      <c r="O339" s="30" t="str">
        <f ca="1">IFERROR(__xludf.DUMMYFUNCTION("""COMPUTED_VALUE"""),"Única")</f>
        <v>Única</v>
      </c>
      <c r="P339" s="33">
        <f ca="1">IFERROR(__xludf.DUMMYFUNCTION("""COMPUTED_VALUE"""),46235)</f>
        <v>46235</v>
      </c>
      <c r="Q339" s="33">
        <f ca="1">IFERROR(__xludf.DUMMYFUNCTION("""COMPUTED_VALUE"""),46235)</f>
        <v>46235</v>
      </c>
      <c r="R339" s="30">
        <f ca="1">IFERROR(__xludf.DUMMYFUNCTION("""COMPUTED_VALUE"""),1)</f>
        <v>1</v>
      </c>
      <c r="S339" s="30" t="str">
        <f ca="1">IFERROR(__xludf.DUMMYFUNCTION("""COMPUTED_VALUE"""),"Cultura comunitaria")</f>
        <v>Cultura comunitaria</v>
      </c>
      <c r="T339" s="30" t="str">
        <f ca="1">IFERROR(__xludf.DUMMYFUNCTION("""COMPUTED_VALUE"""),"Formación comunitaria")</f>
        <v>Formación comunitaria</v>
      </c>
      <c r="U339" s="30" t="str">
        <f ca="1">IFERROR(__xludf.DUMMYFUNCTION("""COMPUTED_VALUE"""),"Taller")</f>
        <v>Taller</v>
      </c>
      <c r="V339" s="30" t="str">
        <f ca="1">IFERROR(__xludf.DUMMYFUNCTION("""COMPUTED_VALUE"""),"Ninguna")</f>
        <v>Ninguna</v>
      </c>
      <c r="W339" s="30" t="str">
        <f ca="1">IFERROR(__xludf.DUMMYFUNCTION("""COMPUTED_VALUE"""),"Presencial")</f>
        <v>Presencial</v>
      </c>
      <c r="X339" s="30" t="str">
        <f ca="1">IFERROR(__xludf.DUMMYFUNCTION("""COMPUTED_VALUE"""),"Espacio a Cargo de la Secretaría")</f>
        <v>Espacio a Cargo de la Secretaría</v>
      </c>
      <c r="Y339" s="30" t="str">
        <f ca="1">IFERROR(__xludf.DUMMYFUNCTION("""COMPUTED_VALUE"""),"Museo Casa Diego Rivera")</f>
        <v>Museo Casa Diego Rivera</v>
      </c>
      <c r="Z339" s="30"/>
      <c r="AA339" s="30"/>
      <c r="AB339" s="30" t="b">
        <f ca="1">IFERROR(__xludf.DUMMYFUNCTION("""COMPUTED_VALUE"""),FALSE)</f>
        <v>0</v>
      </c>
      <c r="AC339" s="30"/>
      <c r="AD339" s="30" t="b">
        <f ca="1">IFERROR(__xludf.DUMMYFUNCTION("""COMPUTED_VALUE"""),FALSE)</f>
        <v>0</v>
      </c>
      <c r="AE339" s="30"/>
      <c r="AF339" s="30" t="b">
        <f ca="1">IFERROR(__xludf.DUMMYFUNCTION("""COMPUTED_VALUE"""),FALSE)</f>
        <v>0</v>
      </c>
      <c r="AG339" s="30"/>
      <c r="AH339" s="30" t="str">
        <f ca="1">IFERROR(__xludf.DUMMYFUNCTION("""COMPUTED_VALUE"""),"Sin costo")</f>
        <v>Sin costo</v>
      </c>
      <c r="AI339" s="30"/>
      <c r="AJ339" s="30"/>
      <c r="AK339" s="30"/>
      <c r="AL339" s="30" t="str">
        <f ca="1">IFERROR(__xludf.DUMMYFUNCTION("""COMPUTED_VALUE"""),"ccardonav@guanajuato.gob.mx")</f>
        <v>ccardonav@guanajuato.gob.mx</v>
      </c>
      <c r="AM339" s="30" t="str">
        <f ca="1">IFERROR(__xludf.DUMMYFUNCTION("""COMPUTED_VALUE"""),"Arraigo y empoderamiento cultural de comunidades.")</f>
        <v>Arraigo y empoderamiento cultural de comunidades.</v>
      </c>
      <c r="AN339" s="30" t="str">
        <f ca="1">IFERROR(__xludf.DUMMYFUNCTION("""COMPUTED_VALUE"""),"1 Tranquilidad")</f>
        <v>1 Tranquilidad</v>
      </c>
      <c r="AO339" s="30" t="str">
        <f ca="1">IFERROR(__xludf.DUMMYFUNCTION("""COMPUTED_VALUE"""),"1.2 Fortalecer prevención del delito")</f>
        <v>1.2 Fortalecer prevención del delito</v>
      </c>
      <c r="AP339" s="30" t="str">
        <f ca="1">IFERROR(__xludf.DUMMYFUNCTION("""COMPUTED_VALUE"""),"1.2.2 Fortalecimiento del tejido social")</f>
        <v>1.2.2 Fortalecimiento del tejido social</v>
      </c>
      <c r="AQ339" s="30" t="str">
        <f ca="1">IFERROR(__xludf.DUMMYFUNCTION("""COMPUTED_VALUE"""),"1.2.3.4 Promover una cultura de paz desde las expresiones artísticas y culturales")</f>
        <v>1.2.3.4 Promover una cultura de paz desde las expresiones artísticas y culturales</v>
      </c>
      <c r="AR339" s="30" t="str">
        <f ca="1">IFERROR(__xludf.DUMMYFUNCTION("""COMPUTED_VALUE"""),"Cooperación")</f>
        <v>Cooperación</v>
      </c>
      <c r="AS339" s="30"/>
      <c r="AT339" s="30" t="str">
        <f ca="1">IFERROR(__xludf.DUMMYFUNCTION("""COMPUTED_VALUE"""),"Fortalecimiento de la participación ciudadana y la mediación cultural")</f>
        <v>Fortalecimiento de la participación ciudadana y la mediación cultural</v>
      </c>
      <c r="AU339" s="30" t="str">
        <f ca="1">IFERROR(__xludf.DUMMYFUNCTION("""COMPUTED_VALUE"""),"Impulso a la ampliación de la oferta cultural en los territorios.")</f>
        <v>Impulso a la ampliación de la oferta cultural en los territorios.</v>
      </c>
      <c r="AV33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39" s="30" t="str">
        <f ca="1">IFERROR(__xludf.DUMMYFUNCTION("""COMPUTED_VALUE"""),"Incrementar en 25% la oferta cultural realizada en los municipios.")</f>
        <v>Incrementar en 25% la oferta cultural realizada en los municipios.</v>
      </c>
      <c r="AX339" s="30" t="str">
        <f ca="1">IFERROR(__xludf.DUMMYFUNCTION("""COMPUTED_VALUE"""),"Taller")</f>
        <v>Taller</v>
      </c>
      <c r="AY339" s="30" t="str">
        <f ca="1">IFERROR(__xludf.DUMMYFUNCTION("""COMPUTED_VALUE"""),"Formación")</f>
        <v>Formación</v>
      </c>
      <c r="AZ339" s="30" t="str">
        <f ca="1">IFERROR(__xludf.DUMMYFUNCTION("""COMPUTED_VALUE"""),"Formación")</f>
        <v>Formación</v>
      </c>
      <c r="BA339" s="30"/>
      <c r="BB339" s="30"/>
      <c r="BC339" s="30">
        <f ca="1">IFERROR(__xludf.DUMMYFUNCTION("""COMPUTED_VALUE"""),0)</f>
        <v>0</v>
      </c>
      <c r="BD339" s="30"/>
      <c r="BE339" s="30"/>
      <c r="BF339" s="30" t="b">
        <f ca="1">IFERROR(__xludf.DUMMYFUNCTION("""COMPUTED_VALUE"""),FALSE)</f>
        <v>0</v>
      </c>
      <c r="BG339" s="30"/>
      <c r="BH339" s="30"/>
      <c r="BI339" s="30"/>
      <c r="BJ339" s="30"/>
      <c r="BK339" s="30"/>
      <c r="BL339" s="30"/>
      <c r="BM339" s="30" t="str">
        <f ca="1">IFERROR(__xludf.DUMMYFUNCTION("""COMPUTED_VALUE"""),"No")</f>
        <v>No</v>
      </c>
      <c r="BN339" s="30"/>
      <c r="BO339" s="30" t="str">
        <f ca="1">IFERROR(__xludf.DUMMYFUNCTION("""COMPUTED_VALUE"""),"781b65d5")</f>
        <v>781b65d5</v>
      </c>
      <c r="BP339" s="29" t="str">
        <f ca="1">IFERROR(__xludf.DUMMYFUNCTION("""COMPUTED_VALUE"""),"Guanajuato")</f>
        <v>Guanajuato</v>
      </c>
      <c r="BQ339" s="30" t="str">
        <f ca="1">IFERROR(__xludf.DUMMYFUNCTION("""COMPUTED_VALUE"""),"Urbano")</f>
        <v>Urbano</v>
      </c>
      <c r="BR339" s="30"/>
      <c r="BS339" s="30" t="str">
        <f ca="1">IFERROR(__xludf.DUMMYFUNCTION("""COMPUTED_VALUE"""),"Zona centro")</f>
        <v>Zona centro</v>
      </c>
      <c r="BT339" s="30"/>
      <c r="BU339" s="30" t="str">
        <f ca="1">IFERROR(__xludf.DUMMYFUNCTION("""COMPUTED_VALUE"""),"No")</f>
        <v>No</v>
      </c>
      <c r="BV339" s="30" t="str">
        <f ca="1">IFERROR(__xludf.DUMMYFUNCTION("""COMPUTED_VALUE"""),"No")</f>
        <v>No</v>
      </c>
      <c r="BW339" s="30">
        <f ca="1">IFERROR(__xludf.DUMMYFUNCTION("""COMPUTED_VALUE"""),13)</f>
        <v>13</v>
      </c>
      <c r="BX339" s="30">
        <f ca="1">IFERROR(__xludf.DUMMYFUNCTION("""COMPUTED_VALUE"""),13)</f>
        <v>13</v>
      </c>
      <c r="BY339" s="30">
        <f ca="1">IFERROR(__xludf.DUMMYFUNCTION("""COMPUTED_VALUE"""),0)</f>
        <v>0</v>
      </c>
      <c r="BZ339" s="30" t="str">
        <f ca="1">IFERROR(__xludf.DUMMYFUNCTION("""COMPUTED_VALUE"""),"Zona centro")</f>
        <v>Zona centro</v>
      </c>
      <c r="CA339" s="30" t="str">
        <f ca="1">IFERROR(__xludf.DUMMYFUNCTION("""COMPUTED_VALUE"""),"No")</f>
        <v>No</v>
      </c>
      <c r="CB339" s="30" t="str">
        <f ca="1">IFERROR(__xludf.DUMMYFUNCTION("""COMPUTED_VALUE"""),"No")</f>
        <v>No</v>
      </c>
      <c r="CC339" s="30" t="str">
        <f ca="1">IFERROR(__xludf.DUMMYFUNCTION("""COMPUTED_VALUE"""),"ee8e5d7d")</f>
        <v>ee8e5d7d</v>
      </c>
      <c r="CD339" s="29" t="str">
        <f ca="1">IFERROR(__xludf.DUMMYFUNCTION("""COMPUTED_VALUE"""),"Niñas y Niños (6 a 12 años)")</f>
        <v>Niñas y Niños (6 a 12 años)</v>
      </c>
      <c r="CE339" s="30" t="str">
        <f ca="1">IFERROR(__xludf.DUMMYFUNCTION("""COMPUTED_VALUE"""),"Dato global")</f>
        <v>Dato global</v>
      </c>
      <c r="CF339" s="30" t="str">
        <f ca="1">IFERROR(__xludf.DUMMYFUNCTION("""COMPUTED_VALUE"""),"Ninguno (Población General)")</f>
        <v>Ninguno (Población General)</v>
      </c>
      <c r="CG339" s="30">
        <f ca="1">IFERROR(__xludf.DUMMYFUNCTION("""COMPUTED_VALUE"""),82)</f>
        <v>82</v>
      </c>
      <c r="CJ339" s="29"/>
      <c r="CM339" s="30" t="str">
        <f ca="1">IFERROR(__xludf.DUMMYFUNCTION("""COMPUTED_VALUE"""),"Guanajuato")</f>
        <v>Guanajuato</v>
      </c>
      <c r="CN339" s="32" t="e">
        <f ca="1"/>
        <v>#NAME?</v>
      </c>
      <c r="CO339" s="32" t="e">
        <f ca="1"/>
        <v>#NAME?</v>
      </c>
      <c r="CP339" s="32" t="e">
        <f ca="1"/>
        <v>#NAME?</v>
      </c>
      <c r="CQ339" s="32" t="e">
        <f ca="1"/>
        <v>#NAME?</v>
      </c>
      <c r="CR339" s="30" t="e">
        <f ca="1"/>
        <v>#NAME?</v>
      </c>
      <c r="CS339" s="30" t="str">
        <f ca="1">IFERROR(__xludf.DUMMYFUNCTION("""COMPUTED_VALUE"""),"Ninguno (Población General)")</f>
        <v>Ninguno (Población General)</v>
      </c>
    </row>
    <row r="340" spans="1:97" ht="13">
      <c r="A340" s="29" t="str">
        <f ca="1">IFERROR(__xludf.DUMMYFUNCTION("""COMPUTED_VALUE"""),"ACT-SCTH51490")</f>
        <v>ACT-SCTH51490</v>
      </c>
      <c r="B340" s="30" t="str">
        <f ca="1">IFERROR(__xludf.DUMMYFUNCTION("""COMPUTED_VALUE"""),"SC-260904-105217")</f>
        <v>SC-260904-105217</v>
      </c>
      <c r="C340" s="62">
        <f ca="1">IFERROR(__xludf.DUMMYFUNCTION("""COMPUTED_VALUE"""),46269.452974537)</f>
        <v>46269.452974537002</v>
      </c>
      <c r="D340" s="30">
        <f ca="1">IFERROR(__xludf.DUMMYFUNCTION("""COMPUTED_VALUE"""),92)</f>
        <v>92</v>
      </c>
      <c r="E340" s="30" t="str">
        <f ca="1">IFERROR(__xludf.DUMMYFUNCTION("""COMPUTED_VALUE"""),"PB3572")</f>
        <v>PB3572</v>
      </c>
      <c r="F34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0" s="30" t="str">
        <f ca="1">IFERROR(__xludf.DUMMYFUNCTION("""COMPUTED_VALUE"""),"SUBSECRETARÍA DE DESARROLLO Y PROMOCIÓN ARTÍSTICA Y CULTURAL")</f>
        <v>SUBSECRETARÍA DE DESARROLLO Y PROMOCIÓN ARTÍSTICA Y CULTURAL</v>
      </c>
      <c r="I340" s="34" t="str">
        <f ca="1">IFERROR(__xludf.DUMMYFUNCTION("""COMPUTED_VALUE"""),"DIRECCIÓN GENERAL DE MUSEOS, ARTES VISUALES Y EXPOSICIONES")</f>
        <v>DIRECCIÓN GENERAL DE MUSEOS, ARTES VISUALES Y EXPOSICIONES</v>
      </c>
      <c r="J340" s="30" t="str">
        <f ca="1">IFERROR(__xludf.DUMMYFUNCTION("""COMPUTED_VALUE"""),"Número de Actividades realizadas")</f>
        <v>Número de Actividades realizadas</v>
      </c>
      <c r="K340" s="30">
        <f ca="1">IFERROR(__xludf.DUMMYFUNCTION("""COMPUTED_VALUE"""),800)</f>
        <v>800</v>
      </c>
      <c r="L340" s="30" t="str">
        <f ca="1">IFERROR(__xludf.DUMMYFUNCTION("""COMPUTED_VALUE"""),"Artística")</f>
        <v>Artística</v>
      </c>
      <c r="M340" s="30" t="str">
        <f ca="1">IFERROR(__xludf.DUMMYFUNCTION("""COMPUTED_VALUE"""),"Talleres familiares de verano: Paisajes que cuentan historias.")</f>
        <v>Talleres familiares de verano: Paisajes que cuentan historias.</v>
      </c>
      <c r="N340" s="30" t="str">
        <f ca="1">IFERROR(__xludf.DUMMYFUNCTION("""COMPUTED_VALUE"""),"Las y los participantes descubren cómo los paisajes pueden expresar recuerdos, emociones y experiencias")</f>
        <v>Las y los participantes descubren cómo los paisajes pueden expresar recuerdos, emociones y experiencias</v>
      </c>
      <c r="O340" s="30" t="str">
        <f ca="1">IFERROR(__xludf.DUMMYFUNCTION("""COMPUTED_VALUE"""),"Única")</f>
        <v>Única</v>
      </c>
      <c r="P340" s="33">
        <f ca="1">IFERROR(__xludf.DUMMYFUNCTION("""COMPUTED_VALUE"""),46236)</f>
        <v>46236</v>
      </c>
      <c r="Q340" s="33">
        <f ca="1">IFERROR(__xludf.DUMMYFUNCTION("""COMPUTED_VALUE"""),46236)</f>
        <v>46236</v>
      </c>
      <c r="R340" s="30">
        <f ca="1">IFERROR(__xludf.DUMMYFUNCTION("""COMPUTED_VALUE"""),1)</f>
        <v>1</v>
      </c>
      <c r="S340" s="30" t="str">
        <f ca="1">IFERROR(__xludf.DUMMYFUNCTION("""COMPUTED_VALUE"""),"Cultura comunitaria")</f>
        <v>Cultura comunitaria</v>
      </c>
      <c r="T340" s="30" t="str">
        <f ca="1">IFERROR(__xludf.DUMMYFUNCTION("""COMPUTED_VALUE"""),"Formación comunitaria")</f>
        <v>Formación comunitaria</v>
      </c>
      <c r="U340" s="30" t="str">
        <f ca="1">IFERROR(__xludf.DUMMYFUNCTION("""COMPUTED_VALUE"""),"Taller")</f>
        <v>Taller</v>
      </c>
      <c r="V340" s="30" t="str">
        <f ca="1">IFERROR(__xludf.DUMMYFUNCTION("""COMPUTED_VALUE"""),"Ninguna")</f>
        <v>Ninguna</v>
      </c>
      <c r="W340" s="30" t="str">
        <f ca="1">IFERROR(__xludf.DUMMYFUNCTION("""COMPUTED_VALUE"""),"Presencial")</f>
        <v>Presencial</v>
      </c>
      <c r="X340" s="30" t="str">
        <f ca="1">IFERROR(__xludf.DUMMYFUNCTION("""COMPUTED_VALUE"""),"Espacio a Cargo de la Secretaría")</f>
        <v>Espacio a Cargo de la Secretaría</v>
      </c>
      <c r="Y340" s="30" t="str">
        <f ca="1">IFERROR(__xludf.DUMMYFUNCTION("""COMPUTED_VALUE"""),"Museo Casa Diego Rivera")</f>
        <v>Museo Casa Diego Rivera</v>
      </c>
      <c r="Z340" s="30"/>
      <c r="AA340" s="30"/>
      <c r="AB340" s="30" t="b">
        <f ca="1">IFERROR(__xludf.DUMMYFUNCTION("""COMPUTED_VALUE"""),FALSE)</f>
        <v>0</v>
      </c>
      <c r="AC340" s="30"/>
      <c r="AD340" s="30" t="b">
        <f ca="1">IFERROR(__xludf.DUMMYFUNCTION("""COMPUTED_VALUE"""),FALSE)</f>
        <v>0</v>
      </c>
      <c r="AE340" s="30"/>
      <c r="AF340" s="30" t="b">
        <f ca="1">IFERROR(__xludf.DUMMYFUNCTION("""COMPUTED_VALUE"""),FALSE)</f>
        <v>0</v>
      </c>
      <c r="AG340" s="30"/>
      <c r="AH340" s="30" t="str">
        <f ca="1">IFERROR(__xludf.DUMMYFUNCTION("""COMPUTED_VALUE"""),"Sin costo")</f>
        <v>Sin costo</v>
      </c>
      <c r="AI340" s="30"/>
      <c r="AJ340" s="30"/>
      <c r="AK340" s="30"/>
      <c r="AL340" s="30" t="str">
        <f ca="1">IFERROR(__xludf.DUMMYFUNCTION("""COMPUTED_VALUE"""),"ccardonav@guanajuato.gob.mx")</f>
        <v>ccardonav@guanajuato.gob.mx</v>
      </c>
      <c r="AM340" s="30" t="str">
        <f ca="1">IFERROR(__xludf.DUMMYFUNCTION("""COMPUTED_VALUE"""),"Arraigo y empoderamiento cultural de comunidades.")</f>
        <v>Arraigo y empoderamiento cultural de comunidades.</v>
      </c>
      <c r="AN340" s="30" t="str">
        <f ca="1">IFERROR(__xludf.DUMMYFUNCTION("""COMPUTED_VALUE"""),"1 Tranquilidad")</f>
        <v>1 Tranquilidad</v>
      </c>
      <c r="AO340" s="30" t="str">
        <f ca="1">IFERROR(__xludf.DUMMYFUNCTION("""COMPUTED_VALUE"""),"1.2 Fortalecer prevención del delito")</f>
        <v>1.2 Fortalecer prevención del delito</v>
      </c>
      <c r="AP340" s="30" t="str">
        <f ca="1">IFERROR(__xludf.DUMMYFUNCTION("""COMPUTED_VALUE"""),"1.2.2 Fortalecimiento del tejido social")</f>
        <v>1.2.2 Fortalecimiento del tejido social</v>
      </c>
      <c r="AQ340" s="30" t="str">
        <f ca="1">IFERROR(__xludf.DUMMYFUNCTION("""COMPUTED_VALUE"""),"1.2.3.4 Promover una cultura de paz desde las expresiones artísticas y culturales")</f>
        <v>1.2.3.4 Promover una cultura de paz desde las expresiones artísticas y culturales</v>
      </c>
      <c r="AR340" s="30" t="str">
        <f ca="1">IFERROR(__xludf.DUMMYFUNCTION("""COMPUTED_VALUE"""),"Cooperación")</f>
        <v>Cooperación</v>
      </c>
      <c r="AS340" s="30"/>
      <c r="AT340" s="30" t="str">
        <f ca="1">IFERROR(__xludf.DUMMYFUNCTION("""COMPUTED_VALUE"""),"Fortalecimiento de la participación ciudadana y la mediación cultural")</f>
        <v>Fortalecimiento de la participación ciudadana y la mediación cultural</v>
      </c>
      <c r="AU340" s="30" t="str">
        <f ca="1">IFERROR(__xludf.DUMMYFUNCTION("""COMPUTED_VALUE"""),"Impulso a la ampliación de la oferta cultural en los territorios.")</f>
        <v>Impulso a la ampliación de la oferta cultural en los territorios.</v>
      </c>
      <c r="AV34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40" s="30" t="str">
        <f ca="1">IFERROR(__xludf.DUMMYFUNCTION("""COMPUTED_VALUE"""),"Incrementar en 25% la oferta cultural realizada en los municipios.")</f>
        <v>Incrementar en 25% la oferta cultural realizada en los municipios.</v>
      </c>
      <c r="AX340" s="30" t="str">
        <f ca="1">IFERROR(__xludf.DUMMYFUNCTION("""COMPUTED_VALUE"""),"Taller")</f>
        <v>Taller</v>
      </c>
      <c r="AY340" s="30" t="str">
        <f ca="1">IFERROR(__xludf.DUMMYFUNCTION("""COMPUTED_VALUE"""),"Formación")</f>
        <v>Formación</v>
      </c>
      <c r="AZ340" s="30" t="str">
        <f ca="1">IFERROR(__xludf.DUMMYFUNCTION("""COMPUTED_VALUE"""),"Formación")</f>
        <v>Formación</v>
      </c>
      <c r="BA340" s="30"/>
      <c r="BB340" s="30"/>
      <c r="BC340" s="30">
        <f ca="1">IFERROR(__xludf.DUMMYFUNCTION("""COMPUTED_VALUE"""),0)</f>
        <v>0</v>
      </c>
      <c r="BD340" s="30"/>
      <c r="BE340" s="30"/>
      <c r="BF340" s="30" t="b">
        <f ca="1">IFERROR(__xludf.DUMMYFUNCTION("""COMPUTED_VALUE"""),FALSE)</f>
        <v>0</v>
      </c>
      <c r="BG340" s="30"/>
      <c r="BH340" s="30"/>
      <c r="BI340" s="30"/>
      <c r="BJ340" s="30"/>
      <c r="BK340" s="30"/>
      <c r="BL340" s="30"/>
      <c r="BM340" s="30" t="str">
        <f ca="1">IFERROR(__xludf.DUMMYFUNCTION("""COMPUTED_VALUE"""),"No")</f>
        <v>No</v>
      </c>
      <c r="BN340" s="30"/>
      <c r="BO340" s="30" t="str">
        <f ca="1">IFERROR(__xludf.DUMMYFUNCTION("""COMPUTED_VALUE"""),"f1a6e0f7")</f>
        <v>f1a6e0f7</v>
      </c>
      <c r="BP340" s="29" t="str">
        <f ca="1">IFERROR(__xludf.DUMMYFUNCTION("""COMPUTED_VALUE"""),"Guanajuato")</f>
        <v>Guanajuato</v>
      </c>
      <c r="BQ340" s="30" t="str">
        <f ca="1">IFERROR(__xludf.DUMMYFUNCTION("""COMPUTED_VALUE"""),"Urbano")</f>
        <v>Urbano</v>
      </c>
      <c r="BR340" s="30"/>
      <c r="BS340" s="30" t="str">
        <f ca="1">IFERROR(__xludf.DUMMYFUNCTION("""COMPUTED_VALUE"""),"Zona centro")</f>
        <v>Zona centro</v>
      </c>
      <c r="BT340" s="30"/>
      <c r="BU340" s="30" t="str">
        <f ca="1">IFERROR(__xludf.DUMMYFUNCTION("""COMPUTED_VALUE"""),"No")</f>
        <v>No</v>
      </c>
      <c r="BV340" s="30" t="str">
        <f ca="1">IFERROR(__xludf.DUMMYFUNCTION("""COMPUTED_VALUE"""),"No")</f>
        <v>No</v>
      </c>
      <c r="BW340" s="30">
        <f ca="1">IFERROR(__xludf.DUMMYFUNCTION("""COMPUTED_VALUE"""),3)</f>
        <v>3</v>
      </c>
      <c r="BX340" s="30">
        <f ca="1">IFERROR(__xludf.DUMMYFUNCTION("""COMPUTED_VALUE"""),3)</f>
        <v>3</v>
      </c>
      <c r="BY340" s="30">
        <f ca="1">IFERROR(__xludf.DUMMYFUNCTION("""COMPUTED_VALUE"""),0)</f>
        <v>0</v>
      </c>
      <c r="BZ340" s="30" t="str">
        <f ca="1">IFERROR(__xludf.DUMMYFUNCTION("""COMPUTED_VALUE"""),"Zona centro")</f>
        <v>Zona centro</v>
      </c>
      <c r="CA340" s="30" t="str">
        <f ca="1">IFERROR(__xludf.DUMMYFUNCTION("""COMPUTED_VALUE"""),"No")</f>
        <v>No</v>
      </c>
      <c r="CB340" s="30" t="str">
        <f ca="1">IFERROR(__xludf.DUMMYFUNCTION("""COMPUTED_VALUE"""),"No")</f>
        <v>No</v>
      </c>
      <c r="CC340" s="30" t="str">
        <f ca="1">IFERROR(__xludf.DUMMYFUNCTION("""COMPUTED_VALUE"""),"2b2d06a3")</f>
        <v>2b2d06a3</v>
      </c>
      <c r="CD340" s="29" t="str">
        <f ca="1">IFERROR(__xludf.DUMMYFUNCTION("""COMPUTED_VALUE"""),"Adultos (30 a 59 años)")</f>
        <v>Adultos (30 a 59 años)</v>
      </c>
      <c r="CE340" s="30" t="str">
        <f ca="1">IFERROR(__xludf.DUMMYFUNCTION("""COMPUTED_VALUE"""),"Dato global")</f>
        <v>Dato global</v>
      </c>
      <c r="CF340" s="30" t="str">
        <f ca="1">IFERROR(__xludf.DUMMYFUNCTION("""COMPUTED_VALUE"""),"Ninguno (Población General)")</f>
        <v>Ninguno (Población General)</v>
      </c>
      <c r="CG340" s="30">
        <f ca="1">IFERROR(__xludf.DUMMYFUNCTION("""COMPUTED_VALUE"""),10)</f>
        <v>10</v>
      </c>
      <c r="CJ340" s="29"/>
      <c r="CM340" s="30" t="str">
        <f ca="1">IFERROR(__xludf.DUMMYFUNCTION("""COMPUTED_VALUE"""),"Guanajuato")</f>
        <v>Guanajuato</v>
      </c>
      <c r="CN340" s="32" t="e">
        <f ca="1"/>
        <v>#NAME?</v>
      </c>
      <c r="CO340" s="32" t="e">
        <f ca="1"/>
        <v>#NAME?</v>
      </c>
      <c r="CP340" s="32" t="e">
        <f ca="1"/>
        <v>#NAME?</v>
      </c>
      <c r="CQ340" s="32" t="e">
        <f ca="1"/>
        <v>#NAME?</v>
      </c>
      <c r="CR340" s="30" t="e">
        <f ca="1"/>
        <v>#NAME?</v>
      </c>
      <c r="CS340" s="30" t="str">
        <f ca="1">IFERROR(__xludf.DUMMYFUNCTION("""COMPUTED_VALUE"""),"Ninguno (Población General)")</f>
        <v>Ninguno (Población General)</v>
      </c>
    </row>
    <row r="341" spans="1:97" ht="13">
      <c r="A341" s="29" t="str">
        <f ca="1">IFERROR(__xludf.DUMMYFUNCTION("""COMPUTED_VALUE"""),"ACT-SCNE08864")</f>
        <v>ACT-SCNE08864</v>
      </c>
      <c r="B341" s="30" t="str">
        <f ca="1">IFERROR(__xludf.DUMMYFUNCTION("""COMPUTED_VALUE"""),"SC-260904-110101")</f>
        <v>SC-260904-110101</v>
      </c>
      <c r="C341" s="62">
        <f ca="1">IFERROR(__xludf.DUMMYFUNCTION("""COMPUTED_VALUE"""),46269.4590393518)</f>
        <v>46269.459039351801</v>
      </c>
      <c r="D341" s="30">
        <f ca="1">IFERROR(__xludf.DUMMYFUNCTION("""COMPUTED_VALUE"""),92)</f>
        <v>92</v>
      </c>
      <c r="E341" s="30" t="str">
        <f ca="1">IFERROR(__xludf.DUMMYFUNCTION("""COMPUTED_VALUE"""),"PB3572")</f>
        <v>PB3572</v>
      </c>
      <c r="F34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1" s="30" t="str">
        <f ca="1">IFERROR(__xludf.DUMMYFUNCTION("""COMPUTED_VALUE"""),"SUBSECRETARÍA DE DESARROLLO Y PROMOCIÓN ARTÍSTICA Y CULTURAL")</f>
        <v>SUBSECRETARÍA DE DESARROLLO Y PROMOCIÓN ARTÍSTICA Y CULTURAL</v>
      </c>
      <c r="I341" s="34" t="str">
        <f ca="1">IFERROR(__xludf.DUMMYFUNCTION("""COMPUTED_VALUE"""),"DIRECCIÓN GENERAL DE MUSEOS, ARTES VISUALES Y EXPOSICIONES")</f>
        <v>DIRECCIÓN GENERAL DE MUSEOS, ARTES VISUALES Y EXPOSICIONES</v>
      </c>
      <c r="J341" s="30" t="str">
        <f ca="1">IFERROR(__xludf.DUMMYFUNCTION("""COMPUTED_VALUE"""),"Número de Actividades realizadas")</f>
        <v>Número de Actividades realizadas</v>
      </c>
      <c r="K341" s="30">
        <f ca="1">IFERROR(__xludf.DUMMYFUNCTION("""COMPUTED_VALUE"""),800)</f>
        <v>800</v>
      </c>
      <c r="L341" s="30" t="str">
        <f ca="1">IFERROR(__xludf.DUMMYFUNCTION("""COMPUTED_VALUE"""),"Artística")</f>
        <v>Artística</v>
      </c>
      <c r="M341" s="30" t="str">
        <f ca="1">IFERROR(__xludf.DUMMYFUNCTION("""COMPUTED_VALUE"""),"Recorrido guiado CIPEC")</f>
        <v>Recorrido guiado CIPEC</v>
      </c>
      <c r="N341" s="30" t="str">
        <f ca="1">IFERROR(__xludf.DUMMYFUNCTION("""COMPUTED_VALUE"""),"Recorrido guiado por el museo")</f>
        <v>Recorrido guiado por el museo</v>
      </c>
      <c r="O341" s="30" t="str">
        <f ca="1">IFERROR(__xludf.DUMMYFUNCTION("""COMPUTED_VALUE"""),"Única")</f>
        <v>Única</v>
      </c>
      <c r="P341" s="33">
        <f ca="1">IFERROR(__xludf.DUMMYFUNCTION("""COMPUTED_VALUE"""),46238)</f>
        <v>46238</v>
      </c>
      <c r="Q341" s="33">
        <f ca="1">IFERROR(__xludf.DUMMYFUNCTION("""COMPUTED_VALUE"""),46238)</f>
        <v>46238</v>
      </c>
      <c r="R341" s="30">
        <f ca="1">IFERROR(__xludf.DUMMYFUNCTION("""COMPUTED_VALUE"""),1)</f>
        <v>1</v>
      </c>
      <c r="S341" s="30" t="str">
        <f ca="1">IFERROR(__xludf.DUMMYFUNCTION("""COMPUTED_VALUE"""),"Cultura comunitaria")</f>
        <v>Cultura comunitaria</v>
      </c>
      <c r="T341" s="30" t="str">
        <f ca="1">IFERROR(__xludf.DUMMYFUNCTION("""COMPUTED_VALUE"""),"Formación comunitaria")</f>
        <v>Formación comunitaria</v>
      </c>
      <c r="U341" s="30" t="str">
        <f ca="1">IFERROR(__xludf.DUMMYFUNCTION("""COMPUTED_VALUE"""),"Visitas escolares")</f>
        <v>Visitas escolares</v>
      </c>
      <c r="V341" s="30" t="str">
        <f ca="1">IFERROR(__xludf.DUMMYFUNCTION("""COMPUTED_VALUE"""),"Ninguna")</f>
        <v>Ninguna</v>
      </c>
      <c r="W341" s="30" t="str">
        <f ca="1">IFERROR(__xludf.DUMMYFUNCTION("""COMPUTED_VALUE"""),"Presencial")</f>
        <v>Presencial</v>
      </c>
      <c r="X341" s="30" t="str">
        <f ca="1">IFERROR(__xludf.DUMMYFUNCTION("""COMPUTED_VALUE"""),"Espacio a Cargo de la Secretaría")</f>
        <v>Espacio a Cargo de la Secretaría</v>
      </c>
      <c r="Y341" s="30" t="str">
        <f ca="1">IFERROR(__xludf.DUMMYFUNCTION("""COMPUTED_VALUE"""),"Museo Casa Diego Rivera")</f>
        <v>Museo Casa Diego Rivera</v>
      </c>
      <c r="Z341" s="30"/>
      <c r="AA341" s="30"/>
      <c r="AB341" s="30" t="b">
        <f ca="1">IFERROR(__xludf.DUMMYFUNCTION("""COMPUTED_VALUE"""),FALSE)</f>
        <v>0</v>
      </c>
      <c r="AC341" s="30"/>
      <c r="AD341" s="30" t="b">
        <f ca="1">IFERROR(__xludf.DUMMYFUNCTION("""COMPUTED_VALUE"""),FALSE)</f>
        <v>0</v>
      </c>
      <c r="AE341" s="30"/>
      <c r="AF341" s="30" t="b">
        <f ca="1">IFERROR(__xludf.DUMMYFUNCTION("""COMPUTED_VALUE"""),FALSE)</f>
        <v>0</v>
      </c>
      <c r="AG341" s="30"/>
      <c r="AH341" s="30" t="str">
        <f ca="1">IFERROR(__xludf.DUMMYFUNCTION("""COMPUTED_VALUE"""),"Sin costo")</f>
        <v>Sin costo</v>
      </c>
      <c r="AI341" s="30"/>
      <c r="AJ341" s="30"/>
      <c r="AK341" s="30"/>
      <c r="AL341" s="30" t="str">
        <f ca="1">IFERROR(__xludf.DUMMYFUNCTION("""COMPUTED_VALUE"""),"ccardonav@guanajuato.gob.mx")</f>
        <v>ccardonav@guanajuato.gob.mx</v>
      </c>
      <c r="AM341" s="30" t="str">
        <f ca="1">IFERROR(__xludf.DUMMYFUNCTION("""COMPUTED_VALUE"""),"Arraigo y empoderamiento cultural de comunidades.")</f>
        <v>Arraigo y empoderamiento cultural de comunidades.</v>
      </c>
      <c r="AN341" s="30" t="str">
        <f ca="1">IFERROR(__xludf.DUMMYFUNCTION("""COMPUTED_VALUE"""),"1 Tranquilidad")</f>
        <v>1 Tranquilidad</v>
      </c>
      <c r="AO341" s="30" t="str">
        <f ca="1">IFERROR(__xludf.DUMMYFUNCTION("""COMPUTED_VALUE"""),"1.2 Fortalecer prevención del delito")</f>
        <v>1.2 Fortalecer prevención del delito</v>
      </c>
      <c r="AP341" s="30" t="str">
        <f ca="1">IFERROR(__xludf.DUMMYFUNCTION("""COMPUTED_VALUE"""),"1.2.2 Fortalecimiento del tejido social")</f>
        <v>1.2.2 Fortalecimiento del tejido social</v>
      </c>
      <c r="AQ341" s="30" t="str">
        <f ca="1">IFERROR(__xludf.DUMMYFUNCTION("""COMPUTED_VALUE"""),"1.2.3.4 Promover una cultura de paz desde las expresiones artísticas y culturales")</f>
        <v>1.2.3.4 Promover una cultura de paz desde las expresiones artísticas y culturales</v>
      </c>
      <c r="AR341" s="30" t="str">
        <f ca="1">IFERROR(__xludf.DUMMYFUNCTION("""COMPUTED_VALUE"""),"Cooperación")</f>
        <v>Cooperación</v>
      </c>
      <c r="AS341" s="30"/>
      <c r="AT341" s="30" t="str">
        <f ca="1">IFERROR(__xludf.DUMMYFUNCTION("""COMPUTED_VALUE"""),"Fortalecimiento de la participación ciudadana y la mediación cultural")</f>
        <v>Fortalecimiento de la participación ciudadana y la mediación cultural</v>
      </c>
      <c r="AU341" s="30" t="str">
        <f ca="1">IFERROR(__xludf.DUMMYFUNCTION("""COMPUTED_VALUE"""),"Impulso a la ampliación de la oferta cultural en los territorios.")</f>
        <v>Impulso a la ampliación de la oferta cultural en los territorios.</v>
      </c>
      <c r="AV34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41" s="30" t="str">
        <f ca="1">IFERROR(__xludf.DUMMYFUNCTION("""COMPUTED_VALUE"""),"Incrementar en 25% la oferta cultural realizada en los municipios.")</f>
        <v>Incrementar en 25% la oferta cultural realizada en los municipios.</v>
      </c>
      <c r="AX341" s="30" t="str">
        <f ca="1">IFERROR(__xludf.DUMMYFUNCTION("""COMPUTED_VALUE"""),"Visitas institucionales")</f>
        <v>Visitas institucionales</v>
      </c>
      <c r="AY341" s="30" t="str">
        <f ca="1">IFERROR(__xludf.DUMMYFUNCTION("""COMPUTED_VALUE"""),"Formación")</f>
        <v>Formación</v>
      </c>
      <c r="AZ341" s="30" t="str">
        <f ca="1">IFERROR(__xludf.DUMMYFUNCTION("""COMPUTED_VALUE"""),"Formación")</f>
        <v>Formación</v>
      </c>
      <c r="BA341" s="30"/>
      <c r="BB341" s="30"/>
      <c r="BC341" s="30">
        <f ca="1">IFERROR(__xludf.DUMMYFUNCTION("""COMPUTED_VALUE"""),0)</f>
        <v>0</v>
      </c>
      <c r="BD341" s="30"/>
      <c r="BE341" s="30"/>
      <c r="BF341" s="30" t="b">
        <f ca="1">IFERROR(__xludf.DUMMYFUNCTION("""COMPUTED_VALUE"""),FALSE)</f>
        <v>0</v>
      </c>
      <c r="BG341" s="30"/>
      <c r="BH341" s="30"/>
      <c r="BI341" s="30"/>
      <c r="BJ341" s="30"/>
      <c r="BK341" s="30"/>
      <c r="BL341" s="30"/>
      <c r="BM341" s="30" t="str">
        <f ca="1">IFERROR(__xludf.DUMMYFUNCTION("""COMPUTED_VALUE"""),"No")</f>
        <v>No</v>
      </c>
      <c r="BN341" s="30"/>
      <c r="BO341" s="30" t="str">
        <f ca="1">IFERROR(__xludf.DUMMYFUNCTION("""COMPUTED_VALUE"""),"2840729e")</f>
        <v>2840729e</v>
      </c>
      <c r="BP341" s="29" t="str">
        <f ca="1">IFERROR(__xludf.DUMMYFUNCTION("""COMPUTED_VALUE"""),"Guanajuato")</f>
        <v>Guanajuato</v>
      </c>
      <c r="BQ341" s="30" t="str">
        <f ca="1">IFERROR(__xludf.DUMMYFUNCTION("""COMPUTED_VALUE"""),"Urbano")</f>
        <v>Urbano</v>
      </c>
      <c r="BR341" s="30"/>
      <c r="BS341" s="30" t="str">
        <f ca="1">IFERROR(__xludf.DUMMYFUNCTION("""COMPUTED_VALUE"""),"Zona centro")</f>
        <v>Zona centro</v>
      </c>
      <c r="BT341" s="30"/>
      <c r="BU341" s="30" t="str">
        <f ca="1">IFERROR(__xludf.DUMMYFUNCTION("""COMPUTED_VALUE"""),"No")</f>
        <v>No</v>
      </c>
      <c r="BV341" s="30" t="str">
        <f ca="1">IFERROR(__xludf.DUMMYFUNCTION("""COMPUTED_VALUE"""),"No")</f>
        <v>No</v>
      </c>
      <c r="BW341" s="30">
        <f ca="1">IFERROR(__xludf.DUMMYFUNCTION("""COMPUTED_VALUE"""),9)</f>
        <v>9</v>
      </c>
      <c r="BX341" s="30">
        <f ca="1">IFERROR(__xludf.DUMMYFUNCTION("""COMPUTED_VALUE"""),9)</f>
        <v>9</v>
      </c>
      <c r="BY341" s="30">
        <f ca="1">IFERROR(__xludf.DUMMYFUNCTION("""COMPUTED_VALUE"""),0)</f>
        <v>0</v>
      </c>
      <c r="BZ341" s="30" t="str">
        <f ca="1">IFERROR(__xludf.DUMMYFUNCTION("""COMPUTED_VALUE"""),"Zona centro")</f>
        <v>Zona centro</v>
      </c>
      <c r="CA341" s="30" t="str">
        <f ca="1">IFERROR(__xludf.DUMMYFUNCTION("""COMPUTED_VALUE"""),"No")</f>
        <v>No</v>
      </c>
      <c r="CB341" s="30" t="str">
        <f ca="1">IFERROR(__xludf.DUMMYFUNCTION("""COMPUTED_VALUE"""),"No")</f>
        <v>No</v>
      </c>
      <c r="CC341" s="30" t="str">
        <f ca="1">IFERROR(__xludf.DUMMYFUNCTION("""COMPUTED_VALUE"""),"1881a63d")</f>
        <v>1881a63d</v>
      </c>
      <c r="CD341" s="29" t="str">
        <f ca="1">IFERROR(__xludf.DUMMYFUNCTION("""COMPUTED_VALUE"""),"Niñas y Niños (6 a 12 años)")</f>
        <v>Niñas y Niños (6 a 12 años)</v>
      </c>
      <c r="CE341" s="30" t="str">
        <f ca="1">IFERROR(__xludf.DUMMYFUNCTION("""COMPUTED_VALUE"""),"Dato global")</f>
        <v>Dato global</v>
      </c>
      <c r="CF341" s="30" t="str">
        <f ca="1">IFERROR(__xludf.DUMMYFUNCTION("""COMPUTED_VALUE"""),"Ninguno (Población General)")</f>
        <v>Ninguno (Población General)</v>
      </c>
      <c r="CG341" s="30">
        <f ca="1">IFERROR(__xludf.DUMMYFUNCTION("""COMPUTED_VALUE"""),66)</f>
        <v>66</v>
      </c>
      <c r="CJ341" s="29"/>
      <c r="CM341" s="30" t="str">
        <f ca="1">IFERROR(__xludf.DUMMYFUNCTION("""COMPUTED_VALUE"""),"León")</f>
        <v>León</v>
      </c>
      <c r="CN341" s="32" t="e">
        <f ca="1"/>
        <v>#NAME?</v>
      </c>
      <c r="CO341" s="32" t="e">
        <f ca="1"/>
        <v>#NAME?</v>
      </c>
      <c r="CP341" s="32" t="e">
        <f ca="1"/>
        <v>#NAME?</v>
      </c>
      <c r="CQ341" s="32" t="e">
        <f ca="1"/>
        <v>#NAME?</v>
      </c>
      <c r="CR341" s="30" t="e">
        <f ca="1"/>
        <v>#NAME?</v>
      </c>
      <c r="CS341" s="30" t="str">
        <f ca="1">IFERROR(__xludf.DUMMYFUNCTION("""COMPUTED_VALUE"""),"Ninguno (Población General), Ninguno (Población General)")</f>
        <v>Ninguno (Población General), Ninguno (Población General)</v>
      </c>
    </row>
    <row r="342" spans="1:97" ht="13">
      <c r="A342" s="29" t="str">
        <f ca="1">IFERROR(__xludf.DUMMYFUNCTION("""COMPUTED_VALUE"""),"ACT-SCIS40701")</f>
        <v>ACT-SCIS40701</v>
      </c>
      <c r="B342" s="30" t="str">
        <f ca="1">IFERROR(__xludf.DUMMYFUNCTION("""COMPUTED_VALUE"""),"SC-260904-111652")</f>
        <v>SC-260904-111652</v>
      </c>
      <c r="C342" s="62">
        <f ca="1">IFERROR(__xludf.DUMMYFUNCTION("""COMPUTED_VALUE"""),46269.4700462962)</f>
        <v>46269.470046296199</v>
      </c>
      <c r="D342" s="30">
        <f ca="1">IFERROR(__xludf.DUMMYFUNCTION("""COMPUTED_VALUE"""),92)</f>
        <v>92</v>
      </c>
      <c r="E342" s="30" t="str">
        <f ca="1">IFERROR(__xludf.DUMMYFUNCTION("""COMPUTED_VALUE"""),"PB3572")</f>
        <v>PB3572</v>
      </c>
      <c r="F34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2" s="30" t="str">
        <f ca="1">IFERROR(__xludf.DUMMYFUNCTION("""COMPUTED_VALUE"""),"SUBSECRETARÍA DE DESARROLLO Y PROMOCIÓN ARTÍSTICA Y CULTURAL")</f>
        <v>SUBSECRETARÍA DE DESARROLLO Y PROMOCIÓN ARTÍSTICA Y CULTURAL</v>
      </c>
      <c r="I342" s="34" t="str">
        <f ca="1">IFERROR(__xludf.DUMMYFUNCTION("""COMPUTED_VALUE"""),"DIRECCIÓN GENERAL DE MUSEOS, ARTES VISUALES Y EXPOSICIONES")</f>
        <v>DIRECCIÓN GENERAL DE MUSEOS, ARTES VISUALES Y EXPOSICIONES</v>
      </c>
      <c r="J342" s="30" t="str">
        <f ca="1">IFERROR(__xludf.DUMMYFUNCTION("""COMPUTED_VALUE"""),"Número de Actividades realizadas")</f>
        <v>Número de Actividades realizadas</v>
      </c>
      <c r="K342" s="30">
        <f ca="1">IFERROR(__xludf.DUMMYFUNCTION("""COMPUTED_VALUE"""),800)</f>
        <v>800</v>
      </c>
      <c r="L342" s="30" t="str">
        <f ca="1">IFERROR(__xludf.DUMMYFUNCTION("""COMPUTED_VALUE"""),"Artística")</f>
        <v>Artística</v>
      </c>
      <c r="M342" s="30" t="str">
        <f ca="1">IFERROR(__xludf.DUMMYFUNCTION("""COMPUTED_VALUE"""),"Taller. Escribir la vida: el diario como memoria y expresión")</f>
        <v>Taller. Escribir la vida: el diario como memoria y expresión</v>
      </c>
      <c r="N342" s="30" t="str">
        <f ca="1">IFERROR(__xludf.DUMMYFUNCTION("""COMPUTED_VALUE"""),"Conocer sobre el género literario del Diario")</f>
        <v>Conocer sobre el género literario del Diario</v>
      </c>
      <c r="O342" s="30" t="str">
        <f ca="1">IFERROR(__xludf.DUMMYFUNCTION("""COMPUTED_VALUE"""),"Única")</f>
        <v>Única</v>
      </c>
      <c r="P342" s="33">
        <f ca="1">IFERROR(__xludf.DUMMYFUNCTION("""COMPUTED_VALUE"""),46240)</f>
        <v>46240</v>
      </c>
      <c r="Q342" s="33">
        <f ca="1">IFERROR(__xludf.DUMMYFUNCTION("""COMPUTED_VALUE"""),46240)</f>
        <v>46240</v>
      </c>
      <c r="R342" s="30">
        <f ca="1">IFERROR(__xludf.DUMMYFUNCTION("""COMPUTED_VALUE"""),1)</f>
        <v>1</v>
      </c>
      <c r="S342" s="30" t="str">
        <f ca="1">IFERROR(__xludf.DUMMYFUNCTION("""COMPUTED_VALUE"""),"Cultura comunitaria")</f>
        <v>Cultura comunitaria</v>
      </c>
      <c r="T342" s="30" t="str">
        <f ca="1">IFERROR(__xludf.DUMMYFUNCTION("""COMPUTED_VALUE"""),"Formación comunitaria")</f>
        <v>Formación comunitaria</v>
      </c>
      <c r="U342" s="30" t="str">
        <f ca="1">IFERROR(__xludf.DUMMYFUNCTION("""COMPUTED_VALUE"""),"Taller")</f>
        <v>Taller</v>
      </c>
      <c r="V342" s="30" t="str">
        <f ca="1">IFERROR(__xludf.DUMMYFUNCTION("""COMPUTED_VALUE"""),"Ninguna")</f>
        <v>Ninguna</v>
      </c>
      <c r="W342" s="30" t="str">
        <f ca="1">IFERROR(__xludf.DUMMYFUNCTION("""COMPUTED_VALUE"""),"Presencial")</f>
        <v>Presencial</v>
      </c>
      <c r="X342" s="30" t="str">
        <f ca="1">IFERROR(__xludf.DUMMYFUNCTION("""COMPUTED_VALUE"""),"Espacio a Cargo de la Secretaría")</f>
        <v>Espacio a Cargo de la Secretaría</v>
      </c>
      <c r="Y342" s="30" t="str">
        <f ca="1">IFERROR(__xludf.DUMMYFUNCTION("""COMPUTED_VALUE"""),"Museo del Pueblo de Guanajuato")</f>
        <v>Museo del Pueblo de Guanajuato</v>
      </c>
      <c r="Z342" s="30"/>
      <c r="AA342" s="30"/>
      <c r="AB342" s="30" t="b">
        <f ca="1">IFERROR(__xludf.DUMMYFUNCTION("""COMPUTED_VALUE"""),FALSE)</f>
        <v>0</v>
      </c>
      <c r="AC342" s="30"/>
      <c r="AD342" s="30" t="b">
        <f ca="1">IFERROR(__xludf.DUMMYFUNCTION("""COMPUTED_VALUE"""),FALSE)</f>
        <v>0</v>
      </c>
      <c r="AE342" s="30"/>
      <c r="AF342" s="30" t="b">
        <f ca="1">IFERROR(__xludf.DUMMYFUNCTION("""COMPUTED_VALUE"""),FALSE)</f>
        <v>0</v>
      </c>
      <c r="AG342" s="30"/>
      <c r="AH342" s="30" t="str">
        <f ca="1">IFERROR(__xludf.DUMMYFUNCTION("""COMPUTED_VALUE"""),"Sin costo")</f>
        <v>Sin costo</v>
      </c>
      <c r="AI342" s="30"/>
      <c r="AJ342" s="30"/>
      <c r="AK342" s="30"/>
      <c r="AL342" s="30" t="str">
        <f ca="1">IFERROR(__xludf.DUMMYFUNCTION("""COMPUTED_VALUE"""),"ccardonav@guanajuato.gob.mx")</f>
        <v>ccardonav@guanajuato.gob.mx</v>
      </c>
      <c r="AM342" s="30" t="str">
        <f ca="1">IFERROR(__xludf.DUMMYFUNCTION("""COMPUTED_VALUE"""),"Arraigo y empoderamiento cultural de comunidades.")</f>
        <v>Arraigo y empoderamiento cultural de comunidades.</v>
      </c>
      <c r="AN342" s="30" t="str">
        <f ca="1">IFERROR(__xludf.DUMMYFUNCTION("""COMPUTED_VALUE"""),"1 Tranquilidad")</f>
        <v>1 Tranquilidad</v>
      </c>
      <c r="AO342" s="30" t="str">
        <f ca="1">IFERROR(__xludf.DUMMYFUNCTION("""COMPUTED_VALUE"""),"1.2 Fortalecer prevención del delito")</f>
        <v>1.2 Fortalecer prevención del delito</v>
      </c>
      <c r="AP342" s="30" t="str">
        <f ca="1">IFERROR(__xludf.DUMMYFUNCTION("""COMPUTED_VALUE"""),"1.2.2 Fortalecimiento del tejido social")</f>
        <v>1.2.2 Fortalecimiento del tejido social</v>
      </c>
      <c r="AQ342" s="30" t="str">
        <f ca="1">IFERROR(__xludf.DUMMYFUNCTION("""COMPUTED_VALUE"""),"1.2.3.4 Promover una cultura de paz desde las expresiones artísticas y culturales")</f>
        <v>1.2.3.4 Promover una cultura de paz desde las expresiones artísticas y culturales</v>
      </c>
      <c r="AR342" s="30" t="str">
        <f ca="1">IFERROR(__xludf.DUMMYFUNCTION("""COMPUTED_VALUE"""),"Cooperación")</f>
        <v>Cooperación</v>
      </c>
      <c r="AS342" s="30"/>
      <c r="AT342" s="30" t="str">
        <f ca="1">IFERROR(__xludf.DUMMYFUNCTION("""COMPUTED_VALUE"""),"Fortalecimiento de la participación ciudadana y la mediación cultural")</f>
        <v>Fortalecimiento de la participación ciudadana y la mediación cultural</v>
      </c>
      <c r="AU342" s="30" t="str">
        <f ca="1">IFERROR(__xludf.DUMMYFUNCTION("""COMPUTED_VALUE"""),"Impulso a la ampliación de la oferta cultural en los territorios.")</f>
        <v>Impulso a la ampliación de la oferta cultural en los territorios.</v>
      </c>
      <c r="AV34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42" s="30" t="str">
        <f ca="1">IFERROR(__xludf.DUMMYFUNCTION("""COMPUTED_VALUE"""),"Incrementar en 25% la oferta cultural realizada en los municipios.")</f>
        <v>Incrementar en 25% la oferta cultural realizada en los municipios.</v>
      </c>
      <c r="AX342" s="30" t="str">
        <f ca="1">IFERROR(__xludf.DUMMYFUNCTION("""COMPUTED_VALUE"""),"Taller")</f>
        <v>Taller</v>
      </c>
      <c r="AY342" s="30" t="str">
        <f ca="1">IFERROR(__xludf.DUMMYFUNCTION("""COMPUTED_VALUE"""),"Formación")</f>
        <v>Formación</v>
      </c>
      <c r="AZ342" s="30" t="str">
        <f ca="1">IFERROR(__xludf.DUMMYFUNCTION("""COMPUTED_VALUE"""),"Formación")</f>
        <v>Formación</v>
      </c>
      <c r="BA342" s="30"/>
      <c r="BB342" s="30"/>
      <c r="BC342" s="30">
        <f ca="1">IFERROR(__xludf.DUMMYFUNCTION("""COMPUTED_VALUE"""),0)</f>
        <v>0</v>
      </c>
      <c r="BD342" s="30"/>
      <c r="BE342" s="30"/>
      <c r="BF342" s="30" t="b">
        <f ca="1">IFERROR(__xludf.DUMMYFUNCTION("""COMPUTED_VALUE"""),FALSE)</f>
        <v>0</v>
      </c>
      <c r="BG342" s="30"/>
      <c r="BH342" s="30"/>
      <c r="BI342" s="30"/>
      <c r="BJ342" s="30"/>
      <c r="BK342" s="30"/>
      <c r="BL342" s="30"/>
      <c r="BM342" s="30" t="str">
        <f ca="1">IFERROR(__xludf.DUMMYFUNCTION("""COMPUTED_VALUE"""),"No")</f>
        <v>No</v>
      </c>
      <c r="BN342" s="30"/>
      <c r="BO342" s="30" t="str">
        <f ca="1">IFERROR(__xludf.DUMMYFUNCTION("""COMPUTED_VALUE"""),"dd4d6928")</f>
        <v>dd4d6928</v>
      </c>
      <c r="BP342" s="29" t="str">
        <f ca="1">IFERROR(__xludf.DUMMYFUNCTION("""COMPUTED_VALUE"""),"León")</f>
        <v>León</v>
      </c>
      <c r="BQ342" s="30" t="str">
        <f ca="1">IFERROR(__xludf.DUMMYFUNCTION("""COMPUTED_VALUE"""),"Urbano")</f>
        <v>Urbano</v>
      </c>
      <c r="BR342" s="30"/>
      <c r="BS342" s="30" t="str">
        <f ca="1">IFERROR(__xludf.DUMMYFUNCTION("""COMPUTED_VALUE"""),"Zona centro")</f>
        <v>Zona centro</v>
      </c>
      <c r="BT342" s="30"/>
      <c r="BU342" s="30" t="str">
        <f ca="1">IFERROR(__xludf.DUMMYFUNCTION("""COMPUTED_VALUE"""),"No")</f>
        <v>No</v>
      </c>
      <c r="BV342" s="30" t="str">
        <f ca="1">IFERROR(__xludf.DUMMYFUNCTION("""COMPUTED_VALUE"""),"No")</f>
        <v>No</v>
      </c>
      <c r="BW342" s="30">
        <f ca="1">IFERROR(__xludf.DUMMYFUNCTION("""COMPUTED_VALUE"""),9)</f>
        <v>9</v>
      </c>
      <c r="BX342" s="30">
        <f ca="1">IFERROR(__xludf.DUMMYFUNCTION("""COMPUTED_VALUE"""),9)</f>
        <v>9</v>
      </c>
      <c r="BY342" s="30">
        <f ca="1">IFERROR(__xludf.DUMMYFUNCTION("""COMPUTED_VALUE"""),0)</f>
        <v>0</v>
      </c>
      <c r="BZ342" s="30" t="str">
        <f ca="1">IFERROR(__xludf.DUMMYFUNCTION("""COMPUTED_VALUE"""),"Zona centro")</f>
        <v>Zona centro</v>
      </c>
      <c r="CA342" s="30" t="str">
        <f ca="1">IFERROR(__xludf.DUMMYFUNCTION("""COMPUTED_VALUE"""),"No")</f>
        <v>No</v>
      </c>
      <c r="CB342" s="30" t="str">
        <f ca="1">IFERROR(__xludf.DUMMYFUNCTION("""COMPUTED_VALUE"""),"No")</f>
        <v>No</v>
      </c>
      <c r="CC342" s="30" t="str">
        <f ca="1">IFERROR(__xludf.DUMMYFUNCTION("""COMPUTED_VALUE"""),"a722a35d")</f>
        <v>a722a35d</v>
      </c>
      <c r="CD342" s="29" t="str">
        <f ca="1">IFERROR(__xludf.DUMMYFUNCTION("""COMPUTED_VALUE"""),"Adultos (30 a 59 años)")</f>
        <v>Adultos (30 a 59 años)</v>
      </c>
      <c r="CE342" s="30" t="str">
        <f ca="1">IFERROR(__xludf.DUMMYFUNCTION("""COMPUTED_VALUE"""),"Dato global")</f>
        <v>Dato global</v>
      </c>
      <c r="CF342" s="30" t="str">
        <f ca="1">IFERROR(__xludf.DUMMYFUNCTION("""COMPUTED_VALUE"""),"Ninguno (Población General)")</f>
        <v>Ninguno (Población General)</v>
      </c>
      <c r="CG342" s="30">
        <f ca="1">IFERROR(__xludf.DUMMYFUNCTION("""COMPUTED_VALUE"""),17)</f>
        <v>17</v>
      </c>
      <c r="CJ342" s="29"/>
      <c r="CM342" s="30" t="str">
        <f ca="1">IFERROR(__xludf.DUMMYFUNCTION("""COMPUTED_VALUE"""),"León")</f>
        <v>León</v>
      </c>
      <c r="CN342" s="32" t="e">
        <f ca="1"/>
        <v>#NAME?</v>
      </c>
      <c r="CO342" s="32" t="e">
        <f ca="1"/>
        <v>#NAME?</v>
      </c>
      <c r="CP342" s="32" t="e">
        <f ca="1"/>
        <v>#NAME?</v>
      </c>
      <c r="CQ342" s="32" t="e">
        <f ca="1"/>
        <v>#NAME?</v>
      </c>
      <c r="CR342" s="30" t="e">
        <f ca="1"/>
        <v>#NAME?</v>
      </c>
      <c r="CS342" s="30" t="str">
        <f ca="1">IFERROR(__xludf.DUMMYFUNCTION("""COMPUTED_VALUE"""),"Ninguno (Población General), Ninguno (Población General)")</f>
        <v>Ninguno (Población General), Ninguno (Población General)</v>
      </c>
    </row>
    <row r="343" spans="1:97" ht="13">
      <c r="A343" s="29" t="str">
        <f ca="1">IFERROR(__xludf.DUMMYFUNCTION("""COMPUTED_VALUE"""),"ACT-SCSC14496")</f>
        <v>ACT-SCSC14496</v>
      </c>
      <c r="B343" s="30" t="str">
        <f ca="1">IFERROR(__xludf.DUMMYFUNCTION("""COMPUTED_VALUE"""),"SC-260904-112753")</f>
        <v>SC-260904-112753</v>
      </c>
      <c r="C343" s="62">
        <f ca="1">IFERROR(__xludf.DUMMYFUNCTION("""COMPUTED_VALUE"""),46269.4776967592)</f>
        <v>46269.477696759197</v>
      </c>
      <c r="D343" s="30">
        <f ca="1">IFERROR(__xludf.DUMMYFUNCTION("""COMPUTED_VALUE"""),92)</f>
        <v>92</v>
      </c>
      <c r="E343" s="30" t="str">
        <f ca="1">IFERROR(__xludf.DUMMYFUNCTION("""COMPUTED_VALUE"""),"PB3572")</f>
        <v>PB3572</v>
      </c>
      <c r="F34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3" s="30" t="str">
        <f ca="1">IFERROR(__xludf.DUMMYFUNCTION("""COMPUTED_VALUE"""),"SUBSECRETARÍA DE DESARROLLO Y PROMOCIÓN ARTÍSTICA Y CULTURAL")</f>
        <v>SUBSECRETARÍA DE DESARROLLO Y PROMOCIÓN ARTÍSTICA Y CULTURAL</v>
      </c>
      <c r="I343" s="34" t="str">
        <f ca="1">IFERROR(__xludf.DUMMYFUNCTION("""COMPUTED_VALUE"""),"DIRECCIÓN GENERAL DE MUSEOS, ARTES VISUALES Y EXPOSICIONES")</f>
        <v>DIRECCIÓN GENERAL DE MUSEOS, ARTES VISUALES Y EXPOSICIONES</v>
      </c>
      <c r="J343" s="30" t="str">
        <f ca="1">IFERROR(__xludf.DUMMYFUNCTION("""COMPUTED_VALUE"""),"Número de Actividades realizadas")</f>
        <v>Número de Actividades realizadas</v>
      </c>
      <c r="K343" s="30">
        <f ca="1">IFERROR(__xludf.DUMMYFUNCTION("""COMPUTED_VALUE"""),800)</f>
        <v>800</v>
      </c>
      <c r="L343" s="30" t="str">
        <f ca="1">IFERROR(__xludf.DUMMYFUNCTION("""COMPUTED_VALUE"""),"Artística")</f>
        <v>Artística</v>
      </c>
      <c r="M343" s="30" t="str">
        <f ca="1">IFERROR(__xludf.DUMMYFUNCTION("""COMPUTED_VALUE"""),"Talleres familiares de verano: Paisajes que cuentan historias.")</f>
        <v>Talleres familiares de verano: Paisajes que cuentan historias.</v>
      </c>
      <c r="N343" s="30" t="str">
        <f ca="1">IFERROR(__xludf.DUMMYFUNCTION("""COMPUTED_VALUE"""),"Las y los participantes descubren cómo los paisajes pueden expresar recuerdos, emociones y experiencias")</f>
        <v>Las y los participantes descubren cómo los paisajes pueden expresar recuerdos, emociones y experiencias</v>
      </c>
      <c r="O343" s="30" t="str">
        <f ca="1">IFERROR(__xludf.DUMMYFUNCTION("""COMPUTED_VALUE"""),"Única")</f>
        <v>Única</v>
      </c>
      <c r="P343" s="33">
        <f ca="1">IFERROR(__xludf.DUMMYFUNCTION("""COMPUTED_VALUE"""),46242)</f>
        <v>46242</v>
      </c>
      <c r="Q343" s="33">
        <f ca="1">IFERROR(__xludf.DUMMYFUNCTION("""COMPUTED_VALUE"""),46242)</f>
        <v>46242</v>
      </c>
      <c r="R343" s="30">
        <f ca="1">IFERROR(__xludf.DUMMYFUNCTION("""COMPUTED_VALUE"""),1)</f>
        <v>1</v>
      </c>
      <c r="S343" s="30" t="str">
        <f ca="1">IFERROR(__xludf.DUMMYFUNCTION("""COMPUTED_VALUE"""),"Cultura comunitaria")</f>
        <v>Cultura comunitaria</v>
      </c>
      <c r="T343" s="30" t="str">
        <f ca="1">IFERROR(__xludf.DUMMYFUNCTION("""COMPUTED_VALUE"""),"Formación comunitaria")</f>
        <v>Formación comunitaria</v>
      </c>
      <c r="U343" s="30" t="str">
        <f ca="1">IFERROR(__xludf.DUMMYFUNCTION("""COMPUTED_VALUE"""),"Taller")</f>
        <v>Taller</v>
      </c>
      <c r="V343" s="30" t="str">
        <f ca="1">IFERROR(__xludf.DUMMYFUNCTION("""COMPUTED_VALUE"""),"Ninguna")</f>
        <v>Ninguna</v>
      </c>
      <c r="W343" s="30" t="str">
        <f ca="1">IFERROR(__xludf.DUMMYFUNCTION("""COMPUTED_VALUE"""),"Presencial")</f>
        <v>Presencial</v>
      </c>
      <c r="X343" s="30" t="str">
        <f ca="1">IFERROR(__xludf.DUMMYFUNCTION("""COMPUTED_VALUE"""),"Espacio a Cargo de la Secretaría")</f>
        <v>Espacio a Cargo de la Secretaría</v>
      </c>
      <c r="Y343" s="30" t="str">
        <f ca="1">IFERROR(__xludf.DUMMYFUNCTION("""COMPUTED_VALUE"""),"Museo Casa Diego Rivera")</f>
        <v>Museo Casa Diego Rivera</v>
      </c>
      <c r="Z343" s="30"/>
      <c r="AA343" s="30"/>
      <c r="AB343" s="30" t="b">
        <f ca="1">IFERROR(__xludf.DUMMYFUNCTION("""COMPUTED_VALUE"""),FALSE)</f>
        <v>0</v>
      </c>
      <c r="AC343" s="30"/>
      <c r="AD343" s="30" t="b">
        <f ca="1">IFERROR(__xludf.DUMMYFUNCTION("""COMPUTED_VALUE"""),FALSE)</f>
        <v>0</v>
      </c>
      <c r="AE343" s="30"/>
      <c r="AF343" s="30" t="b">
        <f ca="1">IFERROR(__xludf.DUMMYFUNCTION("""COMPUTED_VALUE"""),FALSE)</f>
        <v>0</v>
      </c>
      <c r="AG343" s="30"/>
      <c r="AH343" s="30" t="str">
        <f ca="1">IFERROR(__xludf.DUMMYFUNCTION("""COMPUTED_VALUE"""),"Sin costo")</f>
        <v>Sin costo</v>
      </c>
      <c r="AI343" s="30"/>
      <c r="AJ343" s="30"/>
      <c r="AK343" s="30"/>
      <c r="AL343" s="30" t="str">
        <f ca="1">IFERROR(__xludf.DUMMYFUNCTION("""COMPUTED_VALUE"""),"ccardonav@guanajuato.gob.mx")</f>
        <v>ccardonav@guanajuato.gob.mx</v>
      </c>
      <c r="AM343" s="30" t="str">
        <f ca="1">IFERROR(__xludf.DUMMYFUNCTION("""COMPUTED_VALUE"""),"Arraigo y empoderamiento cultural de comunidades.")</f>
        <v>Arraigo y empoderamiento cultural de comunidades.</v>
      </c>
      <c r="AN343" s="30" t="str">
        <f ca="1">IFERROR(__xludf.DUMMYFUNCTION("""COMPUTED_VALUE"""),"1 Tranquilidad")</f>
        <v>1 Tranquilidad</v>
      </c>
      <c r="AO343" s="30" t="str">
        <f ca="1">IFERROR(__xludf.DUMMYFUNCTION("""COMPUTED_VALUE"""),"1.2 Fortalecer prevención del delito")</f>
        <v>1.2 Fortalecer prevención del delito</v>
      </c>
      <c r="AP343" s="30" t="str">
        <f ca="1">IFERROR(__xludf.DUMMYFUNCTION("""COMPUTED_VALUE"""),"1.2.2 Fortalecimiento del tejido social")</f>
        <v>1.2.2 Fortalecimiento del tejido social</v>
      </c>
      <c r="AQ343" s="30" t="str">
        <f ca="1">IFERROR(__xludf.DUMMYFUNCTION("""COMPUTED_VALUE"""),"1.2.3.4 Promover una cultura de paz desde las expresiones artísticas y culturales")</f>
        <v>1.2.3.4 Promover una cultura de paz desde las expresiones artísticas y culturales</v>
      </c>
      <c r="AR343" s="30" t="str">
        <f ca="1">IFERROR(__xludf.DUMMYFUNCTION("""COMPUTED_VALUE"""),"Cooperación")</f>
        <v>Cooperación</v>
      </c>
      <c r="AS343" s="30"/>
      <c r="AT343" s="30" t="str">
        <f ca="1">IFERROR(__xludf.DUMMYFUNCTION("""COMPUTED_VALUE"""),"Fortalecimiento de la participación ciudadana y la mediación cultural")</f>
        <v>Fortalecimiento de la participación ciudadana y la mediación cultural</v>
      </c>
      <c r="AU343" s="30" t="str">
        <f ca="1">IFERROR(__xludf.DUMMYFUNCTION("""COMPUTED_VALUE"""),"Impulso a la ampliación de la oferta cultural en los territorios.")</f>
        <v>Impulso a la ampliación de la oferta cultural en los territorios.</v>
      </c>
      <c r="AV34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43" s="30" t="str">
        <f ca="1">IFERROR(__xludf.DUMMYFUNCTION("""COMPUTED_VALUE"""),"Incrementar en 25% la oferta cultural realizada en los municipios.")</f>
        <v>Incrementar en 25% la oferta cultural realizada en los municipios.</v>
      </c>
      <c r="AX343" s="30" t="str">
        <f ca="1">IFERROR(__xludf.DUMMYFUNCTION("""COMPUTED_VALUE"""),"Taller")</f>
        <v>Taller</v>
      </c>
      <c r="AY343" s="30" t="str">
        <f ca="1">IFERROR(__xludf.DUMMYFUNCTION("""COMPUTED_VALUE"""),"Formación")</f>
        <v>Formación</v>
      </c>
      <c r="AZ343" s="30" t="str">
        <f ca="1">IFERROR(__xludf.DUMMYFUNCTION("""COMPUTED_VALUE"""),"Formación")</f>
        <v>Formación</v>
      </c>
      <c r="BA343" s="30"/>
      <c r="BB343" s="30"/>
      <c r="BC343" s="30">
        <f ca="1">IFERROR(__xludf.DUMMYFUNCTION("""COMPUTED_VALUE"""),0)</f>
        <v>0</v>
      </c>
      <c r="BD343" s="30"/>
      <c r="BE343" s="30"/>
      <c r="BF343" s="30" t="b">
        <f ca="1">IFERROR(__xludf.DUMMYFUNCTION("""COMPUTED_VALUE"""),FALSE)</f>
        <v>0</v>
      </c>
      <c r="BG343" s="30"/>
      <c r="BH343" s="30"/>
      <c r="BI343" s="30"/>
      <c r="BJ343" s="30"/>
      <c r="BK343" s="30"/>
      <c r="BL343" s="30"/>
      <c r="BM343" s="30" t="str">
        <f ca="1">IFERROR(__xludf.DUMMYFUNCTION("""COMPUTED_VALUE"""),"No")</f>
        <v>No</v>
      </c>
      <c r="BN343" s="30"/>
      <c r="BO343" s="30" t="str">
        <f ca="1">IFERROR(__xludf.DUMMYFUNCTION("""COMPUTED_VALUE"""),"fd987758")</f>
        <v>fd987758</v>
      </c>
      <c r="BP343" s="29" t="str">
        <f ca="1">IFERROR(__xludf.DUMMYFUNCTION("""COMPUTED_VALUE"""),"León")</f>
        <v>León</v>
      </c>
      <c r="BQ343" s="30" t="str">
        <f ca="1">IFERROR(__xludf.DUMMYFUNCTION("""COMPUTED_VALUE"""),"Urbano")</f>
        <v>Urbano</v>
      </c>
      <c r="BR343" s="30"/>
      <c r="BS343" s="30"/>
      <c r="BT343" s="30"/>
      <c r="BU343" s="30" t="str">
        <f ca="1">IFERROR(__xludf.DUMMYFUNCTION("""COMPUTED_VALUE"""),"No")</f>
        <v>No</v>
      </c>
      <c r="BV343" s="30" t="str">
        <f ca="1">IFERROR(__xludf.DUMMYFUNCTION("""COMPUTED_VALUE"""),"No")</f>
        <v>No</v>
      </c>
      <c r="BW343" s="30">
        <f ca="1">IFERROR(__xludf.DUMMYFUNCTION("""COMPUTED_VALUE"""),9)</f>
        <v>9</v>
      </c>
      <c r="BX343" s="30">
        <f ca="1">IFERROR(__xludf.DUMMYFUNCTION("""COMPUTED_VALUE"""),9)</f>
        <v>9</v>
      </c>
      <c r="BY343" s="30">
        <f ca="1">IFERROR(__xludf.DUMMYFUNCTION("""COMPUTED_VALUE"""),0)</f>
        <v>0</v>
      </c>
      <c r="BZ343" s="30"/>
      <c r="CA343" s="30" t="str">
        <f ca="1">IFERROR(__xludf.DUMMYFUNCTION("""COMPUTED_VALUE"""),"No")</f>
        <v>No</v>
      </c>
      <c r="CB343" s="30" t="str">
        <f ca="1">IFERROR(__xludf.DUMMYFUNCTION("""COMPUTED_VALUE"""),"No")</f>
        <v>No</v>
      </c>
      <c r="CC343" s="30" t="str">
        <f ca="1">IFERROR(__xludf.DUMMYFUNCTION("""COMPUTED_VALUE"""),"9a302c3c")</f>
        <v>9a302c3c</v>
      </c>
      <c r="CD343" s="29" t="str">
        <f ca="1">IFERROR(__xludf.DUMMYFUNCTION("""COMPUTED_VALUE"""),"Adolescentes (13 a 17 años)")</f>
        <v>Adolescentes (13 a 17 años)</v>
      </c>
      <c r="CE343" s="30" t="str">
        <f ca="1">IFERROR(__xludf.DUMMYFUNCTION("""COMPUTED_VALUE"""),"Dato global")</f>
        <v>Dato global</v>
      </c>
      <c r="CF343" s="30" t="str">
        <f ca="1">IFERROR(__xludf.DUMMYFUNCTION("""COMPUTED_VALUE"""),"Ninguno (Población General)")</f>
        <v>Ninguno (Población General)</v>
      </c>
      <c r="CG343" s="30">
        <f ca="1">IFERROR(__xludf.DUMMYFUNCTION("""COMPUTED_VALUE"""),41)</f>
        <v>41</v>
      </c>
      <c r="CJ343" s="29"/>
      <c r="CM343" s="30" t="str">
        <f ca="1">IFERROR(__xludf.DUMMYFUNCTION("""COMPUTED_VALUE"""),"Silao de la Victoria")</f>
        <v>Silao de la Victoria</v>
      </c>
      <c r="CN343" s="32" t="e">
        <f ca="1"/>
        <v>#NAME?</v>
      </c>
      <c r="CO343" s="32" t="e">
        <f ca="1"/>
        <v>#NAME?</v>
      </c>
      <c r="CP343" s="32" t="e">
        <f ca="1"/>
        <v>#NAME?</v>
      </c>
      <c r="CQ343" s="32" t="e">
        <f ca="1"/>
        <v>#NAME?</v>
      </c>
      <c r="CR343" s="30" t="e">
        <f ca="1"/>
        <v>#NAME?</v>
      </c>
      <c r="CS343"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344" spans="1:97" ht="13">
      <c r="A344" s="29" t="str">
        <f ca="1">IFERROR(__xludf.DUMMYFUNCTION("""COMPUTED_VALUE"""),"ACT-SCOF01844")</f>
        <v>ACT-SCOF01844</v>
      </c>
      <c r="B344" s="30" t="str">
        <f ca="1">IFERROR(__xludf.DUMMYFUNCTION("""COMPUTED_VALUE"""),"SC-260904-125110")</f>
        <v>SC-260904-125110</v>
      </c>
      <c r="C344" s="62">
        <f ca="1">IFERROR(__xludf.DUMMYFUNCTION("""COMPUTED_VALUE"""),46269.5355324074)</f>
        <v>46269.535532407397</v>
      </c>
      <c r="D344" s="30">
        <f ca="1">IFERROR(__xludf.DUMMYFUNCTION("""COMPUTED_VALUE"""),92)</f>
        <v>92</v>
      </c>
      <c r="E344" s="30" t="str">
        <f ca="1">IFERROR(__xludf.DUMMYFUNCTION("""COMPUTED_VALUE"""),"PB3572")</f>
        <v>PB3572</v>
      </c>
      <c r="F34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4" s="30" t="str">
        <f ca="1">IFERROR(__xludf.DUMMYFUNCTION("""COMPUTED_VALUE"""),"SUBSECRETARÍA DE DESARROLLO Y PROMOCIÓN ARTÍSTICA Y CULTURAL")</f>
        <v>SUBSECRETARÍA DE DESARROLLO Y PROMOCIÓN ARTÍSTICA Y CULTURAL</v>
      </c>
      <c r="I344" s="34" t="str">
        <f ca="1">IFERROR(__xludf.DUMMYFUNCTION("""COMPUTED_VALUE"""),"DIRECCIÓN GENERAL DE MUSEOS, ARTES VISUALES Y EXPOSICIONES")</f>
        <v>DIRECCIÓN GENERAL DE MUSEOS, ARTES VISUALES Y EXPOSICIONES</v>
      </c>
      <c r="J344" s="30" t="str">
        <f ca="1">IFERROR(__xludf.DUMMYFUNCTION("""COMPUTED_VALUE"""),"Número de Actividades realizadas")</f>
        <v>Número de Actividades realizadas</v>
      </c>
      <c r="K344" s="30">
        <f ca="1">IFERROR(__xludf.DUMMYFUNCTION("""COMPUTED_VALUE"""),800)</f>
        <v>800</v>
      </c>
      <c r="L344" s="30" t="str">
        <f ca="1">IFERROR(__xludf.DUMMYFUNCTION("""COMPUTED_VALUE"""),"Artística")</f>
        <v>Artística</v>
      </c>
      <c r="M344" s="30" t="str">
        <f ca="1">IFERROR(__xludf.DUMMYFUNCTION("""COMPUTED_VALUE"""),"Recorrido especial Consulado de Japón")</f>
        <v>Recorrido especial Consulado de Japón</v>
      </c>
      <c r="N344" s="30" t="str">
        <f ca="1">IFERROR(__xludf.DUMMYFUNCTION("""COMPUTED_VALUE"""),"Recorrido por el Museo")</f>
        <v>Recorrido por el Museo</v>
      </c>
      <c r="O344" s="30" t="str">
        <f ca="1">IFERROR(__xludf.DUMMYFUNCTION("""COMPUTED_VALUE"""),"Única")</f>
        <v>Única</v>
      </c>
      <c r="P344" s="33">
        <f ca="1">IFERROR(__xludf.DUMMYFUNCTION("""COMPUTED_VALUE"""),46252)</f>
        <v>46252</v>
      </c>
      <c r="Q344" s="33">
        <f ca="1">IFERROR(__xludf.DUMMYFUNCTION("""COMPUTED_VALUE"""),46252)</f>
        <v>46252</v>
      </c>
      <c r="R344" s="30">
        <f ca="1">IFERROR(__xludf.DUMMYFUNCTION("""COMPUTED_VALUE"""),1)</f>
        <v>1</v>
      </c>
      <c r="S344" s="30" t="str">
        <f ca="1">IFERROR(__xludf.DUMMYFUNCTION("""COMPUTED_VALUE"""),"Cultura comunitaria")</f>
        <v>Cultura comunitaria</v>
      </c>
      <c r="T344" s="30" t="str">
        <f ca="1">IFERROR(__xludf.DUMMYFUNCTION("""COMPUTED_VALUE"""),"Formación comunitaria")</f>
        <v>Formación comunitaria</v>
      </c>
      <c r="U344" s="30" t="str">
        <f ca="1">IFERROR(__xludf.DUMMYFUNCTION("""COMPUTED_VALUE"""),"Visitas institucionales")</f>
        <v>Visitas institucionales</v>
      </c>
      <c r="V344" s="30" t="str">
        <f ca="1">IFERROR(__xludf.DUMMYFUNCTION("""COMPUTED_VALUE"""),"Ninguna")</f>
        <v>Ninguna</v>
      </c>
      <c r="W344" s="30" t="str">
        <f ca="1">IFERROR(__xludf.DUMMYFUNCTION("""COMPUTED_VALUE"""),"Presencial")</f>
        <v>Presencial</v>
      </c>
      <c r="X344" s="30" t="str">
        <f ca="1">IFERROR(__xludf.DUMMYFUNCTION("""COMPUTED_VALUE"""),"Espacio a Cargo de la Secretaría")</f>
        <v>Espacio a Cargo de la Secretaría</v>
      </c>
      <c r="Y344" s="30" t="str">
        <f ca="1">IFERROR(__xludf.DUMMYFUNCTION("""COMPUTED_VALUE"""),"Museo Conde Rul")</f>
        <v>Museo Conde Rul</v>
      </c>
      <c r="Z344" s="30"/>
      <c r="AA344" s="30"/>
      <c r="AB344" s="30" t="b">
        <f ca="1">IFERROR(__xludf.DUMMYFUNCTION("""COMPUTED_VALUE"""),FALSE)</f>
        <v>0</v>
      </c>
      <c r="AC344" s="30"/>
      <c r="AD344" s="30" t="b">
        <f ca="1">IFERROR(__xludf.DUMMYFUNCTION("""COMPUTED_VALUE"""),FALSE)</f>
        <v>0</v>
      </c>
      <c r="AE344" s="30"/>
      <c r="AF344" s="30" t="b">
        <f ca="1">IFERROR(__xludf.DUMMYFUNCTION("""COMPUTED_VALUE"""),FALSE)</f>
        <v>0</v>
      </c>
      <c r="AG344" s="30"/>
      <c r="AH344" s="30" t="str">
        <f ca="1">IFERROR(__xludf.DUMMYFUNCTION("""COMPUTED_VALUE"""),"Sin costo")</f>
        <v>Sin costo</v>
      </c>
      <c r="AI344" s="30"/>
      <c r="AJ344" s="30"/>
      <c r="AK344" s="30"/>
      <c r="AL344" s="30" t="str">
        <f ca="1">IFERROR(__xludf.DUMMYFUNCTION("""COMPUTED_VALUE"""),"ccardonav@guanajuato.gob.mx")</f>
        <v>ccardonav@guanajuato.gob.mx</v>
      </c>
      <c r="AM344" s="30" t="str">
        <f ca="1">IFERROR(__xludf.DUMMYFUNCTION("""COMPUTED_VALUE"""),"Arraigo y empoderamiento cultural de comunidades.")</f>
        <v>Arraigo y empoderamiento cultural de comunidades.</v>
      </c>
      <c r="AN344" s="30" t="str">
        <f ca="1">IFERROR(__xludf.DUMMYFUNCTION("""COMPUTED_VALUE"""),"1 Tranquilidad")</f>
        <v>1 Tranquilidad</v>
      </c>
      <c r="AO344" s="30" t="str">
        <f ca="1">IFERROR(__xludf.DUMMYFUNCTION("""COMPUTED_VALUE"""),"1.2 Fortalecer prevención del delito")</f>
        <v>1.2 Fortalecer prevención del delito</v>
      </c>
      <c r="AP344" s="30" t="str">
        <f ca="1">IFERROR(__xludf.DUMMYFUNCTION("""COMPUTED_VALUE"""),"1.2.2 Fortalecimiento del tejido social")</f>
        <v>1.2.2 Fortalecimiento del tejido social</v>
      </c>
      <c r="AQ344" s="30" t="str">
        <f ca="1">IFERROR(__xludf.DUMMYFUNCTION("""COMPUTED_VALUE"""),"1.2.3.4 Promover una cultura de paz desde las expresiones artísticas y culturales")</f>
        <v>1.2.3.4 Promover una cultura de paz desde las expresiones artísticas y culturales</v>
      </c>
      <c r="AR344" s="30" t="str">
        <f ca="1">IFERROR(__xludf.DUMMYFUNCTION("""COMPUTED_VALUE"""),"Cooperación")</f>
        <v>Cooperación</v>
      </c>
      <c r="AS344" s="30"/>
      <c r="AT344" s="30" t="str">
        <f ca="1">IFERROR(__xludf.DUMMYFUNCTION("""COMPUTED_VALUE"""),"Fortalecimiento de la participación ciudadana y la mediación cultural")</f>
        <v>Fortalecimiento de la participación ciudadana y la mediación cultural</v>
      </c>
      <c r="AU344" s="30" t="str">
        <f ca="1">IFERROR(__xludf.DUMMYFUNCTION("""COMPUTED_VALUE"""),"Impulso a la ampliación de la oferta cultural en los territorios.")</f>
        <v>Impulso a la ampliación de la oferta cultural en los territorios.</v>
      </c>
      <c r="AV34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44" s="30" t="str">
        <f ca="1">IFERROR(__xludf.DUMMYFUNCTION("""COMPUTED_VALUE"""),"Incrementar en 25% la oferta cultural realizada en los municipios.")</f>
        <v>Incrementar en 25% la oferta cultural realizada en los municipios.</v>
      </c>
      <c r="AX344" s="30" t="str">
        <f ca="1">IFERROR(__xludf.DUMMYFUNCTION("""COMPUTED_VALUE"""),"Visitas guiadas")</f>
        <v>Visitas guiadas</v>
      </c>
      <c r="AY344" s="30" t="str">
        <f ca="1">IFERROR(__xludf.DUMMYFUNCTION("""COMPUTED_VALUE"""),"Formación")</f>
        <v>Formación</v>
      </c>
      <c r="AZ344" s="30" t="str">
        <f ca="1">IFERROR(__xludf.DUMMYFUNCTION("""COMPUTED_VALUE"""),"Formación")</f>
        <v>Formación</v>
      </c>
      <c r="BA344" s="30"/>
      <c r="BB344" s="30"/>
      <c r="BC344" s="30">
        <f ca="1">IFERROR(__xludf.DUMMYFUNCTION("""COMPUTED_VALUE"""),0)</f>
        <v>0</v>
      </c>
      <c r="BD344" s="30"/>
      <c r="BE344" s="30"/>
      <c r="BF344" s="30" t="b">
        <f ca="1">IFERROR(__xludf.DUMMYFUNCTION("""COMPUTED_VALUE"""),FALSE)</f>
        <v>0</v>
      </c>
      <c r="BG344" s="30"/>
      <c r="BH344" s="30"/>
      <c r="BI344" s="30"/>
      <c r="BJ344" s="30"/>
      <c r="BK344" s="30"/>
      <c r="BL344" s="30"/>
      <c r="BM344" s="30" t="str">
        <f ca="1">IFERROR(__xludf.DUMMYFUNCTION("""COMPUTED_VALUE"""),"No")</f>
        <v>No</v>
      </c>
      <c r="BN344" s="30"/>
      <c r="BO344" s="30" t="str">
        <f ca="1">IFERROR(__xludf.DUMMYFUNCTION("""COMPUTED_VALUE"""),"f54ac447")</f>
        <v>f54ac447</v>
      </c>
      <c r="BP344" s="29" t="str">
        <f ca="1">IFERROR(__xludf.DUMMYFUNCTION("""COMPUTED_VALUE"""),"Silao de la Victoria")</f>
        <v>Silao de la Victoria</v>
      </c>
      <c r="BQ344" s="30" t="str">
        <f ca="1">IFERROR(__xludf.DUMMYFUNCTION("""COMPUTED_VALUE"""),"Urbano")</f>
        <v>Urbano</v>
      </c>
      <c r="BR344" s="30">
        <f ca="1">IFERROR(__xludf.DUMMYFUNCTION("""COMPUTED_VALUE"""),215)</f>
        <v>215</v>
      </c>
      <c r="BS344" s="30" t="str">
        <f ca="1">IFERROR(__xludf.DUMMYFUNCTION("""COMPUTED_VALUE"""),"Silao")</f>
        <v>Silao</v>
      </c>
      <c r="BT344" s="30"/>
      <c r="BU344" s="30" t="str">
        <f ca="1">IFERROR(__xludf.DUMMYFUNCTION("""COMPUTED_VALUE"""),"Si")</f>
        <v>Si</v>
      </c>
      <c r="BV344" s="30" t="str">
        <f ca="1">IFERROR(__xludf.DUMMYFUNCTION("""COMPUTED_VALUE"""),"Si")</f>
        <v>Si</v>
      </c>
      <c r="BW344" s="30">
        <f ca="1">IFERROR(__xludf.DUMMYFUNCTION("""COMPUTED_VALUE"""),52755)</f>
        <v>52755</v>
      </c>
      <c r="BX344" s="30"/>
      <c r="BY344" s="30">
        <f ca="1">IFERROR(__xludf.DUMMYFUNCTION("""COMPUTED_VALUE"""),52755)</f>
        <v>52755</v>
      </c>
      <c r="BZ344" s="30" t="str">
        <f ca="1">IFERROR(__xludf.DUMMYFUNCTION("""COMPUTED_VALUE"""),"Silao")</f>
        <v>Silao</v>
      </c>
      <c r="CA344" s="30" t="str">
        <f ca="1">IFERROR(__xludf.DUMMYFUNCTION("""COMPUTED_VALUE"""),"No")</f>
        <v>No</v>
      </c>
      <c r="CB344" s="30" t="str">
        <f ca="1">IFERROR(__xludf.DUMMYFUNCTION("""COMPUTED_VALUE"""),"No")</f>
        <v>No</v>
      </c>
      <c r="CC344" s="30" t="str">
        <f ca="1">IFERROR(__xludf.DUMMYFUNCTION("""COMPUTED_VALUE"""),"7bf3312a")</f>
        <v>7bf3312a</v>
      </c>
      <c r="CD344" s="29" t="str">
        <f ca="1">IFERROR(__xludf.DUMMYFUNCTION("""COMPUTED_VALUE"""),"Adultos (30 a 59 años)")</f>
        <v>Adultos (30 a 59 años)</v>
      </c>
      <c r="CE344" s="30" t="str">
        <f ca="1">IFERROR(__xludf.DUMMYFUNCTION("""COMPUTED_VALUE"""),"Dato global")</f>
        <v>Dato global</v>
      </c>
      <c r="CF344" s="30" t="str">
        <f ca="1">IFERROR(__xludf.DUMMYFUNCTION("""COMPUTED_VALUE"""),"Ninguno (Población General)")</f>
        <v>Ninguno (Población General)</v>
      </c>
      <c r="CG344" s="30">
        <f ca="1">IFERROR(__xludf.DUMMYFUNCTION("""COMPUTED_VALUE"""),6)</f>
        <v>6</v>
      </c>
      <c r="CJ344" s="29"/>
      <c r="CM344" s="30" t="str">
        <f ca="1">IFERROR(__xludf.DUMMYFUNCTION("""COMPUTED_VALUE"""),"Comonfort")</f>
        <v>Comonfort</v>
      </c>
      <c r="CN344" s="32" t="e">
        <f ca="1"/>
        <v>#NAME?</v>
      </c>
      <c r="CO344" s="32" t="e">
        <f ca="1"/>
        <v>#NAME?</v>
      </c>
      <c r="CP344" s="32" t="e">
        <f ca="1"/>
        <v>#NAME?</v>
      </c>
      <c r="CQ344" s="32" t="e">
        <f ca="1"/>
        <v>#NAME?</v>
      </c>
      <c r="CR344" s="30" t="e">
        <f ca="1"/>
        <v>#NAME?</v>
      </c>
      <c r="CS344" s="30" t="str">
        <f ca="1">IFERROR(__xludf.DUMMYFUNCTION("""COMPUTED_VALUE"""),"Ninguno (Población General), Ninguno (Población General), Ninguno (Población General), Ninguno (Población General), Ninguno (Población General), Ninguno (Población General)")</f>
        <v>Ninguno (Población General), Ninguno (Población General), Ninguno (Población General), Ninguno (Población General), Ninguno (Población General), Ninguno (Población General)</v>
      </c>
    </row>
    <row r="345" spans="1:97" ht="13">
      <c r="A345" s="29" t="str">
        <f ca="1">IFERROR(__xludf.DUMMYFUNCTION("""COMPUTED_VALUE"""),"ACT-SCIP21079")</f>
        <v>ACT-SCIP21079</v>
      </c>
      <c r="B345" s="30" t="str">
        <f ca="1">IFERROR(__xludf.DUMMYFUNCTION("""COMPUTED_VALUE"""),"SC-260904-130120")</f>
        <v>SC-260904-130120</v>
      </c>
      <c r="C345" s="62">
        <f ca="1">IFERROR(__xludf.DUMMYFUNCTION("""COMPUTED_VALUE"""),46269.5425925925)</f>
        <v>46269.542592592501</v>
      </c>
      <c r="D345" s="30">
        <f ca="1">IFERROR(__xludf.DUMMYFUNCTION("""COMPUTED_VALUE"""),92)</f>
        <v>92</v>
      </c>
      <c r="E345" s="30" t="str">
        <f ca="1">IFERROR(__xludf.DUMMYFUNCTION("""COMPUTED_VALUE"""),"PB3572")</f>
        <v>PB3572</v>
      </c>
      <c r="F34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5" s="30" t="str">
        <f ca="1">IFERROR(__xludf.DUMMYFUNCTION("""COMPUTED_VALUE"""),"SUBSECRETARÍA DE DESARROLLO Y PROMOCIÓN ARTÍSTICA Y CULTURAL")</f>
        <v>SUBSECRETARÍA DE DESARROLLO Y PROMOCIÓN ARTÍSTICA Y CULTURAL</v>
      </c>
      <c r="I345" s="34" t="str">
        <f ca="1">IFERROR(__xludf.DUMMYFUNCTION("""COMPUTED_VALUE"""),"DIRECCIÓN GENERAL DE MUSEOS, ARTES VISUALES Y EXPOSICIONES")</f>
        <v>DIRECCIÓN GENERAL DE MUSEOS, ARTES VISUALES Y EXPOSICIONES</v>
      </c>
      <c r="J345" s="30" t="str">
        <f ca="1">IFERROR(__xludf.DUMMYFUNCTION("""COMPUTED_VALUE"""),"Número de Actividades realizadas")</f>
        <v>Número de Actividades realizadas</v>
      </c>
      <c r="K345" s="30">
        <f ca="1">IFERROR(__xludf.DUMMYFUNCTION("""COMPUTED_VALUE"""),800)</f>
        <v>800</v>
      </c>
      <c r="L345" s="30" t="str">
        <f ca="1">IFERROR(__xludf.DUMMYFUNCTION("""COMPUTED_VALUE"""),"Artística")</f>
        <v>Artística</v>
      </c>
      <c r="M345" s="30" t="str">
        <f ca="1">IFERROR(__xludf.DUMMYFUNCTION("""COMPUTED_VALUE"""),"Talleres familiares de verano: Paisajes que cuentan historias.")</f>
        <v>Talleres familiares de verano: Paisajes que cuentan historias.</v>
      </c>
      <c r="N345" s="30" t="str">
        <f ca="1">IFERROR(__xludf.DUMMYFUNCTION("""COMPUTED_VALUE"""),"Las y los participantes descubren cómo los paisajes pueden expresar recuerdos, emociones y experiencias")</f>
        <v>Las y los participantes descubren cómo los paisajes pueden expresar recuerdos, emociones y experiencias</v>
      </c>
      <c r="O345" s="30" t="str">
        <f ca="1">IFERROR(__xludf.DUMMYFUNCTION("""COMPUTED_VALUE"""),"Única")</f>
        <v>Única</v>
      </c>
      <c r="P345" s="33">
        <f ca="1">IFERROR(__xludf.DUMMYFUNCTION("""COMPUTED_VALUE"""),46243)</f>
        <v>46243</v>
      </c>
      <c r="Q345" s="33">
        <f ca="1">IFERROR(__xludf.DUMMYFUNCTION("""COMPUTED_VALUE"""),46243)</f>
        <v>46243</v>
      </c>
      <c r="R345" s="30">
        <f ca="1">IFERROR(__xludf.DUMMYFUNCTION("""COMPUTED_VALUE"""),1)</f>
        <v>1</v>
      </c>
      <c r="S345" s="30" t="str">
        <f ca="1">IFERROR(__xludf.DUMMYFUNCTION("""COMPUTED_VALUE"""),"Cultura comunitaria")</f>
        <v>Cultura comunitaria</v>
      </c>
      <c r="T345" s="30" t="str">
        <f ca="1">IFERROR(__xludf.DUMMYFUNCTION("""COMPUTED_VALUE"""),"Formación comunitaria")</f>
        <v>Formación comunitaria</v>
      </c>
      <c r="U345" s="30" t="str">
        <f ca="1">IFERROR(__xludf.DUMMYFUNCTION("""COMPUTED_VALUE"""),"Taller")</f>
        <v>Taller</v>
      </c>
      <c r="V345" s="30" t="str">
        <f ca="1">IFERROR(__xludf.DUMMYFUNCTION("""COMPUTED_VALUE"""),"Ninguna")</f>
        <v>Ninguna</v>
      </c>
      <c r="W345" s="30" t="str">
        <f ca="1">IFERROR(__xludf.DUMMYFUNCTION("""COMPUTED_VALUE"""),"Presencial")</f>
        <v>Presencial</v>
      </c>
      <c r="X345" s="30" t="str">
        <f ca="1">IFERROR(__xludf.DUMMYFUNCTION("""COMPUTED_VALUE"""),"Espacio a Cargo de la Secretaría")</f>
        <v>Espacio a Cargo de la Secretaría</v>
      </c>
      <c r="Y345" s="30" t="str">
        <f ca="1">IFERROR(__xludf.DUMMYFUNCTION("""COMPUTED_VALUE"""),"Museo Casa Diego Rivera")</f>
        <v>Museo Casa Diego Rivera</v>
      </c>
      <c r="Z345" s="30"/>
      <c r="AA345" s="30"/>
      <c r="AB345" s="30" t="b">
        <f ca="1">IFERROR(__xludf.DUMMYFUNCTION("""COMPUTED_VALUE"""),FALSE)</f>
        <v>0</v>
      </c>
      <c r="AC345" s="30"/>
      <c r="AD345" s="30" t="b">
        <f ca="1">IFERROR(__xludf.DUMMYFUNCTION("""COMPUTED_VALUE"""),FALSE)</f>
        <v>0</v>
      </c>
      <c r="AE345" s="30"/>
      <c r="AF345" s="30" t="b">
        <f ca="1">IFERROR(__xludf.DUMMYFUNCTION("""COMPUTED_VALUE"""),FALSE)</f>
        <v>0</v>
      </c>
      <c r="AG345" s="30"/>
      <c r="AH345" s="30" t="str">
        <f ca="1">IFERROR(__xludf.DUMMYFUNCTION("""COMPUTED_VALUE"""),"Sin costo")</f>
        <v>Sin costo</v>
      </c>
      <c r="AI345" s="30"/>
      <c r="AJ345" s="30"/>
      <c r="AK345" s="30"/>
      <c r="AL345" s="30" t="str">
        <f ca="1">IFERROR(__xludf.DUMMYFUNCTION("""COMPUTED_VALUE"""),"ccardonav@guanajuato.gob.mx")</f>
        <v>ccardonav@guanajuato.gob.mx</v>
      </c>
      <c r="AM345" s="30" t="str">
        <f ca="1">IFERROR(__xludf.DUMMYFUNCTION("""COMPUTED_VALUE"""),"Arraigo y empoderamiento cultural de comunidades.")</f>
        <v>Arraigo y empoderamiento cultural de comunidades.</v>
      </c>
      <c r="AN345" s="30" t="str">
        <f ca="1">IFERROR(__xludf.DUMMYFUNCTION("""COMPUTED_VALUE"""),"1 Tranquilidad")</f>
        <v>1 Tranquilidad</v>
      </c>
      <c r="AO345" s="30" t="str">
        <f ca="1">IFERROR(__xludf.DUMMYFUNCTION("""COMPUTED_VALUE"""),"1.2 Fortalecer prevención del delito")</f>
        <v>1.2 Fortalecer prevención del delito</v>
      </c>
      <c r="AP345" s="30" t="str">
        <f ca="1">IFERROR(__xludf.DUMMYFUNCTION("""COMPUTED_VALUE"""),"1.2.2 Fortalecimiento del tejido social")</f>
        <v>1.2.2 Fortalecimiento del tejido social</v>
      </c>
      <c r="AQ345" s="30" t="str">
        <f ca="1">IFERROR(__xludf.DUMMYFUNCTION("""COMPUTED_VALUE"""),"1.2.3.4 Promover una cultura de paz desde las expresiones artísticas y culturales")</f>
        <v>1.2.3.4 Promover una cultura de paz desde las expresiones artísticas y culturales</v>
      </c>
      <c r="AR345" s="30" t="str">
        <f ca="1">IFERROR(__xludf.DUMMYFUNCTION("""COMPUTED_VALUE"""),"Cooperación")</f>
        <v>Cooperación</v>
      </c>
      <c r="AS345" s="30"/>
      <c r="AT345" s="30" t="str">
        <f ca="1">IFERROR(__xludf.DUMMYFUNCTION("""COMPUTED_VALUE"""),"Fortalecimiento de la participación ciudadana y la mediación cultural")</f>
        <v>Fortalecimiento de la participación ciudadana y la mediación cultural</v>
      </c>
      <c r="AU345" s="30" t="str">
        <f ca="1">IFERROR(__xludf.DUMMYFUNCTION("""COMPUTED_VALUE"""),"Impulso a la ampliación de la oferta cultural en los territorios.")</f>
        <v>Impulso a la ampliación de la oferta cultural en los territorios.</v>
      </c>
      <c r="AV34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45" s="30" t="str">
        <f ca="1">IFERROR(__xludf.DUMMYFUNCTION("""COMPUTED_VALUE"""),"Incrementar en 25% la oferta cultural realizada en los municipios.")</f>
        <v>Incrementar en 25% la oferta cultural realizada en los municipios.</v>
      </c>
      <c r="AX345" s="30" t="str">
        <f ca="1">IFERROR(__xludf.DUMMYFUNCTION("""COMPUTED_VALUE"""),"Taller")</f>
        <v>Taller</v>
      </c>
      <c r="AY345" s="30" t="str">
        <f ca="1">IFERROR(__xludf.DUMMYFUNCTION("""COMPUTED_VALUE"""),"Formación")</f>
        <v>Formación</v>
      </c>
      <c r="AZ345" s="30" t="str">
        <f ca="1">IFERROR(__xludf.DUMMYFUNCTION("""COMPUTED_VALUE"""),"Formación")</f>
        <v>Formación</v>
      </c>
      <c r="BA345" s="30"/>
      <c r="BB345" s="30"/>
      <c r="BC345" s="30">
        <f ca="1">IFERROR(__xludf.DUMMYFUNCTION("""COMPUTED_VALUE"""),0)</f>
        <v>0</v>
      </c>
      <c r="BD345" s="30"/>
      <c r="BE345" s="30"/>
      <c r="BF345" s="30" t="b">
        <f ca="1">IFERROR(__xludf.DUMMYFUNCTION("""COMPUTED_VALUE"""),FALSE)</f>
        <v>0</v>
      </c>
      <c r="BG345" s="30"/>
      <c r="BH345" s="30"/>
      <c r="BI345" s="30"/>
      <c r="BJ345" s="30"/>
      <c r="BK345" s="30"/>
      <c r="BL345" s="30"/>
      <c r="BM345" s="30" t="str">
        <f ca="1">IFERROR(__xludf.DUMMYFUNCTION("""COMPUTED_VALUE"""),"No")</f>
        <v>No</v>
      </c>
      <c r="BN345" s="30"/>
      <c r="BO345" s="30" t="str">
        <f ca="1">IFERROR(__xludf.DUMMYFUNCTION("""COMPUTED_VALUE"""),"8268de0a")</f>
        <v>8268de0a</v>
      </c>
      <c r="BP345" s="29" t="str">
        <f ca="1">IFERROR(__xludf.DUMMYFUNCTION("""COMPUTED_VALUE"""),"Comonfort")</f>
        <v>Comonfort</v>
      </c>
      <c r="BQ345" s="30" t="str">
        <f ca="1">IFERROR(__xludf.DUMMYFUNCTION("""COMPUTED_VALUE"""),"Urbano")</f>
        <v>Urbano</v>
      </c>
      <c r="BR345" s="30">
        <f ca="1">IFERROR(__xludf.DUMMYFUNCTION("""COMPUTED_VALUE"""),28)</f>
        <v>28</v>
      </c>
      <c r="BS345" s="30" t="str">
        <f ca="1">IFERROR(__xludf.DUMMYFUNCTION("""COMPUTED_VALUE"""),"Comonfort")</f>
        <v>Comonfort</v>
      </c>
      <c r="BT345" s="30"/>
      <c r="BU345" s="30" t="str">
        <f ca="1">IFERROR(__xludf.DUMMYFUNCTION("""COMPUTED_VALUE"""),"Si")</f>
        <v>Si</v>
      </c>
      <c r="BV345" s="30" t="str">
        <f ca="1">IFERROR(__xludf.DUMMYFUNCTION("""COMPUTED_VALUE"""),"Si")</f>
        <v>Si</v>
      </c>
      <c r="BW345" s="30">
        <f ca="1">IFERROR(__xludf.DUMMYFUNCTION("""COMPUTED_VALUE"""),24873)</f>
        <v>24873</v>
      </c>
      <c r="BX345" s="30"/>
      <c r="BY345" s="30">
        <f ca="1">IFERROR(__xludf.DUMMYFUNCTION("""COMPUTED_VALUE"""),24873)</f>
        <v>24873</v>
      </c>
      <c r="BZ345" s="30" t="str">
        <f ca="1">IFERROR(__xludf.DUMMYFUNCTION("""COMPUTED_VALUE"""),"Comonfort")</f>
        <v>Comonfort</v>
      </c>
      <c r="CA345" s="30" t="str">
        <f ca="1">IFERROR(__xludf.DUMMYFUNCTION("""COMPUTED_VALUE"""),"No")</f>
        <v>No</v>
      </c>
      <c r="CB345" s="30" t="str">
        <f ca="1">IFERROR(__xludf.DUMMYFUNCTION("""COMPUTED_VALUE"""),"No")</f>
        <v>No</v>
      </c>
      <c r="CC345" s="30" t="str">
        <f ca="1">IFERROR(__xludf.DUMMYFUNCTION("""COMPUTED_VALUE"""),"e7760d32")</f>
        <v>e7760d32</v>
      </c>
      <c r="CD345" s="29" t="str">
        <f ca="1">IFERROR(__xludf.DUMMYFUNCTION("""COMPUTED_VALUE"""),"Adolescentes (13 a 17 años)")</f>
        <v>Adolescentes (13 a 17 años)</v>
      </c>
      <c r="CE345" s="30" t="str">
        <f ca="1">IFERROR(__xludf.DUMMYFUNCTION("""COMPUTED_VALUE"""),"Dato global")</f>
        <v>Dato global</v>
      </c>
      <c r="CF345" s="30" t="str">
        <f ca="1">IFERROR(__xludf.DUMMYFUNCTION("""COMPUTED_VALUE"""),"Ninguno (Población General)")</f>
        <v>Ninguno (Población General)</v>
      </c>
      <c r="CG345" s="30">
        <f ca="1">IFERROR(__xludf.DUMMYFUNCTION("""COMPUTED_VALUE"""),30)</f>
        <v>30</v>
      </c>
      <c r="CJ345" s="29"/>
      <c r="CM345" s="30" t="str">
        <f ca="1">IFERROR(__xludf.DUMMYFUNCTION("""COMPUTED_VALUE"""),"Guanajuato")</f>
        <v>Guanajuato</v>
      </c>
      <c r="CN345" s="32" t="e">
        <f ca="1"/>
        <v>#NAME?</v>
      </c>
      <c r="CO345" s="32" t="e">
        <f ca="1"/>
        <v>#NAME?</v>
      </c>
      <c r="CP345" s="32" t="e">
        <f ca="1"/>
        <v>#NAME?</v>
      </c>
      <c r="CQ345" s="32" t="e">
        <f ca="1"/>
        <v>#NAME?</v>
      </c>
      <c r="CR345" s="30" t="e">
        <f ca="1"/>
        <v>#NAME?</v>
      </c>
      <c r="CS345" s="30" t="str">
        <f ca="1">IFERROR(__xludf.DUMMYFUNCTION("""COMPUTED_VALUE"""),"Ninguno (Población General)")</f>
        <v>Ninguno (Población General)</v>
      </c>
    </row>
    <row r="346" spans="1:97" ht="13">
      <c r="A346" s="29" t="str">
        <f ca="1">IFERROR(__xludf.DUMMYFUNCTION("""COMPUTED_VALUE"""),"ACT-SCNM26421")</f>
        <v>ACT-SCNM26421</v>
      </c>
      <c r="B346" s="30" t="str">
        <f ca="1">IFERROR(__xludf.DUMMYFUNCTION("""COMPUTED_VALUE"""),"SC-260907-135617")</f>
        <v>SC-260907-135617</v>
      </c>
      <c r="C346" s="62">
        <f ca="1">IFERROR(__xludf.DUMMYFUNCTION("""COMPUTED_VALUE"""),46272.5807523148)</f>
        <v>46272.580752314803</v>
      </c>
      <c r="D346" s="30">
        <f ca="1">IFERROR(__xludf.DUMMYFUNCTION("""COMPUTED_VALUE"""),92)</f>
        <v>92</v>
      </c>
      <c r="E346" s="30" t="str">
        <f ca="1">IFERROR(__xludf.DUMMYFUNCTION("""COMPUTED_VALUE"""),"PB3572")</f>
        <v>PB3572</v>
      </c>
      <c r="F34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6" s="30" t="str">
        <f ca="1">IFERROR(__xludf.DUMMYFUNCTION("""COMPUTED_VALUE"""),"SUBSECRETARÍA DE DESARROLLO Y PROMOCIÓN ARTÍSTICA Y CULTURAL")</f>
        <v>SUBSECRETARÍA DE DESARROLLO Y PROMOCIÓN ARTÍSTICA Y CULTURAL</v>
      </c>
      <c r="I346" s="34" t="str">
        <f ca="1">IFERROR(__xludf.DUMMYFUNCTION("""COMPUTED_VALUE"""),"DIRECCIÓN GENERAL DE MUSEOS, ARTES VISUALES Y EXPOSICIONES")</f>
        <v>DIRECCIÓN GENERAL DE MUSEOS, ARTES VISUALES Y EXPOSICIONES</v>
      </c>
      <c r="J346" s="30" t="str">
        <f ca="1">IFERROR(__xludf.DUMMYFUNCTION("""COMPUTED_VALUE"""),"Número de Actividades realizadas")</f>
        <v>Número de Actividades realizadas</v>
      </c>
      <c r="K346" s="30">
        <f ca="1">IFERROR(__xludf.DUMMYFUNCTION("""COMPUTED_VALUE"""),800)</f>
        <v>800</v>
      </c>
      <c r="L346" s="30" t="str">
        <f ca="1">IFERROR(__xludf.DUMMYFUNCTION("""COMPUTED_VALUE"""),"Artística")</f>
        <v>Artística</v>
      </c>
      <c r="M346" s="30" t="str">
        <f ca="1">IFERROR(__xludf.DUMMYFUNCTION("""COMPUTED_VALUE"""),"Premio Cultura Investiga  Categoría Historia de Guanajuato 2026")</f>
        <v>Premio Cultura Investiga  Categoría Historia de Guanajuato 2026</v>
      </c>
      <c r="N346" s="30" t="str">
        <f ca="1">IFERROR(__xludf.DUMMYFUNCTION("""COMPUTED_VALUE"""),"Reconocer, impulsar y difundir investiaciones relevantes a nivel nacional sobre el estado de Guanajuato en los campos de las Artes Visuales y la Historia que contribuyan al fortalecimiento de la identidad cultural, la construcción de memoria colectiva y l"&amp;"a apropiación social del patrimonio, promoviendo el acceso equitativo al conocimiento y la participación de personas investigadoras, c readors y especialistas desde una perspectiva incluyente y de impacto social.")</f>
        <v>Reconocer, impulsar y difundir investiaciones relevantes a nivel nacional sobre el estado de Guanajuato en los campos de las Artes Visuales y la Historia que contribuyan al fortalecimiento de la identidad cultural, la construcción de memoria colectiva y la apropiación social del patrimonio, promoviendo el acceso equitativo al conocimiento y la participación de personas investigadoras, c readors y especialistas desde una perspectiva incluyente y de impacto social.</v>
      </c>
      <c r="O346" s="30" t="str">
        <f ca="1">IFERROR(__xludf.DUMMYFUNCTION("""COMPUTED_VALUE"""),"Otras")</f>
        <v>Otras</v>
      </c>
      <c r="P346" s="33">
        <f ca="1">IFERROR(__xludf.DUMMYFUNCTION("""COMPUTED_VALUE"""),46176)</f>
        <v>46176</v>
      </c>
      <c r="Q346" s="33">
        <f ca="1">IFERROR(__xludf.DUMMYFUNCTION("""COMPUTED_VALUE"""),46259)</f>
        <v>46259</v>
      </c>
      <c r="R346" s="30">
        <f ca="1">IFERROR(__xludf.DUMMYFUNCTION("""COMPUTED_VALUE"""),1)</f>
        <v>1</v>
      </c>
      <c r="S346" s="30" t="str">
        <f ca="1">IFERROR(__xludf.DUMMYFUNCTION("""COMPUTED_VALUE"""),"Multidisciplinario")</f>
        <v>Multidisciplinario</v>
      </c>
      <c r="T346" s="30" t="str">
        <f ca="1">IFERROR(__xludf.DUMMYFUNCTION("""COMPUTED_VALUE"""),"Investigación cultural")</f>
        <v>Investigación cultural</v>
      </c>
      <c r="U346" s="30" t="str">
        <f ca="1">IFERROR(__xludf.DUMMYFUNCTION("""COMPUTED_VALUE"""),"Convocatoria pública")</f>
        <v>Convocatoria pública</v>
      </c>
      <c r="V346" s="30" t="str">
        <f ca="1">IFERROR(__xludf.DUMMYFUNCTION("""COMPUTED_VALUE"""),"Entrega de estímulos")</f>
        <v>Entrega de estímulos</v>
      </c>
      <c r="W346" s="30" t="str">
        <f ca="1">IFERROR(__xludf.DUMMYFUNCTION("""COMPUTED_VALUE"""),"Híbrido")</f>
        <v>Híbrido</v>
      </c>
      <c r="X346" s="30" t="str">
        <f ca="1">IFERROR(__xludf.DUMMYFUNCTION("""COMPUTED_VALUE"""),"Espacio a Cargo de la Secretaría")</f>
        <v>Espacio a Cargo de la Secretaría</v>
      </c>
      <c r="Y346" s="30" t="str">
        <f ca="1">IFERROR(__xludf.DUMMYFUNCTION("""COMPUTED_VALUE"""),"Museo de Arte e Historia de Guanajuato, sala Feliciano Peña")</f>
        <v>Museo de Arte e Historia de Guanajuato, sala Feliciano Peña</v>
      </c>
      <c r="Z346" s="30"/>
      <c r="AA346" s="30"/>
      <c r="AB346" s="30" t="b">
        <f ca="1">IFERROR(__xludf.DUMMYFUNCTION("""COMPUTED_VALUE"""),FALSE)</f>
        <v>0</v>
      </c>
      <c r="AC346" s="30"/>
      <c r="AD346" s="30" t="b">
        <f ca="1">IFERROR(__xludf.DUMMYFUNCTION("""COMPUTED_VALUE"""),TRUE)</f>
        <v>1</v>
      </c>
      <c r="AE346" s="30">
        <f ca="1">IFERROR(__xludf.DUMMYFUNCTION("""COMPUTED_VALUE"""),0)</f>
        <v>0</v>
      </c>
      <c r="AF346" s="30" t="b">
        <f ca="1">IFERROR(__xludf.DUMMYFUNCTION("""COMPUTED_VALUE"""),FALSE)</f>
        <v>0</v>
      </c>
      <c r="AG346" s="30"/>
      <c r="AH346" s="30" t="str">
        <f ca="1">IFERROR(__xludf.DUMMYFUNCTION("""COMPUTED_VALUE"""),"Sin costo")</f>
        <v>Sin costo</v>
      </c>
      <c r="AI346" s="30"/>
      <c r="AJ346" s="30"/>
      <c r="AK346" s="30"/>
      <c r="AL346" s="30" t="str">
        <f ca="1">IFERROR(__xludf.DUMMYFUNCTION("""COMPUTED_VALUE"""),"ccardonav@guanajuato.gob.mx")</f>
        <v>ccardonav@guanajuato.gob.mx</v>
      </c>
      <c r="AM346"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346" s="30" t="str">
        <f ca="1">IFERROR(__xludf.DUMMYFUNCTION("""COMPUTED_VALUE"""),"2 Igualdad")</f>
        <v>2 Igualdad</v>
      </c>
      <c r="AO346" s="30" t="str">
        <f ca="1">IFERROR(__xludf.DUMMYFUNCTION("""COMPUTED_VALUE"""),"2.4 Reducir brechas de desigualdad")</f>
        <v>2.4 Reducir brechas de desigualdad</v>
      </c>
      <c r="AP346" s="30" t="str">
        <f ca="1">IFERROR(__xludf.DUMMYFUNCTION("""COMPUTED_VALUE"""),"2.4.3 Descentralización de la oferta cultural")</f>
        <v>2.4.3 Descentralización de la oferta cultural</v>
      </c>
      <c r="AQ346" s="30" t="str">
        <f ca="1">IFERROR(__xludf.DUMMYFUNCTION("""COMPUTED_VALUE"""),"2.4.3.1 Impulsar el desarrollo artístico y cultural entre infancias y juventudes")</f>
        <v>2.4.3.1 Impulsar el desarrollo artístico y cultural entre infancias y juventudes</v>
      </c>
      <c r="AR346" s="30" t="str">
        <f ca="1">IFERROR(__xludf.DUMMYFUNCTION("""COMPUTED_VALUE"""),"Inclusión")</f>
        <v>Inclusión</v>
      </c>
      <c r="AS346" s="30" t="str">
        <f ca="1">IFERROR(__xludf.DUMMYFUNCTION("""COMPUTED_VALUE"""),"Ninguno (Población General)")</f>
        <v>Ninguno (Población General)</v>
      </c>
      <c r="AT346" s="30" t="str">
        <f ca="1">IFERROR(__xludf.DUMMYFUNCTION("""COMPUTED_VALUE"""),"Fomento a la creación y circulación cultural.")</f>
        <v>Fomento a la creación y circulación cultural.</v>
      </c>
      <c r="AU346" s="30" t="str">
        <f ca="1">IFERROR(__xludf.DUMMYFUNCTION("""COMPUTED_VALUE"""),"Impulso a redes colaborativas y plataformas de visibilidad")</f>
        <v>Impulso a redes colaborativas y plataformas de visibilidad</v>
      </c>
      <c r="AV346" s="30" t="str">
        <f ca="1">IFERROR(__xludf.DUMMYFUNCTION("""COMPUTED_VALUE"""),"Realizar clínicas de acompañamiento técnico para fortalecer los proyectos postulados a convocatorias públicas.")</f>
        <v>Realizar clínicas de acompañamiento técnico para fortalecer los proyectos postulados a convocatorias públicas.</v>
      </c>
      <c r="AW346" s="30" t="str">
        <f ca="1">IFERROR(__xludf.DUMMYFUNCTION("""COMPUTED_VALUE"""),"Lograr un incremento anual del 10% en la circulación de obras fuera del territorio estatal.")</f>
        <v>Lograr un incremento anual del 10% en la circulación de obras fuera del territorio estatal.</v>
      </c>
      <c r="AX346" s="30" t="str">
        <f ca="1">IFERROR(__xludf.DUMMYFUNCTION("""COMPUTED_VALUE"""),"Convocatoria pública")</f>
        <v>Convocatoria pública</v>
      </c>
      <c r="AY346" s="30" t="str">
        <f ca="1">IFERROR(__xludf.DUMMYFUNCTION("""COMPUTED_VALUE"""),"Producción")</f>
        <v>Producción</v>
      </c>
      <c r="AZ346" s="30"/>
      <c r="BA346" s="30"/>
      <c r="BB346" s="30"/>
      <c r="BC346" s="30">
        <f ca="1">IFERROR(__xludf.DUMMYFUNCTION("""COMPUTED_VALUE"""),0)</f>
        <v>0</v>
      </c>
      <c r="BD346" s="30"/>
      <c r="BE346" s="30"/>
      <c r="BF346" s="30" t="b">
        <f ca="1">IFERROR(__xludf.DUMMYFUNCTION("""COMPUTED_VALUE"""),TRUE)</f>
        <v>1</v>
      </c>
      <c r="BG346" s="30" t="str">
        <f ca="1">IFERROR(__xludf.DUMMYFUNCTION("""COMPUTED_VALUE"""),"Económico")</f>
        <v>Económico</v>
      </c>
      <c r="BH346" s="30"/>
      <c r="BI346" s="30"/>
      <c r="BJ346" s="30"/>
      <c r="BK346" s="30"/>
      <c r="BL346" s="30"/>
      <c r="BM346" s="30" t="str">
        <f ca="1">IFERROR(__xludf.DUMMYFUNCTION("""COMPUTED_VALUE"""),"No")</f>
        <v>No</v>
      </c>
      <c r="BN346" s="30"/>
      <c r="BO346" s="30" t="str">
        <f ca="1">IFERROR(__xludf.DUMMYFUNCTION("""COMPUTED_VALUE"""),"e503f9a6")</f>
        <v>e503f9a6</v>
      </c>
      <c r="BP346" s="29" t="str">
        <f ca="1">IFERROR(__xludf.DUMMYFUNCTION("""COMPUTED_VALUE"""),"Guanajuato")</f>
        <v>Guanajuato</v>
      </c>
      <c r="BQ346" s="30" t="str">
        <f ca="1">IFERROR(__xludf.DUMMYFUNCTION("""COMPUTED_VALUE"""),"Urbano")</f>
        <v>Urbano</v>
      </c>
      <c r="BR346" s="30"/>
      <c r="BS346" s="30"/>
      <c r="BT346" s="30"/>
      <c r="BU346" s="30" t="str">
        <f ca="1">IFERROR(__xludf.DUMMYFUNCTION("""COMPUTED_VALUE"""),"No")</f>
        <v>No</v>
      </c>
      <c r="BV346" s="30" t="str">
        <f ca="1">IFERROR(__xludf.DUMMYFUNCTION("""COMPUTED_VALUE"""),"No")</f>
        <v>No</v>
      </c>
      <c r="BW346" s="30">
        <f ca="1">IFERROR(__xludf.DUMMYFUNCTION("""COMPUTED_VALUE"""),11)</f>
        <v>11</v>
      </c>
      <c r="BX346" s="30">
        <f ca="1">IFERROR(__xludf.DUMMYFUNCTION("""COMPUTED_VALUE"""),11)</f>
        <v>11</v>
      </c>
      <c r="BY346" s="30">
        <f ca="1">IFERROR(__xludf.DUMMYFUNCTION("""COMPUTED_VALUE"""),0)</f>
        <v>0</v>
      </c>
      <c r="BZ346" s="30"/>
      <c r="CA346" s="30" t="str">
        <f ca="1">IFERROR(__xludf.DUMMYFUNCTION("""COMPUTED_VALUE"""),"No")</f>
        <v>No</v>
      </c>
      <c r="CB346" s="30" t="str">
        <f ca="1">IFERROR(__xludf.DUMMYFUNCTION("""COMPUTED_VALUE"""),"No")</f>
        <v>No</v>
      </c>
      <c r="CC346" s="30" t="str">
        <f ca="1">IFERROR(__xludf.DUMMYFUNCTION("""COMPUTED_VALUE"""),"e53a34e2")</f>
        <v>e53a34e2</v>
      </c>
      <c r="CD346" s="29" t="str">
        <f ca="1">IFERROR(__xludf.DUMMYFUNCTION("""COMPUTED_VALUE"""),"Adultos (30 a 59 años)")</f>
        <v>Adultos (30 a 59 años)</v>
      </c>
      <c r="CE346" s="30" t="str">
        <f ca="1">IFERROR(__xludf.DUMMYFUNCTION("""COMPUTED_VALUE"""),"Dato global")</f>
        <v>Dato global</v>
      </c>
      <c r="CF346" s="30" t="str">
        <f ca="1">IFERROR(__xludf.DUMMYFUNCTION("""COMPUTED_VALUE"""),"Ninguno (Población General)")</f>
        <v>Ninguno (Población General)</v>
      </c>
      <c r="CG346" s="30">
        <f ca="1">IFERROR(__xludf.DUMMYFUNCTION("""COMPUTED_VALUE"""),7)</f>
        <v>7</v>
      </c>
      <c r="CJ346" s="29"/>
      <c r="CM346" s="30" t="str">
        <f ca="1">IFERROR(__xludf.DUMMYFUNCTION("""COMPUTED_VALUE"""),"Guanajuato")</f>
        <v>Guanajuato</v>
      </c>
      <c r="CN346" s="32" t="e">
        <f ca="1"/>
        <v>#NAME?</v>
      </c>
      <c r="CO346" s="32" t="e">
        <f ca="1"/>
        <v>#NAME?</v>
      </c>
      <c r="CP346" s="32" t="e">
        <f ca="1"/>
        <v>#NAME?</v>
      </c>
      <c r="CQ346" s="32" t="e">
        <f ca="1"/>
        <v>#NAME?</v>
      </c>
      <c r="CR346" s="30" t="e">
        <f ca="1"/>
        <v>#NAME?</v>
      </c>
      <c r="CS346" s="30" t="str">
        <f ca="1">IFERROR(__xludf.DUMMYFUNCTION("""COMPUTED_VALUE"""),"Ninguno (Población General)")</f>
        <v>Ninguno (Población General)</v>
      </c>
    </row>
    <row r="347" spans="1:97" ht="13">
      <c r="A347" s="29" t="str">
        <f ca="1">IFERROR(__xludf.DUMMYFUNCTION("""COMPUTED_VALUE"""),"ACT-SCIV93284")</f>
        <v>ACT-SCIV93284</v>
      </c>
      <c r="B347" s="30" t="str">
        <f ca="1">IFERROR(__xludf.DUMMYFUNCTION("""COMPUTED_VALUE"""),"SC-260908-100627")</f>
        <v>SC-260908-100627</v>
      </c>
      <c r="C347" s="62">
        <f ca="1">IFERROR(__xludf.DUMMYFUNCTION("""COMPUTED_VALUE"""),46273.4211458333)</f>
        <v>46273.421145833301</v>
      </c>
      <c r="D347" s="30">
        <f ca="1">IFERROR(__xludf.DUMMYFUNCTION("""COMPUTED_VALUE"""),92)</f>
        <v>92</v>
      </c>
      <c r="E347" s="30" t="str">
        <f ca="1">IFERROR(__xludf.DUMMYFUNCTION("""COMPUTED_VALUE"""),"PB3572")</f>
        <v>PB3572</v>
      </c>
      <c r="F34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47" s="30" t="str">
        <f ca="1">IFERROR(__xludf.DUMMYFUNCTION("""COMPUTED_VALUE"""),"SUBSECRETARÍA DE DESARROLLO Y PROMOCIÓN ARTÍSTICA Y CULTURAL")</f>
        <v>SUBSECRETARÍA DE DESARROLLO Y PROMOCIÓN ARTÍSTICA Y CULTURAL</v>
      </c>
      <c r="I347" s="34" t="str">
        <f ca="1">IFERROR(__xludf.DUMMYFUNCTION("""COMPUTED_VALUE"""),"DIRECCIÓN GENERAL DE MUSEOS, ARTES VISUALES Y EXPOSICIONES")</f>
        <v>DIRECCIÓN GENERAL DE MUSEOS, ARTES VISUALES Y EXPOSICIONES</v>
      </c>
      <c r="J347" s="30" t="str">
        <f ca="1">IFERROR(__xludf.DUMMYFUNCTION("""COMPUTED_VALUE"""),"Número de Actividades realizadas")</f>
        <v>Número de Actividades realizadas</v>
      </c>
      <c r="K347" s="30">
        <f ca="1">IFERROR(__xludf.DUMMYFUNCTION("""COMPUTED_VALUE"""),800)</f>
        <v>800</v>
      </c>
      <c r="L347" s="30" t="str">
        <f ca="1">IFERROR(__xludf.DUMMYFUNCTION("""COMPUTED_VALUE"""),"Artística")</f>
        <v>Artística</v>
      </c>
      <c r="M347" s="30" t="str">
        <f ca="1">IFERROR(__xludf.DUMMYFUNCTION("""COMPUTED_VALUE"""),"Premio Cultura Investiga  Categoría Artes Visuales en Guanajuato  2026")</f>
        <v>Premio Cultura Investiga  Categoría Artes Visuales en Guanajuato  2026</v>
      </c>
      <c r="N347" s="30" t="str">
        <f ca="1">IFERROR(__xludf.DUMMYFUNCTION("""COMPUTED_VALUE"""),"Reconocer, impulsar y difundir investiaciones relevantes a nivel nacional sobre el estado de Guanajuato en los campos de las Artes Visuales y la Historia que contribuyan al fortalecimiento de la identidad cultural, la construcción de memoria colectiva y l"&amp;"a apropiación social del patrimonio, promoviendo el acceso equitativo al conocimiento y la participación de personas investigadoras, c readors y especialistas desde una perspectiva incluyente y de impacto social.")</f>
        <v>Reconocer, impulsar y difundir investiaciones relevantes a nivel nacional sobre el estado de Guanajuato en los campos de las Artes Visuales y la Historia que contribuyan al fortalecimiento de la identidad cultural, la construcción de memoria colectiva y la apropiación social del patrimonio, promoviendo el acceso equitativo al conocimiento y la participación de personas investigadoras, c readors y especialistas desde una perspectiva incluyente y de impacto social.</v>
      </c>
      <c r="O347" s="30" t="str">
        <f ca="1">IFERROR(__xludf.DUMMYFUNCTION("""COMPUTED_VALUE"""),"Otras")</f>
        <v>Otras</v>
      </c>
      <c r="P347" s="33">
        <f ca="1">IFERROR(__xludf.DUMMYFUNCTION("""COMPUTED_VALUE"""),46176)</f>
        <v>46176</v>
      </c>
      <c r="Q347" s="33">
        <f ca="1">IFERROR(__xludf.DUMMYFUNCTION("""COMPUTED_VALUE"""),46259)</f>
        <v>46259</v>
      </c>
      <c r="R347" s="30">
        <f ca="1">IFERROR(__xludf.DUMMYFUNCTION("""COMPUTED_VALUE"""),1)</f>
        <v>1</v>
      </c>
      <c r="S347" s="30" t="str">
        <f ca="1">IFERROR(__xludf.DUMMYFUNCTION("""COMPUTED_VALUE"""),"Multidisciplinario")</f>
        <v>Multidisciplinario</v>
      </c>
      <c r="T347" s="30" t="str">
        <f ca="1">IFERROR(__xludf.DUMMYFUNCTION("""COMPUTED_VALUE"""),"Investigación cultural")</f>
        <v>Investigación cultural</v>
      </c>
      <c r="U347" s="30" t="str">
        <f ca="1">IFERROR(__xludf.DUMMYFUNCTION("""COMPUTED_VALUE"""),"Convocatoria pública")</f>
        <v>Convocatoria pública</v>
      </c>
      <c r="V347" s="30" t="str">
        <f ca="1">IFERROR(__xludf.DUMMYFUNCTION("""COMPUTED_VALUE"""),"Entrega de estímulos")</f>
        <v>Entrega de estímulos</v>
      </c>
      <c r="W347" s="30" t="str">
        <f ca="1">IFERROR(__xludf.DUMMYFUNCTION("""COMPUTED_VALUE"""),"Híbrido")</f>
        <v>Híbrido</v>
      </c>
      <c r="X347" s="30" t="str">
        <f ca="1">IFERROR(__xludf.DUMMYFUNCTION("""COMPUTED_VALUE"""),"Espacio a Cargo de la Secretaría")</f>
        <v>Espacio a Cargo de la Secretaría</v>
      </c>
      <c r="Y347" s="30" t="str">
        <f ca="1">IFERROR(__xludf.DUMMYFUNCTION("""COMPUTED_VALUE"""),"Museo de Arte e Historia de Guanajuato, sala Feliciano Peña")</f>
        <v>Museo de Arte e Historia de Guanajuato, sala Feliciano Peña</v>
      </c>
      <c r="Z347" s="30"/>
      <c r="AA347" s="30"/>
      <c r="AB347" s="30" t="b">
        <f ca="1">IFERROR(__xludf.DUMMYFUNCTION("""COMPUTED_VALUE"""),FALSE)</f>
        <v>0</v>
      </c>
      <c r="AC347" s="30"/>
      <c r="AD347" s="30" t="b">
        <f ca="1">IFERROR(__xludf.DUMMYFUNCTION("""COMPUTED_VALUE"""),TRUE)</f>
        <v>1</v>
      </c>
      <c r="AE347" s="30"/>
      <c r="AF347" s="30" t="b">
        <f ca="1">IFERROR(__xludf.DUMMYFUNCTION("""COMPUTED_VALUE"""),FALSE)</f>
        <v>0</v>
      </c>
      <c r="AG347" s="30"/>
      <c r="AH347" s="30" t="str">
        <f ca="1">IFERROR(__xludf.DUMMYFUNCTION("""COMPUTED_VALUE"""),"Sin costo")</f>
        <v>Sin costo</v>
      </c>
      <c r="AI347" s="30"/>
      <c r="AJ347" s="30"/>
      <c r="AK347" s="30"/>
      <c r="AL347" s="30" t="str">
        <f ca="1">IFERROR(__xludf.DUMMYFUNCTION("""COMPUTED_VALUE"""),"ccardonav@guanajuato.gob.mx")</f>
        <v>ccardonav@guanajuato.gob.mx</v>
      </c>
      <c r="AM347"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347" s="30" t="str">
        <f ca="1">IFERROR(__xludf.DUMMYFUNCTION("""COMPUTED_VALUE"""),"2 Igualdad")</f>
        <v>2 Igualdad</v>
      </c>
      <c r="AO347" s="30" t="str">
        <f ca="1">IFERROR(__xludf.DUMMYFUNCTION("""COMPUTED_VALUE"""),"2.4 Reducir brechas de desigualdad")</f>
        <v>2.4 Reducir brechas de desigualdad</v>
      </c>
      <c r="AP347" s="30" t="str">
        <f ca="1">IFERROR(__xludf.DUMMYFUNCTION("""COMPUTED_VALUE"""),"2.4.3 Descentralización de la oferta cultural")</f>
        <v>2.4.3 Descentralización de la oferta cultural</v>
      </c>
      <c r="AQ347" s="30" t="str">
        <f ca="1">IFERROR(__xludf.DUMMYFUNCTION("""COMPUTED_VALUE"""),"2.4.3.1 Impulsar el desarrollo artístico y cultural entre infancias y juventudes")</f>
        <v>2.4.3.1 Impulsar el desarrollo artístico y cultural entre infancias y juventudes</v>
      </c>
      <c r="AR347" s="30" t="str">
        <f ca="1">IFERROR(__xludf.DUMMYFUNCTION("""COMPUTED_VALUE"""),"Inclusión")</f>
        <v>Inclusión</v>
      </c>
      <c r="AS347" s="30" t="str">
        <f ca="1">IFERROR(__xludf.DUMMYFUNCTION("""COMPUTED_VALUE"""),"Ninguno (Población General)")</f>
        <v>Ninguno (Población General)</v>
      </c>
      <c r="AT347" s="30" t="str">
        <f ca="1">IFERROR(__xludf.DUMMYFUNCTION("""COMPUTED_VALUE"""),"Fomento a la creación y circulación cultural.")</f>
        <v>Fomento a la creación y circulación cultural.</v>
      </c>
      <c r="AU347" s="30" t="str">
        <f ca="1">IFERROR(__xludf.DUMMYFUNCTION("""COMPUTED_VALUE"""),"Impulso a redes colaborativas y plataformas de visibilidad")</f>
        <v>Impulso a redes colaborativas y plataformas de visibilidad</v>
      </c>
      <c r="AV347" s="30" t="str">
        <f ca="1">IFERROR(__xludf.DUMMYFUNCTION("""COMPUTED_VALUE"""),"Realizar clínicas de acompañamiento técnico para fortalecer los proyectos postulados a convocatorias públicas.")</f>
        <v>Realizar clínicas de acompañamiento técnico para fortalecer los proyectos postulados a convocatorias públicas.</v>
      </c>
      <c r="AW347" s="30" t="str">
        <f ca="1">IFERROR(__xludf.DUMMYFUNCTION("""COMPUTED_VALUE"""),"Lograr un incremento anual del 10% en la circulación de obras fuera del territorio estatal.")</f>
        <v>Lograr un incremento anual del 10% en la circulación de obras fuera del territorio estatal.</v>
      </c>
      <c r="AX347" s="30" t="str">
        <f ca="1">IFERROR(__xludf.DUMMYFUNCTION("""COMPUTED_VALUE"""),"Convocatoria pública")</f>
        <v>Convocatoria pública</v>
      </c>
      <c r="AY347" s="30" t="str">
        <f ca="1">IFERROR(__xludf.DUMMYFUNCTION("""COMPUTED_VALUE"""),"Producción")</f>
        <v>Producción</v>
      </c>
      <c r="AZ347" s="30"/>
      <c r="BA347" s="30"/>
      <c r="BB347" s="30"/>
      <c r="BC347" s="30">
        <f ca="1">IFERROR(__xludf.DUMMYFUNCTION("""COMPUTED_VALUE"""),0)</f>
        <v>0</v>
      </c>
      <c r="BD347" s="30"/>
      <c r="BE347" s="30"/>
      <c r="BF347" s="30" t="b">
        <f ca="1">IFERROR(__xludf.DUMMYFUNCTION("""COMPUTED_VALUE"""),TRUE)</f>
        <v>1</v>
      </c>
      <c r="BG347" s="30" t="str">
        <f ca="1">IFERROR(__xludf.DUMMYFUNCTION("""COMPUTED_VALUE"""),"Económico")</f>
        <v>Económico</v>
      </c>
      <c r="BH347" s="30"/>
      <c r="BI347" s="30"/>
      <c r="BJ347" s="30"/>
      <c r="BK347" s="30"/>
      <c r="BL347" s="30"/>
      <c r="BM347" s="30" t="str">
        <f ca="1">IFERROR(__xludf.DUMMYFUNCTION("""COMPUTED_VALUE"""),"No")</f>
        <v>No</v>
      </c>
      <c r="BN347" s="30"/>
      <c r="BO347" s="30" t="str">
        <f ca="1">IFERROR(__xludf.DUMMYFUNCTION("""COMPUTED_VALUE"""),"87ce72ec")</f>
        <v>87ce72ec</v>
      </c>
      <c r="BP347" s="29" t="str">
        <f ca="1">IFERROR(__xludf.DUMMYFUNCTION("""COMPUTED_VALUE"""),"Guanajuato")</f>
        <v>Guanajuato</v>
      </c>
      <c r="BQ347" s="30" t="str">
        <f ca="1">IFERROR(__xludf.DUMMYFUNCTION("""COMPUTED_VALUE"""),"Urbano")</f>
        <v>Urbano</v>
      </c>
      <c r="BR347" s="30"/>
      <c r="BS347" s="30"/>
      <c r="BT347" s="30"/>
      <c r="BU347" s="30" t="str">
        <f ca="1">IFERROR(__xludf.DUMMYFUNCTION("""COMPUTED_VALUE"""),"No")</f>
        <v>No</v>
      </c>
      <c r="BV347" s="30" t="str">
        <f ca="1">IFERROR(__xludf.DUMMYFUNCTION("""COMPUTED_VALUE"""),"No")</f>
        <v>No</v>
      </c>
      <c r="BW347" s="30">
        <f ca="1">IFERROR(__xludf.DUMMYFUNCTION("""COMPUTED_VALUE"""),13)</f>
        <v>13</v>
      </c>
      <c r="BX347" s="30">
        <f ca="1">IFERROR(__xludf.DUMMYFUNCTION("""COMPUTED_VALUE"""),13)</f>
        <v>13</v>
      </c>
      <c r="BY347" s="30">
        <f ca="1">IFERROR(__xludf.DUMMYFUNCTION("""COMPUTED_VALUE"""),0)</f>
        <v>0</v>
      </c>
      <c r="BZ347" s="30"/>
      <c r="CA347" s="30" t="str">
        <f ca="1">IFERROR(__xludf.DUMMYFUNCTION("""COMPUTED_VALUE"""),"No")</f>
        <v>No</v>
      </c>
      <c r="CB347" s="30" t="str">
        <f ca="1">IFERROR(__xludf.DUMMYFUNCTION("""COMPUTED_VALUE"""),"No")</f>
        <v>No</v>
      </c>
      <c r="CC347" s="30" t="str">
        <f ca="1">IFERROR(__xludf.DUMMYFUNCTION("""COMPUTED_VALUE"""),"29f08d39")</f>
        <v>29f08d39</v>
      </c>
      <c r="CD347" s="29" t="str">
        <f ca="1">IFERROR(__xludf.DUMMYFUNCTION("""COMPUTED_VALUE"""),"Niñas y Niños (6 a 12 años)")</f>
        <v>Niñas y Niños (6 a 12 años)</v>
      </c>
      <c r="CE347" s="30" t="str">
        <f ca="1">IFERROR(__xludf.DUMMYFUNCTION("""COMPUTED_VALUE"""),"Dato global")</f>
        <v>Dato global</v>
      </c>
      <c r="CF347" s="30" t="str">
        <f ca="1">IFERROR(__xludf.DUMMYFUNCTION("""COMPUTED_VALUE"""),"Ninguno (Población General)")</f>
        <v>Ninguno (Población General)</v>
      </c>
      <c r="CG347" s="30">
        <f ca="1">IFERROR(__xludf.DUMMYFUNCTION("""COMPUTED_VALUE"""),118)</f>
        <v>118</v>
      </c>
      <c r="CJ347" s="29"/>
      <c r="CM347" s="30" t="str">
        <f ca="1">IFERROR(__xludf.DUMMYFUNCTION("""COMPUTED_VALUE"""),"Guanajuato")</f>
        <v>Guanajuato</v>
      </c>
      <c r="CN347" s="32" t="e">
        <f ca="1"/>
        <v>#NAME?</v>
      </c>
      <c r="CO347" s="32" t="e">
        <f ca="1"/>
        <v>#NAME?</v>
      </c>
      <c r="CP347" s="32" t="e">
        <f ca="1"/>
        <v>#NAME?</v>
      </c>
      <c r="CQ347" s="32" t="e">
        <f ca="1"/>
        <v>#NAME?</v>
      </c>
      <c r="CR347" s="30" t="e">
        <f ca="1"/>
        <v>#NAME?</v>
      </c>
      <c r="CS347" s="30" t="str">
        <f ca="1">IFERROR(__xludf.DUMMYFUNCTION("""COMPUTED_VALUE"""),"Ninguno (Población General)")</f>
        <v>Ninguno (Población General)</v>
      </c>
    </row>
    <row r="348" spans="1:97" ht="13">
      <c r="A348" s="29" t="str">
        <f ca="1">IFERROR(__xludf.DUMMYFUNCTION("""COMPUTED_VALUE"""),"ACT-SCOV13911")</f>
        <v>ACT-SCOV13911</v>
      </c>
      <c r="B348" s="30" t="str">
        <f ca="1">IFERROR(__xludf.DUMMYFUNCTION("""COMPUTED_VALUE"""),"SC-260908-111134")</f>
        <v>SC-260908-111134</v>
      </c>
      <c r="C348" s="62">
        <f ca="1">IFERROR(__xludf.DUMMYFUNCTION("""COMPUTED_VALUE"""),46273.4663657407)</f>
        <v>46273.4663657407</v>
      </c>
      <c r="D348" s="30">
        <f ca="1">IFERROR(__xludf.DUMMYFUNCTION("""COMPUTED_VALUE"""),93)</f>
        <v>93</v>
      </c>
      <c r="E348" s="30" t="str">
        <f ca="1">IFERROR(__xludf.DUMMYFUNCTION("""COMPUTED_VALUE"""),"PB3572")</f>
        <v>PB3572</v>
      </c>
      <c r="F34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8" s="30" t="str">
        <f ca="1">IFERROR(__xludf.DUMMYFUNCTION("""COMPUTED_VALUE"""),"Participación de artistas en las actividades extramuros en municipios del Estado de Guanajuato")</f>
        <v>Participación de artistas en las actividades extramuros en municipios del Estado de Guanajuato</v>
      </c>
      <c r="H348" s="30" t="str">
        <f ca="1">IFERROR(__xludf.DUMMYFUNCTION("""COMPUTED_VALUE"""),"SUBSECRETARÍA DE DESARROLLO Y PROMOCIÓN ARTÍSTICA Y CULTURAL")</f>
        <v>SUBSECRETARÍA DE DESARROLLO Y PROMOCIÓN ARTÍSTICA Y CULTURAL</v>
      </c>
      <c r="I348" s="34" t="str">
        <f ca="1">IFERROR(__xludf.DUMMYFUNCTION("""COMPUTED_VALUE"""),"DIRECCIÓN GENERAL DE MUSEOS, ARTES VISUALES Y EXPOSICIONES")</f>
        <v>DIRECCIÓN GENERAL DE MUSEOS, ARTES VISUALES Y EXPOSICIONES</v>
      </c>
      <c r="J348" s="30" t="str">
        <f ca="1">IFERROR(__xludf.DUMMYFUNCTION("""COMPUTED_VALUE"""),"Número de Actividades realizadas")</f>
        <v>Número de Actividades realizadas</v>
      </c>
      <c r="K348" s="30">
        <f ca="1">IFERROR(__xludf.DUMMYFUNCTION("""COMPUTED_VALUE"""),10)</f>
        <v>10</v>
      </c>
      <c r="L348" s="30" t="str">
        <f ca="1">IFERROR(__xludf.DUMMYFUNCTION("""COMPUTED_VALUE"""),"Artística")</f>
        <v>Artística</v>
      </c>
      <c r="M348" s="30" t="str">
        <f ca="1">IFERROR(__xludf.DUMMYFUNCTION("""COMPUTED_VALUE"""),"Arte en tu Plaza exposicion ""Fragmentos y Complicidades"" municipio de Silao de la Victoria")</f>
        <v>Arte en tu Plaza exposicion "Fragmentos y Complicidades" municipio de Silao de la Victoria</v>
      </c>
      <c r="N348" s="30" t="str">
        <f ca="1">IFERROR(__xludf.DUMMYFUNCTION("""COMPUTED_VALUE"""),"Exposicion en la Plaza libertad en el municipio de Silao de la Victoria como parte del programa Arte en tu Plaza")</f>
        <v>Exposicion en la Plaza libertad en el municipio de Silao de la Victoria como parte del programa Arte en tu Plaza</v>
      </c>
      <c r="O348" s="30" t="str">
        <f ca="1">IFERROR(__xludf.DUMMYFUNCTION("""COMPUTED_VALUE"""),"Otras")</f>
        <v>Otras</v>
      </c>
      <c r="P348" s="33">
        <f ca="1">IFERROR(__xludf.DUMMYFUNCTION("""COMPUTED_VALUE"""),46241)</f>
        <v>46241</v>
      </c>
      <c r="Q348" s="33">
        <f ca="1">IFERROR(__xludf.DUMMYFUNCTION("""COMPUTED_VALUE"""),46264)</f>
        <v>46264</v>
      </c>
      <c r="R348" s="30">
        <f ca="1">IFERROR(__xludf.DUMMYFUNCTION("""COMPUTED_VALUE"""),1)</f>
        <v>1</v>
      </c>
      <c r="S348" s="30" t="str">
        <f ca="1">IFERROR(__xludf.DUMMYFUNCTION("""COMPUTED_VALUE"""),"Artes visuales")</f>
        <v>Artes visuales</v>
      </c>
      <c r="T348" s="30" t="str">
        <f ca="1">IFERROR(__xludf.DUMMYFUNCTION("""COMPUTED_VALUE"""),"Arte urbano")</f>
        <v>Arte urbano</v>
      </c>
      <c r="U348" s="30" t="str">
        <f ca="1">IFERROR(__xludf.DUMMYFUNCTION("""COMPUTED_VALUE"""),"Muestra artística")</f>
        <v>Muestra artística</v>
      </c>
      <c r="V348" s="30" t="str">
        <f ca="1">IFERROR(__xludf.DUMMYFUNCTION("""COMPUTED_VALUE"""),"Ninguna")</f>
        <v>Ninguna</v>
      </c>
      <c r="W348" s="30" t="str">
        <f ca="1">IFERROR(__xludf.DUMMYFUNCTION("""COMPUTED_VALUE"""),"Presencial")</f>
        <v>Presencial</v>
      </c>
      <c r="X348" s="30" t="str">
        <f ca="1">IFERROR(__xludf.DUMMYFUNCTION("""COMPUTED_VALUE"""),"Espacio Público")</f>
        <v>Espacio Público</v>
      </c>
      <c r="Y348" s="30"/>
      <c r="Z348" s="30" t="str">
        <f ca="1">IFERROR(__xludf.DUMMYFUNCTION("""COMPUTED_VALUE"""),"Plaza de la Libertad en el municipio de Silao de la Victoria")</f>
        <v>Plaza de la Libertad en el municipio de Silao de la Victoria</v>
      </c>
      <c r="AA348" s="30"/>
      <c r="AB348" s="30" t="b">
        <f ca="1">IFERROR(__xludf.DUMMYFUNCTION("""COMPUTED_VALUE"""),FALSE)</f>
        <v>0</v>
      </c>
      <c r="AC348" s="30"/>
      <c r="AD348" s="30" t="b">
        <f ca="1">IFERROR(__xludf.DUMMYFUNCTION("""COMPUTED_VALUE"""),TRUE)</f>
        <v>1</v>
      </c>
      <c r="AE348" s="30"/>
      <c r="AF348" s="30" t="b">
        <f ca="1">IFERROR(__xludf.DUMMYFUNCTION("""COMPUTED_VALUE"""),FALSE)</f>
        <v>0</v>
      </c>
      <c r="AG348" s="30"/>
      <c r="AH348" s="30" t="str">
        <f ca="1">IFERROR(__xludf.DUMMYFUNCTION("""COMPUTED_VALUE"""),"Sin costo")</f>
        <v>Sin costo</v>
      </c>
      <c r="AI348" s="30"/>
      <c r="AJ348" s="30"/>
      <c r="AK348" s="30"/>
      <c r="AL348" s="30" t="str">
        <f ca="1">IFERROR(__xludf.DUMMYFUNCTION("""COMPUTED_VALUE"""),"ccardonav@guanajuato.gob.mx")</f>
        <v>ccardonav@guanajuato.gob.mx</v>
      </c>
      <c r="AM348"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348" s="30" t="str">
        <f ca="1">IFERROR(__xludf.DUMMYFUNCTION("""COMPUTED_VALUE"""),"2 Igualdad")</f>
        <v>2 Igualdad</v>
      </c>
      <c r="AO348" s="30" t="str">
        <f ca="1">IFERROR(__xludf.DUMMYFUNCTION("""COMPUTED_VALUE"""),"2.4 Reducir brechas de desigualdad")</f>
        <v>2.4 Reducir brechas de desigualdad</v>
      </c>
      <c r="AP348" s="30" t="str">
        <f ca="1">IFERROR(__xludf.DUMMYFUNCTION("""COMPUTED_VALUE"""),"2.4.3 Descentralización de la oferta cultural")</f>
        <v>2.4.3 Descentralización de la oferta cultural</v>
      </c>
      <c r="AQ348" s="30" t="str">
        <f ca="1">IFERROR(__xludf.DUMMYFUNCTION("""COMPUTED_VALUE"""),"2.4.3.3 Incidir en el involucramiento de las personas con el ecosistema cultural")</f>
        <v>2.4.3.3 Incidir en el involucramiento de las personas con el ecosistema cultural</v>
      </c>
      <c r="AR348" s="30" t="str">
        <f ca="1">IFERROR(__xludf.DUMMYFUNCTION("""COMPUTED_VALUE"""),"Inclusión")</f>
        <v>Inclusión</v>
      </c>
      <c r="AS348" s="30" t="str">
        <f ca="1">IFERROR(__xludf.DUMMYFUNCTION("""COMPUTED_VALUE"""),"Ninguno (Población General)")</f>
        <v>Ninguno (Población General)</v>
      </c>
      <c r="AT348" s="30" t="str">
        <f ca="1">IFERROR(__xludf.DUMMYFUNCTION("""COMPUTED_VALUE"""),"Fortalecimiento de la participación ciudadana y la mediación cultural")</f>
        <v>Fortalecimiento de la participación ciudadana y la mediación cultural</v>
      </c>
      <c r="AU348" s="30" t="str">
        <f ca="1">IFERROR(__xludf.DUMMYFUNCTION("""COMPUTED_VALUE"""),"Impulso a la ampliación de la oferta cultural en los territorios.")</f>
        <v>Impulso a la ampliación de la oferta cultural en los territorios.</v>
      </c>
      <c r="AV348" s="30" t="str">
        <f ca="1">IFERROR(__xludf.DUMMYFUNCTION("""COMPUTED_VALUE"""),"Impulsar los proyectos culturales itinerantes.")</f>
        <v>Impulsar los proyectos culturales itinerantes.</v>
      </c>
      <c r="AW348" s="30" t="str">
        <f ca="1">IFERROR(__xludf.DUMMYFUNCTION("""COMPUTED_VALUE"""),"Incrementar en 25% la oferta cultural realizada en los municipios.")</f>
        <v>Incrementar en 25% la oferta cultural realizada en los municipios.</v>
      </c>
      <c r="AX348" s="30" t="str">
        <f ca="1">IFERROR(__xludf.DUMMYFUNCTION("""COMPUTED_VALUE"""),"Muestra itinerante")</f>
        <v>Muestra itinerante</v>
      </c>
      <c r="AY348" s="30" t="str">
        <f ca="1">IFERROR(__xludf.DUMMYFUNCTION("""COMPUTED_VALUE"""),"Circulación / Exhibición")</f>
        <v>Circulación / Exhibición</v>
      </c>
      <c r="AZ348" s="30"/>
      <c r="BA348" s="30"/>
      <c r="BB348" s="30"/>
      <c r="BC348" s="30">
        <f ca="1">IFERROR(__xludf.DUMMYFUNCTION("""COMPUTED_VALUE"""),0)</f>
        <v>0</v>
      </c>
      <c r="BD348" s="30"/>
      <c r="BE348" s="30"/>
      <c r="BF348" s="30" t="b">
        <f ca="1">IFERROR(__xludf.DUMMYFUNCTION("""COMPUTED_VALUE"""),TRUE)</f>
        <v>1</v>
      </c>
      <c r="BG348" s="30" t="str">
        <f ca="1">IFERROR(__xludf.DUMMYFUNCTION("""COMPUTED_VALUE"""),"Especie")</f>
        <v>Especie</v>
      </c>
      <c r="BH348" s="30"/>
      <c r="BI348" s="30"/>
      <c r="BJ348" s="30"/>
      <c r="BK348" s="30"/>
      <c r="BL348" s="30"/>
      <c r="BM348" s="30" t="str">
        <f ca="1">IFERROR(__xludf.DUMMYFUNCTION("""COMPUTED_VALUE"""),"Sí")</f>
        <v>Sí</v>
      </c>
      <c r="BN348" s="30" t="str">
        <f ca="1">IFERROR(__xludf.DUMMYFUNCTION("""COMPUTED_VALUE"""),"Acompañamiento Técnico")</f>
        <v>Acompañamiento Técnico</v>
      </c>
      <c r="BO348" s="30" t="str">
        <f ca="1">IFERROR(__xludf.DUMMYFUNCTION("""COMPUTED_VALUE"""),"961571fe")</f>
        <v>961571fe</v>
      </c>
      <c r="BP348" s="29" t="str">
        <f ca="1">IFERROR(__xludf.DUMMYFUNCTION("""COMPUTED_VALUE"""),"Guanajuato")</f>
        <v>Guanajuato</v>
      </c>
      <c r="BQ348" s="30" t="str">
        <f ca="1">IFERROR(__xludf.DUMMYFUNCTION("""COMPUTED_VALUE"""),"Urbano")</f>
        <v>Urbano</v>
      </c>
      <c r="BR348" s="30">
        <f ca="1">IFERROR(__xludf.DUMMYFUNCTION("""COMPUTED_VALUE"""),49)</f>
        <v>49</v>
      </c>
      <c r="BS348" s="30" t="str">
        <f ca="1">IFERROR(__xludf.DUMMYFUNCTION("""COMPUTED_VALUE"""),"Guanajuato")</f>
        <v>Guanajuato</v>
      </c>
      <c r="BT348" s="30"/>
      <c r="BU348" s="30" t="str">
        <f ca="1">IFERROR(__xludf.DUMMYFUNCTION("""COMPUTED_VALUE"""),"Si")</f>
        <v>Si</v>
      </c>
      <c r="BV348" s="30" t="str">
        <f ca="1">IFERROR(__xludf.DUMMYFUNCTION("""COMPUTED_VALUE"""),"Si")</f>
        <v>Si</v>
      </c>
      <c r="BW348" s="30">
        <f ca="1">IFERROR(__xludf.DUMMYFUNCTION("""COMPUTED_VALUE"""),130)</f>
        <v>130</v>
      </c>
      <c r="BX348" s="30"/>
      <c r="BY348" s="30">
        <f ca="1">IFERROR(__xludf.DUMMYFUNCTION("""COMPUTED_VALUE"""),130)</f>
        <v>130</v>
      </c>
      <c r="BZ348" s="30" t="str">
        <f ca="1">IFERROR(__xludf.DUMMYFUNCTION("""COMPUTED_VALUE"""),"Guanajuato")</f>
        <v>Guanajuato</v>
      </c>
      <c r="CA348" s="30" t="str">
        <f ca="1">IFERROR(__xludf.DUMMYFUNCTION("""COMPUTED_VALUE"""),"No")</f>
        <v>No</v>
      </c>
      <c r="CB348" s="30" t="str">
        <f ca="1">IFERROR(__xludf.DUMMYFUNCTION("""COMPUTED_VALUE"""),"No")</f>
        <v>No</v>
      </c>
      <c r="CC348" s="30" t="str">
        <f ca="1">IFERROR(__xludf.DUMMYFUNCTION("""COMPUTED_VALUE"""),"7228d6b6")</f>
        <v>7228d6b6</v>
      </c>
      <c r="CD348" s="29" t="str">
        <f ca="1">IFERROR(__xludf.DUMMYFUNCTION("""COMPUTED_VALUE"""),"Adultos (30 a 59 años)")</f>
        <v>Adultos (30 a 59 años)</v>
      </c>
      <c r="CE348" s="30" t="str">
        <f ca="1">IFERROR(__xludf.DUMMYFUNCTION("""COMPUTED_VALUE"""),"Dato global")</f>
        <v>Dato global</v>
      </c>
      <c r="CF348" s="30" t="str">
        <f ca="1">IFERROR(__xludf.DUMMYFUNCTION("""COMPUTED_VALUE"""),"Ninguno (Población General)")</f>
        <v>Ninguno (Población General)</v>
      </c>
      <c r="CG348" s="30">
        <f ca="1">IFERROR(__xludf.DUMMYFUNCTION("""COMPUTED_VALUE"""),4)</f>
        <v>4</v>
      </c>
      <c r="CJ348" s="29"/>
      <c r="CM348" s="30" t="str">
        <f ca="1">IFERROR(__xludf.DUMMYFUNCTION("""COMPUTED_VALUE"""),"Guanajuato")</f>
        <v>Guanajuato</v>
      </c>
      <c r="CN348" s="32" t="e">
        <f ca="1"/>
        <v>#NAME?</v>
      </c>
      <c r="CO348" s="32" t="e">
        <f ca="1"/>
        <v>#NAME?</v>
      </c>
      <c r="CP348" s="32" t="e">
        <f ca="1"/>
        <v>#NAME?</v>
      </c>
      <c r="CQ348" s="32" t="e">
        <f ca="1"/>
        <v>#NAME?</v>
      </c>
      <c r="CR348" s="30" t="e">
        <f ca="1"/>
        <v>#NAME?</v>
      </c>
      <c r="CS348" s="30" t="str">
        <f ca="1">IFERROR(__xludf.DUMMYFUNCTION("""COMPUTED_VALUE"""),"Ninguno (Población General)")</f>
        <v>Ninguno (Población General)</v>
      </c>
    </row>
    <row r="349" spans="1:97" ht="13">
      <c r="A349" s="29" t="str">
        <f ca="1">IFERROR(__xludf.DUMMYFUNCTION("""COMPUTED_VALUE"""),"ACT-SCEF46739")</f>
        <v>ACT-SCEF46739</v>
      </c>
      <c r="B349" s="30" t="str">
        <f ca="1">IFERROR(__xludf.DUMMYFUNCTION("""COMPUTED_VALUE"""),"SC-260908-112834")</f>
        <v>SC-260908-112834</v>
      </c>
      <c r="C349" s="62">
        <f ca="1">IFERROR(__xludf.DUMMYFUNCTION("""COMPUTED_VALUE"""),46273.4781712963)</f>
        <v>46273.478171296301</v>
      </c>
      <c r="D349" s="30">
        <f ca="1">IFERROR(__xludf.DUMMYFUNCTION("""COMPUTED_VALUE"""),93)</f>
        <v>93</v>
      </c>
      <c r="E349" s="30" t="str">
        <f ca="1">IFERROR(__xludf.DUMMYFUNCTION("""COMPUTED_VALUE"""),"PB3572")</f>
        <v>PB3572</v>
      </c>
      <c r="F34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49" s="30" t="str">
        <f ca="1">IFERROR(__xludf.DUMMYFUNCTION("""COMPUTED_VALUE"""),"Participación de artistas en las actividades extramuros en municipios del Estado de Guanajuato")</f>
        <v>Participación de artistas en las actividades extramuros en municipios del Estado de Guanajuato</v>
      </c>
      <c r="H349" s="30" t="str">
        <f ca="1">IFERROR(__xludf.DUMMYFUNCTION("""COMPUTED_VALUE"""),"SUBSECRETARÍA DE DESARROLLO Y PROMOCIÓN ARTÍSTICA Y CULTURAL")</f>
        <v>SUBSECRETARÍA DE DESARROLLO Y PROMOCIÓN ARTÍSTICA Y CULTURAL</v>
      </c>
      <c r="I349" s="34" t="str">
        <f ca="1">IFERROR(__xludf.DUMMYFUNCTION("""COMPUTED_VALUE"""),"DIRECCIÓN GENERAL DE MUSEOS, ARTES VISUALES Y EXPOSICIONES")</f>
        <v>DIRECCIÓN GENERAL DE MUSEOS, ARTES VISUALES Y EXPOSICIONES</v>
      </c>
      <c r="J349" s="30" t="str">
        <f ca="1">IFERROR(__xludf.DUMMYFUNCTION("""COMPUTED_VALUE"""),"Número de Actividades realizadas")</f>
        <v>Número de Actividades realizadas</v>
      </c>
      <c r="K349" s="30">
        <f ca="1">IFERROR(__xludf.DUMMYFUNCTION("""COMPUTED_VALUE"""),10)</f>
        <v>10</v>
      </c>
      <c r="L349" s="30" t="str">
        <f ca="1">IFERROR(__xludf.DUMMYFUNCTION("""COMPUTED_VALUE"""),"Artística")</f>
        <v>Artística</v>
      </c>
      <c r="M349" s="30" t="str">
        <f ca="1">IFERROR(__xludf.DUMMYFUNCTION("""COMPUTED_VALUE"""),"Arte en tu Plaza exposicion ""Homo Videns"" municipio de Comonfort")</f>
        <v>Arte en tu Plaza exposicion "Homo Videns" municipio de Comonfort</v>
      </c>
      <c r="N349" s="30" t="str">
        <f ca="1">IFERROR(__xludf.DUMMYFUNCTION("""COMPUTED_VALUE"""),"Exposicion en Plaza Civica Dr. Mora en el municipio de Comonfort como parte del programa Arte en tu Plaza")</f>
        <v>Exposicion en Plaza Civica Dr. Mora en el municipio de Comonfort como parte del programa Arte en tu Plaza</v>
      </c>
      <c r="O349" s="30" t="str">
        <f ca="1">IFERROR(__xludf.DUMMYFUNCTION("""COMPUTED_VALUE"""),"Otras")</f>
        <v>Otras</v>
      </c>
      <c r="P349" s="33">
        <f ca="1">IFERROR(__xludf.DUMMYFUNCTION("""COMPUTED_VALUE"""),46242)</f>
        <v>46242</v>
      </c>
      <c r="Q349" s="33">
        <f ca="1">IFERROR(__xludf.DUMMYFUNCTION("""COMPUTED_VALUE"""),46264)</f>
        <v>46264</v>
      </c>
      <c r="R349" s="30">
        <f ca="1">IFERROR(__xludf.DUMMYFUNCTION("""COMPUTED_VALUE"""),1)</f>
        <v>1</v>
      </c>
      <c r="S349" s="30" t="str">
        <f ca="1">IFERROR(__xludf.DUMMYFUNCTION("""COMPUTED_VALUE"""),"Artes visuales")</f>
        <v>Artes visuales</v>
      </c>
      <c r="T349" s="30" t="str">
        <f ca="1">IFERROR(__xludf.DUMMYFUNCTION("""COMPUTED_VALUE"""),"Arte urbano")</f>
        <v>Arte urbano</v>
      </c>
      <c r="U349" s="30" t="str">
        <f ca="1">IFERROR(__xludf.DUMMYFUNCTION("""COMPUTED_VALUE"""),"Muestra artística")</f>
        <v>Muestra artística</v>
      </c>
      <c r="V349" s="30" t="str">
        <f ca="1">IFERROR(__xludf.DUMMYFUNCTION("""COMPUTED_VALUE"""),"Ninguna")</f>
        <v>Ninguna</v>
      </c>
      <c r="W349" s="30" t="str">
        <f ca="1">IFERROR(__xludf.DUMMYFUNCTION("""COMPUTED_VALUE"""),"Presencial")</f>
        <v>Presencial</v>
      </c>
      <c r="X349" s="30" t="str">
        <f ca="1">IFERROR(__xludf.DUMMYFUNCTION("""COMPUTED_VALUE"""),"Espacio Público")</f>
        <v>Espacio Público</v>
      </c>
      <c r="Y349" s="30"/>
      <c r="Z349" s="30" t="str">
        <f ca="1">IFERROR(__xludf.DUMMYFUNCTION("""COMPUTED_VALUE"""),"Plaza Civica Dr. Mora en el municipio de Comonfort")</f>
        <v>Plaza Civica Dr. Mora en el municipio de Comonfort</v>
      </c>
      <c r="AA349" s="30"/>
      <c r="AB349" s="30" t="b">
        <f ca="1">IFERROR(__xludf.DUMMYFUNCTION("""COMPUTED_VALUE"""),FALSE)</f>
        <v>0</v>
      </c>
      <c r="AC349" s="30"/>
      <c r="AD349" s="30" t="b">
        <f ca="1">IFERROR(__xludf.DUMMYFUNCTION("""COMPUTED_VALUE"""),TRUE)</f>
        <v>1</v>
      </c>
      <c r="AE349" s="30"/>
      <c r="AF349" s="30" t="b">
        <f ca="1">IFERROR(__xludf.DUMMYFUNCTION("""COMPUTED_VALUE"""),FALSE)</f>
        <v>0</v>
      </c>
      <c r="AG349" s="30"/>
      <c r="AH349" s="30" t="str">
        <f ca="1">IFERROR(__xludf.DUMMYFUNCTION("""COMPUTED_VALUE"""),"Sin costo")</f>
        <v>Sin costo</v>
      </c>
      <c r="AI349" s="30"/>
      <c r="AJ349" s="30"/>
      <c r="AK349" s="30"/>
      <c r="AL349" s="30" t="str">
        <f ca="1">IFERROR(__xludf.DUMMYFUNCTION("""COMPUTED_VALUE"""),"ccardonav@guanajuato.gob.mx")</f>
        <v>ccardonav@guanajuato.gob.mx</v>
      </c>
      <c r="AM349" s="30" t="str">
        <f ca="1">IFERROR(__xludf.DUMMYFUNCTION("""COMPUTED_VALUE"""),"Programa “Arte en tu plaza”: A. Apreciación del arte y la cultura en plazas públicas (canto, baile, poesía, oratoria, pintura, etc.). B. Exhibición de artesanos y artistas locales en escuelas, plazas cívicas y centros comerciales.")</f>
        <v>Programa “Arte en tu plaza”: A. Apreciación del arte y la cultura en plazas públicas (canto, baile, poesía, oratoria, pintura, etc.). B. Exhibición de artesanos y artistas locales en escuelas, plazas cívicas y centros comerciales.</v>
      </c>
      <c r="AN349" s="30" t="str">
        <f ca="1">IFERROR(__xludf.DUMMYFUNCTION("""COMPUTED_VALUE"""),"2 Igualdad")</f>
        <v>2 Igualdad</v>
      </c>
      <c r="AO349" s="30" t="str">
        <f ca="1">IFERROR(__xludf.DUMMYFUNCTION("""COMPUTED_VALUE"""),"2.4 Reducir brechas de desigualdad")</f>
        <v>2.4 Reducir brechas de desigualdad</v>
      </c>
      <c r="AP349" s="30" t="str">
        <f ca="1">IFERROR(__xludf.DUMMYFUNCTION("""COMPUTED_VALUE"""),"2.4.3 Descentralización de la oferta cultural")</f>
        <v>2.4.3 Descentralización de la oferta cultural</v>
      </c>
      <c r="AQ349" s="30" t="str">
        <f ca="1">IFERROR(__xludf.DUMMYFUNCTION("""COMPUTED_VALUE"""),"2.4.3.3 Incidir en el involucramiento de las personas con el ecosistema cultural")</f>
        <v>2.4.3.3 Incidir en el involucramiento de las personas con el ecosistema cultural</v>
      </c>
      <c r="AR349" s="30" t="str">
        <f ca="1">IFERROR(__xludf.DUMMYFUNCTION("""COMPUTED_VALUE"""),"Inclusión")</f>
        <v>Inclusión</v>
      </c>
      <c r="AS349" s="30" t="str">
        <f ca="1">IFERROR(__xludf.DUMMYFUNCTION("""COMPUTED_VALUE"""),"Ninguno (Población General)")</f>
        <v>Ninguno (Población General)</v>
      </c>
      <c r="AT349" s="30" t="str">
        <f ca="1">IFERROR(__xludf.DUMMYFUNCTION("""COMPUTED_VALUE"""),"Fortalecimiento de la participación ciudadana y la mediación cultural")</f>
        <v>Fortalecimiento de la participación ciudadana y la mediación cultural</v>
      </c>
      <c r="AU349" s="30" t="str">
        <f ca="1">IFERROR(__xludf.DUMMYFUNCTION("""COMPUTED_VALUE"""),"Impulso a la ampliación de la oferta cultural en los territorios.")</f>
        <v>Impulso a la ampliación de la oferta cultural en los territorios.</v>
      </c>
      <c r="AV349" s="30" t="str">
        <f ca="1">IFERROR(__xludf.DUMMYFUNCTION("""COMPUTED_VALUE"""),"Impulsar los proyectos culturales itinerantes.")</f>
        <v>Impulsar los proyectos culturales itinerantes.</v>
      </c>
      <c r="AW349" s="30" t="str">
        <f ca="1">IFERROR(__xludf.DUMMYFUNCTION("""COMPUTED_VALUE"""),"Incrementar en 25% la oferta cultural realizada en los municipios.")</f>
        <v>Incrementar en 25% la oferta cultural realizada en los municipios.</v>
      </c>
      <c r="AX349" s="30" t="str">
        <f ca="1">IFERROR(__xludf.DUMMYFUNCTION("""COMPUTED_VALUE"""),"Muestra itinerante")</f>
        <v>Muestra itinerante</v>
      </c>
      <c r="AY349" s="30" t="str">
        <f ca="1">IFERROR(__xludf.DUMMYFUNCTION("""COMPUTED_VALUE"""),"Circulación / Exhibición")</f>
        <v>Circulación / Exhibición</v>
      </c>
      <c r="AZ349" s="30"/>
      <c r="BA349" s="30"/>
      <c r="BB349" s="30"/>
      <c r="BC349" s="30">
        <f ca="1">IFERROR(__xludf.DUMMYFUNCTION("""COMPUTED_VALUE"""),0)</f>
        <v>0</v>
      </c>
      <c r="BD349" s="30"/>
      <c r="BE349" s="30"/>
      <c r="BF349" s="30" t="b">
        <f ca="1">IFERROR(__xludf.DUMMYFUNCTION("""COMPUTED_VALUE"""),TRUE)</f>
        <v>1</v>
      </c>
      <c r="BG349" s="30" t="str">
        <f ca="1">IFERROR(__xludf.DUMMYFUNCTION("""COMPUTED_VALUE"""),"Especie")</f>
        <v>Especie</v>
      </c>
      <c r="BH349" s="30"/>
      <c r="BI349" s="30"/>
      <c r="BJ349" s="30"/>
      <c r="BK349" s="30"/>
      <c r="BL349" s="30"/>
      <c r="BM349" s="30" t="str">
        <f ca="1">IFERROR(__xludf.DUMMYFUNCTION("""COMPUTED_VALUE"""),"Sí")</f>
        <v>Sí</v>
      </c>
      <c r="BN349" s="30" t="str">
        <f ca="1">IFERROR(__xludf.DUMMYFUNCTION("""COMPUTED_VALUE"""),"Acompañamiento Técnico")</f>
        <v>Acompañamiento Técnico</v>
      </c>
      <c r="BO349" s="30" t="str">
        <f ca="1">IFERROR(__xludf.DUMMYFUNCTION("""COMPUTED_VALUE"""),"8f339163")</f>
        <v>8f339163</v>
      </c>
      <c r="BP349" s="29" t="str">
        <f ca="1">IFERROR(__xludf.DUMMYFUNCTION("""COMPUTED_VALUE"""),"Guanajuato")</f>
        <v>Guanajuato</v>
      </c>
      <c r="BQ349" s="30" t="str">
        <f ca="1">IFERROR(__xludf.DUMMYFUNCTION("""COMPUTED_VALUE"""),"Urbano")</f>
        <v>Urbano</v>
      </c>
      <c r="BR349" s="30"/>
      <c r="BS349" s="30"/>
      <c r="BT349" s="30"/>
      <c r="BU349" s="30" t="str">
        <f ca="1">IFERROR(__xludf.DUMMYFUNCTION("""COMPUTED_VALUE"""),"No")</f>
        <v>No</v>
      </c>
      <c r="BV349" s="30" t="str">
        <f ca="1">IFERROR(__xludf.DUMMYFUNCTION("""COMPUTED_VALUE"""),"No")</f>
        <v>No</v>
      </c>
      <c r="BW349" s="30">
        <f ca="1">IFERROR(__xludf.DUMMYFUNCTION("""COMPUTED_VALUE"""),36)</f>
        <v>36</v>
      </c>
      <c r="BX349" s="30"/>
      <c r="BY349" s="30">
        <f ca="1">IFERROR(__xludf.DUMMYFUNCTION("""COMPUTED_VALUE"""),36)</f>
        <v>36</v>
      </c>
      <c r="BZ349" s="30"/>
      <c r="CA349" s="30" t="str">
        <f ca="1">IFERROR(__xludf.DUMMYFUNCTION("""COMPUTED_VALUE"""),"No")</f>
        <v>No</v>
      </c>
      <c r="CB349" s="30" t="str">
        <f ca="1">IFERROR(__xludf.DUMMYFUNCTION("""COMPUTED_VALUE"""),"No")</f>
        <v>No</v>
      </c>
      <c r="CC349" s="30" t="str">
        <f ca="1">IFERROR(__xludf.DUMMYFUNCTION("""COMPUTED_VALUE"""),"977f988b")</f>
        <v>977f988b</v>
      </c>
      <c r="CD349" s="29" t="str">
        <f ca="1">IFERROR(__xludf.DUMMYFUNCTION("""COMPUTED_VALUE"""),"Niñas y Niños (6 a 12 años)")</f>
        <v>Niñas y Niños (6 a 12 años)</v>
      </c>
      <c r="CE349" s="30" t="str">
        <f ca="1">IFERROR(__xludf.DUMMYFUNCTION("""COMPUTED_VALUE"""),"Dato global")</f>
        <v>Dato global</v>
      </c>
      <c r="CF349" s="30" t="str">
        <f ca="1">IFERROR(__xludf.DUMMYFUNCTION("""COMPUTED_VALUE"""),"Ninguno (Población General)")</f>
        <v>Ninguno (Población General)</v>
      </c>
      <c r="CG349" s="30">
        <f ca="1">IFERROR(__xludf.DUMMYFUNCTION("""COMPUTED_VALUE"""),1)</f>
        <v>1</v>
      </c>
      <c r="CJ349" s="29"/>
      <c r="CM349" s="30" t="str">
        <f ca="1">IFERROR(__xludf.DUMMYFUNCTION("""COMPUTED_VALUE"""),"Guanajuato")</f>
        <v>Guanajuato</v>
      </c>
      <c r="CN349" s="32" t="e">
        <f ca="1"/>
        <v>#NAME?</v>
      </c>
      <c r="CO349" s="32" t="e">
        <f ca="1"/>
        <v>#NAME?</v>
      </c>
      <c r="CP349" s="32" t="e">
        <f ca="1"/>
        <v>#NAME?</v>
      </c>
      <c r="CQ349" s="32" t="e">
        <f ca="1"/>
        <v>#NAME?</v>
      </c>
      <c r="CR349" s="30" t="e">
        <f ca="1"/>
        <v>#NAME?</v>
      </c>
      <c r="CS349" s="30" t="str">
        <f ca="1">IFERROR(__xludf.DUMMYFUNCTION("""COMPUTED_VALUE"""),"Ninguno (Población General)")</f>
        <v>Ninguno (Población General)</v>
      </c>
    </row>
    <row r="350" spans="1:97" ht="13">
      <c r="A350" s="29" t="str">
        <f ca="1">IFERROR(__xludf.DUMMYFUNCTION("""COMPUTED_VALUE"""),"ACT-SCFB30098")</f>
        <v>ACT-SCFB30098</v>
      </c>
      <c r="B350" s="30" t="str">
        <f ca="1">IFERROR(__xludf.DUMMYFUNCTION("""COMPUTED_VALUE"""),"SC-260908-140301")</f>
        <v>SC-260908-140301</v>
      </c>
      <c r="C350" s="62">
        <f ca="1">IFERROR(__xludf.DUMMYFUNCTION("""COMPUTED_VALUE"""),46273.5854282407)</f>
        <v>46273.585428240702</v>
      </c>
      <c r="D350" s="30">
        <f ca="1">IFERROR(__xludf.DUMMYFUNCTION("""COMPUTED_VALUE"""),92)</f>
        <v>92</v>
      </c>
      <c r="E350" s="30" t="str">
        <f ca="1">IFERROR(__xludf.DUMMYFUNCTION("""COMPUTED_VALUE"""),"PB3572")</f>
        <v>PB3572</v>
      </c>
      <c r="F35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0" s="30" t="str">
        <f ca="1">IFERROR(__xludf.DUMMYFUNCTION("""COMPUTED_VALUE"""),"SUBSECRETARÍA DE DESARROLLO Y PROMOCIÓN ARTÍSTICA Y CULTURAL")</f>
        <v>SUBSECRETARÍA DE DESARROLLO Y PROMOCIÓN ARTÍSTICA Y CULTURAL</v>
      </c>
      <c r="I350" s="34" t="str">
        <f ca="1">IFERROR(__xludf.DUMMYFUNCTION("""COMPUTED_VALUE"""),"DIRECCIÓN GENERAL DE MUSEOS, ARTES VISUALES Y EXPOSICIONES")</f>
        <v>DIRECCIÓN GENERAL DE MUSEOS, ARTES VISUALES Y EXPOSICIONES</v>
      </c>
      <c r="J350" s="30" t="str">
        <f ca="1">IFERROR(__xludf.DUMMYFUNCTION("""COMPUTED_VALUE"""),"Número de Actividades realizadas")</f>
        <v>Número de Actividades realizadas</v>
      </c>
      <c r="K350" s="30">
        <f ca="1">IFERROR(__xludf.DUMMYFUNCTION("""COMPUTED_VALUE"""),800)</f>
        <v>800</v>
      </c>
      <c r="L350" s="30" t="str">
        <f ca="1">IFERROR(__xludf.DUMMYFUNCTION("""COMPUTED_VALUE"""),"Artística")</f>
        <v>Artística</v>
      </c>
      <c r="M350" s="30" t="str">
        <f ca="1">IFERROR(__xludf.DUMMYFUNCTION("""COMPUTED_VALUE"""),"Talleres familiares de verano: Paisajes que cuentan historias.")</f>
        <v>Talleres familiares de verano: Paisajes que cuentan historias.</v>
      </c>
      <c r="N350" s="30" t="str">
        <f ca="1">IFERROR(__xludf.DUMMYFUNCTION("""COMPUTED_VALUE"""),"Las y los participantes descubren cómo los paisajes pueden expresar recuerdos, emociones y experiencias")</f>
        <v>Las y los participantes descubren cómo los paisajes pueden expresar recuerdos, emociones y experiencias</v>
      </c>
      <c r="O350" s="30" t="str">
        <f ca="1">IFERROR(__xludf.DUMMYFUNCTION("""COMPUTED_VALUE"""),"Única")</f>
        <v>Única</v>
      </c>
      <c r="P350" s="33">
        <f ca="1">IFERROR(__xludf.DUMMYFUNCTION("""COMPUTED_VALUE"""),46249)</f>
        <v>46249</v>
      </c>
      <c r="Q350" s="33">
        <f ca="1">IFERROR(__xludf.DUMMYFUNCTION("""COMPUTED_VALUE"""),46249)</f>
        <v>46249</v>
      </c>
      <c r="R350" s="30">
        <f ca="1">IFERROR(__xludf.DUMMYFUNCTION("""COMPUTED_VALUE"""),1)</f>
        <v>1</v>
      </c>
      <c r="S350" s="30" t="str">
        <f ca="1">IFERROR(__xludf.DUMMYFUNCTION("""COMPUTED_VALUE"""),"Cultura comunitaria")</f>
        <v>Cultura comunitaria</v>
      </c>
      <c r="T350" s="30" t="str">
        <f ca="1">IFERROR(__xludf.DUMMYFUNCTION("""COMPUTED_VALUE"""),"Formación comunitaria")</f>
        <v>Formación comunitaria</v>
      </c>
      <c r="U350" s="30" t="str">
        <f ca="1">IFERROR(__xludf.DUMMYFUNCTION("""COMPUTED_VALUE"""),"Taller")</f>
        <v>Taller</v>
      </c>
      <c r="V350" s="30" t="str">
        <f ca="1">IFERROR(__xludf.DUMMYFUNCTION("""COMPUTED_VALUE"""),"Ninguna")</f>
        <v>Ninguna</v>
      </c>
      <c r="W350" s="30" t="str">
        <f ca="1">IFERROR(__xludf.DUMMYFUNCTION("""COMPUTED_VALUE"""),"Presencial")</f>
        <v>Presencial</v>
      </c>
      <c r="X350" s="30" t="str">
        <f ca="1">IFERROR(__xludf.DUMMYFUNCTION("""COMPUTED_VALUE"""),"Espacio a Cargo de la Secretaría")</f>
        <v>Espacio a Cargo de la Secretaría</v>
      </c>
      <c r="Y350" s="30" t="str">
        <f ca="1">IFERROR(__xludf.DUMMYFUNCTION("""COMPUTED_VALUE"""),"Museo Casa Diego Rivera")</f>
        <v>Museo Casa Diego Rivera</v>
      </c>
      <c r="Z350" s="30"/>
      <c r="AA350" s="30"/>
      <c r="AB350" s="30" t="b">
        <f ca="1">IFERROR(__xludf.DUMMYFUNCTION("""COMPUTED_VALUE"""),FALSE)</f>
        <v>0</v>
      </c>
      <c r="AC350" s="30"/>
      <c r="AD350" s="30" t="b">
        <f ca="1">IFERROR(__xludf.DUMMYFUNCTION("""COMPUTED_VALUE"""),FALSE)</f>
        <v>0</v>
      </c>
      <c r="AE350" s="30"/>
      <c r="AF350" s="30" t="b">
        <f ca="1">IFERROR(__xludf.DUMMYFUNCTION("""COMPUTED_VALUE"""),FALSE)</f>
        <v>0</v>
      </c>
      <c r="AG350" s="30"/>
      <c r="AH350" s="30" t="str">
        <f ca="1">IFERROR(__xludf.DUMMYFUNCTION("""COMPUTED_VALUE"""),"Sin costo")</f>
        <v>Sin costo</v>
      </c>
      <c r="AI350" s="30"/>
      <c r="AJ350" s="30"/>
      <c r="AK350" s="30"/>
      <c r="AL350" s="30" t="str">
        <f ca="1">IFERROR(__xludf.DUMMYFUNCTION("""COMPUTED_VALUE"""),"ccardonav@guanajuato.gob.mx")</f>
        <v>ccardonav@guanajuato.gob.mx</v>
      </c>
      <c r="AM350" s="30" t="str">
        <f ca="1">IFERROR(__xludf.DUMMYFUNCTION("""COMPUTED_VALUE"""),"Arraigo y empoderamiento cultural de comunidades.")</f>
        <v>Arraigo y empoderamiento cultural de comunidades.</v>
      </c>
      <c r="AN350" s="30" t="str">
        <f ca="1">IFERROR(__xludf.DUMMYFUNCTION("""COMPUTED_VALUE"""),"1 Tranquilidad")</f>
        <v>1 Tranquilidad</v>
      </c>
      <c r="AO350" s="30" t="str">
        <f ca="1">IFERROR(__xludf.DUMMYFUNCTION("""COMPUTED_VALUE"""),"1.2 Fortalecer prevención del delito")</f>
        <v>1.2 Fortalecer prevención del delito</v>
      </c>
      <c r="AP350" s="30" t="str">
        <f ca="1">IFERROR(__xludf.DUMMYFUNCTION("""COMPUTED_VALUE"""),"1.2.2 Fortalecimiento del tejido social")</f>
        <v>1.2.2 Fortalecimiento del tejido social</v>
      </c>
      <c r="AQ350" s="30" t="str">
        <f ca="1">IFERROR(__xludf.DUMMYFUNCTION("""COMPUTED_VALUE"""),"1.2.3.4 Promover una cultura de paz desde las expresiones artísticas y culturales")</f>
        <v>1.2.3.4 Promover una cultura de paz desde las expresiones artísticas y culturales</v>
      </c>
      <c r="AR350" s="30" t="str">
        <f ca="1">IFERROR(__xludf.DUMMYFUNCTION("""COMPUTED_VALUE"""),"Cooperación")</f>
        <v>Cooperación</v>
      </c>
      <c r="AS350" s="30"/>
      <c r="AT350" s="30" t="str">
        <f ca="1">IFERROR(__xludf.DUMMYFUNCTION("""COMPUTED_VALUE"""),"Fortalecimiento de la participación ciudadana y la mediación cultural")</f>
        <v>Fortalecimiento de la participación ciudadana y la mediación cultural</v>
      </c>
      <c r="AU350" s="30" t="str">
        <f ca="1">IFERROR(__xludf.DUMMYFUNCTION("""COMPUTED_VALUE"""),"Impulso a la ampliación de la oferta cultural en los territorios.")</f>
        <v>Impulso a la ampliación de la oferta cultural en los territorios.</v>
      </c>
      <c r="AV35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0" s="30" t="str">
        <f ca="1">IFERROR(__xludf.DUMMYFUNCTION("""COMPUTED_VALUE"""),"Incrementar en 25% la oferta cultural realizada en los municipios.")</f>
        <v>Incrementar en 25% la oferta cultural realizada en los municipios.</v>
      </c>
      <c r="AX350" s="30" t="str">
        <f ca="1">IFERROR(__xludf.DUMMYFUNCTION("""COMPUTED_VALUE"""),"Taller")</f>
        <v>Taller</v>
      </c>
      <c r="AY350" s="30" t="str">
        <f ca="1">IFERROR(__xludf.DUMMYFUNCTION("""COMPUTED_VALUE"""),"Formación")</f>
        <v>Formación</v>
      </c>
      <c r="AZ350" s="30"/>
      <c r="BA350" s="30"/>
      <c r="BB350" s="30"/>
      <c r="BC350" s="30">
        <f ca="1">IFERROR(__xludf.DUMMYFUNCTION("""COMPUTED_VALUE"""),0)</f>
        <v>0</v>
      </c>
      <c r="BD350" s="30"/>
      <c r="BE350" s="30"/>
      <c r="BF350" s="30" t="b">
        <f ca="1">IFERROR(__xludf.DUMMYFUNCTION("""COMPUTED_VALUE"""),FALSE)</f>
        <v>0</v>
      </c>
      <c r="BG350" s="30"/>
      <c r="BH350" s="30"/>
      <c r="BI350" s="30"/>
      <c r="BJ350" s="30"/>
      <c r="BK350" s="30"/>
      <c r="BL350" s="30"/>
      <c r="BM350" s="30" t="str">
        <f ca="1">IFERROR(__xludf.DUMMYFUNCTION("""COMPUTED_VALUE"""),"No")</f>
        <v>No</v>
      </c>
      <c r="BN350" s="30"/>
      <c r="BO350" s="30" t="str">
        <f ca="1">IFERROR(__xludf.DUMMYFUNCTION("""COMPUTED_VALUE"""),"665d868e")</f>
        <v>665d868e</v>
      </c>
      <c r="BP350" s="29" t="str">
        <f ca="1">IFERROR(__xludf.DUMMYFUNCTION("""COMPUTED_VALUE"""),"Guanajuato")</f>
        <v>Guanajuato</v>
      </c>
      <c r="BQ350" s="30" t="str">
        <f ca="1">IFERROR(__xludf.DUMMYFUNCTION("""COMPUTED_VALUE"""),"Urbano")</f>
        <v>Urbano</v>
      </c>
      <c r="BR350" s="30"/>
      <c r="BS350" s="30"/>
      <c r="BT350" s="30"/>
      <c r="BU350" s="30" t="str">
        <f ca="1">IFERROR(__xludf.DUMMYFUNCTION("""COMPUTED_VALUE"""),"No")</f>
        <v>No</v>
      </c>
      <c r="BV350" s="30" t="str">
        <f ca="1">IFERROR(__xludf.DUMMYFUNCTION("""COMPUTED_VALUE"""),"No")</f>
        <v>No</v>
      </c>
      <c r="BW350" s="30">
        <f ca="1">IFERROR(__xludf.DUMMYFUNCTION("""COMPUTED_VALUE"""),15)</f>
        <v>15</v>
      </c>
      <c r="BX350" s="30"/>
      <c r="BY350" s="30">
        <f ca="1">IFERROR(__xludf.DUMMYFUNCTION("""COMPUTED_VALUE"""),15)</f>
        <v>15</v>
      </c>
      <c r="BZ350" s="30"/>
      <c r="CA350" s="30" t="str">
        <f ca="1">IFERROR(__xludf.DUMMYFUNCTION("""COMPUTED_VALUE"""),"No")</f>
        <v>No</v>
      </c>
      <c r="CB350" s="30" t="str">
        <f ca="1">IFERROR(__xludf.DUMMYFUNCTION("""COMPUTED_VALUE"""),"No")</f>
        <v>No</v>
      </c>
      <c r="CC350" s="30" t="str">
        <f ca="1">IFERROR(__xludf.DUMMYFUNCTION("""COMPUTED_VALUE"""),"c7c7de84")</f>
        <v>c7c7de84</v>
      </c>
      <c r="CD350" s="29" t="str">
        <f ca="1">IFERROR(__xludf.DUMMYFUNCTION("""COMPUTED_VALUE"""),"Adultos (30 a 59 años)")</f>
        <v>Adultos (30 a 59 años)</v>
      </c>
      <c r="CE350" s="30" t="str">
        <f ca="1">IFERROR(__xludf.DUMMYFUNCTION("""COMPUTED_VALUE"""),"Dato global")</f>
        <v>Dato global</v>
      </c>
      <c r="CF350" s="30" t="str">
        <f ca="1">IFERROR(__xludf.DUMMYFUNCTION("""COMPUTED_VALUE"""),"Ninguno (Población General)")</f>
        <v>Ninguno (Población General)</v>
      </c>
      <c r="CG350" s="30">
        <f ca="1">IFERROR(__xludf.DUMMYFUNCTION("""COMPUTED_VALUE"""),3)</f>
        <v>3</v>
      </c>
      <c r="CJ350" s="29"/>
      <c r="CM350" s="30" t="str">
        <f ca="1">IFERROR(__xludf.DUMMYFUNCTION("""COMPUTED_VALUE"""),"Guanajuato")</f>
        <v>Guanajuato</v>
      </c>
      <c r="CN350" s="32" t="e">
        <f ca="1"/>
        <v>#NAME?</v>
      </c>
      <c r="CO350" s="32" t="e">
        <f ca="1"/>
        <v>#NAME?</v>
      </c>
      <c r="CP350" s="32" t="e">
        <f ca="1"/>
        <v>#NAME?</v>
      </c>
      <c r="CQ350" s="32" t="e">
        <f ca="1"/>
        <v>#NAME?</v>
      </c>
      <c r="CR350" s="30" t="e">
        <f ca="1"/>
        <v>#NAME?</v>
      </c>
      <c r="CS350" s="30" t="str">
        <f ca="1">IFERROR(__xludf.DUMMYFUNCTION("""COMPUTED_VALUE"""),"Ninguno (Población General)")</f>
        <v>Ninguno (Población General)</v>
      </c>
    </row>
    <row r="351" spans="1:97" ht="13">
      <c r="A351" s="29" t="str">
        <f ca="1">IFERROR(__xludf.DUMMYFUNCTION("""COMPUTED_VALUE"""),"ACT-SCUX59265")</f>
        <v>ACT-SCUX59265</v>
      </c>
      <c r="B351" s="30" t="str">
        <f ca="1">IFERROR(__xludf.DUMMYFUNCTION("""COMPUTED_VALUE"""),"SC-260908-140830")</f>
        <v>SC-260908-140830</v>
      </c>
      <c r="C351" s="62">
        <f ca="1">IFERROR(__xludf.DUMMYFUNCTION("""COMPUTED_VALUE"""),46273.5892361111)</f>
        <v>46273.589236111096</v>
      </c>
      <c r="D351" s="30">
        <f ca="1">IFERROR(__xludf.DUMMYFUNCTION("""COMPUTED_VALUE"""),92)</f>
        <v>92</v>
      </c>
      <c r="E351" s="30" t="str">
        <f ca="1">IFERROR(__xludf.DUMMYFUNCTION("""COMPUTED_VALUE"""),"PB3572")</f>
        <v>PB3572</v>
      </c>
      <c r="F35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1" s="30" t="str">
        <f ca="1">IFERROR(__xludf.DUMMYFUNCTION("""COMPUTED_VALUE"""),"SUBSECRETARÍA DE DESARROLLO Y PROMOCIÓN ARTÍSTICA Y CULTURAL")</f>
        <v>SUBSECRETARÍA DE DESARROLLO Y PROMOCIÓN ARTÍSTICA Y CULTURAL</v>
      </c>
      <c r="I351" s="34" t="str">
        <f ca="1">IFERROR(__xludf.DUMMYFUNCTION("""COMPUTED_VALUE"""),"DIRECCIÓN GENERAL DE MUSEOS, ARTES VISUALES Y EXPOSICIONES")</f>
        <v>DIRECCIÓN GENERAL DE MUSEOS, ARTES VISUALES Y EXPOSICIONES</v>
      </c>
      <c r="J351" s="30" t="str">
        <f ca="1">IFERROR(__xludf.DUMMYFUNCTION("""COMPUTED_VALUE"""),"Número de Actividades realizadas")</f>
        <v>Número de Actividades realizadas</v>
      </c>
      <c r="K351" s="30">
        <f ca="1">IFERROR(__xludf.DUMMYFUNCTION("""COMPUTED_VALUE"""),800)</f>
        <v>800</v>
      </c>
      <c r="L351" s="30" t="str">
        <f ca="1">IFERROR(__xludf.DUMMYFUNCTION("""COMPUTED_VALUE"""),"Artística")</f>
        <v>Artística</v>
      </c>
      <c r="M351" s="30" t="str">
        <f ca="1">IFERROR(__xludf.DUMMYFUNCTION("""COMPUTED_VALUE"""),"Talleres familiares de verano: Paisajes que cuentan historias.")</f>
        <v>Talleres familiares de verano: Paisajes que cuentan historias.</v>
      </c>
      <c r="N351" s="30" t="str">
        <f ca="1">IFERROR(__xludf.DUMMYFUNCTION("""COMPUTED_VALUE"""),"Las y los participantes descubren cómo los paisajes pueden expresar recuerdos, emociones y experiencias")</f>
        <v>Las y los participantes descubren cómo los paisajes pueden expresar recuerdos, emociones y experiencias</v>
      </c>
      <c r="O351" s="30" t="str">
        <f ca="1">IFERROR(__xludf.DUMMYFUNCTION("""COMPUTED_VALUE"""),"Única")</f>
        <v>Única</v>
      </c>
      <c r="P351" s="33">
        <f ca="1">IFERROR(__xludf.DUMMYFUNCTION("""COMPUTED_VALUE"""),46250)</f>
        <v>46250</v>
      </c>
      <c r="Q351" s="33">
        <f ca="1">IFERROR(__xludf.DUMMYFUNCTION("""COMPUTED_VALUE"""),46250)</f>
        <v>46250</v>
      </c>
      <c r="R351" s="30">
        <f ca="1">IFERROR(__xludf.DUMMYFUNCTION("""COMPUTED_VALUE"""),1)</f>
        <v>1</v>
      </c>
      <c r="S351" s="30" t="str">
        <f ca="1">IFERROR(__xludf.DUMMYFUNCTION("""COMPUTED_VALUE"""),"Cultura comunitaria")</f>
        <v>Cultura comunitaria</v>
      </c>
      <c r="T351" s="30" t="str">
        <f ca="1">IFERROR(__xludf.DUMMYFUNCTION("""COMPUTED_VALUE"""),"Formación comunitaria")</f>
        <v>Formación comunitaria</v>
      </c>
      <c r="U351" s="30" t="str">
        <f ca="1">IFERROR(__xludf.DUMMYFUNCTION("""COMPUTED_VALUE"""),"Taller")</f>
        <v>Taller</v>
      </c>
      <c r="V351" s="30" t="str">
        <f ca="1">IFERROR(__xludf.DUMMYFUNCTION("""COMPUTED_VALUE"""),"Ninguna")</f>
        <v>Ninguna</v>
      </c>
      <c r="W351" s="30" t="str">
        <f ca="1">IFERROR(__xludf.DUMMYFUNCTION("""COMPUTED_VALUE"""),"Presencial")</f>
        <v>Presencial</v>
      </c>
      <c r="X351" s="30" t="str">
        <f ca="1">IFERROR(__xludf.DUMMYFUNCTION("""COMPUTED_VALUE"""),"Espacio a Cargo de la Secretaría")</f>
        <v>Espacio a Cargo de la Secretaría</v>
      </c>
      <c r="Y351" s="30" t="str">
        <f ca="1">IFERROR(__xludf.DUMMYFUNCTION("""COMPUTED_VALUE"""),"Museo Casa Diego Rivera")</f>
        <v>Museo Casa Diego Rivera</v>
      </c>
      <c r="Z351" s="30"/>
      <c r="AA351" s="30"/>
      <c r="AB351" s="30" t="b">
        <f ca="1">IFERROR(__xludf.DUMMYFUNCTION("""COMPUTED_VALUE"""),FALSE)</f>
        <v>0</v>
      </c>
      <c r="AC351" s="30"/>
      <c r="AD351" s="30" t="b">
        <f ca="1">IFERROR(__xludf.DUMMYFUNCTION("""COMPUTED_VALUE"""),FALSE)</f>
        <v>0</v>
      </c>
      <c r="AE351" s="30"/>
      <c r="AF351" s="30" t="b">
        <f ca="1">IFERROR(__xludf.DUMMYFUNCTION("""COMPUTED_VALUE"""),FALSE)</f>
        <v>0</v>
      </c>
      <c r="AG351" s="30"/>
      <c r="AH351" s="30" t="str">
        <f ca="1">IFERROR(__xludf.DUMMYFUNCTION("""COMPUTED_VALUE"""),"Sin costo")</f>
        <v>Sin costo</v>
      </c>
      <c r="AI351" s="30"/>
      <c r="AJ351" s="30"/>
      <c r="AK351" s="30"/>
      <c r="AL351" s="30" t="str">
        <f ca="1">IFERROR(__xludf.DUMMYFUNCTION("""COMPUTED_VALUE"""),"ccardonav@guanajuato.gob.mx")</f>
        <v>ccardonav@guanajuato.gob.mx</v>
      </c>
      <c r="AM351" s="30" t="str">
        <f ca="1">IFERROR(__xludf.DUMMYFUNCTION("""COMPUTED_VALUE"""),"Arraigo y empoderamiento cultural de comunidades.")</f>
        <v>Arraigo y empoderamiento cultural de comunidades.</v>
      </c>
      <c r="AN351" s="30" t="str">
        <f ca="1">IFERROR(__xludf.DUMMYFUNCTION("""COMPUTED_VALUE"""),"1 Tranquilidad")</f>
        <v>1 Tranquilidad</v>
      </c>
      <c r="AO351" s="30" t="str">
        <f ca="1">IFERROR(__xludf.DUMMYFUNCTION("""COMPUTED_VALUE"""),"1.2 Fortalecer prevención del delito")</f>
        <v>1.2 Fortalecer prevención del delito</v>
      </c>
      <c r="AP351" s="30" t="str">
        <f ca="1">IFERROR(__xludf.DUMMYFUNCTION("""COMPUTED_VALUE"""),"1.2.2 Fortalecimiento del tejido social")</f>
        <v>1.2.2 Fortalecimiento del tejido social</v>
      </c>
      <c r="AQ351" s="30" t="str">
        <f ca="1">IFERROR(__xludf.DUMMYFUNCTION("""COMPUTED_VALUE"""),"1.2.3.4 Promover una cultura de paz desde las expresiones artísticas y culturales")</f>
        <v>1.2.3.4 Promover una cultura de paz desde las expresiones artísticas y culturales</v>
      </c>
      <c r="AR351" s="30" t="str">
        <f ca="1">IFERROR(__xludf.DUMMYFUNCTION("""COMPUTED_VALUE"""),"Cooperación")</f>
        <v>Cooperación</v>
      </c>
      <c r="AS351" s="30"/>
      <c r="AT351" s="30" t="str">
        <f ca="1">IFERROR(__xludf.DUMMYFUNCTION("""COMPUTED_VALUE"""),"Fortalecimiento de la participación ciudadana y la mediación cultural")</f>
        <v>Fortalecimiento de la participación ciudadana y la mediación cultural</v>
      </c>
      <c r="AU351" s="30" t="str">
        <f ca="1">IFERROR(__xludf.DUMMYFUNCTION("""COMPUTED_VALUE"""),"Impulso a la ampliación de la oferta cultural en los territorios.")</f>
        <v>Impulso a la ampliación de la oferta cultural en los territorios.</v>
      </c>
      <c r="AV35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1" s="30" t="str">
        <f ca="1">IFERROR(__xludf.DUMMYFUNCTION("""COMPUTED_VALUE"""),"Incrementar en 25% la oferta cultural realizada en los municipios.")</f>
        <v>Incrementar en 25% la oferta cultural realizada en los municipios.</v>
      </c>
      <c r="AX351" s="30" t="str">
        <f ca="1">IFERROR(__xludf.DUMMYFUNCTION("""COMPUTED_VALUE"""),"Taller")</f>
        <v>Taller</v>
      </c>
      <c r="AY351" s="30" t="str">
        <f ca="1">IFERROR(__xludf.DUMMYFUNCTION("""COMPUTED_VALUE"""),"Formación")</f>
        <v>Formación</v>
      </c>
      <c r="AZ351" s="30"/>
      <c r="BA351" s="30"/>
      <c r="BB351" s="30"/>
      <c r="BC351" s="30">
        <f ca="1">IFERROR(__xludf.DUMMYFUNCTION("""COMPUTED_VALUE"""),0)</f>
        <v>0</v>
      </c>
      <c r="BD351" s="30"/>
      <c r="BE351" s="30"/>
      <c r="BF351" s="30" t="b">
        <f ca="1">IFERROR(__xludf.DUMMYFUNCTION("""COMPUTED_VALUE"""),FALSE)</f>
        <v>0</v>
      </c>
      <c r="BG351" s="30"/>
      <c r="BH351" s="30"/>
      <c r="BI351" s="30"/>
      <c r="BJ351" s="30"/>
      <c r="BK351" s="30"/>
      <c r="BL351" s="30"/>
      <c r="BM351" s="30" t="str">
        <f ca="1">IFERROR(__xludf.DUMMYFUNCTION("""COMPUTED_VALUE"""),"No")</f>
        <v>No</v>
      </c>
      <c r="BN351" s="30"/>
      <c r="BO351" s="30" t="str">
        <f ca="1">IFERROR(__xludf.DUMMYFUNCTION("""COMPUTED_VALUE"""),"cc7ef046")</f>
        <v>cc7ef046</v>
      </c>
      <c r="BP351" s="29" t="str">
        <f ca="1">IFERROR(__xludf.DUMMYFUNCTION("""COMPUTED_VALUE"""),"Guanajuato")</f>
        <v>Guanajuato</v>
      </c>
      <c r="BQ351" s="30" t="str">
        <f ca="1">IFERROR(__xludf.DUMMYFUNCTION("""COMPUTED_VALUE"""),"Urbano")</f>
        <v>Urbano</v>
      </c>
      <c r="BR351" s="30"/>
      <c r="BS351" s="30"/>
      <c r="BT351" s="30"/>
      <c r="BU351" s="30" t="str">
        <f ca="1">IFERROR(__xludf.DUMMYFUNCTION("""COMPUTED_VALUE"""),"No")</f>
        <v>No</v>
      </c>
      <c r="BV351" s="30" t="str">
        <f ca="1">IFERROR(__xludf.DUMMYFUNCTION("""COMPUTED_VALUE"""),"No")</f>
        <v>No</v>
      </c>
      <c r="BW351" s="30">
        <f ca="1">IFERROR(__xludf.DUMMYFUNCTION("""COMPUTED_VALUE"""),15)</f>
        <v>15</v>
      </c>
      <c r="BX351" s="30"/>
      <c r="BY351" s="30">
        <f ca="1">IFERROR(__xludf.DUMMYFUNCTION("""COMPUTED_VALUE"""),15)</f>
        <v>15</v>
      </c>
      <c r="BZ351" s="30"/>
      <c r="CA351" s="30" t="str">
        <f ca="1">IFERROR(__xludf.DUMMYFUNCTION("""COMPUTED_VALUE"""),"No")</f>
        <v>No</v>
      </c>
      <c r="CB351" s="30" t="str">
        <f ca="1">IFERROR(__xludf.DUMMYFUNCTION("""COMPUTED_VALUE"""),"No")</f>
        <v>No</v>
      </c>
      <c r="CC351" s="30" t="str">
        <f ca="1">IFERROR(__xludf.DUMMYFUNCTION("""COMPUTED_VALUE"""),"8b9e929c")</f>
        <v>8b9e929c</v>
      </c>
      <c r="CD351" s="29" t="str">
        <f ca="1">IFERROR(__xludf.DUMMYFUNCTION("""COMPUTED_VALUE"""),"Niñas y Niños (6 a 12 años)")</f>
        <v>Niñas y Niños (6 a 12 años)</v>
      </c>
      <c r="CE351" s="30" t="str">
        <f ca="1">IFERROR(__xludf.DUMMYFUNCTION("""COMPUTED_VALUE"""),"Dato global")</f>
        <v>Dato global</v>
      </c>
      <c r="CF351" s="30" t="str">
        <f ca="1">IFERROR(__xludf.DUMMYFUNCTION("""COMPUTED_VALUE"""),"Ninguno (Población General)")</f>
        <v>Ninguno (Población General)</v>
      </c>
      <c r="CG351" s="30">
        <f ca="1">IFERROR(__xludf.DUMMYFUNCTION("""COMPUTED_VALUE"""),9)</f>
        <v>9</v>
      </c>
      <c r="CJ351" s="29"/>
      <c r="CM351" s="30" t="str">
        <f ca="1">IFERROR(__xludf.DUMMYFUNCTION("""COMPUTED_VALUE"""),"Guanajuato")</f>
        <v>Guanajuato</v>
      </c>
      <c r="CN351" s="32" t="e">
        <f ca="1"/>
        <v>#NAME?</v>
      </c>
      <c r="CO351" s="32" t="e">
        <f ca="1"/>
        <v>#NAME?</v>
      </c>
      <c r="CP351" s="32" t="e">
        <f ca="1"/>
        <v>#NAME?</v>
      </c>
      <c r="CQ351" s="32" t="e">
        <f ca="1"/>
        <v>#NAME?</v>
      </c>
      <c r="CR351" s="30" t="e">
        <f ca="1"/>
        <v>#NAME?</v>
      </c>
      <c r="CS351" s="30" t="str">
        <f ca="1">IFERROR(__xludf.DUMMYFUNCTION("""COMPUTED_VALUE"""),"Ninguno (Población General)")</f>
        <v>Ninguno (Población General)</v>
      </c>
    </row>
    <row r="352" spans="1:97" ht="13">
      <c r="A352" s="29" t="str">
        <f ca="1">IFERROR(__xludf.DUMMYFUNCTION("""COMPUTED_VALUE"""),"ACT-SCOA06513")</f>
        <v>ACT-SCOA06513</v>
      </c>
      <c r="B352" s="30" t="str">
        <f ca="1">IFERROR(__xludf.DUMMYFUNCTION("""COMPUTED_VALUE"""),"SC-260908-141442")</f>
        <v>SC-260908-141442</v>
      </c>
      <c r="C352" s="62">
        <f ca="1">IFERROR(__xludf.DUMMYFUNCTION("""COMPUTED_VALUE"""),46273.5935416666)</f>
        <v>46273.593541666603</v>
      </c>
      <c r="D352" s="30">
        <f ca="1">IFERROR(__xludf.DUMMYFUNCTION("""COMPUTED_VALUE"""),92)</f>
        <v>92</v>
      </c>
      <c r="E352" s="30" t="str">
        <f ca="1">IFERROR(__xludf.DUMMYFUNCTION("""COMPUTED_VALUE"""),"PB3572")</f>
        <v>PB3572</v>
      </c>
      <c r="F35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2" s="30" t="str">
        <f ca="1">IFERROR(__xludf.DUMMYFUNCTION("""COMPUTED_VALUE"""),"SUBSECRETARÍA DE DESARROLLO Y PROMOCIÓN ARTÍSTICA Y CULTURAL")</f>
        <v>SUBSECRETARÍA DE DESARROLLO Y PROMOCIÓN ARTÍSTICA Y CULTURAL</v>
      </c>
      <c r="I352" s="34" t="str">
        <f ca="1">IFERROR(__xludf.DUMMYFUNCTION("""COMPUTED_VALUE"""),"DIRECCIÓN GENERAL DE MUSEOS, ARTES VISUALES Y EXPOSICIONES")</f>
        <v>DIRECCIÓN GENERAL DE MUSEOS, ARTES VISUALES Y EXPOSICIONES</v>
      </c>
      <c r="J352" s="30" t="str">
        <f ca="1">IFERROR(__xludf.DUMMYFUNCTION("""COMPUTED_VALUE"""),"Número de Actividades realizadas")</f>
        <v>Número de Actividades realizadas</v>
      </c>
      <c r="K352" s="30">
        <f ca="1">IFERROR(__xludf.DUMMYFUNCTION("""COMPUTED_VALUE"""),800)</f>
        <v>800</v>
      </c>
      <c r="L352" s="30" t="str">
        <f ca="1">IFERROR(__xludf.DUMMYFUNCTION("""COMPUTED_VALUE"""),"Artística")</f>
        <v>Artística</v>
      </c>
      <c r="M352" s="30" t="str">
        <f ca="1">IFERROR(__xludf.DUMMYFUNCTION("""COMPUTED_VALUE"""),"Callejon del arte")</f>
        <v>Callejon del arte</v>
      </c>
      <c r="N352" s="30" t="str">
        <f ca="1">IFERROR(__xludf.DUMMYFUNCTION("""COMPUTED_VALUE"""),"Espacio extramuros en donde artistas guanajuatenses tienen la oportunidad de exhibir y vender sus obras.")</f>
        <v>Espacio extramuros en donde artistas guanajuatenses tienen la oportunidad de exhibir y vender sus obras.</v>
      </c>
      <c r="O352" s="30" t="str">
        <f ca="1">IFERROR(__xludf.DUMMYFUNCTION("""COMPUTED_VALUE"""),"Única")</f>
        <v>Única</v>
      </c>
      <c r="P352" s="33">
        <f ca="1">IFERROR(__xludf.DUMMYFUNCTION("""COMPUTED_VALUE"""),46250)</f>
        <v>46250</v>
      </c>
      <c r="Q352" s="33">
        <f ca="1">IFERROR(__xludf.DUMMYFUNCTION("""COMPUTED_VALUE"""),46250)</f>
        <v>46250</v>
      </c>
      <c r="R352" s="30">
        <f ca="1">IFERROR(__xludf.DUMMYFUNCTION("""COMPUTED_VALUE"""),1)</f>
        <v>1</v>
      </c>
      <c r="S352" s="30" t="str">
        <f ca="1">IFERROR(__xludf.DUMMYFUNCTION("""COMPUTED_VALUE"""),"Cultura comunitaria")</f>
        <v>Cultura comunitaria</v>
      </c>
      <c r="T352" s="30" t="str">
        <f ca="1">IFERROR(__xludf.DUMMYFUNCTION("""COMPUTED_VALUE"""),"Formación comunitaria")</f>
        <v>Formación comunitaria</v>
      </c>
      <c r="U352" s="30" t="str">
        <f ca="1">IFERROR(__xludf.DUMMYFUNCTION("""COMPUTED_VALUE"""),"Comercialización cultural")</f>
        <v>Comercialización cultural</v>
      </c>
      <c r="V352" s="30" t="str">
        <f ca="1">IFERROR(__xludf.DUMMYFUNCTION("""COMPUTED_VALUE"""),"Ninguna")</f>
        <v>Ninguna</v>
      </c>
      <c r="W352" s="30" t="str">
        <f ca="1">IFERROR(__xludf.DUMMYFUNCTION("""COMPUTED_VALUE"""),"Presencial")</f>
        <v>Presencial</v>
      </c>
      <c r="X352" s="30" t="str">
        <f ca="1">IFERROR(__xludf.DUMMYFUNCTION("""COMPUTED_VALUE"""),"Espacio Público")</f>
        <v>Espacio Público</v>
      </c>
      <c r="Y352" s="30"/>
      <c r="Z352" s="30" t="str">
        <f ca="1">IFERROR(__xludf.DUMMYFUNCTION("""COMPUTED_VALUE"""),"Callejón de la Condesa")</f>
        <v>Callejón de la Condesa</v>
      </c>
      <c r="AA352" s="30"/>
      <c r="AB352" s="30" t="b">
        <f ca="1">IFERROR(__xludf.DUMMYFUNCTION("""COMPUTED_VALUE"""),FALSE)</f>
        <v>0</v>
      </c>
      <c r="AC352" s="30"/>
      <c r="AD352" s="30" t="b">
        <f ca="1">IFERROR(__xludf.DUMMYFUNCTION("""COMPUTED_VALUE"""),FALSE)</f>
        <v>0</v>
      </c>
      <c r="AE352" s="30"/>
      <c r="AF352" s="30" t="b">
        <f ca="1">IFERROR(__xludf.DUMMYFUNCTION("""COMPUTED_VALUE"""),FALSE)</f>
        <v>0</v>
      </c>
      <c r="AG352" s="30"/>
      <c r="AH352" s="30" t="str">
        <f ca="1">IFERROR(__xludf.DUMMYFUNCTION("""COMPUTED_VALUE"""),"Sin costo")</f>
        <v>Sin costo</v>
      </c>
      <c r="AI352" s="30"/>
      <c r="AJ352" s="30"/>
      <c r="AK352" s="30"/>
      <c r="AL352" s="30" t="str">
        <f ca="1">IFERROR(__xludf.DUMMYFUNCTION("""COMPUTED_VALUE"""),"ccardonav@guanajuato.gob.mx")</f>
        <v>ccardonav@guanajuato.gob.mx</v>
      </c>
      <c r="AM352" s="30" t="str">
        <f ca="1">IFERROR(__xludf.DUMMYFUNCTION("""COMPUTED_VALUE"""),"Arraigo y empoderamiento cultural de comunidades.")</f>
        <v>Arraigo y empoderamiento cultural de comunidades.</v>
      </c>
      <c r="AN352" s="30" t="str">
        <f ca="1">IFERROR(__xludf.DUMMYFUNCTION("""COMPUTED_VALUE"""),"1 Tranquilidad")</f>
        <v>1 Tranquilidad</v>
      </c>
      <c r="AO352" s="30" t="str">
        <f ca="1">IFERROR(__xludf.DUMMYFUNCTION("""COMPUTED_VALUE"""),"1.2 Fortalecer prevención del delito")</f>
        <v>1.2 Fortalecer prevención del delito</v>
      </c>
      <c r="AP352" s="30" t="str">
        <f ca="1">IFERROR(__xludf.DUMMYFUNCTION("""COMPUTED_VALUE"""),"1.2.2 Fortalecimiento del tejido social")</f>
        <v>1.2.2 Fortalecimiento del tejido social</v>
      </c>
      <c r="AQ352" s="30" t="str">
        <f ca="1">IFERROR(__xludf.DUMMYFUNCTION("""COMPUTED_VALUE"""),"1.2.3.4 Promover una cultura de paz desde las expresiones artísticas y culturales")</f>
        <v>1.2.3.4 Promover una cultura de paz desde las expresiones artísticas y culturales</v>
      </c>
      <c r="AR352" s="30" t="str">
        <f ca="1">IFERROR(__xludf.DUMMYFUNCTION("""COMPUTED_VALUE"""),"Cooperación")</f>
        <v>Cooperación</v>
      </c>
      <c r="AS352" s="30"/>
      <c r="AT352" s="30" t="str">
        <f ca="1">IFERROR(__xludf.DUMMYFUNCTION("""COMPUTED_VALUE"""),"Fortalecimiento de la participación ciudadana y la mediación cultural")</f>
        <v>Fortalecimiento de la participación ciudadana y la mediación cultural</v>
      </c>
      <c r="AU352" s="30" t="str">
        <f ca="1">IFERROR(__xludf.DUMMYFUNCTION("""COMPUTED_VALUE"""),"Impulso a la ampliación de la oferta cultural en los territorios.")</f>
        <v>Impulso a la ampliación de la oferta cultural en los territorios.</v>
      </c>
      <c r="AV35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2" s="30" t="str">
        <f ca="1">IFERROR(__xludf.DUMMYFUNCTION("""COMPUTED_VALUE"""),"Incrementar en 25% la oferta cultural realizada en los municipios.")</f>
        <v>Incrementar en 25% la oferta cultural realizada en los municipios.</v>
      </c>
      <c r="AX352" s="30" t="str">
        <f ca="1">IFERROR(__xludf.DUMMYFUNCTION("""COMPUTED_VALUE"""),"Mercado cultural")</f>
        <v>Mercado cultural</v>
      </c>
      <c r="AY352" s="30" t="str">
        <f ca="1">IFERROR(__xludf.DUMMYFUNCTION("""COMPUTED_VALUE"""),"Formación")</f>
        <v>Formación</v>
      </c>
      <c r="AZ352" s="30"/>
      <c r="BA352" s="30"/>
      <c r="BB352" s="30"/>
      <c r="BC352" s="30">
        <f ca="1">IFERROR(__xludf.DUMMYFUNCTION("""COMPUTED_VALUE"""),0)</f>
        <v>0</v>
      </c>
      <c r="BD352" s="30"/>
      <c r="BE352" s="30"/>
      <c r="BF352" s="30" t="b">
        <f ca="1">IFERROR(__xludf.DUMMYFUNCTION("""COMPUTED_VALUE"""),FALSE)</f>
        <v>0</v>
      </c>
      <c r="BG352" s="30"/>
      <c r="BH352" s="30"/>
      <c r="BI352" s="30"/>
      <c r="BJ352" s="30"/>
      <c r="BK352" s="30"/>
      <c r="BL352" s="30"/>
      <c r="BM352" s="30" t="str">
        <f ca="1">IFERROR(__xludf.DUMMYFUNCTION("""COMPUTED_VALUE"""),"No")</f>
        <v>No</v>
      </c>
      <c r="BN352" s="30"/>
      <c r="BO352" s="30" t="str">
        <f ca="1">IFERROR(__xludf.DUMMYFUNCTION("""COMPUTED_VALUE"""),"2c7714fd")</f>
        <v>2c7714fd</v>
      </c>
      <c r="BP352" s="29" t="str">
        <f ca="1">IFERROR(__xludf.DUMMYFUNCTION("""COMPUTED_VALUE"""),"Guanajuato")</f>
        <v>Guanajuato</v>
      </c>
      <c r="BQ352" s="30" t="str">
        <f ca="1">IFERROR(__xludf.DUMMYFUNCTION("""COMPUTED_VALUE"""),"Urbano")</f>
        <v>Urbano</v>
      </c>
      <c r="BR352" s="30"/>
      <c r="BS352" s="30"/>
      <c r="BT352" s="30"/>
      <c r="BU352" s="30" t="str">
        <f ca="1">IFERROR(__xludf.DUMMYFUNCTION("""COMPUTED_VALUE"""),"No")</f>
        <v>No</v>
      </c>
      <c r="BV352" s="30" t="str">
        <f ca="1">IFERROR(__xludf.DUMMYFUNCTION("""COMPUTED_VALUE"""),"No")</f>
        <v>No</v>
      </c>
      <c r="BW352" s="30">
        <f ca="1">IFERROR(__xludf.DUMMYFUNCTION("""COMPUTED_VALUE"""),22)</f>
        <v>22</v>
      </c>
      <c r="BX352" s="30"/>
      <c r="BY352" s="30">
        <f ca="1">IFERROR(__xludf.DUMMYFUNCTION("""COMPUTED_VALUE"""),22)</f>
        <v>22</v>
      </c>
      <c r="BZ352" s="30"/>
      <c r="CA352" s="30" t="str">
        <f ca="1">IFERROR(__xludf.DUMMYFUNCTION("""COMPUTED_VALUE"""),"No")</f>
        <v>No</v>
      </c>
      <c r="CB352" s="30" t="str">
        <f ca="1">IFERROR(__xludf.DUMMYFUNCTION("""COMPUTED_VALUE"""),"No")</f>
        <v>No</v>
      </c>
      <c r="CC352" s="30" t="str">
        <f ca="1">IFERROR(__xludf.DUMMYFUNCTION("""COMPUTED_VALUE"""),"dccc5e35")</f>
        <v>dccc5e35</v>
      </c>
      <c r="CD352" s="29" t="str">
        <f ca="1">IFERROR(__xludf.DUMMYFUNCTION("""COMPUTED_VALUE"""),"Adultos (30 a 59 años)")</f>
        <v>Adultos (30 a 59 años)</v>
      </c>
      <c r="CE352" s="30" t="str">
        <f ca="1">IFERROR(__xludf.DUMMYFUNCTION("""COMPUTED_VALUE"""),"Dato global")</f>
        <v>Dato global</v>
      </c>
      <c r="CF352" s="30" t="str">
        <f ca="1">IFERROR(__xludf.DUMMYFUNCTION("""COMPUTED_VALUE"""),"Ninguno (Población General)")</f>
        <v>Ninguno (Población General)</v>
      </c>
      <c r="CG352" s="30">
        <f ca="1">IFERROR(__xludf.DUMMYFUNCTION("""COMPUTED_VALUE"""),13)</f>
        <v>13</v>
      </c>
      <c r="CJ352" s="29"/>
      <c r="CM352" s="30" t="str">
        <f ca="1">IFERROR(__xludf.DUMMYFUNCTION("""COMPUTED_VALUE"""),"Guanajuato")</f>
        <v>Guanajuato</v>
      </c>
      <c r="CN352" s="32" t="e">
        <f ca="1"/>
        <v>#NAME?</v>
      </c>
      <c r="CO352" s="32" t="e">
        <f ca="1"/>
        <v>#NAME?</v>
      </c>
      <c r="CP352" s="32" t="e">
        <f ca="1"/>
        <v>#NAME?</v>
      </c>
      <c r="CQ352" s="32" t="e">
        <f ca="1"/>
        <v>#NAME?</v>
      </c>
      <c r="CR352" s="30" t="e">
        <f ca="1"/>
        <v>#NAME?</v>
      </c>
      <c r="CS352" s="30" t="str">
        <f ca="1">IFERROR(__xludf.DUMMYFUNCTION("""COMPUTED_VALUE"""),"Ninguno (Población General)")</f>
        <v>Ninguno (Población General)</v>
      </c>
    </row>
    <row r="353" spans="1:97" ht="13">
      <c r="A353" s="29" t="str">
        <f ca="1">IFERROR(__xludf.DUMMYFUNCTION("""COMPUTED_VALUE"""),"ACT-SCSO91081")</f>
        <v>ACT-SCSO91081</v>
      </c>
      <c r="B353" s="30" t="str">
        <f ca="1">IFERROR(__xludf.DUMMYFUNCTION("""COMPUTED_VALUE"""),"SC-260908-150727")</f>
        <v>SC-260908-150727</v>
      </c>
      <c r="C353" s="62">
        <f ca="1">IFERROR(__xludf.DUMMYFUNCTION("""COMPUTED_VALUE"""),46273.6301736111)</f>
        <v>46273.630173611098</v>
      </c>
      <c r="D353" s="30">
        <f ca="1">IFERROR(__xludf.DUMMYFUNCTION("""COMPUTED_VALUE"""),92)</f>
        <v>92</v>
      </c>
      <c r="E353" s="30" t="str">
        <f ca="1">IFERROR(__xludf.DUMMYFUNCTION("""COMPUTED_VALUE"""),"PB3572")</f>
        <v>PB3572</v>
      </c>
      <c r="F35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3" s="30" t="str">
        <f ca="1">IFERROR(__xludf.DUMMYFUNCTION("""COMPUTED_VALUE"""),"SUBSECRETARÍA DE DESARROLLO Y PROMOCIÓN ARTÍSTICA Y CULTURAL")</f>
        <v>SUBSECRETARÍA DE DESARROLLO Y PROMOCIÓN ARTÍSTICA Y CULTURAL</v>
      </c>
      <c r="I353" s="34" t="str">
        <f ca="1">IFERROR(__xludf.DUMMYFUNCTION("""COMPUTED_VALUE"""),"DIRECCIÓN GENERAL DE MUSEOS, ARTES VISUALES Y EXPOSICIONES")</f>
        <v>DIRECCIÓN GENERAL DE MUSEOS, ARTES VISUALES Y EXPOSICIONES</v>
      </c>
      <c r="J353" s="30" t="str">
        <f ca="1">IFERROR(__xludf.DUMMYFUNCTION("""COMPUTED_VALUE"""),"Número de Actividades realizadas")</f>
        <v>Número de Actividades realizadas</v>
      </c>
      <c r="K353" s="30">
        <f ca="1">IFERROR(__xludf.DUMMYFUNCTION("""COMPUTED_VALUE"""),800)</f>
        <v>800</v>
      </c>
      <c r="L353" s="30" t="str">
        <f ca="1">IFERROR(__xludf.DUMMYFUNCTION("""COMPUTED_VALUE"""),"Artística")</f>
        <v>Artística</v>
      </c>
      <c r="M353" s="30" t="str">
        <f ca="1">IFERROR(__xludf.DUMMYFUNCTION("""COMPUTED_VALUE"""),"Espacios incidentales: Barroco, tango y silencio")</f>
        <v>Espacios incidentales: Barroco, tango y silencio</v>
      </c>
      <c r="N353" s="30" t="str">
        <f ca="1">IFERROR(__xludf.DUMMYFUNCTION("""COMPUTED_VALUE"""),"Un recorrido sonoro entre la elegancia barroca, la contemplación contemporánea y la intensidad del tango")</f>
        <v>Un recorrido sonoro entre la elegancia barroca, la contemplación contemporánea y la intensidad del tango</v>
      </c>
      <c r="O353" s="30" t="str">
        <f ca="1">IFERROR(__xludf.DUMMYFUNCTION("""COMPUTED_VALUE"""),"Única")</f>
        <v>Única</v>
      </c>
      <c r="P353" s="33">
        <f ca="1">IFERROR(__xludf.DUMMYFUNCTION("""COMPUTED_VALUE"""),46254)</f>
        <v>46254</v>
      </c>
      <c r="Q353" s="33">
        <f ca="1">IFERROR(__xludf.DUMMYFUNCTION("""COMPUTED_VALUE"""),46254)</f>
        <v>46254</v>
      </c>
      <c r="R353" s="30">
        <f ca="1">IFERROR(__xludf.DUMMYFUNCTION("""COMPUTED_VALUE"""),1)</f>
        <v>1</v>
      </c>
      <c r="S353" s="30" t="str">
        <f ca="1">IFERROR(__xludf.DUMMYFUNCTION("""COMPUTED_VALUE"""),"Cultura comunitaria")</f>
        <v>Cultura comunitaria</v>
      </c>
      <c r="T353" s="30" t="str">
        <f ca="1">IFERROR(__xludf.DUMMYFUNCTION("""COMPUTED_VALUE"""),"Formación comunitaria")</f>
        <v>Formación comunitaria</v>
      </c>
      <c r="U353" s="30" t="str">
        <f ca="1">IFERROR(__xludf.DUMMYFUNCTION("""COMPUTED_VALUE"""),"Muestra artística")</f>
        <v>Muestra artística</v>
      </c>
      <c r="V353" s="30" t="str">
        <f ca="1">IFERROR(__xludf.DUMMYFUNCTION("""COMPUTED_VALUE"""),"Ninguna")</f>
        <v>Ninguna</v>
      </c>
      <c r="W353" s="30" t="str">
        <f ca="1">IFERROR(__xludf.DUMMYFUNCTION("""COMPUTED_VALUE"""),"Presencial")</f>
        <v>Presencial</v>
      </c>
      <c r="X353" s="30" t="str">
        <f ca="1">IFERROR(__xludf.DUMMYFUNCTION("""COMPUTED_VALUE"""),"Espacio a Cargo de la Secretaría")</f>
        <v>Espacio a Cargo de la Secretaría</v>
      </c>
      <c r="Y353" s="30" t="str">
        <f ca="1">IFERROR(__xludf.DUMMYFUNCTION("""COMPUTED_VALUE"""),"Museo Palacio de los Poderes")</f>
        <v>Museo Palacio de los Poderes</v>
      </c>
      <c r="Z353" s="30"/>
      <c r="AA353" s="30"/>
      <c r="AB353" s="30" t="b">
        <f ca="1">IFERROR(__xludf.DUMMYFUNCTION("""COMPUTED_VALUE"""),FALSE)</f>
        <v>0</v>
      </c>
      <c r="AC353" s="30"/>
      <c r="AD353" s="30" t="b">
        <f ca="1">IFERROR(__xludf.DUMMYFUNCTION("""COMPUTED_VALUE"""),FALSE)</f>
        <v>0</v>
      </c>
      <c r="AE353" s="30"/>
      <c r="AF353" s="30" t="b">
        <f ca="1">IFERROR(__xludf.DUMMYFUNCTION("""COMPUTED_VALUE"""),FALSE)</f>
        <v>0</v>
      </c>
      <c r="AG353" s="30"/>
      <c r="AH353" s="30" t="str">
        <f ca="1">IFERROR(__xludf.DUMMYFUNCTION("""COMPUTED_VALUE"""),"Sin costo")</f>
        <v>Sin costo</v>
      </c>
      <c r="AI353" s="30"/>
      <c r="AJ353" s="30"/>
      <c r="AK353" s="30"/>
      <c r="AL353" s="30" t="str">
        <f ca="1">IFERROR(__xludf.DUMMYFUNCTION("""COMPUTED_VALUE"""),"ccardonav@guanajuato.gob.mx")</f>
        <v>ccardonav@guanajuato.gob.mx</v>
      </c>
      <c r="AM353" s="30" t="str">
        <f ca="1">IFERROR(__xludf.DUMMYFUNCTION("""COMPUTED_VALUE"""),"Arraigo y empoderamiento cultural de comunidades.")</f>
        <v>Arraigo y empoderamiento cultural de comunidades.</v>
      </c>
      <c r="AN353" s="30" t="str">
        <f ca="1">IFERROR(__xludf.DUMMYFUNCTION("""COMPUTED_VALUE"""),"1 Tranquilidad")</f>
        <v>1 Tranquilidad</v>
      </c>
      <c r="AO353" s="30" t="str">
        <f ca="1">IFERROR(__xludf.DUMMYFUNCTION("""COMPUTED_VALUE"""),"1.2 Fortalecer prevención del delito")</f>
        <v>1.2 Fortalecer prevención del delito</v>
      </c>
      <c r="AP353" s="30" t="str">
        <f ca="1">IFERROR(__xludf.DUMMYFUNCTION("""COMPUTED_VALUE"""),"1.2.2 Fortalecimiento del tejido social")</f>
        <v>1.2.2 Fortalecimiento del tejido social</v>
      </c>
      <c r="AQ353" s="30" t="str">
        <f ca="1">IFERROR(__xludf.DUMMYFUNCTION("""COMPUTED_VALUE"""),"1.2.3.4 Promover una cultura de paz desde las expresiones artísticas y culturales")</f>
        <v>1.2.3.4 Promover una cultura de paz desde las expresiones artísticas y culturales</v>
      </c>
      <c r="AR353" s="30" t="str">
        <f ca="1">IFERROR(__xludf.DUMMYFUNCTION("""COMPUTED_VALUE"""),"Cooperación")</f>
        <v>Cooperación</v>
      </c>
      <c r="AS353" s="30"/>
      <c r="AT353" s="30" t="str">
        <f ca="1">IFERROR(__xludf.DUMMYFUNCTION("""COMPUTED_VALUE"""),"Fortalecimiento de la participación ciudadana y la mediación cultural")</f>
        <v>Fortalecimiento de la participación ciudadana y la mediación cultural</v>
      </c>
      <c r="AU353" s="30" t="str">
        <f ca="1">IFERROR(__xludf.DUMMYFUNCTION("""COMPUTED_VALUE"""),"Impulso a la ampliación de la oferta cultural en los territorios.")</f>
        <v>Impulso a la ampliación de la oferta cultural en los territorios.</v>
      </c>
      <c r="AV35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3" s="30" t="str">
        <f ca="1">IFERROR(__xludf.DUMMYFUNCTION("""COMPUTED_VALUE"""),"Incrementar en 25% la oferta cultural realizada en los municipios.")</f>
        <v>Incrementar en 25% la oferta cultural realizada en los municipios.</v>
      </c>
      <c r="AX353" s="30" t="str">
        <f ca="1">IFERROR(__xludf.DUMMYFUNCTION("""COMPUTED_VALUE"""),"Presentación artística")</f>
        <v>Presentación artística</v>
      </c>
      <c r="AY353" s="30" t="str">
        <f ca="1">IFERROR(__xludf.DUMMYFUNCTION("""COMPUTED_VALUE"""),"Formación")</f>
        <v>Formación</v>
      </c>
      <c r="AZ353" s="30"/>
      <c r="BA353" s="30"/>
      <c r="BB353" s="30"/>
      <c r="BC353" s="30">
        <f ca="1">IFERROR(__xludf.DUMMYFUNCTION("""COMPUTED_VALUE"""),0)</f>
        <v>0</v>
      </c>
      <c r="BD353" s="30"/>
      <c r="BE353" s="30"/>
      <c r="BF353" s="30" t="b">
        <f ca="1">IFERROR(__xludf.DUMMYFUNCTION("""COMPUTED_VALUE"""),FALSE)</f>
        <v>0</v>
      </c>
      <c r="BG353" s="30"/>
      <c r="BH353" s="30"/>
      <c r="BI353" s="30"/>
      <c r="BJ353" s="30"/>
      <c r="BK353" s="30"/>
      <c r="BL353" s="30"/>
      <c r="BM353" s="30" t="str">
        <f ca="1">IFERROR(__xludf.DUMMYFUNCTION("""COMPUTED_VALUE"""),"No")</f>
        <v>No</v>
      </c>
      <c r="BN353" s="30"/>
      <c r="BO353" s="30" t="str">
        <f ca="1">IFERROR(__xludf.DUMMYFUNCTION("""COMPUTED_VALUE"""),"57e172bb")</f>
        <v>57e172bb</v>
      </c>
      <c r="BP353" s="29" t="str">
        <f ca="1">IFERROR(__xludf.DUMMYFUNCTION("""COMPUTED_VALUE"""),"Guanajuato")</f>
        <v>Guanajuato</v>
      </c>
      <c r="BQ353" s="30" t="str">
        <f ca="1">IFERROR(__xludf.DUMMYFUNCTION("""COMPUTED_VALUE"""),"Urbano")</f>
        <v>Urbano</v>
      </c>
      <c r="BR353" s="30"/>
      <c r="BS353" s="30"/>
      <c r="BT353" s="30"/>
      <c r="BU353" s="30" t="str">
        <f ca="1">IFERROR(__xludf.DUMMYFUNCTION("""COMPUTED_VALUE"""),"No")</f>
        <v>No</v>
      </c>
      <c r="BV353" s="30" t="str">
        <f ca="1">IFERROR(__xludf.DUMMYFUNCTION("""COMPUTED_VALUE"""),"No")</f>
        <v>No</v>
      </c>
      <c r="BW353" s="30">
        <f ca="1">IFERROR(__xludf.DUMMYFUNCTION("""COMPUTED_VALUE"""),3)</f>
        <v>3</v>
      </c>
      <c r="BX353" s="30">
        <f ca="1">IFERROR(__xludf.DUMMYFUNCTION("""COMPUTED_VALUE"""),3)</f>
        <v>3</v>
      </c>
      <c r="BY353" s="30">
        <f ca="1">IFERROR(__xludf.DUMMYFUNCTION("""COMPUTED_VALUE"""),0)</f>
        <v>0</v>
      </c>
      <c r="BZ353" s="30"/>
      <c r="CA353" s="30" t="str">
        <f ca="1">IFERROR(__xludf.DUMMYFUNCTION("""COMPUTED_VALUE"""),"No")</f>
        <v>No</v>
      </c>
      <c r="CB353" s="30" t="str">
        <f ca="1">IFERROR(__xludf.DUMMYFUNCTION("""COMPUTED_VALUE"""),"No")</f>
        <v>No</v>
      </c>
      <c r="CC353" s="30" t="str">
        <f ca="1">IFERROR(__xludf.DUMMYFUNCTION("""COMPUTED_VALUE"""),"c0297716")</f>
        <v>c0297716</v>
      </c>
      <c r="CD353" s="29" t="str">
        <f ca="1">IFERROR(__xludf.DUMMYFUNCTION("""COMPUTED_VALUE"""),"Adultos Mayores (60 años o más)")</f>
        <v>Adultos Mayores (60 años o más)</v>
      </c>
      <c r="CE353" s="30" t="str">
        <f ca="1">IFERROR(__xludf.DUMMYFUNCTION("""COMPUTED_VALUE"""),"Dato global")</f>
        <v>Dato global</v>
      </c>
      <c r="CF353" s="30" t="str">
        <f ca="1">IFERROR(__xludf.DUMMYFUNCTION("""COMPUTED_VALUE"""),"Ninguno (Población General)")</f>
        <v>Ninguno (Población General)</v>
      </c>
      <c r="CG353" s="30">
        <f ca="1">IFERROR(__xludf.DUMMYFUNCTION("""COMPUTED_VALUE"""),2)</f>
        <v>2</v>
      </c>
      <c r="CJ353" s="29"/>
      <c r="CM353" s="30" t="str">
        <f ca="1">IFERROR(__xludf.DUMMYFUNCTION("""COMPUTED_VALUE"""),"Guanajuato")</f>
        <v>Guanajuato</v>
      </c>
      <c r="CN353" s="32" t="e">
        <f ca="1"/>
        <v>#NAME?</v>
      </c>
      <c r="CO353" s="32" t="e">
        <f ca="1"/>
        <v>#NAME?</v>
      </c>
      <c r="CP353" s="32" t="e">
        <f ca="1"/>
        <v>#NAME?</v>
      </c>
      <c r="CQ353" s="32" t="e">
        <f ca="1"/>
        <v>#NAME?</v>
      </c>
      <c r="CR353" s="30" t="e">
        <f ca="1"/>
        <v>#NAME?</v>
      </c>
      <c r="CS353" s="30" t="str">
        <f ca="1">IFERROR(__xludf.DUMMYFUNCTION("""COMPUTED_VALUE"""),"Ninguno (Población General)")</f>
        <v>Ninguno (Población General)</v>
      </c>
    </row>
    <row r="354" spans="1:97" ht="13">
      <c r="A354" s="29" t="str">
        <f ca="1">IFERROR(__xludf.DUMMYFUNCTION("""COMPUTED_VALUE"""),"ACT-SCNK13055")</f>
        <v>ACT-SCNK13055</v>
      </c>
      <c r="B354" s="30" t="str">
        <f ca="1">IFERROR(__xludf.DUMMYFUNCTION("""COMPUTED_VALUE"""),"SC-260908-160607")</f>
        <v>SC-260908-160607</v>
      </c>
      <c r="C354" s="62">
        <f ca="1">IFERROR(__xludf.DUMMYFUNCTION("""COMPUTED_VALUE"""),46273.6709143518)</f>
        <v>46273.670914351802</v>
      </c>
      <c r="D354" s="30">
        <f ca="1">IFERROR(__xludf.DUMMYFUNCTION("""COMPUTED_VALUE"""),92)</f>
        <v>92</v>
      </c>
      <c r="E354" s="30" t="str">
        <f ca="1">IFERROR(__xludf.DUMMYFUNCTION("""COMPUTED_VALUE"""),"PB3572")</f>
        <v>PB3572</v>
      </c>
      <c r="F35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4" s="30" t="str">
        <f ca="1">IFERROR(__xludf.DUMMYFUNCTION("""COMPUTED_VALUE"""),"SUBSECRETARÍA DE DESARROLLO Y PROMOCIÓN ARTÍSTICA Y CULTURAL")</f>
        <v>SUBSECRETARÍA DE DESARROLLO Y PROMOCIÓN ARTÍSTICA Y CULTURAL</v>
      </c>
      <c r="I354" s="34" t="str">
        <f ca="1">IFERROR(__xludf.DUMMYFUNCTION("""COMPUTED_VALUE"""),"DIRECCIÓN GENERAL DE MUSEOS, ARTES VISUALES Y EXPOSICIONES")</f>
        <v>DIRECCIÓN GENERAL DE MUSEOS, ARTES VISUALES Y EXPOSICIONES</v>
      </c>
      <c r="J354" s="30" t="str">
        <f ca="1">IFERROR(__xludf.DUMMYFUNCTION("""COMPUTED_VALUE"""),"Número de Actividades realizadas")</f>
        <v>Número de Actividades realizadas</v>
      </c>
      <c r="K354" s="30">
        <f ca="1">IFERROR(__xludf.DUMMYFUNCTION("""COMPUTED_VALUE"""),800)</f>
        <v>800</v>
      </c>
      <c r="L354" s="30" t="str">
        <f ca="1">IFERROR(__xludf.DUMMYFUNCTION("""COMPUTED_VALUE"""),"Artística")</f>
        <v>Artística</v>
      </c>
      <c r="M354" s="30" t="str">
        <f ca="1">IFERROR(__xludf.DUMMYFUNCTION("""COMPUTED_VALUE"""),"Activación interdisciplinar: Moda hoy, ayer y mañana.")</f>
        <v>Activación interdisciplinar: Moda hoy, ayer y mañana.</v>
      </c>
      <c r="N354" s="30" t="str">
        <f ca="1">IFERROR(__xludf.DUMMYFUNCTION("""COMPUTED_VALUE"""),"Presentación interdisciplinar para con algunas herramientas del teatro")</f>
        <v>Presentación interdisciplinar para con algunas herramientas del teatro</v>
      </c>
      <c r="O354" s="30" t="str">
        <f ca="1">IFERROR(__xludf.DUMMYFUNCTION("""COMPUTED_VALUE"""),"Única")</f>
        <v>Única</v>
      </c>
      <c r="P354" s="33">
        <f ca="1">IFERROR(__xludf.DUMMYFUNCTION("""COMPUTED_VALUE"""),46255)</f>
        <v>46255</v>
      </c>
      <c r="Q354" s="33">
        <f ca="1">IFERROR(__xludf.DUMMYFUNCTION("""COMPUTED_VALUE"""),46255)</f>
        <v>46255</v>
      </c>
      <c r="R354" s="30">
        <f ca="1">IFERROR(__xludf.DUMMYFUNCTION("""COMPUTED_VALUE"""),1)</f>
        <v>1</v>
      </c>
      <c r="S354" s="30" t="str">
        <f ca="1">IFERROR(__xludf.DUMMYFUNCTION("""COMPUTED_VALUE"""),"Cultura comunitaria")</f>
        <v>Cultura comunitaria</v>
      </c>
      <c r="T354" s="30" t="str">
        <f ca="1">IFERROR(__xludf.DUMMYFUNCTION("""COMPUTED_VALUE"""),"Formación comunitaria")</f>
        <v>Formación comunitaria</v>
      </c>
      <c r="U354" s="30" t="str">
        <f ca="1">IFERROR(__xludf.DUMMYFUNCTION("""COMPUTED_VALUE"""),"Muestra artística")</f>
        <v>Muestra artística</v>
      </c>
      <c r="V354" s="30" t="str">
        <f ca="1">IFERROR(__xludf.DUMMYFUNCTION("""COMPUTED_VALUE"""),"Ninguna")</f>
        <v>Ninguna</v>
      </c>
      <c r="W354" s="30" t="str">
        <f ca="1">IFERROR(__xludf.DUMMYFUNCTION("""COMPUTED_VALUE"""),"Presencial")</f>
        <v>Presencial</v>
      </c>
      <c r="X354" s="30" t="str">
        <f ca="1">IFERROR(__xludf.DUMMYFUNCTION("""COMPUTED_VALUE"""),"Espacio a Cargo de la Secretaría")</f>
        <v>Espacio a Cargo de la Secretaría</v>
      </c>
      <c r="Y354" s="30" t="str">
        <f ca="1">IFERROR(__xludf.DUMMYFUNCTION("""COMPUTED_VALUE"""),"Museo del Pueblo de Guanajuato")</f>
        <v>Museo del Pueblo de Guanajuato</v>
      </c>
      <c r="Z354" s="30"/>
      <c r="AA354" s="30"/>
      <c r="AB354" s="30" t="b">
        <f ca="1">IFERROR(__xludf.DUMMYFUNCTION("""COMPUTED_VALUE"""),FALSE)</f>
        <v>0</v>
      </c>
      <c r="AC354" s="30"/>
      <c r="AD354" s="30" t="b">
        <f ca="1">IFERROR(__xludf.DUMMYFUNCTION("""COMPUTED_VALUE"""),FALSE)</f>
        <v>0</v>
      </c>
      <c r="AE354" s="30"/>
      <c r="AF354" s="30" t="b">
        <f ca="1">IFERROR(__xludf.DUMMYFUNCTION("""COMPUTED_VALUE"""),FALSE)</f>
        <v>0</v>
      </c>
      <c r="AG354" s="30"/>
      <c r="AH354" s="30" t="str">
        <f ca="1">IFERROR(__xludf.DUMMYFUNCTION("""COMPUTED_VALUE"""),"Sin costo")</f>
        <v>Sin costo</v>
      </c>
      <c r="AI354" s="30"/>
      <c r="AJ354" s="30"/>
      <c r="AK354" s="30"/>
      <c r="AL354" s="30" t="str">
        <f ca="1">IFERROR(__xludf.DUMMYFUNCTION("""COMPUTED_VALUE"""),"ccardonav@guanajuato.gob.mx")</f>
        <v>ccardonav@guanajuato.gob.mx</v>
      </c>
      <c r="AM354" s="30" t="str">
        <f ca="1">IFERROR(__xludf.DUMMYFUNCTION("""COMPUTED_VALUE"""),"Arraigo y empoderamiento cultural de comunidades.")</f>
        <v>Arraigo y empoderamiento cultural de comunidades.</v>
      </c>
      <c r="AN354" s="30" t="str">
        <f ca="1">IFERROR(__xludf.DUMMYFUNCTION("""COMPUTED_VALUE"""),"1 Tranquilidad")</f>
        <v>1 Tranquilidad</v>
      </c>
      <c r="AO354" s="30" t="str">
        <f ca="1">IFERROR(__xludf.DUMMYFUNCTION("""COMPUTED_VALUE"""),"1.2 Fortalecer prevención del delito")</f>
        <v>1.2 Fortalecer prevención del delito</v>
      </c>
      <c r="AP354" s="30" t="str">
        <f ca="1">IFERROR(__xludf.DUMMYFUNCTION("""COMPUTED_VALUE"""),"1.2.2 Fortalecimiento del tejido social")</f>
        <v>1.2.2 Fortalecimiento del tejido social</v>
      </c>
      <c r="AQ354" s="30" t="str">
        <f ca="1">IFERROR(__xludf.DUMMYFUNCTION("""COMPUTED_VALUE"""),"1.2.3.4 Promover una cultura de paz desde las expresiones artísticas y culturales")</f>
        <v>1.2.3.4 Promover una cultura de paz desde las expresiones artísticas y culturales</v>
      </c>
      <c r="AR354" s="30" t="str">
        <f ca="1">IFERROR(__xludf.DUMMYFUNCTION("""COMPUTED_VALUE"""),"Cooperación")</f>
        <v>Cooperación</v>
      </c>
      <c r="AS354" s="30"/>
      <c r="AT354" s="30" t="str">
        <f ca="1">IFERROR(__xludf.DUMMYFUNCTION("""COMPUTED_VALUE"""),"Fortalecimiento de la participación ciudadana y la mediación cultural")</f>
        <v>Fortalecimiento de la participación ciudadana y la mediación cultural</v>
      </c>
      <c r="AU354" s="30" t="str">
        <f ca="1">IFERROR(__xludf.DUMMYFUNCTION("""COMPUTED_VALUE"""),"Impulso a la ampliación de la oferta cultural en los territorios.")</f>
        <v>Impulso a la ampliación de la oferta cultural en los territorios.</v>
      </c>
      <c r="AV35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4" s="30" t="str">
        <f ca="1">IFERROR(__xludf.DUMMYFUNCTION("""COMPUTED_VALUE"""),"Incrementar en 25% la oferta cultural realizada en los municipios.")</f>
        <v>Incrementar en 25% la oferta cultural realizada en los municipios.</v>
      </c>
      <c r="AX354" s="30" t="str">
        <f ca="1">IFERROR(__xludf.DUMMYFUNCTION("""COMPUTED_VALUE"""),"Presentación artística")</f>
        <v>Presentación artística</v>
      </c>
      <c r="AY354" s="30" t="str">
        <f ca="1">IFERROR(__xludf.DUMMYFUNCTION("""COMPUTED_VALUE"""),"Formación")</f>
        <v>Formación</v>
      </c>
      <c r="AZ354" s="30"/>
      <c r="BA354" s="30"/>
      <c r="BB354" s="30"/>
      <c r="BC354" s="30">
        <f ca="1">IFERROR(__xludf.DUMMYFUNCTION("""COMPUTED_VALUE"""),0)</f>
        <v>0</v>
      </c>
      <c r="BD354" s="30"/>
      <c r="BE354" s="30"/>
      <c r="BF354" s="30" t="b">
        <f ca="1">IFERROR(__xludf.DUMMYFUNCTION("""COMPUTED_VALUE"""),FALSE)</f>
        <v>0</v>
      </c>
      <c r="BG354" s="30"/>
      <c r="BH354" s="30"/>
      <c r="BI354" s="30"/>
      <c r="BJ354" s="30"/>
      <c r="BK354" s="30"/>
      <c r="BL354" s="30"/>
      <c r="BM354" s="30" t="str">
        <f ca="1">IFERROR(__xludf.DUMMYFUNCTION("""COMPUTED_VALUE"""),"No")</f>
        <v>No</v>
      </c>
      <c r="BN354" s="30"/>
      <c r="BO354" s="30" t="str">
        <f ca="1">IFERROR(__xludf.DUMMYFUNCTION("""COMPUTED_VALUE"""),"0184cdfd")</f>
        <v>0184cdfd</v>
      </c>
      <c r="BP354" s="29" t="str">
        <f ca="1">IFERROR(__xludf.DUMMYFUNCTION("""COMPUTED_VALUE"""),"Guanajuato")</f>
        <v>Guanajuato</v>
      </c>
      <c r="BQ354" s="30" t="str">
        <f ca="1">IFERROR(__xludf.DUMMYFUNCTION("""COMPUTED_VALUE"""),"Urbano")</f>
        <v>Urbano</v>
      </c>
      <c r="BR354" s="30"/>
      <c r="BS354" s="30"/>
      <c r="BT354" s="30"/>
      <c r="BU354" s="30" t="str">
        <f ca="1">IFERROR(__xludf.DUMMYFUNCTION("""COMPUTED_VALUE"""),"No")</f>
        <v>No</v>
      </c>
      <c r="BV354" s="30" t="str">
        <f ca="1">IFERROR(__xludf.DUMMYFUNCTION("""COMPUTED_VALUE"""),"No")</f>
        <v>No</v>
      </c>
      <c r="BW354" s="30">
        <f ca="1">IFERROR(__xludf.DUMMYFUNCTION("""COMPUTED_VALUE"""),24)</f>
        <v>24</v>
      </c>
      <c r="BX354" s="30"/>
      <c r="BY354" s="30">
        <f ca="1">IFERROR(__xludf.DUMMYFUNCTION("""COMPUTED_VALUE"""),24)</f>
        <v>24</v>
      </c>
      <c r="BZ354" s="30"/>
      <c r="CA354" s="30" t="str">
        <f ca="1">IFERROR(__xludf.DUMMYFUNCTION("""COMPUTED_VALUE"""),"No")</f>
        <v>No</v>
      </c>
      <c r="CB354" s="30" t="str">
        <f ca="1">IFERROR(__xludf.DUMMYFUNCTION("""COMPUTED_VALUE"""),"No")</f>
        <v>No</v>
      </c>
      <c r="CC354" s="30" t="str">
        <f ca="1">IFERROR(__xludf.DUMMYFUNCTION("""COMPUTED_VALUE"""),"56e14e83")</f>
        <v>56e14e83</v>
      </c>
      <c r="CD354" s="29" t="str">
        <f ca="1">IFERROR(__xludf.DUMMYFUNCTION("""COMPUTED_VALUE"""),"Niñas y Niños (6 a 12 años)")</f>
        <v>Niñas y Niños (6 a 12 años)</v>
      </c>
      <c r="CE354" s="30" t="str">
        <f ca="1">IFERROR(__xludf.DUMMYFUNCTION("""COMPUTED_VALUE"""),"Dato global")</f>
        <v>Dato global</v>
      </c>
      <c r="CF354" s="30" t="str">
        <f ca="1">IFERROR(__xludf.DUMMYFUNCTION("""COMPUTED_VALUE"""),"Ninguno (Población General)")</f>
        <v>Ninguno (Población General)</v>
      </c>
      <c r="CG354" s="30">
        <f ca="1">IFERROR(__xludf.DUMMYFUNCTION("""COMPUTED_VALUE"""),6)</f>
        <v>6</v>
      </c>
      <c r="CJ354" s="29"/>
      <c r="CM354" s="30" t="str">
        <f ca="1">IFERROR(__xludf.DUMMYFUNCTION("""COMPUTED_VALUE"""),"Guanajuato")</f>
        <v>Guanajuato</v>
      </c>
      <c r="CN354" s="32" t="e">
        <f ca="1"/>
        <v>#NAME?</v>
      </c>
      <c r="CO354" s="32" t="e">
        <f ca="1"/>
        <v>#NAME?</v>
      </c>
      <c r="CP354" s="32" t="e">
        <f ca="1"/>
        <v>#NAME?</v>
      </c>
      <c r="CQ354" s="32" t="e">
        <f ca="1"/>
        <v>#NAME?</v>
      </c>
      <c r="CR354" s="30" t="e">
        <f ca="1"/>
        <v>#NAME?</v>
      </c>
      <c r="CS354" s="30" t="str">
        <f ca="1">IFERROR(__xludf.DUMMYFUNCTION("""COMPUTED_VALUE"""),"Ninguno (Población General)")</f>
        <v>Ninguno (Población General)</v>
      </c>
    </row>
    <row r="355" spans="1:97" ht="13">
      <c r="A355" s="29" t="str">
        <f ca="1">IFERROR(__xludf.DUMMYFUNCTION("""COMPUTED_VALUE"""),"ACT-SCJS75643")</f>
        <v>ACT-SCJS75643</v>
      </c>
      <c r="B355" s="30" t="str">
        <f ca="1">IFERROR(__xludf.DUMMYFUNCTION("""COMPUTED_VALUE"""),"SC-260908-163445")</f>
        <v>SC-260908-163445</v>
      </c>
      <c r="C355" s="62">
        <f ca="1">IFERROR(__xludf.DUMMYFUNCTION("""COMPUTED_VALUE"""),46273.6907986111)</f>
        <v>46273.690798611096</v>
      </c>
      <c r="D355" s="30">
        <f ca="1">IFERROR(__xludf.DUMMYFUNCTION("""COMPUTED_VALUE"""),92)</f>
        <v>92</v>
      </c>
      <c r="E355" s="30" t="str">
        <f ca="1">IFERROR(__xludf.DUMMYFUNCTION("""COMPUTED_VALUE"""),"PB3572")</f>
        <v>PB3572</v>
      </c>
      <c r="F35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5" s="30" t="str">
        <f ca="1">IFERROR(__xludf.DUMMYFUNCTION("""COMPUTED_VALUE"""),"SUBSECRETARÍA DE DESARROLLO Y PROMOCIÓN ARTÍSTICA Y CULTURAL")</f>
        <v>SUBSECRETARÍA DE DESARROLLO Y PROMOCIÓN ARTÍSTICA Y CULTURAL</v>
      </c>
      <c r="I355" s="34" t="str">
        <f ca="1">IFERROR(__xludf.DUMMYFUNCTION("""COMPUTED_VALUE"""),"DIRECCIÓN GENERAL DE MUSEOS, ARTES VISUALES Y EXPOSICIONES")</f>
        <v>DIRECCIÓN GENERAL DE MUSEOS, ARTES VISUALES Y EXPOSICIONES</v>
      </c>
      <c r="J355" s="30" t="str">
        <f ca="1">IFERROR(__xludf.DUMMYFUNCTION("""COMPUTED_VALUE"""),"Número de Actividades realizadas")</f>
        <v>Número de Actividades realizadas</v>
      </c>
      <c r="K355" s="30">
        <f ca="1">IFERROR(__xludf.DUMMYFUNCTION("""COMPUTED_VALUE"""),800)</f>
        <v>800</v>
      </c>
      <c r="L355" s="30" t="str">
        <f ca="1">IFERROR(__xludf.DUMMYFUNCTION("""COMPUTED_VALUE"""),"Artística")</f>
        <v>Artística</v>
      </c>
      <c r="M355" s="30" t="str">
        <f ca="1">IFERROR(__xludf.DUMMYFUNCTION("""COMPUTED_VALUE"""),"Activación interdisciplinar: Moda hoy, ayer y mañana.")</f>
        <v>Activación interdisciplinar: Moda hoy, ayer y mañana.</v>
      </c>
      <c r="N355" s="30" t="str">
        <f ca="1">IFERROR(__xludf.DUMMYFUNCTION("""COMPUTED_VALUE"""),"Presentación interdisciplinar para con algunas herramientas del teatro")</f>
        <v>Presentación interdisciplinar para con algunas herramientas del teatro</v>
      </c>
      <c r="O355" s="30" t="str">
        <f ca="1">IFERROR(__xludf.DUMMYFUNCTION("""COMPUTED_VALUE"""),"Única")</f>
        <v>Única</v>
      </c>
      <c r="P355" s="33">
        <f ca="1">IFERROR(__xludf.DUMMYFUNCTION("""COMPUTED_VALUE"""),46255)</f>
        <v>46255</v>
      </c>
      <c r="Q355" s="33">
        <f ca="1">IFERROR(__xludf.DUMMYFUNCTION("""COMPUTED_VALUE"""),46255)</f>
        <v>46255</v>
      </c>
      <c r="R355" s="30">
        <f ca="1">IFERROR(__xludf.DUMMYFUNCTION("""COMPUTED_VALUE"""),1)</f>
        <v>1</v>
      </c>
      <c r="S355" s="30" t="str">
        <f ca="1">IFERROR(__xludf.DUMMYFUNCTION("""COMPUTED_VALUE"""),"Cultura comunitaria")</f>
        <v>Cultura comunitaria</v>
      </c>
      <c r="T355" s="30" t="str">
        <f ca="1">IFERROR(__xludf.DUMMYFUNCTION("""COMPUTED_VALUE"""),"Formación comunitaria")</f>
        <v>Formación comunitaria</v>
      </c>
      <c r="U355" s="30" t="str">
        <f ca="1">IFERROR(__xludf.DUMMYFUNCTION("""COMPUTED_VALUE"""),"Muestra artística")</f>
        <v>Muestra artística</v>
      </c>
      <c r="V355" s="30" t="str">
        <f ca="1">IFERROR(__xludf.DUMMYFUNCTION("""COMPUTED_VALUE"""),"Ninguna")</f>
        <v>Ninguna</v>
      </c>
      <c r="W355" s="30" t="str">
        <f ca="1">IFERROR(__xludf.DUMMYFUNCTION("""COMPUTED_VALUE"""),"Presencial")</f>
        <v>Presencial</v>
      </c>
      <c r="X355" s="30" t="str">
        <f ca="1">IFERROR(__xludf.DUMMYFUNCTION("""COMPUTED_VALUE"""),"Espacio a Cargo de la Secretaría")</f>
        <v>Espacio a Cargo de la Secretaría</v>
      </c>
      <c r="Y355" s="30" t="str">
        <f ca="1">IFERROR(__xludf.DUMMYFUNCTION("""COMPUTED_VALUE"""),"Museo del Pueblo de Guanajuato")</f>
        <v>Museo del Pueblo de Guanajuato</v>
      </c>
      <c r="Z355" s="30"/>
      <c r="AA355" s="30"/>
      <c r="AB355" s="30" t="b">
        <f ca="1">IFERROR(__xludf.DUMMYFUNCTION("""COMPUTED_VALUE"""),FALSE)</f>
        <v>0</v>
      </c>
      <c r="AC355" s="30"/>
      <c r="AD355" s="30" t="b">
        <f ca="1">IFERROR(__xludf.DUMMYFUNCTION("""COMPUTED_VALUE"""),FALSE)</f>
        <v>0</v>
      </c>
      <c r="AE355" s="30"/>
      <c r="AF355" s="30" t="b">
        <f ca="1">IFERROR(__xludf.DUMMYFUNCTION("""COMPUTED_VALUE"""),FALSE)</f>
        <v>0</v>
      </c>
      <c r="AG355" s="30"/>
      <c r="AH355" s="30" t="str">
        <f ca="1">IFERROR(__xludf.DUMMYFUNCTION("""COMPUTED_VALUE"""),"Sin costo")</f>
        <v>Sin costo</v>
      </c>
      <c r="AI355" s="30"/>
      <c r="AJ355" s="30"/>
      <c r="AK355" s="30"/>
      <c r="AL355" s="30" t="str">
        <f ca="1">IFERROR(__xludf.DUMMYFUNCTION("""COMPUTED_VALUE"""),"ccardonav@guanajuato.gob.mx")</f>
        <v>ccardonav@guanajuato.gob.mx</v>
      </c>
      <c r="AM355" s="30" t="str">
        <f ca="1">IFERROR(__xludf.DUMMYFUNCTION("""COMPUTED_VALUE"""),"Arraigo y empoderamiento cultural de comunidades.")</f>
        <v>Arraigo y empoderamiento cultural de comunidades.</v>
      </c>
      <c r="AN355" s="30" t="str">
        <f ca="1">IFERROR(__xludf.DUMMYFUNCTION("""COMPUTED_VALUE"""),"1 Tranquilidad")</f>
        <v>1 Tranquilidad</v>
      </c>
      <c r="AO355" s="30" t="str">
        <f ca="1">IFERROR(__xludf.DUMMYFUNCTION("""COMPUTED_VALUE"""),"1.2 Fortalecer prevención del delito")</f>
        <v>1.2 Fortalecer prevención del delito</v>
      </c>
      <c r="AP355" s="30" t="str">
        <f ca="1">IFERROR(__xludf.DUMMYFUNCTION("""COMPUTED_VALUE"""),"1.2.2 Fortalecimiento del tejido social")</f>
        <v>1.2.2 Fortalecimiento del tejido social</v>
      </c>
      <c r="AQ355" s="30" t="str">
        <f ca="1">IFERROR(__xludf.DUMMYFUNCTION("""COMPUTED_VALUE"""),"1.2.3.4 Promover una cultura de paz desde las expresiones artísticas y culturales")</f>
        <v>1.2.3.4 Promover una cultura de paz desde las expresiones artísticas y culturales</v>
      </c>
      <c r="AR355" s="30" t="str">
        <f ca="1">IFERROR(__xludf.DUMMYFUNCTION("""COMPUTED_VALUE"""),"Cooperación")</f>
        <v>Cooperación</v>
      </c>
      <c r="AS355" s="30"/>
      <c r="AT355" s="30" t="str">
        <f ca="1">IFERROR(__xludf.DUMMYFUNCTION("""COMPUTED_VALUE"""),"Fortalecimiento de la participación ciudadana y la mediación cultural")</f>
        <v>Fortalecimiento de la participación ciudadana y la mediación cultural</v>
      </c>
      <c r="AU355" s="30" t="str">
        <f ca="1">IFERROR(__xludf.DUMMYFUNCTION("""COMPUTED_VALUE"""),"Impulso a la ampliación de la oferta cultural en los territorios.")</f>
        <v>Impulso a la ampliación de la oferta cultural en los territorios.</v>
      </c>
      <c r="AV35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5" s="30" t="str">
        <f ca="1">IFERROR(__xludf.DUMMYFUNCTION("""COMPUTED_VALUE"""),"Incrementar en 25% la oferta cultural realizada en los municipios.")</f>
        <v>Incrementar en 25% la oferta cultural realizada en los municipios.</v>
      </c>
      <c r="AX355" s="30" t="str">
        <f ca="1">IFERROR(__xludf.DUMMYFUNCTION("""COMPUTED_VALUE"""),"Presentación artística")</f>
        <v>Presentación artística</v>
      </c>
      <c r="AY355" s="30" t="str">
        <f ca="1">IFERROR(__xludf.DUMMYFUNCTION("""COMPUTED_VALUE"""),"Formación")</f>
        <v>Formación</v>
      </c>
      <c r="AZ355" s="30"/>
      <c r="BA355" s="30"/>
      <c r="BB355" s="30"/>
      <c r="BC355" s="30">
        <f ca="1">IFERROR(__xludf.DUMMYFUNCTION("""COMPUTED_VALUE"""),0)</f>
        <v>0</v>
      </c>
      <c r="BD355" s="30"/>
      <c r="BE355" s="30"/>
      <c r="BF355" s="30" t="b">
        <f ca="1">IFERROR(__xludf.DUMMYFUNCTION("""COMPUTED_VALUE"""),FALSE)</f>
        <v>0</v>
      </c>
      <c r="BG355" s="30"/>
      <c r="BH355" s="30"/>
      <c r="BI355" s="30"/>
      <c r="BJ355" s="30"/>
      <c r="BK355" s="30"/>
      <c r="BL355" s="30"/>
      <c r="BM355" s="30" t="str">
        <f ca="1">IFERROR(__xludf.DUMMYFUNCTION("""COMPUTED_VALUE"""),"No")</f>
        <v>No</v>
      </c>
      <c r="BN355" s="30"/>
      <c r="BO355" s="30" t="str">
        <f ca="1">IFERROR(__xludf.DUMMYFUNCTION("""COMPUTED_VALUE"""),"2a7311c5")</f>
        <v>2a7311c5</v>
      </c>
      <c r="BP355" s="29" t="str">
        <f ca="1">IFERROR(__xludf.DUMMYFUNCTION("""COMPUTED_VALUE"""),"Guanajuato")</f>
        <v>Guanajuato</v>
      </c>
      <c r="BQ355" s="30" t="str">
        <f ca="1">IFERROR(__xludf.DUMMYFUNCTION("""COMPUTED_VALUE"""),"Urbano")</f>
        <v>Urbano</v>
      </c>
      <c r="BR355" s="30"/>
      <c r="BS355" s="30"/>
      <c r="BT355" s="30"/>
      <c r="BU355" s="30" t="str">
        <f ca="1">IFERROR(__xludf.DUMMYFUNCTION("""COMPUTED_VALUE"""),"No")</f>
        <v>No</v>
      </c>
      <c r="BV355" s="30" t="str">
        <f ca="1">IFERROR(__xludf.DUMMYFUNCTION("""COMPUTED_VALUE"""),"No")</f>
        <v>No</v>
      </c>
      <c r="BW355" s="30">
        <f ca="1">IFERROR(__xludf.DUMMYFUNCTION("""COMPUTED_VALUE"""),5)</f>
        <v>5</v>
      </c>
      <c r="BX355" s="30">
        <f ca="1">IFERROR(__xludf.DUMMYFUNCTION("""COMPUTED_VALUE"""),5)</f>
        <v>5</v>
      </c>
      <c r="BY355" s="30">
        <f ca="1">IFERROR(__xludf.DUMMYFUNCTION("""COMPUTED_VALUE"""),0)</f>
        <v>0</v>
      </c>
      <c r="BZ355" s="30"/>
      <c r="CA355" s="30" t="str">
        <f ca="1">IFERROR(__xludf.DUMMYFUNCTION("""COMPUTED_VALUE"""),"No")</f>
        <v>No</v>
      </c>
      <c r="CB355" s="30" t="str">
        <f ca="1">IFERROR(__xludf.DUMMYFUNCTION("""COMPUTED_VALUE"""),"No")</f>
        <v>No</v>
      </c>
      <c r="CC355" s="30" t="str">
        <f ca="1">IFERROR(__xludf.DUMMYFUNCTION("""COMPUTED_VALUE"""),"20d503fd")</f>
        <v>20d503fd</v>
      </c>
      <c r="CD355" s="29" t="str">
        <f ca="1">IFERROR(__xludf.DUMMYFUNCTION("""COMPUTED_VALUE"""),"Adolescentes (13 a 17 años)")</f>
        <v>Adolescentes (13 a 17 años)</v>
      </c>
      <c r="CE355" s="30" t="str">
        <f ca="1">IFERROR(__xludf.DUMMYFUNCTION("""COMPUTED_VALUE"""),"Dato global")</f>
        <v>Dato global</v>
      </c>
      <c r="CF355" s="30" t="str">
        <f ca="1">IFERROR(__xludf.DUMMYFUNCTION("""COMPUTED_VALUE"""),"Ninguno (Población General)")</f>
        <v>Ninguno (Población General)</v>
      </c>
      <c r="CG355" s="30">
        <f ca="1">IFERROR(__xludf.DUMMYFUNCTION("""COMPUTED_VALUE"""),4)</f>
        <v>4</v>
      </c>
      <c r="CJ355" s="29"/>
      <c r="CM355" s="30" t="str">
        <f ca="1">IFERROR(__xludf.DUMMYFUNCTION("""COMPUTED_VALUE"""),"Guanajuato")</f>
        <v>Guanajuato</v>
      </c>
      <c r="CN355" s="32" t="e">
        <f ca="1"/>
        <v>#NAME?</v>
      </c>
      <c r="CO355" s="32" t="e">
        <f ca="1"/>
        <v>#NAME?</v>
      </c>
      <c r="CP355" s="32" t="e">
        <f ca="1"/>
        <v>#NAME?</v>
      </c>
      <c r="CQ355" s="32" t="e">
        <f ca="1"/>
        <v>#NAME?</v>
      </c>
      <c r="CR355" s="30" t="e">
        <f ca="1"/>
        <v>#NAME?</v>
      </c>
      <c r="CS355" s="30" t="str">
        <f ca="1">IFERROR(__xludf.DUMMYFUNCTION("""COMPUTED_VALUE"""),"Ninguno (Población General)")</f>
        <v>Ninguno (Población General)</v>
      </c>
    </row>
    <row r="356" spans="1:97" ht="13">
      <c r="A356" s="29" t="str">
        <f ca="1">IFERROR(__xludf.DUMMYFUNCTION("""COMPUTED_VALUE"""),"ACT-SCTU54508")</f>
        <v>ACT-SCTU54508</v>
      </c>
      <c r="B356" s="30" t="str">
        <f ca="1">IFERROR(__xludf.DUMMYFUNCTION("""COMPUTED_VALUE"""),"SC-260908-165831")</f>
        <v>SC-260908-165831</v>
      </c>
      <c r="C356" s="62">
        <f ca="1">IFERROR(__xludf.DUMMYFUNCTION("""COMPUTED_VALUE"""),46273.7073032407)</f>
        <v>46273.707303240699</v>
      </c>
      <c r="D356" s="30">
        <f ca="1">IFERROR(__xludf.DUMMYFUNCTION("""COMPUTED_VALUE"""),92)</f>
        <v>92</v>
      </c>
      <c r="E356" s="30" t="str">
        <f ca="1">IFERROR(__xludf.DUMMYFUNCTION("""COMPUTED_VALUE"""),"PB3572")</f>
        <v>PB3572</v>
      </c>
      <c r="F35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6" s="30" t="str">
        <f ca="1">IFERROR(__xludf.DUMMYFUNCTION("""COMPUTED_VALUE"""),"SUBSECRETARÍA DE DESARROLLO Y PROMOCIÓN ARTÍSTICA Y CULTURAL")</f>
        <v>SUBSECRETARÍA DE DESARROLLO Y PROMOCIÓN ARTÍSTICA Y CULTURAL</v>
      </c>
      <c r="I356" s="34" t="str">
        <f ca="1">IFERROR(__xludf.DUMMYFUNCTION("""COMPUTED_VALUE"""),"DIRECCIÓN GENERAL DE MUSEOS, ARTES VISUALES Y EXPOSICIONES")</f>
        <v>DIRECCIÓN GENERAL DE MUSEOS, ARTES VISUALES Y EXPOSICIONES</v>
      </c>
      <c r="J356" s="30" t="str">
        <f ca="1">IFERROR(__xludf.DUMMYFUNCTION("""COMPUTED_VALUE"""),"Número de Actividades realizadas")</f>
        <v>Número de Actividades realizadas</v>
      </c>
      <c r="K356" s="30">
        <f ca="1">IFERROR(__xludf.DUMMYFUNCTION("""COMPUTED_VALUE"""),800)</f>
        <v>800</v>
      </c>
      <c r="L356" s="30" t="str">
        <f ca="1">IFERROR(__xludf.DUMMYFUNCTION("""COMPUTED_VALUE"""),"Artística")</f>
        <v>Artística</v>
      </c>
      <c r="M356" s="30" t="str">
        <f ca="1">IFERROR(__xludf.DUMMYFUNCTION("""COMPUTED_VALUE"""),"Activación interdisciplinar: Moda hoy, ayer y mañana.")</f>
        <v>Activación interdisciplinar: Moda hoy, ayer y mañana.</v>
      </c>
      <c r="N356" s="30" t="str">
        <f ca="1">IFERROR(__xludf.DUMMYFUNCTION("""COMPUTED_VALUE"""),"Presentación interdisciplinar para con algunas herramientas del teatro")</f>
        <v>Presentación interdisciplinar para con algunas herramientas del teatro</v>
      </c>
      <c r="O356" s="30" t="str">
        <f ca="1">IFERROR(__xludf.DUMMYFUNCTION("""COMPUTED_VALUE"""),"Única")</f>
        <v>Única</v>
      </c>
      <c r="P356" s="33">
        <f ca="1">IFERROR(__xludf.DUMMYFUNCTION("""COMPUTED_VALUE"""),46256)</f>
        <v>46256</v>
      </c>
      <c r="Q356" s="33">
        <f ca="1">IFERROR(__xludf.DUMMYFUNCTION("""COMPUTED_VALUE"""),46256)</f>
        <v>46256</v>
      </c>
      <c r="R356" s="30">
        <f ca="1">IFERROR(__xludf.DUMMYFUNCTION("""COMPUTED_VALUE"""),1)</f>
        <v>1</v>
      </c>
      <c r="S356" s="30" t="str">
        <f ca="1">IFERROR(__xludf.DUMMYFUNCTION("""COMPUTED_VALUE"""),"Cultura comunitaria")</f>
        <v>Cultura comunitaria</v>
      </c>
      <c r="T356" s="30" t="str">
        <f ca="1">IFERROR(__xludf.DUMMYFUNCTION("""COMPUTED_VALUE"""),"Formación comunitaria")</f>
        <v>Formación comunitaria</v>
      </c>
      <c r="U356" s="30" t="str">
        <f ca="1">IFERROR(__xludf.DUMMYFUNCTION("""COMPUTED_VALUE"""),"Muestra artística")</f>
        <v>Muestra artística</v>
      </c>
      <c r="V356" s="30" t="str">
        <f ca="1">IFERROR(__xludf.DUMMYFUNCTION("""COMPUTED_VALUE"""),"Ninguna")</f>
        <v>Ninguna</v>
      </c>
      <c r="W356" s="30" t="str">
        <f ca="1">IFERROR(__xludf.DUMMYFUNCTION("""COMPUTED_VALUE"""),"Presencial")</f>
        <v>Presencial</v>
      </c>
      <c r="X356" s="30" t="str">
        <f ca="1">IFERROR(__xludf.DUMMYFUNCTION("""COMPUTED_VALUE"""),"Espacio a Cargo de la Secretaría")</f>
        <v>Espacio a Cargo de la Secretaría</v>
      </c>
      <c r="Y356" s="30" t="str">
        <f ca="1">IFERROR(__xludf.DUMMYFUNCTION("""COMPUTED_VALUE"""),"Museo del Pueblo de Guanajuato")</f>
        <v>Museo del Pueblo de Guanajuato</v>
      </c>
      <c r="Z356" s="30"/>
      <c r="AA356" s="30"/>
      <c r="AB356" s="30" t="b">
        <f ca="1">IFERROR(__xludf.DUMMYFUNCTION("""COMPUTED_VALUE"""),FALSE)</f>
        <v>0</v>
      </c>
      <c r="AC356" s="30"/>
      <c r="AD356" s="30" t="b">
        <f ca="1">IFERROR(__xludf.DUMMYFUNCTION("""COMPUTED_VALUE"""),FALSE)</f>
        <v>0</v>
      </c>
      <c r="AE356" s="30"/>
      <c r="AF356" s="30" t="b">
        <f ca="1">IFERROR(__xludf.DUMMYFUNCTION("""COMPUTED_VALUE"""),FALSE)</f>
        <v>0</v>
      </c>
      <c r="AG356" s="30"/>
      <c r="AH356" s="30" t="str">
        <f ca="1">IFERROR(__xludf.DUMMYFUNCTION("""COMPUTED_VALUE"""),"Sin costo")</f>
        <v>Sin costo</v>
      </c>
      <c r="AI356" s="30"/>
      <c r="AJ356" s="30"/>
      <c r="AK356" s="30"/>
      <c r="AL356" s="30" t="str">
        <f ca="1">IFERROR(__xludf.DUMMYFUNCTION("""COMPUTED_VALUE"""),"ccardonav@guanajuato.gob.mx")</f>
        <v>ccardonav@guanajuato.gob.mx</v>
      </c>
      <c r="AM356" s="30" t="str">
        <f ca="1">IFERROR(__xludf.DUMMYFUNCTION("""COMPUTED_VALUE"""),"Arraigo y empoderamiento cultural de comunidades.")</f>
        <v>Arraigo y empoderamiento cultural de comunidades.</v>
      </c>
      <c r="AN356" s="30" t="str">
        <f ca="1">IFERROR(__xludf.DUMMYFUNCTION("""COMPUTED_VALUE"""),"1 Tranquilidad")</f>
        <v>1 Tranquilidad</v>
      </c>
      <c r="AO356" s="30" t="str">
        <f ca="1">IFERROR(__xludf.DUMMYFUNCTION("""COMPUTED_VALUE"""),"1.2 Fortalecer prevención del delito")</f>
        <v>1.2 Fortalecer prevención del delito</v>
      </c>
      <c r="AP356" s="30" t="str">
        <f ca="1">IFERROR(__xludf.DUMMYFUNCTION("""COMPUTED_VALUE"""),"1.2.2 Fortalecimiento del tejido social")</f>
        <v>1.2.2 Fortalecimiento del tejido social</v>
      </c>
      <c r="AQ356" s="30" t="str">
        <f ca="1">IFERROR(__xludf.DUMMYFUNCTION("""COMPUTED_VALUE"""),"1.2.3.4 Promover una cultura de paz desde las expresiones artísticas y culturales")</f>
        <v>1.2.3.4 Promover una cultura de paz desde las expresiones artísticas y culturales</v>
      </c>
      <c r="AR356" s="30" t="str">
        <f ca="1">IFERROR(__xludf.DUMMYFUNCTION("""COMPUTED_VALUE"""),"Cooperación")</f>
        <v>Cooperación</v>
      </c>
      <c r="AS356" s="30"/>
      <c r="AT356" s="30" t="str">
        <f ca="1">IFERROR(__xludf.DUMMYFUNCTION("""COMPUTED_VALUE"""),"Fortalecimiento de la participación ciudadana y la mediación cultural")</f>
        <v>Fortalecimiento de la participación ciudadana y la mediación cultural</v>
      </c>
      <c r="AU356" s="30" t="str">
        <f ca="1">IFERROR(__xludf.DUMMYFUNCTION("""COMPUTED_VALUE"""),"Impulso a la ampliación de la oferta cultural en los territorios.")</f>
        <v>Impulso a la ampliación de la oferta cultural en los territorios.</v>
      </c>
      <c r="AV35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6" s="30" t="str">
        <f ca="1">IFERROR(__xludf.DUMMYFUNCTION("""COMPUTED_VALUE"""),"Incrementar en 25% la oferta cultural realizada en los municipios.")</f>
        <v>Incrementar en 25% la oferta cultural realizada en los municipios.</v>
      </c>
      <c r="AX356" s="30" t="str">
        <f ca="1">IFERROR(__xludf.DUMMYFUNCTION("""COMPUTED_VALUE"""),"Presentación artística")</f>
        <v>Presentación artística</v>
      </c>
      <c r="AY356" s="30" t="str">
        <f ca="1">IFERROR(__xludf.DUMMYFUNCTION("""COMPUTED_VALUE"""),"Formación")</f>
        <v>Formación</v>
      </c>
      <c r="AZ356" s="30"/>
      <c r="BA356" s="30"/>
      <c r="BB356" s="30"/>
      <c r="BC356" s="30">
        <f ca="1">IFERROR(__xludf.DUMMYFUNCTION("""COMPUTED_VALUE"""),0)</f>
        <v>0</v>
      </c>
      <c r="BD356" s="30"/>
      <c r="BE356" s="30"/>
      <c r="BF356" s="30" t="b">
        <f ca="1">IFERROR(__xludf.DUMMYFUNCTION("""COMPUTED_VALUE"""),FALSE)</f>
        <v>0</v>
      </c>
      <c r="BG356" s="30"/>
      <c r="BH356" s="30"/>
      <c r="BI356" s="30"/>
      <c r="BJ356" s="30"/>
      <c r="BK356" s="30"/>
      <c r="BL356" s="30"/>
      <c r="BM356" s="30" t="str">
        <f ca="1">IFERROR(__xludf.DUMMYFUNCTION("""COMPUTED_VALUE"""),"No")</f>
        <v>No</v>
      </c>
      <c r="BN356" s="30"/>
      <c r="BO356" s="30" t="str">
        <f ca="1">IFERROR(__xludf.DUMMYFUNCTION("""COMPUTED_VALUE"""),"02a319f3")</f>
        <v>02a319f3</v>
      </c>
      <c r="BP356" s="29" t="str">
        <f ca="1">IFERROR(__xludf.DUMMYFUNCTION("""COMPUTED_VALUE"""),"Guanajuato")</f>
        <v>Guanajuato</v>
      </c>
      <c r="BQ356" s="30" t="str">
        <f ca="1">IFERROR(__xludf.DUMMYFUNCTION("""COMPUTED_VALUE"""),"Urbano")</f>
        <v>Urbano</v>
      </c>
      <c r="BR356" s="30"/>
      <c r="BS356" s="30"/>
      <c r="BT356" s="30"/>
      <c r="BU356" s="30" t="str">
        <f ca="1">IFERROR(__xludf.DUMMYFUNCTION("""COMPUTED_VALUE"""),"No")</f>
        <v>No</v>
      </c>
      <c r="BV356" s="30" t="str">
        <f ca="1">IFERROR(__xludf.DUMMYFUNCTION("""COMPUTED_VALUE"""),"No")</f>
        <v>No</v>
      </c>
      <c r="BW356" s="30">
        <f ca="1">IFERROR(__xludf.DUMMYFUNCTION("""COMPUTED_VALUE"""),28)</f>
        <v>28</v>
      </c>
      <c r="BX356" s="30"/>
      <c r="BY356" s="30">
        <f ca="1">IFERROR(__xludf.DUMMYFUNCTION("""COMPUTED_VALUE"""),28)</f>
        <v>28</v>
      </c>
      <c r="BZ356" s="30"/>
      <c r="CA356" s="30" t="str">
        <f ca="1">IFERROR(__xludf.DUMMYFUNCTION("""COMPUTED_VALUE"""),"No")</f>
        <v>No</v>
      </c>
      <c r="CB356" s="30" t="str">
        <f ca="1">IFERROR(__xludf.DUMMYFUNCTION("""COMPUTED_VALUE"""),"No")</f>
        <v>No</v>
      </c>
      <c r="CC356" s="30" t="str">
        <f ca="1">IFERROR(__xludf.DUMMYFUNCTION("""COMPUTED_VALUE"""),"94792b80")</f>
        <v>94792b80</v>
      </c>
      <c r="CD356" s="29" t="str">
        <f ca="1">IFERROR(__xludf.DUMMYFUNCTION("""COMPUTED_VALUE"""),"Adultos (30 a 59 años)")</f>
        <v>Adultos (30 a 59 años)</v>
      </c>
      <c r="CE356" s="30" t="str">
        <f ca="1">IFERROR(__xludf.DUMMYFUNCTION("""COMPUTED_VALUE"""),"Dato global")</f>
        <v>Dato global</v>
      </c>
      <c r="CF356" s="30" t="str">
        <f ca="1">IFERROR(__xludf.DUMMYFUNCTION("""COMPUTED_VALUE"""),"Ninguno (Población General)")</f>
        <v>Ninguno (Población General)</v>
      </c>
      <c r="CG356" s="30">
        <f ca="1">IFERROR(__xludf.DUMMYFUNCTION("""COMPUTED_VALUE"""),6)</f>
        <v>6</v>
      </c>
      <c r="CJ356" s="29"/>
      <c r="CM356" s="30" t="str">
        <f ca="1">IFERROR(__xludf.DUMMYFUNCTION("""COMPUTED_VALUE"""),"Guanajuato")</f>
        <v>Guanajuato</v>
      </c>
      <c r="CN356" s="32" t="e">
        <f ca="1"/>
        <v>#NAME?</v>
      </c>
      <c r="CO356" s="32" t="e">
        <f ca="1"/>
        <v>#NAME?</v>
      </c>
      <c r="CP356" s="32" t="e">
        <f ca="1"/>
        <v>#NAME?</v>
      </c>
      <c r="CQ356" s="32" t="e">
        <f ca="1"/>
        <v>#NAME?</v>
      </c>
      <c r="CR356" s="30" t="e">
        <f ca="1"/>
        <v>#NAME?</v>
      </c>
      <c r="CS356" s="30" t="str">
        <f ca="1">IFERROR(__xludf.DUMMYFUNCTION("""COMPUTED_VALUE"""),"Ninguno (Población General)")</f>
        <v>Ninguno (Población General)</v>
      </c>
    </row>
    <row r="357" spans="1:97" ht="13">
      <c r="A357" s="29" t="str">
        <f ca="1">IFERROR(__xludf.DUMMYFUNCTION("""COMPUTED_VALUE"""),"ACT-SCNV23326")</f>
        <v>ACT-SCNV23326</v>
      </c>
      <c r="B357" s="30" t="str">
        <f ca="1">IFERROR(__xludf.DUMMYFUNCTION("""COMPUTED_VALUE"""),"SC-260909-114038")</f>
        <v>SC-260909-114038</v>
      </c>
      <c r="C357" s="62">
        <f ca="1">IFERROR(__xludf.DUMMYFUNCTION("""COMPUTED_VALUE"""),46274.4865509259)</f>
        <v>46274.486550925903</v>
      </c>
      <c r="D357" s="30">
        <f ca="1">IFERROR(__xludf.DUMMYFUNCTION("""COMPUTED_VALUE"""),92)</f>
        <v>92</v>
      </c>
      <c r="E357" s="30" t="str">
        <f ca="1">IFERROR(__xludf.DUMMYFUNCTION("""COMPUTED_VALUE"""),"PB3572")</f>
        <v>PB3572</v>
      </c>
      <c r="F35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7" s="30" t="str">
        <f ca="1">IFERROR(__xludf.DUMMYFUNCTION("""COMPUTED_VALUE"""),"SUBSECRETARÍA DE DESARROLLO Y PROMOCIÓN ARTÍSTICA Y CULTURAL")</f>
        <v>SUBSECRETARÍA DE DESARROLLO Y PROMOCIÓN ARTÍSTICA Y CULTURAL</v>
      </c>
      <c r="I357" s="34" t="str">
        <f ca="1">IFERROR(__xludf.DUMMYFUNCTION("""COMPUTED_VALUE"""),"DIRECCIÓN GENERAL DE MUSEOS, ARTES VISUALES Y EXPOSICIONES")</f>
        <v>DIRECCIÓN GENERAL DE MUSEOS, ARTES VISUALES Y EXPOSICIONES</v>
      </c>
      <c r="J357" s="30" t="str">
        <f ca="1">IFERROR(__xludf.DUMMYFUNCTION("""COMPUTED_VALUE"""),"Número de Actividades realizadas")</f>
        <v>Número de Actividades realizadas</v>
      </c>
      <c r="K357" s="30">
        <f ca="1">IFERROR(__xludf.DUMMYFUNCTION("""COMPUTED_VALUE"""),800)</f>
        <v>800</v>
      </c>
      <c r="L357" s="30" t="str">
        <f ca="1">IFERROR(__xludf.DUMMYFUNCTION("""COMPUTED_VALUE"""),"Artística")</f>
        <v>Artística</v>
      </c>
      <c r="M357" s="30" t="str">
        <f ca="1">IFERROR(__xludf.DUMMYFUNCTION("""COMPUTED_VALUE"""),"Talleres familiares de verano: Paisajes que cuentan historias.")</f>
        <v>Talleres familiares de verano: Paisajes que cuentan historias.</v>
      </c>
      <c r="N357" s="30" t="str">
        <f ca="1">IFERROR(__xludf.DUMMYFUNCTION("""COMPUTED_VALUE"""),"Las y los participantes descubren cómo los paisajes pueden expresar recuerdos, emociones y experiencias")</f>
        <v>Las y los participantes descubren cómo los paisajes pueden expresar recuerdos, emociones y experiencias</v>
      </c>
      <c r="O357" s="30" t="str">
        <f ca="1">IFERROR(__xludf.DUMMYFUNCTION("""COMPUTED_VALUE"""),"Única")</f>
        <v>Única</v>
      </c>
      <c r="P357" s="33">
        <f ca="1">IFERROR(__xludf.DUMMYFUNCTION("""COMPUTED_VALUE"""),46256)</f>
        <v>46256</v>
      </c>
      <c r="Q357" s="33">
        <f ca="1">IFERROR(__xludf.DUMMYFUNCTION("""COMPUTED_VALUE"""),46256)</f>
        <v>46256</v>
      </c>
      <c r="R357" s="30">
        <f ca="1">IFERROR(__xludf.DUMMYFUNCTION("""COMPUTED_VALUE"""),1)</f>
        <v>1</v>
      </c>
      <c r="S357" s="30" t="str">
        <f ca="1">IFERROR(__xludf.DUMMYFUNCTION("""COMPUTED_VALUE"""),"Cultura comunitaria")</f>
        <v>Cultura comunitaria</v>
      </c>
      <c r="T357" s="30" t="str">
        <f ca="1">IFERROR(__xludf.DUMMYFUNCTION("""COMPUTED_VALUE"""),"Formación comunitaria")</f>
        <v>Formación comunitaria</v>
      </c>
      <c r="U357" s="30" t="str">
        <f ca="1">IFERROR(__xludf.DUMMYFUNCTION("""COMPUTED_VALUE"""),"Taller")</f>
        <v>Taller</v>
      </c>
      <c r="V357" s="30" t="str">
        <f ca="1">IFERROR(__xludf.DUMMYFUNCTION("""COMPUTED_VALUE"""),"Ninguna")</f>
        <v>Ninguna</v>
      </c>
      <c r="W357" s="30" t="str">
        <f ca="1">IFERROR(__xludf.DUMMYFUNCTION("""COMPUTED_VALUE"""),"Presencial")</f>
        <v>Presencial</v>
      </c>
      <c r="X357" s="30" t="str">
        <f ca="1">IFERROR(__xludf.DUMMYFUNCTION("""COMPUTED_VALUE"""),"Espacio a Cargo de la Secretaría")</f>
        <v>Espacio a Cargo de la Secretaría</v>
      </c>
      <c r="Y357" s="30" t="str">
        <f ca="1">IFERROR(__xludf.DUMMYFUNCTION("""COMPUTED_VALUE"""),"Museo Casa Diego Rivera")</f>
        <v>Museo Casa Diego Rivera</v>
      </c>
      <c r="Z357" s="30"/>
      <c r="AA357" s="30"/>
      <c r="AB357" s="30" t="b">
        <f ca="1">IFERROR(__xludf.DUMMYFUNCTION("""COMPUTED_VALUE"""),FALSE)</f>
        <v>0</v>
      </c>
      <c r="AC357" s="30"/>
      <c r="AD357" s="30" t="b">
        <f ca="1">IFERROR(__xludf.DUMMYFUNCTION("""COMPUTED_VALUE"""),FALSE)</f>
        <v>0</v>
      </c>
      <c r="AE357" s="30"/>
      <c r="AF357" s="30" t="b">
        <f ca="1">IFERROR(__xludf.DUMMYFUNCTION("""COMPUTED_VALUE"""),FALSE)</f>
        <v>0</v>
      </c>
      <c r="AG357" s="30"/>
      <c r="AH357" s="30" t="str">
        <f ca="1">IFERROR(__xludf.DUMMYFUNCTION("""COMPUTED_VALUE"""),"Sin costo")</f>
        <v>Sin costo</v>
      </c>
      <c r="AI357" s="30"/>
      <c r="AJ357" s="30"/>
      <c r="AK357" s="30"/>
      <c r="AL357" s="30" t="str">
        <f ca="1">IFERROR(__xludf.DUMMYFUNCTION("""COMPUTED_VALUE"""),"ccardonav@guanajuato.gob.mx")</f>
        <v>ccardonav@guanajuato.gob.mx</v>
      </c>
      <c r="AM357" s="30" t="str">
        <f ca="1">IFERROR(__xludf.DUMMYFUNCTION("""COMPUTED_VALUE"""),"Arraigo y empoderamiento cultural de comunidades.")</f>
        <v>Arraigo y empoderamiento cultural de comunidades.</v>
      </c>
      <c r="AN357" s="30" t="str">
        <f ca="1">IFERROR(__xludf.DUMMYFUNCTION("""COMPUTED_VALUE"""),"1 Tranquilidad")</f>
        <v>1 Tranquilidad</v>
      </c>
      <c r="AO357" s="30" t="str">
        <f ca="1">IFERROR(__xludf.DUMMYFUNCTION("""COMPUTED_VALUE"""),"1.2 Fortalecer prevención del delito")</f>
        <v>1.2 Fortalecer prevención del delito</v>
      </c>
      <c r="AP357" s="30" t="str">
        <f ca="1">IFERROR(__xludf.DUMMYFUNCTION("""COMPUTED_VALUE"""),"1.2.2 Fortalecimiento del tejido social")</f>
        <v>1.2.2 Fortalecimiento del tejido social</v>
      </c>
      <c r="AQ357" s="30" t="str">
        <f ca="1">IFERROR(__xludf.DUMMYFUNCTION("""COMPUTED_VALUE"""),"1.2.3.4 Promover una cultura de paz desde las expresiones artísticas y culturales")</f>
        <v>1.2.3.4 Promover una cultura de paz desde las expresiones artísticas y culturales</v>
      </c>
      <c r="AR357" s="30" t="str">
        <f ca="1">IFERROR(__xludf.DUMMYFUNCTION("""COMPUTED_VALUE"""),"Cooperación")</f>
        <v>Cooperación</v>
      </c>
      <c r="AS357" s="30"/>
      <c r="AT357" s="30" t="str">
        <f ca="1">IFERROR(__xludf.DUMMYFUNCTION("""COMPUTED_VALUE"""),"Fortalecimiento de la participación ciudadana y la mediación cultural")</f>
        <v>Fortalecimiento de la participación ciudadana y la mediación cultural</v>
      </c>
      <c r="AU357" s="30" t="str">
        <f ca="1">IFERROR(__xludf.DUMMYFUNCTION("""COMPUTED_VALUE"""),"Impulso a la ampliación de la oferta cultural en los territorios.")</f>
        <v>Impulso a la ampliación de la oferta cultural en los territorios.</v>
      </c>
      <c r="AV35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7" s="30" t="str">
        <f ca="1">IFERROR(__xludf.DUMMYFUNCTION("""COMPUTED_VALUE"""),"Incrementar en 25% la oferta cultural realizada en los municipios.")</f>
        <v>Incrementar en 25% la oferta cultural realizada en los municipios.</v>
      </c>
      <c r="AX357" s="30" t="str">
        <f ca="1">IFERROR(__xludf.DUMMYFUNCTION("""COMPUTED_VALUE"""),"Taller")</f>
        <v>Taller</v>
      </c>
      <c r="AY357" s="30" t="str">
        <f ca="1">IFERROR(__xludf.DUMMYFUNCTION("""COMPUTED_VALUE"""),"Formación")</f>
        <v>Formación</v>
      </c>
      <c r="AZ357" s="30" t="str">
        <f ca="1">IFERROR(__xludf.DUMMYFUNCTION("""COMPUTED_VALUE"""),"Formación")</f>
        <v>Formación</v>
      </c>
      <c r="BA357" s="30"/>
      <c r="BB357" s="30"/>
      <c r="BC357" s="30">
        <f ca="1">IFERROR(__xludf.DUMMYFUNCTION("""COMPUTED_VALUE"""),0)</f>
        <v>0</v>
      </c>
      <c r="BD357" s="30"/>
      <c r="BE357" s="30"/>
      <c r="BF357" s="30" t="b">
        <f ca="1">IFERROR(__xludf.DUMMYFUNCTION("""COMPUTED_VALUE"""),FALSE)</f>
        <v>0</v>
      </c>
      <c r="BG357" s="30"/>
      <c r="BH357" s="30"/>
      <c r="BI357" s="30"/>
      <c r="BJ357" s="30"/>
      <c r="BK357" s="30"/>
      <c r="BL357" s="30"/>
      <c r="BM357" s="30" t="str">
        <f ca="1">IFERROR(__xludf.DUMMYFUNCTION("""COMPUTED_VALUE"""),"No")</f>
        <v>No</v>
      </c>
      <c r="BN357" s="30"/>
      <c r="BO357" s="30" t="str">
        <f ca="1">IFERROR(__xludf.DUMMYFUNCTION("""COMPUTED_VALUE"""),"d9208971")</f>
        <v>d9208971</v>
      </c>
      <c r="BP357" s="29" t="str">
        <f ca="1">IFERROR(__xludf.DUMMYFUNCTION("""COMPUTED_VALUE"""),"Guanajuato")</f>
        <v>Guanajuato</v>
      </c>
      <c r="BQ357" s="30" t="str">
        <f ca="1">IFERROR(__xludf.DUMMYFUNCTION("""COMPUTED_VALUE"""),"Urbano")</f>
        <v>Urbano</v>
      </c>
      <c r="BR357" s="30"/>
      <c r="BS357" s="30"/>
      <c r="BT357" s="30"/>
      <c r="BU357" s="30" t="str">
        <f ca="1">IFERROR(__xludf.DUMMYFUNCTION("""COMPUTED_VALUE"""),"No")</f>
        <v>No</v>
      </c>
      <c r="BV357" s="30" t="str">
        <f ca="1">IFERROR(__xludf.DUMMYFUNCTION("""COMPUTED_VALUE"""),"No")</f>
        <v>No</v>
      </c>
      <c r="BW357" s="30">
        <f ca="1">IFERROR(__xludf.DUMMYFUNCTION("""COMPUTED_VALUE"""),26)</f>
        <v>26</v>
      </c>
      <c r="BX357" s="30"/>
      <c r="BY357" s="30">
        <f ca="1">IFERROR(__xludf.DUMMYFUNCTION("""COMPUTED_VALUE"""),26)</f>
        <v>26</v>
      </c>
      <c r="BZ357" s="30"/>
      <c r="CA357" s="30" t="str">
        <f ca="1">IFERROR(__xludf.DUMMYFUNCTION("""COMPUTED_VALUE"""),"No")</f>
        <v>No</v>
      </c>
      <c r="CB357" s="30" t="str">
        <f ca="1">IFERROR(__xludf.DUMMYFUNCTION("""COMPUTED_VALUE"""),"No")</f>
        <v>No</v>
      </c>
      <c r="CC357" s="30" t="str">
        <f ca="1">IFERROR(__xludf.DUMMYFUNCTION("""COMPUTED_VALUE"""),"ac594c33")</f>
        <v>ac594c33</v>
      </c>
      <c r="CD357" s="29" t="str">
        <f ca="1">IFERROR(__xludf.DUMMYFUNCTION("""COMPUTED_VALUE"""),"Adultos Mayores (60 años o más)")</f>
        <v>Adultos Mayores (60 años o más)</v>
      </c>
      <c r="CE357" s="30" t="str">
        <f ca="1">IFERROR(__xludf.DUMMYFUNCTION("""COMPUTED_VALUE"""),"Dato global")</f>
        <v>Dato global</v>
      </c>
      <c r="CF357" s="30" t="str">
        <f ca="1">IFERROR(__xludf.DUMMYFUNCTION("""COMPUTED_VALUE"""),"Ninguno (Población General)")</f>
        <v>Ninguno (Población General)</v>
      </c>
      <c r="CG357" s="30">
        <f ca="1">IFERROR(__xludf.DUMMYFUNCTION("""COMPUTED_VALUE"""),3)</f>
        <v>3</v>
      </c>
      <c r="CJ357" s="29"/>
      <c r="CM357" s="30" t="str">
        <f ca="1">IFERROR(__xludf.DUMMYFUNCTION("""COMPUTED_VALUE"""),"Guanajuato")</f>
        <v>Guanajuato</v>
      </c>
      <c r="CN357" s="32" t="e">
        <f ca="1"/>
        <v>#NAME?</v>
      </c>
      <c r="CO357" s="32" t="e">
        <f ca="1"/>
        <v>#NAME?</v>
      </c>
      <c r="CP357" s="32" t="e">
        <f ca="1"/>
        <v>#NAME?</v>
      </c>
      <c r="CQ357" s="32" t="e">
        <f ca="1"/>
        <v>#NAME?</v>
      </c>
      <c r="CR357" s="30" t="e">
        <f ca="1"/>
        <v>#NAME?</v>
      </c>
      <c r="CS357" s="30" t="str">
        <f ca="1">IFERROR(__xludf.DUMMYFUNCTION("""COMPUTED_VALUE"""),"Ninguno (Población General)")</f>
        <v>Ninguno (Población General)</v>
      </c>
    </row>
    <row r="358" spans="1:97" ht="13">
      <c r="A358" s="29" t="str">
        <f ca="1">IFERROR(__xludf.DUMMYFUNCTION("""COMPUTED_VALUE"""),"ACT-SCKX77224")</f>
        <v>ACT-SCKX77224</v>
      </c>
      <c r="B358" s="30" t="str">
        <f ca="1">IFERROR(__xludf.DUMMYFUNCTION("""COMPUTED_VALUE"""),"SC-260909-121517")</f>
        <v>SC-260909-121517</v>
      </c>
      <c r="C358" s="62">
        <f ca="1">IFERROR(__xludf.DUMMYFUNCTION("""COMPUTED_VALUE"""),46274.5106134259)</f>
        <v>46274.510613425897</v>
      </c>
      <c r="D358" s="30">
        <f ca="1">IFERROR(__xludf.DUMMYFUNCTION("""COMPUTED_VALUE"""),92)</f>
        <v>92</v>
      </c>
      <c r="E358" s="30" t="str">
        <f ca="1">IFERROR(__xludf.DUMMYFUNCTION("""COMPUTED_VALUE"""),"PB3572")</f>
        <v>PB3572</v>
      </c>
      <c r="F35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8" s="30" t="str">
        <f ca="1">IFERROR(__xludf.DUMMYFUNCTION("""COMPUTED_VALUE"""),"SUBSECRETARÍA DE DESARROLLO Y PROMOCIÓN ARTÍSTICA Y CULTURAL")</f>
        <v>SUBSECRETARÍA DE DESARROLLO Y PROMOCIÓN ARTÍSTICA Y CULTURAL</v>
      </c>
      <c r="I358" s="34" t="str">
        <f ca="1">IFERROR(__xludf.DUMMYFUNCTION("""COMPUTED_VALUE"""),"DIRECCIÓN GENERAL DE MUSEOS, ARTES VISUALES Y EXPOSICIONES")</f>
        <v>DIRECCIÓN GENERAL DE MUSEOS, ARTES VISUALES Y EXPOSICIONES</v>
      </c>
      <c r="J358" s="30" t="str">
        <f ca="1">IFERROR(__xludf.DUMMYFUNCTION("""COMPUTED_VALUE"""),"Número de Actividades realizadas")</f>
        <v>Número de Actividades realizadas</v>
      </c>
      <c r="K358" s="30">
        <f ca="1">IFERROR(__xludf.DUMMYFUNCTION("""COMPUTED_VALUE"""),800)</f>
        <v>800</v>
      </c>
      <c r="L358" s="30" t="str">
        <f ca="1">IFERROR(__xludf.DUMMYFUNCTION("""COMPUTED_VALUE"""),"Artística")</f>
        <v>Artística</v>
      </c>
      <c r="M358" s="30" t="str">
        <f ca="1">IFERROR(__xludf.DUMMYFUNCTION("""COMPUTED_VALUE"""),"Activación interdisciplinar: Moda hoy, ayer y mañana.")</f>
        <v>Activación interdisciplinar: Moda hoy, ayer y mañana.</v>
      </c>
      <c r="N358" s="30" t="str">
        <f ca="1">IFERROR(__xludf.DUMMYFUNCTION("""COMPUTED_VALUE"""),"Presentación interdisciplinar para con algunas herramientas del teatro")</f>
        <v>Presentación interdisciplinar para con algunas herramientas del teatro</v>
      </c>
      <c r="O358" s="30" t="str">
        <f ca="1">IFERROR(__xludf.DUMMYFUNCTION("""COMPUTED_VALUE"""),"Única")</f>
        <v>Única</v>
      </c>
      <c r="P358" s="33">
        <f ca="1">IFERROR(__xludf.DUMMYFUNCTION("""COMPUTED_VALUE"""),46257)</f>
        <v>46257</v>
      </c>
      <c r="Q358" s="33">
        <f ca="1">IFERROR(__xludf.DUMMYFUNCTION("""COMPUTED_VALUE"""),46257)</f>
        <v>46257</v>
      </c>
      <c r="R358" s="30">
        <f ca="1">IFERROR(__xludf.DUMMYFUNCTION("""COMPUTED_VALUE"""),1)</f>
        <v>1</v>
      </c>
      <c r="S358" s="30" t="str">
        <f ca="1">IFERROR(__xludf.DUMMYFUNCTION("""COMPUTED_VALUE"""),"Cultura comunitaria")</f>
        <v>Cultura comunitaria</v>
      </c>
      <c r="T358" s="30" t="str">
        <f ca="1">IFERROR(__xludf.DUMMYFUNCTION("""COMPUTED_VALUE"""),"Formación comunitaria")</f>
        <v>Formación comunitaria</v>
      </c>
      <c r="U358" s="30" t="str">
        <f ca="1">IFERROR(__xludf.DUMMYFUNCTION("""COMPUTED_VALUE"""),"Muestra artística")</f>
        <v>Muestra artística</v>
      </c>
      <c r="V358" s="30" t="str">
        <f ca="1">IFERROR(__xludf.DUMMYFUNCTION("""COMPUTED_VALUE"""),"Ninguna")</f>
        <v>Ninguna</v>
      </c>
      <c r="W358" s="30" t="str">
        <f ca="1">IFERROR(__xludf.DUMMYFUNCTION("""COMPUTED_VALUE"""),"Presencial")</f>
        <v>Presencial</v>
      </c>
      <c r="X358" s="30" t="str">
        <f ca="1">IFERROR(__xludf.DUMMYFUNCTION("""COMPUTED_VALUE"""),"Espacio a Cargo de la Secretaría")</f>
        <v>Espacio a Cargo de la Secretaría</v>
      </c>
      <c r="Y358" s="30" t="str">
        <f ca="1">IFERROR(__xludf.DUMMYFUNCTION("""COMPUTED_VALUE"""),"Museo del Pueblo de Guanajuato")</f>
        <v>Museo del Pueblo de Guanajuato</v>
      </c>
      <c r="Z358" s="30"/>
      <c r="AA358" s="30"/>
      <c r="AB358" s="30" t="b">
        <f ca="1">IFERROR(__xludf.DUMMYFUNCTION("""COMPUTED_VALUE"""),FALSE)</f>
        <v>0</v>
      </c>
      <c r="AC358" s="30"/>
      <c r="AD358" s="30" t="b">
        <f ca="1">IFERROR(__xludf.DUMMYFUNCTION("""COMPUTED_VALUE"""),FALSE)</f>
        <v>0</v>
      </c>
      <c r="AE358" s="30"/>
      <c r="AF358" s="30" t="b">
        <f ca="1">IFERROR(__xludf.DUMMYFUNCTION("""COMPUTED_VALUE"""),FALSE)</f>
        <v>0</v>
      </c>
      <c r="AG358" s="30"/>
      <c r="AH358" s="30" t="str">
        <f ca="1">IFERROR(__xludf.DUMMYFUNCTION("""COMPUTED_VALUE"""),"Sin costo")</f>
        <v>Sin costo</v>
      </c>
      <c r="AI358" s="30"/>
      <c r="AJ358" s="30"/>
      <c r="AK358" s="30"/>
      <c r="AL358" s="30" t="str">
        <f ca="1">IFERROR(__xludf.DUMMYFUNCTION("""COMPUTED_VALUE"""),"ccardonav@guanajuato.gob.mx")</f>
        <v>ccardonav@guanajuato.gob.mx</v>
      </c>
      <c r="AM358" s="30" t="str">
        <f ca="1">IFERROR(__xludf.DUMMYFUNCTION("""COMPUTED_VALUE"""),"Arraigo y empoderamiento cultural de comunidades.")</f>
        <v>Arraigo y empoderamiento cultural de comunidades.</v>
      </c>
      <c r="AN358" s="30" t="str">
        <f ca="1">IFERROR(__xludf.DUMMYFUNCTION("""COMPUTED_VALUE"""),"1 Tranquilidad")</f>
        <v>1 Tranquilidad</v>
      </c>
      <c r="AO358" s="30" t="str">
        <f ca="1">IFERROR(__xludf.DUMMYFUNCTION("""COMPUTED_VALUE"""),"1.2 Fortalecer prevención del delito")</f>
        <v>1.2 Fortalecer prevención del delito</v>
      </c>
      <c r="AP358" s="30" t="str">
        <f ca="1">IFERROR(__xludf.DUMMYFUNCTION("""COMPUTED_VALUE"""),"1.2.2 Fortalecimiento del tejido social")</f>
        <v>1.2.2 Fortalecimiento del tejido social</v>
      </c>
      <c r="AQ358" s="30" t="str">
        <f ca="1">IFERROR(__xludf.DUMMYFUNCTION("""COMPUTED_VALUE"""),"1.2.3.4 Promover una cultura de paz desde las expresiones artísticas y culturales")</f>
        <v>1.2.3.4 Promover una cultura de paz desde las expresiones artísticas y culturales</v>
      </c>
      <c r="AR358" s="30" t="str">
        <f ca="1">IFERROR(__xludf.DUMMYFUNCTION("""COMPUTED_VALUE"""),"Cooperación")</f>
        <v>Cooperación</v>
      </c>
      <c r="AS358" s="30"/>
      <c r="AT358" s="30" t="str">
        <f ca="1">IFERROR(__xludf.DUMMYFUNCTION("""COMPUTED_VALUE"""),"Fortalecimiento de la participación ciudadana y la mediación cultural")</f>
        <v>Fortalecimiento de la participación ciudadana y la mediación cultural</v>
      </c>
      <c r="AU358" s="30" t="str">
        <f ca="1">IFERROR(__xludf.DUMMYFUNCTION("""COMPUTED_VALUE"""),"Impulso a la ampliación de la oferta cultural en los territorios.")</f>
        <v>Impulso a la ampliación de la oferta cultural en los territorios.</v>
      </c>
      <c r="AV35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8" s="30" t="str">
        <f ca="1">IFERROR(__xludf.DUMMYFUNCTION("""COMPUTED_VALUE"""),"Incrementar en 25% la oferta cultural realizada en los municipios.")</f>
        <v>Incrementar en 25% la oferta cultural realizada en los municipios.</v>
      </c>
      <c r="AX358" s="30" t="str">
        <f ca="1">IFERROR(__xludf.DUMMYFUNCTION("""COMPUTED_VALUE"""),"Presentación artística")</f>
        <v>Presentación artística</v>
      </c>
      <c r="AY358" s="30" t="str">
        <f ca="1">IFERROR(__xludf.DUMMYFUNCTION("""COMPUTED_VALUE"""),"Formación")</f>
        <v>Formación</v>
      </c>
      <c r="AZ358" s="30"/>
      <c r="BA358" s="30"/>
      <c r="BB358" s="30"/>
      <c r="BC358" s="30">
        <f ca="1">IFERROR(__xludf.DUMMYFUNCTION("""COMPUTED_VALUE"""),0)</f>
        <v>0</v>
      </c>
      <c r="BD358" s="30"/>
      <c r="BE358" s="30"/>
      <c r="BF358" s="30" t="b">
        <f ca="1">IFERROR(__xludf.DUMMYFUNCTION("""COMPUTED_VALUE"""),FALSE)</f>
        <v>0</v>
      </c>
      <c r="BG358" s="30"/>
      <c r="BH358" s="30"/>
      <c r="BI358" s="30"/>
      <c r="BJ358" s="30"/>
      <c r="BK358" s="30"/>
      <c r="BL358" s="30"/>
      <c r="BM358" s="30" t="str">
        <f ca="1">IFERROR(__xludf.DUMMYFUNCTION("""COMPUTED_VALUE"""),"No")</f>
        <v>No</v>
      </c>
      <c r="BN358" s="30"/>
      <c r="BO358" s="30" t="str">
        <f ca="1">IFERROR(__xludf.DUMMYFUNCTION("""COMPUTED_VALUE"""),"4b1e7ace")</f>
        <v>4b1e7ace</v>
      </c>
      <c r="BP358" s="29" t="str">
        <f ca="1">IFERROR(__xludf.DUMMYFUNCTION("""COMPUTED_VALUE"""),"Guanajuato")</f>
        <v>Guanajuato</v>
      </c>
      <c r="BQ358" s="30" t="str">
        <f ca="1">IFERROR(__xludf.DUMMYFUNCTION("""COMPUTED_VALUE"""),"Urbano")</f>
        <v>Urbano</v>
      </c>
      <c r="BR358" s="30"/>
      <c r="BS358" s="30"/>
      <c r="BT358" s="30"/>
      <c r="BU358" s="30" t="str">
        <f ca="1">IFERROR(__xludf.DUMMYFUNCTION("""COMPUTED_VALUE"""),"No")</f>
        <v>No</v>
      </c>
      <c r="BV358" s="30" t="str">
        <f ca="1">IFERROR(__xludf.DUMMYFUNCTION("""COMPUTED_VALUE"""),"No")</f>
        <v>No</v>
      </c>
      <c r="BW358" s="30">
        <f ca="1">IFERROR(__xludf.DUMMYFUNCTION("""COMPUTED_VALUE"""),4)</f>
        <v>4</v>
      </c>
      <c r="BX358" s="30">
        <f ca="1">IFERROR(__xludf.DUMMYFUNCTION("""COMPUTED_VALUE"""),4)</f>
        <v>4</v>
      </c>
      <c r="BY358" s="30">
        <f ca="1">IFERROR(__xludf.DUMMYFUNCTION("""COMPUTED_VALUE"""),0)</f>
        <v>0</v>
      </c>
      <c r="BZ358" s="30"/>
      <c r="CA358" s="30" t="str">
        <f ca="1">IFERROR(__xludf.DUMMYFUNCTION("""COMPUTED_VALUE"""),"No")</f>
        <v>No</v>
      </c>
      <c r="CB358" s="30" t="str">
        <f ca="1">IFERROR(__xludf.DUMMYFUNCTION("""COMPUTED_VALUE"""),"No")</f>
        <v>No</v>
      </c>
      <c r="CC358" s="30" t="str">
        <f ca="1">IFERROR(__xludf.DUMMYFUNCTION("""COMPUTED_VALUE"""),"d0fd42fc")</f>
        <v>d0fd42fc</v>
      </c>
      <c r="CD358" s="29" t="str">
        <f ca="1">IFERROR(__xludf.DUMMYFUNCTION("""COMPUTED_VALUE"""),"Niñas y Niños (6 a 12 años)")</f>
        <v>Niñas y Niños (6 a 12 años)</v>
      </c>
      <c r="CE358" s="30" t="str">
        <f ca="1">IFERROR(__xludf.DUMMYFUNCTION("""COMPUTED_VALUE"""),"Dato global")</f>
        <v>Dato global</v>
      </c>
      <c r="CF358" s="30" t="str">
        <f ca="1">IFERROR(__xludf.DUMMYFUNCTION("""COMPUTED_VALUE"""),"Ninguno (Población General)")</f>
        <v>Ninguno (Población General)</v>
      </c>
      <c r="CG358" s="30">
        <f ca="1">IFERROR(__xludf.DUMMYFUNCTION("""COMPUTED_VALUE"""),11)</f>
        <v>11</v>
      </c>
      <c r="CJ358" s="29"/>
      <c r="CM358" s="30" t="str">
        <f ca="1">IFERROR(__xludf.DUMMYFUNCTION("""COMPUTED_VALUE"""),"Guanajuato")</f>
        <v>Guanajuato</v>
      </c>
      <c r="CN358" s="32" t="e">
        <f ca="1"/>
        <v>#NAME?</v>
      </c>
      <c r="CO358" s="32" t="e">
        <f ca="1"/>
        <v>#NAME?</v>
      </c>
      <c r="CP358" s="32" t="e">
        <f ca="1"/>
        <v>#NAME?</v>
      </c>
      <c r="CQ358" s="32" t="e">
        <f ca="1"/>
        <v>#NAME?</v>
      </c>
      <c r="CR358" s="30" t="e">
        <f ca="1"/>
        <v>#NAME?</v>
      </c>
      <c r="CS358" s="30" t="str">
        <f ca="1">IFERROR(__xludf.DUMMYFUNCTION("""COMPUTED_VALUE"""),"Ninguno (Población General)")</f>
        <v>Ninguno (Población General)</v>
      </c>
    </row>
    <row r="359" spans="1:97" ht="13">
      <c r="A359" s="29" t="str">
        <f ca="1">IFERROR(__xludf.DUMMYFUNCTION("""COMPUTED_VALUE"""),"ACT-SCHN00336")</f>
        <v>ACT-SCHN00336</v>
      </c>
      <c r="B359" s="30" t="str">
        <f ca="1">IFERROR(__xludf.DUMMYFUNCTION("""COMPUTED_VALUE"""),"SC-260909-124841")</f>
        <v>SC-260909-124841</v>
      </c>
      <c r="C359" s="62">
        <f ca="1">IFERROR(__xludf.DUMMYFUNCTION("""COMPUTED_VALUE"""),46274.5338078703)</f>
        <v>46274.533807870299</v>
      </c>
      <c r="D359" s="30">
        <f ca="1">IFERROR(__xludf.DUMMYFUNCTION("""COMPUTED_VALUE"""),92)</f>
        <v>92</v>
      </c>
      <c r="E359" s="30" t="str">
        <f ca="1">IFERROR(__xludf.DUMMYFUNCTION("""COMPUTED_VALUE"""),"PB3572")</f>
        <v>PB3572</v>
      </c>
      <c r="F35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5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59" s="30" t="str">
        <f ca="1">IFERROR(__xludf.DUMMYFUNCTION("""COMPUTED_VALUE"""),"SUBSECRETARÍA DE DESARROLLO Y PROMOCIÓN ARTÍSTICA Y CULTURAL")</f>
        <v>SUBSECRETARÍA DE DESARROLLO Y PROMOCIÓN ARTÍSTICA Y CULTURAL</v>
      </c>
      <c r="I359" s="34" t="str">
        <f ca="1">IFERROR(__xludf.DUMMYFUNCTION("""COMPUTED_VALUE"""),"DIRECCIÓN GENERAL DE MUSEOS, ARTES VISUALES Y EXPOSICIONES")</f>
        <v>DIRECCIÓN GENERAL DE MUSEOS, ARTES VISUALES Y EXPOSICIONES</v>
      </c>
      <c r="J359" s="30" t="str">
        <f ca="1">IFERROR(__xludf.DUMMYFUNCTION("""COMPUTED_VALUE"""),"Número de Actividades realizadas")</f>
        <v>Número de Actividades realizadas</v>
      </c>
      <c r="K359" s="30">
        <f ca="1">IFERROR(__xludf.DUMMYFUNCTION("""COMPUTED_VALUE"""),800)</f>
        <v>800</v>
      </c>
      <c r="L359" s="30" t="str">
        <f ca="1">IFERROR(__xludf.DUMMYFUNCTION("""COMPUTED_VALUE"""),"Artística")</f>
        <v>Artística</v>
      </c>
      <c r="M359" s="30" t="str">
        <f ca="1">IFERROR(__xludf.DUMMYFUNCTION("""COMPUTED_VALUE"""),"Talleres familiares de verano: Paisajes que cuentan historias.")</f>
        <v>Talleres familiares de verano: Paisajes que cuentan historias.</v>
      </c>
      <c r="N359" s="30" t="str">
        <f ca="1">IFERROR(__xludf.DUMMYFUNCTION("""COMPUTED_VALUE"""),"Las y los participantes descubren cómo los paisajes pueden expresar recuerdos, emociones y experiencias")</f>
        <v>Las y los participantes descubren cómo los paisajes pueden expresar recuerdos, emociones y experiencias</v>
      </c>
      <c r="O359" s="30" t="str">
        <f ca="1">IFERROR(__xludf.DUMMYFUNCTION("""COMPUTED_VALUE"""),"Única")</f>
        <v>Única</v>
      </c>
      <c r="P359" s="33">
        <f ca="1">IFERROR(__xludf.DUMMYFUNCTION("""COMPUTED_VALUE"""),46257)</f>
        <v>46257</v>
      </c>
      <c r="Q359" s="33">
        <f ca="1">IFERROR(__xludf.DUMMYFUNCTION("""COMPUTED_VALUE"""),46257)</f>
        <v>46257</v>
      </c>
      <c r="R359" s="30">
        <f ca="1">IFERROR(__xludf.DUMMYFUNCTION("""COMPUTED_VALUE"""),1)</f>
        <v>1</v>
      </c>
      <c r="S359" s="30" t="str">
        <f ca="1">IFERROR(__xludf.DUMMYFUNCTION("""COMPUTED_VALUE"""),"Cultura comunitaria")</f>
        <v>Cultura comunitaria</v>
      </c>
      <c r="T359" s="30" t="str">
        <f ca="1">IFERROR(__xludf.DUMMYFUNCTION("""COMPUTED_VALUE"""),"Formación comunitaria")</f>
        <v>Formación comunitaria</v>
      </c>
      <c r="U359" s="30" t="str">
        <f ca="1">IFERROR(__xludf.DUMMYFUNCTION("""COMPUTED_VALUE"""),"Taller")</f>
        <v>Taller</v>
      </c>
      <c r="V359" s="30" t="str">
        <f ca="1">IFERROR(__xludf.DUMMYFUNCTION("""COMPUTED_VALUE"""),"Ninguna")</f>
        <v>Ninguna</v>
      </c>
      <c r="W359" s="30" t="str">
        <f ca="1">IFERROR(__xludf.DUMMYFUNCTION("""COMPUTED_VALUE"""),"Presencial")</f>
        <v>Presencial</v>
      </c>
      <c r="X359" s="30" t="str">
        <f ca="1">IFERROR(__xludf.DUMMYFUNCTION("""COMPUTED_VALUE"""),"Espacio a Cargo de la Secretaría")</f>
        <v>Espacio a Cargo de la Secretaría</v>
      </c>
      <c r="Y359" s="30" t="str">
        <f ca="1">IFERROR(__xludf.DUMMYFUNCTION("""COMPUTED_VALUE"""),"Museo Casa Diego Rivera")</f>
        <v>Museo Casa Diego Rivera</v>
      </c>
      <c r="Z359" s="30"/>
      <c r="AA359" s="30"/>
      <c r="AB359" s="30" t="b">
        <f ca="1">IFERROR(__xludf.DUMMYFUNCTION("""COMPUTED_VALUE"""),FALSE)</f>
        <v>0</v>
      </c>
      <c r="AC359" s="30"/>
      <c r="AD359" s="30" t="b">
        <f ca="1">IFERROR(__xludf.DUMMYFUNCTION("""COMPUTED_VALUE"""),FALSE)</f>
        <v>0</v>
      </c>
      <c r="AE359" s="30"/>
      <c r="AF359" s="30" t="b">
        <f ca="1">IFERROR(__xludf.DUMMYFUNCTION("""COMPUTED_VALUE"""),FALSE)</f>
        <v>0</v>
      </c>
      <c r="AG359" s="30"/>
      <c r="AH359" s="30" t="str">
        <f ca="1">IFERROR(__xludf.DUMMYFUNCTION("""COMPUTED_VALUE"""),"Sin costo")</f>
        <v>Sin costo</v>
      </c>
      <c r="AI359" s="30"/>
      <c r="AJ359" s="30"/>
      <c r="AK359" s="30"/>
      <c r="AL359" s="30" t="str">
        <f ca="1">IFERROR(__xludf.DUMMYFUNCTION("""COMPUTED_VALUE"""),"ccardonav@guanajuato.gob.mx")</f>
        <v>ccardonav@guanajuato.gob.mx</v>
      </c>
      <c r="AM359" s="30" t="str">
        <f ca="1">IFERROR(__xludf.DUMMYFUNCTION("""COMPUTED_VALUE"""),"Arraigo y empoderamiento cultural de comunidades.")</f>
        <v>Arraigo y empoderamiento cultural de comunidades.</v>
      </c>
      <c r="AN359" s="30" t="str">
        <f ca="1">IFERROR(__xludf.DUMMYFUNCTION("""COMPUTED_VALUE"""),"1 Tranquilidad")</f>
        <v>1 Tranquilidad</v>
      </c>
      <c r="AO359" s="30" t="str">
        <f ca="1">IFERROR(__xludf.DUMMYFUNCTION("""COMPUTED_VALUE"""),"1.2 Fortalecer prevención del delito")</f>
        <v>1.2 Fortalecer prevención del delito</v>
      </c>
      <c r="AP359" s="30" t="str">
        <f ca="1">IFERROR(__xludf.DUMMYFUNCTION("""COMPUTED_VALUE"""),"1.2.2 Fortalecimiento del tejido social")</f>
        <v>1.2.2 Fortalecimiento del tejido social</v>
      </c>
      <c r="AQ359" s="30" t="str">
        <f ca="1">IFERROR(__xludf.DUMMYFUNCTION("""COMPUTED_VALUE"""),"1.2.3.4 Promover una cultura de paz desde las expresiones artísticas y culturales")</f>
        <v>1.2.3.4 Promover una cultura de paz desde las expresiones artísticas y culturales</v>
      </c>
      <c r="AR359" s="30" t="str">
        <f ca="1">IFERROR(__xludf.DUMMYFUNCTION("""COMPUTED_VALUE"""),"Cooperación")</f>
        <v>Cooperación</v>
      </c>
      <c r="AS359" s="30"/>
      <c r="AT359" s="30" t="str">
        <f ca="1">IFERROR(__xludf.DUMMYFUNCTION("""COMPUTED_VALUE"""),"Fortalecimiento de la participación ciudadana y la mediación cultural")</f>
        <v>Fortalecimiento de la participación ciudadana y la mediación cultural</v>
      </c>
      <c r="AU359" s="30" t="str">
        <f ca="1">IFERROR(__xludf.DUMMYFUNCTION("""COMPUTED_VALUE"""),"Impulso a la ampliación de la oferta cultural en los territorios.")</f>
        <v>Impulso a la ampliación de la oferta cultural en los territorios.</v>
      </c>
      <c r="AV35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59" s="30" t="str">
        <f ca="1">IFERROR(__xludf.DUMMYFUNCTION("""COMPUTED_VALUE"""),"Incrementar en 25% la oferta cultural realizada en los municipios.")</f>
        <v>Incrementar en 25% la oferta cultural realizada en los municipios.</v>
      </c>
      <c r="AX359" s="30" t="str">
        <f ca="1">IFERROR(__xludf.DUMMYFUNCTION("""COMPUTED_VALUE"""),"Taller")</f>
        <v>Taller</v>
      </c>
      <c r="AY359" s="30" t="str">
        <f ca="1">IFERROR(__xludf.DUMMYFUNCTION("""COMPUTED_VALUE"""),"Formación")</f>
        <v>Formación</v>
      </c>
      <c r="AZ359" s="30" t="str">
        <f ca="1">IFERROR(__xludf.DUMMYFUNCTION("""COMPUTED_VALUE"""),"Formación")</f>
        <v>Formación</v>
      </c>
      <c r="BA359" s="30"/>
      <c r="BB359" s="30"/>
      <c r="BC359" s="30">
        <f ca="1">IFERROR(__xludf.DUMMYFUNCTION("""COMPUTED_VALUE"""),0)</f>
        <v>0</v>
      </c>
      <c r="BD359" s="30"/>
      <c r="BE359" s="30"/>
      <c r="BF359" s="30" t="b">
        <f ca="1">IFERROR(__xludf.DUMMYFUNCTION("""COMPUTED_VALUE"""),FALSE)</f>
        <v>0</v>
      </c>
      <c r="BG359" s="30"/>
      <c r="BH359" s="30"/>
      <c r="BI359" s="30"/>
      <c r="BJ359" s="30"/>
      <c r="BK359" s="30"/>
      <c r="BL359" s="30"/>
      <c r="BM359" s="30" t="str">
        <f ca="1">IFERROR(__xludf.DUMMYFUNCTION("""COMPUTED_VALUE"""),"No")</f>
        <v>No</v>
      </c>
      <c r="BN359" s="30"/>
      <c r="BO359" s="30" t="str">
        <f ca="1">IFERROR(__xludf.DUMMYFUNCTION("""COMPUTED_VALUE"""),"11c77a24")</f>
        <v>11c77a24</v>
      </c>
      <c r="BP359" s="29" t="str">
        <f ca="1">IFERROR(__xludf.DUMMYFUNCTION("""COMPUTED_VALUE"""),"Guanajuato")</f>
        <v>Guanajuato</v>
      </c>
      <c r="BQ359" s="30" t="str">
        <f ca="1">IFERROR(__xludf.DUMMYFUNCTION("""COMPUTED_VALUE"""),"Urbano")</f>
        <v>Urbano</v>
      </c>
      <c r="BR359" s="30">
        <f ca="1">IFERROR(__xludf.DUMMYFUNCTION("""COMPUTED_VALUE"""),49)</f>
        <v>49</v>
      </c>
      <c r="BS359" s="30" t="str">
        <f ca="1">IFERROR(__xludf.DUMMYFUNCTION("""COMPUTED_VALUE"""),"Guanajuato")</f>
        <v>Guanajuato</v>
      </c>
      <c r="BT359" s="30"/>
      <c r="BU359" s="30" t="str">
        <f ca="1">IFERROR(__xludf.DUMMYFUNCTION("""COMPUTED_VALUE"""),"Si")</f>
        <v>Si</v>
      </c>
      <c r="BV359" s="30" t="str">
        <f ca="1">IFERROR(__xludf.DUMMYFUNCTION("""COMPUTED_VALUE"""),"Si")</f>
        <v>Si</v>
      </c>
      <c r="BW359" s="30">
        <f ca="1">IFERROR(__xludf.DUMMYFUNCTION("""COMPUTED_VALUE"""),40)</f>
        <v>40</v>
      </c>
      <c r="BX359" s="30"/>
      <c r="BY359" s="30">
        <f ca="1">IFERROR(__xludf.DUMMYFUNCTION("""COMPUTED_VALUE"""),40)</f>
        <v>40</v>
      </c>
      <c r="BZ359" s="30" t="str">
        <f ca="1">IFERROR(__xludf.DUMMYFUNCTION("""COMPUTED_VALUE"""),"Guanajuato")</f>
        <v>Guanajuato</v>
      </c>
      <c r="CA359" s="30" t="str">
        <f ca="1">IFERROR(__xludf.DUMMYFUNCTION("""COMPUTED_VALUE"""),"No")</f>
        <v>No</v>
      </c>
      <c r="CB359" s="30" t="str">
        <f ca="1">IFERROR(__xludf.DUMMYFUNCTION("""COMPUTED_VALUE"""),"No")</f>
        <v>No</v>
      </c>
      <c r="CC359" s="30" t="str">
        <f ca="1">IFERROR(__xludf.DUMMYFUNCTION("""COMPUTED_VALUE"""),"7fa4a5e0")</f>
        <v>7fa4a5e0</v>
      </c>
      <c r="CD359" s="29" t="str">
        <f ca="1">IFERROR(__xludf.DUMMYFUNCTION("""COMPUTED_VALUE"""),"Adolescentes (13 a 17 años)")</f>
        <v>Adolescentes (13 a 17 años)</v>
      </c>
      <c r="CE359" s="30" t="str">
        <f ca="1">IFERROR(__xludf.DUMMYFUNCTION("""COMPUTED_VALUE"""),"Dato global")</f>
        <v>Dato global</v>
      </c>
      <c r="CF359" s="30" t="str">
        <f ca="1">IFERROR(__xludf.DUMMYFUNCTION("""COMPUTED_VALUE"""),"Ninguno (Población General)")</f>
        <v>Ninguno (Población General)</v>
      </c>
      <c r="CG359" s="30">
        <f ca="1">IFERROR(__xludf.DUMMYFUNCTION("""COMPUTED_VALUE"""),5)</f>
        <v>5</v>
      </c>
      <c r="CJ359" s="29"/>
      <c r="CM359" s="30" t="str">
        <f ca="1">IFERROR(__xludf.DUMMYFUNCTION("""COMPUTED_VALUE"""),"Guanajuato")</f>
        <v>Guanajuato</v>
      </c>
      <c r="CN359" s="32" t="e">
        <f ca="1"/>
        <v>#NAME?</v>
      </c>
      <c r="CO359" s="32" t="e">
        <f ca="1"/>
        <v>#NAME?</v>
      </c>
      <c r="CP359" s="32" t="e">
        <f ca="1"/>
        <v>#NAME?</v>
      </c>
      <c r="CQ359" s="32" t="e">
        <f ca="1"/>
        <v>#NAME?</v>
      </c>
      <c r="CR359" s="30" t="e">
        <f ca="1"/>
        <v>#NAME?</v>
      </c>
      <c r="CS359" s="30" t="str">
        <f ca="1">IFERROR(__xludf.DUMMYFUNCTION("""COMPUTED_VALUE"""),"Ninguno (Población General)")</f>
        <v>Ninguno (Población General)</v>
      </c>
    </row>
    <row r="360" spans="1:97" ht="13">
      <c r="A360" s="29" t="str">
        <f ca="1">IFERROR(__xludf.DUMMYFUNCTION("""COMPUTED_VALUE"""),"ACT-SCGN42034")</f>
        <v>ACT-SCGN42034</v>
      </c>
      <c r="B360" s="30" t="str">
        <f ca="1">IFERROR(__xludf.DUMMYFUNCTION("""COMPUTED_VALUE"""),"SC-260909-150607")</f>
        <v>SC-260909-150607</v>
      </c>
      <c r="C360" s="62">
        <f ca="1">IFERROR(__xludf.DUMMYFUNCTION("""COMPUTED_VALUE"""),46274.6292476851)</f>
        <v>46274.629247685101</v>
      </c>
      <c r="D360" s="30">
        <f ca="1">IFERROR(__xludf.DUMMYFUNCTION("""COMPUTED_VALUE"""),92)</f>
        <v>92</v>
      </c>
      <c r="E360" s="30" t="str">
        <f ca="1">IFERROR(__xludf.DUMMYFUNCTION("""COMPUTED_VALUE"""),"PB3572")</f>
        <v>PB3572</v>
      </c>
      <c r="F36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0" s="30" t="str">
        <f ca="1">IFERROR(__xludf.DUMMYFUNCTION("""COMPUTED_VALUE"""),"SUBSECRETARÍA DE DESARROLLO Y PROMOCIÓN ARTÍSTICA Y CULTURAL")</f>
        <v>SUBSECRETARÍA DE DESARROLLO Y PROMOCIÓN ARTÍSTICA Y CULTURAL</v>
      </c>
      <c r="I360" s="34" t="str">
        <f ca="1">IFERROR(__xludf.DUMMYFUNCTION("""COMPUTED_VALUE"""),"DIRECCIÓN GENERAL DE MUSEOS, ARTES VISUALES Y EXPOSICIONES")</f>
        <v>DIRECCIÓN GENERAL DE MUSEOS, ARTES VISUALES Y EXPOSICIONES</v>
      </c>
      <c r="J360" s="30" t="str">
        <f ca="1">IFERROR(__xludf.DUMMYFUNCTION("""COMPUTED_VALUE"""),"Número de Actividades realizadas")</f>
        <v>Número de Actividades realizadas</v>
      </c>
      <c r="K360" s="30">
        <f ca="1">IFERROR(__xludf.DUMMYFUNCTION("""COMPUTED_VALUE"""),800)</f>
        <v>800</v>
      </c>
      <c r="L360" s="30" t="str">
        <f ca="1">IFERROR(__xludf.DUMMYFUNCTION("""COMPUTED_VALUE"""),"Artística")</f>
        <v>Artística</v>
      </c>
      <c r="M360" s="30" t="str">
        <f ca="1">IFERROR(__xludf.DUMMYFUNCTION("""COMPUTED_VALUE"""),"Visita guiada: Eterno Femenino.")</f>
        <v>Visita guiada: Eterno Femenino.</v>
      </c>
      <c r="N360" s="30" t="str">
        <f ca="1">IFERROR(__xludf.DUMMYFUNCTION("""COMPUTED_VALUE"""),"Recorrido por la exposición a cargo de la curadora.")</f>
        <v>Recorrido por la exposición a cargo de la curadora.</v>
      </c>
      <c r="O360" s="30" t="str">
        <f ca="1">IFERROR(__xludf.DUMMYFUNCTION("""COMPUTED_VALUE"""),"Única")</f>
        <v>Única</v>
      </c>
      <c r="P360" s="33">
        <f ca="1">IFERROR(__xludf.DUMMYFUNCTION("""COMPUTED_VALUE"""),46259)</f>
        <v>46259</v>
      </c>
      <c r="Q360" s="33">
        <f ca="1">IFERROR(__xludf.DUMMYFUNCTION("""COMPUTED_VALUE"""),46259)</f>
        <v>46259</v>
      </c>
      <c r="R360" s="30">
        <f ca="1">IFERROR(__xludf.DUMMYFUNCTION("""COMPUTED_VALUE"""),1)</f>
        <v>1</v>
      </c>
      <c r="S360" s="30" t="str">
        <f ca="1">IFERROR(__xludf.DUMMYFUNCTION("""COMPUTED_VALUE"""),"Cultura comunitaria")</f>
        <v>Cultura comunitaria</v>
      </c>
      <c r="T360" s="30" t="str">
        <f ca="1">IFERROR(__xludf.DUMMYFUNCTION("""COMPUTED_VALUE"""),"Formación comunitaria")</f>
        <v>Formación comunitaria</v>
      </c>
      <c r="U360" s="30" t="str">
        <f ca="1">IFERROR(__xludf.DUMMYFUNCTION("""COMPUTED_VALUE"""),"Visitas guiadas")</f>
        <v>Visitas guiadas</v>
      </c>
      <c r="V360" s="30" t="str">
        <f ca="1">IFERROR(__xludf.DUMMYFUNCTION("""COMPUTED_VALUE"""),"Ninguna")</f>
        <v>Ninguna</v>
      </c>
      <c r="W360" s="30" t="str">
        <f ca="1">IFERROR(__xludf.DUMMYFUNCTION("""COMPUTED_VALUE"""),"Presencial")</f>
        <v>Presencial</v>
      </c>
      <c r="X360" s="30" t="str">
        <f ca="1">IFERROR(__xludf.DUMMYFUNCTION("""COMPUTED_VALUE"""),"Espacio a Cargo de la Secretaría")</f>
        <v>Espacio a Cargo de la Secretaría</v>
      </c>
      <c r="Y360" s="30" t="str">
        <f ca="1">IFERROR(__xludf.DUMMYFUNCTION("""COMPUTED_VALUE"""),"Museo Palacio de los Poderes")</f>
        <v>Museo Palacio de los Poderes</v>
      </c>
      <c r="Z360" s="30"/>
      <c r="AA360" s="30"/>
      <c r="AB360" s="30" t="b">
        <f ca="1">IFERROR(__xludf.DUMMYFUNCTION("""COMPUTED_VALUE"""),FALSE)</f>
        <v>0</v>
      </c>
      <c r="AC360" s="30"/>
      <c r="AD360" s="30" t="b">
        <f ca="1">IFERROR(__xludf.DUMMYFUNCTION("""COMPUTED_VALUE"""),FALSE)</f>
        <v>0</v>
      </c>
      <c r="AE360" s="30"/>
      <c r="AF360" s="30" t="b">
        <f ca="1">IFERROR(__xludf.DUMMYFUNCTION("""COMPUTED_VALUE"""),FALSE)</f>
        <v>0</v>
      </c>
      <c r="AG360" s="30"/>
      <c r="AH360" s="30" t="str">
        <f ca="1">IFERROR(__xludf.DUMMYFUNCTION("""COMPUTED_VALUE"""),"Sin costo")</f>
        <v>Sin costo</v>
      </c>
      <c r="AI360" s="30"/>
      <c r="AJ360" s="30"/>
      <c r="AK360" s="30"/>
      <c r="AL360" s="30" t="str">
        <f ca="1">IFERROR(__xludf.DUMMYFUNCTION("""COMPUTED_VALUE"""),"ccardonav@guanajuato.gob.mx")</f>
        <v>ccardonav@guanajuato.gob.mx</v>
      </c>
      <c r="AM360" s="30" t="str">
        <f ca="1">IFERROR(__xludf.DUMMYFUNCTION("""COMPUTED_VALUE"""),"Arraigo y empoderamiento cultural de comunidades.")</f>
        <v>Arraigo y empoderamiento cultural de comunidades.</v>
      </c>
      <c r="AN360" s="30" t="str">
        <f ca="1">IFERROR(__xludf.DUMMYFUNCTION("""COMPUTED_VALUE"""),"1 Tranquilidad")</f>
        <v>1 Tranquilidad</v>
      </c>
      <c r="AO360" s="30" t="str">
        <f ca="1">IFERROR(__xludf.DUMMYFUNCTION("""COMPUTED_VALUE"""),"1.2 Fortalecer prevención del delito")</f>
        <v>1.2 Fortalecer prevención del delito</v>
      </c>
      <c r="AP360" s="30" t="str">
        <f ca="1">IFERROR(__xludf.DUMMYFUNCTION("""COMPUTED_VALUE"""),"1.2.2 Fortalecimiento del tejido social")</f>
        <v>1.2.2 Fortalecimiento del tejido social</v>
      </c>
      <c r="AQ360" s="30" t="str">
        <f ca="1">IFERROR(__xludf.DUMMYFUNCTION("""COMPUTED_VALUE"""),"1.2.3.4 Promover una cultura de paz desde las expresiones artísticas y culturales")</f>
        <v>1.2.3.4 Promover una cultura de paz desde las expresiones artísticas y culturales</v>
      </c>
      <c r="AR360" s="30" t="str">
        <f ca="1">IFERROR(__xludf.DUMMYFUNCTION("""COMPUTED_VALUE"""),"Cooperación")</f>
        <v>Cooperación</v>
      </c>
      <c r="AS360" s="30"/>
      <c r="AT360" s="30" t="str">
        <f ca="1">IFERROR(__xludf.DUMMYFUNCTION("""COMPUTED_VALUE"""),"Fortalecimiento de la participación ciudadana y la mediación cultural")</f>
        <v>Fortalecimiento de la participación ciudadana y la mediación cultural</v>
      </c>
      <c r="AU360" s="30" t="str">
        <f ca="1">IFERROR(__xludf.DUMMYFUNCTION("""COMPUTED_VALUE"""),"Impulso a la ampliación de la oferta cultural en los territorios.")</f>
        <v>Impulso a la ampliación de la oferta cultural en los territorios.</v>
      </c>
      <c r="AV36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0" s="30" t="str">
        <f ca="1">IFERROR(__xludf.DUMMYFUNCTION("""COMPUTED_VALUE"""),"Incrementar en 25% la oferta cultural realizada en los municipios.")</f>
        <v>Incrementar en 25% la oferta cultural realizada en los municipios.</v>
      </c>
      <c r="AX360" s="30" t="str">
        <f ca="1">IFERROR(__xludf.DUMMYFUNCTION("""COMPUTED_VALUE"""),"Visitas guiadas")</f>
        <v>Visitas guiadas</v>
      </c>
      <c r="AY360" s="30" t="str">
        <f ca="1">IFERROR(__xludf.DUMMYFUNCTION("""COMPUTED_VALUE"""),"Formación")</f>
        <v>Formación</v>
      </c>
      <c r="AZ360" s="30" t="str">
        <f ca="1">IFERROR(__xludf.DUMMYFUNCTION("""COMPUTED_VALUE"""),"Formación")</f>
        <v>Formación</v>
      </c>
      <c r="BA360" s="30"/>
      <c r="BB360" s="30"/>
      <c r="BC360" s="30">
        <f ca="1">IFERROR(__xludf.DUMMYFUNCTION("""COMPUTED_VALUE"""),0)</f>
        <v>0</v>
      </c>
      <c r="BD360" s="30"/>
      <c r="BE360" s="30"/>
      <c r="BF360" s="30" t="b">
        <f ca="1">IFERROR(__xludf.DUMMYFUNCTION("""COMPUTED_VALUE"""),FALSE)</f>
        <v>0</v>
      </c>
      <c r="BG360" s="30"/>
      <c r="BH360" s="30"/>
      <c r="BI360" s="30"/>
      <c r="BJ360" s="30"/>
      <c r="BK360" s="30"/>
      <c r="BL360" s="30"/>
      <c r="BM360" s="30" t="str">
        <f ca="1">IFERROR(__xludf.DUMMYFUNCTION("""COMPUTED_VALUE"""),"No")</f>
        <v>No</v>
      </c>
      <c r="BN360" s="30"/>
      <c r="BO360" s="30" t="str">
        <f ca="1">IFERROR(__xludf.DUMMYFUNCTION("""COMPUTED_VALUE"""),"d16be8b7")</f>
        <v>d16be8b7</v>
      </c>
      <c r="BP360" s="29" t="str">
        <f ca="1">IFERROR(__xludf.DUMMYFUNCTION("""COMPUTED_VALUE"""),"Guanajuato")</f>
        <v>Guanajuato</v>
      </c>
      <c r="BQ360" s="30" t="str">
        <f ca="1">IFERROR(__xludf.DUMMYFUNCTION("""COMPUTED_VALUE"""),"Urbano")</f>
        <v>Urbano</v>
      </c>
      <c r="BR360" s="30"/>
      <c r="BS360" s="30"/>
      <c r="BT360" s="30"/>
      <c r="BU360" s="30" t="str">
        <f ca="1">IFERROR(__xludf.DUMMYFUNCTION("""COMPUTED_VALUE"""),"No")</f>
        <v>No</v>
      </c>
      <c r="BV360" s="30" t="str">
        <f ca="1">IFERROR(__xludf.DUMMYFUNCTION("""COMPUTED_VALUE"""),"No")</f>
        <v>No</v>
      </c>
      <c r="BW360" s="30">
        <f ca="1">IFERROR(__xludf.DUMMYFUNCTION("""COMPUTED_VALUE"""),13)</f>
        <v>13</v>
      </c>
      <c r="BX360" s="30">
        <f ca="1">IFERROR(__xludf.DUMMYFUNCTION("""COMPUTED_VALUE"""),13)</f>
        <v>13</v>
      </c>
      <c r="BY360" s="30">
        <f ca="1">IFERROR(__xludf.DUMMYFUNCTION("""COMPUTED_VALUE"""),0)</f>
        <v>0</v>
      </c>
      <c r="BZ360" s="30"/>
      <c r="CA360" s="30" t="str">
        <f ca="1">IFERROR(__xludf.DUMMYFUNCTION("""COMPUTED_VALUE"""),"No")</f>
        <v>No</v>
      </c>
      <c r="CB360" s="30" t="str">
        <f ca="1">IFERROR(__xludf.DUMMYFUNCTION("""COMPUTED_VALUE"""),"No")</f>
        <v>No</v>
      </c>
      <c r="CC360" s="30" t="str">
        <f ca="1">IFERROR(__xludf.DUMMYFUNCTION("""COMPUTED_VALUE"""),"5ab0de49")</f>
        <v>5ab0de49</v>
      </c>
      <c r="CD360" s="29" t="str">
        <f ca="1">IFERROR(__xludf.DUMMYFUNCTION("""COMPUTED_VALUE"""),"Adultos (30 a 59 años)")</f>
        <v>Adultos (30 a 59 años)</v>
      </c>
      <c r="CE360" s="30" t="str">
        <f ca="1">IFERROR(__xludf.DUMMYFUNCTION("""COMPUTED_VALUE"""),"Dato global")</f>
        <v>Dato global</v>
      </c>
      <c r="CF360" s="30" t="str">
        <f ca="1">IFERROR(__xludf.DUMMYFUNCTION("""COMPUTED_VALUE"""),"Ninguno (Población General)")</f>
        <v>Ninguno (Población General)</v>
      </c>
      <c r="CG360" s="30">
        <f ca="1">IFERROR(__xludf.DUMMYFUNCTION("""COMPUTED_VALUE"""),6)</f>
        <v>6</v>
      </c>
      <c r="CJ360" s="29"/>
      <c r="CM360" s="30" t="str">
        <f ca="1">IFERROR(__xludf.DUMMYFUNCTION("""COMPUTED_VALUE"""),"Guanajuato")</f>
        <v>Guanajuato</v>
      </c>
      <c r="CN360" s="32" t="e">
        <f ca="1"/>
        <v>#NAME?</v>
      </c>
      <c r="CO360" s="32" t="e">
        <f ca="1"/>
        <v>#NAME?</v>
      </c>
      <c r="CP360" s="32" t="e">
        <f ca="1"/>
        <v>#NAME?</v>
      </c>
      <c r="CQ360" s="32" t="e">
        <f ca="1"/>
        <v>#NAME?</v>
      </c>
      <c r="CR360" s="30" t="e">
        <f ca="1"/>
        <v>#NAME?</v>
      </c>
      <c r="CS360" s="30" t="str">
        <f ca="1">IFERROR(__xludf.DUMMYFUNCTION("""COMPUTED_VALUE"""),"Ninguno (Población General)")</f>
        <v>Ninguno (Población General)</v>
      </c>
    </row>
    <row r="361" spans="1:97" ht="13">
      <c r="A361" s="29" t="str">
        <f ca="1">IFERROR(__xludf.DUMMYFUNCTION("""COMPUTED_VALUE"""),"ACT-SCSV41561")</f>
        <v>ACT-SCSV41561</v>
      </c>
      <c r="B361" s="30" t="str">
        <f ca="1">IFERROR(__xludf.DUMMYFUNCTION("""COMPUTED_VALUE"""),"SC-260909-153941")</f>
        <v>SC-260909-153941</v>
      </c>
      <c r="C361" s="62">
        <f ca="1">IFERROR(__xludf.DUMMYFUNCTION("""COMPUTED_VALUE"""),46274.6525578703)</f>
        <v>46274.6525578703</v>
      </c>
      <c r="D361" s="30">
        <f ca="1">IFERROR(__xludf.DUMMYFUNCTION("""COMPUTED_VALUE"""),92)</f>
        <v>92</v>
      </c>
      <c r="E361" s="30" t="str">
        <f ca="1">IFERROR(__xludf.DUMMYFUNCTION("""COMPUTED_VALUE"""),"PB3572")</f>
        <v>PB3572</v>
      </c>
      <c r="F36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1" s="30" t="str">
        <f ca="1">IFERROR(__xludf.DUMMYFUNCTION("""COMPUTED_VALUE"""),"SUBSECRETARÍA DE DESARROLLO Y PROMOCIÓN ARTÍSTICA Y CULTURAL")</f>
        <v>SUBSECRETARÍA DE DESARROLLO Y PROMOCIÓN ARTÍSTICA Y CULTURAL</v>
      </c>
      <c r="I361" s="34" t="str">
        <f ca="1">IFERROR(__xludf.DUMMYFUNCTION("""COMPUTED_VALUE"""),"DIRECCIÓN GENERAL DE MUSEOS, ARTES VISUALES Y EXPOSICIONES")</f>
        <v>DIRECCIÓN GENERAL DE MUSEOS, ARTES VISUALES Y EXPOSICIONES</v>
      </c>
      <c r="J361" s="30" t="str">
        <f ca="1">IFERROR(__xludf.DUMMYFUNCTION("""COMPUTED_VALUE"""),"Número de Actividades realizadas")</f>
        <v>Número de Actividades realizadas</v>
      </c>
      <c r="K361" s="30">
        <f ca="1">IFERROR(__xludf.DUMMYFUNCTION("""COMPUTED_VALUE"""),800)</f>
        <v>800</v>
      </c>
      <c r="L361" s="30" t="str">
        <f ca="1">IFERROR(__xludf.DUMMYFUNCTION("""COMPUTED_VALUE"""),"Artística")</f>
        <v>Artística</v>
      </c>
      <c r="M361" s="30" t="str">
        <f ca="1">IFERROR(__xludf.DUMMYFUNCTION("""COMPUTED_VALUE"""),"Conferencia Poética del Paisaje")</f>
        <v>Conferencia Poética del Paisaje</v>
      </c>
      <c r="N361" s="30" t="str">
        <f ca="1">IFERROR(__xludf.DUMMYFUNCTION("""COMPUTED_VALUE"""),"Conferencia con la curadora Tely Duarte, en torno al cierre de la exposición")</f>
        <v>Conferencia con la curadora Tely Duarte, en torno al cierre de la exposición</v>
      </c>
      <c r="O361" s="30" t="str">
        <f ca="1">IFERROR(__xludf.DUMMYFUNCTION("""COMPUTED_VALUE"""),"Única")</f>
        <v>Única</v>
      </c>
      <c r="P361" s="33">
        <f ca="1">IFERROR(__xludf.DUMMYFUNCTION("""COMPUTED_VALUE"""),46260)</f>
        <v>46260</v>
      </c>
      <c r="Q361" s="33">
        <f ca="1">IFERROR(__xludf.DUMMYFUNCTION("""COMPUTED_VALUE"""),46260)</f>
        <v>46260</v>
      </c>
      <c r="R361" s="30">
        <f ca="1">IFERROR(__xludf.DUMMYFUNCTION("""COMPUTED_VALUE"""),1)</f>
        <v>1</v>
      </c>
      <c r="S361" s="30" t="str">
        <f ca="1">IFERROR(__xludf.DUMMYFUNCTION("""COMPUTED_VALUE"""),"Cultura comunitaria")</f>
        <v>Cultura comunitaria</v>
      </c>
      <c r="T361" s="30" t="str">
        <f ca="1">IFERROR(__xludf.DUMMYFUNCTION("""COMPUTED_VALUE"""),"Formación comunitaria")</f>
        <v>Formación comunitaria</v>
      </c>
      <c r="U361" s="30" t="str">
        <f ca="1">IFERROR(__xludf.DUMMYFUNCTION("""COMPUTED_VALUE"""),"Conferencia")</f>
        <v>Conferencia</v>
      </c>
      <c r="V361" s="30" t="str">
        <f ca="1">IFERROR(__xludf.DUMMYFUNCTION("""COMPUTED_VALUE"""),"Ninguna")</f>
        <v>Ninguna</v>
      </c>
      <c r="W361" s="30" t="str">
        <f ca="1">IFERROR(__xludf.DUMMYFUNCTION("""COMPUTED_VALUE"""),"Presencial")</f>
        <v>Presencial</v>
      </c>
      <c r="X361" s="30" t="str">
        <f ca="1">IFERROR(__xludf.DUMMYFUNCTION("""COMPUTED_VALUE"""),"Espacio a Cargo de la Secretaría")</f>
        <v>Espacio a Cargo de la Secretaría</v>
      </c>
      <c r="Y361" s="30" t="str">
        <f ca="1">IFERROR(__xludf.DUMMYFUNCTION("""COMPUTED_VALUE"""),"Museo Casa Diego Rivera")</f>
        <v>Museo Casa Diego Rivera</v>
      </c>
      <c r="Z361" s="30"/>
      <c r="AA361" s="30"/>
      <c r="AB361" s="30" t="b">
        <f ca="1">IFERROR(__xludf.DUMMYFUNCTION("""COMPUTED_VALUE"""),FALSE)</f>
        <v>0</v>
      </c>
      <c r="AC361" s="30"/>
      <c r="AD361" s="30" t="b">
        <f ca="1">IFERROR(__xludf.DUMMYFUNCTION("""COMPUTED_VALUE"""),FALSE)</f>
        <v>0</v>
      </c>
      <c r="AE361" s="30"/>
      <c r="AF361" s="30" t="b">
        <f ca="1">IFERROR(__xludf.DUMMYFUNCTION("""COMPUTED_VALUE"""),FALSE)</f>
        <v>0</v>
      </c>
      <c r="AG361" s="30"/>
      <c r="AH361" s="30" t="str">
        <f ca="1">IFERROR(__xludf.DUMMYFUNCTION("""COMPUTED_VALUE"""),"Sin costo")</f>
        <v>Sin costo</v>
      </c>
      <c r="AI361" s="30"/>
      <c r="AJ361" s="30"/>
      <c r="AK361" s="30"/>
      <c r="AL361" s="30" t="str">
        <f ca="1">IFERROR(__xludf.DUMMYFUNCTION("""COMPUTED_VALUE"""),"ccardonav@guanajuato.gob.mx")</f>
        <v>ccardonav@guanajuato.gob.mx</v>
      </c>
      <c r="AM361" s="30" t="str">
        <f ca="1">IFERROR(__xludf.DUMMYFUNCTION("""COMPUTED_VALUE"""),"Arraigo y empoderamiento cultural de comunidades.")</f>
        <v>Arraigo y empoderamiento cultural de comunidades.</v>
      </c>
      <c r="AN361" s="30" t="str">
        <f ca="1">IFERROR(__xludf.DUMMYFUNCTION("""COMPUTED_VALUE"""),"1 Tranquilidad")</f>
        <v>1 Tranquilidad</v>
      </c>
      <c r="AO361" s="30" t="str">
        <f ca="1">IFERROR(__xludf.DUMMYFUNCTION("""COMPUTED_VALUE"""),"1.2 Fortalecer prevención del delito")</f>
        <v>1.2 Fortalecer prevención del delito</v>
      </c>
      <c r="AP361" s="30" t="str">
        <f ca="1">IFERROR(__xludf.DUMMYFUNCTION("""COMPUTED_VALUE"""),"1.2.2 Fortalecimiento del tejido social")</f>
        <v>1.2.2 Fortalecimiento del tejido social</v>
      </c>
      <c r="AQ361" s="30" t="str">
        <f ca="1">IFERROR(__xludf.DUMMYFUNCTION("""COMPUTED_VALUE"""),"1.2.3.4 Promover una cultura de paz desde las expresiones artísticas y culturales")</f>
        <v>1.2.3.4 Promover una cultura de paz desde las expresiones artísticas y culturales</v>
      </c>
      <c r="AR361" s="30" t="str">
        <f ca="1">IFERROR(__xludf.DUMMYFUNCTION("""COMPUTED_VALUE"""),"Cooperación")</f>
        <v>Cooperación</v>
      </c>
      <c r="AS361" s="30"/>
      <c r="AT361" s="30" t="str">
        <f ca="1">IFERROR(__xludf.DUMMYFUNCTION("""COMPUTED_VALUE"""),"Fortalecimiento de la participación ciudadana y la mediación cultural")</f>
        <v>Fortalecimiento de la participación ciudadana y la mediación cultural</v>
      </c>
      <c r="AU361" s="30" t="str">
        <f ca="1">IFERROR(__xludf.DUMMYFUNCTION("""COMPUTED_VALUE"""),"Impulso a la ampliación de la oferta cultural en los territorios.")</f>
        <v>Impulso a la ampliación de la oferta cultural en los territorios.</v>
      </c>
      <c r="AV36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1" s="30" t="str">
        <f ca="1">IFERROR(__xludf.DUMMYFUNCTION("""COMPUTED_VALUE"""),"Incrementar en 25% la oferta cultural realizada en los municipios.")</f>
        <v>Incrementar en 25% la oferta cultural realizada en los municipios.</v>
      </c>
      <c r="AX361" s="30" t="str">
        <f ca="1">IFERROR(__xludf.DUMMYFUNCTION("""COMPUTED_VALUE"""),"Conferencia")</f>
        <v>Conferencia</v>
      </c>
      <c r="AY361" s="30" t="str">
        <f ca="1">IFERROR(__xludf.DUMMYFUNCTION("""COMPUTED_VALUE"""),"Formación")</f>
        <v>Formación</v>
      </c>
      <c r="AZ361" s="30" t="str">
        <f ca="1">IFERROR(__xludf.DUMMYFUNCTION("""COMPUTED_VALUE"""),"Formación")</f>
        <v>Formación</v>
      </c>
      <c r="BA361" s="30"/>
      <c r="BB361" s="30"/>
      <c r="BC361" s="30">
        <f ca="1">IFERROR(__xludf.DUMMYFUNCTION("""COMPUTED_VALUE"""),0)</f>
        <v>0</v>
      </c>
      <c r="BD361" s="30"/>
      <c r="BE361" s="30"/>
      <c r="BF361" s="30" t="b">
        <f ca="1">IFERROR(__xludf.DUMMYFUNCTION("""COMPUTED_VALUE"""),FALSE)</f>
        <v>0</v>
      </c>
      <c r="BG361" s="30"/>
      <c r="BH361" s="30"/>
      <c r="BI361" s="30"/>
      <c r="BJ361" s="30"/>
      <c r="BK361" s="30"/>
      <c r="BL361" s="30"/>
      <c r="BM361" s="30" t="str">
        <f ca="1">IFERROR(__xludf.DUMMYFUNCTION("""COMPUTED_VALUE"""),"No")</f>
        <v>No</v>
      </c>
      <c r="BN361" s="30"/>
      <c r="BO361" s="30" t="str">
        <f ca="1">IFERROR(__xludf.DUMMYFUNCTION("""COMPUTED_VALUE"""),"b17aae3c")</f>
        <v>b17aae3c</v>
      </c>
      <c r="BP361" s="29" t="str">
        <f ca="1">IFERROR(__xludf.DUMMYFUNCTION("""COMPUTED_VALUE"""),"Guanajuato")</f>
        <v>Guanajuato</v>
      </c>
      <c r="BQ361" s="30" t="str">
        <f ca="1">IFERROR(__xludf.DUMMYFUNCTION("""COMPUTED_VALUE"""),"Urbano")</f>
        <v>Urbano</v>
      </c>
      <c r="BR361" s="30"/>
      <c r="BS361" s="30"/>
      <c r="BT361" s="30"/>
      <c r="BU361" s="30" t="str">
        <f ca="1">IFERROR(__xludf.DUMMYFUNCTION("""COMPUTED_VALUE"""),"No")</f>
        <v>No</v>
      </c>
      <c r="BV361" s="30" t="str">
        <f ca="1">IFERROR(__xludf.DUMMYFUNCTION("""COMPUTED_VALUE"""),"No")</f>
        <v>No</v>
      </c>
      <c r="BW361" s="30">
        <f ca="1">IFERROR(__xludf.DUMMYFUNCTION("""COMPUTED_VALUE"""),29)</f>
        <v>29</v>
      </c>
      <c r="BX361" s="30"/>
      <c r="BY361" s="30">
        <f ca="1">IFERROR(__xludf.DUMMYFUNCTION("""COMPUTED_VALUE"""),29)</f>
        <v>29</v>
      </c>
      <c r="BZ361" s="30"/>
      <c r="CA361" s="30" t="str">
        <f ca="1">IFERROR(__xludf.DUMMYFUNCTION("""COMPUTED_VALUE"""),"No")</f>
        <v>No</v>
      </c>
      <c r="CB361" s="30" t="str">
        <f ca="1">IFERROR(__xludf.DUMMYFUNCTION("""COMPUTED_VALUE"""),"No")</f>
        <v>No</v>
      </c>
      <c r="CC361" s="30" t="str">
        <f ca="1">IFERROR(__xludf.DUMMYFUNCTION("""COMPUTED_VALUE"""),"864fa4ca")</f>
        <v>864fa4ca</v>
      </c>
      <c r="CD361" s="29" t="str">
        <f ca="1">IFERROR(__xludf.DUMMYFUNCTION("""COMPUTED_VALUE"""),"Adultos Mayores (60 años o más)")</f>
        <v>Adultos Mayores (60 años o más)</v>
      </c>
      <c r="CE361" s="30" t="str">
        <f ca="1">IFERROR(__xludf.DUMMYFUNCTION("""COMPUTED_VALUE"""),"Dato global")</f>
        <v>Dato global</v>
      </c>
      <c r="CF361" s="30" t="str">
        <f ca="1">IFERROR(__xludf.DUMMYFUNCTION("""COMPUTED_VALUE"""),"Ninguno (Población General)")</f>
        <v>Ninguno (Población General)</v>
      </c>
      <c r="CG361" s="30">
        <f ca="1">IFERROR(__xludf.DUMMYFUNCTION("""COMPUTED_VALUE"""),3)</f>
        <v>3</v>
      </c>
      <c r="CJ361" s="29"/>
      <c r="CM361" s="30" t="str">
        <f ca="1">IFERROR(__xludf.DUMMYFUNCTION("""COMPUTED_VALUE"""),"Guanajuato")</f>
        <v>Guanajuato</v>
      </c>
      <c r="CN361" s="32" t="e">
        <f ca="1"/>
        <v>#NAME?</v>
      </c>
      <c r="CO361" s="32" t="e">
        <f ca="1"/>
        <v>#NAME?</v>
      </c>
      <c r="CP361" s="32" t="e">
        <f ca="1"/>
        <v>#NAME?</v>
      </c>
      <c r="CQ361" s="32" t="e">
        <f ca="1"/>
        <v>#NAME?</v>
      </c>
      <c r="CR361" s="30" t="e">
        <f ca="1"/>
        <v>#NAME?</v>
      </c>
      <c r="CS361" s="30" t="str">
        <f ca="1">IFERROR(__xludf.DUMMYFUNCTION("""COMPUTED_VALUE"""),"Ninguno (Población General)")</f>
        <v>Ninguno (Población General)</v>
      </c>
    </row>
    <row r="362" spans="1:97" ht="13">
      <c r="A362" s="29" t="str">
        <f ca="1">IFERROR(__xludf.DUMMYFUNCTION("""COMPUTED_VALUE"""),"ACT-SCQW89910")</f>
        <v>ACT-SCQW89910</v>
      </c>
      <c r="B362" s="30" t="str">
        <f ca="1">IFERROR(__xludf.DUMMYFUNCTION("""COMPUTED_VALUE"""),"SC-260909-155520")</f>
        <v>SC-260909-155520</v>
      </c>
      <c r="C362" s="62">
        <f ca="1">IFERROR(__xludf.DUMMYFUNCTION("""COMPUTED_VALUE"""),46274.6634259259)</f>
        <v>46274.663425925901</v>
      </c>
      <c r="D362" s="30">
        <f ca="1">IFERROR(__xludf.DUMMYFUNCTION("""COMPUTED_VALUE"""),92)</f>
        <v>92</v>
      </c>
      <c r="E362" s="30" t="str">
        <f ca="1">IFERROR(__xludf.DUMMYFUNCTION("""COMPUTED_VALUE"""),"PB3572")</f>
        <v>PB3572</v>
      </c>
      <c r="F36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2" s="30" t="str">
        <f ca="1">IFERROR(__xludf.DUMMYFUNCTION("""COMPUTED_VALUE"""),"SUBSECRETARÍA DE DESARROLLO Y PROMOCIÓN ARTÍSTICA Y CULTURAL")</f>
        <v>SUBSECRETARÍA DE DESARROLLO Y PROMOCIÓN ARTÍSTICA Y CULTURAL</v>
      </c>
      <c r="I362" s="34" t="str">
        <f ca="1">IFERROR(__xludf.DUMMYFUNCTION("""COMPUTED_VALUE"""),"DIRECCIÓN GENERAL DE MUSEOS, ARTES VISUALES Y EXPOSICIONES")</f>
        <v>DIRECCIÓN GENERAL DE MUSEOS, ARTES VISUALES Y EXPOSICIONES</v>
      </c>
      <c r="J362" s="30" t="str">
        <f ca="1">IFERROR(__xludf.DUMMYFUNCTION("""COMPUTED_VALUE"""),"Número de Actividades realizadas")</f>
        <v>Número de Actividades realizadas</v>
      </c>
      <c r="K362" s="30">
        <f ca="1">IFERROR(__xludf.DUMMYFUNCTION("""COMPUTED_VALUE"""),800)</f>
        <v>800</v>
      </c>
      <c r="L362" s="30" t="str">
        <f ca="1">IFERROR(__xludf.DUMMYFUNCTION("""COMPUTED_VALUE"""),"Artística")</f>
        <v>Artística</v>
      </c>
      <c r="M362" s="30" t="str">
        <f ca="1">IFERROR(__xludf.DUMMYFUNCTION("""COMPUTED_VALUE"""),"Taller “Una mañana de verano en el jardín de  Olga Costa”")</f>
        <v>Taller “Una mañana de verano en el jardín de  Olga Costa”</v>
      </c>
      <c r="N362" s="30" t="str">
        <f ca="1">IFERROR(__xludf.DUMMYFUNCTION("""COMPUTED_VALUE"""),"Taller infantil de exploración artística a través del jardín del Olga Costa,")</f>
        <v>Taller infantil de exploración artística a través del jardín del Olga Costa,</v>
      </c>
      <c r="O362" s="30" t="str">
        <f ca="1">IFERROR(__xludf.DUMMYFUNCTION("""COMPUTED_VALUE"""),"Única")</f>
        <v>Única</v>
      </c>
      <c r="P362" s="33">
        <f ca="1">IFERROR(__xludf.DUMMYFUNCTION("""COMPUTED_VALUE"""),46262)</f>
        <v>46262</v>
      </c>
      <c r="Q362" s="33">
        <f ca="1">IFERROR(__xludf.DUMMYFUNCTION("""COMPUTED_VALUE"""),46262)</f>
        <v>46262</v>
      </c>
      <c r="R362" s="30">
        <f ca="1">IFERROR(__xludf.DUMMYFUNCTION("""COMPUTED_VALUE"""),1)</f>
        <v>1</v>
      </c>
      <c r="S362" s="30" t="str">
        <f ca="1">IFERROR(__xludf.DUMMYFUNCTION("""COMPUTED_VALUE"""),"Cultura comunitaria")</f>
        <v>Cultura comunitaria</v>
      </c>
      <c r="T362" s="30" t="str">
        <f ca="1">IFERROR(__xludf.DUMMYFUNCTION("""COMPUTED_VALUE"""),"Formación comunitaria")</f>
        <v>Formación comunitaria</v>
      </c>
      <c r="U362" s="30" t="str">
        <f ca="1">IFERROR(__xludf.DUMMYFUNCTION("""COMPUTED_VALUE"""),"Taller")</f>
        <v>Taller</v>
      </c>
      <c r="V362" s="30" t="str">
        <f ca="1">IFERROR(__xludf.DUMMYFUNCTION("""COMPUTED_VALUE"""),"Ninguna")</f>
        <v>Ninguna</v>
      </c>
      <c r="W362" s="30" t="str">
        <f ca="1">IFERROR(__xludf.DUMMYFUNCTION("""COMPUTED_VALUE"""),"Presencial")</f>
        <v>Presencial</v>
      </c>
      <c r="X362" s="30" t="str">
        <f ca="1">IFERROR(__xludf.DUMMYFUNCTION("""COMPUTED_VALUE"""),"Espacio a Cargo de la Secretaría")</f>
        <v>Espacio a Cargo de la Secretaría</v>
      </c>
      <c r="Y362" s="30" t="str">
        <f ca="1">IFERROR(__xludf.DUMMYFUNCTION("""COMPUTED_VALUE"""),"Museo de Arte-Olga Costa-José Chávez Morado")</f>
        <v>Museo de Arte-Olga Costa-José Chávez Morado</v>
      </c>
      <c r="Z362" s="30"/>
      <c r="AA362" s="30"/>
      <c r="AB362" s="30" t="b">
        <f ca="1">IFERROR(__xludf.DUMMYFUNCTION("""COMPUTED_VALUE"""),FALSE)</f>
        <v>0</v>
      </c>
      <c r="AC362" s="30"/>
      <c r="AD362" s="30" t="b">
        <f ca="1">IFERROR(__xludf.DUMMYFUNCTION("""COMPUTED_VALUE"""),FALSE)</f>
        <v>0</v>
      </c>
      <c r="AE362" s="30"/>
      <c r="AF362" s="30" t="b">
        <f ca="1">IFERROR(__xludf.DUMMYFUNCTION("""COMPUTED_VALUE"""),FALSE)</f>
        <v>0</v>
      </c>
      <c r="AG362" s="30"/>
      <c r="AH362" s="30" t="str">
        <f ca="1">IFERROR(__xludf.DUMMYFUNCTION("""COMPUTED_VALUE"""),"Sin costo")</f>
        <v>Sin costo</v>
      </c>
      <c r="AI362" s="30"/>
      <c r="AJ362" s="30"/>
      <c r="AK362" s="30"/>
      <c r="AL362" s="30" t="str">
        <f ca="1">IFERROR(__xludf.DUMMYFUNCTION("""COMPUTED_VALUE"""),"ccardonav@guanajuato.gob.mx")</f>
        <v>ccardonav@guanajuato.gob.mx</v>
      </c>
      <c r="AM362" s="30" t="str">
        <f ca="1">IFERROR(__xludf.DUMMYFUNCTION("""COMPUTED_VALUE"""),"Arraigo y empoderamiento cultural de comunidades.")</f>
        <v>Arraigo y empoderamiento cultural de comunidades.</v>
      </c>
      <c r="AN362" s="30" t="str">
        <f ca="1">IFERROR(__xludf.DUMMYFUNCTION("""COMPUTED_VALUE"""),"1 Tranquilidad")</f>
        <v>1 Tranquilidad</v>
      </c>
      <c r="AO362" s="30" t="str">
        <f ca="1">IFERROR(__xludf.DUMMYFUNCTION("""COMPUTED_VALUE"""),"1.2 Fortalecer prevención del delito")</f>
        <v>1.2 Fortalecer prevención del delito</v>
      </c>
      <c r="AP362" s="30" t="str">
        <f ca="1">IFERROR(__xludf.DUMMYFUNCTION("""COMPUTED_VALUE"""),"1.2.2 Fortalecimiento del tejido social")</f>
        <v>1.2.2 Fortalecimiento del tejido social</v>
      </c>
      <c r="AQ362" s="30" t="str">
        <f ca="1">IFERROR(__xludf.DUMMYFUNCTION("""COMPUTED_VALUE"""),"1.2.3.4 Promover una cultura de paz desde las expresiones artísticas y culturales")</f>
        <v>1.2.3.4 Promover una cultura de paz desde las expresiones artísticas y culturales</v>
      </c>
      <c r="AR362" s="30" t="str">
        <f ca="1">IFERROR(__xludf.DUMMYFUNCTION("""COMPUTED_VALUE"""),"Cooperación")</f>
        <v>Cooperación</v>
      </c>
      <c r="AS362" s="30"/>
      <c r="AT362" s="30" t="str">
        <f ca="1">IFERROR(__xludf.DUMMYFUNCTION("""COMPUTED_VALUE"""),"Fortalecimiento de la participación ciudadana y la mediación cultural")</f>
        <v>Fortalecimiento de la participación ciudadana y la mediación cultural</v>
      </c>
      <c r="AU362" s="30" t="str">
        <f ca="1">IFERROR(__xludf.DUMMYFUNCTION("""COMPUTED_VALUE"""),"Impulso a la ampliación de la oferta cultural en los territorios.")</f>
        <v>Impulso a la ampliación de la oferta cultural en los territorios.</v>
      </c>
      <c r="AV36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2" s="30" t="str">
        <f ca="1">IFERROR(__xludf.DUMMYFUNCTION("""COMPUTED_VALUE"""),"Incrementar en 25% la oferta cultural realizada en los municipios.")</f>
        <v>Incrementar en 25% la oferta cultural realizada en los municipios.</v>
      </c>
      <c r="AX362" s="30" t="str">
        <f ca="1">IFERROR(__xludf.DUMMYFUNCTION("""COMPUTED_VALUE"""),"Taller")</f>
        <v>Taller</v>
      </c>
      <c r="AY362" s="30" t="str">
        <f ca="1">IFERROR(__xludf.DUMMYFUNCTION("""COMPUTED_VALUE"""),"Formación")</f>
        <v>Formación</v>
      </c>
      <c r="AZ362" s="30" t="str">
        <f ca="1">IFERROR(__xludf.DUMMYFUNCTION("""COMPUTED_VALUE"""),"Formación")</f>
        <v>Formación</v>
      </c>
      <c r="BA362" s="30"/>
      <c r="BB362" s="30"/>
      <c r="BC362" s="30">
        <f ca="1">IFERROR(__xludf.DUMMYFUNCTION("""COMPUTED_VALUE"""),0)</f>
        <v>0</v>
      </c>
      <c r="BD362" s="30"/>
      <c r="BE362" s="30"/>
      <c r="BF362" s="30" t="b">
        <f ca="1">IFERROR(__xludf.DUMMYFUNCTION("""COMPUTED_VALUE"""),FALSE)</f>
        <v>0</v>
      </c>
      <c r="BG362" s="30"/>
      <c r="BH362" s="30"/>
      <c r="BI362" s="30"/>
      <c r="BJ362" s="30"/>
      <c r="BK362" s="30"/>
      <c r="BL362" s="30"/>
      <c r="BM362" s="30" t="str">
        <f ca="1">IFERROR(__xludf.DUMMYFUNCTION("""COMPUTED_VALUE"""),"No")</f>
        <v>No</v>
      </c>
      <c r="BN362" s="30"/>
      <c r="BO362" s="30" t="str">
        <f ca="1">IFERROR(__xludf.DUMMYFUNCTION("""COMPUTED_VALUE"""),"ae5dcd15")</f>
        <v>ae5dcd15</v>
      </c>
      <c r="BP362" s="29" t="str">
        <f ca="1">IFERROR(__xludf.DUMMYFUNCTION("""COMPUTED_VALUE"""),"Guanajuato")</f>
        <v>Guanajuato</v>
      </c>
      <c r="BQ362" s="30" t="str">
        <f ca="1">IFERROR(__xludf.DUMMYFUNCTION("""COMPUTED_VALUE"""),"Urbano")</f>
        <v>Urbano</v>
      </c>
      <c r="BR362" s="30"/>
      <c r="BS362" s="30"/>
      <c r="BT362" s="30"/>
      <c r="BU362" s="30" t="str">
        <f ca="1">IFERROR(__xludf.DUMMYFUNCTION("""COMPUTED_VALUE"""),"No")</f>
        <v>No</v>
      </c>
      <c r="BV362" s="30" t="str">
        <f ca="1">IFERROR(__xludf.DUMMYFUNCTION("""COMPUTED_VALUE"""),"No")</f>
        <v>No</v>
      </c>
      <c r="BW362" s="30">
        <f ca="1">IFERROR(__xludf.DUMMYFUNCTION("""COMPUTED_VALUE"""),4)</f>
        <v>4</v>
      </c>
      <c r="BX362" s="30"/>
      <c r="BY362" s="30">
        <f ca="1">IFERROR(__xludf.DUMMYFUNCTION("""COMPUTED_VALUE"""),4)</f>
        <v>4</v>
      </c>
      <c r="BZ362" s="30"/>
      <c r="CA362" s="30" t="str">
        <f ca="1">IFERROR(__xludf.DUMMYFUNCTION("""COMPUTED_VALUE"""),"No")</f>
        <v>No</v>
      </c>
      <c r="CB362" s="30" t="str">
        <f ca="1">IFERROR(__xludf.DUMMYFUNCTION("""COMPUTED_VALUE"""),"No")</f>
        <v>No</v>
      </c>
      <c r="CC362" s="30" t="str">
        <f ca="1">IFERROR(__xludf.DUMMYFUNCTION("""COMPUTED_VALUE"""),"5c6c9427")</f>
        <v>5c6c9427</v>
      </c>
      <c r="CD362" s="29" t="str">
        <f ca="1">IFERROR(__xludf.DUMMYFUNCTION("""COMPUTED_VALUE"""),"Jóvenes (18 a 29 años)")</f>
        <v>Jóvenes (18 a 29 años)</v>
      </c>
      <c r="CE362" s="30" t="str">
        <f ca="1">IFERROR(__xludf.DUMMYFUNCTION("""COMPUTED_VALUE"""),"Dato global")</f>
        <v>Dato global</v>
      </c>
      <c r="CF362" s="30" t="str">
        <f ca="1">IFERROR(__xludf.DUMMYFUNCTION("""COMPUTED_VALUE"""),"Ninguno (Población General)")</f>
        <v>Ninguno (Población General)</v>
      </c>
      <c r="CG362" s="30">
        <f ca="1">IFERROR(__xludf.DUMMYFUNCTION("""COMPUTED_VALUE"""),125)</f>
        <v>125</v>
      </c>
      <c r="CJ362" s="29"/>
      <c r="CM362" s="30" t="str">
        <f ca="1">IFERROR(__xludf.DUMMYFUNCTION("""COMPUTED_VALUE"""),"Guanajuato")</f>
        <v>Guanajuato</v>
      </c>
      <c r="CN362" s="32" t="e">
        <f ca="1"/>
        <v>#NAME?</v>
      </c>
      <c r="CO362" s="32" t="e">
        <f ca="1"/>
        <v>#NAME?</v>
      </c>
      <c r="CP362" s="32" t="e">
        <f ca="1"/>
        <v>#NAME?</v>
      </c>
      <c r="CQ362" s="32" t="e">
        <f ca="1"/>
        <v>#NAME?</v>
      </c>
      <c r="CR362" s="30" t="e">
        <f ca="1"/>
        <v>#NAME?</v>
      </c>
      <c r="CS362" s="30" t="str">
        <f ca="1">IFERROR(__xludf.DUMMYFUNCTION("""COMPUTED_VALUE"""),"Ninguno (Población General)")</f>
        <v>Ninguno (Población General)</v>
      </c>
    </row>
    <row r="363" spans="1:97" ht="13">
      <c r="A363" s="29" t="str">
        <f ca="1">IFERROR(__xludf.DUMMYFUNCTION("""COMPUTED_VALUE"""),"ACT-SCAC96318")</f>
        <v>ACT-SCAC96318</v>
      </c>
      <c r="B363" s="30" t="str">
        <f ca="1">IFERROR(__xludf.DUMMYFUNCTION("""COMPUTED_VALUE"""),"SC-260910-142634")</f>
        <v>SC-260910-142634</v>
      </c>
      <c r="C363" s="62">
        <f ca="1">IFERROR(__xludf.DUMMYFUNCTION("""COMPUTED_VALUE"""),46275.6017824074)</f>
        <v>46275.601782407401</v>
      </c>
      <c r="D363" s="30">
        <f ca="1">IFERROR(__xludf.DUMMYFUNCTION("""COMPUTED_VALUE"""),92)</f>
        <v>92</v>
      </c>
      <c r="E363" s="30" t="str">
        <f ca="1">IFERROR(__xludf.DUMMYFUNCTION("""COMPUTED_VALUE"""),"PB3572")</f>
        <v>PB3572</v>
      </c>
      <c r="F36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3" s="30" t="str">
        <f ca="1">IFERROR(__xludf.DUMMYFUNCTION("""COMPUTED_VALUE"""),"SUBSECRETARÍA DE DESARROLLO Y PROMOCIÓN ARTÍSTICA Y CULTURAL")</f>
        <v>SUBSECRETARÍA DE DESARROLLO Y PROMOCIÓN ARTÍSTICA Y CULTURAL</v>
      </c>
      <c r="I363" s="34" t="str">
        <f ca="1">IFERROR(__xludf.DUMMYFUNCTION("""COMPUTED_VALUE"""),"DIRECCIÓN GENERAL DE MUSEOS, ARTES VISUALES Y EXPOSICIONES")</f>
        <v>DIRECCIÓN GENERAL DE MUSEOS, ARTES VISUALES Y EXPOSICIONES</v>
      </c>
      <c r="J363" s="30" t="str">
        <f ca="1">IFERROR(__xludf.DUMMYFUNCTION("""COMPUTED_VALUE"""),"Número de Actividades realizadas")</f>
        <v>Número de Actividades realizadas</v>
      </c>
      <c r="K363" s="30">
        <f ca="1">IFERROR(__xludf.DUMMYFUNCTION("""COMPUTED_VALUE"""),800)</f>
        <v>800</v>
      </c>
      <c r="L363" s="30" t="str">
        <f ca="1">IFERROR(__xludf.DUMMYFUNCTION("""COMPUTED_VALUE"""),"Artística")</f>
        <v>Artística</v>
      </c>
      <c r="M363" s="30" t="str">
        <f ca="1">IFERROR(__xludf.DUMMYFUNCTION("""COMPUTED_VALUE"""),"Cuentacuentos: Tlali Nantli")</f>
        <v>Cuentacuentos: Tlali Nantli</v>
      </c>
      <c r="N363" s="30" t="str">
        <f ca="1">IFERROR(__xludf.DUMMYFUNCTION("""COMPUTED_VALUE"""),"Compilación de tres historias acerca del cuidado y preservación del medio ambiente, relatos musicalizados y en vivo narrados por títeres.")</f>
        <v>Compilación de tres historias acerca del cuidado y preservación del medio ambiente, relatos musicalizados y en vivo narrados por títeres.</v>
      </c>
      <c r="O363" s="30" t="str">
        <f ca="1">IFERROR(__xludf.DUMMYFUNCTION("""COMPUTED_VALUE"""),"Única")</f>
        <v>Única</v>
      </c>
      <c r="P363" s="33">
        <f ca="1">IFERROR(__xludf.DUMMYFUNCTION("""COMPUTED_VALUE"""),46263)</f>
        <v>46263</v>
      </c>
      <c r="Q363" s="33">
        <f ca="1">IFERROR(__xludf.DUMMYFUNCTION("""COMPUTED_VALUE"""),46263)</f>
        <v>46263</v>
      </c>
      <c r="R363" s="30">
        <f ca="1">IFERROR(__xludf.DUMMYFUNCTION("""COMPUTED_VALUE"""),1)</f>
        <v>1</v>
      </c>
      <c r="S363" s="30" t="str">
        <f ca="1">IFERROR(__xludf.DUMMYFUNCTION("""COMPUTED_VALUE"""),"Cultura comunitaria")</f>
        <v>Cultura comunitaria</v>
      </c>
      <c r="T363" s="30" t="str">
        <f ca="1">IFERROR(__xludf.DUMMYFUNCTION("""COMPUTED_VALUE"""),"Formación comunitaria")</f>
        <v>Formación comunitaria</v>
      </c>
      <c r="U363" s="30" t="str">
        <f ca="1">IFERROR(__xludf.DUMMYFUNCTION("""COMPUTED_VALUE"""),"Muestra artística")</f>
        <v>Muestra artística</v>
      </c>
      <c r="V363" s="30" t="str">
        <f ca="1">IFERROR(__xludf.DUMMYFUNCTION("""COMPUTED_VALUE"""),"Ninguna")</f>
        <v>Ninguna</v>
      </c>
      <c r="W363" s="30" t="str">
        <f ca="1">IFERROR(__xludf.DUMMYFUNCTION("""COMPUTED_VALUE"""),"Presencial")</f>
        <v>Presencial</v>
      </c>
      <c r="X363" s="30" t="str">
        <f ca="1">IFERROR(__xludf.DUMMYFUNCTION("""COMPUTED_VALUE"""),"Espacio a Cargo de la Secretaría")</f>
        <v>Espacio a Cargo de la Secretaría</v>
      </c>
      <c r="Y363" s="30" t="str">
        <f ca="1">IFERROR(__xludf.DUMMYFUNCTION("""COMPUTED_VALUE"""),"Museo de Arte-Olga Costa-José Chávez Morado")</f>
        <v>Museo de Arte-Olga Costa-José Chávez Morado</v>
      </c>
      <c r="Z363" s="30"/>
      <c r="AA363" s="30"/>
      <c r="AB363" s="30" t="b">
        <f ca="1">IFERROR(__xludf.DUMMYFUNCTION("""COMPUTED_VALUE"""),FALSE)</f>
        <v>0</v>
      </c>
      <c r="AC363" s="30"/>
      <c r="AD363" s="30" t="b">
        <f ca="1">IFERROR(__xludf.DUMMYFUNCTION("""COMPUTED_VALUE"""),FALSE)</f>
        <v>0</v>
      </c>
      <c r="AE363" s="30"/>
      <c r="AF363" s="30" t="b">
        <f ca="1">IFERROR(__xludf.DUMMYFUNCTION("""COMPUTED_VALUE"""),FALSE)</f>
        <v>0</v>
      </c>
      <c r="AG363" s="30"/>
      <c r="AH363" s="30" t="str">
        <f ca="1">IFERROR(__xludf.DUMMYFUNCTION("""COMPUTED_VALUE"""),"Sin costo")</f>
        <v>Sin costo</v>
      </c>
      <c r="AI363" s="30"/>
      <c r="AJ363" s="30"/>
      <c r="AK363" s="30"/>
      <c r="AL363" s="30" t="str">
        <f ca="1">IFERROR(__xludf.DUMMYFUNCTION("""COMPUTED_VALUE"""),"ccardonav@guanajuato.gob.mx")</f>
        <v>ccardonav@guanajuato.gob.mx</v>
      </c>
      <c r="AM363" s="30" t="str">
        <f ca="1">IFERROR(__xludf.DUMMYFUNCTION("""COMPUTED_VALUE"""),"Arraigo y empoderamiento cultural de comunidades.")</f>
        <v>Arraigo y empoderamiento cultural de comunidades.</v>
      </c>
      <c r="AN363" s="30" t="str">
        <f ca="1">IFERROR(__xludf.DUMMYFUNCTION("""COMPUTED_VALUE"""),"1 Tranquilidad")</f>
        <v>1 Tranquilidad</v>
      </c>
      <c r="AO363" s="30" t="str">
        <f ca="1">IFERROR(__xludf.DUMMYFUNCTION("""COMPUTED_VALUE"""),"1.2 Fortalecer prevención del delito")</f>
        <v>1.2 Fortalecer prevención del delito</v>
      </c>
      <c r="AP363" s="30" t="str">
        <f ca="1">IFERROR(__xludf.DUMMYFUNCTION("""COMPUTED_VALUE"""),"1.2.2 Fortalecimiento del tejido social")</f>
        <v>1.2.2 Fortalecimiento del tejido social</v>
      </c>
      <c r="AQ363" s="30" t="str">
        <f ca="1">IFERROR(__xludf.DUMMYFUNCTION("""COMPUTED_VALUE"""),"1.2.3.4 Promover una cultura de paz desde las expresiones artísticas y culturales")</f>
        <v>1.2.3.4 Promover una cultura de paz desde las expresiones artísticas y culturales</v>
      </c>
      <c r="AR363" s="30" t="str">
        <f ca="1">IFERROR(__xludf.DUMMYFUNCTION("""COMPUTED_VALUE"""),"Cooperación")</f>
        <v>Cooperación</v>
      </c>
      <c r="AS363" s="30"/>
      <c r="AT363" s="30" t="str">
        <f ca="1">IFERROR(__xludf.DUMMYFUNCTION("""COMPUTED_VALUE"""),"Fortalecimiento de la participación ciudadana y la mediación cultural")</f>
        <v>Fortalecimiento de la participación ciudadana y la mediación cultural</v>
      </c>
      <c r="AU363" s="30" t="str">
        <f ca="1">IFERROR(__xludf.DUMMYFUNCTION("""COMPUTED_VALUE"""),"Impulso a la ampliación de la oferta cultural en los territorios.")</f>
        <v>Impulso a la ampliación de la oferta cultural en los territorios.</v>
      </c>
      <c r="AV36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3" s="30" t="str">
        <f ca="1">IFERROR(__xludf.DUMMYFUNCTION("""COMPUTED_VALUE"""),"Incrementar en 25% la oferta cultural realizada en los municipios.")</f>
        <v>Incrementar en 25% la oferta cultural realizada en los municipios.</v>
      </c>
      <c r="AX363" s="30" t="str">
        <f ca="1">IFERROR(__xludf.DUMMYFUNCTION("""COMPUTED_VALUE"""),"Producción artística")</f>
        <v>Producción artística</v>
      </c>
      <c r="AY363" s="30" t="str">
        <f ca="1">IFERROR(__xludf.DUMMYFUNCTION("""COMPUTED_VALUE"""),"Formación")</f>
        <v>Formación</v>
      </c>
      <c r="AZ363" s="30" t="str">
        <f ca="1">IFERROR(__xludf.DUMMYFUNCTION("""COMPUTED_VALUE"""),"Formación")</f>
        <v>Formación</v>
      </c>
      <c r="BA363" s="30"/>
      <c r="BB363" s="30"/>
      <c r="BC363" s="30">
        <f ca="1">IFERROR(__xludf.DUMMYFUNCTION("""COMPUTED_VALUE"""),0)</f>
        <v>0</v>
      </c>
      <c r="BD363" s="30"/>
      <c r="BE363" s="30"/>
      <c r="BF363" s="30" t="b">
        <f ca="1">IFERROR(__xludf.DUMMYFUNCTION("""COMPUTED_VALUE"""),FALSE)</f>
        <v>0</v>
      </c>
      <c r="BG363" s="30"/>
      <c r="BH363" s="30"/>
      <c r="BI363" s="30"/>
      <c r="BJ363" s="30"/>
      <c r="BK363" s="30"/>
      <c r="BL363" s="30"/>
      <c r="BM363" s="30" t="str">
        <f ca="1">IFERROR(__xludf.DUMMYFUNCTION("""COMPUTED_VALUE"""),"No")</f>
        <v>No</v>
      </c>
      <c r="BN363" s="30"/>
      <c r="BO363" s="30" t="str">
        <f ca="1">IFERROR(__xludf.DUMMYFUNCTION("""COMPUTED_VALUE"""),"ff28049b")</f>
        <v>ff28049b</v>
      </c>
      <c r="BP363" s="29" t="str">
        <f ca="1">IFERROR(__xludf.DUMMYFUNCTION("""COMPUTED_VALUE"""),"Guanajuato")</f>
        <v>Guanajuato</v>
      </c>
      <c r="BQ363" s="30" t="str">
        <f ca="1">IFERROR(__xludf.DUMMYFUNCTION("""COMPUTED_VALUE"""),"Urbano")</f>
        <v>Urbano</v>
      </c>
      <c r="BR363" s="30"/>
      <c r="BS363" s="30"/>
      <c r="BT363" s="30"/>
      <c r="BU363" s="30" t="str">
        <f ca="1">IFERROR(__xludf.DUMMYFUNCTION("""COMPUTED_VALUE"""),"No")</f>
        <v>No</v>
      </c>
      <c r="BV363" s="30" t="str">
        <f ca="1">IFERROR(__xludf.DUMMYFUNCTION("""COMPUTED_VALUE"""),"No")</f>
        <v>No</v>
      </c>
      <c r="BW363" s="30">
        <f ca="1">IFERROR(__xludf.DUMMYFUNCTION("""COMPUTED_VALUE"""),6)</f>
        <v>6</v>
      </c>
      <c r="BX363" s="30"/>
      <c r="BY363" s="30">
        <f ca="1">IFERROR(__xludf.DUMMYFUNCTION("""COMPUTED_VALUE"""),6)</f>
        <v>6</v>
      </c>
      <c r="BZ363" s="30"/>
      <c r="CA363" s="30" t="str">
        <f ca="1">IFERROR(__xludf.DUMMYFUNCTION("""COMPUTED_VALUE"""),"No")</f>
        <v>No</v>
      </c>
      <c r="CB363" s="30" t="str">
        <f ca="1">IFERROR(__xludf.DUMMYFUNCTION("""COMPUTED_VALUE"""),"No")</f>
        <v>No</v>
      </c>
      <c r="CC363" s="30" t="str">
        <f ca="1">IFERROR(__xludf.DUMMYFUNCTION("""COMPUTED_VALUE"""),"0a9580ad")</f>
        <v>0a9580ad</v>
      </c>
      <c r="CD363" s="29" t="str">
        <f ca="1">IFERROR(__xludf.DUMMYFUNCTION("""COMPUTED_VALUE"""),"Adultos (30 a 59 años)")</f>
        <v>Adultos (30 a 59 años)</v>
      </c>
      <c r="CE363" s="30" t="str">
        <f ca="1">IFERROR(__xludf.DUMMYFUNCTION("""COMPUTED_VALUE"""),"Dato global")</f>
        <v>Dato global</v>
      </c>
      <c r="CF363" s="30" t="str">
        <f ca="1">IFERROR(__xludf.DUMMYFUNCTION("""COMPUTED_VALUE"""),"Ninguno (Población General)")</f>
        <v>Ninguno (Población General)</v>
      </c>
      <c r="CG363" s="30">
        <f ca="1">IFERROR(__xludf.DUMMYFUNCTION("""COMPUTED_VALUE"""),115)</f>
        <v>115</v>
      </c>
      <c r="CJ363" s="29"/>
      <c r="CM363" s="30" t="str">
        <f ca="1">IFERROR(__xludf.DUMMYFUNCTION("""COMPUTED_VALUE"""),"Guanajuato")</f>
        <v>Guanajuato</v>
      </c>
      <c r="CN363" s="32" t="e">
        <f ca="1"/>
        <v>#NAME?</v>
      </c>
      <c r="CO363" s="32" t="e">
        <f ca="1"/>
        <v>#NAME?</v>
      </c>
      <c r="CP363" s="32" t="e">
        <f ca="1"/>
        <v>#NAME?</v>
      </c>
      <c r="CQ363" s="32" t="e">
        <f ca="1"/>
        <v>#NAME?</v>
      </c>
      <c r="CR363" s="30" t="e">
        <f ca="1"/>
        <v>#NAME?</v>
      </c>
      <c r="CS363" s="30" t="str">
        <f ca="1">IFERROR(__xludf.DUMMYFUNCTION("""COMPUTED_VALUE"""),"Ninguno (Población General)")</f>
        <v>Ninguno (Población General)</v>
      </c>
    </row>
    <row r="364" spans="1:97" ht="13">
      <c r="A364" s="29" t="str">
        <f ca="1">IFERROR(__xludf.DUMMYFUNCTION("""COMPUTED_VALUE"""),"ACT-SCAS88315")</f>
        <v>ACT-SCAS88315</v>
      </c>
      <c r="B364" s="30" t="str">
        <f ca="1">IFERROR(__xludf.DUMMYFUNCTION("""COMPUTED_VALUE"""),"SC-260910-143104")</f>
        <v>SC-260910-143104</v>
      </c>
      <c r="C364" s="62">
        <f ca="1">IFERROR(__xludf.DUMMYFUNCTION("""COMPUTED_VALUE"""),46275.6049074074)</f>
        <v>46275.604907407404</v>
      </c>
      <c r="D364" s="30">
        <f ca="1">IFERROR(__xludf.DUMMYFUNCTION("""COMPUTED_VALUE"""),92)</f>
        <v>92</v>
      </c>
      <c r="E364" s="30" t="str">
        <f ca="1">IFERROR(__xludf.DUMMYFUNCTION("""COMPUTED_VALUE"""),"PB3572")</f>
        <v>PB3572</v>
      </c>
      <c r="F36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4" s="30" t="str">
        <f ca="1">IFERROR(__xludf.DUMMYFUNCTION("""COMPUTED_VALUE"""),"SUBSECRETARÍA DE DESARROLLO Y PROMOCIÓN ARTÍSTICA Y CULTURAL")</f>
        <v>SUBSECRETARÍA DE DESARROLLO Y PROMOCIÓN ARTÍSTICA Y CULTURAL</v>
      </c>
      <c r="I364" s="34" t="str">
        <f ca="1">IFERROR(__xludf.DUMMYFUNCTION("""COMPUTED_VALUE"""),"DIRECCIÓN GENERAL DE MUSEOS, ARTES VISUALES Y EXPOSICIONES")</f>
        <v>DIRECCIÓN GENERAL DE MUSEOS, ARTES VISUALES Y EXPOSICIONES</v>
      </c>
      <c r="J364" s="30" t="str">
        <f ca="1">IFERROR(__xludf.DUMMYFUNCTION("""COMPUTED_VALUE"""),"Número de Actividades realizadas")</f>
        <v>Número de Actividades realizadas</v>
      </c>
      <c r="K364" s="30">
        <f ca="1">IFERROR(__xludf.DUMMYFUNCTION("""COMPUTED_VALUE"""),800)</f>
        <v>800</v>
      </c>
      <c r="L364" s="30" t="str">
        <f ca="1">IFERROR(__xludf.DUMMYFUNCTION("""COMPUTED_VALUE"""),"Artística")</f>
        <v>Artística</v>
      </c>
      <c r="M364" s="30" t="str">
        <f ca="1">IFERROR(__xludf.DUMMYFUNCTION("""COMPUTED_VALUE"""),"Taller: El arte del rapacejo  | empuntado el rebozo de Uriangato")</f>
        <v>Taller: El arte del rapacejo  | empuntado el rebozo de Uriangato</v>
      </c>
      <c r="N364" s="30" t="str">
        <f ca="1">IFERROR(__xludf.DUMMYFUNCTION("""COMPUTED_VALUE"""),"Taller práctico que acerca a los participantes al arte del rapacejo")</f>
        <v>Taller práctico que acerca a los participantes al arte del rapacejo</v>
      </c>
      <c r="O364" s="30" t="str">
        <f ca="1">IFERROR(__xludf.DUMMYFUNCTION("""COMPUTED_VALUE"""),"Única")</f>
        <v>Única</v>
      </c>
      <c r="P364" s="33">
        <f ca="1">IFERROR(__xludf.DUMMYFUNCTION("""COMPUTED_VALUE"""),46264)</f>
        <v>46264</v>
      </c>
      <c r="Q364" s="33">
        <f ca="1">IFERROR(__xludf.DUMMYFUNCTION("""COMPUTED_VALUE"""),46264)</f>
        <v>46264</v>
      </c>
      <c r="R364" s="30">
        <f ca="1">IFERROR(__xludf.DUMMYFUNCTION("""COMPUTED_VALUE"""),1)</f>
        <v>1</v>
      </c>
      <c r="S364" s="30" t="str">
        <f ca="1">IFERROR(__xludf.DUMMYFUNCTION("""COMPUTED_VALUE"""),"Cultura comunitaria")</f>
        <v>Cultura comunitaria</v>
      </c>
      <c r="T364" s="30" t="str">
        <f ca="1">IFERROR(__xludf.DUMMYFUNCTION("""COMPUTED_VALUE"""),"Formación comunitaria")</f>
        <v>Formación comunitaria</v>
      </c>
      <c r="U364" s="30" t="str">
        <f ca="1">IFERROR(__xludf.DUMMYFUNCTION("""COMPUTED_VALUE"""),"Taller")</f>
        <v>Taller</v>
      </c>
      <c r="V364" s="30" t="str">
        <f ca="1">IFERROR(__xludf.DUMMYFUNCTION("""COMPUTED_VALUE"""),"Ninguna")</f>
        <v>Ninguna</v>
      </c>
      <c r="W364" s="30" t="str">
        <f ca="1">IFERROR(__xludf.DUMMYFUNCTION("""COMPUTED_VALUE"""),"Presencial")</f>
        <v>Presencial</v>
      </c>
      <c r="X364" s="30" t="str">
        <f ca="1">IFERROR(__xludf.DUMMYFUNCTION("""COMPUTED_VALUE"""),"Espacio a Cargo de la Secretaría")</f>
        <v>Espacio a Cargo de la Secretaría</v>
      </c>
      <c r="Y364" s="30" t="str">
        <f ca="1">IFERROR(__xludf.DUMMYFUNCTION("""COMPUTED_VALUE"""),"Museo del Pueblo de Guanajuato")</f>
        <v>Museo del Pueblo de Guanajuato</v>
      </c>
      <c r="Z364" s="30"/>
      <c r="AA364" s="30"/>
      <c r="AB364" s="30" t="b">
        <f ca="1">IFERROR(__xludf.DUMMYFUNCTION("""COMPUTED_VALUE"""),FALSE)</f>
        <v>0</v>
      </c>
      <c r="AC364" s="30"/>
      <c r="AD364" s="30" t="b">
        <f ca="1">IFERROR(__xludf.DUMMYFUNCTION("""COMPUTED_VALUE"""),FALSE)</f>
        <v>0</v>
      </c>
      <c r="AE364" s="30"/>
      <c r="AF364" s="30" t="b">
        <f ca="1">IFERROR(__xludf.DUMMYFUNCTION("""COMPUTED_VALUE"""),FALSE)</f>
        <v>0</v>
      </c>
      <c r="AG364" s="30"/>
      <c r="AH364" s="30" t="str">
        <f ca="1">IFERROR(__xludf.DUMMYFUNCTION("""COMPUTED_VALUE"""),"Sin costo")</f>
        <v>Sin costo</v>
      </c>
      <c r="AI364" s="30"/>
      <c r="AJ364" s="30"/>
      <c r="AK364" s="30"/>
      <c r="AL364" s="30" t="str">
        <f ca="1">IFERROR(__xludf.DUMMYFUNCTION("""COMPUTED_VALUE"""),"ccardonav@guanajuato.gob.mx")</f>
        <v>ccardonav@guanajuato.gob.mx</v>
      </c>
      <c r="AM364" s="30" t="str">
        <f ca="1">IFERROR(__xludf.DUMMYFUNCTION("""COMPUTED_VALUE"""),"Arraigo y empoderamiento cultural de comunidades.")</f>
        <v>Arraigo y empoderamiento cultural de comunidades.</v>
      </c>
      <c r="AN364" s="30" t="str">
        <f ca="1">IFERROR(__xludf.DUMMYFUNCTION("""COMPUTED_VALUE"""),"1 Tranquilidad")</f>
        <v>1 Tranquilidad</v>
      </c>
      <c r="AO364" s="30" t="str">
        <f ca="1">IFERROR(__xludf.DUMMYFUNCTION("""COMPUTED_VALUE"""),"1.2 Fortalecer prevención del delito")</f>
        <v>1.2 Fortalecer prevención del delito</v>
      </c>
      <c r="AP364" s="30" t="str">
        <f ca="1">IFERROR(__xludf.DUMMYFUNCTION("""COMPUTED_VALUE"""),"1.2.2 Fortalecimiento del tejido social")</f>
        <v>1.2.2 Fortalecimiento del tejido social</v>
      </c>
      <c r="AQ364" s="30" t="str">
        <f ca="1">IFERROR(__xludf.DUMMYFUNCTION("""COMPUTED_VALUE"""),"1.2.3.4 Promover una cultura de paz desde las expresiones artísticas y culturales")</f>
        <v>1.2.3.4 Promover una cultura de paz desde las expresiones artísticas y culturales</v>
      </c>
      <c r="AR364" s="30" t="str">
        <f ca="1">IFERROR(__xludf.DUMMYFUNCTION("""COMPUTED_VALUE"""),"Cooperación")</f>
        <v>Cooperación</v>
      </c>
      <c r="AS364" s="30"/>
      <c r="AT364" s="30" t="str">
        <f ca="1">IFERROR(__xludf.DUMMYFUNCTION("""COMPUTED_VALUE"""),"Fortalecimiento de la participación ciudadana y la mediación cultural")</f>
        <v>Fortalecimiento de la participación ciudadana y la mediación cultural</v>
      </c>
      <c r="AU364" s="30" t="str">
        <f ca="1">IFERROR(__xludf.DUMMYFUNCTION("""COMPUTED_VALUE"""),"Impulso a la ampliación de la oferta cultural en los territorios.")</f>
        <v>Impulso a la ampliación de la oferta cultural en los territorios.</v>
      </c>
      <c r="AV36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4" s="30" t="str">
        <f ca="1">IFERROR(__xludf.DUMMYFUNCTION("""COMPUTED_VALUE"""),"Incrementar en 25% la oferta cultural realizada en los municipios.")</f>
        <v>Incrementar en 25% la oferta cultural realizada en los municipios.</v>
      </c>
      <c r="AX364" s="30" t="str">
        <f ca="1">IFERROR(__xludf.DUMMYFUNCTION("""COMPUTED_VALUE"""),"Taller")</f>
        <v>Taller</v>
      </c>
      <c r="AY364" s="30" t="str">
        <f ca="1">IFERROR(__xludf.DUMMYFUNCTION("""COMPUTED_VALUE"""),"Formación")</f>
        <v>Formación</v>
      </c>
      <c r="AZ364" s="30" t="str">
        <f ca="1">IFERROR(__xludf.DUMMYFUNCTION("""COMPUTED_VALUE"""),"Formación")</f>
        <v>Formación</v>
      </c>
      <c r="BA364" s="30"/>
      <c r="BB364" s="30"/>
      <c r="BC364" s="30">
        <f ca="1">IFERROR(__xludf.DUMMYFUNCTION("""COMPUTED_VALUE"""),0)</f>
        <v>0</v>
      </c>
      <c r="BD364" s="30"/>
      <c r="BE364" s="30"/>
      <c r="BF364" s="30" t="b">
        <f ca="1">IFERROR(__xludf.DUMMYFUNCTION("""COMPUTED_VALUE"""),FALSE)</f>
        <v>0</v>
      </c>
      <c r="BG364" s="30"/>
      <c r="BH364" s="30"/>
      <c r="BI364" s="30"/>
      <c r="BJ364" s="30"/>
      <c r="BK364" s="30"/>
      <c r="BL364" s="30"/>
      <c r="BM364" s="30" t="str">
        <f ca="1">IFERROR(__xludf.DUMMYFUNCTION("""COMPUTED_VALUE"""),"No")</f>
        <v>No</v>
      </c>
      <c r="BN364" s="30"/>
      <c r="BO364" s="30" t="str">
        <f ca="1">IFERROR(__xludf.DUMMYFUNCTION("""COMPUTED_VALUE"""),"9953eeee")</f>
        <v>9953eeee</v>
      </c>
      <c r="BP364" s="29" t="str">
        <f ca="1">IFERROR(__xludf.DUMMYFUNCTION("""COMPUTED_VALUE"""),"Guanajuato")</f>
        <v>Guanajuato</v>
      </c>
      <c r="BQ364" s="30" t="str">
        <f ca="1">IFERROR(__xludf.DUMMYFUNCTION("""COMPUTED_VALUE"""),"Urbano")</f>
        <v>Urbano</v>
      </c>
      <c r="BR364" s="30">
        <f ca="1">IFERROR(__xludf.DUMMYFUNCTION("""COMPUTED_VALUE"""),49)</f>
        <v>49</v>
      </c>
      <c r="BS364" s="30" t="str">
        <f ca="1">IFERROR(__xludf.DUMMYFUNCTION("""COMPUTED_VALUE"""),"Guanajuato")</f>
        <v>Guanajuato</v>
      </c>
      <c r="BT364" s="30"/>
      <c r="BU364" s="30" t="str">
        <f ca="1">IFERROR(__xludf.DUMMYFUNCTION("""COMPUTED_VALUE"""),"Si")</f>
        <v>Si</v>
      </c>
      <c r="BV364" s="30" t="str">
        <f ca="1">IFERROR(__xludf.DUMMYFUNCTION("""COMPUTED_VALUE"""),"Si")</f>
        <v>Si</v>
      </c>
      <c r="BW364" s="30">
        <f ca="1">IFERROR(__xludf.DUMMYFUNCTION("""COMPUTED_VALUE"""),11)</f>
        <v>11</v>
      </c>
      <c r="BX364" s="30"/>
      <c r="BY364" s="30">
        <f ca="1">IFERROR(__xludf.DUMMYFUNCTION("""COMPUTED_VALUE"""),11)</f>
        <v>11</v>
      </c>
      <c r="BZ364" s="30" t="str">
        <f ca="1">IFERROR(__xludf.DUMMYFUNCTION("""COMPUTED_VALUE"""),"Guanajuato")</f>
        <v>Guanajuato</v>
      </c>
      <c r="CA364" s="30" t="str">
        <f ca="1">IFERROR(__xludf.DUMMYFUNCTION("""COMPUTED_VALUE"""),"No")</f>
        <v>No</v>
      </c>
      <c r="CB364" s="30" t="str">
        <f ca="1">IFERROR(__xludf.DUMMYFUNCTION("""COMPUTED_VALUE"""),"No")</f>
        <v>No</v>
      </c>
      <c r="CC364" s="30" t="str">
        <f ca="1">IFERROR(__xludf.DUMMYFUNCTION("""COMPUTED_VALUE"""),"508586dc")</f>
        <v>508586dc</v>
      </c>
      <c r="CD364" s="29" t="str">
        <f ca="1">IFERROR(__xludf.DUMMYFUNCTION("""COMPUTED_VALUE"""),"Adultos Mayores (60 años o más)")</f>
        <v>Adultos Mayores (60 años o más)</v>
      </c>
      <c r="CE364" s="30" t="str">
        <f ca="1">IFERROR(__xludf.DUMMYFUNCTION("""COMPUTED_VALUE"""),"Dato global")</f>
        <v>Dato global</v>
      </c>
      <c r="CF364" s="30" t="str">
        <f ca="1">IFERROR(__xludf.DUMMYFUNCTION("""COMPUTED_VALUE"""),"Ninguno (Población General)")</f>
        <v>Ninguno (Población General)</v>
      </c>
      <c r="CG364" s="30">
        <f ca="1">IFERROR(__xludf.DUMMYFUNCTION("""COMPUTED_VALUE"""),129)</f>
        <v>129</v>
      </c>
      <c r="CJ364" s="29"/>
      <c r="CM364" s="30" t="str">
        <f ca="1">IFERROR(__xludf.DUMMYFUNCTION("""COMPUTED_VALUE"""),"Guanajuato")</f>
        <v>Guanajuato</v>
      </c>
      <c r="CN364" s="32" t="e">
        <f ca="1"/>
        <v>#NAME?</v>
      </c>
      <c r="CO364" s="32" t="e">
        <f ca="1"/>
        <v>#NAME?</v>
      </c>
      <c r="CP364" s="32" t="e">
        <f ca="1"/>
        <v>#NAME?</v>
      </c>
      <c r="CQ364" s="32" t="e">
        <f ca="1"/>
        <v>#NAME?</v>
      </c>
      <c r="CR364" s="30" t="e">
        <f ca="1"/>
        <v>#NAME?</v>
      </c>
      <c r="CS364" s="30" t="str">
        <f ca="1">IFERROR(__xludf.DUMMYFUNCTION("""COMPUTED_VALUE"""),"Ninguno (Población General)")</f>
        <v>Ninguno (Población General)</v>
      </c>
    </row>
    <row r="365" spans="1:97" ht="13">
      <c r="A365" s="29" t="str">
        <f ca="1">IFERROR(__xludf.DUMMYFUNCTION("""COMPUTED_VALUE"""),"ACT-SCNW78674")</f>
        <v>ACT-SCNW78674</v>
      </c>
      <c r="B365" s="30" t="str">
        <f ca="1">IFERROR(__xludf.DUMMYFUNCTION("""COMPUTED_VALUE"""),"SC-260910-143646")</f>
        <v>SC-260910-143646</v>
      </c>
      <c r="C365" s="62">
        <f ca="1">IFERROR(__xludf.DUMMYFUNCTION("""COMPUTED_VALUE"""),46275.6088657407)</f>
        <v>46275.608865740702</v>
      </c>
      <c r="D365" s="30">
        <f ca="1">IFERROR(__xludf.DUMMYFUNCTION("""COMPUTED_VALUE"""),92)</f>
        <v>92</v>
      </c>
      <c r="E365" s="30" t="str">
        <f ca="1">IFERROR(__xludf.DUMMYFUNCTION("""COMPUTED_VALUE"""),"PB3572")</f>
        <v>PB3572</v>
      </c>
      <c r="F36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5" s="30" t="str">
        <f ca="1">IFERROR(__xludf.DUMMYFUNCTION("""COMPUTED_VALUE"""),"SUBSECRETARÍA DE DESARROLLO Y PROMOCIÓN ARTÍSTICA Y CULTURAL")</f>
        <v>SUBSECRETARÍA DE DESARROLLO Y PROMOCIÓN ARTÍSTICA Y CULTURAL</v>
      </c>
      <c r="I365" s="34" t="str">
        <f ca="1">IFERROR(__xludf.DUMMYFUNCTION("""COMPUTED_VALUE"""),"DIRECCIÓN GENERAL DE MUSEOS, ARTES VISUALES Y EXPOSICIONES")</f>
        <v>DIRECCIÓN GENERAL DE MUSEOS, ARTES VISUALES Y EXPOSICIONES</v>
      </c>
      <c r="J365" s="30" t="str">
        <f ca="1">IFERROR(__xludf.DUMMYFUNCTION("""COMPUTED_VALUE"""),"Número de Actividades realizadas")</f>
        <v>Número de Actividades realizadas</v>
      </c>
      <c r="K365" s="30">
        <f ca="1">IFERROR(__xludf.DUMMYFUNCTION("""COMPUTED_VALUE"""),800)</f>
        <v>800</v>
      </c>
      <c r="L365" s="30" t="str">
        <f ca="1">IFERROR(__xludf.DUMMYFUNCTION("""COMPUTED_VALUE"""),"Artística")</f>
        <v>Artística</v>
      </c>
      <c r="M365" s="30" t="str">
        <f ca="1">IFERROR(__xludf.DUMMYFUNCTION("""COMPUTED_VALUE"""),"Conversatorio: ¿Quién hereda el taller de rebozo?")</f>
        <v>Conversatorio: ¿Quién hereda el taller de rebozo?</v>
      </c>
      <c r="N365" s="30" t="str">
        <f ca="1">IFERROR(__xludf.DUMMYFUNCTION("""COMPUTED_VALUE"""),"Este conversatorio invita a reflexionar sobre el futuro del oficio rebocero")</f>
        <v>Este conversatorio invita a reflexionar sobre el futuro del oficio rebocero</v>
      </c>
      <c r="O365" s="30" t="str">
        <f ca="1">IFERROR(__xludf.DUMMYFUNCTION("""COMPUTED_VALUE"""),"Única")</f>
        <v>Única</v>
      </c>
      <c r="P365" s="33">
        <f ca="1">IFERROR(__xludf.DUMMYFUNCTION("""COMPUTED_VALUE"""),46264)</f>
        <v>46264</v>
      </c>
      <c r="Q365" s="33">
        <f ca="1">IFERROR(__xludf.DUMMYFUNCTION("""COMPUTED_VALUE"""),46264)</f>
        <v>46264</v>
      </c>
      <c r="R365" s="30">
        <f ca="1">IFERROR(__xludf.DUMMYFUNCTION("""COMPUTED_VALUE"""),1)</f>
        <v>1</v>
      </c>
      <c r="S365" s="30" t="str">
        <f ca="1">IFERROR(__xludf.DUMMYFUNCTION("""COMPUTED_VALUE"""),"Cultura comunitaria")</f>
        <v>Cultura comunitaria</v>
      </c>
      <c r="T365" s="30" t="str">
        <f ca="1">IFERROR(__xludf.DUMMYFUNCTION("""COMPUTED_VALUE"""),"Formación comunitaria")</f>
        <v>Formación comunitaria</v>
      </c>
      <c r="U365" s="30" t="str">
        <f ca="1">IFERROR(__xludf.DUMMYFUNCTION("""COMPUTED_VALUE"""),"Conversatorio")</f>
        <v>Conversatorio</v>
      </c>
      <c r="V365" s="30" t="str">
        <f ca="1">IFERROR(__xludf.DUMMYFUNCTION("""COMPUTED_VALUE"""),"Ninguna")</f>
        <v>Ninguna</v>
      </c>
      <c r="W365" s="30" t="str">
        <f ca="1">IFERROR(__xludf.DUMMYFUNCTION("""COMPUTED_VALUE"""),"Presencial")</f>
        <v>Presencial</v>
      </c>
      <c r="X365" s="30" t="str">
        <f ca="1">IFERROR(__xludf.DUMMYFUNCTION("""COMPUTED_VALUE"""),"Espacio a Cargo de la Secretaría")</f>
        <v>Espacio a Cargo de la Secretaría</v>
      </c>
      <c r="Y365" s="30" t="str">
        <f ca="1">IFERROR(__xludf.DUMMYFUNCTION("""COMPUTED_VALUE"""),"Museo del Pueblo de Guanajuato")</f>
        <v>Museo del Pueblo de Guanajuato</v>
      </c>
      <c r="Z365" s="30"/>
      <c r="AA365" s="30"/>
      <c r="AB365" s="30" t="b">
        <f ca="1">IFERROR(__xludf.DUMMYFUNCTION("""COMPUTED_VALUE"""),FALSE)</f>
        <v>0</v>
      </c>
      <c r="AC365" s="30"/>
      <c r="AD365" s="30" t="b">
        <f ca="1">IFERROR(__xludf.DUMMYFUNCTION("""COMPUTED_VALUE"""),FALSE)</f>
        <v>0</v>
      </c>
      <c r="AE365" s="30"/>
      <c r="AF365" s="30" t="b">
        <f ca="1">IFERROR(__xludf.DUMMYFUNCTION("""COMPUTED_VALUE"""),FALSE)</f>
        <v>0</v>
      </c>
      <c r="AG365" s="30"/>
      <c r="AH365" s="30" t="str">
        <f ca="1">IFERROR(__xludf.DUMMYFUNCTION("""COMPUTED_VALUE"""),"Sin costo")</f>
        <v>Sin costo</v>
      </c>
      <c r="AI365" s="30"/>
      <c r="AJ365" s="30"/>
      <c r="AK365" s="30"/>
      <c r="AL365" s="30" t="str">
        <f ca="1">IFERROR(__xludf.DUMMYFUNCTION("""COMPUTED_VALUE"""),"ccardonav@guanajuato.gob.mx")</f>
        <v>ccardonav@guanajuato.gob.mx</v>
      </c>
      <c r="AM365" s="30" t="str">
        <f ca="1">IFERROR(__xludf.DUMMYFUNCTION("""COMPUTED_VALUE"""),"Arraigo y empoderamiento cultural de comunidades.")</f>
        <v>Arraigo y empoderamiento cultural de comunidades.</v>
      </c>
      <c r="AN365" s="30" t="str">
        <f ca="1">IFERROR(__xludf.DUMMYFUNCTION("""COMPUTED_VALUE"""),"1 Tranquilidad")</f>
        <v>1 Tranquilidad</v>
      </c>
      <c r="AO365" s="30" t="str">
        <f ca="1">IFERROR(__xludf.DUMMYFUNCTION("""COMPUTED_VALUE"""),"1.2 Fortalecer prevención del delito")</f>
        <v>1.2 Fortalecer prevención del delito</v>
      </c>
      <c r="AP365" s="30" t="str">
        <f ca="1">IFERROR(__xludf.DUMMYFUNCTION("""COMPUTED_VALUE"""),"1.2.2 Fortalecimiento del tejido social")</f>
        <v>1.2.2 Fortalecimiento del tejido social</v>
      </c>
      <c r="AQ365" s="30" t="str">
        <f ca="1">IFERROR(__xludf.DUMMYFUNCTION("""COMPUTED_VALUE"""),"1.2.3.4 Promover una cultura de paz desde las expresiones artísticas y culturales")</f>
        <v>1.2.3.4 Promover una cultura de paz desde las expresiones artísticas y culturales</v>
      </c>
      <c r="AR365" s="30" t="str">
        <f ca="1">IFERROR(__xludf.DUMMYFUNCTION("""COMPUTED_VALUE"""),"Cooperación")</f>
        <v>Cooperación</v>
      </c>
      <c r="AS365" s="30"/>
      <c r="AT365" s="30" t="str">
        <f ca="1">IFERROR(__xludf.DUMMYFUNCTION("""COMPUTED_VALUE"""),"Fortalecimiento de la participación ciudadana y la mediación cultural")</f>
        <v>Fortalecimiento de la participación ciudadana y la mediación cultural</v>
      </c>
      <c r="AU365" s="30" t="str">
        <f ca="1">IFERROR(__xludf.DUMMYFUNCTION("""COMPUTED_VALUE"""),"Impulso a la ampliación de la oferta cultural en los territorios.")</f>
        <v>Impulso a la ampliación de la oferta cultural en los territorios.</v>
      </c>
      <c r="AV36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5" s="30" t="str">
        <f ca="1">IFERROR(__xludf.DUMMYFUNCTION("""COMPUTED_VALUE"""),"Incrementar en 25% la oferta cultural realizada en los municipios.")</f>
        <v>Incrementar en 25% la oferta cultural realizada en los municipios.</v>
      </c>
      <c r="AX365" s="30" t="str">
        <f ca="1">IFERROR(__xludf.DUMMYFUNCTION("""COMPUTED_VALUE"""),"Conversatorio")</f>
        <v>Conversatorio</v>
      </c>
      <c r="AY365" s="30" t="str">
        <f ca="1">IFERROR(__xludf.DUMMYFUNCTION("""COMPUTED_VALUE"""),"Formación")</f>
        <v>Formación</v>
      </c>
      <c r="AZ365" s="30" t="str">
        <f ca="1">IFERROR(__xludf.DUMMYFUNCTION("""COMPUTED_VALUE"""),"Formación")</f>
        <v>Formación</v>
      </c>
      <c r="BA365" s="30"/>
      <c r="BB365" s="30"/>
      <c r="BC365" s="30">
        <f ca="1">IFERROR(__xludf.DUMMYFUNCTION("""COMPUTED_VALUE"""),0)</f>
        <v>0</v>
      </c>
      <c r="BD365" s="30"/>
      <c r="BE365" s="30"/>
      <c r="BF365" s="30" t="b">
        <f ca="1">IFERROR(__xludf.DUMMYFUNCTION("""COMPUTED_VALUE"""),FALSE)</f>
        <v>0</v>
      </c>
      <c r="BG365" s="30"/>
      <c r="BH365" s="30"/>
      <c r="BI365" s="30"/>
      <c r="BJ365" s="30"/>
      <c r="BK365" s="30"/>
      <c r="BL365" s="30"/>
      <c r="BM365" s="30" t="str">
        <f ca="1">IFERROR(__xludf.DUMMYFUNCTION("""COMPUTED_VALUE"""),"No")</f>
        <v>No</v>
      </c>
      <c r="BN365" s="30"/>
      <c r="BO365" s="30" t="str">
        <f ca="1">IFERROR(__xludf.DUMMYFUNCTION("""COMPUTED_VALUE"""),"e0b64e99")</f>
        <v>e0b64e99</v>
      </c>
      <c r="BP365" s="29" t="str">
        <f ca="1">IFERROR(__xludf.DUMMYFUNCTION("""COMPUTED_VALUE"""),"Guanajuato")</f>
        <v>Guanajuato</v>
      </c>
      <c r="BQ365" s="30" t="str">
        <f ca="1">IFERROR(__xludf.DUMMYFUNCTION("""COMPUTED_VALUE"""),"Urbano")</f>
        <v>Urbano</v>
      </c>
      <c r="BR365" s="30"/>
      <c r="BS365" s="30"/>
      <c r="BT365" s="30"/>
      <c r="BU365" s="30" t="str">
        <f ca="1">IFERROR(__xludf.DUMMYFUNCTION("""COMPUTED_VALUE"""),"No")</f>
        <v>No</v>
      </c>
      <c r="BV365" s="30" t="str">
        <f ca="1">IFERROR(__xludf.DUMMYFUNCTION("""COMPUTED_VALUE"""),"No")</f>
        <v>No</v>
      </c>
      <c r="BW365" s="30">
        <f ca="1">IFERROR(__xludf.DUMMYFUNCTION("""COMPUTED_VALUE"""),32)</f>
        <v>32</v>
      </c>
      <c r="BX365" s="30"/>
      <c r="BY365" s="30">
        <f ca="1">IFERROR(__xludf.DUMMYFUNCTION("""COMPUTED_VALUE"""),32)</f>
        <v>32</v>
      </c>
      <c r="BZ365" s="30"/>
      <c r="CA365" s="30" t="str">
        <f ca="1">IFERROR(__xludf.DUMMYFUNCTION("""COMPUTED_VALUE"""),"No")</f>
        <v>No</v>
      </c>
      <c r="CB365" s="30" t="str">
        <f ca="1">IFERROR(__xludf.DUMMYFUNCTION("""COMPUTED_VALUE"""),"No")</f>
        <v>No</v>
      </c>
      <c r="CC365" s="30" t="str">
        <f ca="1">IFERROR(__xludf.DUMMYFUNCTION("""COMPUTED_VALUE"""),"e1558791")</f>
        <v>e1558791</v>
      </c>
      <c r="CD365" s="29" t="str">
        <f ca="1">IFERROR(__xludf.DUMMYFUNCTION("""COMPUTED_VALUE"""),"Adultos (30 a 59 años)")</f>
        <v>Adultos (30 a 59 años)</v>
      </c>
      <c r="CE365" s="30" t="str">
        <f ca="1">IFERROR(__xludf.DUMMYFUNCTION("""COMPUTED_VALUE"""),"Dato global")</f>
        <v>Dato global</v>
      </c>
      <c r="CF365" s="30" t="str">
        <f ca="1">IFERROR(__xludf.DUMMYFUNCTION("""COMPUTED_VALUE"""),"Ninguno (Población General)")</f>
        <v>Ninguno (Población General)</v>
      </c>
      <c r="CG365" s="30">
        <f ca="1">IFERROR(__xludf.DUMMYFUNCTION("""COMPUTED_VALUE"""),9)</f>
        <v>9</v>
      </c>
      <c r="CJ365" s="29"/>
      <c r="CM365" s="30" t="str">
        <f ca="1">IFERROR(__xludf.DUMMYFUNCTION("""COMPUTED_VALUE"""),"Guanajuato")</f>
        <v>Guanajuato</v>
      </c>
      <c r="CN365" s="32" t="e">
        <f ca="1"/>
        <v>#NAME?</v>
      </c>
      <c r="CO365" s="32" t="e">
        <f ca="1"/>
        <v>#NAME?</v>
      </c>
      <c r="CP365" s="32" t="e">
        <f ca="1"/>
        <v>#NAME?</v>
      </c>
      <c r="CQ365" s="32" t="e">
        <f ca="1"/>
        <v>#NAME?</v>
      </c>
      <c r="CR365" s="30" t="e">
        <f ca="1"/>
        <v>#NAME?</v>
      </c>
      <c r="CS365" s="30" t="str">
        <f ca="1">IFERROR(__xludf.DUMMYFUNCTION("""COMPUTED_VALUE"""),"Ninguno (Población General)")</f>
        <v>Ninguno (Población General)</v>
      </c>
    </row>
    <row r="366" spans="1:97" ht="13">
      <c r="A366" s="29" t="str">
        <f ca="1">IFERROR(__xludf.DUMMYFUNCTION("""COMPUTED_VALUE"""),"ACT-SCDD20458")</f>
        <v>ACT-SCDD20458</v>
      </c>
      <c r="B366" s="30" t="str">
        <f ca="1">IFERROR(__xludf.DUMMYFUNCTION("""COMPUTED_VALUE"""),"SC-260910-144509")</f>
        <v>SC-260910-144509</v>
      </c>
      <c r="C366" s="62">
        <f ca="1">IFERROR(__xludf.DUMMYFUNCTION("""COMPUTED_VALUE"""),46275.6146875)</f>
        <v>46275.614687499998</v>
      </c>
      <c r="D366" s="30">
        <f ca="1">IFERROR(__xludf.DUMMYFUNCTION("""COMPUTED_VALUE"""),92)</f>
        <v>92</v>
      </c>
      <c r="E366" s="30" t="str">
        <f ca="1">IFERROR(__xludf.DUMMYFUNCTION("""COMPUTED_VALUE"""),"PB3572")</f>
        <v>PB3572</v>
      </c>
      <c r="F36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6" s="30" t="str">
        <f ca="1">IFERROR(__xludf.DUMMYFUNCTION("""COMPUTED_VALUE"""),"SUBSECRETARÍA DE DESARROLLO Y PROMOCIÓN ARTÍSTICA Y CULTURAL")</f>
        <v>SUBSECRETARÍA DE DESARROLLO Y PROMOCIÓN ARTÍSTICA Y CULTURAL</v>
      </c>
      <c r="I366" s="34" t="str">
        <f ca="1">IFERROR(__xludf.DUMMYFUNCTION("""COMPUTED_VALUE"""),"DIRECCIÓN GENERAL DE MUSEOS, ARTES VISUALES Y EXPOSICIONES")</f>
        <v>DIRECCIÓN GENERAL DE MUSEOS, ARTES VISUALES Y EXPOSICIONES</v>
      </c>
      <c r="J366" s="30" t="str">
        <f ca="1">IFERROR(__xludf.DUMMYFUNCTION("""COMPUTED_VALUE"""),"Número de Actividades realizadas")</f>
        <v>Número de Actividades realizadas</v>
      </c>
      <c r="K366" s="30">
        <f ca="1">IFERROR(__xludf.DUMMYFUNCTION("""COMPUTED_VALUE"""),800)</f>
        <v>800</v>
      </c>
      <c r="L366" s="30" t="str">
        <f ca="1">IFERROR(__xludf.DUMMYFUNCTION("""COMPUTED_VALUE"""),"Artística")</f>
        <v>Artística</v>
      </c>
      <c r="M366" s="30" t="str">
        <f ca="1">IFERROR(__xludf.DUMMYFUNCTION("""COMPUTED_VALUE"""),"Capacitación Trastorno del Espectro Autista")</f>
        <v>Capacitación Trastorno del Espectro Autista</v>
      </c>
      <c r="N366" s="30" t="str">
        <f ca="1">IFERROR(__xludf.DUMMYFUNCTION("""COMPUTED_VALUE"""),"Charla de concientización en torno al autismo")</f>
        <v>Charla de concientización en torno al autismo</v>
      </c>
      <c r="O366" s="30" t="str">
        <f ca="1">IFERROR(__xludf.DUMMYFUNCTION("""COMPUTED_VALUE"""),"Única")</f>
        <v>Única</v>
      </c>
      <c r="P366" s="33">
        <f ca="1">IFERROR(__xludf.DUMMYFUNCTION("""COMPUTED_VALUE"""),46260)</f>
        <v>46260</v>
      </c>
      <c r="Q366" s="33">
        <f ca="1">IFERROR(__xludf.DUMMYFUNCTION("""COMPUTED_VALUE"""),46260)</f>
        <v>46260</v>
      </c>
      <c r="R366" s="30">
        <f ca="1">IFERROR(__xludf.DUMMYFUNCTION("""COMPUTED_VALUE"""),1)</f>
        <v>1</v>
      </c>
      <c r="S366" s="30" t="str">
        <f ca="1">IFERROR(__xludf.DUMMYFUNCTION("""COMPUTED_VALUE"""),"Cultura comunitaria")</f>
        <v>Cultura comunitaria</v>
      </c>
      <c r="T366" s="30" t="str">
        <f ca="1">IFERROR(__xludf.DUMMYFUNCTION("""COMPUTED_VALUE"""),"Formación comunitaria")</f>
        <v>Formación comunitaria</v>
      </c>
      <c r="U366" s="30" t="str">
        <f ca="1">IFERROR(__xludf.DUMMYFUNCTION("""COMPUTED_VALUE"""),"Conferencia")</f>
        <v>Conferencia</v>
      </c>
      <c r="V366" s="30" t="str">
        <f ca="1">IFERROR(__xludf.DUMMYFUNCTION("""COMPUTED_VALUE"""),"Ninguna")</f>
        <v>Ninguna</v>
      </c>
      <c r="W366" s="30" t="str">
        <f ca="1">IFERROR(__xludf.DUMMYFUNCTION("""COMPUTED_VALUE"""),"Presencial")</f>
        <v>Presencial</v>
      </c>
      <c r="X366" s="30" t="str">
        <f ca="1">IFERROR(__xludf.DUMMYFUNCTION("""COMPUTED_VALUE"""),"Espacio a Cargo de la Secretaría")</f>
        <v>Espacio a Cargo de la Secretaría</v>
      </c>
      <c r="Y366" s="30" t="str">
        <f ca="1">IFERROR(__xludf.DUMMYFUNCTION("""COMPUTED_VALUE"""),"Museo del Pueblo de Guanajuato")</f>
        <v>Museo del Pueblo de Guanajuato</v>
      </c>
      <c r="Z366" s="30"/>
      <c r="AA366" s="30"/>
      <c r="AB366" s="30" t="b">
        <f ca="1">IFERROR(__xludf.DUMMYFUNCTION("""COMPUTED_VALUE"""),FALSE)</f>
        <v>0</v>
      </c>
      <c r="AC366" s="30"/>
      <c r="AD366" s="30" t="b">
        <f ca="1">IFERROR(__xludf.DUMMYFUNCTION("""COMPUTED_VALUE"""),FALSE)</f>
        <v>0</v>
      </c>
      <c r="AE366" s="30"/>
      <c r="AF366" s="30" t="b">
        <f ca="1">IFERROR(__xludf.DUMMYFUNCTION("""COMPUTED_VALUE"""),FALSE)</f>
        <v>0</v>
      </c>
      <c r="AG366" s="30"/>
      <c r="AH366" s="30" t="str">
        <f ca="1">IFERROR(__xludf.DUMMYFUNCTION("""COMPUTED_VALUE"""),"Sin costo")</f>
        <v>Sin costo</v>
      </c>
      <c r="AI366" s="30"/>
      <c r="AJ366" s="30"/>
      <c r="AK366" s="30"/>
      <c r="AL366" s="30" t="str">
        <f ca="1">IFERROR(__xludf.DUMMYFUNCTION("""COMPUTED_VALUE"""),"ccardonav@guanajuato.gob.mx")</f>
        <v>ccardonav@guanajuato.gob.mx</v>
      </c>
      <c r="AM366" s="30" t="str">
        <f ca="1">IFERROR(__xludf.DUMMYFUNCTION("""COMPUTED_VALUE"""),"Arraigo y empoderamiento cultural de comunidades.")</f>
        <v>Arraigo y empoderamiento cultural de comunidades.</v>
      </c>
      <c r="AN366" s="30" t="str">
        <f ca="1">IFERROR(__xludf.DUMMYFUNCTION("""COMPUTED_VALUE"""),"1 Tranquilidad")</f>
        <v>1 Tranquilidad</v>
      </c>
      <c r="AO366" s="30" t="str">
        <f ca="1">IFERROR(__xludf.DUMMYFUNCTION("""COMPUTED_VALUE"""),"1.2 Fortalecer prevención del delito")</f>
        <v>1.2 Fortalecer prevención del delito</v>
      </c>
      <c r="AP366" s="30" t="str">
        <f ca="1">IFERROR(__xludf.DUMMYFUNCTION("""COMPUTED_VALUE"""),"1.2.2 Fortalecimiento del tejido social")</f>
        <v>1.2.2 Fortalecimiento del tejido social</v>
      </c>
      <c r="AQ366" s="30" t="str">
        <f ca="1">IFERROR(__xludf.DUMMYFUNCTION("""COMPUTED_VALUE"""),"1.2.3.4 Promover una cultura de paz desde las expresiones artísticas y culturales")</f>
        <v>1.2.3.4 Promover una cultura de paz desde las expresiones artísticas y culturales</v>
      </c>
      <c r="AR366" s="30" t="str">
        <f ca="1">IFERROR(__xludf.DUMMYFUNCTION("""COMPUTED_VALUE"""),"Cooperación")</f>
        <v>Cooperación</v>
      </c>
      <c r="AS366" s="30"/>
      <c r="AT366" s="30" t="str">
        <f ca="1">IFERROR(__xludf.DUMMYFUNCTION("""COMPUTED_VALUE"""),"Fortalecimiento de la participación ciudadana y la mediación cultural")</f>
        <v>Fortalecimiento de la participación ciudadana y la mediación cultural</v>
      </c>
      <c r="AU366" s="30" t="str">
        <f ca="1">IFERROR(__xludf.DUMMYFUNCTION("""COMPUTED_VALUE"""),"Impulso a la ampliación de la oferta cultural en los territorios.")</f>
        <v>Impulso a la ampliación de la oferta cultural en los territorios.</v>
      </c>
      <c r="AV36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6" s="30" t="str">
        <f ca="1">IFERROR(__xludf.DUMMYFUNCTION("""COMPUTED_VALUE"""),"Incrementar en 25% la oferta cultural realizada en los municipios.")</f>
        <v>Incrementar en 25% la oferta cultural realizada en los municipios.</v>
      </c>
      <c r="AX366" s="30" t="str">
        <f ca="1">IFERROR(__xludf.DUMMYFUNCTION("""COMPUTED_VALUE"""),"Conferencia")</f>
        <v>Conferencia</v>
      </c>
      <c r="AY366" s="30" t="str">
        <f ca="1">IFERROR(__xludf.DUMMYFUNCTION("""COMPUTED_VALUE"""),"Formación")</f>
        <v>Formación</v>
      </c>
      <c r="AZ366" s="30" t="str">
        <f ca="1">IFERROR(__xludf.DUMMYFUNCTION("""COMPUTED_VALUE"""),"Formación")</f>
        <v>Formación</v>
      </c>
      <c r="BA366" s="30"/>
      <c r="BB366" s="30"/>
      <c r="BC366" s="30">
        <f ca="1">IFERROR(__xludf.DUMMYFUNCTION("""COMPUTED_VALUE"""),0)</f>
        <v>0</v>
      </c>
      <c r="BD366" s="30"/>
      <c r="BE366" s="30"/>
      <c r="BF366" s="30" t="b">
        <f ca="1">IFERROR(__xludf.DUMMYFUNCTION("""COMPUTED_VALUE"""),FALSE)</f>
        <v>0</v>
      </c>
      <c r="BG366" s="30"/>
      <c r="BH366" s="30"/>
      <c r="BI366" s="30"/>
      <c r="BJ366" s="30"/>
      <c r="BK366" s="30"/>
      <c r="BL366" s="30"/>
      <c r="BM366" s="30" t="str">
        <f ca="1">IFERROR(__xludf.DUMMYFUNCTION("""COMPUTED_VALUE"""),"No")</f>
        <v>No</v>
      </c>
      <c r="BN366" s="30"/>
      <c r="BO366" s="30" t="str">
        <f ca="1">IFERROR(__xludf.DUMMYFUNCTION("""COMPUTED_VALUE"""),"9101655b")</f>
        <v>9101655b</v>
      </c>
      <c r="BP366" s="29" t="str">
        <f ca="1">IFERROR(__xludf.DUMMYFUNCTION("""COMPUTED_VALUE"""),"Guanajuato")</f>
        <v>Guanajuato</v>
      </c>
      <c r="BQ366" s="30" t="str">
        <f ca="1">IFERROR(__xludf.DUMMYFUNCTION("""COMPUTED_VALUE"""),"Urbano")</f>
        <v>Urbano</v>
      </c>
      <c r="BR366" s="30"/>
      <c r="BS366" s="30"/>
      <c r="BT366" s="30"/>
      <c r="BU366" s="30" t="str">
        <f ca="1">IFERROR(__xludf.DUMMYFUNCTION("""COMPUTED_VALUE"""),"No")</f>
        <v>No</v>
      </c>
      <c r="BV366" s="30" t="str">
        <f ca="1">IFERROR(__xludf.DUMMYFUNCTION("""COMPUTED_VALUE"""),"No")</f>
        <v>No</v>
      </c>
      <c r="BW366" s="30">
        <f ca="1">IFERROR(__xludf.DUMMYFUNCTION("""COMPUTED_VALUE"""),9)</f>
        <v>9</v>
      </c>
      <c r="BX366" s="30"/>
      <c r="BY366" s="30">
        <f ca="1">IFERROR(__xludf.DUMMYFUNCTION("""COMPUTED_VALUE"""),9)</f>
        <v>9</v>
      </c>
      <c r="BZ366" s="30"/>
      <c r="CA366" s="30" t="str">
        <f ca="1">IFERROR(__xludf.DUMMYFUNCTION("""COMPUTED_VALUE"""),"No")</f>
        <v>No</v>
      </c>
      <c r="CB366" s="30" t="str">
        <f ca="1">IFERROR(__xludf.DUMMYFUNCTION("""COMPUTED_VALUE"""),"No")</f>
        <v>No</v>
      </c>
      <c r="CC366" s="30" t="str">
        <f ca="1">IFERROR(__xludf.DUMMYFUNCTION("""COMPUTED_VALUE"""),"7c3fb3d4")</f>
        <v>7c3fb3d4</v>
      </c>
      <c r="CD366" s="29" t="str">
        <f ca="1">IFERROR(__xludf.DUMMYFUNCTION("""COMPUTED_VALUE"""),"Adultos (30 a 59 años)")</f>
        <v>Adultos (30 a 59 años)</v>
      </c>
      <c r="CE366" s="30" t="str">
        <f ca="1">IFERROR(__xludf.DUMMYFUNCTION("""COMPUTED_VALUE"""),"Dato global")</f>
        <v>Dato global</v>
      </c>
      <c r="CF366" s="30" t="str">
        <f ca="1">IFERROR(__xludf.DUMMYFUNCTION("""COMPUTED_VALUE"""),"Ninguno (Población General)")</f>
        <v>Ninguno (Población General)</v>
      </c>
      <c r="CG366" s="30">
        <f ca="1">IFERROR(__xludf.DUMMYFUNCTION("""COMPUTED_VALUE"""),40)</f>
        <v>40</v>
      </c>
      <c r="CJ366" s="29"/>
      <c r="CM366" s="30" t="str">
        <f ca="1">IFERROR(__xludf.DUMMYFUNCTION("""COMPUTED_VALUE"""),"Guanajuato")</f>
        <v>Guanajuato</v>
      </c>
      <c r="CN366" s="32" t="e">
        <f ca="1"/>
        <v>#NAME?</v>
      </c>
      <c r="CO366" s="32" t="e">
        <f ca="1"/>
        <v>#NAME?</v>
      </c>
      <c r="CP366" s="32" t="e">
        <f ca="1"/>
        <v>#NAME?</v>
      </c>
      <c r="CQ366" s="32" t="e">
        <f ca="1"/>
        <v>#NAME?</v>
      </c>
      <c r="CR366" s="30" t="e">
        <f ca="1"/>
        <v>#NAME?</v>
      </c>
      <c r="CS366" s="30" t="str">
        <f ca="1">IFERROR(__xludf.DUMMYFUNCTION("""COMPUTED_VALUE"""),"Ninguno (Población General)")</f>
        <v>Ninguno (Población General)</v>
      </c>
    </row>
    <row r="367" spans="1:97" ht="13">
      <c r="A367" s="29" t="str">
        <f ca="1">IFERROR(__xludf.DUMMYFUNCTION("""COMPUTED_VALUE"""),"ACT-SCZY03455")</f>
        <v>ACT-SCZY03455</v>
      </c>
      <c r="B367" s="30" t="str">
        <f ca="1">IFERROR(__xludf.DUMMYFUNCTION("""COMPUTED_VALUE"""),"SC-260911-100534")</f>
        <v>SC-260911-100534</v>
      </c>
      <c r="C367" s="62">
        <f ca="1">IFERROR(__xludf.DUMMYFUNCTION("""COMPUTED_VALUE"""),46276.4205324074)</f>
        <v>46276.420532407399</v>
      </c>
      <c r="D367" s="30">
        <f ca="1">IFERROR(__xludf.DUMMYFUNCTION("""COMPUTED_VALUE"""),92)</f>
        <v>92</v>
      </c>
      <c r="E367" s="30" t="str">
        <f ca="1">IFERROR(__xludf.DUMMYFUNCTION("""COMPUTED_VALUE"""),"PB3572")</f>
        <v>PB3572</v>
      </c>
      <c r="F36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7" s="30" t="str">
        <f ca="1">IFERROR(__xludf.DUMMYFUNCTION("""COMPUTED_VALUE"""),"SUBSECRETARÍA DE DESARROLLO Y PROMOCIÓN ARTÍSTICA Y CULTURAL")</f>
        <v>SUBSECRETARÍA DE DESARROLLO Y PROMOCIÓN ARTÍSTICA Y CULTURAL</v>
      </c>
      <c r="I367" s="34" t="str">
        <f ca="1">IFERROR(__xludf.DUMMYFUNCTION("""COMPUTED_VALUE"""),"DIRECCIÓN GENERAL DE MUSEOS, ARTES VISUALES Y EXPOSICIONES")</f>
        <v>DIRECCIÓN GENERAL DE MUSEOS, ARTES VISUALES Y EXPOSICIONES</v>
      </c>
      <c r="J367" s="30" t="str">
        <f ca="1">IFERROR(__xludf.DUMMYFUNCTION("""COMPUTED_VALUE"""),"Número de Actividades realizadas")</f>
        <v>Número de Actividades realizadas</v>
      </c>
      <c r="K367" s="30">
        <f ca="1">IFERROR(__xludf.DUMMYFUNCTION("""COMPUTED_VALUE"""),800)</f>
        <v>800</v>
      </c>
      <c r="L367" s="30" t="str">
        <f ca="1">IFERROR(__xludf.DUMMYFUNCTION("""COMPUTED_VALUE"""),"Artística")</f>
        <v>Artística</v>
      </c>
      <c r="M367" s="30" t="str">
        <f ca="1">IFERROR(__xludf.DUMMYFUNCTION("""COMPUTED_VALUE"""),"Capacitación Trastorno del Espectro Autista")</f>
        <v>Capacitación Trastorno del Espectro Autista</v>
      </c>
      <c r="N367" s="30" t="str">
        <f ca="1">IFERROR(__xludf.DUMMYFUNCTION("""COMPUTED_VALUE"""),"Charla de concientización en torno al autismo")</f>
        <v>Charla de concientización en torno al autismo</v>
      </c>
      <c r="O367" s="30" t="str">
        <f ca="1">IFERROR(__xludf.DUMMYFUNCTION("""COMPUTED_VALUE"""),"Única")</f>
        <v>Única</v>
      </c>
      <c r="P367" s="33">
        <f ca="1">IFERROR(__xludf.DUMMYFUNCTION("""COMPUTED_VALUE"""),46253)</f>
        <v>46253</v>
      </c>
      <c r="Q367" s="33">
        <f ca="1">IFERROR(__xludf.DUMMYFUNCTION("""COMPUTED_VALUE"""),46253)</f>
        <v>46253</v>
      </c>
      <c r="R367" s="30">
        <f ca="1">IFERROR(__xludf.DUMMYFUNCTION("""COMPUTED_VALUE"""),1)</f>
        <v>1</v>
      </c>
      <c r="S367" s="30" t="str">
        <f ca="1">IFERROR(__xludf.DUMMYFUNCTION("""COMPUTED_VALUE"""),"Cultura comunitaria")</f>
        <v>Cultura comunitaria</v>
      </c>
      <c r="T367" s="30" t="str">
        <f ca="1">IFERROR(__xludf.DUMMYFUNCTION("""COMPUTED_VALUE"""),"Formación comunitaria")</f>
        <v>Formación comunitaria</v>
      </c>
      <c r="U367" s="30" t="str">
        <f ca="1">IFERROR(__xludf.DUMMYFUNCTION("""COMPUTED_VALUE"""),"Conferencia")</f>
        <v>Conferencia</v>
      </c>
      <c r="V367" s="30" t="str">
        <f ca="1">IFERROR(__xludf.DUMMYFUNCTION("""COMPUTED_VALUE"""),"Ninguna")</f>
        <v>Ninguna</v>
      </c>
      <c r="W367" s="30" t="str">
        <f ca="1">IFERROR(__xludf.DUMMYFUNCTION("""COMPUTED_VALUE"""),"Presencial")</f>
        <v>Presencial</v>
      </c>
      <c r="X367" s="30" t="str">
        <f ca="1">IFERROR(__xludf.DUMMYFUNCTION("""COMPUTED_VALUE"""),"Espacio a Cargo de la Secretaría")</f>
        <v>Espacio a Cargo de la Secretaría</v>
      </c>
      <c r="Y367" s="30" t="str">
        <f ca="1">IFERROR(__xludf.DUMMYFUNCTION("""COMPUTED_VALUE"""),"Museo Conde Rul")</f>
        <v>Museo Conde Rul</v>
      </c>
      <c r="Z367" s="30"/>
      <c r="AA367" s="30"/>
      <c r="AB367" s="30" t="b">
        <f ca="1">IFERROR(__xludf.DUMMYFUNCTION("""COMPUTED_VALUE"""),FALSE)</f>
        <v>0</v>
      </c>
      <c r="AC367" s="30"/>
      <c r="AD367" s="30" t="b">
        <f ca="1">IFERROR(__xludf.DUMMYFUNCTION("""COMPUTED_VALUE"""),FALSE)</f>
        <v>0</v>
      </c>
      <c r="AE367" s="30"/>
      <c r="AF367" s="30" t="b">
        <f ca="1">IFERROR(__xludf.DUMMYFUNCTION("""COMPUTED_VALUE"""),FALSE)</f>
        <v>0</v>
      </c>
      <c r="AG367" s="30"/>
      <c r="AH367" s="30" t="str">
        <f ca="1">IFERROR(__xludf.DUMMYFUNCTION("""COMPUTED_VALUE"""),"Sin costo")</f>
        <v>Sin costo</v>
      </c>
      <c r="AI367" s="30"/>
      <c r="AJ367" s="30"/>
      <c r="AK367" s="30"/>
      <c r="AL367" s="30" t="str">
        <f ca="1">IFERROR(__xludf.DUMMYFUNCTION("""COMPUTED_VALUE"""),"ccardonav@guanajuato.gob.mx")</f>
        <v>ccardonav@guanajuato.gob.mx</v>
      </c>
      <c r="AM367" s="30" t="str">
        <f ca="1">IFERROR(__xludf.DUMMYFUNCTION("""COMPUTED_VALUE"""),"Arraigo y empoderamiento cultural de comunidades.")</f>
        <v>Arraigo y empoderamiento cultural de comunidades.</v>
      </c>
      <c r="AN367" s="30" t="str">
        <f ca="1">IFERROR(__xludf.DUMMYFUNCTION("""COMPUTED_VALUE"""),"1 Tranquilidad")</f>
        <v>1 Tranquilidad</v>
      </c>
      <c r="AO367" s="30" t="str">
        <f ca="1">IFERROR(__xludf.DUMMYFUNCTION("""COMPUTED_VALUE"""),"1.2 Fortalecer prevención del delito")</f>
        <v>1.2 Fortalecer prevención del delito</v>
      </c>
      <c r="AP367" s="30" t="str">
        <f ca="1">IFERROR(__xludf.DUMMYFUNCTION("""COMPUTED_VALUE"""),"1.2.2 Fortalecimiento del tejido social")</f>
        <v>1.2.2 Fortalecimiento del tejido social</v>
      </c>
      <c r="AQ367" s="30" t="str">
        <f ca="1">IFERROR(__xludf.DUMMYFUNCTION("""COMPUTED_VALUE"""),"1.2.3.4 Promover una cultura de paz desde las expresiones artísticas y culturales")</f>
        <v>1.2.3.4 Promover una cultura de paz desde las expresiones artísticas y culturales</v>
      </c>
      <c r="AR367" s="30" t="str">
        <f ca="1">IFERROR(__xludf.DUMMYFUNCTION("""COMPUTED_VALUE"""),"Cooperación")</f>
        <v>Cooperación</v>
      </c>
      <c r="AS367" s="30"/>
      <c r="AT367" s="30" t="str">
        <f ca="1">IFERROR(__xludf.DUMMYFUNCTION("""COMPUTED_VALUE"""),"Fortalecimiento de la participación ciudadana y la mediación cultural")</f>
        <v>Fortalecimiento de la participación ciudadana y la mediación cultural</v>
      </c>
      <c r="AU367" s="30" t="str">
        <f ca="1">IFERROR(__xludf.DUMMYFUNCTION("""COMPUTED_VALUE"""),"Impulso a la ampliación de la oferta cultural en los territorios.")</f>
        <v>Impulso a la ampliación de la oferta cultural en los territorios.</v>
      </c>
      <c r="AV36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7" s="30" t="str">
        <f ca="1">IFERROR(__xludf.DUMMYFUNCTION("""COMPUTED_VALUE"""),"Incrementar en 25% la oferta cultural realizada en los municipios.")</f>
        <v>Incrementar en 25% la oferta cultural realizada en los municipios.</v>
      </c>
      <c r="AX367" s="30" t="str">
        <f ca="1">IFERROR(__xludf.DUMMYFUNCTION("""COMPUTED_VALUE"""),"Conferencia")</f>
        <v>Conferencia</v>
      </c>
      <c r="AY367" s="30" t="str">
        <f ca="1">IFERROR(__xludf.DUMMYFUNCTION("""COMPUTED_VALUE"""),"Formación")</f>
        <v>Formación</v>
      </c>
      <c r="AZ367" s="30" t="str">
        <f ca="1">IFERROR(__xludf.DUMMYFUNCTION("""COMPUTED_VALUE"""),"Formación")</f>
        <v>Formación</v>
      </c>
      <c r="BA367" s="30"/>
      <c r="BB367" s="30"/>
      <c r="BC367" s="30">
        <f ca="1">IFERROR(__xludf.DUMMYFUNCTION("""COMPUTED_VALUE"""),0)</f>
        <v>0</v>
      </c>
      <c r="BD367" s="30"/>
      <c r="BE367" s="30"/>
      <c r="BF367" s="30" t="b">
        <f ca="1">IFERROR(__xludf.DUMMYFUNCTION("""COMPUTED_VALUE"""),FALSE)</f>
        <v>0</v>
      </c>
      <c r="BG367" s="30"/>
      <c r="BH367" s="30"/>
      <c r="BI367" s="30"/>
      <c r="BJ367" s="30"/>
      <c r="BK367" s="30"/>
      <c r="BL367" s="30"/>
      <c r="BM367" s="30" t="str">
        <f ca="1">IFERROR(__xludf.DUMMYFUNCTION("""COMPUTED_VALUE"""),"No")</f>
        <v>No</v>
      </c>
      <c r="BN367" s="30"/>
      <c r="BO367" s="30" t="str">
        <f ca="1">IFERROR(__xludf.DUMMYFUNCTION("""COMPUTED_VALUE"""),"fbacc731")</f>
        <v>fbacc731</v>
      </c>
      <c r="BP367" s="29" t="str">
        <f ca="1">IFERROR(__xludf.DUMMYFUNCTION("""COMPUTED_VALUE"""),"Guanajuato")</f>
        <v>Guanajuato</v>
      </c>
      <c r="BQ367" s="30" t="str">
        <f ca="1">IFERROR(__xludf.DUMMYFUNCTION("""COMPUTED_VALUE"""),"Urbano")</f>
        <v>Urbano</v>
      </c>
      <c r="BR367" s="30"/>
      <c r="BS367" s="30"/>
      <c r="BT367" s="30"/>
      <c r="BU367" s="30" t="str">
        <f ca="1">IFERROR(__xludf.DUMMYFUNCTION("""COMPUTED_VALUE"""),"No")</f>
        <v>No</v>
      </c>
      <c r="BV367" s="30" t="str">
        <f ca="1">IFERROR(__xludf.DUMMYFUNCTION("""COMPUTED_VALUE"""),"No")</f>
        <v>No</v>
      </c>
      <c r="BW367" s="30">
        <f ca="1">IFERROR(__xludf.DUMMYFUNCTION("""COMPUTED_VALUE"""),3)</f>
        <v>3</v>
      </c>
      <c r="BX367" s="30"/>
      <c r="BY367" s="30">
        <f ca="1">IFERROR(__xludf.DUMMYFUNCTION("""COMPUTED_VALUE"""),3)</f>
        <v>3</v>
      </c>
      <c r="BZ367" s="30"/>
      <c r="CA367" s="30" t="str">
        <f ca="1">IFERROR(__xludf.DUMMYFUNCTION("""COMPUTED_VALUE"""),"No")</f>
        <v>No</v>
      </c>
      <c r="CB367" s="30" t="str">
        <f ca="1">IFERROR(__xludf.DUMMYFUNCTION("""COMPUTED_VALUE"""),"No")</f>
        <v>No</v>
      </c>
      <c r="CC367" s="30" t="str">
        <f ca="1">IFERROR(__xludf.DUMMYFUNCTION("""COMPUTED_VALUE"""),"9c68c53a")</f>
        <v>9c68c53a</v>
      </c>
      <c r="CD367" s="29" t="str">
        <f ca="1">IFERROR(__xludf.DUMMYFUNCTION("""COMPUTED_VALUE"""),"Adultos (30 a 59 años)")</f>
        <v>Adultos (30 a 59 años)</v>
      </c>
      <c r="CE367" s="30" t="str">
        <f ca="1">IFERROR(__xludf.DUMMYFUNCTION("""COMPUTED_VALUE"""),"Dato global")</f>
        <v>Dato global</v>
      </c>
      <c r="CF367" s="30" t="str">
        <f ca="1">IFERROR(__xludf.DUMMYFUNCTION("""COMPUTED_VALUE"""),"Ninguno (Población General)")</f>
        <v>Ninguno (Población General)</v>
      </c>
      <c r="CG367" s="30">
        <f ca="1">IFERROR(__xludf.DUMMYFUNCTION("""COMPUTED_VALUE"""),220)</f>
        <v>220</v>
      </c>
      <c r="CJ367" s="29"/>
      <c r="CM367" s="30" t="str">
        <f ca="1">IFERROR(__xludf.DUMMYFUNCTION("""COMPUTED_VALUE"""),"Guanajuato")</f>
        <v>Guanajuato</v>
      </c>
      <c r="CN367" s="32" t="e">
        <f ca="1"/>
        <v>#NAME?</v>
      </c>
      <c r="CO367" s="32" t="e">
        <f ca="1"/>
        <v>#NAME?</v>
      </c>
      <c r="CP367" s="32" t="e">
        <f ca="1"/>
        <v>#NAME?</v>
      </c>
      <c r="CQ367" s="32" t="e">
        <f ca="1"/>
        <v>#NAME?</v>
      </c>
      <c r="CR367" s="30" t="e">
        <f ca="1"/>
        <v>#NAME?</v>
      </c>
      <c r="CS367" s="30" t="str">
        <f ca="1">IFERROR(__xludf.DUMMYFUNCTION("""COMPUTED_VALUE"""),"Ninguno (Población General)")</f>
        <v>Ninguno (Población General)</v>
      </c>
    </row>
    <row r="368" spans="1:97" ht="13">
      <c r="A368" s="29" t="str">
        <f ca="1">IFERROR(__xludf.DUMMYFUNCTION("""COMPUTED_VALUE"""),"ACT-SCKA20778")</f>
        <v>ACT-SCKA20778</v>
      </c>
      <c r="B368" s="30" t="str">
        <f ca="1">IFERROR(__xludf.DUMMYFUNCTION("""COMPUTED_VALUE"""),"SC-260911-104136")</f>
        <v>SC-260911-104136</v>
      </c>
      <c r="C368" s="62">
        <f ca="1">IFERROR(__xludf.DUMMYFUNCTION("""COMPUTED_VALUE"""),46276.4455555555)</f>
        <v>46276.445555555503</v>
      </c>
      <c r="D368" s="30">
        <f ca="1">IFERROR(__xludf.DUMMYFUNCTION("""COMPUTED_VALUE"""),92)</f>
        <v>92</v>
      </c>
      <c r="E368" s="30" t="str">
        <f ca="1">IFERROR(__xludf.DUMMYFUNCTION("""COMPUTED_VALUE"""),"PB3572")</f>
        <v>PB3572</v>
      </c>
      <c r="F36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8" s="30" t="str">
        <f ca="1">IFERROR(__xludf.DUMMYFUNCTION("""COMPUTED_VALUE"""),"SUBSECRETARÍA DE DESARROLLO Y PROMOCIÓN ARTÍSTICA Y CULTURAL")</f>
        <v>SUBSECRETARÍA DE DESARROLLO Y PROMOCIÓN ARTÍSTICA Y CULTURAL</v>
      </c>
      <c r="I368" s="34" t="str">
        <f ca="1">IFERROR(__xludf.DUMMYFUNCTION("""COMPUTED_VALUE"""),"DIRECCIÓN GENERAL DE MUSEOS, ARTES VISUALES Y EXPOSICIONES")</f>
        <v>DIRECCIÓN GENERAL DE MUSEOS, ARTES VISUALES Y EXPOSICIONES</v>
      </c>
      <c r="J368" s="30" t="str">
        <f ca="1">IFERROR(__xludf.DUMMYFUNCTION("""COMPUTED_VALUE"""),"Número de Actividades realizadas")</f>
        <v>Número de Actividades realizadas</v>
      </c>
      <c r="K368" s="30">
        <f ca="1">IFERROR(__xludf.DUMMYFUNCTION("""COMPUTED_VALUE"""),800)</f>
        <v>800</v>
      </c>
      <c r="L368" s="30" t="str">
        <f ca="1">IFERROR(__xludf.DUMMYFUNCTION("""COMPUTED_VALUE"""),"Artística")</f>
        <v>Artística</v>
      </c>
      <c r="M368" s="30" t="str">
        <f ca="1">IFERROR(__xludf.DUMMYFUNCTION("""COMPUTED_VALUE"""),"Conversatorio Moda hoy")</f>
        <v>Conversatorio Moda hoy</v>
      </c>
      <c r="N368" s="30" t="str">
        <f ca="1">IFERROR(__xludf.DUMMYFUNCTION("""COMPUTED_VALUE"""),"Charla con los curadores en torno a la exposición")</f>
        <v>Charla con los curadores en torno a la exposición</v>
      </c>
      <c r="O368" s="30" t="str">
        <f ca="1">IFERROR(__xludf.DUMMYFUNCTION("""COMPUTED_VALUE"""),"Única")</f>
        <v>Única</v>
      </c>
      <c r="P368" s="33">
        <f ca="1">IFERROR(__xludf.DUMMYFUNCTION("""COMPUTED_VALUE"""),46254)</f>
        <v>46254</v>
      </c>
      <c r="Q368" s="33">
        <f ca="1">IFERROR(__xludf.DUMMYFUNCTION("""COMPUTED_VALUE"""),46254)</f>
        <v>46254</v>
      </c>
      <c r="R368" s="30">
        <f ca="1">IFERROR(__xludf.DUMMYFUNCTION("""COMPUTED_VALUE"""),1)</f>
        <v>1</v>
      </c>
      <c r="S368" s="30" t="str">
        <f ca="1">IFERROR(__xludf.DUMMYFUNCTION("""COMPUTED_VALUE"""),"Cultura comunitaria")</f>
        <v>Cultura comunitaria</v>
      </c>
      <c r="T368" s="30" t="str">
        <f ca="1">IFERROR(__xludf.DUMMYFUNCTION("""COMPUTED_VALUE"""),"Formación comunitaria")</f>
        <v>Formación comunitaria</v>
      </c>
      <c r="U368" s="30" t="str">
        <f ca="1">IFERROR(__xludf.DUMMYFUNCTION("""COMPUTED_VALUE"""),"Conversatorio")</f>
        <v>Conversatorio</v>
      </c>
      <c r="V368" s="30" t="str">
        <f ca="1">IFERROR(__xludf.DUMMYFUNCTION("""COMPUTED_VALUE"""),"Ninguna")</f>
        <v>Ninguna</v>
      </c>
      <c r="W368" s="30" t="str">
        <f ca="1">IFERROR(__xludf.DUMMYFUNCTION("""COMPUTED_VALUE"""),"Presencial")</f>
        <v>Presencial</v>
      </c>
      <c r="X368" s="30" t="str">
        <f ca="1">IFERROR(__xludf.DUMMYFUNCTION("""COMPUTED_VALUE"""),"Espacio a Cargo de la Secretaría")</f>
        <v>Espacio a Cargo de la Secretaría</v>
      </c>
      <c r="Y368" s="30" t="str">
        <f ca="1">IFERROR(__xludf.DUMMYFUNCTION("""COMPUTED_VALUE"""),"Museo del Pueblo de Guanajuato")</f>
        <v>Museo del Pueblo de Guanajuato</v>
      </c>
      <c r="Z368" s="30"/>
      <c r="AA368" s="30"/>
      <c r="AB368" s="30" t="b">
        <f ca="1">IFERROR(__xludf.DUMMYFUNCTION("""COMPUTED_VALUE"""),FALSE)</f>
        <v>0</v>
      </c>
      <c r="AC368" s="30"/>
      <c r="AD368" s="30" t="b">
        <f ca="1">IFERROR(__xludf.DUMMYFUNCTION("""COMPUTED_VALUE"""),FALSE)</f>
        <v>0</v>
      </c>
      <c r="AE368" s="30"/>
      <c r="AF368" s="30" t="b">
        <f ca="1">IFERROR(__xludf.DUMMYFUNCTION("""COMPUTED_VALUE"""),FALSE)</f>
        <v>0</v>
      </c>
      <c r="AG368" s="30"/>
      <c r="AH368" s="30" t="str">
        <f ca="1">IFERROR(__xludf.DUMMYFUNCTION("""COMPUTED_VALUE"""),"Sin costo")</f>
        <v>Sin costo</v>
      </c>
      <c r="AI368" s="30"/>
      <c r="AJ368" s="30"/>
      <c r="AK368" s="30"/>
      <c r="AL368" s="30" t="str">
        <f ca="1">IFERROR(__xludf.DUMMYFUNCTION("""COMPUTED_VALUE"""),"ccardonav@guanajuato.gob.mx")</f>
        <v>ccardonav@guanajuato.gob.mx</v>
      </c>
      <c r="AM368" s="30" t="str">
        <f ca="1">IFERROR(__xludf.DUMMYFUNCTION("""COMPUTED_VALUE"""),"Arraigo y empoderamiento cultural de comunidades.")</f>
        <v>Arraigo y empoderamiento cultural de comunidades.</v>
      </c>
      <c r="AN368" s="30" t="str">
        <f ca="1">IFERROR(__xludf.DUMMYFUNCTION("""COMPUTED_VALUE"""),"1 Tranquilidad")</f>
        <v>1 Tranquilidad</v>
      </c>
      <c r="AO368" s="30" t="str">
        <f ca="1">IFERROR(__xludf.DUMMYFUNCTION("""COMPUTED_VALUE"""),"1.2 Fortalecer prevención del delito")</f>
        <v>1.2 Fortalecer prevención del delito</v>
      </c>
      <c r="AP368" s="30" t="str">
        <f ca="1">IFERROR(__xludf.DUMMYFUNCTION("""COMPUTED_VALUE"""),"1.2.2 Fortalecimiento del tejido social")</f>
        <v>1.2.2 Fortalecimiento del tejido social</v>
      </c>
      <c r="AQ368" s="30" t="str">
        <f ca="1">IFERROR(__xludf.DUMMYFUNCTION("""COMPUTED_VALUE"""),"1.2.3.4 Promover una cultura de paz desde las expresiones artísticas y culturales")</f>
        <v>1.2.3.4 Promover una cultura de paz desde las expresiones artísticas y culturales</v>
      </c>
      <c r="AR368" s="30" t="str">
        <f ca="1">IFERROR(__xludf.DUMMYFUNCTION("""COMPUTED_VALUE"""),"Cooperación")</f>
        <v>Cooperación</v>
      </c>
      <c r="AS368" s="30"/>
      <c r="AT368" s="30" t="str">
        <f ca="1">IFERROR(__xludf.DUMMYFUNCTION("""COMPUTED_VALUE"""),"Fortalecimiento de la participación ciudadana y la mediación cultural")</f>
        <v>Fortalecimiento de la participación ciudadana y la mediación cultural</v>
      </c>
      <c r="AU368" s="30" t="str">
        <f ca="1">IFERROR(__xludf.DUMMYFUNCTION("""COMPUTED_VALUE"""),"Impulso a la ampliación de la oferta cultural en los territorios.")</f>
        <v>Impulso a la ampliación de la oferta cultural en los territorios.</v>
      </c>
      <c r="AV36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8" s="30" t="str">
        <f ca="1">IFERROR(__xludf.DUMMYFUNCTION("""COMPUTED_VALUE"""),"Incrementar en 25% la oferta cultural realizada en los municipios.")</f>
        <v>Incrementar en 25% la oferta cultural realizada en los municipios.</v>
      </c>
      <c r="AX368" s="30" t="str">
        <f ca="1">IFERROR(__xludf.DUMMYFUNCTION("""COMPUTED_VALUE"""),"Conversatorio")</f>
        <v>Conversatorio</v>
      </c>
      <c r="AY368" s="30" t="str">
        <f ca="1">IFERROR(__xludf.DUMMYFUNCTION("""COMPUTED_VALUE"""),"Formación")</f>
        <v>Formación</v>
      </c>
      <c r="AZ368" s="30" t="str">
        <f ca="1">IFERROR(__xludf.DUMMYFUNCTION("""COMPUTED_VALUE"""),"Formación")</f>
        <v>Formación</v>
      </c>
      <c r="BA368" s="30"/>
      <c r="BB368" s="30"/>
      <c r="BC368" s="30">
        <f ca="1">IFERROR(__xludf.DUMMYFUNCTION("""COMPUTED_VALUE"""),0)</f>
        <v>0</v>
      </c>
      <c r="BD368" s="30"/>
      <c r="BE368" s="30"/>
      <c r="BF368" s="30" t="b">
        <f ca="1">IFERROR(__xludf.DUMMYFUNCTION("""COMPUTED_VALUE"""),FALSE)</f>
        <v>0</v>
      </c>
      <c r="BG368" s="30"/>
      <c r="BH368" s="30"/>
      <c r="BI368" s="30"/>
      <c r="BJ368" s="30"/>
      <c r="BK368" s="30"/>
      <c r="BL368" s="30"/>
      <c r="BM368" s="30" t="str">
        <f ca="1">IFERROR(__xludf.DUMMYFUNCTION("""COMPUTED_VALUE"""),"No")</f>
        <v>No</v>
      </c>
      <c r="BN368" s="30"/>
      <c r="BO368" s="30" t="str">
        <f ca="1">IFERROR(__xludf.DUMMYFUNCTION("""COMPUTED_VALUE"""),"b46e8ce7")</f>
        <v>b46e8ce7</v>
      </c>
      <c r="BP368" s="29" t="str">
        <f ca="1">IFERROR(__xludf.DUMMYFUNCTION("""COMPUTED_VALUE"""),"Guanajuato")</f>
        <v>Guanajuato</v>
      </c>
      <c r="BQ368" s="30" t="str">
        <f ca="1">IFERROR(__xludf.DUMMYFUNCTION("""COMPUTED_VALUE"""),"Urbano")</f>
        <v>Urbano</v>
      </c>
      <c r="BR368" s="30"/>
      <c r="BS368" s="30"/>
      <c r="BT368" s="30"/>
      <c r="BU368" s="30" t="str">
        <f ca="1">IFERROR(__xludf.DUMMYFUNCTION("""COMPUTED_VALUE"""),"No")</f>
        <v>No</v>
      </c>
      <c r="BV368" s="30" t="str">
        <f ca="1">IFERROR(__xludf.DUMMYFUNCTION("""COMPUTED_VALUE"""),"No")</f>
        <v>No</v>
      </c>
      <c r="BW368" s="30">
        <f ca="1">IFERROR(__xludf.DUMMYFUNCTION("""COMPUTED_VALUE"""),3)</f>
        <v>3</v>
      </c>
      <c r="BX368" s="30"/>
      <c r="BY368" s="30">
        <f ca="1">IFERROR(__xludf.DUMMYFUNCTION("""COMPUTED_VALUE"""),3)</f>
        <v>3</v>
      </c>
      <c r="BZ368" s="30"/>
      <c r="CA368" s="30" t="str">
        <f ca="1">IFERROR(__xludf.DUMMYFUNCTION("""COMPUTED_VALUE"""),"No")</f>
        <v>No</v>
      </c>
      <c r="CB368" s="30" t="str">
        <f ca="1">IFERROR(__xludf.DUMMYFUNCTION("""COMPUTED_VALUE"""),"No")</f>
        <v>No</v>
      </c>
      <c r="CC368" s="30" t="str">
        <f ca="1">IFERROR(__xludf.DUMMYFUNCTION("""COMPUTED_VALUE"""),"6564e5ea")</f>
        <v>6564e5ea</v>
      </c>
      <c r="CD368" s="29" t="str">
        <f ca="1">IFERROR(__xludf.DUMMYFUNCTION("""COMPUTED_VALUE"""),"Adultos (30 a 59 años)")</f>
        <v>Adultos (30 a 59 años)</v>
      </c>
      <c r="CE368" s="30" t="str">
        <f ca="1">IFERROR(__xludf.DUMMYFUNCTION("""COMPUTED_VALUE"""),"Dato global")</f>
        <v>Dato global</v>
      </c>
      <c r="CF368" s="30" t="str">
        <f ca="1">IFERROR(__xludf.DUMMYFUNCTION("""COMPUTED_VALUE"""),"Ninguno (Población General)")</f>
        <v>Ninguno (Población General)</v>
      </c>
      <c r="CG368" s="30">
        <f ca="1">IFERROR(__xludf.DUMMYFUNCTION("""COMPUTED_VALUE"""),130)</f>
        <v>130</v>
      </c>
      <c r="CJ368" s="29"/>
      <c r="CM368" s="30" t="str">
        <f ca="1">IFERROR(__xludf.DUMMYFUNCTION("""COMPUTED_VALUE"""),"Guanajuato")</f>
        <v>Guanajuato</v>
      </c>
      <c r="CN368" s="32" t="e">
        <f ca="1"/>
        <v>#NAME?</v>
      </c>
      <c r="CO368" s="32" t="e">
        <f ca="1"/>
        <v>#NAME?</v>
      </c>
      <c r="CP368" s="32" t="e">
        <f ca="1"/>
        <v>#NAME?</v>
      </c>
      <c r="CQ368" s="32" t="e">
        <f ca="1"/>
        <v>#NAME?</v>
      </c>
      <c r="CR368" s="30" t="e">
        <f ca="1"/>
        <v>#NAME?</v>
      </c>
      <c r="CS368" s="30" t="str">
        <f ca="1">IFERROR(__xludf.DUMMYFUNCTION("""COMPUTED_VALUE"""),"Ninguno (Población General)")</f>
        <v>Ninguno (Población General)</v>
      </c>
    </row>
    <row r="369" spans="1:97" ht="13">
      <c r="A369" s="29" t="str">
        <f ca="1">IFERROR(__xludf.DUMMYFUNCTION("""COMPUTED_VALUE"""),"ACT-SCEG52588")</f>
        <v>ACT-SCEG52588</v>
      </c>
      <c r="B369" s="30" t="str">
        <f ca="1">IFERROR(__xludf.DUMMYFUNCTION("""COMPUTED_VALUE"""),"SC-260911-111858")</f>
        <v>SC-260911-111858</v>
      </c>
      <c r="C369" s="62">
        <f ca="1">IFERROR(__xludf.DUMMYFUNCTION("""COMPUTED_VALUE"""),46276.4715046296)</f>
        <v>46276.471504629597</v>
      </c>
      <c r="D369" s="30">
        <f ca="1">IFERROR(__xludf.DUMMYFUNCTION("""COMPUTED_VALUE"""),92)</f>
        <v>92</v>
      </c>
      <c r="E369" s="30" t="str">
        <f ca="1">IFERROR(__xludf.DUMMYFUNCTION("""COMPUTED_VALUE"""),"PB3572")</f>
        <v>PB3572</v>
      </c>
      <c r="F36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6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69" s="30" t="str">
        <f ca="1">IFERROR(__xludf.DUMMYFUNCTION("""COMPUTED_VALUE"""),"SUBSECRETARÍA DE DESARROLLO Y PROMOCIÓN ARTÍSTICA Y CULTURAL")</f>
        <v>SUBSECRETARÍA DE DESARROLLO Y PROMOCIÓN ARTÍSTICA Y CULTURAL</v>
      </c>
      <c r="I369" s="34" t="str">
        <f ca="1">IFERROR(__xludf.DUMMYFUNCTION("""COMPUTED_VALUE"""),"DIRECCIÓN GENERAL DE MUSEOS, ARTES VISUALES Y EXPOSICIONES")</f>
        <v>DIRECCIÓN GENERAL DE MUSEOS, ARTES VISUALES Y EXPOSICIONES</v>
      </c>
      <c r="J369" s="30" t="str">
        <f ca="1">IFERROR(__xludf.DUMMYFUNCTION("""COMPUTED_VALUE"""),"Número de Actividades realizadas")</f>
        <v>Número de Actividades realizadas</v>
      </c>
      <c r="K369" s="30">
        <f ca="1">IFERROR(__xludf.DUMMYFUNCTION("""COMPUTED_VALUE"""),800)</f>
        <v>800</v>
      </c>
      <c r="L369" s="30" t="str">
        <f ca="1">IFERROR(__xludf.DUMMYFUNCTION("""COMPUTED_VALUE"""),"Artística")</f>
        <v>Artística</v>
      </c>
      <c r="M369" s="30" t="str">
        <f ca="1">IFERROR(__xludf.DUMMYFUNCTION("""COMPUTED_VALUE"""),"Visita guiada: Eterno Femenino.")</f>
        <v>Visita guiada: Eterno Femenino.</v>
      </c>
      <c r="N369" s="30" t="str">
        <f ca="1">IFERROR(__xludf.DUMMYFUNCTION("""COMPUTED_VALUE"""),"Recorrido guiado por el museo")</f>
        <v>Recorrido guiado por el museo</v>
      </c>
      <c r="O369" s="30" t="str">
        <f ca="1">IFERROR(__xludf.DUMMYFUNCTION("""COMPUTED_VALUE"""),"Única")</f>
        <v>Única</v>
      </c>
      <c r="P369" s="33">
        <f ca="1">IFERROR(__xludf.DUMMYFUNCTION("""COMPUTED_VALUE"""),46259)</f>
        <v>46259</v>
      </c>
      <c r="Q369" s="33">
        <f ca="1">IFERROR(__xludf.DUMMYFUNCTION("""COMPUTED_VALUE"""),46259)</f>
        <v>46259</v>
      </c>
      <c r="R369" s="30">
        <f ca="1">IFERROR(__xludf.DUMMYFUNCTION("""COMPUTED_VALUE"""),1)</f>
        <v>1</v>
      </c>
      <c r="S369" s="30" t="str">
        <f ca="1">IFERROR(__xludf.DUMMYFUNCTION("""COMPUTED_VALUE"""),"Cultura comunitaria")</f>
        <v>Cultura comunitaria</v>
      </c>
      <c r="T369" s="30" t="str">
        <f ca="1">IFERROR(__xludf.DUMMYFUNCTION("""COMPUTED_VALUE"""),"Formación comunitaria")</f>
        <v>Formación comunitaria</v>
      </c>
      <c r="U369" s="30" t="str">
        <f ca="1">IFERROR(__xludf.DUMMYFUNCTION("""COMPUTED_VALUE"""),"Visitas guiadas")</f>
        <v>Visitas guiadas</v>
      </c>
      <c r="V369" s="30" t="str">
        <f ca="1">IFERROR(__xludf.DUMMYFUNCTION("""COMPUTED_VALUE"""),"Ninguna")</f>
        <v>Ninguna</v>
      </c>
      <c r="W369" s="30" t="str">
        <f ca="1">IFERROR(__xludf.DUMMYFUNCTION("""COMPUTED_VALUE"""),"Presencial")</f>
        <v>Presencial</v>
      </c>
      <c r="X369" s="30" t="str">
        <f ca="1">IFERROR(__xludf.DUMMYFUNCTION("""COMPUTED_VALUE"""),"Espacio a Cargo de la Secretaría")</f>
        <v>Espacio a Cargo de la Secretaría</v>
      </c>
      <c r="Y369" s="30" t="str">
        <f ca="1">IFERROR(__xludf.DUMMYFUNCTION("""COMPUTED_VALUE"""),"Museo Palacio de los Poderes")</f>
        <v>Museo Palacio de los Poderes</v>
      </c>
      <c r="Z369" s="30"/>
      <c r="AA369" s="30"/>
      <c r="AB369" s="30" t="b">
        <f ca="1">IFERROR(__xludf.DUMMYFUNCTION("""COMPUTED_VALUE"""),FALSE)</f>
        <v>0</v>
      </c>
      <c r="AC369" s="30"/>
      <c r="AD369" s="30" t="b">
        <f ca="1">IFERROR(__xludf.DUMMYFUNCTION("""COMPUTED_VALUE"""),FALSE)</f>
        <v>0</v>
      </c>
      <c r="AE369" s="30"/>
      <c r="AF369" s="30" t="b">
        <f ca="1">IFERROR(__xludf.DUMMYFUNCTION("""COMPUTED_VALUE"""),FALSE)</f>
        <v>0</v>
      </c>
      <c r="AG369" s="30"/>
      <c r="AH369" s="30" t="str">
        <f ca="1">IFERROR(__xludf.DUMMYFUNCTION("""COMPUTED_VALUE"""),"Sin costo")</f>
        <v>Sin costo</v>
      </c>
      <c r="AI369" s="30"/>
      <c r="AJ369" s="30"/>
      <c r="AK369" s="30"/>
      <c r="AL369" s="30" t="str">
        <f ca="1">IFERROR(__xludf.DUMMYFUNCTION("""COMPUTED_VALUE"""),"ccardonav@guanajuato.gob.mx")</f>
        <v>ccardonav@guanajuato.gob.mx</v>
      </c>
      <c r="AM369" s="30" t="str">
        <f ca="1">IFERROR(__xludf.DUMMYFUNCTION("""COMPUTED_VALUE"""),"Arraigo y empoderamiento cultural de comunidades.")</f>
        <v>Arraigo y empoderamiento cultural de comunidades.</v>
      </c>
      <c r="AN369" s="30" t="str">
        <f ca="1">IFERROR(__xludf.DUMMYFUNCTION("""COMPUTED_VALUE"""),"1 Tranquilidad")</f>
        <v>1 Tranquilidad</v>
      </c>
      <c r="AO369" s="30" t="str">
        <f ca="1">IFERROR(__xludf.DUMMYFUNCTION("""COMPUTED_VALUE"""),"1.2 Fortalecer prevención del delito")</f>
        <v>1.2 Fortalecer prevención del delito</v>
      </c>
      <c r="AP369" s="30" t="str">
        <f ca="1">IFERROR(__xludf.DUMMYFUNCTION("""COMPUTED_VALUE"""),"1.2.2 Fortalecimiento del tejido social")</f>
        <v>1.2.2 Fortalecimiento del tejido social</v>
      </c>
      <c r="AQ369" s="30" t="str">
        <f ca="1">IFERROR(__xludf.DUMMYFUNCTION("""COMPUTED_VALUE"""),"1.2.3.4 Promover una cultura de paz desde las expresiones artísticas y culturales")</f>
        <v>1.2.3.4 Promover una cultura de paz desde las expresiones artísticas y culturales</v>
      </c>
      <c r="AR369" s="30" t="str">
        <f ca="1">IFERROR(__xludf.DUMMYFUNCTION("""COMPUTED_VALUE"""),"Cooperación")</f>
        <v>Cooperación</v>
      </c>
      <c r="AS369" s="30"/>
      <c r="AT369" s="30" t="str">
        <f ca="1">IFERROR(__xludf.DUMMYFUNCTION("""COMPUTED_VALUE"""),"Fortalecimiento de la participación ciudadana y la mediación cultural")</f>
        <v>Fortalecimiento de la participación ciudadana y la mediación cultural</v>
      </c>
      <c r="AU369" s="30" t="str">
        <f ca="1">IFERROR(__xludf.DUMMYFUNCTION("""COMPUTED_VALUE"""),"Impulso a la ampliación de la oferta cultural en los territorios.")</f>
        <v>Impulso a la ampliación de la oferta cultural en los territorios.</v>
      </c>
      <c r="AV36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69" s="30" t="str">
        <f ca="1">IFERROR(__xludf.DUMMYFUNCTION("""COMPUTED_VALUE"""),"Incrementar en 25% la oferta cultural realizada en los municipios.")</f>
        <v>Incrementar en 25% la oferta cultural realizada en los municipios.</v>
      </c>
      <c r="AX369" s="30" t="str">
        <f ca="1">IFERROR(__xludf.DUMMYFUNCTION("""COMPUTED_VALUE"""),"Visitas guiadas")</f>
        <v>Visitas guiadas</v>
      </c>
      <c r="AY369" s="30" t="str">
        <f ca="1">IFERROR(__xludf.DUMMYFUNCTION("""COMPUTED_VALUE"""),"Formación")</f>
        <v>Formación</v>
      </c>
      <c r="AZ369" s="30" t="str">
        <f ca="1">IFERROR(__xludf.DUMMYFUNCTION("""COMPUTED_VALUE"""),"Formación")</f>
        <v>Formación</v>
      </c>
      <c r="BA369" s="30"/>
      <c r="BB369" s="30"/>
      <c r="BC369" s="30">
        <f ca="1">IFERROR(__xludf.DUMMYFUNCTION("""COMPUTED_VALUE"""),0)</f>
        <v>0</v>
      </c>
      <c r="BD369" s="30"/>
      <c r="BE369" s="30"/>
      <c r="BF369" s="30" t="b">
        <f ca="1">IFERROR(__xludf.DUMMYFUNCTION("""COMPUTED_VALUE"""),FALSE)</f>
        <v>0</v>
      </c>
      <c r="BG369" s="30"/>
      <c r="BH369" s="30"/>
      <c r="BI369" s="30"/>
      <c r="BJ369" s="30"/>
      <c r="BK369" s="30"/>
      <c r="BL369" s="30"/>
      <c r="BM369" s="30" t="str">
        <f ca="1">IFERROR(__xludf.DUMMYFUNCTION("""COMPUTED_VALUE"""),"No")</f>
        <v>No</v>
      </c>
      <c r="BN369" s="30"/>
      <c r="BO369" s="30" t="str">
        <f ca="1">IFERROR(__xludf.DUMMYFUNCTION("""COMPUTED_VALUE"""),"a0e7c5b3")</f>
        <v>a0e7c5b3</v>
      </c>
      <c r="BP369" s="29" t="str">
        <f ca="1">IFERROR(__xludf.DUMMYFUNCTION("""COMPUTED_VALUE"""),"Guanajuato")</f>
        <v>Guanajuato</v>
      </c>
      <c r="BQ369" s="30" t="str">
        <f ca="1">IFERROR(__xludf.DUMMYFUNCTION("""COMPUTED_VALUE"""),"Urbano")</f>
        <v>Urbano</v>
      </c>
      <c r="BR369" s="30">
        <f ca="1">IFERROR(__xludf.DUMMYFUNCTION("""COMPUTED_VALUE"""),49)</f>
        <v>49</v>
      </c>
      <c r="BS369" s="30" t="str">
        <f ca="1">IFERROR(__xludf.DUMMYFUNCTION("""COMPUTED_VALUE"""),"Guanajuato")</f>
        <v>Guanajuato</v>
      </c>
      <c r="BT369" s="30"/>
      <c r="BU369" s="30" t="str">
        <f ca="1">IFERROR(__xludf.DUMMYFUNCTION("""COMPUTED_VALUE"""),"Si")</f>
        <v>Si</v>
      </c>
      <c r="BV369" s="30" t="str">
        <f ca="1">IFERROR(__xludf.DUMMYFUNCTION("""COMPUTED_VALUE"""),"Si")</f>
        <v>Si</v>
      </c>
      <c r="BW369" s="30">
        <f ca="1">IFERROR(__xludf.DUMMYFUNCTION("""COMPUTED_VALUE"""),12)</f>
        <v>12</v>
      </c>
      <c r="BX369" s="30"/>
      <c r="BY369" s="30">
        <f ca="1">IFERROR(__xludf.DUMMYFUNCTION("""COMPUTED_VALUE"""),12)</f>
        <v>12</v>
      </c>
      <c r="BZ369" s="30" t="str">
        <f ca="1">IFERROR(__xludf.DUMMYFUNCTION("""COMPUTED_VALUE"""),"Guanajuato")</f>
        <v>Guanajuato</v>
      </c>
      <c r="CA369" s="30" t="str">
        <f ca="1">IFERROR(__xludf.DUMMYFUNCTION("""COMPUTED_VALUE"""),"No")</f>
        <v>No</v>
      </c>
      <c r="CB369" s="30" t="str">
        <f ca="1">IFERROR(__xludf.DUMMYFUNCTION("""COMPUTED_VALUE"""),"No")</f>
        <v>No</v>
      </c>
      <c r="CC369" s="30" t="str">
        <f ca="1">IFERROR(__xludf.DUMMYFUNCTION("""COMPUTED_VALUE"""),"274080fc")</f>
        <v>274080fc</v>
      </c>
      <c r="CD369" s="29" t="str">
        <f ca="1">IFERROR(__xludf.DUMMYFUNCTION("""COMPUTED_VALUE"""),"Jóvenes (18 a 29 años)")</f>
        <v>Jóvenes (18 a 29 años)</v>
      </c>
      <c r="CE369" s="30" t="str">
        <f ca="1">IFERROR(__xludf.DUMMYFUNCTION("""COMPUTED_VALUE"""),"Dato global")</f>
        <v>Dato global</v>
      </c>
      <c r="CF369" s="30" t="str">
        <f ca="1">IFERROR(__xludf.DUMMYFUNCTION("""COMPUTED_VALUE"""),"Ninguno (Población General)")</f>
        <v>Ninguno (Población General)</v>
      </c>
      <c r="CG369" s="30">
        <f ca="1">IFERROR(__xludf.DUMMYFUNCTION("""COMPUTED_VALUE"""),104)</f>
        <v>104</v>
      </c>
      <c r="CJ369" s="29"/>
      <c r="CM369" s="30" t="str">
        <f ca="1">IFERROR(__xludf.DUMMYFUNCTION("""COMPUTED_VALUE"""),"Guanajuato")</f>
        <v>Guanajuato</v>
      </c>
      <c r="CN369" s="32" t="e">
        <f ca="1"/>
        <v>#NAME?</v>
      </c>
      <c r="CO369" s="32" t="e">
        <f ca="1"/>
        <v>#NAME?</v>
      </c>
      <c r="CP369" s="32" t="e">
        <f ca="1"/>
        <v>#NAME?</v>
      </c>
      <c r="CQ369" s="32" t="e">
        <f ca="1"/>
        <v>#NAME?</v>
      </c>
      <c r="CR369" s="30" t="e">
        <f ca="1"/>
        <v>#NAME?</v>
      </c>
      <c r="CS369" s="30" t="str">
        <f ca="1">IFERROR(__xludf.DUMMYFUNCTION("""COMPUTED_VALUE"""),"Jóvenes en riesgo")</f>
        <v>Jóvenes en riesgo</v>
      </c>
    </row>
    <row r="370" spans="1:97" ht="13">
      <c r="A370" s="29" t="str">
        <f ca="1">IFERROR(__xludf.DUMMYFUNCTION("""COMPUTED_VALUE"""),"ACT-SCVL18515")</f>
        <v>ACT-SCVL18515</v>
      </c>
      <c r="B370" s="30" t="str">
        <f ca="1">IFERROR(__xludf.DUMMYFUNCTION("""COMPUTED_VALUE"""),"SC-260911-121144")</f>
        <v>SC-260911-121144</v>
      </c>
      <c r="C370" s="62">
        <f ca="1">IFERROR(__xludf.DUMMYFUNCTION("""COMPUTED_VALUE"""),46276.5081481481)</f>
        <v>46276.508148148103</v>
      </c>
      <c r="D370" s="30">
        <f ca="1">IFERROR(__xludf.DUMMYFUNCTION("""COMPUTED_VALUE"""),92)</f>
        <v>92</v>
      </c>
      <c r="E370" s="30" t="str">
        <f ca="1">IFERROR(__xludf.DUMMYFUNCTION("""COMPUTED_VALUE"""),"PB3572")</f>
        <v>PB3572</v>
      </c>
      <c r="F37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0" s="30" t="str">
        <f ca="1">IFERROR(__xludf.DUMMYFUNCTION("""COMPUTED_VALUE"""),"SUBSECRETARÍA DE DESARROLLO Y PROMOCIÓN ARTÍSTICA Y CULTURAL")</f>
        <v>SUBSECRETARÍA DE DESARROLLO Y PROMOCIÓN ARTÍSTICA Y CULTURAL</v>
      </c>
      <c r="I370" s="34" t="str">
        <f ca="1">IFERROR(__xludf.DUMMYFUNCTION("""COMPUTED_VALUE"""),"DIRECCIÓN GENERAL DE MUSEOS, ARTES VISUALES Y EXPOSICIONES")</f>
        <v>DIRECCIÓN GENERAL DE MUSEOS, ARTES VISUALES Y EXPOSICIONES</v>
      </c>
      <c r="J370" s="30" t="str">
        <f ca="1">IFERROR(__xludf.DUMMYFUNCTION("""COMPUTED_VALUE"""),"Número de Actividades realizadas")</f>
        <v>Número de Actividades realizadas</v>
      </c>
      <c r="K370" s="30">
        <f ca="1">IFERROR(__xludf.DUMMYFUNCTION("""COMPUTED_VALUE"""),800)</f>
        <v>800</v>
      </c>
      <c r="L370" s="30" t="str">
        <f ca="1">IFERROR(__xludf.DUMMYFUNCTION("""COMPUTED_VALUE"""),"Artística")</f>
        <v>Artística</v>
      </c>
      <c r="M370" s="30" t="str">
        <f ca="1">IFERROR(__xludf.DUMMYFUNCTION("""COMPUTED_VALUE"""),"Visita guiada: Eterno Femenino.")</f>
        <v>Visita guiada: Eterno Femenino.</v>
      </c>
      <c r="N370" s="30" t="str">
        <f ca="1">IFERROR(__xludf.DUMMYFUNCTION("""COMPUTED_VALUE"""),"Recorrido guiado por el museo")</f>
        <v>Recorrido guiado por el museo</v>
      </c>
      <c r="O370" s="30" t="str">
        <f ca="1">IFERROR(__xludf.DUMMYFUNCTION("""COMPUTED_VALUE"""),"Única")</f>
        <v>Única</v>
      </c>
      <c r="P370" s="33">
        <f ca="1">IFERROR(__xludf.DUMMYFUNCTION("""COMPUTED_VALUE"""),46262)</f>
        <v>46262</v>
      </c>
      <c r="Q370" s="33">
        <f ca="1">IFERROR(__xludf.DUMMYFUNCTION("""COMPUTED_VALUE"""),46262)</f>
        <v>46262</v>
      </c>
      <c r="R370" s="30">
        <f ca="1">IFERROR(__xludf.DUMMYFUNCTION("""COMPUTED_VALUE"""),1)</f>
        <v>1</v>
      </c>
      <c r="S370" s="30" t="str">
        <f ca="1">IFERROR(__xludf.DUMMYFUNCTION("""COMPUTED_VALUE"""),"Cultura comunitaria")</f>
        <v>Cultura comunitaria</v>
      </c>
      <c r="T370" s="30" t="str">
        <f ca="1">IFERROR(__xludf.DUMMYFUNCTION("""COMPUTED_VALUE"""),"Formación comunitaria")</f>
        <v>Formación comunitaria</v>
      </c>
      <c r="U370" s="30" t="str">
        <f ca="1">IFERROR(__xludf.DUMMYFUNCTION("""COMPUTED_VALUE"""),"Visitas guiadas")</f>
        <v>Visitas guiadas</v>
      </c>
      <c r="V370" s="30" t="str">
        <f ca="1">IFERROR(__xludf.DUMMYFUNCTION("""COMPUTED_VALUE"""),"Ninguna")</f>
        <v>Ninguna</v>
      </c>
      <c r="W370" s="30" t="str">
        <f ca="1">IFERROR(__xludf.DUMMYFUNCTION("""COMPUTED_VALUE"""),"Presencial")</f>
        <v>Presencial</v>
      </c>
      <c r="X370" s="30" t="str">
        <f ca="1">IFERROR(__xludf.DUMMYFUNCTION("""COMPUTED_VALUE"""),"Espacio a Cargo de la Secretaría")</f>
        <v>Espacio a Cargo de la Secretaría</v>
      </c>
      <c r="Y370" s="30" t="str">
        <f ca="1">IFERROR(__xludf.DUMMYFUNCTION("""COMPUTED_VALUE"""),"Museo Palacio de los Poderes")</f>
        <v>Museo Palacio de los Poderes</v>
      </c>
      <c r="Z370" s="30"/>
      <c r="AA370" s="30"/>
      <c r="AB370" s="30" t="b">
        <f ca="1">IFERROR(__xludf.DUMMYFUNCTION("""COMPUTED_VALUE"""),FALSE)</f>
        <v>0</v>
      </c>
      <c r="AC370" s="30"/>
      <c r="AD370" s="30" t="b">
        <f ca="1">IFERROR(__xludf.DUMMYFUNCTION("""COMPUTED_VALUE"""),FALSE)</f>
        <v>0</v>
      </c>
      <c r="AE370" s="30"/>
      <c r="AF370" s="30" t="b">
        <f ca="1">IFERROR(__xludf.DUMMYFUNCTION("""COMPUTED_VALUE"""),FALSE)</f>
        <v>0</v>
      </c>
      <c r="AG370" s="30"/>
      <c r="AH370" s="30" t="str">
        <f ca="1">IFERROR(__xludf.DUMMYFUNCTION("""COMPUTED_VALUE"""),"Sin costo")</f>
        <v>Sin costo</v>
      </c>
      <c r="AI370" s="30"/>
      <c r="AJ370" s="30"/>
      <c r="AK370" s="30"/>
      <c r="AL370" s="30" t="str">
        <f ca="1">IFERROR(__xludf.DUMMYFUNCTION("""COMPUTED_VALUE"""),"ccardonav@guanajuato.gob.mx")</f>
        <v>ccardonav@guanajuato.gob.mx</v>
      </c>
      <c r="AM370" s="30" t="str">
        <f ca="1">IFERROR(__xludf.DUMMYFUNCTION("""COMPUTED_VALUE"""),"Arraigo y empoderamiento cultural de comunidades.")</f>
        <v>Arraigo y empoderamiento cultural de comunidades.</v>
      </c>
      <c r="AN370" s="30" t="str">
        <f ca="1">IFERROR(__xludf.DUMMYFUNCTION("""COMPUTED_VALUE"""),"1 Tranquilidad")</f>
        <v>1 Tranquilidad</v>
      </c>
      <c r="AO370" s="30" t="str">
        <f ca="1">IFERROR(__xludf.DUMMYFUNCTION("""COMPUTED_VALUE"""),"1.2 Fortalecer prevención del delito")</f>
        <v>1.2 Fortalecer prevención del delito</v>
      </c>
      <c r="AP370" s="30" t="str">
        <f ca="1">IFERROR(__xludf.DUMMYFUNCTION("""COMPUTED_VALUE"""),"1.2.2 Fortalecimiento del tejido social")</f>
        <v>1.2.2 Fortalecimiento del tejido social</v>
      </c>
      <c r="AQ370" s="30" t="str">
        <f ca="1">IFERROR(__xludf.DUMMYFUNCTION("""COMPUTED_VALUE"""),"1.2.3.4 Promover una cultura de paz desde las expresiones artísticas y culturales")</f>
        <v>1.2.3.4 Promover una cultura de paz desde las expresiones artísticas y culturales</v>
      </c>
      <c r="AR370" s="30" t="str">
        <f ca="1">IFERROR(__xludf.DUMMYFUNCTION("""COMPUTED_VALUE"""),"Cooperación")</f>
        <v>Cooperación</v>
      </c>
      <c r="AS370" s="30"/>
      <c r="AT370" s="30" t="str">
        <f ca="1">IFERROR(__xludf.DUMMYFUNCTION("""COMPUTED_VALUE"""),"Fortalecimiento de la participación ciudadana y la mediación cultural")</f>
        <v>Fortalecimiento de la participación ciudadana y la mediación cultural</v>
      </c>
      <c r="AU370" s="30" t="str">
        <f ca="1">IFERROR(__xludf.DUMMYFUNCTION("""COMPUTED_VALUE"""),"Impulso a la ampliación de la oferta cultural en los territorios.")</f>
        <v>Impulso a la ampliación de la oferta cultural en los territorios.</v>
      </c>
      <c r="AV37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0" s="30" t="str">
        <f ca="1">IFERROR(__xludf.DUMMYFUNCTION("""COMPUTED_VALUE"""),"Incrementar en 25% la oferta cultural realizada en los municipios.")</f>
        <v>Incrementar en 25% la oferta cultural realizada en los municipios.</v>
      </c>
      <c r="AX370" s="30" t="str">
        <f ca="1">IFERROR(__xludf.DUMMYFUNCTION("""COMPUTED_VALUE"""),"Visitas guiadas")</f>
        <v>Visitas guiadas</v>
      </c>
      <c r="AY370" s="30" t="str">
        <f ca="1">IFERROR(__xludf.DUMMYFUNCTION("""COMPUTED_VALUE"""),"Formación")</f>
        <v>Formación</v>
      </c>
      <c r="AZ370" s="30" t="str">
        <f ca="1">IFERROR(__xludf.DUMMYFUNCTION("""COMPUTED_VALUE"""),"Formación")</f>
        <v>Formación</v>
      </c>
      <c r="BA370" s="30"/>
      <c r="BB370" s="30"/>
      <c r="BC370" s="30">
        <f ca="1">IFERROR(__xludf.DUMMYFUNCTION("""COMPUTED_VALUE"""),0)</f>
        <v>0</v>
      </c>
      <c r="BD370" s="30"/>
      <c r="BE370" s="30"/>
      <c r="BF370" s="30" t="b">
        <f ca="1">IFERROR(__xludf.DUMMYFUNCTION("""COMPUTED_VALUE"""),FALSE)</f>
        <v>0</v>
      </c>
      <c r="BG370" s="30"/>
      <c r="BH370" s="30"/>
      <c r="BI370" s="30"/>
      <c r="BJ370" s="30"/>
      <c r="BK370" s="30"/>
      <c r="BL370" s="30"/>
      <c r="BM370" s="30" t="str">
        <f ca="1">IFERROR(__xludf.DUMMYFUNCTION("""COMPUTED_VALUE"""),"No")</f>
        <v>No</v>
      </c>
      <c r="BN370" s="30"/>
      <c r="BO370" s="30" t="str">
        <f ca="1">IFERROR(__xludf.DUMMYFUNCTION("""COMPUTED_VALUE"""),"1c544e0e")</f>
        <v>1c544e0e</v>
      </c>
      <c r="BP370" s="29" t="str">
        <f ca="1">IFERROR(__xludf.DUMMYFUNCTION("""COMPUTED_VALUE"""),"Guanajuato")</f>
        <v>Guanajuato</v>
      </c>
      <c r="BQ370" s="30" t="str">
        <f ca="1">IFERROR(__xludf.DUMMYFUNCTION("""COMPUTED_VALUE"""),"Urbano")</f>
        <v>Urbano</v>
      </c>
      <c r="BR370" s="30"/>
      <c r="BS370" s="30"/>
      <c r="BT370" s="30"/>
      <c r="BU370" s="30" t="str">
        <f ca="1">IFERROR(__xludf.DUMMYFUNCTION("""COMPUTED_VALUE"""),"No")</f>
        <v>No</v>
      </c>
      <c r="BV370" s="30" t="str">
        <f ca="1">IFERROR(__xludf.DUMMYFUNCTION("""COMPUTED_VALUE"""),"No")</f>
        <v>No</v>
      </c>
      <c r="BW370" s="30">
        <f ca="1">IFERROR(__xludf.DUMMYFUNCTION("""COMPUTED_VALUE"""),12)</f>
        <v>12</v>
      </c>
      <c r="BX370" s="30"/>
      <c r="BY370" s="30">
        <f ca="1">IFERROR(__xludf.DUMMYFUNCTION("""COMPUTED_VALUE"""),12)</f>
        <v>12</v>
      </c>
      <c r="BZ370" s="30"/>
      <c r="CA370" s="30" t="str">
        <f ca="1">IFERROR(__xludf.DUMMYFUNCTION("""COMPUTED_VALUE"""),"No")</f>
        <v>No</v>
      </c>
      <c r="CB370" s="30" t="str">
        <f ca="1">IFERROR(__xludf.DUMMYFUNCTION("""COMPUTED_VALUE"""),"No")</f>
        <v>No</v>
      </c>
      <c r="CC370" s="30" t="str">
        <f ca="1">IFERROR(__xludf.DUMMYFUNCTION("""COMPUTED_VALUE"""),"0e62eec7")</f>
        <v>0e62eec7</v>
      </c>
      <c r="CD370" s="29" t="str">
        <f ca="1">IFERROR(__xludf.DUMMYFUNCTION("""COMPUTED_VALUE"""),"Jóvenes (18 a 29 años)")</f>
        <v>Jóvenes (18 a 29 años)</v>
      </c>
      <c r="CE370" s="30" t="str">
        <f ca="1">IFERROR(__xludf.DUMMYFUNCTION("""COMPUTED_VALUE"""),"Dato global")</f>
        <v>Dato global</v>
      </c>
      <c r="CF370" s="30" t="str">
        <f ca="1">IFERROR(__xludf.DUMMYFUNCTION("""COMPUTED_VALUE"""),"Ninguno (Población General)")</f>
        <v>Ninguno (Población General)</v>
      </c>
      <c r="CG370" s="30">
        <f ca="1">IFERROR(__xludf.DUMMYFUNCTION("""COMPUTED_VALUE"""),5)</f>
        <v>5</v>
      </c>
      <c r="CJ370" s="29"/>
      <c r="CM370" s="30" t="str">
        <f ca="1">IFERROR(__xludf.DUMMYFUNCTION("""COMPUTED_VALUE"""),"Guanajuato")</f>
        <v>Guanajuato</v>
      </c>
      <c r="CN370" s="32" t="e">
        <f ca="1"/>
        <v>#NAME?</v>
      </c>
      <c r="CO370" s="32" t="e">
        <f ca="1"/>
        <v>#NAME?</v>
      </c>
      <c r="CP370" s="32" t="e">
        <f ca="1"/>
        <v>#NAME?</v>
      </c>
      <c r="CQ370" s="32" t="e">
        <f ca="1"/>
        <v>#NAME?</v>
      </c>
      <c r="CR370" s="30" t="e">
        <f ca="1"/>
        <v>#NAME?</v>
      </c>
      <c r="CS370" s="30" t="str">
        <f ca="1">IFERROR(__xludf.DUMMYFUNCTION("""COMPUTED_VALUE"""),"Ninguno (Población General)")</f>
        <v>Ninguno (Población General)</v>
      </c>
    </row>
    <row r="371" spans="1:97" ht="13">
      <c r="A371" s="29" t="str">
        <f ca="1">IFERROR(__xludf.DUMMYFUNCTION("""COMPUTED_VALUE"""),"ACT-SCIV31392")</f>
        <v>ACT-SCIV31392</v>
      </c>
      <c r="B371" s="30" t="str">
        <f ca="1">IFERROR(__xludf.DUMMYFUNCTION("""COMPUTED_VALUE"""),"SC-260911-121657")</f>
        <v>SC-260911-121657</v>
      </c>
      <c r="C371" s="62">
        <f ca="1">IFERROR(__xludf.DUMMYFUNCTION("""COMPUTED_VALUE"""),46276.5117708333)</f>
        <v>46276.511770833298</v>
      </c>
      <c r="D371" s="30">
        <f ca="1">IFERROR(__xludf.DUMMYFUNCTION("""COMPUTED_VALUE"""),92)</f>
        <v>92</v>
      </c>
      <c r="E371" s="30" t="str">
        <f ca="1">IFERROR(__xludf.DUMMYFUNCTION("""COMPUTED_VALUE"""),"PB3572")</f>
        <v>PB3572</v>
      </c>
      <c r="F37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1" s="30" t="str">
        <f ca="1">IFERROR(__xludf.DUMMYFUNCTION("""COMPUTED_VALUE"""),"SUBSECRETARÍA DE DESARROLLO Y PROMOCIÓN ARTÍSTICA Y CULTURAL")</f>
        <v>SUBSECRETARÍA DE DESARROLLO Y PROMOCIÓN ARTÍSTICA Y CULTURAL</v>
      </c>
      <c r="I371" s="34" t="str">
        <f ca="1">IFERROR(__xludf.DUMMYFUNCTION("""COMPUTED_VALUE"""),"DIRECCIÓN GENERAL DE MUSEOS, ARTES VISUALES Y EXPOSICIONES")</f>
        <v>DIRECCIÓN GENERAL DE MUSEOS, ARTES VISUALES Y EXPOSICIONES</v>
      </c>
      <c r="J371" s="30" t="str">
        <f ca="1">IFERROR(__xludf.DUMMYFUNCTION("""COMPUTED_VALUE"""),"Número de Actividades realizadas")</f>
        <v>Número de Actividades realizadas</v>
      </c>
      <c r="K371" s="30">
        <f ca="1">IFERROR(__xludf.DUMMYFUNCTION("""COMPUTED_VALUE"""),800)</f>
        <v>800</v>
      </c>
      <c r="L371" s="30" t="str">
        <f ca="1">IFERROR(__xludf.DUMMYFUNCTION("""COMPUTED_VALUE"""),"Artística")</f>
        <v>Artística</v>
      </c>
      <c r="M371" s="30" t="str">
        <f ca="1">IFERROR(__xludf.DUMMYFUNCTION("""COMPUTED_VALUE"""),"Visita guiada: Eterno Femenino.")</f>
        <v>Visita guiada: Eterno Femenino.</v>
      </c>
      <c r="N371" s="30" t="str">
        <f ca="1">IFERROR(__xludf.DUMMYFUNCTION("""COMPUTED_VALUE"""),"Recorrido guiado por el museo")</f>
        <v>Recorrido guiado por el museo</v>
      </c>
      <c r="O371" s="30" t="str">
        <f ca="1">IFERROR(__xludf.DUMMYFUNCTION("""COMPUTED_VALUE"""),"Única")</f>
        <v>Única</v>
      </c>
      <c r="P371" s="33">
        <f ca="1">IFERROR(__xludf.DUMMYFUNCTION("""COMPUTED_VALUE"""),46261)</f>
        <v>46261</v>
      </c>
      <c r="Q371" s="33">
        <f ca="1">IFERROR(__xludf.DUMMYFUNCTION("""COMPUTED_VALUE"""),46261)</f>
        <v>46261</v>
      </c>
      <c r="R371" s="30">
        <f ca="1">IFERROR(__xludf.DUMMYFUNCTION("""COMPUTED_VALUE"""),1)</f>
        <v>1</v>
      </c>
      <c r="S371" s="30" t="str">
        <f ca="1">IFERROR(__xludf.DUMMYFUNCTION("""COMPUTED_VALUE"""),"Cultura comunitaria")</f>
        <v>Cultura comunitaria</v>
      </c>
      <c r="T371" s="30" t="str">
        <f ca="1">IFERROR(__xludf.DUMMYFUNCTION("""COMPUTED_VALUE"""),"Formación comunitaria")</f>
        <v>Formación comunitaria</v>
      </c>
      <c r="U371" s="30" t="str">
        <f ca="1">IFERROR(__xludf.DUMMYFUNCTION("""COMPUTED_VALUE"""),"Visitas guiadas")</f>
        <v>Visitas guiadas</v>
      </c>
      <c r="V371" s="30" t="str">
        <f ca="1">IFERROR(__xludf.DUMMYFUNCTION("""COMPUTED_VALUE"""),"Ninguna")</f>
        <v>Ninguna</v>
      </c>
      <c r="W371" s="30" t="str">
        <f ca="1">IFERROR(__xludf.DUMMYFUNCTION("""COMPUTED_VALUE"""),"Presencial")</f>
        <v>Presencial</v>
      </c>
      <c r="X371" s="30" t="str">
        <f ca="1">IFERROR(__xludf.DUMMYFUNCTION("""COMPUTED_VALUE"""),"Espacio a Cargo de la Secretaría")</f>
        <v>Espacio a Cargo de la Secretaría</v>
      </c>
      <c r="Y371" s="30" t="str">
        <f ca="1">IFERROR(__xludf.DUMMYFUNCTION("""COMPUTED_VALUE"""),"Museo Palacio de los Poderes")</f>
        <v>Museo Palacio de los Poderes</v>
      </c>
      <c r="Z371" s="30"/>
      <c r="AA371" s="30"/>
      <c r="AB371" s="30" t="b">
        <f ca="1">IFERROR(__xludf.DUMMYFUNCTION("""COMPUTED_VALUE"""),FALSE)</f>
        <v>0</v>
      </c>
      <c r="AC371" s="30"/>
      <c r="AD371" s="30" t="b">
        <f ca="1">IFERROR(__xludf.DUMMYFUNCTION("""COMPUTED_VALUE"""),FALSE)</f>
        <v>0</v>
      </c>
      <c r="AE371" s="30"/>
      <c r="AF371" s="30" t="b">
        <f ca="1">IFERROR(__xludf.DUMMYFUNCTION("""COMPUTED_VALUE"""),FALSE)</f>
        <v>0</v>
      </c>
      <c r="AG371" s="30"/>
      <c r="AH371" s="30" t="str">
        <f ca="1">IFERROR(__xludf.DUMMYFUNCTION("""COMPUTED_VALUE"""),"Sin costo")</f>
        <v>Sin costo</v>
      </c>
      <c r="AI371" s="30"/>
      <c r="AJ371" s="30"/>
      <c r="AK371" s="30"/>
      <c r="AL371" s="30" t="str">
        <f ca="1">IFERROR(__xludf.DUMMYFUNCTION("""COMPUTED_VALUE"""),"ccardonav@guanajuato.gob.mx")</f>
        <v>ccardonav@guanajuato.gob.mx</v>
      </c>
      <c r="AM371" s="30" t="str">
        <f ca="1">IFERROR(__xludf.DUMMYFUNCTION("""COMPUTED_VALUE"""),"Arraigo y empoderamiento cultural de comunidades.")</f>
        <v>Arraigo y empoderamiento cultural de comunidades.</v>
      </c>
      <c r="AN371" s="30" t="str">
        <f ca="1">IFERROR(__xludf.DUMMYFUNCTION("""COMPUTED_VALUE"""),"1 Tranquilidad")</f>
        <v>1 Tranquilidad</v>
      </c>
      <c r="AO371" s="30" t="str">
        <f ca="1">IFERROR(__xludf.DUMMYFUNCTION("""COMPUTED_VALUE"""),"1.2 Fortalecer prevención del delito")</f>
        <v>1.2 Fortalecer prevención del delito</v>
      </c>
      <c r="AP371" s="30" t="str">
        <f ca="1">IFERROR(__xludf.DUMMYFUNCTION("""COMPUTED_VALUE"""),"1.2.2 Fortalecimiento del tejido social")</f>
        <v>1.2.2 Fortalecimiento del tejido social</v>
      </c>
      <c r="AQ371" s="30" t="str">
        <f ca="1">IFERROR(__xludf.DUMMYFUNCTION("""COMPUTED_VALUE"""),"1.2.3.4 Promover una cultura de paz desde las expresiones artísticas y culturales")</f>
        <v>1.2.3.4 Promover una cultura de paz desde las expresiones artísticas y culturales</v>
      </c>
      <c r="AR371" s="30" t="str">
        <f ca="1">IFERROR(__xludf.DUMMYFUNCTION("""COMPUTED_VALUE"""),"Cooperación")</f>
        <v>Cooperación</v>
      </c>
      <c r="AS371" s="30"/>
      <c r="AT371" s="30" t="str">
        <f ca="1">IFERROR(__xludf.DUMMYFUNCTION("""COMPUTED_VALUE"""),"Fortalecimiento de la participación ciudadana y la mediación cultural")</f>
        <v>Fortalecimiento de la participación ciudadana y la mediación cultural</v>
      </c>
      <c r="AU371" s="30" t="str">
        <f ca="1">IFERROR(__xludf.DUMMYFUNCTION("""COMPUTED_VALUE"""),"Impulso a la ampliación de la oferta cultural en los territorios.")</f>
        <v>Impulso a la ampliación de la oferta cultural en los territorios.</v>
      </c>
      <c r="AV37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1" s="30" t="str">
        <f ca="1">IFERROR(__xludf.DUMMYFUNCTION("""COMPUTED_VALUE"""),"Incrementar en 25% la oferta cultural realizada en los municipios.")</f>
        <v>Incrementar en 25% la oferta cultural realizada en los municipios.</v>
      </c>
      <c r="AX371" s="30" t="str">
        <f ca="1">IFERROR(__xludf.DUMMYFUNCTION("""COMPUTED_VALUE"""),"Visitas guiadas")</f>
        <v>Visitas guiadas</v>
      </c>
      <c r="AY371" s="30" t="str">
        <f ca="1">IFERROR(__xludf.DUMMYFUNCTION("""COMPUTED_VALUE"""),"Formación")</f>
        <v>Formación</v>
      </c>
      <c r="AZ371" s="30" t="str">
        <f ca="1">IFERROR(__xludf.DUMMYFUNCTION("""COMPUTED_VALUE"""),"Formación")</f>
        <v>Formación</v>
      </c>
      <c r="BA371" s="30"/>
      <c r="BB371" s="30"/>
      <c r="BC371" s="30">
        <f ca="1">IFERROR(__xludf.DUMMYFUNCTION("""COMPUTED_VALUE"""),0)</f>
        <v>0</v>
      </c>
      <c r="BD371" s="30"/>
      <c r="BE371" s="30"/>
      <c r="BF371" s="30" t="b">
        <f ca="1">IFERROR(__xludf.DUMMYFUNCTION("""COMPUTED_VALUE"""),FALSE)</f>
        <v>0</v>
      </c>
      <c r="BG371" s="30"/>
      <c r="BH371" s="30"/>
      <c r="BI371" s="30"/>
      <c r="BJ371" s="30"/>
      <c r="BK371" s="30"/>
      <c r="BL371" s="30"/>
      <c r="BM371" s="30" t="str">
        <f ca="1">IFERROR(__xludf.DUMMYFUNCTION("""COMPUTED_VALUE"""),"No")</f>
        <v>No</v>
      </c>
      <c r="BN371" s="30"/>
      <c r="BO371" s="30" t="str">
        <f ca="1">IFERROR(__xludf.DUMMYFUNCTION("""COMPUTED_VALUE"""),"1f9cd7c5")</f>
        <v>1f9cd7c5</v>
      </c>
      <c r="BP371" s="29" t="str">
        <f ca="1">IFERROR(__xludf.DUMMYFUNCTION("""COMPUTED_VALUE"""),"Guanajuato")</f>
        <v>Guanajuato</v>
      </c>
      <c r="BQ371" s="30" t="str">
        <f ca="1">IFERROR(__xludf.DUMMYFUNCTION("""COMPUTED_VALUE"""),"Urbano")</f>
        <v>Urbano</v>
      </c>
      <c r="BR371" s="30"/>
      <c r="BS371" s="30"/>
      <c r="BT371" s="30"/>
      <c r="BU371" s="30" t="str">
        <f ca="1">IFERROR(__xludf.DUMMYFUNCTION("""COMPUTED_VALUE"""),"No")</f>
        <v>No</v>
      </c>
      <c r="BV371" s="30" t="str">
        <f ca="1">IFERROR(__xludf.DUMMYFUNCTION("""COMPUTED_VALUE"""),"No")</f>
        <v>No</v>
      </c>
      <c r="BW371" s="30">
        <f ca="1">IFERROR(__xludf.DUMMYFUNCTION("""COMPUTED_VALUE"""),23)</f>
        <v>23</v>
      </c>
      <c r="BX371" s="30"/>
      <c r="BY371" s="30">
        <f ca="1">IFERROR(__xludf.DUMMYFUNCTION("""COMPUTED_VALUE"""),23)</f>
        <v>23</v>
      </c>
      <c r="BZ371" s="30"/>
      <c r="CA371" s="30" t="str">
        <f ca="1">IFERROR(__xludf.DUMMYFUNCTION("""COMPUTED_VALUE"""),"No")</f>
        <v>No</v>
      </c>
      <c r="CB371" s="30" t="str">
        <f ca="1">IFERROR(__xludf.DUMMYFUNCTION("""COMPUTED_VALUE"""),"No")</f>
        <v>No</v>
      </c>
      <c r="CC371" s="30" t="str">
        <f ca="1">IFERROR(__xludf.DUMMYFUNCTION("""COMPUTED_VALUE"""),"161b128b")</f>
        <v>161b128b</v>
      </c>
      <c r="CD371" s="29" t="str">
        <f ca="1">IFERROR(__xludf.DUMMYFUNCTION("""COMPUTED_VALUE"""),"Jóvenes (18 a 29 años)")</f>
        <v>Jóvenes (18 a 29 años)</v>
      </c>
      <c r="CE371" s="30" t="str">
        <f ca="1">IFERROR(__xludf.DUMMYFUNCTION("""COMPUTED_VALUE"""),"Mujer")</f>
        <v>Mujer</v>
      </c>
      <c r="CF371" s="30" t="str">
        <f ca="1">IFERROR(__xludf.DUMMYFUNCTION("""COMPUTED_VALUE"""),"Mujeres en situación de vulnerabilidad")</f>
        <v>Mujeres en situación de vulnerabilidad</v>
      </c>
      <c r="CG371" s="30">
        <f ca="1">IFERROR(__xludf.DUMMYFUNCTION("""COMPUTED_VALUE"""),26)</f>
        <v>26</v>
      </c>
      <c r="CJ371" s="29"/>
      <c r="CM371" s="30" t="str">
        <f ca="1">IFERROR(__xludf.DUMMYFUNCTION("""COMPUTED_VALUE"""),"Guanajuato")</f>
        <v>Guanajuato</v>
      </c>
      <c r="CN371" s="32" t="e">
        <f ca="1"/>
        <v>#NAME?</v>
      </c>
      <c r="CO371" s="32" t="e">
        <f ca="1"/>
        <v>#NAME?</v>
      </c>
      <c r="CP371" s="32" t="e">
        <f ca="1"/>
        <v>#NAME?</v>
      </c>
      <c r="CQ371" s="32" t="e">
        <f ca="1"/>
        <v>#NAME?</v>
      </c>
      <c r="CR371" s="30" t="e">
        <f ca="1"/>
        <v>#NAME?</v>
      </c>
      <c r="CS371" s="30" t="str">
        <f ca="1">IFERROR(__xludf.DUMMYFUNCTION("""COMPUTED_VALUE"""),"Ninguno (Población General)")</f>
        <v>Ninguno (Población General)</v>
      </c>
    </row>
    <row r="372" spans="1:97" ht="13">
      <c r="A372" s="29" t="str">
        <f ca="1">IFERROR(__xludf.DUMMYFUNCTION("""COMPUTED_VALUE"""),"ACT-SCDN84830")</f>
        <v>ACT-SCDN84830</v>
      </c>
      <c r="B372" s="30" t="str">
        <f ca="1">IFERROR(__xludf.DUMMYFUNCTION("""COMPUTED_VALUE"""),"SC-260911-122203")</f>
        <v>SC-260911-122203</v>
      </c>
      <c r="C372" s="62">
        <f ca="1">IFERROR(__xludf.DUMMYFUNCTION("""COMPUTED_VALUE"""),46276.5153125)</f>
        <v>46276.5153125</v>
      </c>
      <c r="D372" s="30">
        <f ca="1">IFERROR(__xludf.DUMMYFUNCTION("""COMPUTED_VALUE"""),92)</f>
        <v>92</v>
      </c>
      <c r="E372" s="30" t="str">
        <f ca="1">IFERROR(__xludf.DUMMYFUNCTION("""COMPUTED_VALUE"""),"PB3572")</f>
        <v>PB3572</v>
      </c>
      <c r="F37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2" s="30" t="str">
        <f ca="1">IFERROR(__xludf.DUMMYFUNCTION("""COMPUTED_VALUE"""),"SUBSECRETARÍA DE DESARROLLO Y PROMOCIÓN ARTÍSTICA Y CULTURAL")</f>
        <v>SUBSECRETARÍA DE DESARROLLO Y PROMOCIÓN ARTÍSTICA Y CULTURAL</v>
      </c>
      <c r="I372" s="34" t="str">
        <f ca="1">IFERROR(__xludf.DUMMYFUNCTION("""COMPUTED_VALUE"""),"DIRECCIÓN GENERAL DE MUSEOS, ARTES VISUALES Y EXPOSICIONES")</f>
        <v>DIRECCIÓN GENERAL DE MUSEOS, ARTES VISUALES Y EXPOSICIONES</v>
      </c>
      <c r="J372" s="30" t="str">
        <f ca="1">IFERROR(__xludf.DUMMYFUNCTION("""COMPUTED_VALUE"""),"Número de Actividades realizadas")</f>
        <v>Número de Actividades realizadas</v>
      </c>
      <c r="K372" s="30">
        <f ca="1">IFERROR(__xludf.DUMMYFUNCTION("""COMPUTED_VALUE"""),800)</f>
        <v>800</v>
      </c>
      <c r="L372" s="30" t="str">
        <f ca="1">IFERROR(__xludf.DUMMYFUNCTION("""COMPUTED_VALUE"""),"Artística")</f>
        <v>Artística</v>
      </c>
      <c r="M372" s="30" t="str">
        <f ca="1">IFERROR(__xludf.DUMMYFUNCTION("""COMPUTED_VALUE"""),"Visita guiada: Eterno Femenino.")</f>
        <v>Visita guiada: Eterno Femenino.</v>
      </c>
      <c r="N372" s="30" t="str">
        <f ca="1">IFERROR(__xludf.DUMMYFUNCTION("""COMPUTED_VALUE"""),"Recorrido guiado por el museo")</f>
        <v>Recorrido guiado por el museo</v>
      </c>
      <c r="O372" s="30" t="str">
        <f ca="1">IFERROR(__xludf.DUMMYFUNCTION("""COMPUTED_VALUE"""),"Única")</f>
        <v>Única</v>
      </c>
      <c r="P372" s="33">
        <f ca="1">IFERROR(__xludf.DUMMYFUNCTION("""COMPUTED_VALUE"""),46261)</f>
        <v>46261</v>
      </c>
      <c r="Q372" s="33">
        <f ca="1">IFERROR(__xludf.DUMMYFUNCTION("""COMPUTED_VALUE"""),46261)</f>
        <v>46261</v>
      </c>
      <c r="R372" s="30">
        <f ca="1">IFERROR(__xludf.DUMMYFUNCTION("""COMPUTED_VALUE"""),1)</f>
        <v>1</v>
      </c>
      <c r="S372" s="30" t="str">
        <f ca="1">IFERROR(__xludf.DUMMYFUNCTION("""COMPUTED_VALUE"""),"Cultura comunitaria")</f>
        <v>Cultura comunitaria</v>
      </c>
      <c r="T372" s="30" t="str">
        <f ca="1">IFERROR(__xludf.DUMMYFUNCTION("""COMPUTED_VALUE"""),"Formación comunitaria")</f>
        <v>Formación comunitaria</v>
      </c>
      <c r="U372" s="30" t="str">
        <f ca="1">IFERROR(__xludf.DUMMYFUNCTION("""COMPUTED_VALUE"""),"Visitas guiadas")</f>
        <v>Visitas guiadas</v>
      </c>
      <c r="V372" s="30" t="str">
        <f ca="1">IFERROR(__xludf.DUMMYFUNCTION("""COMPUTED_VALUE"""),"Ninguna")</f>
        <v>Ninguna</v>
      </c>
      <c r="W372" s="30" t="str">
        <f ca="1">IFERROR(__xludf.DUMMYFUNCTION("""COMPUTED_VALUE"""),"Presencial")</f>
        <v>Presencial</v>
      </c>
      <c r="X372" s="30" t="str">
        <f ca="1">IFERROR(__xludf.DUMMYFUNCTION("""COMPUTED_VALUE"""),"Espacio a Cargo de la Secretaría")</f>
        <v>Espacio a Cargo de la Secretaría</v>
      </c>
      <c r="Y372" s="30" t="str">
        <f ca="1">IFERROR(__xludf.DUMMYFUNCTION("""COMPUTED_VALUE"""),"Museo Palacio de los Poderes")</f>
        <v>Museo Palacio de los Poderes</v>
      </c>
      <c r="Z372" s="30"/>
      <c r="AA372" s="30"/>
      <c r="AB372" s="30" t="b">
        <f ca="1">IFERROR(__xludf.DUMMYFUNCTION("""COMPUTED_VALUE"""),FALSE)</f>
        <v>0</v>
      </c>
      <c r="AC372" s="30"/>
      <c r="AD372" s="30" t="b">
        <f ca="1">IFERROR(__xludf.DUMMYFUNCTION("""COMPUTED_VALUE"""),FALSE)</f>
        <v>0</v>
      </c>
      <c r="AE372" s="30"/>
      <c r="AF372" s="30" t="b">
        <f ca="1">IFERROR(__xludf.DUMMYFUNCTION("""COMPUTED_VALUE"""),FALSE)</f>
        <v>0</v>
      </c>
      <c r="AG372" s="30"/>
      <c r="AH372" s="30" t="str">
        <f ca="1">IFERROR(__xludf.DUMMYFUNCTION("""COMPUTED_VALUE"""),"Sin costo")</f>
        <v>Sin costo</v>
      </c>
      <c r="AI372" s="30"/>
      <c r="AJ372" s="30"/>
      <c r="AK372" s="30"/>
      <c r="AL372" s="30" t="str">
        <f ca="1">IFERROR(__xludf.DUMMYFUNCTION("""COMPUTED_VALUE"""),"ccardonav@guanajuato.gob.mx")</f>
        <v>ccardonav@guanajuato.gob.mx</v>
      </c>
      <c r="AM372" s="30" t="str">
        <f ca="1">IFERROR(__xludf.DUMMYFUNCTION("""COMPUTED_VALUE"""),"Arraigo y empoderamiento cultural de comunidades.")</f>
        <v>Arraigo y empoderamiento cultural de comunidades.</v>
      </c>
      <c r="AN372" s="30" t="str">
        <f ca="1">IFERROR(__xludf.DUMMYFUNCTION("""COMPUTED_VALUE"""),"1 Tranquilidad")</f>
        <v>1 Tranquilidad</v>
      </c>
      <c r="AO372" s="30" t="str">
        <f ca="1">IFERROR(__xludf.DUMMYFUNCTION("""COMPUTED_VALUE"""),"1.2 Fortalecer prevención del delito")</f>
        <v>1.2 Fortalecer prevención del delito</v>
      </c>
      <c r="AP372" s="30" t="str">
        <f ca="1">IFERROR(__xludf.DUMMYFUNCTION("""COMPUTED_VALUE"""),"1.2.2 Fortalecimiento del tejido social")</f>
        <v>1.2.2 Fortalecimiento del tejido social</v>
      </c>
      <c r="AQ372" s="30" t="str">
        <f ca="1">IFERROR(__xludf.DUMMYFUNCTION("""COMPUTED_VALUE"""),"1.2.3.4 Promover una cultura de paz desde las expresiones artísticas y culturales")</f>
        <v>1.2.3.4 Promover una cultura de paz desde las expresiones artísticas y culturales</v>
      </c>
      <c r="AR372" s="30" t="str">
        <f ca="1">IFERROR(__xludf.DUMMYFUNCTION("""COMPUTED_VALUE"""),"Cooperación")</f>
        <v>Cooperación</v>
      </c>
      <c r="AS372" s="30"/>
      <c r="AT372" s="30" t="str">
        <f ca="1">IFERROR(__xludf.DUMMYFUNCTION("""COMPUTED_VALUE"""),"Fortalecimiento de la participación ciudadana y la mediación cultural")</f>
        <v>Fortalecimiento de la participación ciudadana y la mediación cultural</v>
      </c>
      <c r="AU372" s="30" t="str">
        <f ca="1">IFERROR(__xludf.DUMMYFUNCTION("""COMPUTED_VALUE"""),"Impulso a la ampliación de la oferta cultural en los territorios.")</f>
        <v>Impulso a la ampliación de la oferta cultural en los territorios.</v>
      </c>
      <c r="AV37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2" s="30" t="str">
        <f ca="1">IFERROR(__xludf.DUMMYFUNCTION("""COMPUTED_VALUE"""),"Incrementar en 25% la oferta cultural realizada en los municipios.")</f>
        <v>Incrementar en 25% la oferta cultural realizada en los municipios.</v>
      </c>
      <c r="AX372" s="30" t="str">
        <f ca="1">IFERROR(__xludf.DUMMYFUNCTION("""COMPUTED_VALUE"""),"Visitas guiadas")</f>
        <v>Visitas guiadas</v>
      </c>
      <c r="AY372" s="30" t="str">
        <f ca="1">IFERROR(__xludf.DUMMYFUNCTION("""COMPUTED_VALUE"""),"Formación")</f>
        <v>Formación</v>
      </c>
      <c r="AZ372" s="30" t="str">
        <f ca="1">IFERROR(__xludf.DUMMYFUNCTION("""COMPUTED_VALUE"""),"Formación")</f>
        <v>Formación</v>
      </c>
      <c r="BA372" s="30"/>
      <c r="BB372" s="30"/>
      <c r="BC372" s="30">
        <f ca="1">IFERROR(__xludf.DUMMYFUNCTION("""COMPUTED_VALUE"""),0)</f>
        <v>0</v>
      </c>
      <c r="BD372" s="30"/>
      <c r="BE372" s="30"/>
      <c r="BF372" s="30" t="b">
        <f ca="1">IFERROR(__xludf.DUMMYFUNCTION("""COMPUTED_VALUE"""),FALSE)</f>
        <v>0</v>
      </c>
      <c r="BG372" s="30"/>
      <c r="BH372" s="30"/>
      <c r="BI372" s="30"/>
      <c r="BJ372" s="30"/>
      <c r="BK372" s="30"/>
      <c r="BL372" s="30"/>
      <c r="BM372" s="30" t="str">
        <f ca="1">IFERROR(__xludf.DUMMYFUNCTION("""COMPUTED_VALUE"""),"No")</f>
        <v>No</v>
      </c>
      <c r="BN372" s="30"/>
      <c r="BO372" s="30" t="str">
        <f ca="1">IFERROR(__xludf.DUMMYFUNCTION("""COMPUTED_VALUE"""),"1220a149")</f>
        <v>1220a149</v>
      </c>
      <c r="BP372" s="29" t="str">
        <f ca="1">IFERROR(__xludf.DUMMYFUNCTION("""COMPUTED_VALUE"""),"Guanajuato")</f>
        <v>Guanajuato</v>
      </c>
      <c r="BQ372" s="30" t="str">
        <f ca="1">IFERROR(__xludf.DUMMYFUNCTION("""COMPUTED_VALUE"""),"Urbano")</f>
        <v>Urbano</v>
      </c>
      <c r="BR372" s="30"/>
      <c r="BS372" s="30"/>
      <c r="BT372" s="30"/>
      <c r="BU372" s="30" t="str">
        <f ca="1">IFERROR(__xludf.DUMMYFUNCTION("""COMPUTED_VALUE"""),"No")</f>
        <v>No</v>
      </c>
      <c r="BV372" s="30" t="str">
        <f ca="1">IFERROR(__xludf.DUMMYFUNCTION("""COMPUTED_VALUE"""),"No")</f>
        <v>No</v>
      </c>
      <c r="BW372" s="30">
        <f ca="1">IFERROR(__xludf.DUMMYFUNCTION("""COMPUTED_VALUE"""),250)</f>
        <v>250</v>
      </c>
      <c r="BX372" s="30"/>
      <c r="BY372" s="30">
        <f ca="1">IFERROR(__xludf.DUMMYFUNCTION("""COMPUTED_VALUE"""),250)</f>
        <v>250</v>
      </c>
      <c r="BZ372" s="30"/>
      <c r="CA372" s="30" t="str">
        <f ca="1">IFERROR(__xludf.DUMMYFUNCTION("""COMPUTED_VALUE"""),"No")</f>
        <v>No</v>
      </c>
      <c r="CB372" s="30" t="str">
        <f ca="1">IFERROR(__xludf.DUMMYFUNCTION("""COMPUTED_VALUE"""),"No")</f>
        <v>No</v>
      </c>
      <c r="CC372" s="30" t="str">
        <f ca="1">IFERROR(__xludf.DUMMYFUNCTION("""COMPUTED_VALUE"""),"c355500d")</f>
        <v>c355500d</v>
      </c>
      <c r="CD372" s="29" t="str">
        <f ca="1">IFERROR(__xludf.DUMMYFUNCTION("""COMPUTED_VALUE"""),"Adolescentes (13 a 17 años)")</f>
        <v>Adolescentes (13 a 17 años)</v>
      </c>
      <c r="CE372" s="30" t="str">
        <f ca="1">IFERROR(__xludf.DUMMYFUNCTION("""COMPUTED_VALUE"""),"Dato global")</f>
        <v>Dato global</v>
      </c>
      <c r="CF372" s="30" t="str">
        <f ca="1">IFERROR(__xludf.DUMMYFUNCTION("""COMPUTED_VALUE"""),"Ninguno (Población General)")</f>
        <v>Ninguno (Población General)</v>
      </c>
      <c r="CG372" s="30">
        <f ca="1">IFERROR(__xludf.DUMMYFUNCTION("""COMPUTED_VALUE"""),42)</f>
        <v>42</v>
      </c>
      <c r="CJ372" s="29"/>
      <c r="CM372" s="30" t="str">
        <f ca="1">IFERROR(__xludf.DUMMYFUNCTION("""COMPUTED_VALUE"""),"Guanajuato")</f>
        <v>Guanajuato</v>
      </c>
      <c r="CN372" s="32" t="e">
        <f ca="1"/>
        <v>#NAME?</v>
      </c>
      <c r="CO372" s="32" t="e">
        <f ca="1"/>
        <v>#NAME?</v>
      </c>
      <c r="CP372" s="32" t="e">
        <f ca="1"/>
        <v>#NAME?</v>
      </c>
      <c r="CQ372" s="32" t="e">
        <f ca="1"/>
        <v>#NAME?</v>
      </c>
      <c r="CR372" s="30" t="e">
        <f ca="1"/>
        <v>#NAME?</v>
      </c>
      <c r="CS372" s="30" t="str">
        <f ca="1">IFERROR(__xludf.DUMMYFUNCTION("""COMPUTED_VALUE"""),"Ninguno (Población General)")</f>
        <v>Ninguno (Población General)</v>
      </c>
    </row>
    <row r="373" spans="1:97" ht="13">
      <c r="A373" s="29" t="str">
        <f ca="1">IFERROR(__xludf.DUMMYFUNCTION("""COMPUTED_VALUE"""),"ACT-SCMT80704")</f>
        <v>ACT-SCMT80704</v>
      </c>
      <c r="B373" s="30" t="str">
        <f ca="1">IFERROR(__xludf.DUMMYFUNCTION("""COMPUTED_VALUE"""),"SC-260911-122858")</f>
        <v>SC-260911-122858</v>
      </c>
      <c r="C373" s="62">
        <f ca="1">IFERROR(__xludf.DUMMYFUNCTION("""COMPUTED_VALUE"""),46276.5201157407)</f>
        <v>46276.520115740699</v>
      </c>
      <c r="D373" s="30">
        <f ca="1">IFERROR(__xludf.DUMMYFUNCTION("""COMPUTED_VALUE"""),92)</f>
        <v>92</v>
      </c>
      <c r="E373" s="30" t="str">
        <f ca="1">IFERROR(__xludf.DUMMYFUNCTION("""COMPUTED_VALUE"""),"PB3572")</f>
        <v>PB3572</v>
      </c>
      <c r="F37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3" s="30" t="str">
        <f ca="1">IFERROR(__xludf.DUMMYFUNCTION("""COMPUTED_VALUE"""),"SUBSECRETARÍA DE DESARROLLO Y PROMOCIÓN ARTÍSTICA Y CULTURAL")</f>
        <v>SUBSECRETARÍA DE DESARROLLO Y PROMOCIÓN ARTÍSTICA Y CULTURAL</v>
      </c>
      <c r="I373" s="34" t="str">
        <f ca="1">IFERROR(__xludf.DUMMYFUNCTION("""COMPUTED_VALUE"""),"DIRECCIÓN GENERAL DE MUSEOS, ARTES VISUALES Y EXPOSICIONES")</f>
        <v>DIRECCIÓN GENERAL DE MUSEOS, ARTES VISUALES Y EXPOSICIONES</v>
      </c>
      <c r="J373" s="30" t="str">
        <f ca="1">IFERROR(__xludf.DUMMYFUNCTION("""COMPUTED_VALUE"""),"Número de Actividades realizadas")</f>
        <v>Número de Actividades realizadas</v>
      </c>
      <c r="K373" s="30">
        <f ca="1">IFERROR(__xludf.DUMMYFUNCTION("""COMPUTED_VALUE"""),800)</f>
        <v>800</v>
      </c>
      <c r="L373" s="30" t="str">
        <f ca="1">IFERROR(__xludf.DUMMYFUNCTION("""COMPUTED_VALUE"""),"Artística")</f>
        <v>Artística</v>
      </c>
      <c r="M373" s="30" t="str">
        <f ca="1">IFERROR(__xludf.DUMMYFUNCTION("""COMPUTED_VALUE"""),"Visita guiada libre scout Gto")</f>
        <v>Visita guiada libre scout Gto</v>
      </c>
      <c r="N373" s="30" t="str">
        <f ca="1">IFERROR(__xludf.DUMMYFUNCTION("""COMPUTED_VALUE"""),"Recorrido guiado por el museo")</f>
        <v>Recorrido guiado por el museo</v>
      </c>
      <c r="O373" s="30" t="str">
        <f ca="1">IFERROR(__xludf.DUMMYFUNCTION("""COMPUTED_VALUE"""),"Única")</f>
        <v>Única</v>
      </c>
      <c r="P373" s="33">
        <f ca="1">IFERROR(__xludf.DUMMYFUNCTION("""COMPUTED_VALUE"""),46248)</f>
        <v>46248</v>
      </c>
      <c r="Q373" s="33">
        <f ca="1">IFERROR(__xludf.DUMMYFUNCTION("""COMPUTED_VALUE"""),46248)</f>
        <v>46248</v>
      </c>
      <c r="R373" s="30">
        <f ca="1">IFERROR(__xludf.DUMMYFUNCTION("""COMPUTED_VALUE"""),1)</f>
        <v>1</v>
      </c>
      <c r="S373" s="30" t="str">
        <f ca="1">IFERROR(__xludf.DUMMYFUNCTION("""COMPUTED_VALUE"""),"Cultura comunitaria")</f>
        <v>Cultura comunitaria</v>
      </c>
      <c r="T373" s="30" t="str">
        <f ca="1">IFERROR(__xludf.DUMMYFUNCTION("""COMPUTED_VALUE"""),"Formación comunitaria")</f>
        <v>Formación comunitaria</v>
      </c>
      <c r="U373" s="30" t="str">
        <f ca="1">IFERROR(__xludf.DUMMYFUNCTION("""COMPUTED_VALUE"""),"Visitas guiadas")</f>
        <v>Visitas guiadas</v>
      </c>
      <c r="V373" s="30" t="str">
        <f ca="1">IFERROR(__xludf.DUMMYFUNCTION("""COMPUTED_VALUE"""),"Ninguna")</f>
        <v>Ninguna</v>
      </c>
      <c r="W373" s="30" t="str">
        <f ca="1">IFERROR(__xludf.DUMMYFUNCTION("""COMPUTED_VALUE"""),"Presencial")</f>
        <v>Presencial</v>
      </c>
      <c r="X373" s="30" t="str">
        <f ca="1">IFERROR(__xludf.DUMMYFUNCTION("""COMPUTED_VALUE"""),"Espacio a Cargo de la Secretaría")</f>
        <v>Espacio a Cargo de la Secretaría</v>
      </c>
      <c r="Y373" s="30" t="str">
        <f ca="1">IFERROR(__xludf.DUMMYFUNCTION("""COMPUTED_VALUE"""),"Museo del Pueblo de Guanajuato")</f>
        <v>Museo del Pueblo de Guanajuato</v>
      </c>
      <c r="Z373" s="30"/>
      <c r="AA373" s="30"/>
      <c r="AB373" s="30" t="b">
        <f ca="1">IFERROR(__xludf.DUMMYFUNCTION("""COMPUTED_VALUE"""),FALSE)</f>
        <v>0</v>
      </c>
      <c r="AC373" s="30"/>
      <c r="AD373" s="30" t="b">
        <f ca="1">IFERROR(__xludf.DUMMYFUNCTION("""COMPUTED_VALUE"""),FALSE)</f>
        <v>0</v>
      </c>
      <c r="AE373" s="30"/>
      <c r="AF373" s="30" t="b">
        <f ca="1">IFERROR(__xludf.DUMMYFUNCTION("""COMPUTED_VALUE"""),FALSE)</f>
        <v>0</v>
      </c>
      <c r="AG373" s="30"/>
      <c r="AH373" s="30" t="str">
        <f ca="1">IFERROR(__xludf.DUMMYFUNCTION("""COMPUTED_VALUE"""),"Sin costo")</f>
        <v>Sin costo</v>
      </c>
      <c r="AI373" s="30"/>
      <c r="AJ373" s="30"/>
      <c r="AK373" s="30"/>
      <c r="AL373" s="30" t="str">
        <f ca="1">IFERROR(__xludf.DUMMYFUNCTION("""COMPUTED_VALUE"""),"ccardonav@guanajuato.gob.mx")</f>
        <v>ccardonav@guanajuato.gob.mx</v>
      </c>
      <c r="AM373" s="30" t="str">
        <f ca="1">IFERROR(__xludf.DUMMYFUNCTION("""COMPUTED_VALUE"""),"Arraigo y empoderamiento cultural de comunidades.")</f>
        <v>Arraigo y empoderamiento cultural de comunidades.</v>
      </c>
      <c r="AN373" s="30" t="str">
        <f ca="1">IFERROR(__xludf.DUMMYFUNCTION("""COMPUTED_VALUE"""),"1 Tranquilidad")</f>
        <v>1 Tranquilidad</v>
      </c>
      <c r="AO373" s="30" t="str">
        <f ca="1">IFERROR(__xludf.DUMMYFUNCTION("""COMPUTED_VALUE"""),"1.2 Fortalecer prevención del delito")</f>
        <v>1.2 Fortalecer prevención del delito</v>
      </c>
      <c r="AP373" s="30" t="str">
        <f ca="1">IFERROR(__xludf.DUMMYFUNCTION("""COMPUTED_VALUE"""),"1.2.2 Fortalecimiento del tejido social")</f>
        <v>1.2.2 Fortalecimiento del tejido social</v>
      </c>
      <c r="AQ373" s="30" t="str">
        <f ca="1">IFERROR(__xludf.DUMMYFUNCTION("""COMPUTED_VALUE"""),"1.2.3.4 Promover una cultura de paz desde las expresiones artísticas y culturales")</f>
        <v>1.2.3.4 Promover una cultura de paz desde las expresiones artísticas y culturales</v>
      </c>
      <c r="AR373" s="30" t="str">
        <f ca="1">IFERROR(__xludf.DUMMYFUNCTION("""COMPUTED_VALUE"""),"Cooperación")</f>
        <v>Cooperación</v>
      </c>
      <c r="AS373" s="30"/>
      <c r="AT373" s="30" t="str">
        <f ca="1">IFERROR(__xludf.DUMMYFUNCTION("""COMPUTED_VALUE"""),"Fortalecimiento de la participación ciudadana y la mediación cultural")</f>
        <v>Fortalecimiento de la participación ciudadana y la mediación cultural</v>
      </c>
      <c r="AU373" s="30" t="str">
        <f ca="1">IFERROR(__xludf.DUMMYFUNCTION("""COMPUTED_VALUE"""),"Impulso a la ampliación de la oferta cultural en los territorios.")</f>
        <v>Impulso a la ampliación de la oferta cultural en los territorios.</v>
      </c>
      <c r="AV37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3" s="30" t="str">
        <f ca="1">IFERROR(__xludf.DUMMYFUNCTION("""COMPUTED_VALUE"""),"Incrementar en 25% la oferta cultural realizada en los municipios.")</f>
        <v>Incrementar en 25% la oferta cultural realizada en los municipios.</v>
      </c>
      <c r="AX373" s="30" t="str">
        <f ca="1">IFERROR(__xludf.DUMMYFUNCTION("""COMPUTED_VALUE"""),"Visitas guiadas")</f>
        <v>Visitas guiadas</v>
      </c>
      <c r="AY373" s="30" t="str">
        <f ca="1">IFERROR(__xludf.DUMMYFUNCTION("""COMPUTED_VALUE"""),"Formación")</f>
        <v>Formación</v>
      </c>
      <c r="AZ373" s="30" t="str">
        <f ca="1">IFERROR(__xludf.DUMMYFUNCTION("""COMPUTED_VALUE"""),"Formación")</f>
        <v>Formación</v>
      </c>
      <c r="BA373" s="30"/>
      <c r="BB373" s="30"/>
      <c r="BC373" s="30">
        <f ca="1">IFERROR(__xludf.DUMMYFUNCTION("""COMPUTED_VALUE"""),0)</f>
        <v>0</v>
      </c>
      <c r="BD373" s="30"/>
      <c r="BE373" s="30"/>
      <c r="BF373" s="30" t="b">
        <f ca="1">IFERROR(__xludf.DUMMYFUNCTION("""COMPUTED_VALUE"""),FALSE)</f>
        <v>0</v>
      </c>
      <c r="BG373" s="30"/>
      <c r="BH373" s="30"/>
      <c r="BI373" s="30"/>
      <c r="BJ373" s="30"/>
      <c r="BK373" s="30"/>
      <c r="BL373" s="30"/>
      <c r="BM373" s="30" t="str">
        <f ca="1">IFERROR(__xludf.DUMMYFUNCTION("""COMPUTED_VALUE"""),"No")</f>
        <v>No</v>
      </c>
      <c r="BN373" s="30"/>
      <c r="BO373" s="30" t="str">
        <f ca="1">IFERROR(__xludf.DUMMYFUNCTION("""COMPUTED_VALUE"""),"a3e8ced4")</f>
        <v>a3e8ced4</v>
      </c>
      <c r="BP373" s="29" t="str">
        <f ca="1">IFERROR(__xludf.DUMMYFUNCTION("""COMPUTED_VALUE"""),"Guanajuato")</f>
        <v>Guanajuato</v>
      </c>
      <c r="BQ373" s="30" t="str">
        <f ca="1">IFERROR(__xludf.DUMMYFUNCTION("""COMPUTED_VALUE"""),"Urbano")</f>
        <v>Urbano</v>
      </c>
      <c r="BR373" s="30"/>
      <c r="BS373" s="30"/>
      <c r="BT373" s="30"/>
      <c r="BU373" s="30" t="str">
        <f ca="1">IFERROR(__xludf.DUMMYFUNCTION("""COMPUTED_VALUE"""),"No")</f>
        <v>No</v>
      </c>
      <c r="BV373" s="30" t="str">
        <f ca="1">IFERROR(__xludf.DUMMYFUNCTION("""COMPUTED_VALUE"""),"No")</f>
        <v>No</v>
      </c>
      <c r="BW373" s="30">
        <f ca="1">IFERROR(__xludf.DUMMYFUNCTION("""COMPUTED_VALUE"""),82)</f>
        <v>82</v>
      </c>
      <c r="BX373" s="30"/>
      <c r="BY373" s="30">
        <f ca="1">IFERROR(__xludf.DUMMYFUNCTION("""COMPUTED_VALUE"""),82)</f>
        <v>82</v>
      </c>
      <c r="BZ373" s="30"/>
      <c r="CA373" s="30" t="str">
        <f ca="1">IFERROR(__xludf.DUMMYFUNCTION("""COMPUTED_VALUE"""),"No")</f>
        <v>No</v>
      </c>
      <c r="CB373" s="30" t="str">
        <f ca="1">IFERROR(__xludf.DUMMYFUNCTION("""COMPUTED_VALUE"""),"No")</f>
        <v>No</v>
      </c>
      <c r="CC373" s="30" t="str">
        <f ca="1">IFERROR(__xludf.DUMMYFUNCTION("""COMPUTED_VALUE"""),"be5e2b6f")</f>
        <v>be5e2b6f</v>
      </c>
      <c r="CD373" s="29" t="str">
        <f ca="1">IFERROR(__xludf.DUMMYFUNCTION("""COMPUTED_VALUE"""),"Adultos (30 a 59 años)")</f>
        <v>Adultos (30 a 59 años)</v>
      </c>
      <c r="CE373" s="30" t="str">
        <f ca="1">IFERROR(__xludf.DUMMYFUNCTION("""COMPUTED_VALUE"""),"Dato global")</f>
        <v>Dato global</v>
      </c>
      <c r="CF373" s="30" t="str">
        <f ca="1">IFERROR(__xludf.DUMMYFUNCTION("""COMPUTED_VALUE"""),"Ninguno (Población General)")</f>
        <v>Ninguno (Población General)</v>
      </c>
      <c r="CG373" s="30">
        <f ca="1">IFERROR(__xludf.DUMMYFUNCTION("""COMPUTED_VALUE"""),2)</f>
        <v>2</v>
      </c>
      <c r="CJ373" s="29"/>
      <c r="CM373" s="30" t="str">
        <f ca="1">IFERROR(__xludf.DUMMYFUNCTION("""COMPUTED_VALUE"""),"Guanajuato")</f>
        <v>Guanajuato</v>
      </c>
      <c r="CN373" s="32" t="e">
        <f ca="1"/>
        <v>#NAME?</v>
      </c>
      <c r="CO373" s="32" t="e">
        <f ca="1"/>
        <v>#NAME?</v>
      </c>
      <c r="CP373" s="32" t="e">
        <f ca="1"/>
        <v>#NAME?</v>
      </c>
      <c r="CQ373" s="32" t="e">
        <f ca="1"/>
        <v>#NAME?</v>
      </c>
      <c r="CR373" s="30" t="e">
        <f ca="1"/>
        <v>#NAME?</v>
      </c>
      <c r="CS373" s="30" t="str">
        <f ca="1">IFERROR(__xludf.DUMMYFUNCTION("""COMPUTED_VALUE"""),"Ninguno (Población General)")</f>
        <v>Ninguno (Población General)</v>
      </c>
    </row>
    <row r="374" spans="1:97" ht="13">
      <c r="A374" s="29" t="str">
        <f ca="1">IFERROR(__xludf.DUMMYFUNCTION("""COMPUTED_VALUE"""),"ACT-SCSE03136")</f>
        <v>ACT-SCSE03136</v>
      </c>
      <c r="B374" s="30" t="str">
        <f ca="1">IFERROR(__xludf.DUMMYFUNCTION("""COMPUTED_VALUE"""),"SC-260911-123953")</f>
        <v>SC-260911-123953</v>
      </c>
      <c r="C374" s="62">
        <f ca="1">IFERROR(__xludf.DUMMYFUNCTION("""COMPUTED_VALUE"""),46276.5276967592)</f>
        <v>46276.5276967592</v>
      </c>
      <c r="D374" s="30">
        <f ca="1">IFERROR(__xludf.DUMMYFUNCTION("""COMPUTED_VALUE"""),92)</f>
        <v>92</v>
      </c>
      <c r="E374" s="30" t="str">
        <f ca="1">IFERROR(__xludf.DUMMYFUNCTION("""COMPUTED_VALUE"""),"PB3572")</f>
        <v>PB3572</v>
      </c>
      <c r="F37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4" s="30" t="str">
        <f ca="1">IFERROR(__xludf.DUMMYFUNCTION("""COMPUTED_VALUE"""),"SUBSECRETARÍA DE DESARROLLO Y PROMOCIÓN ARTÍSTICA Y CULTURAL")</f>
        <v>SUBSECRETARÍA DE DESARROLLO Y PROMOCIÓN ARTÍSTICA Y CULTURAL</v>
      </c>
      <c r="I374" s="34" t="str">
        <f ca="1">IFERROR(__xludf.DUMMYFUNCTION("""COMPUTED_VALUE"""),"DIRECCIÓN GENERAL DE MUSEOS, ARTES VISUALES Y EXPOSICIONES")</f>
        <v>DIRECCIÓN GENERAL DE MUSEOS, ARTES VISUALES Y EXPOSICIONES</v>
      </c>
      <c r="J374" s="30" t="str">
        <f ca="1">IFERROR(__xludf.DUMMYFUNCTION("""COMPUTED_VALUE"""),"Número de Actividades realizadas")</f>
        <v>Número de Actividades realizadas</v>
      </c>
      <c r="K374" s="30">
        <f ca="1">IFERROR(__xludf.DUMMYFUNCTION("""COMPUTED_VALUE"""),800)</f>
        <v>800</v>
      </c>
      <c r="L374" s="30" t="str">
        <f ca="1">IFERROR(__xludf.DUMMYFUNCTION("""COMPUTED_VALUE"""),"Artística")</f>
        <v>Artística</v>
      </c>
      <c r="M374" s="30" t="str">
        <f ca="1">IFERROR(__xludf.DUMMYFUNCTION("""COMPUTED_VALUE"""),"Visita guiada CIANNA")</f>
        <v>Visita guiada CIANNA</v>
      </c>
      <c r="N374" s="30" t="str">
        <f ca="1">IFERROR(__xludf.DUMMYFUNCTION("""COMPUTED_VALUE"""),"Recorrido guiado por el museo")</f>
        <v>Recorrido guiado por el museo</v>
      </c>
      <c r="O374" s="30" t="str">
        <f ca="1">IFERROR(__xludf.DUMMYFUNCTION("""COMPUTED_VALUE"""),"Única")</f>
        <v>Única</v>
      </c>
      <c r="P374" s="33">
        <f ca="1">IFERROR(__xludf.DUMMYFUNCTION("""COMPUTED_VALUE"""),46252)</f>
        <v>46252</v>
      </c>
      <c r="Q374" s="33">
        <f ca="1">IFERROR(__xludf.DUMMYFUNCTION("""COMPUTED_VALUE"""),46252)</f>
        <v>46252</v>
      </c>
      <c r="R374" s="30">
        <f ca="1">IFERROR(__xludf.DUMMYFUNCTION("""COMPUTED_VALUE"""),1)</f>
        <v>1</v>
      </c>
      <c r="S374" s="30" t="str">
        <f ca="1">IFERROR(__xludf.DUMMYFUNCTION("""COMPUTED_VALUE"""),"Cultura comunitaria")</f>
        <v>Cultura comunitaria</v>
      </c>
      <c r="T374" s="30" t="str">
        <f ca="1">IFERROR(__xludf.DUMMYFUNCTION("""COMPUTED_VALUE"""),"Formación comunitaria")</f>
        <v>Formación comunitaria</v>
      </c>
      <c r="U374" s="30" t="str">
        <f ca="1">IFERROR(__xludf.DUMMYFUNCTION("""COMPUTED_VALUE"""),"Visitas guiadas")</f>
        <v>Visitas guiadas</v>
      </c>
      <c r="V374" s="30" t="str">
        <f ca="1">IFERROR(__xludf.DUMMYFUNCTION("""COMPUTED_VALUE"""),"Ninguna")</f>
        <v>Ninguna</v>
      </c>
      <c r="W374" s="30" t="str">
        <f ca="1">IFERROR(__xludf.DUMMYFUNCTION("""COMPUTED_VALUE"""),"Presencial")</f>
        <v>Presencial</v>
      </c>
      <c r="X374" s="30" t="str">
        <f ca="1">IFERROR(__xludf.DUMMYFUNCTION("""COMPUTED_VALUE"""),"Espacio a Cargo de la Secretaría")</f>
        <v>Espacio a Cargo de la Secretaría</v>
      </c>
      <c r="Y374" s="30" t="str">
        <f ca="1">IFERROR(__xludf.DUMMYFUNCTION("""COMPUTED_VALUE"""),"Museo del Pueblo de Guanajuato")</f>
        <v>Museo del Pueblo de Guanajuato</v>
      </c>
      <c r="Z374" s="30"/>
      <c r="AA374" s="30"/>
      <c r="AB374" s="30" t="b">
        <f ca="1">IFERROR(__xludf.DUMMYFUNCTION("""COMPUTED_VALUE"""),FALSE)</f>
        <v>0</v>
      </c>
      <c r="AC374" s="30"/>
      <c r="AD374" s="30" t="b">
        <f ca="1">IFERROR(__xludf.DUMMYFUNCTION("""COMPUTED_VALUE"""),FALSE)</f>
        <v>0</v>
      </c>
      <c r="AE374" s="30"/>
      <c r="AF374" s="30" t="b">
        <f ca="1">IFERROR(__xludf.DUMMYFUNCTION("""COMPUTED_VALUE"""),FALSE)</f>
        <v>0</v>
      </c>
      <c r="AG374" s="30"/>
      <c r="AH374" s="30" t="str">
        <f ca="1">IFERROR(__xludf.DUMMYFUNCTION("""COMPUTED_VALUE"""),"Sin costo")</f>
        <v>Sin costo</v>
      </c>
      <c r="AI374" s="30"/>
      <c r="AJ374" s="30"/>
      <c r="AK374" s="30"/>
      <c r="AL374" s="30" t="str">
        <f ca="1">IFERROR(__xludf.DUMMYFUNCTION("""COMPUTED_VALUE"""),"ccardonav@guanajuato.gob.mx")</f>
        <v>ccardonav@guanajuato.gob.mx</v>
      </c>
      <c r="AM374" s="30" t="str">
        <f ca="1">IFERROR(__xludf.DUMMYFUNCTION("""COMPUTED_VALUE"""),"Arraigo y empoderamiento cultural de comunidades.")</f>
        <v>Arraigo y empoderamiento cultural de comunidades.</v>
      </c>
      <c r="AN374" s="30" t="str">
        <f ca="1">IFERROR(__xludf.DUMMYFUNCTION("""COMPUTED_VALUE"""),"1 Tranquilidad")</f>
        <v>1 Tranquilidad</v>
      </c>
      <c r="AO374" s="30" t="str">
        <f ca="1">IFERROR(__xludf.DUMMYFUNCTION("""COMPUTED_VALUE"""),"1.2 Fortalecer prevención del delito")</f>
        <v>1.2 Fortalecer prevención del delito</v>
      </c>
      <c r="AP374" s="30" t="str">
        <f ca="1">IFERROR(__xludf.DUMMYFUNCTION("""COMPUTED_VALUE"""),"1.2.2 Fortalecimiento del tejido social")</f>
        <v>1.2.2 Fortalecimiento del tejido social</v>
      </c>
      <c r="AQ374" s="30" t="str">
        <f ca="1">IFERROR(__xludf.DUMMYFUNCTION("""COMPUTED_VALUE"""),"1.2.3.4 Promover una cultura de paz desde las expresiones artísticas y culturales")</f>
        <v>1.2.3.4 Promover una cultura de paz desde las expresiones artísticas y culturales</v>
      </c>
      <c r="AR374" s="30" t="str">
        <f ca="1">IFERROR(__xludf.DUMMYFUNCTION("""COMPUTED_VALUE"""),"Inclusión")</f>
        <v>Inclusión</v>
      </c>
      <c r="AS374" s="30" t="str">
        <f ca="1">IFERROR(__xludf.DUMMYFUNCTION("""COMPUTED_VALUE"""),"Jóvenes en riesgo")</f>
        <v>Jóvenes en riesgo</v>
      </c>
      <c r="AT374" s="30" t="str">
        <f ca="1">IFERROR(__xludf.DUMMYFUNCTION("""COMPUTED_VALUE"""),"Fortalecimiento de la participación ciudadana y la mediación cultural")</f>
        <v>Fortalecimiento de la participación ciudadana y la mediación cultural</v>
      </c>
      <c r="AU374" s="30" t="str">
        <f ca="1">IFERROR(__xludf.DUMMYFUNCTION("""COMPUTED_VALUE"""),"Impulso a la ampliación de la oferta cultural en los territorios.")</f>
        <v>Impulso a la ampliación de la oferta cultural en los territorios.</v>
      </c>
      <c r="AV37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4" s="30" t="str">
        <f ca="1">IFERROR(__xludf.DUMMYFUNCTION("""COMPUTED_VALUE"""),"Incrementar en 25% la oferta cultural realizada en los municipios.")</f>
        <v>Incrementar en 25% la oferta cultural realizada en los municipios.</v>
      </c>
      <c r="AX374" s="30" t="str">
        <f ca="1">IFERROR(__xludf.DUMMYFUNCTION("""COMPUTED_VALUE"""),"Visitas guiadas")</f>
        <v>Visitas guiadas</v>
      </c>
      <c r="AY374" s="30" t="str">
        <f ca="1">IFERROR(__xludf.DUMMYFUNCTION("""COMPUTED_VALUE"""),"Formación")</f>
        <v>Formación</v>
      </c>
      <c r="AZ374" s="30" t="str">
        <f ca="1">IFERROR(__xludf.DUMMYFUNCTION("""COMPUTED_VALUE"""),"Formación")</f>
        <v>Formación</v>
      </c>
      <c r="BA374" s="30"/>
      <c r="BB374" s="30"/>
      <c r="BC374" s="30">
        <f ca="1">IFERROR(__xludf.DUMMYFUNCTION("""COMPUTED_VALUE"""),0)</f>
        <v>0</v>
      </c>
      <c r="BD374" s="30"/>
      <c r="BE374" s="30"/>
      <c r="BF374" s="30" t="b">
        <f ca="1">IFERROR(__xludf.DUMMYFUNCTION("""COMPUTED_VALUE"""),FALSE)</f>
        <v>0</v>
      </c>
      <c r="BG374" s="30"/>
      <c r="BH374" s="30"/>
      <c r="BI374" s="30"/>
      <c r="BJ374" s="30"/>
      <c r="BK374" s="30"/>
      <c r="BL374" s="30"/>
      <c r="BM374" s="30" t="str">
        <f ca="1">IFERROR(__xludf.DUMMYFUNCTION("""COMPUTED_VALUE"""),"No")</f>
        <v>No</v>
      </c>
      <c r="BN374" s="30"/>
      <c r="BO374" s="30" t="str">
        <f ca="1">IFERROR(__xludf.DUMMYFUNCTION("""COMPUTED_VALUE"""),"ab6a1461")</f>
        <v>ab6a1461</v>
      </c>
      <c r="BP374" s="29" t="str">
        <f ca="1">IFERROR(__xludf.DUMMYFUNCTION("""COMPUTED_VALUE"""),"Guanajuato")</f>
        <v>Guanajuato</v>
      </c>
      <c r="BQ374" s="30" t="str">
        <f ca="1">IFERROR(__xludf.DUMMYFUNCTION("""COMPUTED_VALUE"""),"Urbano")</f>
        <v>Urbano</v>
      </c>
      <c r="BR374" s="30">
        <f ca="1">IFERROR(__xludf.DUMMYFUNCTION("""COMPUTED_VALUE"""),49)</f>
        <v>49</v>
      </c>
      <c r="BS374" s="30" t="str">
        <f ca="1">IFERROR(__xludf.DUMMYFUNCTION("""COMPUTED_VALUE"""),"Guanajuato")</f>
        <v>Guanajuato</v>
      </c>
      <c r="BT374" s="30"/>
      <c r="BU374" s="30" t="str">
        <f ca="1">IFERROR(__xludf.DUMMYFUNCTION("""COMPUTED_VALUE"""),"Si")</f>
        <v>Si</v>
      </c>
      <c r="BV374" s="30" t="str">
        <f ca="1">IFERROR(__xludf.DUMMYFUNCTION("""COMPUTED_VALUE"""),"Si")</f>
        <v>Si</v>
      </c>
      <c r="BW374" s="30">
        <f ca="1">IFERROR(__xludf.DUMMYFUNCTION("""COMPUTED_VALUE"""),28)</f>
        <v>28</v>
      </c>
      <c r="BX374" s="30"/>
      <c r="BY374" s="30">
        <f ca="1">IFERROR(__xludf.DUMMYFUNCTION("""COMPUTED_VALUE"""),28)</f>
        <v>28</v>
      </c>
      <c r="BZ374" s="30" t="str">
        <f ca="1">IFERROR(__xludf.DUMMYFUNCTION("""COMPUTED_VALUE"""),"Guanajuato")</f>
        <v>Guanajuato</v>
      </c>
      <c r="CA374" s="30" t="str">
        <f ca="1">IFERROR(__xludf.DUMMYFUNCTION("""COMPUTED_VALUE"""),"No")</f>
        <v>No</v>
      </c>
      <c r="CB374" s="30" t="str">
        <f ca="1">IFERROR(__xludf.DUMMYFUNCTION("""COMPUTED_VALUE"""),"No")</f>
        <v>No</v>
      </c>
      <c r="CC374" s="30" t="str">
        <f ca="1">IFERROR(__xludf.DUMMYFUNCTION("""COMPUTED_VALUE"""),"cd8a2c30")</f>
        <v>cd8a2c30</v>
      </c>
      <c r="CD374" s="29" t="str">
        <f ca="1">IFERROR(__xludf.DUMMYFUNCTION("""COMPUTED_VALUE"""),"Niñas y Niños (6 a 12 años)")</f>
        <v>Niñas y Niños (6 a 12 años)</v>
      </c>
      <c r="CE374" s="30" t="str">
        <f ca="1">IFERROR(__xludf.DUMMYFUNCTION("""COMPUTED_VALUE"""),"Dato global")</f>
        <v>Dato global</v>
      </c>
      <c r="CF374" s="30" t="str">
        <f ca="1">IFERROR(__xludf.DUMMYFUNCTION("""COMPUTED_VALUE"""),"Ninguno (Población General)")</f>
        <v>Ninguno (Población General)</v>
      </c>
      <c r="CG374" s="30">
        <f ca="1">IFERROR(__xludf.DUMMYFUNCTION("""COMPUTED_VALUE"""),27)</f>
        <v>27</v>
      </c>
      <c r="CJ374" s="29"/>
      <c r="CM374" s="30" t="str">
        <f ca="1">IFERROR(__xludf.DUMMYFUNCTION("""COMPUTED_VALUE"""),"Guanajuato")</f>
        <v>Guanajuato</v>
      </c>
      <c r="CN374" s="32" t="e">
        <f ca="1"/>
        <v>#NAME?</v>
      </c>
      <c r="CO374" s="32" t="e">
        <f ca="1"/>
        <v>#NAME?</v>
      </c>
      <c r="CP374" s="32" t="e">
        <f ca="1"/>
        <v>#NAME?</v>
      </c>
      <c r="CQ374" s="32" t="e">
        <f ca="1"/>
        <v>#NAME?</v>
      </c>
      <c r="CR374" s="30" t="e">
        <f ca="1"/>
        <v>#NAME?</v>
      </c>
      <c r="CS374" s="30" t="str">
        <f ca="1">IFERROR(__xludf.DUMMYFUNCTION("""COMPUTED_VALUE"""),"Ninguno (Población General)")</f>
        <v>Ninguno (Población General)</v>
      </c>
    </row>
    <row r="375" spans="1:97" ht="13">
      <c r="A375" s="29" t="str">
        <f ca="1">IFERROR(__xludf.DUMMYFUNCTION("""COMPUTED_VALUE"""),"ACT-SCHE47742")</f>
        <v>ACT-SCHE47742</v>
      </c>
      <c r="B375" s="30" t="str">
        <f ca="1">IFERROR(__xludf.DUMMYFUNCTION("""COMPUTED_VALUE"""),"SC-260911-125850")</f>
        <v>SC-260911-125850</v>
      </c>
      <c r="C375" s="62">
        <f ca="1">IFERROR(__xludf.DUMMYFUNCTION("""COMPUTED_VALUE"""),46276.5408564814)</f>
        <v>46276.540856481399</v>
      </c>
      <c r="D375" s="30">
        <f ca="1">IFERROR(__xludf.DUMMYFUNCTION("""COMPUTED_VALUE"""),92)</f>
        <v>92</v>
      </c>
      <c r="E375" s="30" t="str">
        <f ca="1">IFERROR(__xludf.DUMMYFUNCTION("""COMPUTED_VALUE"""),"PB3572")</f>
        <v>PB3572</v>
      </c>
      <c r="F37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5" s="30" t="str">
        <f ca="1">IFERROR(__xludf.DUMMYFUNCTION("""COMPUTED_VALUE"""),"SUBSECRETARÍA DE DESARROLLO Y PROMOCIÓN ARTÍSTICA Y CULTURAL")</f>
        <v>SUBSECRETARÍA DE DESARROLLO Y PROMOCIÓN ARTÍSTICA Y CULTURAL</v>
      </c>
      <c r="I375" s="34" t="str">
        <f ca="1">IFERROR(__xludf.DUMMYFUNCTION("""COMPUTED_VALUE"""),"DIRECCIÓN GENERAL DE MUSEOS, ARTES VISUALES Y EXPOSICIONES")</f>
        <v>DIRECCIÓN GENERAL DE MUSEOS, ARTES VISUALES Y EXPOSICIONES</v>
      </c>
      <c r="J375" s="30" t="str">
        <f ca="1">IFERROR(__xludf.DUMMYFUNCTION("""COMPUTED_VALUE"""),"Número de Actividades realizadas")</f>
        <v>Número de Actividades realizadas</v>
      </c>
      <c r="K375" s="30">
        <f ca="1">IFERROR(__xludf.DUMMYFUNCTION("""COMPUTED_VALUE"""),800)</f>
        <v>800</v>
      </c>
      <c r="L375" s="30" t="str">
        <f ca="1">IFERROR(__xludf.DUMMYFUNCTION("""COMPUTED_VALUE"""),"Artística")</f>
        <v>Artística</v>
      </c>
      <c r="M375" s="30" t="str">
        <f ca="1">IFERROR(__xludf.DUMMYFUNCTION("""COMPUTED_VALUE"""),"Visita guiada Escuela de Diseño")</f>
        <v>Visita guiada Escuela de Diseño</v>
      </c>
      <c r="N375" s="30" t="str">
        <f ca="1">IFERROR(__xludf.DUMMYFUNCTION("""COMPUTED_VALUE"""),"Recorrido guiado por el museo")</f>
        <v>Recorrido guiado por el museo</v>
      </c>
      <c r="O375" s="30" t="str">
        <f ca="1">IFERROR(__xludf.DUMMYFUNCTION("""COMPUTED_VALUE"""),"Única")</f>
        <v>Única</v>
      </c>
      <c r="P375" s="33">
        <f ca="1">IFERROR(__xludf.DUMMYFUNCTION("""COMPUTED_VALUE"""),46259)</f>
        <v>46259</v>
      </c>
      <c r="Q375" s="33">
        <f ca="1">IFERROR(__xludf.DUMMYFUNCTION("""COMPUTED_VALUE"""),46259)</f>
        <v>46259</v>
      </c>
      <c r="R375" s="30">
        <f ca="1">IFERROR(__xludf.DUMMYFUNCTION("""COMPUTED_VALUE"""),1)</f>
        <v>1</v>
      </c>
      <c r="S375" s="30" t="str">
        <f ca="1">IFERROR(__xludf.DUMMYFUNCTION("""COMPUTED_VALUE"""),"Cultura comunitaria")</f>
        <v>Cultura comunitaria</v>
      </c>
      <c r="T375" s="30" t="str">
        <f ca="1">IFERROR(__xludf.DUMMYFUNCTION("""COMPUTED_VALUE"""),"Formación comunitaria")</f>
        <v>Formación comunitaria</v>
      </c>
      <c r="U375" s="30" t="str">
        <f ca="1">IFERROR(__xludf.DUMMYFUNCTION("""COMPUTED_VALUE"""),"Visitas guiadas")</f>
        <v>Visitas guiadas</v>
      </c>
      <c r="V375" s="30" t="str">
        <f ca="1">IFERROR(__xludf.DUMMYFUNCTION("""COMPUTED_VALUE"""),"Ninguna")</f>
        <v>Ninguna</v>
      </c>
      <c r="W375" s="30" t="str">
        <f ca="1">IFERROR(__xludf.DUMMYFUNCTION("""COMPUTED_VALUE"""),"Presencial")</f>
        <v>Presencial</v>
      </c>
      <c r="X375" s="30" t="str">
        <f ca="1">IFERROR(__xludf.DUMMYFUNCTION("""COMPUTED_VALUE"""),"Espacio a Cargo de la Secretaría")</f>
        <v>Espacio a Cargo de la Secretaría</v>
      </c>
      <c r="Y375" s="30" t="str">
        <f ca="1">IFERROR(__xludf.DUMMYFUNCTION("""COMPUTED_VALUE"""),"Museo del Pueblo de Guanajuato")</f>
        <v>Museo del Pueblo de Guanajuato</v>
      </c>
      <c r="Z375" s="30"/>
      <c r="AA375" s="30"/>
      <c r="AB375" s="30" t="b">
        <f ca="1">IFERROR(__xludf.DUMMYFUNCTION("""COMPUTED_VALUE"""),FALSE)</f>
        <v>0</v>
      </c>
      <c r="AC375" s="30"/>
      <c r="AD375" s="30" t="b">
        <f ca="1">IFERROR(__xludf.DUMMYFUNCTION("""COMPUTED_VALUE"""),FALSE)</f>
        <v>0</v>
      </c>
      <c r="AE375" s="30"/>
      <c r="AF375" s="30" t="b">
        <f ca="1">IFERROR(__xludf.DUMMYFUNCTION("""COMPUTED_VALUE"""),FALSE)</f>
        <v>0</v>
      </c>
      <c r="AG375" s="30"/>
      <c r="AH375" s="30" t="str">
        <f ca="1">IFERROR(__xludf.DUMMYFUNCTION("""COMPUTED_VALUE"""),"Sin costo")</f>
        <v>Sin costo</v>
      </c>
      <c r="AI375" s="30"/>
      <c r="AJ375" s="30"/>
      <c r="AK375" s="30"/>
      <c r="AL375" s="30" t="str">
        <f ca="1">IFERROR(__xludf.DUMMYFUNCTION("""COMPUTED_VALUE"""),"ccardonav@guanajuato.gob.mx")</f>
        <v>ccardonav@guanajuato.gob.mx</v>
      </c>
      <c r="AM375" s="30" t="str">
        <f ca="1">IFERROR(__xludf.DUMMYFUNCTION("""COMPUTED_VALUE"""),"Arraigo y empoderamiento cultural de comunidades.")</f>
        <v>Arraigo y empoderamiento cultural de comunidades.</v>
      </c>
      <c r="AN375" s="30" t="str">
        <f ca="1">IFERROR(__xludf.DUMMYFUNCTION("""COMPUTED_VALUE"""),"1 Tranquilidad")</f>
        <v>1 Tranquilidad</v>
      </c>
      <c r="AO375" s="30" t="str">
        <f ca="1">IFERROR(__xludf.DUMMYFUNCTION("""COMPUTED_VALUE"""),"1.2 Fortalecer prevención del delito")</f>
        <v>1.2 Fortalecer prevención del delito</v>
      </c>
      <c r="AP375" s="30" t="str">
        <f ca="1">IFERROR(__xludf.DUMMYFUNCTION("""COMPUTED_VALUE"""),"1.2.2 Fortalecimiento del tejido social")</f>
        <v>1.2.2 Fortalecimiento del tejido social</v>
      </c>
      <c r="AQ375" s="30" t="str">
        <f ca="1">IFERROR(__xludf.DUMMYFUNCTION("""COMPUTED_VALUE"""),"1.2.3.4 Promover una cultura de paz desde las expresiones artísticas y culturales")</f>
        <v>1.2.3.4 Promover una cultura de paz desde las expresiones artísticas y culturales</v>
      </c>
      <c r="AR375" s="30" t="str">
        <f ca="1">IFERROR(__xludf.DUMMYFUNCTION("""COMPUTED_VALUE"""),"Cooperación")</f>
        <v>Cooperación</v>
      </c>
      <c r="AS375" s="30"/>
      <c r="AT375" s="30" t="str">
        <f ca="1">IFERROR(__xludf.DUMMYFUNCTION("""COMPUTED_VALUE"""),"Fortalecimiento de la participación ciudadana y la mediación cultural")</f>
        <v>Fortalecimiento de la participación ciudadana y la mediación cultural</v>
      </c>
      <c r="AU375" s="30" t="str">
        <f ca="1">IFERROR(__xludf.DUMMYFUNCTION("""COMPUTED_VALUE"""),"Impulso a la ampliación de la oferta cultural en los territorios.")</f>
        <v>Impulso a la ampliación de la oferta cultural en los territorios.</v>
      </c>
      <c r="AV37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5" s="30" t="str">
        <f ca="1">IFERROR(__xludf.DUMMYFUNCTION("""COMPUTED_VALUE"""),"Incrementar en 25% la oferta cultural realizada en los municipios.")</f>
        <v>Incrementar en 25% la oferta cultural realizada en los municipios.</v>
      </c>
      <c r="AX375" s="30" t="str">
        <f ca="1">IFERROR(__xludf.DUMMYFUNCTION("""COMPUTED_VALUE"""),"Visitas guiadas")</f>
        <v>Visitas guiadas</v>
      </c>
      <c r="AY375" s="30" t="str">
        <f ca="1">IFERROR(__xludf.DUMMYFUNCTION("""COMPUTED_VALUE"""),"Formación")</f>
        <v>Formación</v>
      </c>
      <c r="AZ375" s="30" t="str">
        <f ca="1">IFERROR(__xludf.DUMMYFUNCTION("""COMPUTED_VALUE"""),"Formación")</f>
        <v>Formación</v>
      </c>
      <c r="BA375" s="30"/>
      <c r="BB375" s="30"/>
      <c r="BC375" s="30">
        <f ca="1">IFERROR(__xludf.DUMMYFUNCTION("""COMPUTED_VALUE"""),0)</f>
        <v>0</v>
      </c>
      <c r="BD375" s="30"/>
      <c r="BE375" s="30"/>
      <c r="BF375" s="30" t="b">
        <f ca="1">IFERROR(__xludf.DUMMYFUNCTION("""COMPUTED_VALUE"""),FALSE)</f>
        <v>0</v>
      </c>
      <c r="BG375" s="30"/>
      <c r="BH375" s="30"/>
      <c r="BI375" s="30"/>
      <c r="BJ375" s="30"/>
      <c r="BK375" s="30"/>
      <c r="BL375" s="30"/>
      <c r="BM375" s="30" t="str">
        <f ca="1">IFERROR(__xludf.DUMMYFUNCTION("""COMPUTED_VALUE"""),"No")</f>
        <v>No</v>
      </c>
      <c r="BN375" s="30"/>
      <c r="BO375" s="30" t="str">
        <f ca="1">IFERROR(__xludf.DUMMYFUNCTION("""COMPUTED_VALUE"""),"640b8f95")</f>
        <v>640b8f95</v>
      </c>
      <c r="BP375" s="29" t="str">
        <f ca="1">IFERROR(__xludf.DUMMYFUNCTION("""COMPUTED_VALUE"""),"Guanajuato")</f>
        <v>Guanajuato</v>
      </c>
      <c r="BQ375" s="30" t="str">
        <f ca="1">IFERROR(__xludf.DUMMYFUNCTION("""COMPUTED_VALUE"""),"Urbano")</f>
        <v>Urbano</v>
      </c>
      <c r="BR375" s="30"/>
      <c r="BS375" s="30"/>
      <c r="BT375" s="30"/>
      <c r="BU375" s="30" t="str">
        <f ca="1">IFERROR(__xludf.DUMMYFUNCTION("""COMPUTED_VALUE"""),"No")</f>
        <v>No</v>
      </c>
      <c r="BV375" s="30" t="str">
        <f ca="1">IFERROR(__xludf.DUMMYFUNCTION("""COMPUTED_VALUE"""),"No")</f>
        <v>No</v>
      </c>
      <c r="BW375" s="30">
        <f ca="1">IFERROR(__xludf.DUMMYFUNCTION("""COMPUTED_VALUE"""),20)</f>
        <v>20</v>
      </c>
      <c r="BX375" s="30"/>
      <c r="BY375" s="30">
        <f ca="1">IFERROR(__xludf.DUMMYFUNCTION("""COMPUTED_VALUE"""),20)</f>
        <v>20</v>
      </c>
      <c r="BZ375" s="30"/>
      <c r="CA375" s="30" t="str">
        <f ca="1">IFERROR(__xludf.DUMMYFUNCTION("""COMPUTED_VALUE"""),"No")</f>
        <v>No</v>
      </c>
      <c r="CB375" s="30" t="str">
        <f ca="1">IFERROR(__xludf.DUMMYFUNCTION("""COMPUTED_VALUE"""),"No")</f>
        <v>No</v>
      </c>
      <c r="CC375" s="30" t="str">
        <f ca="1">IFERROR(__xludf.DUMMYFUNCTION("""COMPUTED_VALUE"""),"54c0f27d")</f>
        <v>54c0f27d</v>
      </c>
      <c r="CD375" s="29" t="str">
        <f ca="1">IFERROR(__xludf.DUMMYFUNCTION("""COMPUTED_VALUE"""),"Adultos (30 a 59 años)")</f>
        <v>Adultos (30 a 59 años)</v>
      </c>
      <c r="CE375" s="30" t="str">
        <f ca="1">IFERROR(__xludf.DUMMYFUNCTION("""COMPUTED_VALUE"""),"Dato global")</f>
        <v>Dato global</v>
      </c>
      <c r="CF375" s="30" t="str">
        <f ca="1">IFERROR(__xludf.DUMMYFUNCTION("""COMPUTED_VALUE"""),"Ninguno (Población General)")</f>
        <v>Ninguno (Población General)</v>
      </c>
      <c r="CG375" s="30">
        <f ca="1">IFERROR(__xludf.DUMMYFUNCTION("""COMPUTED_VALUE"""),2)</f>
        <v>2</v>
      </c>
      <c r="CJ375" s="29"/>
      <c r="CM375" s="30" t="str">
        <f ca="1">IFERROR(__xludf.DUMMYFUNCTION("""COMPUTED_VALUE"""),"Guanajuato")</f>
        <v>Guanajuato</v>
      </c>
      <c r="CN375" s="32" t="e">
        <f ca="1"/>
        <v>#NAME?</v>
      </c>
      <c r="CO375" s="32" t="e">
        <f ca="1"/>
        <v>#NAME?</v>
      </c>
      <c r="CP375" s="32" t="e">
        <f ca="1"/>
        <v>#NAME?</v>
      </c>
      <c r="CQ375" s="32" t="e">
        <f ca="1"/>
        <v>#NAME?</v>
      </c>
      <c r="CR375" s="30" t="e">
        <f ca="1"/>
        <v>#NAME?</v>
      </c>
      <c r="CS375" s="30" t="str">
        <f ca="1">IFERROR(__xludf.DUMMYFUNCTION("""COMPUTED_VALUE"""),"Ninguno (Población General)")</f>
        <v>Ninguno (Población General)</v>
      </c>
    </row>
    <row r="376" spans="1:97" ht="13">
      <c r="A376" s="29" t="str">
        <f ca="1">IFERROR(__xludf.DUMMYFUNCTION("""COMPUTED_VALUE"""),"ACT-SCMH52052")</f>
        <v>ACT-SCMH52052</v>
      </c>
      <c r="B376" s="30" t="str">
        <f ca="1">IFERROR(__xludf.DUMMYFUNCTION("""COMPUTED_VALUE"""),"SC-260911-135644")</f>
        <v>SC-260911-135644</v>
      </c>
      <c r="C376" s="62">
        <f ca="1">IFERROR(__xludf.DUMMYFUNCTION("""COMPUTED_VALUE"""),46276.5810648148)</f>
        <v>46276.581064814804</v>
      </c>
      <c r="D376" s="30">
        <f ca="1">IFERROR(__xludf.DUMMYFUNCTION("""COMPUTED_VALUE"""),92)</f>
        <v>92</v>
      </c>
      <c r="E376" s="30" t="str">
        <f ca="1">IFERROR(__xludf.DUMMYFUNCTION("""COMPUTED_VALUE"""),"PB3572")</f>
        <v>PB3572</v>
      </c>
      <c r="F37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6" s="30" t="str">
        <f ca="1">IFERROR(__xludf.DUMMYFUNCTION("""COMPUTED_VALUE"""),"SUBSECRETARÍA DE DESARROLLO Y PROMOCIÓN ARTÍSTICA Y CULTURAL")</f>
        <v>SUBSECRETARÍA DE DESARROLLO Y PROMOCIÓN ARTÍSTICA Y CULTURAL</v>
      </c>
      <c r="I376" s="34" t="str">
        <f ca="1">IFERROR(__xludf.DUMMYFUNCTION("""COMPUTED_VALUE"""),"DIRECCIÓN GENERAL DE MUSEOS, ARTES VISUALES Y EXPOSICIONES")</f>
        <v>DIRECCIÓN GENERAL DE MUSEOS, ARTES VISUALES Y EXPOSICIONES</v>
      </c>
      <c r="J376" s="30" t="str">
        <f ca="1">IFERROR(__xludf.DUMMYFUNCTION("""COMPUTED_VALUE"""),"Número de Actividades realizadas")</f>
        <v>Número de Actividades realizadas</v>
      </c>
      <c r="K376" s="30">
        <f ca="1">IFERROR(__xludf.DUMMYFUNCTION("""COMPUTED_VALUE"""),800)</f>
        <v>800</v>
      </c>
      <c r="L376" s="30" t="str">
        <f ca="1">IFERROR(__xludf.DUMMYFUNCTION("""COMPUTED_VALUE"""),"Cultural")</f>
        <v>Cultural</v>
      </c>
      <c r="M376" s="30" t="str">
        <f ca="1">IFERROR(__xludf.DUMMYFUNCTION("""COMPUTED_VALUE"""),"Callejon del arte")</f>
        <v>Callejon del arte</v>
      </c>
      <c r="N376" s="30" t="str">
        <f ca="1">IFERROR(__xludf.DUMMYFUNCTION("""COMPUTED_VALUE"""),"Espacio extramuros en donde artistas guanajuatenses tienen la oportunidad de exhibir y vender sus obras.")</f>
        <v>Espacio extramuros en donde artistas guanajuatenses tienen la oportunidad de exhibir y vender sus obras.</v>
      </c>
      <c r="O376" s="30" t="str">
        <f ca="1">IFERROR(__xludf.DUMMYFUNCTION("""COMPUTED_VALUE"""),"Única")</f>
        <v>Única</v>
      </c>
      <c r="P376" s="33">
        <f ca="1">IFERROR(__xludf.DUMMYFUNCTION("""COMPUTED_VALUE"""),46222)</f>
        <v>46222</v>
      </c>
      <c r="Q376" s="33">
        <f ca="1">IFERROR(__xludf.DUMMYFUNCTION("""COMPUTED_VALUE"""),46222)</f>
        <v>46222</v>
      </c>
      <c r="R376" s="30">
        <f ca="1">IFERROR(__xludf.DUMMYFUNCTION("""COMPUTED_VALUE"""),1)</f>
        <v>1</v>
      </c>
      <c r="S376" s="30" t="str">
        <f ca="1">IFERROR(__xludf.DUMMYFUNCTION("""COMPUTED_VALUE"""),"Economía creativa")</f>
        <v>Economía creativa</v>
      </c>
      <c r="T376" s="30" t="str">
        <f ca="1">IFERROR(__xludf.DUMMYFUNCTION("""COMPUTED_VALUE"""),"Emprendimiento cultural")</f>
        <v>Emprendimiento cultural</v>
      </c>
      <c r="U376" s="30" t="str">
        <f ca="1">IFERROR(__xludf.DUMMYFUNCTION("""COMPUTED_VALUE"""),"Comercialización cultural")</f>
        <v>Comercialización cultural</v>
      </c>
      <c r="V376" s="30" t="str">
        <f ca="1">IFERROR(__xludf.DUMMYFUNCTION("""COMPUTED_VALUE"""),"Ninguna")</f>
        <v>Ninguna</v>
      </c>
      <c r="W376" s="30" t="str">
        <f ca="1">IFERROR(__xludf.DUMMYFUNCTION("""COMPUTED_VALUE"""),"Presencial")</f>
        <v>Presencial</v>
      </c>
      <c r="X376" s="30" t="str">
        <f ca="1">IFERROR(__xludf.DUMMYFUNCTION("""COMPUTED_VALUE"""),"Espacio Público")</f>
        <v>Espacio Público</v>
      </c>
      <c r="Y376" s="30"/>
      <c r="Z376" s="30" t="str">
        <f ca="1">IFERROR(__xludf.DUMMYFUNCTION("""COMPUTED_VALUE"""),"Callejón de la Condesa")</f>
        <v>Callejón de la Condesa</v>
      </c>
      <c r="AA376" s="30"/>
      <c r="AB376" s="30" t="b">
        <f ca="1">IFERROR(__xludf.DUMMYFUNCTION("""COMPUTED_VALUE"""),FALSE)</f>
        <v>0</v>
      </c>
      <c r="AC376" s="30"/>
      <c r="AD376" s="30" t="b">
        <f ca="1">IFERROR(__xludf.DUMMYFUNCTION("""COMPUTED_VALUE"""),FALSE)</f>
        <v>0</v>
      </c>
      <c r="AE376" s="30"/>
      <c r="AF376" s="30" t="b">
        <f ca="1">IFERROR(__xludf.DUMMYFUNCTION("""COMPUTED_VALUE"""),FALSE)</f>
        <v>0</v>
      </c>
      <c r="AG376" s="30"/>
      <c r="AH376" s="30" t="str">
        <f ca="1">IFERROR(__xludf.DUMMYFUNCTION("""COMPUTED_VALUE"""),"Sin costo")</f>
        <v>Sin costo</v>
      </c>
      <c r="AI376" s="30"/>
      <c r="AJ376" s="30"/>
      <c r="AK376" s="30"/>
      <c r="AL376" s="30" t="str">
        <f ca="1">IFERROR(__xludf.DUMMYFUNCTION("""COMPUTED_VALUE"""),"ccardonav@guanajuato.gob.mx")</f>
        <v>ccardonav@guanajuato.gob.mx</v>
      </c>
      <c r="AM376" s="30" t="str">
        <f ca="1">IFERROR(__xludf.DUMMYFUNCTION("""COMPUTED_VALUE"""),"Arraigo y empoderamiento cultural de comunidades.")</f>
        <v>Arraigo y empoderamiento cultural de comunidades.</v>
      </c>
      <c r="AN376" s="30" t="str">
        <f ca="1">IFERROR(__xludf.DUMMYFUNCTION("""COMPUTED_VALUE"""),"1 Tranquilidad")</f>
        <v>1 Tranquilidad</v>
      </c>
      <c r="AO376" s="30" t="str">
        <f ca="1">IFERROR(__xludf.DUMMYFUNCTION("""COMPUTED_VALUE"""),"1.2 Fortalecer prevención del delito")</f>
        <v>1.2 Fortalecer prevención del delito</v>
      </c>
      <c r="AP376" s="30" t="str">
        <f ca="1">IFERROR(__xludf.DUMMYFUNCTION("""COMPUTED_VALUE"""),"1.2.2 Fortalecimiento del tejido social")</f>
        <v>1.2.2 Fortalecimiento del tejido social</v>
      </c>
      <c r="AQ376" s="30" t="str">
        <f ca="1">IFERROR(__xludf.DUMMYFUNCTION("""COMPUTED_VALUE"""),"1.2.3.4 Promover una cultura de paz desde las expresiones artísticas y culturales")</f>
        <v>1.2.3.4 Promover una cultura de paz desde las expresiones artísticas y culturales</v>
      </c>
      <c r="AR376" s="30" t="str">
        <f ca="1">IFERROR(__xludf.DUMMYFUNCTION("""COMPUTED_VALUE"""),"Cooperación")</f>
        <v>Cooperación</v>
      </c>
      <c r="AS376" s="30"/>
      <c r="AT376" s="30" t="str">
        <f ca="1">IFERROR(__xludf.DUMMYFUNCTION("""COMPUTED_VALUE"""),"Fortalecimiento de la participación ciudadana y la mediación cultural")</f>
        <v>Fortalecimiento de la participación ciudadana y la mediación cultural</v>
      </c>
      <c r="AU376" s="30" t="str">
        <f ca="1">IFERROR(__xludf.DUMMYFUNCTION("""COMPUTED_VALUE"""),"Impulso a la ampliación de la oferta cultural en los territorios.")</f>
        <v>Impulso a la ampliación de la oferta cultural en los territorios.</v>
      </c>
      <c r="AV37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6" s="30" t="str">
        <f ca="1">IFERROR(__xludf.DUMMYFUNCTION("""COMPUTED_VALUE"""),"Incrementar en 25% la oferta cultural realizada en los municipios.")</f>
        <v>Incrementar en 25% la oferta cultural realizada en los municipios.</v>
      </c>
      <c r="AX376" s="30" t="str">
        <f ca="1">IFERROR(__xludf.DUMMYFUNCTION("""COMPUTED_VALUE"""),"Mercado cultural")</f>
        <v>Mercado cultural</v>
      </c>
      <c r="AY376" s="30" t="str">
        <f ca="1">IFERROR(__xludf.DUMMYFUNCTION("""COMPUTED_VALUE"""),"Formación")</f>
        <v>Formación</v>
      </c>
      <c r="AZ376" s="30"/>
      <c r="BA376" s="30"/>
      <c r="BB376" s="30"/>
      <c r="BC376" s="30">
        <f ca="1">IFERROR(__xludf.DUMMYFUNCTION("""COMPUTED_VALUE"""),0)</f>
        <v>0</v>
      </c>
      <c r="BD376" s="30"/>
      <c r="BE376" s="30"/>
      <c r="BF376" s="30" t="b">
        <f ca="1">IFERROR(__xludf.DUMMYFUNCTION("""COMPUTED_VALUE"""),FALSE)</f>
        <v>0</v>
      </c>
      <c r="BG376" s="30"/>
      <c r="BH376" s="30"/>
      <c r="BI376" s="30"/>
      <c r="BJ376" s="30"/>
      <c r="BK376" s="30"/>
      <c r="BL376" s="30"/>
      <c r="BM376" s="30" t="str">
        <f ca="1">IFERROR(__xludf.DUMMYFUNCTION("""COMPUTED_VALUE"""),"No")</f>
        <v>No</v>
      </c>
      <c r="BN376" s="30"/>
      <c r="BO376" s="30" t="str">
        <f ca="1">IFERROR(__xludf.DUMMYFUNCTION("""COMPUTED_VALUE"""),"fb97b50a")</f>
        <v>fb97b50a</v>
      </c>
      <c r="BP376" s="29" t="str">
        <f ca="1">IFERROR(__xludf.DUMMYFUNCTION("""COMPUTED_VALUE"""),"Guanajuato")</f>
        <v>Guanajuato</v>
      </c>
      <c r="BQ376" s="30" t="str">
        <f ca="1">IFERROR(__xludf.DUMMYFUNCTION("""COMPUTED_VALUE"""),"Urbano")</f>
        <v>Urbano</v>
      </c>
      <c r="BR376" s="30"/>
      <c r="BS376" s="30"/>
      <c r="BT376" s="30"/>
      <c r="BU376" s="30" t="str">
        <f ca="1">IFERROR(__xludf.DUMMYFUNCTION("""COMPUTED_VALUE"""),"No")</f>
        <v>No</v>
      </c>
      <c r="BV376" s="30" t="str">
        <f ca="1">IFERROR(__xludf.DUMMYFUNCTION("""COMPUTED_VALUE"""),"No")</f>
        <v>No</v>
      </c>
      <c r="BW376" s="30">
        <f ca="1">IFERROR(__xludf.DUMMYFUNCTION("""COMPUTED_VALUE"""),4)</f>
        <v>4</v>
      </c>
      <c r="BX376" s="30"/>
      <c r="BY376" s="30">
        <f ca="1">IFERROR(__xludf.DUMMYFUNCTION("""COMPUTED_VALUE"""),4)</f>
        <v>4</v>
      </c>
      <c r="BZ376" s="30"/>
      <c r="CA376" s="30" t="str">
        <f ca="1">IFERROR(__xludf.DUMMYFUNCTION("""COMPUTED_VALUE"""),"No")</f>
        <v>No</v>
      </c>
      <c r="CB376" s="30" t="str">
        <f ca="1">IFERROR(__xludf.DUMMYFUNCTION("""COMPUTED_VALUE"""),"No")</f>
        <v>No</v>
      </c>
      <c r="CC376" s="30" t="str">
        <f ca="1">IFERROR(__xludf.DUMMYFUNCTION("""COMPUTED_VALUE"""),"b8cb273f")</f>
        <v>b8cb273f</v>
      </c>
      <c r="CD376" s="29" t="str">
        <f ca="1">IFERROR(__xludf.DUMMYFUNCTION("""COMPUTED_VALUE"""),"Adultos (30 a 59 años)")</f>
        <v>Adultos (30 a 59 años)</v>
      </c>
      <c r="CE376" s="30" t="str">
        <f ca="1">IFERROR(__xludf.DUMMYFUNCTION("""COMPUTED_VALUE"""),"Dato global")</f>
        <v>Dato global</v>
      </c>
      <c r="CF376" s="30" t="str">
        <f ca="1">IFERROR(__xludf.DUMMYFUNCTION("""COMPUTED_VALUE"""),"Ninguno (Población General)")</f>
        <v>Ninguno (Población General)</v>
      </c>
      <c r="CG376" s="30">
        <f ca="1">IFERROR(__xludf.DUMMYFUNCTION("""COMPUTED_VALUE"""),21)</f>
        <v>21</v>
      </c>
      <c r="CJ376" s="29"/>
      <c r="CM376" s="30" t="str">
        <f ca="1">IFERROR(__xludf.DUMMYFUNCTION("""COMPUTED_VALUE"""),"Guanajuato")</f>
        <v>Guanajuato</v>
      </c>
      <c r="CN376" s="32" t="e">
        <f ca="1"/>
        <v>#NAME?</v>
      </c>
      <c r="CO376" s="32" t="e">
        <f ca="1"/>
        <v>#NAME?</v>
      </c>
      <c r="CP376" s="32" t="e">
        <f ca="1"/>
        <v>#NAME?</v>
      </c>
      <c r="CQ376" s="32" t="e">
        <f ca="1"/>
        <v>#NAME?</v>
      </c>
      <c r="CR376" s="30" t="e">
        <f ca="1"/>
        <v>#NAME?</v>
      </c>
      <c r="CS376" s="30" t="str">
        <f ca="1">IFERROR(__xludf.DUMMYFUNCTION("""COMPUTED_VALUE"""),"Ninguno (Población General)")</f>
        <v>Ninguno (Población General)</v>
      </c>
    </row>
    <row r="377" spans="1:97" ht="13">
      <c r="A377" s="29" t="str">
        <f ca="1">IFERROR(__xludf.DUMMYFUNCTION("""COMPUTED_VALUE"""),"ACT-SCEO23171")</f>
        <v>ACT-SCEO23171</v>
      </c>
      <c r="B377" s="30" t="str">
        <f ca="1">IFERROR(__xludf.DUMMYFUNCTION("""COMPUTED_VALUE"""),"SC-260911-140414")</f>
        <v>SC-260911-140414</v>
      </c>
      <c r="C377" s="62">
        <f ca="1">IFERROR(__xludf.DUMMYFUNCTION("""COMPUTED_VALUE"""),46276.5862731481)</f>
        <v>46276.586273148103</v>
      </c>
      <c r="D377" s="30">
        <f ca="1">IFERROR(__xludf.DUMMYFUNCTION("""COMPUTED_VALUE"""),92)</f>
        <v>92</v>
      </c>
      <c r="E377" s="30" t="str">
        <f ca="1">IFERROR(__xludf.DUMMYFUNCTION("""COMPUTED_VALUE"""),"PB3572")</f>
        <v>PB3572</v>
      </c>
      <c r="F37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7" s="30" t="str">
        <f ca="1">IFERROR(__xludf.DUMMYFUNCTION("""COMPUTED_VALUE"""),"SUBSECRETARÍA DE DESARROLLO Y PROMOCIÓN ARTÍSTICA Y CULTURAL")</f>
        <v>SUBSECRETARÍA DE DESARROLLO Y PROMOCIÓN ARTÍSTICA Y CULTURAL</v>
      </c>
      <c r="I377" s="34" t="str">
        <f ca="1">IFERROR(__xludf.DUMMYFUNCTION("""COMPUTED_VALUE"""),"DIRECCIÓN GENERAL DE MUSEOS, ARTES VISUALES Y EXPOSICIONES")</f>
        <v>DIRECCIÓN GENERAL DE MUSEOS, ARTES VISUALES Y EXPOSICIONES</v>
      </c>
      <c r="J377" s="30" t="str">
        <f ca="1">IFERROR(__xludf.DUMMYFUNCTION("""COMPUTED_VALUE"""),"Número de Actividades realizadas")</f>
        <v>Número de Actividades realizadas</v>
      </c>
      <c r="K377" s="30">
        <f ca="1">IFERROR(__xludf.DUMMYFUNCTION("""COMPUTED_VALUE"""),800)</f>
        <v>800</v>
      </c>
      <c r="L377" s="30" t="str">
        <f ca="1">IFERROR(__xludf.DUMMYFUNCTION("""COMPUTED_VALUE"""),"Artística")</f>
        <v>Artística</v>
      </c>
      <c r="M377" s="30" t="str">
        <f ca="1">IFERROR(__xludf.DUMMYFUNCTION("""COMPUTED_VALUE"""),"Visita guiada COMUDEG")</f>
        <v>Visita guiada COMUDEG</v>
      </c>
      <c r="N377" s="30" t="str">
        <f ca="1">IFERROR(__xludf.DUMMYFUNCTION("""COMPUTED_VALUE"""),"Recorrido guiado por el museo")</f>
        <v>Recorrido guiado por el museo</v>
      </c>
      <c r="O377" s="30" t="str">
        <f ca="1">IFERROR(__xludf.DUMMYFUNCTION("""COMPUTED_VALUE"""),"Única")</f>
        <v>Única</v>
      </c>
      <c r="P377" s="33">
        <f ca="1">IFERROR(__xludf.DUMMYFUNCTION("""COMPUTED_VALUE"""),46240)</f>
        <v>46240</v>
      </c>
      <c r="Q377" s="33">
        <f ca="1">IFERROR(__xludf.DUMMYFUNCTION("""COMPUTED_VALUE"""),46240)</f>
        <v>46240</v>
      </c>
      <c r="R377" s="30">
        <f ca="1">IFERROR(__xludf.DUMMYFUNCTION("""COMPUTED_VALUE"""),1)</f>
        <v>1</v>
      </c>
      <c r="S377" s="30" t="str">
        <f ca="1">IFERROR(__xludf.DUMMYFUNCTION("""COMPUTED_VALUE"""),"Cultura comunitaria")</f>
        <v>Cultura comunitaria</v>
      </c>
      <c r="T377" s="30" t="str">
        <f ca="1">IFERROR(__xludf.DUMMYFUNCTION("""COMPUTED_VALUE"""),"Formación comunitaria")</f>
        <v>Formación comunitaria</v>
      </c>
      <c r="U377" s="30" t="str">
        <f ca="1">IFERROR(__xludf.DUMMYFUNCTION("""COMPUTED_VALUE"""),"Visitas guiadas")</f>
        <v>Visitas guiadas</v>
      </c>
      <c r="V377" s="30" t="str">
        <f ca="1">IFERROR(__xludf.DUMMYFUNCTION("""COMPUTED_VALUE"""),"Ninguna")</f>
        <v>Ninguna</v>
      </c>
      <c r="W377" s="30" t="str">
        <f ca="1">IFERROR(__xludf.DUMMYFUNCTION("""COMPUTED_VALUE"""),"Presencial")</f>
        <v>Presencial</v>
      </c>
      <c r="X377" s="30" t="str">
        <f ca="1">IFERROR(__xludf.DUMMYFUNCTION("""COMPUTED_VALUE"""),"Espacio a Cargo de la Secretaría")</f>
        <v>Espacio a Cargo de la Secretaría</v>
      </c>
      <c r="Y377" s="30" t="str">
        <f ca="1">IFERROR(__xludf.DUMMYFUNCTION("""COMPUTED_VALUE"""),"Museo Casa Diego Rivera")</f>
        <v>Museo Casa Diego Rivera</v>
      </c>
      <c r="Z377" s="30"/>
      <c r="AA377" s="30"/>
      <c r="AB377" s="30" t="b">
        <f ca="1">IFERROR(__xludf.DUMMYFUNCTION("""COMPUTED_VALUE"""),FALSE)</f>
        <v>0</v>
      </c>
      <c r="AC377" s="30"/>
      <c r="AD377" s="30" t="b">
        <f ca="1">IFERROR(__xludf.DUMMYFUNCTION("""COMPUTED_VALUE"""),FALSE)</f>
        <v>0</v>
      </c>
      <c r="AE377" s="30"/>
      <c r="AF377" s="30" t="b">
        <f ca="1">IFERROR(__xludf.DUMMYFUNCTION("""COMPUTED_VALUE"""),FALSE)</f>
        <v>0</v>
      </c>
      <c r="AG377" s="30"/>
      <c r="AH377" s="30" t="str">
        <f ca="1">IFERROR(__xludf.DUMMYFUNCTION("""COMPUTED_VALUE"""),"Sin costo")</f>
        <v>Sin costo</v>
      </c>
      <c r="AI377" s="30"/>
      <c r="AJ377" s="30"/>
      <c r="AK377" s="30"/>
      <c r="AL377" s="30" t="str">
        <f ca="1">IFERROR(__xludf.DUMMYFUNCTION("""COMPUTED_VALUE"""),"ccardonav@guanajuato.gob.mx")</f>
        <v>ccardonav@guanajuato.gob.mx</v>
      </c>
      <c r="AM377" s="30" t="str">
        <f ca="1">IFERROR(__xludf.DUMMYFUNCTION("""COMPUTED_VALUE"""),"Arraigo y empoderamiento cultural de comunidades.")</f>
        <v>Arraigo y empoderamiento cultural de comunidades.</v>
      </c>
      <c r="AN377" s="30" t="str">
        <f ca="1">IFERROR(__xludf.DUMMYFUNCTION("""COMPUTED_VALUE"""),"1 Tranquilidad")</f>
        <v>1 Tranquilidad</v>
      </c>
      <c r="AO377" s="30" t="str">
        <f ca="1">IFERROR(__xludf.DUMMYFUNCTION("""COMPUTED_VALUE"""),"1.2 Fortalecer prevención del delito")</f>
        <v>1.2 Fortalecer prevención del delito</v>
      </c>
      <c r="AP377" s="30" t="str">
        <f ca="1">IFERROR(__xludf.DUMMYFUNCTION("""COMPUTED_VALUE"""),"1.2.2 Fortalecimiento del tejido social")</f>
        <v>1.2.2 Fortalecimiento del tejido social</v>
      </c>
      <c r="AQ377" s="30" t="str">
        <f ca="1">IFERROR(__xludf.DUMMYFUNCTION("""COMPUTED_VALUE"""),"1.2.3.4 Promover una cultura de paz desde las expresiones artísticas y culturales")</f>
        <v>1.2.3.4 Promover una cultura de paz desde las expresiones artísticas y culturales</v>
      </c>
      <c r="AR377" s="30" t="str">
        <f ca="1">IFERROR(__xludf.DUMMYFUNCTION("""COMPUTED_VALUE"""),"Cooperación")</f>
        <v>Cooperación</v>
      </c>
      <c r="AS377" s="30"/>
      <c r="AT377" s="30" t="str">
        <f ca="1">IFERROR(__xludf.DUMMYFUNCTION("""COMPUTED_VALUE"""),"Fortalecimiento de la participación ciudadana y la mediación cultural")</f>
        <v>Fortalecimiento de la participación ciudadana y la mediación cultural</v>
      </c>
      <c r="AU377" s="30" t="str">
        <f ca="1">IFERROR(__xludf.DUMMYFUNCTION("""COMPUTED_VALUE"""),"Impulso a la ampliación de la oferta cultural en los territorios.")</f>
        <v>Impulso a la ampliación de la oferta cultural en los territorios.</v>
      </c>
      <c r="AV37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7" s="30" t="str">
        <f ca="1">IFERROR(__xludf.DUMMYFUNCTION("""COMPUTED_VALUE"""),"Incrementar en 25% la oferta cultural realizada en los municipios.")</f>
        <v>Incrementar en 25% la oferta cultural realizada en los municipios.</v>
      </c>
      <c r="AX377" s="30" t="str">
        <f ca="1">IFERROR(__xludf.DUMMYFUNCTION("""COMPUTED_VALUE"""),"Visitas guiadas")</f>
        <v>Visitas guiadas</v>
      </c>
      <c r="AY377" s="30" t="str">
        <f ca="1">IFERROR(__xludf.DUMMYFUNCTION("""COMPUTED_VALUE"""),"Formación")</f>
        <v>Formación</v>
      </c>
      <c r="AZ377" s="30" t="str">
        <f ca="1">IFERROR(__xludf.DUMMYFUNCTION("""COMPUTED_VALUE"""),"Formación")</f>
        <v>Formación</v>
      </c>
      <c r="BA377" s="30"/>
      <c r="BB377" s="30"/>
      <c r="BC377" s="30">
        <f ca="1">IFERROR(__xludf.DUMMYFUNCTION("""COMPUTED_VALUE"""),0)</f>
        <v>0</v>
      </c>
      <c r="BD377" s="30"/>
      <c r="BE377" s="30"/>
      <c r="BF377" s="30" t="b">
        <f ca="1">IFERROR(__xludf.DUMMYFUNCTION("""COMPUTED_VALUE"""),FALSE)</f>
        <v>0</v>
      </c>
      <c r="BG377" s="30"/>
      <c r="BH377" s="30"/>
      <c r="BI377" s="30"/>
      <c r="BJ377" s="30"/>
      <c r="BK377" s="30"/>
      <c r="BL377" s="30"/>
      <c r="BM377" s="30" t="str">
        <f ca="1">IFERROR(__xludf.DUMMYFUNCTION("""COMPUTED_VALUE"""),"No")</f>
        <v>No</v>
      </c>
      <c r="BN377" s="30"/>
      <c r="BO377" s="30" t="str">
        <f ca="1">IFERROR(__xludf.DUMMYFUNCTION("""COMPUTED_VALUE"""),"6aeef4af")</f>
        <v>6aeef4af</v>
      </c>
      <c r="BP377" s="29" t="str">
        <f ca="1">IFERROR(__xludf.DUMMYFUNCTION("""COMPUTED_VALUE"""),"Guanajuato")</f>
        <v>Guanajuato</v>
      </c>
      <c r="BQ377" s="30" t="str">
        <f ca="1">IFERROR(__xludf.DUMMYFUNCTION("""COMPUTED_VALUE"""),"Urbano")</f>
        <v>Urbano</v>
      </c>
      <c r="BR377" s="30">
        <f ca="1">IFERROR(__xludf.DUMMYFUNCTION("""COMPUTED_VALUE"""),49)</f>
        <v>49</v>
      </c>
      <c r="BS377" s="30" t="str">
        <f ca="1">IFERROR(__xludf.DUMMYFUNCTION("""COMPUTED_VALUE"""),"Guanajuato")</f>
        <v>Guanajuato</v>
      </c>
      <c r="BT377" s="30"/>
      <c r="BU377" s="30" t="str">
        <f ca="1">IFERROR(__xludf.DUMMYFUNCTION("""COMPUTED_VALUE"""),"Si")</f>
        <v>Si</v>
      </c>
      <c r="BV377" s="30" t="str">
        <f ca="1">IFERROR(__xludf.DUMMYFUNCTION("""COMPUTED_VALUE"""),"Si")</f>
        <v>Si</v>
      </c>
      <c r="BW377" s="30">
        <f ca="1">IFERROR(__xludf.DUMMYFUNCTION("""COMPUTED_VALUE"""),19)</f>
        <v>19</v>
      </c>
      <c r="BX377" s="30"/>
      <c r="BY377" s="30">
        <f ca="1">IFERROR(__xludf.DUMMYFUNCTION("""COMPUTED_VALUE"""),19)</f>
        <v>19</v>
      </c>
      <c r="BZ377" s="30" t="str">
        <f ca="1">IFERROR(__xludf.DUMMYFUNCTION("""COMPUTED_VALUE"""),"Guanajuato")</f>
        <v>Guanajuato</v>
      </c>
      <c r="CA377" s="30" t="str">
        <f ca="1">IFERROR(__xludf.DUMMYFUNCTION("""COMPUTED_VALUE"""),"No")</f>
        <v>No</v>
      </c>
      <c r="CB377" s="30" t="str">
        <f ca="1">IFERROR(__xludf.DUMMYFUNCTION("""COMPUTED_VALUE"""),"No")</f>
        <v>No</v>
      </c>
      <c r="CC377" s="30" t="str">
        <f ca="1">IFERROR(__xludf.DUMMYFUNCTION("""COMPUTED_VALUE"""),"ebea6659")</f>
        <v>ebea6659</v>
      </c>
      <c r="CD377" s="29" t="str">
        <f ca="1">IFERROR(__xludf.DUMMYFUNCTION("""COMPUTED_VALUE"""),"Adultos (30 a 59 años)")</f>
        <v>Adultos (30 a 59 años)</v>
      </c>
      <c r="CE377" s="30" t="str">
        <f ca="1">IFERROR(__xludf.DUMMYFUNCTION("""COMPUTED_VALUE"""),"Dato global")</f>
        <v>Dato global</v>
      </c>
      <c r="CF377" s="30" t="str">
        <f ca="1">IFERROR(__xludf.DUMMYFUNCTION("""COMPUTED_VALUE"""),"Ninguno (Población General)")</f>
        <v>Ninguno (Población General)</v>
      </c>
      <c r="CG377" s="30">
        <f ca="1">IFERROR(__xludf.DUMMYFUNCTION("""COMPUTED_VALUE"""),8)</f>
        <v>8</v>
      </c>
      <c r="CJ377" s="29"/>
      <c r="CM377" s="30" t="str">
        <f ca="1">IFERROR(__xludf.DUMMYFUNCTION("""COMPUTED_VALUE"""),"Guanajuato")</f>
        <v>Guanajuato</v>
      </c>
      <c r="CN377" s="32" t="e">
        <f ca="1"/>
        <v>#NAME?</v>
      </c>
      <c r="CO377" s="32" t="e">
        <f ca="1"/>
        <v>#NAME?</v>
      </c>
      <c r="CP377" s="32" t="e">
        <f ca="1"/>
        <v>#NAME?</v>
      </c>
      <c r="CQ377" s="32" t="e">
        <f ca="1"/>
        <v>#NAME?</v>
      </c>
      <c r="CR377" s="30" t="e">
        <f ca="1"/>
        <v>#NAME?</v>
      </c>
      <c r="CS377" s="30" t="str">
        <f ca="1">IFERROR(__xludf.DUMMYFUNCTION("""COMPUTED_VALUE"""),"Ninguno (Población General)")</f>
        <v>Ninguno (Población General)</v>
      </c>
    </row>
    <row r="378" spans="1:97" ht="13">
      <c r="A378" s="29" t="str">
        <f ca="1">IFERROR(__xludf.DUMMYFUNCTION("""COMPUTED_VALUE"""),"ACT-SCRK60862")</f>
        <v>ACT-SCRK60862</v>
      </c>
      <c r="B378" s="30" t="str">
        <f ca="1">IFERROR(__xludf.DUMMYFUNCTION("""COMPUTED_VALUE"""),"SC-260911-144936")</f>
        <v>SC-260911-144936</v>
      </c>
      <c r="C378" s="62">
        <f ca="1">IFERROR(__xludf.DUMMYFUNCTION("""COMPUTED_VALUE"""),46276.6177777777)</f>
        <v>46276.617777777697</v>
      </c>
      <c r="D378" s="30">
        <f ca="1">IFERROR(__xludf.DUMMYFUNCTION("""COMPUTED_VALUE"""),92)</f>
        <v>92</v>
      </c>
      <c r="E378" s="30" t="str">
        <f ca="1">IFERROR(__xludf.DUMMYFUNCTION("""COMPUTED_VALUE"""),"PB3572")</f>
        <v>PB3572</v>
      </c>
      <c r="F37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8" s="30" t="str">
        <f ca="1">IFERROR(__xludf.DUMMYFUNCTION("""COMPUTED_VALUE"""),"SUBSECRETARÍA DE DESARROLLO Y PROMOCIÓN ARTÍSTICA Y CULTURAL")</f>
        <v>SUBSECRETARÍA DE DESARROLLO Y PROMOCIÓN ARTÍSTICA Y CULTURAL</v>
      </c>
      <c r="I378" s="34" t="str">
        <f ca="1">IFERROR(__xludf.DUMMYFUNCTION("""COMPUTED_VALUE"""),"DIRECCIÓN GENERAL DE MUSEOS, ARTES VISUALES Y EXPOSICIONES")</f>
        <v>DIRECCIÓN GENERAL DE MUSEOS, ARTES VISUALES Y EXPOSICIONES</v>
      </c>
      <c r="J378" s="30" t="str">
        <f ca="1">IFERROR(__xludf.DUMMYFUNCTION("""COMPUTED_VALUE"""),"Número de Actividades realizadas")</f>
        <v>Número de Actividades realizadas</v>
      </c>
      <c r="K378" s="30">
        <f ca="1">IFERROR(__xludf.DUMMYFUNCTION("""COMPUTED_VALUE"""),800)</f>
        <v>800</v>
      </c>
      <c r="L378" s="30" t="str">
        <f ca="1">IFERROR(__xludf.DUMMYFUNCTION("""COMPUTED_VALUE"""),"Artística")</f>
        <v>Artística</v>
      </c>
      <c r="M378" s="30" t="str">
        <f ca="1">IFERROR(__xludf.DUMMYFUNCTION("""COMPUTED_VALUE"""),"Visita guiada Amigos de la Alhondiga")</f>
        <v>Visita guiada Amigos de la Alhondiga</v>
      </c>
      <c r="N378" s="30" t="str">
        <f ca="1">IFERROR(__xludf.DUMMYFUNCTION("""COMPUTED_VALUE"""),"Recorrido guiado por el museo")</f>
        <v>Recorrido guiado por el museo</v>
      </c>
      <c r="O378" s="30" t="str">
        <f ca="1">IFERROR(__xludf.DUMMYFUNCTION("""COMPUTED_VALUE"""),"Única")</f>
        <v>Única</v>
      </c>
      <c r="P378" s="33">
        <f ca="1">IFERROR(__xludf.DUMMYFUNCTION("""COMPUTED_VALUE"""),46252)</f>
        <v>46252</v>
      </c>
      <c r="Q378" s="33">
        <f ca="1">IFERROR(__xludf.DUMMYFUNCTION("""COMPUTED_VALUE"""),46252)</f>
        <v>46252</v>
      </c>
      <c r="R378" s="30">
        <f ca="1">IFERROR(__xludf.DUMMYFUNCTION("""COMPUTED_VALUE"""),1)</f>
        <v>1</v>
      </c>
      <c r="S378" s="30" t="str">
        <f ca="1">IFERROR(__xludf.DUMMYFUNCTION("""COMPUTED_VALUE"""),"Cultura comunitaria")</f>
        <v>Cultura comunitaria</v>
      </c>
      <c r="T378" s="30" t="str">
        <f ca="1">IFERROR(__xludf.DUMMYFUNCTION("""COMPUTED_VALUE"""),"Formación comunitaria")</f>
        <v>Formación comunitaria</v>
      </c>
      <c r="U378" s="30" t="str">
        <f ca="1">IFERROR(__xludf.DUMMYFUNCTION("""COMPUTED_VALUE"""),"Visitas guiadas")</f>
        <v>Visitas guiadas</v>
      </c>
      <c r="V378" s="30" t="str">
        <f ca="1">IFERROR(__xludf.DUMMYFUNCTION("""COMPUTED_VALUE"""),"Ninguna")</f>
        <v>Ninguna</v>
      </c>
      <c r="W378" s="30" t="str">
        <f ca="1">IFERROR(__xludf.DUMMYFUNCTION("""COMPUTED_VALUE"""),"Presencial")</f>
        <v>Presencial</v>
      </c>
      <c r="X378" s="30" t="str">
        <f ca="1">IFERROR(__xludf.DUMMYFUNCTION("""COMPUTED_VALUE"""),"Espacio a Cargo de la Secretaría")</f>
        <v>Espacio a Cargo de la Secretaría</v>
      </c>
      <c r="Y378" s="30" t="str">
        <f ca="1">IFERROR(__xludf.DUMMYFUNCTION("""COMPUTED_VALUE"""),"Museo Casa Diego Rivera")</f>
        <v>Museo Casa Diego Rivera</v>
      </c>
      <c r="Z378" s="30"/>
      <c r="AA378" s="30"/>
      <c r="AB378" s="30" t="b">
        <f ca="1">IFERROR(__xludf.DUMMYFUNCTION("""COMPUTED_VALUE"""),FALSE)</f>
        <v>0</v>
      </c>
      <c r="AC378" s="30"/>
      <c r="AD378" s="30" t="b">
        <f ca="1">IFERROR(__xludf.DUMMYFUNCTION("""COMPUTED_VALUE"""),FALSE)</f>
        <v>0</v>
      </c>
      <c r="AE378" s="30"/>
      <c r="AF378" s="30" t="b">
        <f ca="1">IFERROR(__xludf.DUMMYFUNCTION("""COMPUTED_VALUE"""),FALSE)</f>
        <v>0</v>
      </c>
      <c r="AG378" s="30"/>
      <c r="AH378" s="30" t="str">
        <f ca="1">IFERROR(__xludf.DUMMYFUNCTION("""COMPUTED_VALUE"""),"Sin costo")</f>
        <v>Sin costo</v>
      </c>
      <c r="AI378" s="30"/>
      <c r="AJ378" s="30"/>
      <c r="AK378" s="30"/>
      <c r="AL378" s="30" t="str">
        <f ca="1">IFERROR(__xludf.DUMMYFUNCTION("""COMPUTED_VALUE"""),"ccardonav@guanajuato.gob.mx")</f>
        <v>ccardonav@guanajuato.gob.mx</v>
      </c>
      <c r="AM378" s="30" t="str">
        <f ca="1">IFERROR(__xludf.DUMMYFUNCTION("""COMPUTED_VALUE"""),"Arraigo y empoderamiento cultural de comunidades.")</f>
        <v>Arraigo y empoderamiento cultural de comunidades.</v>
      </c>
      <c r="AN378" s="30" t="str">
        <f ca="1">IFERROR(__xludf.DUMMYFUNCTION("""COMPUTED_VALUE"""),"1 Tranquilidad")</f>
        <v>1 Tranquilidad</v>
      </c>
      <c r="AO378" s="30" t="str">
        <f ca="1">IFERROR(__xludf.DUMMYFUNCTION("""COMPUTED_VALUE"""),"1.2 Fortalecer prevención del delito")</f>
        <v>1.2 Fortalecer prevención del delito</v>
      </c>
      <c r="AP378" s="30" t="str">
        <f ca="1">IFERROR(__xludf.DUMMYFUNCTION("""COMPUTED_VALUE"""),"1.2.2 Fortalecimiento del tejido social")</f>
        <v>1.2.2 Fortalecimiento del tejido social</v>
      </c>
      <c r="AQ378" s="30" t="str">
        <f ca="1">IFERROR(__xludf.DUMMYFUNCTION("""COMPUTED_VALUE"""),"1.2.3.4 Promover una cultura de paz desde las expresiones artísticas y culturales")</f>
        <v>1.2.3.4 Promover una cultura de paz desde las expresiones artísticas y culturales</v>
      </c>
      <c r="AR378" s="30" t="str">
        <f ca="1">IFERROR(__xludf.DUMMYFUNCTION("""COMPUTED_VALUE"""),"Cooperación")</f>
        <v>Cooperación</v>
      </c>
      <c r="AS378" s="30"/>
      <c r="AT378" s="30" t="str">
        <f ca="1">IFERROR(__xludf.DUMMYFUNCTION("""COMPUTED_VALUE"""),"Fortalecimiento de la participación ciudadana y la mediación cultural")</f>
        <v>Fortalecimiento de la participación ciudadana y la mediación cultural</v>
      </c>
      <c r="AU378" s="30" t="str">
        <f ca="1">IFERROR(__xludf.DUMMYFUNCTION("""COMPUTED_VALUE"""),"Impulso a la ampliación de la oferta cultural en los territorios.")</f>
        <v>Impulso a la ampliación de la oferta cultural en los territorios.</v>
      </c>
      <c r="AV37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8" s="30" t="str">
        <f ca="1">IFERROR(__xludf.DUMMYFUNCTION("""COMPUTED_VALUE"""),"Incrementar en 25% la oferta cultural realizada en los municipios.")</f>
        <v>Incrementar en 25% la oferta cultural realizada en los municipios.</v>
      </c>
      <c r="AX378" s="30" t="str">
        <f ca="1">IFERROR(__xludf.DUMMYFUNCTION("""COMPUTED_VALUE"""),"Visitas guiadas")</f>
        <v>Visitas guiadas</v>
      </c>
      <c r="AY378" s="30" t="str">
        <f ca="1">IFERROR(__xludf.DUMMYFUNCTION("""COMPUTED_VALUE"""),"Formación")</f>
        <v>Formación</v>
      </c>
      <c r="AZ378" s="30" t="str">
        <f ca="1">IFERROR(__xludf.DUMMYFUNCTION("""COMPUTED_VALUE"""),"Formación")</f>
        <v>Formación</v>
      </c>
      <c r="BA378" s="30"/>
      <c r="BB378" s="30"/>
      <c r="BC378" s="30">
        <f ca="1">IFERROR(__xludf.DUMMYFUNCTION("""COMPUTED_VALUE"""),0)</f>
        <v>0</v>
      </c>
      <c r="BD378" s="30"/>
      <c r="BE378" s="30"/>
      <c r="BF378" s="30" t="b">
        <f ca="1">IFERROR(__xludf.DUMMYFUNCTION("""COMPUTED_VALUE"""),FALSE)</f>
        <v>0</v>
      </c>
      <c r="BG378" s="30"/>
      <c r="BH378" s="30"/>
      <c r="BI378" s="30"/>
      <c r="BJ378" s="30"/>
      <c r="BK378" s="30"/>
      <c r="BL378" s="30"/>
      <c r="BM378" s="30" t="str">
        <f ca="1">IFERROR(__xludf.DUMMYFUNCTION("""COMPUTED_VALUE"""),"No")</f>
        <v>No</v>
      </c>
      <c r="BN378" s="30"/>
      <c r="BO378" s="30" t="str">
        <f ca="1">IFERROR(__xludf.DUMMYFUNCTION("""COMPUTED_VALUE"""),"c2e8a242")</f>
        <v>c2e8a242</v>
      </c>
      <c r="BP378" s="29" t="str">
        <f ca="1">IFERROR(__xludf.DUMMYFUNCTION("""COMPUTED_VALUE"""),"Guanajuato")</f>
        <v>Guanajuato</v>
      </c>
      <c r="BQ378" s="30" t="str">
        <f ca="1">IFERROR(__xludf.DUMMYFUNCTION("""COMPUTED_VALUE"""),"Urbano")</f>
        <v>Urbano</v>
      </c>
      <c r="BR378" s="30"/>
      <c r="BS378" s="30"/>
      <c r="BT378" s="30"/>
      <c r="BU378" s="30" t="str">
        <f ca="1">IFERROR(__xludf.DUMMYFUNCTION("""COMPUTED_VALUE"""),"No")</f>
        <v>No</v>
      </c>
      <c r="BV378" s="30" t="str">
        <f ca="1">IFERROR(__xludf.DUMMYFUNCTION("""COMPUTED_VALUE"""),"No")</f>
        <v>No</v>
      </c>
      <c r="BW378" s="30">
        <f ca="1">IFERROR(__xludf.DUMMYFUNCTION("""COMPUTED_VALUE"""),4)</f>
        <v>4</v>
      </c>
      <c r="BX378" s="30"/>
      <c r="BY378" s="30">
        <f ca="1">IFERROR(__xludf.DUMMYFUNCTION("""COMPUTED_VALUE"""),4)</f>
        <v>4</v>
      </c>
      <c r="BZ378" s="30"/>
      <c r="CA378" s="30" t="str">
        <f ca="1">IFERROR(__xludf.DUMMYFUNCTION("""COMPUTED_VALUE"""),"No")</f>
        <v>No</v>
      </c>
      <c r="CB378" s="30" t="str">
        <f ca="1">IFERROR(__xludf.DUMMYFUNCTION("""COMPUTED_VALUE"""),"No")</f>
        <v>No</v>
      </c>
      <c r="CC378" s="30" t="str">
        <f ca="1">IFERROR(__xludf.DUMMYFUNCTION("""COMPUTED_VALUE"""),"4901cef8")</f>
        <v>4901cef8</v>
      </c>
      <c r="CD378" s="29" t="str">
        <f ca="1">IFERROR(__xludf.DUMMYFUNCTION("""COMPUTED_VALUE"""),"Niñas y Niños (6 a 12 años)")</f>
        <v>Niñas y Niños (6 a 12 años)</v>
      </c>
      <c r="CE378" s="30" t="str">
        <f ca="1">IFERROR(__xludf.DUMMYFUNCTION("""COMPUTED_VALUE"""),"Dato global")</f>
        <v>Dato global</v>
      </c>
      <c r="CF378" s="30" t="str">
        <f ca="1">IFERROR(__xludf.DUMMYFUNCTION("""COMPUTED_VALUE"""),"Ninguno (Población General)")</f>
        <v>Ninguno (Población General)</v>
      </c>
      <c r="CG378" s="30">
        <f ca="1">IFERROR(__xludf.DUMMYFUNCTION("""COMPUTED_VALUE"""),1)</f>
        <v>1</v>
      </c>
      <c r="CJ378" s="29"/>
      <c r="CM378" s="30" t="str">
        <f ca="1">IFERROR(__xludf.DUMMYFUNCTION("""COMPUTED_VALUE"""),"Guanajuato")</f>
        <v>Guanajuato</v>
      </c>
      <c r="CN378" s="32" t="e">
        <f ca="1"/>
        <v>#NAME?</v>
      </c>
      <c r="CO378" s="32" t="e">
        <f ca="1"/>
        <v>#NAME?</v>
      </c>
      <c r="CP378" s="32" t="e">
        <f ca="1"/>
        <v>#NAME?</v>
      </c>
      <c r="CQ378" s="32" t="e">
        <f ca="1"/>
        <v>#NAME?</v>
      </c>
      <c r="CR378" s="30" t="e">
        <f ca="1"/>
        <v>#NAME?</v>
      </c>
      <c r="CS378" s="30" t="str">
        <f ca="1">IFERROR(__xludf.DUMMYFUNCTION("""COMPUTED_VALUE"""),"Ninguno (Población General)")</f>
        <v>Ninguno (Población General)</v>
      </c>
    </row>
    <row r="379" spans="1:97" ht="13">
      <c r="A379" s="29" t="str">
        <f ca="1">IFERROR(__xludf.DUMMYFUNCTION("""COMPUTED_VALUE"""),"ACT-SCQE64976")</f>
        <v>ACT-SCQE64976</v>
      </c>
      <c r="B379" s="30" t="str">
        <f ca="1">IFERROR(__xludf.DUMMYFUNCTION("""COMPUTED_VALUE"""),"SC-260911-145445")</f>
        <v>SC-260911-145445</v>
      </c>
      <c r="C379" s="62">
        <f ca="1">IFERROR(__xludf.DUMMYFUNCTION("""COMPUTED_VALUE"""),46276.6213541666)</f>
        <v>46276.6213541666</v>
      </c>
      <c r="D379" s="30">
        <f ca="1">IFERROR(__xludf.DUMMYFUNCTION("""COMPUTED_VALUE"""),92)</f>
        <v>92</v>
      </c>
      <c r="E379" s="30" t="str">
        <f ca="1">IFERROR(__xludf.DUMMYFUNCTION("""COMPUTED_VALUE"""),"PB3572")</f>
        <v>PB3572</v>
      </c>
      <c r="F37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7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79" s="30" t="str">
        <f ca="1">IFERROR(__xludf.DUMMYFUNCTION("""COMPUTED_VALUE"""),"SUBSECRETARÍA DE DESARROLLO Y PROMOCIÓN ARTÍSTICA Y CULTURAL")</f>
        <v>SUBSECRETARÍA DE DESARROLLO Y PROMOCIÓN ARTÍSTICA Y CULTURAL</v>
      </c>
      <c r="I379" s="34" t="str">
        <f ca="1">IFERROR(__xludf.DUMMYFUNCTION("""COMPUTED_VALUE"""),"DIRECCIÓN GENERAL DE MUSEOS, ARTES VISUALES Y EXPOSICIONES")</f>
        <v>DIRECCIÓN GENERAL DE MUSEOS, ARTES VISUALES Y EXPOSICIONES</v>
      </c>
      <c r="J379" s="30" t="str">
        <f ca="1">IFERROR(__xludf.DUMMYFUNCTION("""COMPUTED_VALUE"""),"Número de Actividades realizadas")</f>
        <v>Número de Actividades realizadas</v>
      </c>
      <c r="K379" s="30">
        <f ca="1">IFERROR(__xludf.DUMMYFUNCTION("""COMPUTED_VALUE"""),800)</f>
        <v>800</v>
      </c>
      <c r="L379" s="30" t="str">
        <f ca="1">IFERROR(__xludf.DUMMYFUNCTION("""COMPUTED_VALUE"""),"Artística")</f>
        <v>Artística</v>
      </c>
      <c r="M379" s="30" t="str">
        <f ca="1">IFERROR(__xludf.DUMMYFUNCTION("""COMPUTED_VALUE"""),"Visita guiada UG")</f>
        <v>Visita guiada UG</v>
      </c>
      <c r="N379" s="30" t="str">
        <f ca="1">IFERROR(__xludf.DUMMYFUNCTION("""COMPUTED_VALUE"""),"Recorrido guiado por el museo")</f>
        <v>Recorrido guiado por el museo</v>
      </c>
      <c r="O379" s="30" t="str">
        <f ca="1">IFERROR(__xludf.DUMMYFUNCTION("""COMPUTED_VALUE"""),"Única")</f>
        <v>Única</v>
      </c>
      <c r="P379" s="33">
        <f ca="1">IFERROR(__xludf.DUMMYFUNCTION("""COMPUTED_VALUE"""),46260)</f>
        <v>46260</v>
      </c>
      <c r="Q379" s="33">
        <f ca="1">IFERROR(__xludf.DUMMYFUNCTION("""COMPUTED_VALUE"""),46260)</f>
        <v>46260</v>
      </c>
      <c r="R379" s="30">
        <f ca="1">IFERROR(__xludf.DUMMYFUNCTION("""COMPUTED_VALUE"""),1)</f>
        <v>1</v>
      </c>
      <c r="S379" s="30" t="str">
        <f ca="1">IFERROR(__xludf.DUMMYFUNCTION("""COMPUTED_VALUE"""),"Cultura comunitaria")</f>
        <v>Cultura comunitaria</v>
      </c>
      <c r="T379" s="30" t="str">
        <f ca="1">IFERROR(__xludf.DUMMYFUNCTION("""COMPUTED_VALUE"""),"Formación comunitaria")</f>
        <v>Formación comunitaria</v>
      </c>
      <c r="U379" s="30" t="str">
        <f ca="1">IFERROR(__xludf.DUMMYFUNCTION("""COMPUTED_VALUE"""),"Visitas guiadas")</f>
        <v>Visitas guiadas</v>
      </c>
      <c r="V379" s="30" t="str">
        <f ca="1">IFERROR(__xludf.DUMMYFUNCTION("""COMPUTED_VALUE"""),"Ninguna")</f>
        <v>Ninguna</v>
      </c>
      <c r="W379" s="30" t="str">
        <f ca="1">IFERROR(__xludf.DUMMYFUNCTION("""COMPUTED_VALUE"""),"Presencial")</f>
        <v>Presencial</v>
      </c>
      <c r="X379" s="30" t="str">
        <f ca="1">IFERROR(__xludf.DUMMYFUNCTION("""COMPUTED_VALUE"""),"Espacio a Cargo de la Secretaría")</f>
        <v>Espacio a Cargo de la Secretaría</v>
      </c>
      <c r="Y379" s="30" t="str">
        <f ca="1">IFERROR(__xludf.DUMMYFUNCTION("""COMPUTED_VALUE"""),"Museo Casa Diego Rivera")</f>
        <v>Museo Casa Diego Rivera</v>
      </c>
      <c r="Z379" s="30"/>
      <c r="AA379" s="30"/>
      <c r="AB379" s="30" t="b">
        <f ca="1">IFERROR(__xludf.DUMMYFUNCTION("""COMPUTED_VALUE"""),FALSE)</f>
        <v>0</v>
      </c>
      <c r="AC379" s="30"/>
      <c r="AD379" s="30" t="b">
        <f ca="1">IFERROR(__xludf.DUMMYFUNCTION("""COMPUTED_VALUE"""),FALSE)</f>
        <v>0</v>
      </c>
      <c r="AE379" s="30"/>
      <c r="AF379" s="30" t="b">
        <f ca="1">IFERROR(__xludf.DUMMYFUNCTION("""COMPUTED_VALUE"""),FALSE)</f>
        <v>0</v>
      </c>
      <c r="AG379" s="30"/>
      <c r="AH379" s="30" t="str">
        <f ca="1">IFERROR(__xludf.DUMMYFUNCTION("""COMPUTED_VALUE"""),"Sin costo")</f>
        <v>Sin costo</v>
      </c>
      <c r="AI379" s="30"/>
      <c r="AJ379" s="30"/>
      <c r="AK379" s="30"/>
      <c r="AL379" s="30" t="str">
        <f ca="1">IFERROR(__xludf.DUMMYFUNCTION("""COMPUTED_VALUE"""),"ccardonav@guanajuato.gob.mx")</f>
        <v>ccardonav@guanajuato.gob.mx</v>
      </c>
      <c r="AM379" s="30" t="str">
        <f ca="1">IFERROR(__xludf.DUMMYFUNCTION("""COMPUTED_VALUE"""),"Arraigo y empoderamiento cultural de comunidades.")</f>
        <v>Arraigo y empoderamiento cultural de comunidades.</v>
      </c>
      <c r="AN379" s="30" t="str">
        <f ca="1">IFERROR(__xludf.DUMMYFUNCTION("""COMPUTED_VALUE"""),"1 Tranquilidad")</f>
        <v>1 Tranquilidad</v>
      </c>
      <c r="AO379" s="30" t="str">
        <f ca="1">IFERROR(__xludf.DUMMYFUNCTION("""COMPUTED_VALUE"""),"1.2 Fortalecer prevención del delito")</f>
        <v>1.2 Fortalecer prevención del delito</v>
      </c>
      <c r="AP379" s="30" t="str">
        <f ca="1">IFERROR(__xludf.DUMMYFUNCTION("""COMPUTED_VALUE"""),"1.2.2 Fortalecimiento del tejido social")</f>
        <v>1.2.2 Fortalecimiento del tejido social</v>
      </c>
      <c r="AQ379" s="30" t="str">
        <f ca="1">IFERROR(__xludf.DUMMYFUNCTION("""COMPUTED_VALUE"""),"1.2.3.4 Promover una cultura de paz desde las expresiones artísticas y culturales")</f>
        <v>1.2.3.4 Promover una cultura de paz desde las expresiones artísticas y culturales</v>
      </c>
      <c r="AR379" s="30" t="str">
        <f ca="1">IFERROR(__xludf.DUMMYFUNCTION("""COMPUTED_VALUE"""),"Cooperación")</f>
        <v>Cooperación</v>
      </c>
      <c r="AS379" s="30"/>
      <c r="AT379" s="30" t="str">
        <f ca="1">IFERROR(__xludf.DUMMYFUNCTION("""COMPUTED_VALUE"""),"Fortalecimiento de la participación ciudadana y la mediación cultural")</f>
        <v>Fortalecimiento de la participación ciudadana y la mediación cultural</v>
      </c>
      <c r="AU379" s="30" t="str">
        <f ca="1">IFERROR(__xludf.DUMMYFUNCTION("""COMPUTED_VALUE"""),"Impulso a la ampliación de la oferta cultural en los territorios.")</f>
        <v>Impulso a la ampliación de la oferta cultural en los territorios.</v>
      </c>
      <c r="AV37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79" s="30" t="str">
        <f ca="1">IFERROR(__xludf.DUMMYFUNCTION("""COMPUTED_VALUE"""),"Incrementar en 25% la oferta cultural realizada en los municipios.")</f>
        <v>Incrementar en 25% la oferta cultural realizada en los municipios.</v>
      </c>
      <c r="AX379" s="30" t="str">
        <f ca="1">IFERROR(__xludf.DUMMYFUNCTION("""COMPUTED_VALUE"""),"Visitas guiadas")</f>
        <v>Visitas guiadas</v>
      </c>
      <c r="AY379" s="30" t="str">
        <f ca="1">IFERROR(__xludf.DUMMYFUNCTION("""COMPUTED_VALUE"""),"Formación")</f>
        <v>Formación</v>
      </c>
      <c r="AZ379" s="30" t="str">
        <f ca="1">IFERROR(__xludf.DUMMYFUNCTION("""COMPUTED_VALUE"""),"Formación")</f>
        <v>Formación</v>
      </c>
      <c r="BA379" s="30"/>
      <c r="BB379" s="30"/>
      <c r="BC379" s="30">
        <f ca="1">IFERROR(__xludf.DUMMYFUNCTION("""COMPUTED_VALUE"""),0)</f>
        <v>0</v>
      </c>
      <c r="BD379" s="30"/>
      <c r="BE379" s="30"/>
      <c r="BF379" s="30" t="b">
        <f ca="1">IFERROR(__xludf.DUMMYFUNCTION("""COMPUTED_VALUE"""),FALSE)</f>
        <v>0</v>
      </c>
      <c r="BG379" s="30"/>
      <c r="BH379" s="30"/>
      <c r="BI379" s="30"/>
      <c r="BJ379" s="30"/>
      <c r="BK379" s="30"/>
      <c r="BL379" s="30"/>
      <c r="BM379" s="30" t="str">
        <f ca="1">IFERROR(__xludf.DUMMYFUNCTION("""COMPUTED_VALUE"""),"No")</f>
        <v>No</v>
      </c>
      <c r="BN379" s="30"/>
      <c r="BO379" s="30" t="str">
        <f ca="1">IFERROR(__xludf.DUMMYFUNCTION("""COMPUTED_VALUE"""),"dfa36800")</f>
        <v>dfa36800</v>
      </c>
      <c r="BP379" s="29" t="str">
        <f ca="1">IFERROR(__xludf.DUMMYFUNCTION("""COMPUTED_VALUE"""),"Guanajuato")</f>
        <v>Guanajuato</v>
      </c>
      <c r="BQ379" s="30" t="str">
        <f ca="1">IFERROR(__xludf.DUMMYFUNCTION("""COMPUTED_VALUE"""),"Urbano")</f>
        <v>Urbano</v>
      </c>
      <c r="BR379" s="30"/>
      <c r="BS379" s="30"/>
      <c r="BT379" s="30"/>
      <c r="BU379" s="30" t="str">
        <f ca="1">IFERROR(__xludf.DUMMYFUNCTION("""COMPUTED_VALUE"""),"No")</f>
        <v>No</v>
      </c>
      <c r="BV379" s="30" t="str">
        <f ca="1">IFERROR(__xludf.DUMMYFUNCTION("""COMPUTED_VALUE"""),"No")</f>
        <v>No</v>
      </c>
      <c r="BW379" s="30">
        <f ca="1">IFERROR(__xludf.DUMMYFUNCTION("""COMPUTED_VALUE"""),1)</f>
        <v>1</v>
      </c>
      <c r="BX379" s="30"/>
      <c r="BY379" s="30">
        <f ca="1">IFERROR(__xludf.DUMMYFUNCTION("""COMPUTED_VALUE"""),1)</f>
        <v>1</v>
      </c>
      <c r="BZ379" s="30"/>
      <c r="CA379" s="30" t="str">
        <f ca="1">IFERROR(__xludf.DUMMYFUNCTION("""COMPUTED_VALUE"""),"No")</f>
        <v>No</v>
      </c>
      <c r="CB379" s="30" t="str">
        <f ca="1">IFERROR(__xludf.DUMMYFUNCTION("""COMPUTED_VALUE"""),"No")</f>
        <v>No</v>
      </c>
      <c r="CC379" s="30" t="str">
        <f ca="1">IFERROR(__xludf.DUMMYFUNCTION("""COMPUTED_VALUE"""),"00c94fb1")</f>
        <v>00c94fb1</v>
      </c>
      <c r="CD379" s="29" t="str">
        <f ca="1">IFERROR(__xludf.DUMMYFUNCTION("""COMPUTED_VALUE"""),"Niñas y Niños (6 a 12 años)")</f>
        <v>Niñas y Niños (6 a 12 años)</v>
      </c>
      <c r="CE379" s="30" t="str">
        <f ca="1">IFERROR(__xludf.DUMMYFUNCTION("""COMPUTED_VALUE"""),"Dato global")</f>
        <v>Dato global</v>
      </c>
      <c r="CF379" s="30" t="str">
        <f ca="1">IFERROR(__xludf.DUMMYFUNCTION("""COMPUTED_VALUE"""),"Ninguno (Población General)")</f>
        <v>Ninguno (Población General)</v>
      </c>
      <c r="CG379" s="30">
        <f ca="1">IFERROR(__xludf.DUMMYFUNCTION("""COMPUTED_VALUE"""),1)</f>
        <v>1</v>
      </c>
      <c r="CJ379" s="29"/>
      <c r="CM379" s="30" t="str">
        <f ca="1">IFERROR(__xludf.DUMMYFUNCTION("""COMPUTED_VALUE"""),"Guanajuato")</f>
        <v>Guanajuato</v>
      </c>
      <c r="CN379" s="32" t="e">
        <f ca="1"/>
        <v>#NAME?</v>
      </c>
      <c r="CO379" s="32" t="e">
        <f ca="1"/>
        <v>#NAME?</v>
      </c>
      <c r="CP379" s="32" t="e">
        <f ca="1"/>
        <v>#NAME?</v>
      </c>
      <c r="CQ379" s="32" t="e">
        <f ca="1"/>
        <v>#NAME?</v>
      </c>
      <c r="CR379" s="30" t="e">
        <f ca="1"/>
        <v>#NAME?</v>
      </c>
      <c r="CS379" s="30" t="str">
        <f ca="1">IFERROR(__xludf.DUMMYFUNCTION("""COMPUTED_VALUE"""),"Ninguno (Población General)")</f>
        <v>Ninguno (Población General)</v>
      </c>
    </row>
    <row r="380" spans="1:97" ht="13">
      <c r="A380" s="29" t="str">
        <f ca="1">IFERROR(__xludf.DUMMYFUNCTION("""COMPUTED_VALUE"""),"ACT-SCZY90747")</f>
        <v>ACT-SCZY90747</v>
      </c>
      <c r="B380" s="30" t="str">
        <f ca="1">IFERROR(__xludf.DUMMYFUNCTION("""COMPUTED_VALUE"""),"SC-260911-145910")</f>
        <v>SC-260911-145910</v>
      </c>
      <c r="C380" s="62">
        <f ca="1">IFERROR(__xludf.DUMMYFUNCTION("""COMPUTED_VALUE"""),46276.6244212962)</f>
        <v>46276.624421296197</v>
      </c>
      <c r="D380" s="30">
        <f ca="1">IFERROR(__xludf.DUMMYFUNCTION("""COMPUTED_VALUE"""),92)</f>
        <v>92</v>
      </c>
      <c r="E380" s="30" t="str">
        <f ca="1">IFERROR(__xludf.DUMMYFUNCTION("""COMPUTED_VALUE"""),"PB3572")</f>
        <v>PB3572</v>
      </c>
      <c r="F38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0" s="30" t="str">
        <f ca="1">IFERROR(__xludf.DUMMYFUNCTION("""COMPUTED_VALUE"""),"SUBSECRETARÍA DE DESARROLLO Y PROMOCIÓN ARTÍSTICA Y CULTURAL")</f>
        <v>SUBSECRETARÍA DE DESARROLLO Y PROMOCIÓN ARTÍSTICA Y CULTURAL</v>
      </c>
      <c r="I380" s="34" t="str">
        <f ca="1">IFERROR(__xludf.DUMMYFUNCTION("""COMPUTED_VALUE"""),"DIRECCIÓN GENERAL DE MUSEOS, ARTES VISUALES Y EXPOSICIONES")</f>
        <v>DIRECCIÓN GENERAL DE MUSEOS, ARTES VISUALES Y EXPOSICIONES</v>
      </c>
      <c r="J380" s="30" t="str">
        <f ca="1">IFERROR(__xludf.DUMMYFUNCTION("""COMPUTED_VALUE"""),"Número de Actividades realizadas")</f>
        <v>Número de Actividades realizadas</v>
      </c>
      <c r="K380" s="30">
        <f ca="1">IFERROR(__xludf.DUMMYFUNCTION("""COMPUTED_VALUE"""),800)</f>
        <v>800</v>
      </c>
      <c r="L380" s="30" t="str">
        <f ca="1">IFERROR(__xludf.DUMMYFUNCTION("""COMPUTED_VALUE"""),"Artística")</f>
        <v>Artística</v>
      </c>
      <c r="M380" s="30" t="str">
        <f ca="1">IFERROR(__xludf.DUMMYFUNCTION("""COMPUTED_VALUE"""),"Visita guiada: Eterno Femenino.")</f>
        <v>Visita guiada: Eterno Femenino.</v>
      </c>
      <c r="N380" s="30" t="str">
        <f ca="1">IFERROR(__xludf.DUMMYFUNCTION("""COMPUTED_VALUE"""),"Recorrido guiado por el museo")</f>
        <v>Recorrido guiado por el museo</v>
      </c>
      <c r="O380" s="30" t="str">
        <f ca="1">IFERROR(__xludf.DUMMYFUNCTION("""COMPUTED_VALUE"""),"Única")</f>
        <v>Única</v>
      </c>
      <c r="P380" s="33">
        <f ca="1">IFERROR(__xludf.DUMMYFUNCTION("""COMPUTED_VALUE"""),46261)</f>
        <v>46261</v>
      </c>
      <c r="Q380" s="33">
        <f ca="1">IFERROR(__xludf.DUMMYFUNCTION("""COMPUTED_VALUE"""),46261)</f>
        <v>46261</v>
      </c>
      <c r="R380" s="30">
        <f ca="1">IFERROR(__xludf.DUMMYFUNCTION("""COMPUTED_VALUE"""),1)</f>
        <v>1</v>
      </c>
      <c r="S380" s="30" t="str">
        <f ca="1">IFERROR(__xludf.DUMMYFUNCTION("""COMPUTED_VALUE"""),"Cultura comunitaria")</f>
        <v>Cultura comunitaria</v>
      </c>
      <c r="T380" s="30" t="str">
        <f ca="1">IFERROR(__xludf.DUMMYFUNCTION("""COMPUTED_VALUE"""),"Formación comunitaria")</f>
        <v>Formación comunitaria</v>
      </c>
      <c r="U380" s="30" t="str">
        <f ca="1">IFERROR(__xludf.DUMMYFUNCTION("""COMPUTED_VALUE"""),"Visitas guiadas")</f>
        <v>Visitas guiadas</v>
      </c>
      <c r="V380" s="30" t="str">
        <f ca="1">IFERROR(__xludf.DUMMYFUNCTION("""COMPUTED_VALUE"""),"Ninguna")</f>
        <v>Ninguna</v>
      </c>
      <c r="W380" s="30" t="str">
        <f ca="1">IFERROR(__xludf.DUMMYFUNCTION("""COMPUTED_VALUE"""),"Presencial")</f>
        <v>Presencial</v>
      </c>
      <c r="X380" s="30" t="str">
        <f ca="1">IFERROR(__xludf.DUMMYFUNCTION("""COMPUTED_VALUE"""),"Espacio a Cargo de la Secretaría")</f>
        <v>Espacio a Cargo de la Secretaría</v>
      </c>
      <c r="Y380" s="30" t="str">
        <f ca="1">IFERROR(__xludf.DUMMYFUNCTION("""COMPUTED_VALUE"""),"Museo Palacio de los Poderes")</f>
        <v>Museo Palacio de los Poderes</v>
      </c>
      <c r="Z380" s="30"/>
      <c r="AA380" s="30"/>
      <c r="AB380" s="30" t="b">
        <f ca="1">IFERROR(__xludf.DUMMYFUNCTION("""COMPUTED_VALUE"""),FALSE)</f>
        <v>0</v>
      </c>
      <c r="AC380" s="30"/>
      <c r="AD380" s="30" t="b">
        <f ca="1">IFERROR(__xludf.DUMMYFUNCTION("""COMPUTED_VALUE"""),FALSE)</f>
        <v>0</v>
      </c>
      <c r="AE380" s="30"/>
      <c r="AF380" s="30" t="b">
        <f ca="1">IFERROR(__xludf.DUMMYFUNCTION("""COMPUTED_VALUE"""),FALSE)</f>
        <v>0</v>
      </c>
      <c r="AG380" s="30"/>
      <c r="AH380" s="30" t="str">
        <f ca="1">IFERROR(__xludf.DUMMYFUNCTION("""COMPUTED_VALUE"""),"Sin costo")</f>
        <v>Sin costo</v>
      </c>
      <c r="AI380" s="30"/>
      <c r="AJ380" s="30"/>
      <c r="AK380" s="30"/>
      <c r="AL380" s="30" t="str">
        <f ca="1">IFERROR(__xludf.DUMMYFUNCTION("""COMPUTED_VALUE"""),"ccardonav@guanajuato.gob.mx")</f>
        <v>ccardonav@guanajuato.gob.mx</v>
      </c>
      <c r="AM380" s="30" t="str">
        <f ca="1">IFERROR(__xludf.DUMMYFUNCTION("""COMPUTED_VALUE"""),"Arraigo y empoderamiento cultural de comunidades.")</f>
        <v>Arraigo y empoderamiento cultural de comunidades.</v>
      </c>
      <c r="AN380" s="30" t="str">
        <f ca="1">IFERROR(__xludf.DUMMYFUNCTION("""COMPUTED_VALUE"""),"1 Tranquilidad")</f>
        <v>1 Tranquilidad</v>
      </c>
      <c r="AO380" s="30" t="str">
        <f ca="1">IFERROR(__xludf.DUMMYFUNCTION("""COMPUTED_VALUE"""),"1.2 Fortalecer prevención del delito")</f>
        <v>1.2 Fortalecer prevención del delito</v>
      </c>
      <c r="AP380" s="30" t="str">
        <f ca="1">IFERROR(__xludf.DUMMYFUNCTION("""COMPUTED_VALUE"""),"1.2.2 Fortalecimiento del tejido social")</f>
        <v>1.2.2 Fortalecimiento del tejido social</v>
      </c>
      <c r="AQ380" s="30" t="str">
        <f ca="1">IFERROR(__xludf.DUMMYFUNCTION("""COMPUTED_VALUE"""),"1.2.3.4 Promover una cultura de paz desde las expresiones artísticas y culturales")</f>
        <v>1.2.3.4 Promover una cultura de paz desde las expresiones artísticas y culturales</v>
      </c>
      <c r="AR380" s="30" t="str">
        <f ca="1">IFERROR(__xludf.DUMMYFUNCTION("""COMPUTED_VALUE"""),"Cooperación")</f>
        <v>Cooperación</v>
      </c>
      <c r="AS380" s="30"/>
      <c r="AT380" s="30" t="str">
        <f ca="1">IFERROR(__xludf.DUMMYFUNCTION("""COMPUTED_VALUE"""),"Fortalecimiento de la participación ciudadana y la mediación cultural")</f>
        <v>Fortalecimiento de la participación ciudadana y la mediación cultural</v>
      </c>
      <c r="AU380" s="30" t="str">
        <f ca="1">IFERROR(__xludf.DUMMYFUNCTION("""COMPUTED_VALUE"""),"Impulso a la ampliación de la oferta cultural en los territorios.")</f>
        <v>Impulso a la ampliación de la oferta cultural en los territorios.</v>
      </c>
      <c r="AV38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0" s="30" t="str">
        <f ca="1">IFERROR(__xludf.DUMMYFUNCTION("""COMPUTED_VALUE"""),"Incrementar en 25% la oferta cultural realizada en los municipios.")</f>
        <v>Incrementar en 25% la oferta cultural realizada en los municipios.</v>
      </c>
      <c r="AX380" s="30" t="str">
        <f ca="1">IFERROR(__xludf.DUMMYFUNCTION("""COMPUTED_VALUE"""),"Visitas guiadas")</f>
        <v>Visitas guiadas</v>
      </c>
      <c r="AY380" s="30" t="str">
        <f ca="1">IFERROR(__xludf.DUMMYFUNCTION("""COMPUTED_VALUE"""),"Formación")</f>
        <v>Formación</v>
      </c>
      <c r="AZ380" s="30" t="str">
        <f ca="1">IFERROR(__xludf.DUMMYFUNCTION("""COMPUTED_VALUE"""),"Formación")</f>
        <v>Formación</v>
      </c>
      <c r="BA380" s="30"/>
      <c r="BB380" s="30"/>
      <c r="BC380" s="30">
        <f ca="1">IFERROR(__xludf.DUMMYFUNCTION("""COMPUTED_VALUE"""),0)</f>
        <v>0</v>
      </c>
      <c r="BD380" s="30"/>
      <c r="BE380" s="30"/>
      <c r="BF380" s="30" t="b">
        <f ca="1">IFERROR(__xludf.DUMMYFUNCTION("""COMPUTED_VALUE"""),FALSE)</f>
        <v>0</v>
      </c>
      <c r="BG380" s="30"/>
      <c r="BH380" s="30"/>
      <c r="BI380" s="30"/>
      <c r="BJ380" s="30"/>
      <c r="BK380" s="30"/>
      <c r="BL380" s="30"/>
      <c r="BM380" s="30" t="str">
        <f ca="1">IFERROR(__xludf.DUMMYFUNCTION("""COMPUTED_VALUE"""),"No")</f>
        <v>No</v>
      </c>
      <c r="BN380" s="30"/>
      <c r="BO380" s="30" t="str">
        <f ca="1">IFERROR(__xludf.DUMMYFUNCTION("""COMPUTED_VALUE"""),"20f259aa")</f>
        <v>20f259aa</v>
      </c>
      <c r="BP380" s="29" t="str">
        <f ca="1">IFERROR(__xludf.DUMMYFUNCTION("""COMPUTED_VALUE"""),"Guanajuato")</f>
        <v>Guanajuato</v>
      </c>
      <c r="BQ380" s="30" t="str">
        <f ca="1">IFERROR(__xludf.DUMMYFUNCTION("""COMPUTED_VALUE"""),"Urbano")</f>
        <v>Urbano</v>
      </c>
      <c r="BR380" s="30"/>
      <c r="BS380" s="30"/>
      <c r="BT380" s="30"/>
      <c r="BU380" s="30" t="str">
        <f ca="1">IFERROR(__xludf.DUMMYFUNCTION("""COMPUTED_VALUE"""),"No")</f>
        <v>No</v>
      </c>
      <c r="BV380" s="30" t="str">
        <f ca="1">IFERROR(__xludf.DUMMYFUNCTION("""COMPUTED_VALUE"""),"No")</f>
        <v>No</v>
      </c>
      <c r="BW380" s="30">
        <f ca="1">IFERROR(__xludf.DUMMYFUNCTION("""COMPUTED_VALUE"""),2)</f>
        <v>2</v>
      </c>
      <c r="BX380" s="30"/>
      <c r="BY380" s="30">
        <f ca="1">IFERROR(__xludf.DUMMYFUNCTION("""COMPUTED_VALUE"""),2)</f>
        <v>2</v>
      </c>
      <c r="BZ380" s="30"/>
      <c r="CA380" s="30" t="str">
        <f ca="1">IFERROR(__xludf.DUMMYFUNCTION("""COMPUTED_VALUE"""),"No")</f>
        <v>No</v>
      </c>
      <c r="CB380" s="30" t="str">
        <f ca="1">IFERROR(__xludf.DUMMYFUNCTION("""COMPUTED_VALUE"""),"No")</f>
        <v>No</v>
      </c>
      <c r="CC380" s="30" t="str">
        <f ca="1">IFERROR(__xludf.DUMMYFUNCTION("""COMPUTED_VALUE"""),"3feba646")</f>
        <v>3feba646</v>
      </c>
      <c r="CD380" s="29" t="str">
        <f ca="1">IFERROR(__xludf.DUMMYFUNCTION("""COMPUTED_VALUE"""),"Adultos (30 a 59 años)")</f>
        <v>Adultos (30 a 59 años)</v>
      </c>
      <c r="CE380" s="30" t="str">
        <f ca="1">IFERROR(__xludf.DUMMYFUNCTION("""COMPUTED_VALUE"""),"Dato global")</f>
        <v>Dato global</v>
      </c>
      <c r="CF380" s="30" t="str">
        <f ca="1">IFERROR(__xludf.DUMMYFUNCTION("""COMPUTED_VALUE"""),"Ninguno (Población General)")</f>
        <v>Ninguno (Población General)</v>
      </c>
      <c r="CG380" s="30">
        <f ca="1">IFERROR(__xludf.DUMMYFUNCTION("""COMPUTED_VALUE"""),8)</f>
        <v>8</v>
      </c>
      <c r="CJ380" s="29"/>
      <c r="CM380" s="30" t="str">
        <f ca="1">IFERROR(__xludf.DUMMYFUNCTION("""COMPUTED_VALUE"""),"Guanajuato")</f>
        <v>Guanajuato</v>
      </c>
      <c r="CN380" s="32" t="e">
        <f ca="1"/>
        <v>#NAME?</v>
      </c>
      <c r="CO380" s="32" t="e">
        <f ca="1"/>
        <v>#NAME?</v>
      </c>
      <c r="CP380" s="32" t="e">
        <f ca="1"/>
        <v>#NAME?</v>
      </c>
      <c r="CQ380" s="32" t="e">
        <f ca="1"/>
        <v>#NAME?</v>
      </c>
      <c r="CR380" s="30" t="e">
        <f ca="1"/>
        <v>#NAME?</v>
      </c>
      <c r="CS380" s="30" t="str">
        <f ca="1">IFERROR(__xludf.DUMMYFUNCTION("""COMPUTED_VALUE"""),"Ninguno (Población General)")</f>
        <v>Ninguno (Población General)</v>
      </c>
    </row>
    <row r="381" spans="1:97" ht="13">
      <c r="A381" s="29" t="str">
        <f ca="1">IFERROR(__xludf.DUMMYFUNCTION("""COMPUTED_VALUE"""),"ACT-SCKC19065")</f>
        <v>ACT-SCKC19065</v>
      </c>
      <c r="B381" s="30" t="str">
        <f ca="1">IFERROR(__xludf.DUMMYFUNCTION("""COMPUTED_VALUE"""),"SC-260911-150346")</f>
        <v>SC-260911-150346</v>
      </c>
      <c r="C381" s="62">
        <f ca="1">IFERROR(__xludf.DUMMYFUNCTION("""COMPUTED_VALUE"""),46276.6276157407)</f>
        <v>46276.627615740697</v>
      </c>
      <c r="D381" s="30">
        <f ca="1">IFERROR(__xludf.DUMMYFUNCTION("""COMPUTED_VALUE"""),92)</f>
        <v>92</v>
      </c>
      <c r="E381" s="30" t="str">
        <f ca="1">IFERROR(__xludf.DUMMYFUNCTION("""COMPUTED_VALUE"""),"PB3572")</f>
        <v>PB3572</v>
      </c>
      <c r="F38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1" s="30" t="str">
        <f ca="1">IFERROR(__xludf.DUMMYFUNCTION("""COMPUTED_VALUE"""),"SUBSECRETARÍA DE DESARROLLO Y PROMOCIÓN ARTÍSTICA Y CULTURAL")</f>
        <v>SUBSECRETARÍA DE DESARROLLO Y PROMOCIÓN ARTÍSTICA Y CULTURAL</v>
      </c>
      <c r="I381" s="34" t="str">
        <f ca="1">IFERROR(__xludf.DUMMYFUNCTION("""COMPUTED_VALUE"""),"DIRECCIÓN GENERAL DE MUSEOS, ARTES VISUALES Y EXPOSICIONES")</f>
        <v>DIRECCIÓN GENERAL DE MUSEOS, ARTES VISUALES Y EXPOSICIONES</v>
      </c>
      <c r="J381" s="30" t="str">
        <f ca="1">IFERROR(__xludf.DUMMYFUNCTION("""COMPUTED_VALUE"""),"Número de Actividades realizadas")</f>
        <v>Número de Actividades realizadas</v>
      </c>
      <c r="K381" s="30">
        <f ca="1">IFERROR(__xludf.DUMMYFUNCTION("""COMPUTED_VALUE"""),800)</f>
        <v>800</v>
      </c>
      <c r="L381" s="30" t="str">
        <f ca="1">IFERROR(__xludf.DUMMYFUNCTION("""COMPUTED_VALUE"""),"Artística")</f>
        <v>Artística</v>
      </c>
      <c r="M381" s="30" t="str">
        <f ca="1">IFERROR(__xludf.DUMMYFUNCTION("""COMPUTED_VALUE"""),"Visita guiada: Eterno Femenino.")</f>
        <v>Visita guiada: Eterno Femenino.</v>
      </c>
      <c r="N381" s="30" t="str">
        <f ca="1">IFERROR(__xludf.DUMMYFUNCTION("""COMPUTED_VALUE"""),"Recorrido guiado por el museo")</f>
        <v>Recorrido guiado por el museo</v>
      </c>
      <c r="O381" s="30" t="str">
        <f ca="1">IFERROR(__xludf.DUMMYFUNCTION("""COMPUTED_VALUE"""),"Única")</f>
        <v>Única</v>
      </c>
      <c r="P381" s="33">
        <f ca="1">IFERROR(__xludf.DUMMYFUNCTION("""COMPUTED_VALUE"""),46262)</f>
        <v>46262</v>
      </c>
      <c r="Q381" s="33">
        <f ca="1">IFERROR(__xludf.DUMMYFUNCTION("""COMPUTED_VALUE"""),46262)</f>
        <v>46262</v>
      </c>
      <c r="R381" s="30">
        <f ca="1">IFERROR(__xludf.DUMMYFUNCTION("""COMPUTED_VALUE"""),1)</f>
        <v>1</v>
      </c>
      <c r="S381" s="30" t="str">
        <f ca="1">IFERROR(__xludf.DUMMYFUNCTION("""COMPUTED_VALUE"""),"Cultura comunitaria")</f>
        <v>Cultura comunitaria</v>
      </c>
      <c r="T381" s="30" t="str">
        <f ca="1">IFERROR(__xludf.DUMMYFUNCTION("""COMPUTED_VALUE"""),"Formación comunitaria")</f>
        <v>Formación comunitaria</v>
      </c>
      <c r="U381" s="30" t="str">
        <f ca="1">IFERROR(__xludf.DUMMYFUNCTION("""COMPUTED_VALUE"""),"Visitas guiadas")</f>
        <v>Visitas guiadas</v>
      </c>
      <c r="V381" s="30" t="str">
        <f ca="1">IFERROR(__xludf.DUMMYFUNCTION("""COMPUTED_VALUE"""),"Ninguna")</f>
        <v>Ninguna</v>
      </c>
      <c r="W381" s="30" t="str">
        <f ca="1">IFERROR(__xludf.DUMMYFUNCTION("""COMPUTED_VALUE"""),"Presencial")</f>
        <v>Presencial</v>
      </c>
      <c r="X381" s="30" t="str">
        <f ca="1">IFERROR(__xludf.DUMMYFUNCTION("""COMPUTED_VALUE"""),"Espacio a Cargo de la Secretaría")</f>
        <v>Espacio a Cargo de la Secretaría</v>
      </c>
      <c r="Y381" s="30" t="str">
        <f ca="1">IFERROR(__xludf.DUMMYFUNCTION("""COMPUTED_VALUE"""),"Museo Palacio de los Poderes")</f>
        <v>Museo Palacio de los Poderes</v>
      </c>
      <c r="Z381" s="30"/>
      <c r="AA381" s="30"/>
      <c r="AB381" s="30" t="b">
        <f ca="1">IFERROR(__xludf.DUMMYFUNCTION("""COMPUTED_VALUE"""),FALSE)</f>
        <v>0</v>
      </c>
      <c r="AC381" s="30"/>
      <c r="AD381" s="30" t="b">
        <f ca="1">IFERROR(__xludf.DUMMYFUNCTION("""COMPUTED_VALUE"""),FALSE)</f>
        <v>0</v>
      </c>
      <c r="AE381" s="30"/>
      <c r="AF381" s="30" t="b">
        <f ca="1">IFERROR(__xludf.DUMMYFUNCTION("""COMPUTED_VALUE"""),FALSE)</f>
        <v>0</v>
      </c>
      <c r="AG381" s="30"/>
      <c r="AH381" s="30" t="str">
        <f ca="1">IFERROR(__xludf.DUMMYFUNCTION("""COMPUTED_VALUE"""),"Sin costo")</f>
        <v>Sin costo</v>
      </c>
      <c r="AI381" s="30"/>
      <c r="AJ381" s="30"/>
      <c r="AK381" s="30"/>
      <c r="AL381" s="30" t="str">
        <f ca="1">IFERROR(__xludf.DUMMYFUNCTION("""COMPUTED_VALUE"""),"ccardonav@guanajuato.gob.mx")</f>
        <v>ccardonav@guanajuato.gob.mx</v>
      </c>
      <c r="AM381" s="30" t="str">
        <f ca="1">IFERROR(__xludf.DUMMYFUNCTION("""COMPUTED_VALUE"""),"Arraigo y empoderamiento cultural de comunidades.")</f>
        <v>Arraigo y empoderamiento cultural de comunidades.</v>
      </c>
      <c r="AN381" s="30" t="str">
        <f ca="1">IFERROR(__xludf.DUMMYFUNCTION("""COMPUTED_VALUE"""),"1 Tranquilidad")</f>
        <v>1 Tranquilidad</v>
      </c>
      <c r="AO381" s="30" t="str">
        <f ca="1">IFERROR(__xludf.DUMMYFUNCTION("""COMPUTED_VALUE"""),"1.2 Fortalecer prevención del delito")</f>
        <v>1.2 Fortalecer prevención del delito</v>
      </c>
      <c r="AP381" s="30" t="str">
        <f ca="1">IFERROR(__xludf.DUMMYFUNCTION("""COMPUTED_VALUE"""),"1.2.2 Fortalecimiento del tejido social")</f>
        <v>1.2.2 Fortalecimiento del tejido social</v>
      </c>
      <c r="AQ381" s="30" t="str">
        <f ca="1">IFERROR(__xludf.DUMMYFUNCTION("""COMPUTED_VALUE"""),"1.2.3.4 Promover una cultura de paz desde las expresiones artísticas y culturales")</f>
        <v>1.2.3.4 Promover una cultura de paz desde las expresiones artísticas y culturales</v>
      </c>
      <c r="AR381" s="30" t="str">
        <f ca="1">IFERROR(__xludf.DUMMYFUNCTION("""COMPUTED_VALUE"""),"Cooperación")</f>
        <v>Cooperación</v>
      </c>
      <c r="AS381" s="30"/>
      <c r="AT381" s="30" t="str">
        <f ca="1">IFERROR(__xludf.DUMMYFUNCTION("""COMPUTED_VALUE"""),"Fortalecimiento de la participación ciudadana y la mediación cultural")</f>
        <v>Fortalecimiento de la participación ciudadana y la mediación cultural</v>
      </c>
      <c r="AU381" s="30" t="str">
        <f ca="1">IFERROR(__xludf.DUMMYFUNCTION("""COMPUTED_VALUE"""),"Impulso a la ampliación de la oferta cultural en los territorios.")</f>
        <v>Impulso a la ampliación de la oferta cultural en los territorios.</v>
      </c>
      <c r="AV38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1" s="30" t="str">
        <f ca="1">IFERROR(__xludf.DUMMYFUNCTION("""COMPUTED_VALUE"""),"Incrementar en 25% la oferta cultural realizada en los municipios.")</f>
        <v>Incrementar en 25% la oferta cultural realizada en los municipios.</v>
      </c>
      <c r="AX381" s="30" t="str">
        <f ca="1">IFERROR(__xludf.DUMMYFUNCTION("""COMPUTED_VALUE"""),"Visitas guiadas")</f>
        <v>Visitas guiadas</v>
      </c>
      <c r="AY381" s="30" t="str">
        <f ca="1">IFERROR(__xludf.DUMMYFUNCTION("""COMPUTED_VALUE"""),"Formación")</f>
        <v>Formación</v>
      </c>
      <c r="AZ381" s="30" t="str">
        <f ca="1">IFERROR(__xludf.DUMMYFUNCTION("""COMPUTED_VALUE"""),"Formación")</f>
        <v>Formación</v>
      </c>
      <c r="BA381" s="30"/>
      <c r="BB381" s="30"/>
      <c r="BC381" s="30">
        <f ca="1">IFERROR(__xludf.DUMMYFUNCTION("""COMPUTED_VALUE"""),0)</f>
        <v>0</v>
      </c>
      <c r="BD381" s="30"/>
      <c r="BE381" s="30"/>
      <c r="BF381" s="30" t="b">
        <f ca="1">IFERROR(__xludf.DUMMYFUNCTION("""COMPUTED_VALUE"""),FALSE)</f>
        <v>0</v>
      </c>
      <c r="BG381" s="30"/>
      <c r="BH381" s="30"/>
      <c r="BI381" s="30"/>
      <c r="BJ381" s="30"/>
      <c r="BK381" s="30"/>
      <c r="BL381" s="30"/>
      <c r="BM381" s="30" t="str">
        <f ca="1">IFERROR(__xludf.DUMMYFUNCTION("""COMPUTED_VALUE"""),"No")</f>
        <v>No</v>
      </c>
      <c r="BN381" s="30"/>
      <c r="BO381" s="30" t="str">
        <f ca="1">IFERROR(__xludf.DUMMYFUNCTION("""COMPUTED_VALUE"""),"b3c15138")</f>
        <v>b3c15138</v>
      </c>
      <c r="BP381" s="29" t="str">
        <f ca="1">IFERROR(__xludf.DUMMYFUNCTION("""COMPUTED_VALUE"""),"Guanajuato")</f>
        <v>Guanajuato</v>
      </c>
      <c r="BQ381" s="30" t="str">
        <f ca="1">IFERROR(__xludf.DUMMYFUNCTION("""COMPUTED_VALUE"""),"Urbano")</f>
        <v>Urbano</v>
      </c>
      <c r="BR381" s="30"/>
      <c r="BS381" s="30"/>
      <c r="BT381" s="30"/>
      <c r="BU381" s="30" t="str">
        <f ca="1">IFERROR(__xludf.DUMMYFUNCTION("""COMPUTED_VALUE"""),"No")</f>
        <v>No</v>
      </c>
      <c r="BV381" s="30" t="str">
        <f ca="1">IFERROR(__xludf.DUMMYFUNCTION("""COMPUTED_VALUE"""),"No")</f>
        <v>No</v>
      </c>
      <c r="BW381" s="30">
        <f ca="1">IFERROR(__xludf.DUMMYFUNCTION("""COMPUTED_VALUE"""),2)</f>
        <v>2</v>
      </c>
      <c r="BX381" s="30"/>
      <c r="BY381" s="30">
        <f ca="1">IFERROR(__xludf.DUMMYFUNCTION("""COMPUTED_VALUE"""),2)</f>
        <v>2</v>
      </c>
      <c r="BZ381" s="30"/>
      <c r="CA381" s="30" t="str">
        <f ca="1">IFERROR(__xludf.DUMMYFUNCTION("""COMPUTED_VALUE"""),"No")</f>
        <v>No</v>
      </c>
      <c r="CB381" s="30" t="str">
        <f ca="1">IFERROR(__xludf.DUMMYFUNCTION("""COMPUTED_VALUE"""),"No")</f>
        <v>No</v>
      </c>
      <c r="CC381" s="30" t="str">
        <f ca="1">IFERROR(__xludf.DUMMYFUNCTION("""COMPUTED_VALUE"""),"94d44d11")</f>
        <v>94d44d11</v>
      </c>
      <c r="CD381" s="29" t="str">
        <f ca="1">IFERROR(__xludf.DUMMYFUNCTION("""COMPUTED_VALUE"""),"Adolescentes (13 a 17 años)")</f>
        <v>Adolescentes (13 a 17 años)</v>
      </c>
      <c r="CE381" s="30" t="str">
        <f ca="1">IFERROR(__xludf.DUMMYFUNCTION("""COMPUTED_VALUE"""),"Dato global")</f>
        <v>Dato global</v>
      </c>
      <c r="CF381" s="30" t="str">
        <f ca="1">IFERROR(__xludf.DUMMYFUNCTION("""COMPUTED_VALUE"""),"Ninguno (Población General)")</f>
        <v>Ninguno (Población General)</v>
      </c>
      <c r="CG381" s="30">
        <f ca="1">IFERROR(__xludf.DUMMYFUNCTION("""COMPUTED_VALUE"""),12)</f>
        <v>12</v>
      </c>
      <c r="CJ381" s="29"/>
      <c r="CM381" s="30" t="str">
        <f ca="1">IFERROR(__xludf.DUMMYFUNCTION("""COMPUTED_VALUE"""),"Guanajuato")</f>
        <v>Guanajuato</v>
      </c>
      <c r="CN381" s="32" t="e">
        <f ca="1"/>
        <v>#NAME?</v>
      </c>
      <c r="CO381" s="32" t="e">
        <f ca="1"/>
        <v>#NAME?</v>
      </c>
      <c r="CP381" s="32" t="e">
        <f ca="1"/>
        <v>#NAME?</v>
      </c>
      <c r="CQ381" s="32" t="e">
        <f ca="1"/>
        <v>#NAME?</v>
      </c>
      <c r="CR381" s="30" t="e">
        <f ca="1"/>
        <v>#NAME?</v>
      </c>
      <c r="CS381" s="30" t="str">
        <f ca="1">IFERROR(__xludf.DUMMYFUNCTION("""COMPUTED_VALUE"""),"Ninguno (Población General)")</f>
        <v>Ninguno (Población General)</v>
      </c>
    </row>
    <row r="382" spans="1:97" ht="13">
      <c r="A382" s="29" t="str">
        <f ca="1">IFERROR(__xludf.DUMMYFUNCTION("""COMPUTED_VALUE"""),"ACT-SCKL99207")</f>
        <v>ACT-SCKL99207</v>
      </c>
      <c r="B382" s="30" t="str">
        <f ca="1">IFERROR(__xludf.DUMMYFUNCTION("""COMPUTED_VALUE"""),"SC-260911-150846")</f>
        <v>SC-260911-150846</v>
      </c>
      <c r="C382" s="62">
        <f ca="1">IFERROR(__xludf.DUMMYFUNCTION("""COMPUTED_VALUE"""),46276.6310879629)</f>
        <v>46276.631087962902</v>
      </c>
      <c r="D382" s="30">
        <f ca="1">IFERROR(__xludf.DUMMYFUNCTION("""COMPUTED_VALUE"""),92)</f>
        <v>92</v>
      </c>
      <c r="E382" s="30" t="str">
        <f ca="1">IFERROR(__xludf.DUMMYFUNCTION("""COMPUTED_VALUE"""),"PB3572")</f>
        <v>PB3572</v>
      </c>
      <c r="F38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2" s="30" t="str">
        <f ca="1">IFERROR(__xludf.DUMMYFUNCTION("""COMPUTED_VALUE"""),"SUBSECRETARÍA DE DESARROLLO Y PROMOCIÓN ARTÍSTICA Y CULTURAL")</f>
        <v>SUBSECRETARÍA DE DESARROLLO Y PROMOCIÓN ARTÍSTICA Y CULTURAL</v>
      </c>
      <c r="I382" s="34" t="str">
        <f ca="1">IFERROR(__xludf.DUMMYFUNCTION("""COMPUTED_VALUE"""),"DIRECCIÓN GENERAL DE MUSEOS, ARTES VISUALES Y EXPOSICIONES")</f>
        <v>DIRECCIÓN GENERAL DE MUSEOS, ARTES VISUALES Y EXPOSICIONES</v>
      </c>
      <c r="J382" s="30" t="str">
        <f ca="1">IFERROR(__xludf.DUMMYFUNCTION("""COMPUTED_VALUE"""),"Número de Actividades realizadas")</f>
        <v>Número de Actividades realizadas</v>
      </c>
      <c r="K382" s="30">
        <f ca="1">IFERROR(__xludf.DUMMYFUNCTION("""COMPUTED_VALUE"""),800)</f>
        <v>800</v>
      </c>
      <c r="L382" s="30" t="str">
        <f ca="1">IFERROR(__xludf.DUMMYFUNCTION("""COMPUTED_VALUE"""),"Cultural")</f>
        <v>Cultural</v>
      </c>
      <c r="M382" s="30" t="str">
        <f ca="1">IFERROR(__xludf.DUMMYFUNCTION("""COMPUTED_VALUE"""),"Visita guiada libre")</f>
        <v>Visita guiada libre</v>
      </c>
      <c r="N382" s="30" t="str">
        <f ca="1">IFERROR(__xludf.DUMMYFUNCTION("""COMPUTED_VALUE"""),"Recorrido guiado por el museo")</f>
        <v>Recorrido guiado por el museo</v>
      </c>
      <c r="O382" s="30" t="str">
        <f ca="1">IFERROR(__xludf.DUMMYFUNCTION("""COMPUTED_VALUE"""),"Única")</f>
        <v>Única</v>
      </c>
      <c r="P382" s="33">
        <f ca="1">IFERROR(__xludf.DUMMYFUNCTION("""COMPUTED_VALUE"""),46247)</f>
        <v>46247</v>
      </c>
      <c r="Q382" s="33">
        <f ca="1">IFERROR(__xludf.DUMMYFUNCTION("""COMPUTED_VALUE"""),46247)</f>
        <v>46247</v>
      </c>
      <c r="R382" s="30">
        <f ca="1">IFERROR(__xludf.DUMMYFUNCTION("""COMPUTED_VALUE"""),1)</f>
        <v>1</v>
      </c>
      <c r="S382" s="30" t="str">
        <f ca="1">IFERROR(__xludf.DUMMYFUNCTION("""COMPUTED_VALUE"""),"Cultura comunitaria")</f>
        <v>Cultura comunitaria</v>
      </c>
      <c r="T382" s="30" t="str">
        <f ca="1">IFERROR(__xludf.DUMMYFUNCTION("""COMPUTED_VALUE"""),"Formación comunitaria")</f>
        <v>Formación comunitaria</v>
      </c>
      <c r="U382" s="30" t="str">
        <f ca="1">IFERROR(__xludf.DUMMYFUNCTION("""COMPUTED_VALUE"""),"Visitas guiadas")</f>
        <v>Visitas guiadas</v>
      </c>
      <c r="V382" s="30" t="str">
        <f ca="1">IFERROR(__xludf.DUMMYFUNCTION("""COMPUTED_VALUE"""),"Ninguna")</f>
        <v>Ninguna</v>
      </c>
      <c r="W382" s="30" t="str">
        <f ca="1">IFERROR(__xludf.DUMMYFUNCTION("""COMPUTED_VALUE"""),"Presencial")</f>
        <v>Presencial</v>
      </c>
      <c r="X382" s="30" t="str">
        <f ca="1">IFERROR(__xludf.DUMMYFUNCTION("""COMPUTED_VALUE"""),"Espacio a Cargo de la Secretaría")</f>
        <v>Espacio a Cargo de la Secretaría</v>
      </c>
      <c r="Y382" s="30" t="str">
        <f ca="1">IFERROR(__xludf.DUMMYFUNCTION("""COMPUTED_VALUE"""),"Museo Conde Rul")</f>
        <v>Museo Conde Rul</v>
      </c>
      <c r="Z382" s="30"/>
      <c r="AA382" s="30"/>
      <c r="AB382" s="30" t="b">
        <f ca="1">IFERROR(__xludf.DUMMYFUNCTION("""COMPUTED_VALUE"""),FALSE)</f>
        <v>0</v>
      </c>
      <c r="AC382" s="30"/>
      <c r="AD382" s="30" t="b">
        <f ca="1">IFERROR(__xludf.DUMMYFUNCTION("""COMPUTED_VALUE"""),FALSE)</f>
        <v>0</v>
      </c>
      <c r="AE382" s="30"/>
      <c r="AF382" s="30" t="b">
        <f ca="1">IFERROR(__xludf.DUMMYFUNCTION("""COMPUTED_VALUE"""),FALSE)</f>
        <v>0</v>
      </c>
      <c r="AG382" s="30"/>
      <c r="AH382" s="30" t="str">
        <f ca="1">IFERROR(__xludf.DUMMYFUNCTION("""COMPUTED_VALUE"""),"Sin costo")</f>
        <v>Sin costo</v>
      </c>
      <c r="AI382" s="30"/>
      <c r="AJ382" s="30"/>
      <c r="AK382" s="30"/>
      <c r="AL382" s="30" t="str">
        <f ca="1">IFERROR(__xludf.DUMMYFUNCTION("""COMPUTED_VALUE"""),"ccardonav@guanajuato.gob.mx")</f>
        <v>ccardonav@guanajuato.gob.mx</v>
      </c>
      <c r="AM382" s="30" t="str">
        <f ca="1">IFERROR(__xludf.DUMMYFUNCTION("""COMPUTED_VALUE"""),"Arraigo y empoderamiento cultural de comunidades.")</f>
        <v>Arraigo y empoderamiento cultural de comunidades.</v>
      </c>
      <c r="AN382" s="30" t="str">
        <f ca="1">IFERROR(__xludf.DUMMYFUNCTION("""COMPUTED_VALUE"""),"1 Tranquilidad")</f>
        <v>1 Tranquilidad</v>
      </c>
      <c r="AO382" s="30" t="str">
        <f ca="1">IFERROR(__xludf.DUMMYFUNCTION("""COMPUTED_VALUE"""),"1.2 Fortalecer prevención del delito")</f>
        <v>1.2 Fortalecer prevención del delito</v>
      </c>
      <c r="AP382" s="30" t="str">
        <f ca="1">IFERROR(__xludf.DUMMYFUNCTION("""COMPUTED_VALUE"""),"1.2.2 Fortalecimiento del tejido social")</f>
        <v>1.2.2 Fortalecimiento del tejido social</v>
      </c>
      <c r="AQ382" s="30" t="str">
        <f ca="1">IFERROR(__xludf.DUMMYFUNCTION("""COMPUTED_VALUE"""),"1.2.3.4 Promover una cultura de paz desde las expresiones artísticas y culturales")</f>
        <v>1.2.3.4 Promover una cultura de paz desde las expresiones artísticas y culturales</v>
      </c>
      <c r="AR382" s="30" t="str">
        <f ca="1">IFERROR(__xludf.DUMMYFUNCTION("""COMPUTED_VALUE"""),"Cooperación")</f>
        <v>Cooperación</v>
      </c>
      <c r="AS382" s="30"/>
      <c r="AT382" s="30" t="str">
        <f ca="1">IFERROR(__xludf.DUMMYFUNCTION("""COMPUTED_VALUE"""),"Fortalecimiento de la participación ciudadana y la mediación cultural")</f>
        <v>Fortalecimiento de la participación ciudadana y la mediación cultural</v>
      </c>
      <c r="AU382" s="30" t="str">
        <f ca="1">IFERROR(__xludf.DUMMYFUNCTION("""COMPUTED_VALUE"""),"Impulso a la ampliación de la oferta cultural en los territorios.")</f>
        <v>Impulso a la ampliación de la oferta cultural en los territorios.</v>
      </c>
      <c r="AV38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2" s="30" t="str">
        <f ca="1">IFERROR(__xludf.DUMMYFUNCTION("""COMPUTED_VALUE"""),"Incrementar en 25% la oferta cultural realizada en los municipios.")</f>
        <v>Incrementar en 25% la oferta cultural realizada en los municipios.</v>
      </c>
      <c r="AX382" s="30" t="str">
        <f ca="1">IFERROR(__xludf.DUMMYFUNCTION("""COMPUTED_VALUE"""),"Visitas guiadas")</f>
        <v>Visitas guiadas</v>
      </c>
      <c r="AY382" s="30" t="str">
        <f ca="1">IFERROR(__xludf.DUMMYFUNCTION("""COMPUTED_VALUE"""),"Formación")</f>
        <v>Formación</v>
      </c>
      <c r="AZ382" s="30"/>
      <c r="BA382" s="30"/>
      <c r="BB382" s="30"/>
      <c r="BC382" s="30">
        <f ca="1">IFERROR(__xludf.DUMMYFUNCTION("""COMPUTED_VALUE"""),0)</f>
        <v>0</v>
      </c>
      <c r="BD382" s="30"/>
      <c r="BE382" s="30"/>
      <c r="BF382" s="30" t="b">
        <f ca="1">IFERROR(__xludf.DUMMYFUNCTION("""COMPUTED_VALUE"""),FALSE)</f>
        <v>0</v>
      </c>
      <c r="BG382" s="30"/>
      <c r="BH382" s="30"/>
      <c r="BI382" s="30"/>
      <c r="BJ382" s="30"/>
      <c r="BK382" s="30"/>
      <c r="BL382" s="30"/>
      <c r="BM382" s="30" t="str">
        <f ca="1">IFERROR(__xludf.DUMMYFUNCTION("""COMPUTED_VALUE"""),"No")</f>
        <v>No</v>
      </c>
      <c r="BN382" s="30"/>
      <c r="BO382" s="30" t="str">
        <f ca="1">IFERROR(__xludf.DUMMYFUNCTION("""COMPUTED_VALUE"""),"e59cc6b3")</f>
        <v>e59cc6b3</v>
      </c>
      <c r="BP382" s="29" t="str">
        <f ca="1">IFERROR(__xludf.DUMMYFUNCTION("""COMPUTED_VALUE"""),"Guanajuato")</f>
        <v>Guanajuato</v>
      </c>
      <c r="BQ382" s="30" t="str">
        <f ca="1">IFERROR(__xludf.DUMMYFUNCTION("""COMPUTED_VALUE"""),"Urbano")</f>
        <v>Urbano</v>
      </c>
      <c r="BR382" s="30">
        <f ca="1">IFERROR(__xludf.DUMMYFUNCTION("""COMPUTED_VALUE"""),49)</f>
        <v>49</v>
      </c>
      <c r="BS382" s="30" t="str">
        <f ca="1">IFERROR(__xludf.DUMMYFUNCTION("""COMPUTED_VALUE"""),"Guanajuato")</f>
        <v>Guanajuato</v>
      </c>
      <c r="BT382" s="30"/>
      <c r="BU382" s="30" t="str">
        <f ca="1">IFERROR(__xludf.DUMMYFUNCTION("""COMPUTED_VALUE"""),"Si")</f>
        <v>Si</v>
      </c>
      <c r="BV382" s="30" t="str">
        <f ca="1">IFERROR(__xludf.DUMMYFUNCTION("""COMPUTED_VALUE"""),"Si")</f>
        <v>Si</v>
      </c>
      <c r="BW382" s="30">
        <f ca="1">IFERROR(__xludf.DUMMYFUNCTION("""COMPUTED_VALUE"""),1)</f>
        <v>1</v>
      </c>
      <c r="BX382" s="30"/>
      <c r="BY382" s="30">
        <f ca="1">IFERROR(__xludf.DUMMYFUNCTION("""COMPUTED_VALUE"""),1)</f>
        <v>1</v>
      </c>
      <c r="BZ382" s="30" t="str">
        <f ca="1">IFERROR(__xludf.DUMMYFUNCTION("""COMPUTED_VALUE"""),"Guanajuato")</f>
        <v>Guanajuato</v>
      </c>
      <c r="CA382" s="30" t="str">
        <f ca="1">IFERROR(__xludf.DUMMYFUNCTION("""COMPUTED_VALUE"""),"No")</f>
        <v>No</v>
      </c>
      <c r="CB382" s="30" t="str">
        <f ca="1">IFERROR(__xludf.DUMMYFUNCTION("""COMPUTED_VALUE"""),"No")</f>
        <v>No</v>
      </c>
      <c r="CC382" s="30" t="str">
        <f ca="1">IFERROR(__xludf.DUMMYFUNCTION("""COMPUTED_VALUE"""),"ed1ba39d")</f>
        <v>ed1ba39d</v>
      </c>
      <c r="CD382" s="29" t="str">
        <f ca="1">IFERROR(__xludf.DUMMYFUNCTION("""COMPUTED_VALUE"""),"Jóvenes (18 a 29 años)")</f>
        <v>Jóvenes (18 a 29 años)</v>
      </c>
      <c r="CE382" s="30" t="str">
        <f ca="1">IFERROR(__xludf.DUMMYFUNCTION("""COMPUTED_VALUE"""),"Dato global")</f>
        <v>Dato global</v>
      </c>
      <c r="CF382" s="30" t="str">
        <f ca="1">IFERROR(__xludf.DUMMYFUNCTION("""COMPUTED_VALUE"""),"Ninguno (Población General)")</f>
        <v>Ninguno (Población General)</v>
      </c>
      <c r="CG382" s="30">
        <f ca="1">IFERROR(__xludf.DUMMYFUNCTION("""COMPUTED_VALUE"""),14)</f>
        <v>14</v>
      </c>
      <c r="CJ382" s="29"/>
      <c r="CM382" s="30" t="str">
        <f ca="1">IFERROR(__xludf.DUMMYFUNCTION("""COMPUTED_VALUE"""),"Guanajuato")</f>
        <v>Guanajuato</v>
      </c>
      <c r="CN382" s="32" t="e">
        <f ca="1"/>
        <v>#NAME?</v>
      </c>
      <c r="CO382" s="32" t="e">
        <f ca="1"/>
        <v>#NAME?</v>
      </c>
      <c r="CP382" s="32" t="e">
        <f ca="1"/>
        <v>#NAME?</v>
      </c>
      <c r="CQ382" s="32" t="e">
        <f ca="1"/>
        <v>#NAME?</v>
      </c>
      <c r="CR382" s="30" t="e">
        <f ca="1"/>
        <v>#NAME?</v>
      </c>
      <c r="CS382" s="30" t="str">
        <f ca="1">IFERROR(__xludf.DUMMYFUNCTION("""COMPUTED_VALUE"""),"Ninguno (Población General)")</f>
        <v>Ninguno (Población General)</v>
      </c>
    </row>
    <row r="383" spans="1:97" ht="13">
      <c r="A383" s="29" t="str">
        <f ca="1">IFERROR(__xludf.DUMMYFUNCTION("""COMPUTED_VALUE"""),"ACT-SCJS85381")</f>
        <v>ACT-SCJS85381</v>
      </c>
      <c r="B383" s="30" t="str">
        <f ca="1">IFERROR(__xludf.DUMMYFUNCTION("""COMPUTED_VALUE"""),"SC-260911-151338")</f>
        <v>SC-260911-151338</v>
      </c>
      <c r="C383" s="62">
        <f ca="1">IFERROR(__xludf.DUMMYFUNCTION("""COMPUTED_VALUE"""),46276.6344675925)</f>
        <v>46276.634467592499</v>
      </c>
      <c r="D383" s="30">
        <f ca="1">IFERROR(__xludf.DUMMYFUNCTION("""COMPUTED_VALUE"""),92)</f>
        <v>92</v>
      </c>
      <c r="E383" s="30" t="str">
        <f ca="1">IFERROR(__xludf.DUMMYFUNCTION("""COMPUTED_VALUE"""),"PB3572")</f>
        <v>PB3572</v>
      </c>
      <c r="F38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3" s="30" t="str">
        <f ca="1">IFERROR(__xludf.DUMMYFUNCTION("""COMPUTED_VALUE"""),"SUBSECRETARÍA DE DESARROLLO Y PROMOCIÓN ARTÍSTICA Y CULTURAL")</f>
        <v>SUBSECRETARÍA DE DESARROLLO Y PROMOCIÓN ARTÍSTICA Y CULTURAL</v>
      </c>
      <c r="I383" s="34" t="str">
        <f ca="1">IFERROR(__xludf.DUMMYFUNCTION("""COMPUTED_VALUE"""),"DIRECCIÓN GENERAL DE MUSEOS, ARTES VISUALES Y EXPOSICIONES")</f>
        <v>DIRECCIÓN GENERAL DE MUSEOS, ARTES VISUALES Y EXPOSICIONES</v>
      </c>
      <c r="J383" s="30" t="str">
        <f ca="1">IFERROR(__xludf.DUMMYFUNCTION("""COMPUTED_VALUE"""),"Número de Actividades realizadas")</f>
        <v>Número de Actividades realizadas</v>
      </c>
      <c r="K383" s="30">
        <f ca="1">IFERROR(__xludf.DUMMYFUNCTION("""COMPUTED_VALUE"""),800)</f>
        <v>800</v>
      </c>
      <c r="L383" s="30" t="str">
        <f ca="1">IFERROR(__xludf.DUMMYFUNCTION("""COMPUTED_VALUE"""),"Cultural")</f>
        <v>Cultural</v>
      </c>
      <c r="M383" s="30" t="str">
        <f ca="1">IFERROR(__xludf.DUMMYFUNCTION("""COMPUTED_VALUE"""),"Visita guiada libre")</f>
        <v>Visita guiada libre</v>
      </c>
      <c r="N383" s="30" t="str">
        <f ca="1">IFERROR(__xludf.DUMMYFUNCTION("""COMPUTED_VALUE"""),"Recorrido guiado por el museo")</f>
        <v>Recorrido guiado por el museo</v>
      </c>
      <c r="O383" s="30" t="str">
        <f ca="1">IFERROR(__xludf.DUMMYFUNCTION("""COMPUTED_VALUE"""),"Única")</f>
        <v>Única</v>
      </c>
      <c r="P383" s="33">
        <f ca="1">IFERROR(__xludf.DUMMYFUNCTION("""COMPUTED_VALUE"""),46260)</f>
        <v>46260</v>
      </c>
      <c r="Q383" s="33">
        <f ca="1">IFERROR(__xludf.DUMMYFUNCTION("""COMPUTED_VALUE"""),46260)</f>
        <v>46260</v>
      </c>
      <c r="R383" s="30">
        <f ca="1">IFERROR(__xludf.DUMMYFUNCTION("""COMPUTED_VALUE"""),1)</f>
        <v>1</v>
      </c>
      <c r="S383" s="30" t="str">
        <f ca="1">IFERROR(__xludf.DUMMYFUNCTION("""COMPUTED_VALUE"""),"Cultura comunitaria")</f>
        <v>Cultura comunitaria</v>
      </c>
      <c r="T383" s="30" t="str">
        <f ca="1">IFERROR(__xludf.DUMMYFUNCTION("""COMPUTED_VALUE"""),"Formación comunitaria")</f>
        <v>Formación comunitaria</v>
      </c>
      <c r="U383" s="30" t="str">
        <f ca="1">IFERROR(__xludf.DUMMYFUNCTION("""COMPUTED_VALUE"""),"Visitas guiadas")</f>
        <v>Visitas guiadas</v>
      </c>
      <c r="V383" s="30" t="str">
        <f ca="1">IFERROR(__xludf.DUMMYFUNCTION("""COMPUTED_VALUE"""),"Ninguna")</f>
        <v>Ninguna</v>
      </c>
      <c r="W383" s="30" t="str">
        <f ca="1">IFERROR(__xludf.DUMMYFUNCTION("""COMPUTED_VALUE"""),"Presencial")</f>
        <v>Presencial</v>
      </c>
      <c r="X383" s="30" t="str">
        <f ca="1">IFERROR(__xludf.DUMMYFUNCTION("""COMPUTED_VALUE"""),"Espacio a Cargo de la Secretaría")</f>
        <v>Espacio a Cargo de la Secretaría</v>
      </c>
      <c r="Y383" s="30" t="str">
        <f ca="1">IFERROR(__xludf.DUMMYFUNCTION("""COMPUTED_VALUE"""),"Museo Conde Rul")</f>
        <v>Museo Conde Rul</v>
      </c>
      <c r="Z383" s="30"/>
      <c r="AA383" s="30"/>
      <c r="AB383" s="30" t="b">
        <f ca="1">IFERROR(__xludf.DUMMYFUNCTION("""COMPUTED_VALUE"""),FALSE)</f>
        <v>0</v>
      </c>
      <c r="AC383" s="30"/>
      <c r="AD383" s="30" t="b">
        <f ca="1">IFERROR(__xludf.DUMMYFUNCTION("""COMPUTED_VALUE"""),FALSE)</f>
        <v>0</v>
      </c>
      <c r="AE383" s="30"/>
      <c r="AF383" s="30" t="b">
        <f ca="1">IFERROR(__xludf.DUMMYFUNCTION("""COMPUTED_VALUE"""),FALSE)</f>
        <v>0</v>
      </c>
      <c r="AG383" s="30"/>
      <c r="AH383" s="30" t="str">
        <f ca="1">IFERROR(__xludf.DUMMYFUNCTION("""COMPUTED_VALUE"""),"Sin costo")</f>
        <v>Sin costo</v>
      </c>
      <c r="AI383" s="30"/>
      <c r="AJ383" s="30"/>
      <c r="AK383" s="30"/>
      <c r="AL383" s="30" t="str">
        <f ca="1">IFERROR(__xludf.DUMMYFUNCTION("""COMPUTED_VALUE"""),"ccardonav@guanajuato.gob.mx")</f>
        <v>ccardonav@guanajuato.gob.mx</v>
      </c>
      <c r="AM383" s="30" t="str">
        <f ca="1">IFERROR(__xludf.DUMMYFUNCTION("""COMPUTED_VALUE"""),"Arraigo y empoderamiento cultural de comunidades.")</f>
        <v>Arraigo y empoderamiento cultural de comunidades.</v>
      </c>
      <c r="AN383" s="30" t="str">
        <f ca="1">IFERROR(__xludf.DUMMYFUNCTION("""COMPUTED_VALUE"""),"1 Tranquilidad")</f>
        <v>1 Tranquilidad</v>
      </c>
      <c r="AO383" s="30" t="str">
        <f ca="1">IFERROR(__xludf.DUMMYFUNCTION("""COMPUTED_VALUE"""),"1.2 Fortalecer prevención del delito")</f>
        <v>1.2 Fortalecer prevención del delito</v>
      </c>
      <c r="AP383" s="30" t="str">
        <f ca="1">IFERROR(__xludf.DUMMYFUNCTION("""COMPUTED_VALUE"""),"1.2.2 Fortalecimiento del tejido social")</f>
        <v>1.2.2 Fortalecimiento del tejido social</v>
      </c>
      <c r="AQ383" s="30" t="str">
        <f ca="1">IFERROR(__xludf.DUMMYFUNCTION("""COMPUTED_VALUE"""),"1.2.3.4 Promover una cultura de paz desde las expresiones artísticas y culturales")</f>
        <v>1.2.3.4 Promover una cultura de paz desde las expresiones artísticas y culturales</v>
      </c>
      <c r="AR383" s="30" t="str">
        <f ca="1">IFERROR(__xludf.DUMMYFUNCTION("""COMPUTED_VALUE"""),"Cooperación")</f>
        <v>Cooperación</v>
      </c>
      <c r="AS383" s="30"/>
      <c r="AT383" s="30" t="str">
        <f ca="1">IFERROR(__xludf.DUMMYFUNCTION("""COMPUTED_VALUE"""),"Fortalecimiento de la participación ciudadana y la mediación cultural")</f>
        <v>Fortalecimiento de la participación ciudadana y la mediación cultural</v>
      </c>
      <c r="AU383" s="30" t="str">
        <f ca="1">IFERROR(__xludf.DUMMYFUNCTION("""COMPUTED_VALUE"""),"Impulso a la ampliación de la oferta cultural en los territorios.")</f>
        <v>Impulso a la ampliación de la oferta cultural en los territorios.</v>
      </c>
      <c r="AV38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3" s="30" t="str">
        <f ca="1">IFERROR(__xludf.DUMMYFUNCTION("""COMPUTED_VALUE"""),"Incrementar en 25% la oferta cultural realizada en los municipios.")</f>
        <v>Incrementar en 25% la oferta cultural realizada en los municipios.</v>
      </c>
      <c r="AX383" s="30" t="str">
        <f ca="1">IFERROR(__xludf.DUMMYFUNCTION("""COMPUTED_VALUE"""),"Visitas guiadas")</f>
        <v>Visitas guiadas</v>
      </c>
      <c r="AY383" s="30" t="str">
        <f ca="1">IFERROR(__xludf.DUMMYFUNCTION("""COMPUTED_VALUE"""),"Formación")</f>
        <v>Formación</v>
      </c>
      <c r="AZ383" s="30"/>
      <c r="BA383" s="30"/>
      <c r="BB383" s="30"/>
      <c r="BC383" s="30">
        <f ca="1">IFERROR(__xludf.DUMMYFUNCTION("""COMPUTED_VALUE"""),0)</f>
        <v>0</v>
      </c>
      <c r="BD383" s="30"/>
      <c r="BE383" s="30"/>
      <c r="BF383" s="30" t="b">
        <f ca="1">IFERROR(__xludf.DUMMYFUNCTION("""COMPUTED_VALUE"""),FALSE)</f>
        <v>0</v>
      </c>
      <c r="BG383" s="30"/>
      <c r="BH383" s="30"/>
      <c r="BI383" s="30"/>
      <c r="BJ383" s="30"/>
      <c r="BK383" s="30"/>
      <c r="BL383" s="30"/>
      <c r="BM383" s="30" t="str">
        <f ca="1">IFERROR(__xludf.DUMMYFUNCTION("""COMPUTED_VALUE"""),"No")</f>
        <v>No</v>
      </c>
      <c r="BN383" s="30"/>
      <c r="BO383" s="30" t="str">
        <f ca="1">IFERROR(__xludf.DUMMYFUNCTION("""COMPUTED_VALUE"""),"5fd1823a")</f>
        <v>5fd1823a</v>
      </c>
      <c r="BP383" s="29" t="str">
        <f ca="1">IFERROR(__xludf.DUMMYFUNCTION("""COMPUTED_VALUE"""),"Guanajuato")</f>
        <v>Guanajuato</v>
      </c>
      <c r="BQ383" s="30" t="str">
        <f ca="1">IFERROR(__xludf.DUMMYFUNCTION("""COMPUTED_VALUE"""),"Urbano")</f>
        <v>Urbano</v>
      </c>
      <c r="BR383" s="30"/>
      <c r="BS383" s="30"/>
      <c r="BT383" s="30"/>
      <c r="BU383" s="30" t="str">
        <f ca="1">IFERROR(__xludf.DUMMYFUNCTION("""COMPUTED_VALUE"""),"No")</f>
        <v>No</v>
      </c>
      <c r="BV383" s="30" t="str">
        <f ca="1">IFERROR(__xludf.DUMMYFUNCTION("""COMPUTED_VALUE"""),"No")</f>
        <v>No</v>
      </c>
      <c r="BW383" s="30">
        <f ca="1">IFERROR(__xludf.DUMMYFUNCTION("""COMPUTED_VALUE"""),4)</f>
        <v>4</v>
      </c>
      <c r="BX383" s="30"/>
      <c r="BY383" s="30">
        <f ca="1">IFERROR(__xludf.DUMMYFUNCTION("""COMPUTED_VALUE"""),4)</f>
        <v>4</v>
      </c>
      <c r="BZ383" s="30"/>
      <c r="CA383" s="30" t="str">
        <f ca="1">IFERROR(__xludf.DUMMYFUNCTION("""COMPUTED_VALUE"""),"No")</f>
        <v>No</v>
      </c>
      <c r="CB383" s="30" t="str">
        <f ca="1">IFERROR(__xludf.DUMMYFUNCTION("""COMPUTED_VALUE"""),"No")</f>
        <v>No</v>
      </c>
      <c r="CC383" s="30" t="str">
        <f ca="1">IFERROR(__xludf.DUMMYFUNCTION("""COMPUTED_VALUE"""),"0b0f23b3")</f>
        <v>0b0f23b3</v>
      </c>
      <c r="CD383" s="29" t="str">
        <f ca="1">IFERROR(__xludf.DUMMYFUNCTION("""COMPUTED_VALUE"""),"Niñas y Niños (6 a 12 años)")</f>
        <v>Niñas y Niños (6 a 12 años)</v>
      </c>
      <c r="CE383" s="30" t="str">
        <f ca="1">IFERROR(__xludf.DUMMYFUNCTION("""COMPUTED_VALUE"""),"No se cuenta con el dato")</f>
        <v>No se cuenta con el dato</v>
      </c>
      <c r="CF383" s="30" t="str">
        <f ca="1">IFERROR(__xludf.DUMMYFUNCTION("""COMPUTED_VALUE"""),"Ninguno (Población General)")</f>
        <v>Ninguno (Población General)</v>
      </c>
      <c r="CG383" s="30">
        <f ca="1">IFERROR(__xludf.DUMMYFUNCTION("""COMPUTED_VALUE"""),3)</f>
        <v>3</v>
      </c>
      <c r="CJ383" s="29"/>
      <c r="CM383" s="30" t="str">
        <f ca="1">IFERROR(__xludf.DUMMYFUNCTION("""COMPUTED_VALUE"""),"Guanajuato")</f>
        <v>Guanajuato</v>
      </c>
      <c r="CN383" s="32" t="e">
        <f ca="1"/>
        <v>#NAME?</v>
      </c>
      <c r="CO383" s="32" t="e">
        <f ca="1"/>
        <v>#NAME?</v>
      </c>
      <c r="CP383" s="32" t="e">
        <f ca="1"/>
        <v>#NAME?</v>
      </c>
      <c r="CQ383" s="32" t="e">
        <f ca="1"/>
        <v>#NAME?</v>
      </c>
      <c r="CR383" s="30" t="e">
        <f ca="1"/>
        <v>#NAME?</v>
      </c>
      <c r="CS383" s="30" t="str">
        <f ca="1">IFERROR(__xludf.DUMMYFUNCTION("""COMPUTED_VALUE"""),"Ninguno (Población General)")</f>
        <v>Ninguno (Población General)</v>
      </c>
    </row>
    <row r="384" spans="1:97" ht="13">
      <c r="A384" s="29" t="str">
        <f ca="1">IFERROR(__xludf.DUMMYFUNCTION("""COMPUTED_VALUE"""),"ACT-SCJA53450")</f>
        <v>ACT-SCJA53450</v>
      </c>
      <c r="B384" s="30" t="str">
        <f ca="1">IFERROR(__xludf.DUMMYFUNCTION("""COMPUTED_VALUE"""),"SC-260911-151701")</f>
        <v>SC-260911-151701</v>
      </c>
      <c r="C384" s="62">
        <f ca="1">IFERROR(__xludf.DUMMYFUNCTION("""COMPUTED_VALUE"""),46276.6368171296)</f>
        <v>46276.636817129598</v>
      </c>
      <c r="D384" s="30">
        <f ca="1">IFERROR(__xludf.DUMMYFUNCTION("""COMPUTED_VALUE"""),92)</f>
        <v>92</v>
      </c>
      <c r="E384" s="30" t="str">
        <f ca="1">IFERROR(__xludf.DUMMYFUNCTION("""COMPUTED_VALUE"""),"PB3572")</f>
        <v>PB3572</v>
      </c>
      <c r="F38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4" s="30" t="str">
        <f ca="1">IFERROR(__xludf.DUMMYFUNCTION("""COMPUTED_VALUE"""),"SUBSECRETARÍA DE DESARROLLO Y PROMOCIÓN ARTÍSTICA Y CULTURAL")</f>
        <v>SUBSECRETARÍA DE DESARROLLO Y PROMOCIÓN ARTÍSTICA Y CULTURAL</v>
      </c>
      <c r="I384" s="34" t="str">
        <f ca="1">IFERROR(__xludf.DUMMYFUNCTION("""COMPUTED_VALUE"""),"DIRECCIÓN GENERAL DE MUSEOS, ARTES VISUALES Y EXPOSICIONES")</f>
        <v>DIRECCIÓN GENERAL DE MUSEOS, ARTES VISUALES Y EXPOSICIONES</v>
      </c>
      <c r="J384" s="30" t="str">
        <f ca="1">IFERROR(__xludf.DUMMYFUNCTION("""COMPUTED_VALUE"""),"Número de Actividades realizadas")</f>
        <v>Número de Actividades realizadas</v>
      </c>
      <c r="K384" s="30">
        <f ca="1">IFERROR(__xludf.DUMMYFUNCTION("""COMPUTED_VALUE"""),800)</f>
        <v>800</v>
      </c>
      <c r="L384" s="30" t="str">
        <f ca="1">IFERROR(__xludf.DUMMYFUNCTION("""COMPUTED_VALUE"""),"Artística")</f>
        <v>Artística</v>
      </c>
      <c r="M384" s="30" t="str">
        <f ca="1">IFERROR(__xludf.DUMMYFUNCTION("""COMPUTED_VALUE"""),"Visita guiada libre")</f>
        <v>Visita guiada libre</v>
      </c>
      <c r="N384" s="30" t="str">
        <f ca="1">IFERROR(__xludf.DUMMYFUNCTION("""COMPUTED_VALUE"""),"Recorrido guiado por el museo")</f>
        <v>Recorrido guiado por el museo</v>
      </c>
      <c r="O384" s="30" t="str">
        <f ca="1">IFERROR(__xludf.DUMMYFUNCTION("""COMPUTED_VALUE"""),"Única")</f>
        <v>Única</v>
      </c>
      <c r="P384" s="33">
        <f ca="1">IFERROR(__xludf.DUMMYFUNCTION("""COMPUTED_VALUE"""),46240)</f>
        <v>46240</v>
      </c>
      <c r="Q384" s="33">
        <f ca="1">IFERROR(__xludf.DUMMYFUNCTION("""COMPUTED_VALUE"""),46240)</f>
        <v>46240</v>
      </c>
      <c r="R384" s="30">
        <f ca="1">IFERROR(__xludf.DUMMYFUNCTION("""COMPUTED_VALUE"""),1)</f>
        <v>1</v>
      </c>
      <c r="S384" s="30" t="str">
        <f ca="1">IFERROR(__xludf.DUMMYFUNCTION("""COMPUTED_VALUE"""),"Cultura comunitaria")</f>
        <v>Cultura comunitaria</v>
      </c>
      <c r="T384" s="30" t="str">
        <f ca="1">IFERROR(__xludf.DUMMYFUNCTION("""COMPUTED_VALUE"""),"Formación comunitaria")</f>
        <v>Formación comunitaria</v>
      </c>
      <c r="U384" s="30" t="str">
        <f ca="1">IFERROR(__xludf.DUMMYFUNCTION("""COMPUTED_VALUE"""),"Visitas guiadas")</f>
        <v>Visitas guiadas</v>
      </c>
      <c r="V384" s="30" t="str">
        <f ca="1">IFERROR(__xludf.DUMMYFUNCTION("""COMPUTED_VALUE"""),"Ninguna")</f>
        <v>Ninguna</v>
      </c>
      <c r="W384" s="30" t="str">
        <f ca="1">IFERROR(__xludf.DUMMYFUNCTION("""COMPUTED_VALUE"""),"Presencial")</f>
        <v>Presencial</v>
      </c>
      <c r="X384" s="30" t="str">
        <f ca="1">IFERROR(__xludf.DUMMYFUNCTION("""COMPUTED_VALUE"""),"Espacio a Cargo de la Secretaría")</f>
        <v>Espacio a Cargo de la Secretaría</v>
      </c>
      <c r="Y384" s="30" t="str">
        <f ca="1">IFERROR(__xludf.DUMMYFUNCTION("""COMPUTED_VALUE"""),"Museo Casa Diego Rivera")</f>
        <v>Museo Casa Diego Rivera</v>
      </c>
      <c r="Z384" s="30"/>
      <c r="AA384" s="30"/>
      <c r="AB384" s="30" t="b">
        <f ca="1">IFERROR(__xludf.DUMMYFUNCTION("""COMPUTED_VALUE"""),FALSE)</f>
        <v>0</v>
      </c>
      <c r="AC384" s="30"/>
      <c r="AD384" s="30" t="b">
        <f ca="1">IFERROR(__xludf.DUMMYFUNCTION("""COMPUTED_VALUE"""),FALSE)</f>
        <v>0</v>
      </c>
      <c r="AE384" s="30"/>
      <c r="AF384" s="30" t="b">
        <f ca="1">IFERROR(__xludf.DUMMYFUNCTION("""COMPUTED_VALUE"""),FALSE)</f>
        <v>0</v>
      </c>
      <c r="AG384" s="30"/>
      <c r="AH384" s="30" t="str">
        <f ca="1">IFERROR(__xludf.DUMMYFUNCTION("""COMPUTED_VALUE"""),"Sin costo")</f>
        <v>Sin costo</v>
      </c>
      <c r="AI384" s="30"/>
      <c r="AJ384" s="30"/>
      <c r="AK384" s="30"/>
      <c r="AL384" s="30" t="str">
        <f ca="1">IFERROR(__xludf.DUMMYFUNCTION("""COMPUTED_VALUE"""),"ccardonav@guanajuato.gob.mx")</f>
        <v>ccardonav@guanajuato.gob.mx</v>
      </c>
      <c r="AM384" s="30" t="str">
        <f ca="1">IFERROR(__xludf.DUMMYFUNCTION("""COMPUTED_VALUE"""),"Arraigo y empoderamiento cultural de comunidades.")</f>
        <v>Arraigo y empoderamiento cultural de comunidades.</v>
      </c>
      <c r="AN384" s="30" t="str">
        <f ca="1">IFERROR(__xludf.DUMMYFUNCTION("""COMPUTED_VALUE"""),"1 Tranquilidad")</f>
        <v>1 Tranquilidad</v>
      </c>
      <c r="AO384" s="30" t="str">
        <f ca="1">IFERROR(__xludf.DUMMYFUNCTION("""COMPUTED_VALUE"""),"1.2 Fortalecer prevención del delito")</f>
        <v>1.2 Fortalecer prevención del delito</v>
      </c>
      <c r="AP384" s="30" t="str">
        <f ca="1">IFERROR(__xludf.DUMMYFUNCTION("""COMPUTED_VALUE"""),"1.2.2 Fortalecimiento del tejido social")</f>
        <v>1.2.2 Fortalecimiento del tejido social</v>
      </c>
      <c r="AQ384" s="30" t="str">
        <f ca="1">IFERROR(__xludf.DUMMYFUNCTION("""COMPUTED_VALUE"""),"1.2.3.4 Promover una cultura de paz desde las expresiones artísticas y culturales")</f>
        <v>1.2.3.4 Promover una cultura de paz desde las expresiones artísticas y culturales</v>
      </c>
      <c r="AR384" s="30" t="str">
        <f ca="1">IFERROR(__xludf.DUMMYFUNCTION("""COMPUTED_VALUE"""),"Cooperación")</f>
        <v>Cooperación</v>
      </c>
      <c r="AS384" s="30"/>
      <c r="AT384" s="30" t="str">
        <f ca="1">IFERROR(__xludf.DUMMYFUNCTION("""COMPUTED_VALUE"""),"Fortalecimiento de la participación ciudadana y la mediación cultural")</f>
        <v>Fortalecimiento de la participación ciudadana y la mediación cultural</v>
      </c>
      <c r="AU384" s="30" t="str">
        <f ca="1">IFERROR(__xludf.DUMMYFUNCTION("""COMPUTED_VALUE"""),"Impulso a la ampliación de la oferta cultural en los territorios.")</f>
        <v>Impulso a la ampliación de la oferta cultural en los territorios.</v>
      </c>
      <c r="AV38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4" s="30" t="str">
        <f ca="1">IFERROR(__xludf.DUMMYFUNCTION("""COMPUTED_VALUE"""),"Incrementar en 25% la oferta cultural realizada en los municipios.")</f>
        <v>Incrementar en 25% la oferta cultural realizada en los municipios.</v>
      </c>
      <c r="AX384" s="30" t="str">
        <f ca="1">IFERROR(__xludf.DUMMYFUNCTION("""COMPUTED_VALUE"""),"Visitas guiadas")</f>
        <v>Visitas guiadas</v>
      </c>
      <c r="AY384" s="30" t="str">
        <f ca="1">IFERROR(__xludf.DUMMYFUNCTION("""COMPUTED_VALUE"""),"Formación")</f>
        <v>Formación</v>
      </c>
      <c r="AZ384" s="30" t="str">
        <f ca="1">IFERROR(__xludf.DUMMYFUNCTION("""COMPUTED_VALUE"""),"Formación")</f>
        <v>Formación</v>
      </c>
      <c r="BA384" s="30"/>
      <c r="BB384" s="30"/>
      <c r="BC384" s="30">
        <f ca="1">IFERROR(__xludf.DUMMYFUNCTION("""COMPUTED_VALUE"""),0)</f>
        <v>0</v>
      </c>
      <c r="BD384" s="30"/>
      <c r="BE384" s="30"/>
      <c r="BF384" s="30" t="b">
        <f ca="1">IFERROR(__xludf.DUMMYFUNCTION("""COMPUTED_VALUE"""),FALSE)</f>
        <v>0</v>
      </c>
      <c r="BG384" s="30"/>
      <c r="BH384" s="30"/>
      <c r="BI384" s="30"/>
      <c r="BJ384" s="30"/>
      <c r="BK384" s="30"/>
      <c r="BL384" s="30"/>
      <c r="BM384" s="30" t="str">
        <f ca="1">IFERROR(__xludf.DUMMYFUNCTION("""COMPUTED_VALUE"""),"No")</f>
        <v>No</v>
      </c>
      <c r="BN384" s="30"/>
      <c r="BO384" s="30" t="str">
        <f ca="1">IFERROR(__xludf.DUMMYFUNCTION("""COMPUTED_VALUE"""),"f8a08eec")</f>
        <v>f8a08eec</v>
      </c>
      <c r="BP384" s="29" t="str">
        <f ca="1">IFERROR(__xludf.DUMMYFUNCTION("""COMPUTED_VALUE"""),"Guanajuato")</f>
        <v>Guanajuato</v>
      </c>
      <c r="BQ384" s="30" t="str">
        <f ca="1">IFERROR(__xludf.DUMMYFUNCTION("""COMPUTED_VALUE"""),"Urbano")</f>
        <v>Urbano</v>
      </c>
      <c r="BR384" s="30"/>
      <c r="BS384" s="30"/>
      <c r="BT384" s="30"/>
      <c r="BU384" s="30" t="str">
        <f ca="1">IFERROR(__xludf.DUMMYFUNCTION("""COMPUTED_VALUE"""),"No")</f>
        <v>No</v>
      </c>
      <c r="BV384" s="30" t="str">
        <f ca="1">IFERROR(__xludf.DUMMYFUNCTION("""COMPUTED_VALUE"""),"No")</f>
        <v>No</v>
      </c>
      <c r="BW384" s="30">
        <f ca="1">IFERROR(__xludf.DUMMYFUNCTION("""COMPUTED_VALUE"""),3)</f>
        <v>3</v>
      </c>
      <c r="BX384" s="30"/>
      <c r="BY384" s="30">
        <f ca="1">IFERROR(__xludf.DUMMYFUNCTION("""COMPUTED_VALUE"""),3)</f>
        <v>3</v>
      </c>
      <c r="BZ384" s="30"/>
      <c r="CA384" s="30" t="str">
        <f ca="1">IFERROR(__xludf.DUMMYFUNCTION("""COMPUTED_VALUE"""),"No")</f>
        <v>No</v>
      </c>
      <c r="CB384" s="30" t="str">
        <f ca="1">IFERROR(__xludf.DUMMYFUNCTION("""COMPUTED_VALUE"""),"No")</f>
        <v>No</v>
      </c>
      <c r="CC384" s="30" t="str">
        <f ca="1">IFERROR(__xludf.DUMMYFUNCTION("""COMPUTED_VALUE"""),"f83d72c7")</f>
        <v>f83d72c7</v>
      </c>
      <c r="CD384" s="29" t="str">
        <f ca="1">IFERROR(__xludf.DUMMYFUNCTION("""COMPUTED_VALUE"""),"Adolescentes (13 a 17 años)")</f>
        <v>Adolescentes (13 a 17 años)</v>
      </c>
      <c r="CE384" s="30" t="str">
        <f ca="1">IFERROR(__xludf.DUMMYFUNCTION("""COMPUTED_VALUE"""),"No se cuenta con el dato")</f>
        <v>No se cuenta con el dato</v>
      </c>
      <c r="CF384" s="30" t="str">
        <f ca="1">IFERROR(__xludf.DUMMYFUNCTION("""COMPUTED_VALUE"""),"Población afromexicana")</f>
        <v>Población afromexicana</v>
      </c>
      <c r="CG384" s="30">
        <f ca="1">IFERROR(__xludf.DUMMYFUNCTION("""COMPUTED_VALUE"""),2)</f>
        <v>2</v>
      </c>
      <c r="CJ384" s="29"/>
      <c r="CM384" s="30" t="str">
        <f ca="1">IFERROR(__xludf.DUMMYFUNCTION("""COMPUTED_VALUE"""),"León")</f>
        <v>León</v>
      </c>
      <c r="CN384" s="32" t="e">
        <f ca="1"/>
        <v>#NAME?</v>
      </c>
      <c r="CO384" s="32" t="e">
        <f ca="1"/>
        <v>#NAME?</v>
      </c>
      <c r="CP384" s="32" t="e">
        <f ca="1"/>
        <v>#NAME?</v>
      </c>
      <c r="CQ384" s="32" t="e">
        <f ca="1"/>
        <v>#NAME?</v>
      </c>
      <c r="CR384" s="30" t="e">
        <f ca="1"/>
        <v>#NAME?</v>
      </c>
      <c r="CS384" s="30" t="str">
        <f ca="1">IFERROR(__xludf.DUMMYFUNCTION("""COMPUTED_VALUE"""),"Ninguno (Población General), Ninguno (Población General), Ninguno (Población General)")</f>
        <v>Ninguno (Población General), Ninguno (Población General), Ninguno (Población General)</v>
      </c>
    </row>
    <row r="385" spans="1:97" ht="13">
      <c r="A385" s="29" t="str">
        <f ca="1">IFERROR(__xludf.DUMMYFUNCTION("""COMPUTED_VALUE"""),"ACT-SCAD02703")</f>
        <v>ACT-SCAD02703</v>
      </c>
      <c r="B385" s="30" t="str">
        <f ca="1">IFERROR(__xludf.DUMMYFUNCTION("""COMPUTED_VALUE"""),"SC-260911-152021")</f>
        <v>SC-260911-152021</v>
      </c>
      <c r="C385" s="62">
        <f ca="1">IFERROR(__xludf.DUMMYFUNCTION("""COMPUTED_VALUE"""),46276.6391319444)</f>
        <v>46276.639131944401</v>
      </c>
      <c r="D385" s="30">
        <f ca="1">IFERROR(__xludf.DUMMYFUNCTION("""COMPUTED_VALUE"""),92)</f>
        <v>92</v>
      </c>
      <c r="E385" s="30" t="str">
        <f ca="1">IFERROR(__xludf.DUMMYFUNCTION("""COMPUTED_VALUE"""),"PB3572")</f>
        <v>PB3572</v>
      </c>
      <c r="F38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5" s="30" t="str">
        <f ca="1">IFERROR(__xludf.DUMMYFUNCTION("""COMPUTED_VALUE"""),"SUBSECRETARÍA DE DESARROLLO Y PROMOCIÓN ARTÍSTICA Y CULTURAL")</f>
        <v>SUBSECRETARÍA DE DESARROLLO Y PROMOCIÓN ARTÍSTICA Y CULTURAL</v>
      </c>
      <c r="I385" s="34" t="str">
        <f ca="1">IFERROR(__xludf.DUMMYFUNCTION("""COMPUTED_VALUE"""),"DIRECCIÓN GENERAL DE MUSEOS, ARTES VISUALES Y EXPOSICIONES")</f>
        <v>DIRECCIÓN GENERAL DE MUSEOS, ARTES VISUALES Y EXPOSICIONES</v>
      </c>
      <c r="J385" s="30" t="str">
        <f ca="1">IFERROR(__xludf.DUMMYFUNCTION("""COMPUTED_VALUE"""),"Número de Actividades realizadas")</f>
        <v>Número de Actividades realizadas</v>
      </c>
      <c r="K385" s="30">
        <f ca="1">IFERROR(__xludf.DUMMYFUNCTION("""COMPUTED_VALUE"""),800)</f>
        <v>800</v>
      </c>
      <c r="L385" s="30" t="str">
        <f ca="1">IFERROR(__xludf.DUMMYFUNCTION("""COMPUTED_VALUE"""),"Cultural")</f>
        <v>Cultural</v>
      </c>
      <c r="M385" s="30" t="str">
        <f ca="1">IFERROR(__xludf.DUMMYFUNCTION("""COMPUTED_VALUE"""),"Visita guiada libre")</f>
        <v>Visita guiada libre</v>
      </c>
      <c r="N385" s="30" t="str">
        <f ca="1">IFERROR(__xludf.DUMMYFUNCTION("""COMPUTED_VALUE"""),"Recorrido guiado por el museo")</f>
        <v>Recorrido guiado por el museo</v>
      </c>
      <c r="O385" s="30" t="str">
        <f ca="1">IFERROR(__xludf.DUMMYFUNCTION("""COMPUTED_VALUE"""),"Única")</f>
        <v>Única</v>
      </c>
      <c r="P385" s="33">
        <f ca="1">IFERROR(__xludf.DUMMYFUNCTION("""COMPUTED_VALUE"""),46240)</f>
        <v>46240</v>
      </c>
      <c r="Q385" s="33">
        <f ca="1">IFERROR(__xludf.DUMMYFUNCTION("""COMPUTED_VALUE"""),46240)</f>
        <v>46240</v>
      </c>
      <c r="R385" s="30">
        <f ca="1">IFERROR(__xludf.DUMMYFUNCTION("""COMPUTED_VALUE"""),1)</f>
        <v>1</v>
      </c>
      <c r="S385" s="30" t="str">
        <f ca="1">IFERROR(__xludf.DUMMYFUNCTION("""COMPUTED_VALUE"""),"Cultura comunitaria")</f>
        <v>Cultura comunitaria</v>
      </c>
      <c r="T385" s="30" t="str">
        <f ca="1">IFERROR(__xludf.DUMMYFUNCTION("""COMPUTED_VALUE"""),"Formación comunitaria")</f>
        <v>Formación comunitaria</v>
      </c>
      <c r="U385" s="30" t="str">
        <f ca="1">IFERROR(__xludf.DUMMYFUNCTION("""COMPUTED_VALUE"""),"Visitas guiadas")</f>
        <v>Visitas guiadas</v>
      </c>
      <c r="V385" s="30" t="str">
        <f ca="1">IFERROR(__xludf.DUMMYFUNCTION("""COMPUTED_VALUE"""),"Ninguna")</f>
        <v>Ninguna</v>
      </c>
      <c r="W385" s="30" t="str">
        <f ca="1">IFERROR(__xludf.DUMMYFUNCTION("""COMPUTED_VALUE"""),"Presencial")</f>
        <v>Presencial</v>
      </c>
      <c r="X385" s="30" t="str">
        <f ca="1">IFERROR(__xludf.DUMMYFUNCTION("""COMPUTED_VALUE"""),"Espacio a Cargo de la Secretaría")</f>
        <v>Espacio a Cargo de la Secretaría</v>
      </c>
      <c r="Y385" s="30" t="str">
        <f ca="1">IFERROR(__xludf.DUMMYFUNCTION("""COMPUTED_VALUE"""),"Museo del Pueblo de Guanajuato")</f>
        <v>Museo del Pueblo de Guanajuato</v>
      </c>
      <c r="Z385" s="30"/>
      <c r="AA385" s="30"/>
      <c r="AB385" s="30" t="b">
        <f ca="1">IFERROR(__xludf.DUMMYFUNCTION("""COMPUTED_VALUE"""),FALSE)</f>
        <v>0</v>
      </c>
      <c r="AC385" s="30"/>
      <c r="AD385" s="30" t="b">
        <f ca="1">IFERROR(__xludf.DUMMYFUNCTION("""COMPUTED_VALUE"""),FALSE)</f>
        <v>0</v>
      </c>
      <c r="AE385" s="30"/>
      <c r="AF385" s="30" t="b">
        <f ca="1">IFERROR(__xludf.DUMMYFUNCTION("""COMPUTED_VALUE"""),FALSE)</f>
        <v>0</v>
      </c>
      <c r="AG385" s="30"/>
      <c r="AH385" s="30" t="str">
        <f ca="1">IFERROR(__xludf.DUMMYFUNCTION("""COMPUTED_VALUE"""),"Sin costo")</f>
        <v>Sin costo</v>
      </c>
      <c r="AI385" s="30"/>
      <c r="AJ385" s="30"/>
      <c r="AK385" s="30"/>
      <c r="AL385" s="30" t="str">
        <f ca="1">IFERROR(__xludf.DUMMYFUNCTION("""COMPUTED_VALUE"""),"ccardonav@guanajuato.gob.mx")</f>
        <v>ccardonav@guanajuato.gob.mx</v>
      </c>
      <c r="AM385" s="30" t="str">
        <f ca="1">IFERROR(__xludf.DUMMYFUNCTION("""COMPUTED_VALUE"""),"Arraigo y empoderamiento cultural de comunidades.")</f>
        <v>Arraigo y empoderamiento cultural de comunidades.</v>
      </c>
      <c r="AN385" s="30" t="str">
        <f ca="1">IFERROR(__xludf.DUMMYFUNCTION("""COMPUTED_VALUE"""),"1 Tranquilidad")</f>
        <v>1 Tranquilidad</v>
      </c>
      <c r="AO385" s="30" t="str">
        <f ca="1">IFERROR(__xludf.DUMMYFUNCTION("""COMPUTED_VALUE"""),"1.2 Fortalecer prevención del delito")</f>
        <v>1.2 Fortalecer prevención del delito</v>
      </c>
      <c r="AP385" s="30" t="str">
        <f ca="1">IFERROR(__xludf.DUMMYFUNCTION("""COMPUTED_VALUE"""),"1.2.2 Fortalecimiento del tejido social")</f>
        <v>1.2.2 Fortalecimiento del tejido social</v>
      </c>
      <c r="AQ385" s="30" t="str">
        <f ca="1">IFERROR(__xludf.DUMMYFUNCTION("""COMPUTED_VALUE"""),"1.2.3.4 Promover una cultura de paz desde las expresiones artísticas y culturales")</f>
        <v>1.2.3.4 Promover una cultura de paz desde las expresiones artísticas y culturales</v>
      </c>
      <c r="AR385" s="30" t="str">
        <f ca="1">IFERROR(__xludf.DUMMYFUNCTION("""COMPUTED_VALUE"""),"Cooperación")</f>
        <v>Cooperación</v>
      </c>
      <c r="AS385" s="30"/>
      <c r="AT385" s="30" t="str">
        <f ca="1">IFERROR(__xludf.DUMMYFUNCTION("""COMPUTED_VALUE"""),"Fortalecimiento de la participación ciudadana y la mediación cultural")</f>
        <v>Fortalecimiento de la participación ciudadana y la mediación cultural</v>
      </c>
      <c r="AU385" s="30" t="str">
        <f ca="1">IFERROR(__xludf.DUMMYFUNCTION("""COMPUTED_VALUE"""),"Impulso a la ampliación de la oferta cultural en los territorios.")</f>
        <v>Impulso a la ampliación de la oferta cultural en los territorios.</v>
      </c>
      <c r="AV38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5" s="30" t="str">
        <f ca="1">IFERROR(__xludf.DUMMYFUNCTION("""COMPUTED_VALUE"""),"Incrementar en 25% la oferta cultural realizada en los municipios.")</f>
        <v>Incrementar en 25% la oferta cultural realizada en los municipios.</v>
      </c>
      <c r="AX385" s="30" t="str">
        <f ca="1">IFERROR(__xludf.DUMMYFUNCTION("""COMPUTED_VALUE"""),"Visitas guiadas")</f>
        <v>Visitas guiadas</v>
      </c>
      <c r="AY385" s="30" t="str">
        <f ca="1">IFERROR(__xludf.DUMMYFUNCTION("""COMPUTED_VALUE"""),"Formación")</f>
        <v>Formación</v>
      </c>
      <c r="AZ385" s="30" t="str">
        <f ca="1">IFERROR(__xludf.DUMMYFUNCTION("""COMPUTED_VALUE"""),"Formación")</f>
        <v>Formación</v>
      </c>
      <c r="BA385" s="30"/>
      <c r="BB385" s="30"/>
      <c r="BC385" s="30">
        <f ca="1">IFERROR(__xludf.DUMMYFUNCTION("""COMPUTED_VALUE"""),0)</f>
        <v>0</v>
      </c>
      <c r="BD385" s="30"/>
      <c r="BE385" s="30"/>
      <c r="BF385" s="30" t="b">
        <f ca="1">IFERROR(__xludf.DUMMYFUNCTION("""COMPUTED_VALUE"""),FALSE)</f>
        <v>0</v>
      </c>
      <c r="BG385" s="30"/>
      <c r="BH385" s="30"/>
      <c r="BI385" s="30"/>
      <c r="BJ385" s="30"/>
      <c r="BK385" s="30"/>
      <c r="BL385" s="30"/>
      <c r="BM385" s="30" t="str">
        <f ca="1">IFERROR(__xludf.DUMMYFUNCTION("""COMPUTED_VALUE"""),"No")</f>
        <v>No</v>
      </c>
      <c r="BN385" s="30"/>
      <c r="BO385" s="30" t="str">
        <f ca="1">IFERROR(__xludf.DUMMYFUNCTION("""COMPUTED_VALUE"""),"160dfc71")</f>
        <v>160dfc71</v>
      </c>
      <c r="BP385" s="29" t="str">
        <f ca="1">IFERROR(__xludf.DUMMYFUNCTION("""COMPUTED_VALUE"""),"León")</f>
        <v>León</v>
      </c>
      <c r="BQ385" s="30" t="str">
        <f ca="1">IFERROR(__xludf.DUMMYFUNCTION("""COMPUTED_VALUE"""),"Urbano")</f>
        <v>Urbano</v>
      </c>
      <c r="BR385" s="30"/>
      <c r="BS385" s="30"/>
      <c r="BT385" s="30"/>
      <c r="BU385" s="30" t="str">
        <f ca="1">IFERROR(__xludf.DUMMYFUNCTION("""COMPUTED_VALUE"""),"No")</f>
        <v>No</v>
      </c>
      <c r="BV385" s="30" t="str">
        <f ca="1">IFERROR(__xludf.DUMMYFUNCTION("""COMPUTED_VALUE"""),"No")</f>
        <v>No</v>
      </c>
      <c r="BW385" s="30">
        <f ca="1">IFERROR(__xludf.DUMMYFUNCTION("""COMPUTED_VALUE"""),103)</f>
        <v>103</v>
      </c>
      <c r="BX385" s="30"/>
      <c r="BY385" s="30">
        <f ca="1">IFERROR(__xludf.DUMMYFUNCTION("""COMPUTED_VALUE"""),103)</f>
        <v>103</v>
      </c>
      <c r="BZ385" s="30"/>
      <c r="CA385" s="30" t="str">
        <f ca="1">IFERROR(__xludf.DUMMYFUNCTION("""COMPUTED_VALUE"""),"No")</f>
        <v>No</v>
      </c>
      <c r="CB385" s="30" t="str">
        <f ca="1">IFERROR(__xludf.DUMMYFUNCTION("""COMPUTED_VALUE"""),"No")</f>
        <v>No</v>
      </c>
      <c r="CC385" s="30" t="str">
        <f ca="1">IFERROR(__xludf.DUMMYFUNCTION("""COMPUTED_VALUE"""),"458c8c19")</f>
        <v>458c8c19</v>
      </c>
      <c r="CD385" s="29" t="str">
        <f ca="1">IFERROR(__xludf.DUMMYFUNCTION("""COMPUTED_VALUE"""),"Jóvenes (18 a 29 años)")</f>
        <v>Jóvenes (18 a 29 años)</v>
      </c>
      <c r="CE385" s="30" t="str">
        <f ca="1">IFERROR(__xludf.DUMMYFUNCTION("""COMPUTED_VALUE"""),"No se cuenta con el dato")</f>
        <v>No se cuenta con el dato</v>
      </c>
      <c r="CF385" s="30" t="str">
        <f ca="1">IFERROR(__xludf.DUMMYFUNCTION("""COMPUTED_VALUE"""),"Ninguno (Población General)")</f>
        <v>Ninguno (Población General)</v>
      </c>
      <c r="CG385" s="30">
        <f ca="1">IFERROR(__xludf.DUMMYFUNCTION("""COMPUTED_VALUE"""),3)</f>
        <v>3</v>
      </c>
      <c r="CJ385" s="29"/>
      <c r="CM385" s="30" t="str">
        <f ca="1">IFERROR(__xludf.DUMMYFUNCTION("""COMPUTED_VALUE"""),"León")</f>
        <v>León</v>
      </c>
      <c r="CN385" s="32" t="e">
        <f ca="1"/>
        <v>#NAME?</v>
      </c>
      <c r="CO385" s="32" t="e">
        <f ca="1"/>
        <v>#NAME?</v>
      </c>
      <c r="CP385" s="32" t="e">
        <f ca="1"/>
        <v>#NAME?</v>
      </c>
      <c r="CQ385" s="32" t="e">
        <f ca="1"/>
        <v>#NAME?</v>
      </c>
      <c r="CR385" s="30" t="e">
        <f ca="1"/>
        <v>#NAME?</v>
      </c>
      <c r="CS385" s="30" t="str">
        <f ca="1">IFERROR(__xludf.DUMMYFUNCTION("""COMPUTED_VALUE"""),"Ninguno (Población General), Ninguno (Población General), Ninguno (Población General)")</f>
        <v>Ninguno (Población General), Ninguno (Población General), Ninguno (Población General)</v>
      </c>
    </row>
    <row r="386" spans="1:97" ht="13">
      <c r="A386" s="29" t="str">
        <f ca="1">IFERROR(__xludf.DUMMYFUNCTION("""COMPUTED_VALUE"""),"ACT-SCLV27428")</f>
        <v>ACT-SCLV27428</v>
      </c>
      <c r="B386" s="30" t="str">
        <f ca="1">IFERROR(__xludf.DUMMYFUNCTION("""COMPUTED_VALUE"""),"SC-260911-152716")</f>
        <v>SC-260911-152716</v>
      </c>
      <c r="C386" s="62">
        <f ca="1">IFERROR(__xludf.DUMMYFUNCTION("""COMPUTED_VALUE"""),46276.6439351851)</f>
        <v>46276.6439351851</v>
      </c>
      <c r="D386" s="30">
        <f ca="1">IFERROR(__xludf.DUMMYFUNCTION("""COMPUTED_VALUE"""),92)</f>
        <v>92</v>
      </c>
      <c r="E386" s="30" t="str">
        <f ca="1">IFERROR(__xludf.DUMMYFUNCTION("""COMPUTED_VALUE"""),"PB3572")</f>
        <v>PB3572</v>
      </c>
      <c r="F38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6" s="30" t="str">
        <f ca="1">IFERROR(__xludf.DUMMYFUNCTION("""COMPUTED_VALUE"""),"SUBSECRETARÍA DE DESARROLLO Y PROMOCIÓN ARTÍSTICA Y CULTURAL")</f>
        <v>SUBSECRETARÍA DE DESARROLLO Y PROMOCIÓN ARTÍSTICA Y CULTURAL</v>
      </c>
      <c r="I386" s="34" t="str">
        <f ca="1">IFERROR(__xludf.DUMMYFUNCTION("""COMPUTED_VALUE"""),"DIRECCIÓN GENERAL DE MUSEOS, ARTES VISUALES Y EXPOSICIONES")</f>
        <v>DIRECCIÓN GENERAL DE MUSEOS, ARTES VISUALES Y EXPOSICIONES</v>
      </c>
      <c r="J386" s="30" t="str">
        <f ca="1">IFERROR(__xludf.DUMMYFUNCTION("""COMPUTED_VALUE"""),"Número de Actividades realizadas")</f>
        <v>Número de Actividades realizadas</v>
      </c>
      <c r="K386" s="30">
        <f ca="1">IFERROR(__xludf.DUMMYFUNCTION("""COMPUTED_VALUE"""),800)</f>
        <v>800</v>
      </c>
      <c r="L386" s="30" t="str">
        <f ca="1">IFERROR(__xludf.DUMMYFUNCTION("""COMPUTED_VALUE"""),"Cultural")</f>
        <v>Cultural</v>
      </c>
      <c r="M386" s="30" t="str">
        <f ca="1">IFERROR(__xludf.DUMMYFUNCTION("""COMPUTED_VALUE"""),"Visita guiada libre")</f>
        <v>Visita guiada libre</v>
      </c>
      <c r="N386" s="30" t="str">
        <f ca="1">IFERROR(__xludf.DUMMYFUNCTION("""COMPUTED_VALUE"""),"Recorrido guiado por el museo")</f>
        <v>Recorrido guiado por el museo</v>
      </c>
      <c r="O386" s="30" t="str">
        <f ca="1">IFERROR(__xludf.DUMMYFUNCTION("""COMPUTED_VALUE"""),"Única")</f>
        <v>Única</v>
      </c>
      <c r="P386" s="33">
        <f ca="1">IFERROR(__xludf.DUMMYFUNCTION("""COMPUTED_VALUE"""),46246)</f>
        <v>46246</v>
      </c>
      <c r="Q386" s="33">
        <f ca="1">IFERROR(__xludf.DUMMYFUNCTION("""COMPUTED_VALUE"""),46246)</f>
        <v>46246</v>
      </c>
      <c r="R386" s="30">
        <f ca="1">IFERROR(__xludf.DUMMYFUNCTION("""COMPUTED_VALUE"""),1)</f>
        <v>1</v>
      </c>
      <c r="S386" s="30" t="str">
        <f ca="1">IFERROR(__xludf.DUMMYFUNCTION("""COMPUTED_VALUE"""),"Cultura comunitaria")</f>
        <v>Cultura comunitaria</v>
      </c>
      <c r="T386" s="30" t="str">
        <f ca="1">IFERROR(__xludf.DUMMYFUNCTION("""COMPUTED_VALUE"""),"Formación comunitaria")</f>
        <v>Formación comunitaria</v>
      </c>
      <c r="U386" s="30" t="str">
        <f ca="1">IFERROR(__xludf.DUMMYFUNCTION("""COMPUTED_VALUE"""),"Visitas guiadas")</f>
        <v>Visitas guiadas</v>
      </c>
      <c r="V386" s="30" t="str">
        <f ca="1">IFERROR(__xludf.DUMMYFUNCTION("""COMPUTED_VALUE"""),"Ninguna")</f>
        <v>Ninguna</v>
      </c>
      <c r="W386" s="30" t="str">
        <f ca="1">IFERROR(__xludf.DUMMYFUNCTION("""COMPUTED_VALUE"""),"Presencial")</f>
        <v>Presencial</v>
      </c>
      <c r="X386" s="30" t="str">
        <f ca="1">IFERROR(__xludf.DUMMYFUNCTION("""COMPUTED_VALUE"""),"Espacio a Cargo de la Secretaría")</f>
        <v>Espacio a Cargo de la Secretaría</v>
      </c>
      <c r="Y386" s="30" t="str">
        <f ca="1">IFERROR(__xludf.DUMMYFUNCTION("""COMPUTED_VALUE"""),"Museo del Pueblo de Guanajuato")</f>
        <v>Museo del Pueblo de Guanajuato</v>
      </c>
      <c r="Z386" s="30"/>
      <c r="AA386" s="30"/>
      <c r="AB386" s="30" t="b">
        <f ca="1">IFERROR(__xludf.DUMMYFUNCTION("""COMPUTED_VALUE"""),FALSE)</f>
        <v>0</v>
      </c>
      <c r="AC386" s="30"/>
      <c r="AD386" s="30" t="b">
        <f ca="1">IFERROR(__xludf.DUMMYFUNCTION("""COMPUTED_VALUE"""),FALSE)</f>
        <v>0</v>
      </c>
      <c r="AE386" s="30"/>
      <c r="AF386" s="30" t="b">
        <f ca="1">IFERROR(__xludf.DUMMYFUNCTION("""COMPUTED_VALUE"""),FALSE)</f>
        <v>0</v>
      </c>
      <c r="AG386" s="30"/>
      <c r="AH386" s="30" t="str">
        <f ca="1">IFERROR(__xludf.DUMMYFUNCTION("""COMPUTED_VALUE"""),"Sin costo")</f>
        <v>Sin costo</v>
      </c>
      <c r="AI386" s="30"/>
      <c r="AJ386" s="30"/>
      <c r="AK386" s="30"/>
      <c r="AL386" s="30" t="str">
        <f ca="1">IFERROR(__xludf.DUMMYFUNCTION("""COMPUTED_VALUE"""),"ccardonav@guanajuato.gob.mx")</f>
        <v>ccardonav@guanajuato.gob.mx</v>
      </c>
      <c r="AM386" s="30" t="str">
        <f ca="1">IFERROR(__xludf.DUMMYFUNCTION("""COMPUTED_VALUE"""),"Arraigo y empoderamiento cultural de comunidades.")</f>
        <v>Arraigo y empoderamiento cultural de comunidades.</v>
      </c>
      <c r="AN386" s="30" t="str">
        <f ca="1">IFERROR(__xludf.DUMMYFUNCTION("""COMPUTED_VALUE"""),"1 Tranquilidad")</f>
        <v>1 Tranquilidad</v>
      </c>
      <c r="AO386" s="30" t="str">
        <f ca="1">IFERROR(__xludf.DUMMYFUNCTION("""COMPUTED_VALUE"""),"1.2 Fortalecer prevención del delito")</f>
        <v>1.2 Fortalecer prevención del delito</v>
      </c>
      <c r="AP386" s="30" t="str">
        <f ca="1">IFERROR(__xludf.DUMMYFUNCTION("""COMPUTED_VALUE"""),"1.2.2 Fortalecimiento del tejido social")</f>
        <v>1.2.2 Fortalecimiento del tejido social</v>
      </c>
      <c r="AQ386" s="30" t="str">
        <f ca="1">IFERROR(__xludf.DUMMYFUNCTION("""COMPUTED_VALUE"""),"1.2.3.4 Promover una cultura de paz desde las expresiones artísticas y culturales")</f>
        <v>1.2.3.4 Promover una cultura de paz desde las expresiones artísticas y culturales</v>
      </c>
      <c r="AR386" s="30" t="str">
        <f ca="1">IFERROR(__xludf.DUMMYFUNCTION("""COMPUTED_VALUE"""),"Cooperación")</f>
        <v>Cooperación</v>
      </c>
      <c r="AS386" s="30"/>
      <c r="AT386" s="30" t="str">
        <f ca="1">IFERROR(__xludf.DUMMYFUNCTION("""COMPUTED_VALUE"""),"Fortalecimiento de la participación ciudadana y la mediación cultural")</f>
        <v>Fortalecimiento de la participación ciudadana y la mediación cultural</v>
      </c>
      <c r="AU386" s="30" t="str">
        <f ca="1">IFERROR(__xludf.DUMMYFUNCTION("""COMPUTED_VALUE"""),"Impulso a la ampliación de la oferta cultural en los territorios.")</f>
        <v>Impulso a la ampliación de la oferta cultural en los territorios.</v>
      </c>
      <c r="AV38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6" s="30" t="str">
        <f ca="1">IFERROR(__xludf.DUMMYFUNCTION("""COMPUTED_VALUE"""),"Incrementar en 25% la oferta cultural realizada en los municipios.")</f>
        <v>Incrementar en 25% la oferta cultural realizada en los municipios.</v>
      </c>
      <c r="AX386" s="30" t="str">
        <f ca="1">IFERROR(__xludf.DUMMYFUNCTION("""COMPUTED_VALUE"""),"Visitas guiadas")</f>
        <v>Visitas guiadas</v>
      </c>
      <c r="AY386" s="30" t="str">
        <f ca="1">IFERROR(__xludf.DUMMYFUNCTION("""COMPUTED_VALUE"""),"Formación")</f>
        <v>Formación</v>
      </c>
      <c r="AZ386" s="30" t="str">
        <f ca="1">IFERROR(__xludf.DUMMYFUNCTION("""COMPUTED_VALUE"""),"Formación")</f>
        <v>Formación</v>
      </c>
      <c r="BA386" s="30"/>
      <c r="BB386" s="30"/>
      <c r="BC386" s="30">
        <f ca="1">IFERROR(__xludf.DUMMYFUNCTION("""COMPUTED_VALUE"""),0)</f>
        <v>0</v>
      </c>
      <c r="BD386" s="30"/>
      <c r="BE386" s="30"/>
      <c r="BF386" s="30" t="b">
        <f ca="1">IFERROR(__xludf.DUMMYFUNCTION("""COMPUTED_VALUE"""),FALSE)</f>
        <v>0</v>
      </c>
      <c r="BG386" s="30"/>
      <c r="BH386" s="30"/>
      <c r="BI386" s="30"/>
      <c r="BJ386" s="30"/>
      <c r="BK386" s="30"/>
      <c r="BL386" s="30"/>
      <c r="BM386" s="30" t="str">
        <f ca="1">IFERROR(__xludf.DUMMYFUNCTION("""COMPUTED_VALUE"""),"No")</f>
        <v>No</v>
      </c>
      <c r="BN386" s="30"/>
      <c r="BO386" s="30" t="str">
        <f ca="1">IFERROR(__xludf.DUMMYFUNCTION("""COMPUTED_VALUE"""),"6d6d4f34")</f>
        <v>6d6d4f34</v>
      </c>
      <c r="BP386" s="29" t="str">
        <f ca="1">IFERROR(__xludf.DUMMYFUNCTION("""COMPUTED_VALUE"""),"León")</f>
        <v>León</v>
      </c>
      <c r="BQ386" s="30" t="str">
        <f ca="1">IFERROR(__xludf.DUMMYFUNCTION("""COMPUTED_VALUE"""),"Urbano")</f>
        <v>Urbano</v>
      </c>
      <c r="BR386" s="30"/>
      <c r="BS386" s="30"/>
      <c r="BT386" s="30"/>
      <c r="BU386" s="30" t="str">
        <f ca="1">IFERROR(__xludf.DUMMYFUNCTION("""COMPUTED_VALUE"""),"No")</f>
        <v>No</v>
      </c>
      <c r="BV386" s="30" t="str">
        <f ca="1">IFERROR(__xludf.DUMMYFUNCTION("""COMPUTED_VALUE"""),"No")</f>
        <v>No</v>
      </c>
      <c r="BW386" s="30">
        <f ca="1">IFERROR(__xludf.DUMMYFUNCTION("""COMPUTED_VALUE"""),87)</f>
        <v>87</v>
      </c>
      <c r="BX386" s="30"/>
      <c r="BY386" s="30">
        <f ca="1">IFERROR(__xludf.DUMMYFUNCTION("""COMPUTED_VALUE"""),87)</f>
        <v>87</v>
      </c>
      <c r="BZ386" s="30"/>
      <c r="CA386" s="30" t="str">
        <f ca="1">IFERROR(__xludf.DUMMYFUNCTION("""COMPUTED_VALUE"""),"No")</f>
        <v>No</v>
      </c>
      <c r="CB386" s="30" t="str">
        <f ca="1">IFERROR(__xludf.DUMMYFUNCTION("""COMPUTED_VALUE"""),"No")</f>
        <v>No</v>
      </c>
      <c r="CC386" s="30" t="str">
        <f ca="1">IFERROR(__xludf.DUMMYFUNCTION("""COMPUTED_VALUE"""),"12da0480")</f>
        <v>12da0480</v>
      </c>
      <c r="CD386" s="29" t="str">
        <f ca="1">IFERROR(__xludf.DUMMYFUNCTION("""COMPUTED_VALUE"""),"Adultos (30 a 59 años)")</f>
        <v>Adultos (30 a 59 años)</v>
      </c>
      <c r="CE386" s="30" t="str">
        <f ca="1">IFERROR(__xludf.DUMMYFUNCTION("""COMPUTED_VALUE"""),"No se cuenta con el dato")</f>
        <v>No se cuenta con el dato</v>
      </c>
      <c r="CF386" s="30" t="str">
        <f ca="1">IFERROR(__xludf.DUMMYFUNCTION("""COMPUTED_VALUE"""),"Ninguno (Población General)")</f>
        <v>Ninguno (Población General)</v>
      </c>
      <c r="CG386" s="30">
        <f ca="1">IFERROR(__xludf.DUMMYFUNCTION("""COMPUTED_VALUE"""),3)</f>
        <v>3</v>
      </c>
      <c r="CJ386" s="29"/>
      <c r="CM386" s="30" t="str">
        <f ca="1">IFERROR(__xludf.DUMMYFUNCTION("""COMPUTED_VALUE"""),"León")</f>
        <v>León</v>
      </c>
      <c r="CN386" s="32" t="e">
        <f ca="1"/>
        <v>#NAME?</v>
      </c>
      <c r="CO386" s="32" t="e">
        <f ca="1"/>
        <v>#NAME?</v>
      </c>
      <c r="CP386" s="32" t="e">
        <f ca="1"/>
        <v>#NAME?</v>
      </c>
      <c r="CQ386" s="32" t="e">
        <f ca="1"/>
        <v>#NAME?</v>
      </c>
      <c r="CR386" s="30" t="e">
        <f ca="1"/>
        <v>#NAME?</v>
      </c>
      <c r="CS386"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387" spans="1:97" ht="13">
      <c r="A387" s="29" t="str">
        <f ca="1">IFERROR(__xludf.DUMMYFUNCTION("""COMPUTED_VALUE"""),"ACT-SCBI74655")</f>
        <v>ACT-SCBI74655</v>
      </c>
      <c r="B387" s="30" t="str">
        <f ca="1">IFERROR(__xludf.DUMMYFUNCTION("""COMPUTED_VALUE"""),"SC-260911-153053")</f>
        <v>SC-260911-153053</v>
      </c>
      <c r="C387" s="62">
        <f ca="1">IFERROR(__xludf.DUMMYFUNCTION("""COMPUTED_VALUE"""),46276.6464467592)</f>
        <v>46276.646446759201</v>
      </c>
      <c r="D387" s="30">
        <f ca="1">IFERROR(__xludf.DUMMYFUNCTION("""COMPUTED_VALUE"""),92)</f>
        <v>92</v>
      </c>
      <c r="E387" s="30" t="str">
        <f ca="1">IFERROR(__xludf.DUMMYFUNCTION("""COMPUTED_VALUE"""),"PB3572")</f>
        <v>PB3572</v>
      </c>
      <c r="F38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7" s="30" t="str">
        <f ca="1">IFERROR(__xludf.DUMMYFUNCTION("""COMPUTED_VALUE"""),"SUBSECRETARÍA DE DESARROLLO Y PROMOCIÓN ARTÍSTICA Y CULTURAL")</f>
        <v>SUBSECRETARÍA DE DESARROLLO Y PROMOCIÓN ARTÍSTICA Y CULTURAL</v>
      </c>
      <c r="I387" s="34" t="str">
        <f ca="1">IFERROR(__xludf.DUMMYFUNCTION("""COMPUTED_VALUE"""),"DIRECCIÓN GENERAL DE MUSEOS, ARTES VISUALES Y EXPOSICIONES")</f>
        <v>DIRECCIÓN GENERAL DE MUSEOS, ARTES VISUALES Y EXPOSICIONES</v>
      </c>
      <c r="J387" s="30" t="str">
        <f ca="1">IFERROR(__xludf.DUMMYFUNCTION("""COMPUTED_VALUE"""),"Número de Actividades realizadas")</f>
        <v>Número de Actividades realizadas</v>
      </c>
      <c r="K387" s="30">
        <f ca="1">IFERROR(__xludf.DUMMYFUNCTION("""COMPUTED_VALUE"""),800)</f>
        <v>800</v>
      </c>
      <c r="L387" s="30" t="str">
        <f ca="1">IFERROR(__xludf.DUMMYFUNCTION("""COMPUTED_VALUE"""),"Cultural")</f>
        <v>Cultural</v>
      </c>
      <c r="M387" s="30" t="str">
        <f ca="1">IFERROR(__xludf.DUMMYFUNCTION("""COMPUTED_VALUE"""),"Visita guiada libre")</f>
        <v>Visita guiada libre</v>
      </c>
      <c r="N387" s="30" t="str">
        <f ca="1">IFERROR(__xludf.DUMMYFUNCTION("""COMPUTED_VALUE"""),"Recorrido guiado por el museo")</f>
        <v>Recorrido guiado por el museo</v>
      </c>
      <c r="O387" s="30" t="str">
        <f ca="1">IFERROR(__xludf.DUMMYFUNCTION("""COMPUTED_VALUE"""),"Única")</f>
        <v>Única</v>
      </c>
      <c r="P387" s="33">
        <f ca="1">IFERROR(__xludf.DUMMYFUNCTION("""COMPUTED_VALUE"""),46247)</f>
        <v>46247</v>
      </c>
      <c r="Q387" s="33">
        <f ca="1">IFERROR(__xludf.DUMMYFUNCTION("""COMPUTED_VALUE"""),46247)</f>
        <v>46247</v>
      </c>
      <c r="R387" s="30">
        <f ca="1">IFERROR(__xludf.DUMMYFUNCTION("""COMPUTED_VALUE"""),1)</f>
        <v>1</v>
      </c>
      <c r="S387" s="30" t="str">
        <f ca="1">IFERROR(__xludf.DUMMYFUNCTION("""COMPUTED_VALUE"""),"Cultura comunitaria")</f>
        <v>Cultura comunitaria</v>
      </c>
      <c r="T387" s="30" t="str">
        <f ca="1">IFERROR(__xludf.DUMMYFUNCTION("""COMPUTED_VALUE"""),"Formación comunitaria")</f>
        <v>Formación comunitaria</v>
      </c>
      <c r="U387" s="30" t="str">
        <f ca="1">IFERROR(__xludf.DUMMYFUNCTION("""COMPUTED_VALUE"""),"Visitas guiadas")</f>
        <v>Visitas guiadas</v>
      </c>
      <c r="V387" s="30" t="str">
        <f ca="1">IFERROR(__xludf.DUMMYFUNCTION("""COMPUTED_VALUE"""),"Ninguna")</f>
        <v>Ninguna</v>
      </c>
      <c r="W387" s="30" t="str">
        <f ca="1">IFERROR(__xludf.DUMMYFUNCTION("""COMPUTED_VALUE"""),"Presencial")</f>
        <v>Presencial</v>
      </c>
      <c r="X387" s="30" t="str">
        <f ca="1">IFERROR(__xludf.DUMMYFUNCTION("""COMPUTED_VALUE"""),"Espacio a Cargo de la Secretaría")</f>
        <v>Espacio a Cargo de la Secretaría</v>
      </c>
      <c r="Y387" s="30" t="str">
        <f ca="1">IFERROR(__xludf.DUMMYFUNCTION("""COMPUTED_VALUE"""),"Museo del Pueblo de Guanajuato")</f>
        <v>Museo del Pueblo de Guanajuato</v>
      </c>
      <c r="Z387" s="30"/>
      <c r="AA387" s="30"/>
      <c r="AB387" s="30" t="b">
        <f ca="1">IFERROR(__xludf.DUMMYFUNCTION("""COMPUTED_VALUE"""),FALSE)</f>
        <v>0</v>
      </c>
      <c r="AC387" s="30"/>
      <c r="AD387" s="30" t="b">
        <f ca="1">IFERROR(__xludf.DUMMYFUNCTION("""COMPUTED_VALUE"""),FALSE)</f>
        <v>0</v>
      </c>
      <c r="AE387" s="30"/>
      <c r="AF387" s="30" t="b">
        <f ca="1">IFERROR(__xludf.DUMMYFUNCTION("""COMPUTED_VALUE"""),FALSE)</f>
        <v>0</v>
      </c>
      <c r="AG387" s="30"/>
      <c r="AH387" s="30" t="str">
        <f ca="1">IFERROR(__xludf.DUMMYFUNCTION("""COMPUTED_VALUE"""),"Sin costo")</f>
        <v>Sin costo</v>
      </c>
      <c r="AI387" s="30"/>
      <c r="AJ387" s="30"/>
      <c r="AK387" s="30"/>
      <c r="AL387" s="30" t="str">
        <f ca="1">IFERROR(__xludf.DUMMYFUNCTION("""COMPUTED_VALUE"""),"ccardonav@guanajuato.gob.mx")</f>
        <v>ccardonav@guanajuato.gob.mx</v>
      </c>
      <c r="AM387" s="30" t="str">
        <f ca="1">IFERROR(__xludf.DUMMYFUNCTION("""COMPUTED_VALUE"""),"Arraigo y empoderamiento cultural de comunidades.")</f>
        <v>Arraigo y empoderamiento cultural de comunidades.</v>
      </c>
      <c r="AN387" s="30" t="str">
        <f ca="1">IFERROR(__xludf.DUMMYFUNCTION("""COMPUTED_VALUE"""),"1 Tranquilidad")</f>
        <v>1 Tranquilidad</v>
      </c>
      <c r="AO387" s="30" t="str">
        <f ca="1">IFERROR(__xludf.DUMMYFUNCTION("""COMPUTED_VALUE"""),"1.2 Fortalecer prevención del delito")</f>
        <v>1.2 Fortalecer prevención del delito</v>
      </c>
      <c r="AP387" s="30" t="str">
        <f ca="1">IFERROR(__xludf.DUMMYFUNCTION("""COMPUTED_VALUE"""),"1.2.2 Fortalecimiento del tejido social")</f>
        <v>1.2.2 Fortalecimiento del tejido social</v>
      </c>
      <c r="AQ387" s="30" t="str">
        <f ca="1">IFERROR(__xludf.DUMMYFUNCTION("""COMPUTED_VALUE"""),"1.2.3.4 Promover una cultura de paz desde las expresiones artísticas y culturales")</f>
        <v>1.2.3.4 Promover una cultura de paz desde las expresiones artísticas y culturales</v>
      </c>
      <c r="AR387" s="30" t="str">
        <f ca="1">IFERROR(__xludf.DUMMYFUNCTION("""COMPUTED_VALUE"""),"Cooperación")</f>
        <v>Cooperación</v>
      </c>
      <c r="AS387" s="30"/>
      <c r="AT387" s="30" t="str">
        <f ca="1">IFERROR(__xludf.DUMMYFUNCTION("""COMPUTED_VALUE"""),"Fortalecimiento de la participación ciudadana y la mediación cultural")</f>
        <v>Fortalecimiento de la participación ciudadana y la mediación cultural</v>
      </c>
      <c r="AU387" s="30" t="str">
        <f ca="1">IFERROR(__xludf.DUMMYFUNCTION("""COMPUTED_VALUE"""),"Impulso a la ampliación de la oferta cultural en los territorios.")</f>
        <v>Impulso a la ampliación de la oferta cultural en los territorios.</v>
      </c>
      <c r="AV38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7" s="30" t="str">
        <f ca="1">IFERROR(__xludf.DUMMYFUNCTION("""COMPUTED_VALUE"""),"Incrementar en 25% la oferta cultural realizada en los municipios.")</f>
        <v>Incrementar en 25% la oferta cultural realizada en los municipios.</v>
      </c>
      <c r="AX387" s="30" t="str">
        <f ca="1">IFERROR(__xludf.DUMMYFUNCTION("""COMPUTED_VALUE"""),"Visitas guiadas")</f>
        <v>Visitas guiadas</v>
      </c>
      <c r="AY387" s="30" t="str">
        <f ca="1">IFERROR(__xludf.DUMMYFUNCTION("""COMPUTED_VALUE"""),"Formación")</f>
        <v>Formación</v>
      </c>
      <c r="AZ387" s="30" t="str">
        <f ca="1">IFERROR(__xludf.DUMMYFUNCTION("""COMPUTED_VALUE"""),"Formación")</f>
        <v>Formación</v>
      </c>
      <c r="BA387" s="30"/>
      <c r="BB387" s="30"/>
      <c r="BC387" s="30">
        <f ca="1">IFERROR(__xludf.DUMMYFUNCTION("""COMPUTED_VALUE"""),0)</f>
        <v>0</v>
      </c>
      <c r="BD387" s="30"/>
      <c r="BE387" s="30"/>
      <c r="BF387" s="30" t="b">
        <f ca="1">IFERROR(__xludf.DUMMYFUNCTION("""COMPUTED_VALUE"""),FALSE)</f>
        <v>0</v>
      </c>
      <c r="BG387" s="30"/>
      <c r="BH387" s="30"/>
      <c r="BI387" s="30"/>
      <c r="BJ387" s="30"/>
      <c r="BK387" s="30"/>
      <c r="BL387" s="30"/>
      <c r="BM387" s="30" t="str">
        <f ca="1">IFERROR(__xludf.DUMMYFUNCTION("""COMPUTED_VALUE"""),"No")</f>
        <v>No</v>
      </c>
      <c r="BN387" s="30"/>
      <c r="BO387" s="30" t="str">
        <f ca="1">IFERROR(__xludf.DUMMYFUNCTION("""COMPUTED_VALUE"""),"5c8b4229")</f>
        <v>5c8b4229</v>
      </c>
      <c r="BP387" s="29" t="str">
        <f ca="1">IFERROR(__xludf.DUMMYFUNCTION("""COMPUTED_VALUE"""),"León")</f>
        <v>León</v>
      </c>
      <c r="BQ387" s="30" t="str">
        <f ca="1">IFERROR(__xludf.DUMMYFUNCTION("""COMPUTED_VALUE"""),"Urbano")</f>
        <v>Urbano</v>
      </c>
      <c r="BR387" s="30"/>
      <c r="BS387" s="30"/>
      <c r="BT387" s="30"/>
      <c r="BU387" s="30" t="str">
        <f ca="1">IFERROR(__xludf.DUMMYFUNCTION("""COMPUTED_VALUE"""),"No")</f>
        <v>No</v>
      </c>
      <c r="BV387" s="30" t="str">
        <f ca="1">IFERROR(__xludf.DUMMYFUNCTION("""COMPUTED_VALUE"""),"No")</f>
        <v>No</v>
      </c>
      <c r="BW387" s="30">
        <f ca="1">IFERROR(__xludf.DUMMYFUNCTION("""COMPUTED_VALUE"""),67)</f>
        <v>67</v>
      </c>
      <c r="BX387" s="30"/>
      <c r="BY387" s="30">
        <f ca="1">IFERROR(__xludf.DUMMYFUNCTION("""COMPUTED_VALUE"""),67)</f>
        <v>67</v>
      </c>
      <c r="BZ387" s="30"/>
      <c r="CA387" s="30" t="str">
        <f ca="1">IFERROR(__xludf.DUMMYFUNCTION("""COMPUTED_VALUE"""),"No")</f>
        <v>No</v>
      </c>
      <c r="CB387" s="30" t="str">
        <f ca="1">IFERROR(__xludf.DUMMYFUNCTION("""COMPUTED_VALUE"""),"No")</f>
        <v>No</v>
      </c>
      <c r="CC387" s="30" t="str">
        <f ca="1">IFERROR(__xludf.DUMMYFUNCTION("""COMPUTED_VALUE"""),"48e45dab")</f>
        <v>48e45dab</v>
      </c>
      <c r="CD387" s="29" t="str">
        <f ca="1">IFERROR(__xludf.DUMMYFUNCTION("""COMPUTED_VALUE"""),"Niñas y Niños (6 a 12 años)")</f>
        <v>Niñas y Niños (6 a 12 años)</v>
      </c>
      <c r="CE387" s="30" t="str">
        <f ca="1">IFERROR(__xludf.DUMMYFUNCTION("""COMPUTED_VALUE"""),"Dato global")</f>
        <v>Dato global</v>
      </c>
      <c r="CF387" s="30" t="str">
        <f ca="1">IFERROR(__xludf.DUMMYFUNCTION("""COMPUTED_VALUE"""),"Mujeres en situación de vulnerabilidad")</f>
        <v>Mujeres en situación de vulnerabilidad</v>
      </c>
      <c r="CG387" s="30">
        <f ca="1">IFERROR(__xludf.DUMMYFUNCTION("""COMPUTED_VALUE"""),16)</f>
        <v>16</v>
      </c>
      <c r="CJ387" s="29"/>
      <c r="CM387" s="30" t="str">
        <f ca="1">IFERROR(__xludf.DUMMYFUNCTION("""COMPUTED_VALUE"""),"")</f>
        <v/>
      </c>
      <c r="CN387" s="32" t="e">
        <f ca="1"/>
        <v>#NAME?</v>
      </c>
      <c r="CO387" s="32" t="e">
        <f ca="1"/>
        <v>#NAME?</v>
      </c>
      <c r="CP387" s="32" t="e">
        <f ca="1"/>
        <v>#NAME?</v>
      </c>
      <c r="CQ387" s="32" t="e">
        <f ca="1"/>
        <v>#NAME?</v>
      </c>
      <c r="CR387" s="30" t="e">
        <f ca="1"/>
        <v>#NAME?</v>
      </c>
      <c r="CS387"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388" spans="1:97" ht="13">
      <c r="A388" s="29" t="str">
        <f ca="1">IFERROR(__xludf.DUMMYFUNCTION("""COMPUTED_VALUE"""),"ACT-SCNB99509")</f>
        <v>ACT-SCNB99509</v>
      </c>
      <c r="B388" s="30" t="str">
        <f ca="1">IFERROR(__xludf.DUMMYFUNCTION("""COMPUTED_VALUE"""),"SC-260911-160911")</f>
        <v>SC-260911-160911</v>
      </c>
      <c r="C388" s="62">
        <f ca="1">IFERROR(__xludf.DUMMYFUNCTION("""COMPUTED_VALUE"""),46276.6730439814)</f>
        <v>46276.673043981398</v>
      </c>
      <c r="D388" s="30">
        <f ca="1">IFERROR(__xludf.DUMMYFUNCTION("""COMPUTED_VALUE"""),92)</f>
        <v>92</v>
      </c>
      <c r="E388" s="30" t="str">
        <f ca="1">IFERROR(__xludf.DUMMYFUNCTION("""COMPUTED_VALUE"""),"PB3572")</f>
        <v>PB3572</v>
      </c>
      <c r="F38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8" s="30" t="str">
        <f ca="1">IFERROR(__xludf.DUMMYFUNCTION("""COMPUTED_VALUE"""),"SUBSECRETARÍA DE DESARROLLO Y PROMOCIÓN ARTÍSTICA Y CULTURAL")</f>
        <v>SUBSECRETARÍA DE DESARROLLO Y PROMOCIÓN ARTÍSTICA Y CULTURAL</v>
      </c>
      <c r="I388" s="34" t="str">
        <f ca="1">IFERROR(__xludf.DUMMYFUNCTION("""COMPUTED_VALUE"""),"DIRECCIÓN GENERAL DE MUSEOS, ARTES VISUALES Y EXPOSICIONES")</f>
        <v>DIRECCIÓN GENERAL DE MUSEOS, ARTES VISUALES Y EXPOSICIONES</v>
      </c>
      <c r="J388" s="30" t="str">
        <f ca="1">IFERROR(__xludf.DUMMYFUNCTION("""COMPUTED_VALUE"""),"Número de Actividades realizadas")</f>
        <v>Número de Actividades realizadas</v>
      </c>
      <c r="K388" s="30">
        <f ca="1">IFERROR(__xludf.DUMMYFUNCTION("""COMPUTED_VALUE"""),800)</f>
        <v>800</v>
      </c>
      <c r="L388" s="30" t="str">
        <f ca="1">IFERROR(__xludf.DUMMYFUNCTION("""COMPUTED_VALUE"""),"Cultural")</f>
        <v>Cultural</v>
      </c>
      <c r="M388" s="30" t="str">
        <f ca="1">IFERROR(__xludf.DUMMYFUNCTION("""COMPUTED_VALUE"""),"Visita guiada libre")</f>
        <v>Visita guiada libre</v>
      </c>
      <c r="N388" s="30" t="str">
        <f ca="1">IFERROR(__xludf.DUMMYFUNCTION("""COMPUTED_VALUE"""),"Recorrido guiado por el museo")</f>
        <v>Recorrido guiado por el museo</v>
      </c>
      <c r="O388" s="30" t="str">
        <f ca="1">IFERROR(__xludf.DUMMYFUNCTION("""COMPUTED_VALUE"""),"Única")</f>
        <v>Única</v>
      </c>
      <c r="P388" s="33">
        <f ca="1">IFERROR(__xludf.DUMMYFUNCTION("""COMPUTED_VALUE"""),46276)</f>
        <v>46276</v>
      </c>
      <c r="Q388" s="33">
        <f ca="1">IFERROR(__xludf.DUMMYFUNCTION("""COMPUTED_VALUE"""),46276)</f>
        <v>46276</v>
      </c>
      <c r="R388" s="30">
        <f ca="1">IFERROR(__xludf.DUMMYFUNCTION("""COMPUTED_VALUE"""),1)</f>
        <v>1</v>
      </c>
      <c r="S388" s="30" t="str">
        <f ca="1">IFERROR(__xludf.DUMMYFUNCTION("""COMPUTED_VALUE"""),"Cultura comunitaria")</f>
        <v>Cultura comunitaria</v>
      </c>
      <c r="T388" s="30" t="str">
        <f ca="1">IFERROR(__xludf.DUMMYFUNCTION("""COMPUTED_VALUE"""),"Formación comunitaria")</f>
        <v>Formación comunitaria</v>
      </c>
      <c r="U388" s="30" t="str">
        <f ca="1">IFERROR(__xludf.DUMMYFUNCTION("""COMPUTED_VALUE"""),"Visitas guiadas")</f>
        <v>Visitas guiadas</v>
      </c>
      <c r="V388" s="30" t="str">
        <f ca="1">IFERROR(__xludf.DUMMYFUNCTION("""COMPUTED_VALUE"""),"Ninguna")</f>
        <v>Ninguna</v>
      </c>
      <c r="W388" s="30" t="str">
        <f ca="1">IFERROR(__xludf.DUMMYFUNCTION("""COMPUTED_VALUE"""),"Presencial")</f>
        <v>Presencial</v>
      </c>
      <c r="X388" s="30" t="str">
        <f ca="1">IFERROR(__xludf.DUMMYFUNCTION("""COMPUTED_VALUE"""),"Espacio a Cargo de la Secretaría")</f>
        <v>Espacio a Cargo de la Secretaría</v>
      </c>
      <c r="Y388" s="30" t="str">
        <f ca="1">IFERROR(__xludf.DUMMYFUNCTION("""COMPUTED_VALUE"""),"Museo de Arte-Olga Costa-José Chávez Morado")</f>
        <v>Museo de Arte-Olga Costa-José Chávez Morado</v>
      </c>
      <c r="Z388" s="30"/>
      <c r="AA388" s="30"/>
      <c r="AB388" s="30" t="b">
        <f ca="1">IFERROR(__xludf.DUMMYFUNCTION("""COMPUTED_VALUE"""),FALSE)</f>
        <v>0</v>
      </c>
      <c r="AC388" s="30"/>
      <c r="AD388" s="30" t="b">
        <f ca="1">IFERROR(__xludf.DUMMYFUNCTION("""COMPUTED_VALUE"""),FALSE)</f>
        <v>0</v>
      </c>
      <c r="AE388" s="30"/>
      <c r="AF388" s="30" t="b">
        <f ca="1">IFERROR(__xludf.DUMMYFUNCTION("""COMPUTED_VALUE"""),FALSE)</f>
        <v>0</v>
      </c>
      <c r="AG388" s="30"/>
      <c r="AH388" s="30" t="str">
        <f ca="1">IFERROR(__xludf.DUMMYFUNCTION("""COMPUTED_VALUE"""),"Sin costo")</f>
        <v>Sin costo</v>
      </c>
      <c r="AI388" s="30"/>
      <c r="AJ388" s="30"/>
      <c r="AK388" s="30"/>
      <c r="AL388" s="30" t="str">
        <f ca="1">IFERROR(__xludf.DUMMYFUNCTION("""COMPUTED_VALUE"""),"ccardonav@guanajuato.gob.mx")</f>
        <v>ccardonav@guanajuato.gob.mx</v>
      </c>
      <c r="AM388" s="30" t="str">
        <f ca="1">IFERROR(__xludf.DUMMYFUNCTION("""COMPUTED_VALUE"""),"Arraigo y empoderamiento cultural de comunidades.")</f>
        <v>Arraigo y empoderamiento cultural de comunidades.</v>
      </c>
      <c r="AN388" s="30" t="str">
        <f ca="1">IFERROR(__xludf.DUMMYFUNCTION("""COMPUTED_VALUE"""),"1 Tranquilidad")</f>
        <v>1 Tranquilidad</v>
      </c>
      <c r="AO388" s="30" t="str">
        <f ca="1">IFERROR(__xludf.DUMMYFUNCTION("""COMPUTED_VALUE"""),"1.2 Fortalecer prevención del delito")</f>
        <v>1.2 Fortalecer prevención del delito</v>
      </c>
      <c r="AP388" s="30" t="str">
        <f ca="1">IFERROR(__xludf.DUMMYFUNCTION("""COMPUTED_VALUE"""),"1.2.2 Fortalecimiento del tejido social")</f>
        <v>1.2.2 Fortalecimiento del tejido social</v>
      </c>
      <c r="AQ388" s="30" t="str">
        <f ca="1">IFERROR(__xludf.DUMMYFUNCTION("""COMPUTED_VALUE"""),"1.2.3.4 Promover una cultura de paz desde las expresiones artísticas y culturales")</f>
        <v>1.2.3.4 Promover una cultura de paz desde las expresiones artísticas y culturales</v>
      </c>
      <c r="AR388" s="30" t="str">
        <f ca="1">IFERROR(__xludf.DUMMYFUNCTION("""COMPUTED_VALUE"""),"Cooperación")</f>
        <v>Cooperación</v>
      </c>
      <c r="AS388" s="30"/>
      <c r="AT388" s="30" t="str">
        <f ca="1">IFERROR(__xludf.DUMMYFUNCTION("""COMPUTED_VALUE"""),"Fortalecimiento de la participación ciudadana y la mediación cultural")</f>
        <v>Fortalecimiento de la participación ciudadana y la mediación cultural</v>
      </c>
      <c r="AU388" s="30" t="str">
        <f ca="1">IFERROR(__xludf.DUMMYFUNCTION("""COMPUTED_VALUE"""),"Impulso a la ampliación de la oferta cultural en los territorios.")</f>
        <v>Impulso a la ampliación de la oferta cultural en los territorios.</v>
      </c>
      <c r="AV38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8" s="30" t="str">
        <f ca="1">IFERROR(__xludf.DUMMYFUNCTION("""COMPUTED_VALUE"""),"Incrementar en 25% la oferta cultural realizada en los municipios.")</f>
        <v>Incrementar en 25% la oferta cultural realizada en los municipios.</v>
      </c>
      <c r="AX388" s="30" t="str">
        <f ca="1">IFERROR(__xludf.DUMMYFUNCTION("""COMPUTED_VALUE"""),"Visitas guiadas")</f>
        <v>Visitas guiadas</v>
      </c>
      <c r="AY388" s="30" t="str">
        <f ca="1">IFERROR(__xludf.DUMMYFUNCTION("""COMPUTED_VALUE"""),"Formación")</f>
        <v>Formación</v>
      </c>
      <c r="AZ388" s="30" t="str">
        <f ca="1">IFERROR(__xludf.DUMMYFUNCTION("""COMPUTED_VALUE"""),"Formación")</f>
        <v>Formación</v>
      </c>
      <c r="BA388" s="30"/>
      <c r="BB388" s="30"/>
      <c r="BC388" s="30">
        <f ca="1">IFERROR(__xludf.DUMMYFUNCTION("""COMPUTED_VALUE"""),0)</f>
        <v>0</v>
      </c>
      <c r="BD388" s="30"/>
      <c r="BE388" s="30"/>
      <c r="BF388" s="30" t="b">
        <f ca="1">IFERROR(__xludf.DUMMYFUNCTION("""COMPUTED_VALUE"""),FALSE)</f>
        <v>0</v>
      </c>
      <c r="BG388" s="30"/>
      <c r="BH388" s="30"/>
      <c r="BI388" s="30"/>
      <c r="BJ388" s="30"/>
      <c r="BK388" s="30"/>
      <c r="BL388" s="30"/>
      <c r="BM388" s="30" t="str">
        <f ca="1">IFERROR(__xludf.DUMMYFUNCTION("""COMPUTED_VALUE"""),"No")</f>
        <v>No</v>
      </c>
      <c r="BN388" s="30"/>
      <c r="BO388" s="30" t="str">
        <f ca="1">IFERROR(__xludf.DUMMYFUNCTION("""COMPUTED_VALUE"""),"d4e1c865")</f>
        <v>d4e1c865</v>
      </c>
      <c r="BP388" s="29" t="str">
        <f ca="1">IFERROR(__xludf.DUMMYFUNCTION("""COMPUTED_VALUE"""),"León")</f>
        <v>León</v>
      </c>
      <c r="BQ388" s="30" t="str">
        <f ca="1">IFERROR(__xludf.DUMMYFUNCTION("""COMPUTED_VALUE"""),"Urbano")</f>
        <v>Urbano</v>
      </c>
      <c r="BR388" s="30"/>
      <c r="BS388" s="30"/>
      <c r="BT388" s="30"/>
      <c r="BU388" s="30" t="str">
        <f ca="1">IFERROR(__xludf.DUMMYFUNCTION("""COMPUTED_VALUE"""),"No")</f>
        <v>No</v>
      </c>
      <c r="BV388" s="30" t="str">
        <f ca="1">IFERROR(__xludf.DUMMYFUNCTION("""COMPUTED_VALUE"""),"No")</f>
        <v>No</v>
      </c>
      <c r="BW388" s="30">
        <f ca="1">IFERROR(__xludf.DUMMYFUNCTION("""COMPUTED_VALUE"""),138)</f>
        <v>138</v>
      </c>
      <c r="BX388" s="30"/>
      <c r="BY388" s="30">
        <f ca="1">IFERROR(__xludf.DUMMYFUNCTION("""COMPUTED_VALUE"""),138)</f>
        <v>138</v>
      </c>
      <c r="BZ388" s="30"/>
      <c r="CA388" s="30" t="str">
        <f ca="1">IFERROR(__xludf.DUMMYFUNCTION("""COMPUTED_VALUE"""),"No")</f>
        <v>No</v>
      </c>
      <c r="CB388" s="30" t="str">
        <f ca="1">IFERROR(__xludf.DUMMYFUNCTION("""COMPUTED_VALUE"""),"No")</f>
        <v>No</v>
      </c>
      <c r="CC388" s="30" t="str">
        <f ca="1">IFERROR(__xludf.DUMMYFUNCTION("""COMPUTED_VALUE"""),"dbc7c557")</f>
        <v>dbc7c557</v>
      </c>
      <c r="CD388" s="29" t="str">
        <f ca="1">IFERROR(__xludf.DUMMYFUNCTION("""COMPUTED_VALUE"""),"Adolescentes (13 a 17 años)")</f>
        <v>Adolescentes (13 a 17 años)</v>
      </c>
      <c r="CE388" s="30" t="str">
        <f ca="1">IFERROR(__xludf.DUMMYFUNCTION("""COMPUTED_VALUE"""),"Dato global")</f>
        <v>Dato global</v>
      </c>
      <c r="CF388" s="30" t="str">
        <f ca="1">IFERROR(__xludf.DUMMYFUNCTION("""COMPUTED_VALUE"""),"Mujeres en situación de vulnerabilidad")</f>
        <v>Mujeres en situación de vulnerabilidad</v>
      </c>
      <c r="CG388" s="30">
        <f ca="1">IFERROR(__xludf.DUMMYFUNCTION("""COMPUTED_VALUE"""),8)</f>
        <v>8</v>
      </c>
      <c r="CJ388" s="29"/>
      <c r="CM388" s="30" t="str">
        <f ca="1">IFERROR(__xludf.DUMMYFUNCTION("""COMPUTED_VALUE"""),"León")</f>
        <v>León</v>
      </c>
      <c r="CN388" s="32" t="e">
        <f ca="1"/>
        <v>#NAME?</v>
      </c>
      <c r="CO388" s="32" t="e">
        <f ca="1"/>
        <v>#NAME?</v>
      </c>
      <c r="CP388" s="32" t="e">
        <f ca="1"/>
        <v>#NAME?</v>
      </c>
      <c r="CQ388" s="32" t="e">
        <f ca="1"/>
        <v>#NAME?</v>
      </c>
      <c r="CR388" s="30" t="e">
        <f ca="1"/>
        <v>#NAME?</v>
      </c>
      <c r="CS388"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389" spans="1:97" ht="13">
      <c r="A389" s="29" t="str">
        <f ca="1">IFERROR(__xludf.DUMMYFUNCTION("""COMPUTED_VALUE"""),"ACT-SCGP32952")</f>
        <v>ACT-SCGP32952</v>
      </c>
      <c r="B389" s="30" t="str">
        <f ca="1">IFERROR(__xludf.DUMMYFUNCTION("""COMPUTED_VALUE"""),"SC-260914-102435")</f>
        <v>SC-260914-102435</v>
      </c>
      <c r="C389" s="62">
        <f ca="1">IFERROR(__xludf.DUMMYFUNCTION("""COMPUTED_VALUE"""),46279.4337384259)</f>
        <v>46279.433738425898</v>
      </c>
      <c r="D389" s="30">
        <f ca="1">IFERROR(__xludf.DUMMYFUNCTION("""COMPUTED_VALUE"""),92)</f>
        <v>92</v>
      </c>
      <c r="E389" s="30" t="str">
        <f ca="1">IFERROR(__xludf.DUMMYFUNCTION("""COMPUTED_VALUE"""),"PB3572")</f>
        <v>PB3572</v>
      </c>
      <c r="F38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8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89" s="30" t="str">
        <f ca="1">IFERROR(__xludf.DUMMYFUNCTION("""COMPUTED_VALUE"""),"SUBSECRETARÍA DE DESARROLLO Y PROMOCIÓN ARTÍSTICA Y CULTURAL")</f>
        <v>SUBSECRETARÍA DE DESARROLLO Y PROMOCIÓN ARTÍSTICA Y CULTURAL</v>
      </c>
      <c r="I389" s="34" t="str">
        <f ca="1">IFERROR(__xludf.DUMMYFUNCTION("""COMPUTED_VALUE"""),"DIRECCIÓN GENERAL DE MUSEOS, ARTES VISUALES Y EXPOSICIONES")</f>
        <v>DIRECCIÓN GENERAL DE MUSEOS, ARTES VISUALES Y EXPOSICIONES</v>
      </c>
      <c r="J389" s="30" t="str">
        <f ca="1">IFERROR(__xludf.DUMMYFUNCTION("""COMPUTED_VALUE"""),"Número de Actividades realizadas")</f>
        <v>Número de Actividades realizadas</v>
      </c>
      <c r="K389" s="30">
        <f ca="1">IFERROR(__xludf.DUMMYFUNCTION("""COMPUTED_VALUE"""),800)</f>
        <v>800</v>
      </c>
      <c r="L389" s="30" t="str">
        <f ca="1">IFERROR(__xludf.DUMMYFUNCTION("""COMPUTED_VALUE"""),"Cultural")</f>
        <v>Cultural</v>
      </c>
      <c r="M389" s="30" t="str">
        <f ca="1">IFERROR(__xludf.DUMMYFUNCTION("""COMPUTED_VALUE"""),"El Diseño en el tarot. Historia, arte y ocultismo.")</f>
        <v>El Diseño en el tarot. Historia, arte y ocultismo.</v>
      </c>
      <c r="N389" s="30" t="str">
        <f ca="1">IFERROR(__xludf.DUMMYFUNCTION("""COMPUTED_VALUE"""),"El Diseño en el tarot. Historia, arte y ocultismo. Con Marisa Andrade Pérez Vela, Adrián García Orozco, Franca Toro.")</f>
        <v>El Diseño en el tarot. Historia, arte y ocultismo. Con Marisa Andrade Pérez Vela, Adrián García Orozco, Franca Toro.</v>
      </c>
      <c r="O389" s="30" t="str">
        <f ca="1">IFERROR(__xludf.DUMMYFUNCTION("""COMPUTED_VALUE"""),"Única")</f>
        <v>Única</v>
      </c>
      <c r="P389" s="33">
        <f ca="1">IFERROR(__xludf.DUMMYFUNCTION("""COMPUTED_VALUE"""),46235)</f>
        <v>46235</v>
      </c>
      <c r="Q389" s="33">
        <f ca="1">IFERROR(__xludf.DUMMYFUNCTION("""COMPUTED_VALUE"""),46235)</f>
        <v>46235</v>
      </c>
      <c r="R389" s="30">
        <f ca="1">IFERROR(__xludf.DUMMYFUNCTION("""COMPUTED_VALUE"""),1)</f>
        <v>1</v>
      </c>
      <c r="S389" s="30" t="str">
        <f ca="1">IFERROR(__xludf.DUMMYFUNCTION("""COMPUTED_VALUE"""),"Artes visuales")</f>
        <v>Artes visuales</v>
      </c>
      <c r="T389" s="30" t="str">
        <f ca="1">IFERROR(__xludf.DUMMYFUNCTION("""COMPUTED_VALUE"""),"Arte digital")</f>
        <v>Arte digital</v>
      </c>
      <c r="U389" s="30" t="str">
        <f ca="1">IFERROR(__xludf.DUMMYFUNCTION("""COMPUTED_VALUE"""),"Conferencia")</f>
        <v>Conferencia</v>
      </c>
      <c r="V389" s="30" t="str">
        <f ca="1">IFERROR(__xludf.DUMMYFUNCTION("""COMPUTED_VALUE"""),"Ninguna")</f>
        <v>Ninguna</v>
      </c>
      <c r="W389" s="30" t="str">
        <f ca="1">IFERROR(__xludf.DUMMYFUNCTION("""COMPUTED_VALUE"""),"Presencial")</f>
        <v>Presencial</v>
      </c>
      <c r="X389" s="30" t="str">
        <f ca="1">IFERROR(__xludf.DUMMYFUNCTION("""COMPUTED_VALUE"""),"Espacio a Cargo de la Secretaría")</f>
        <v>Espacio a Cargo de la Secretaría</v>
      </c>
      <c r="Y389" s="30" t="str">
        <f ca="1">IFERROR(__xludf.DUMMYFUNCTION("""COMPUTED_VALUE"""),"Museo de Arte e Historia de Guanajuato, sala Feliciano Peña")</f>
        <v>Museo de Arte e Historia de Guanajuato, sala Feliciano Peña</v>
      </c>
      <c r="Z389" s="30"/>
      <c r="AA389" s="30"/>
      <c r="AB389" s="30" t="b">
        <f ca="1">IFERROR(__xludf.DUMMYFUNCTION("""COMPUTED_VALUE"""),FALSE)</f>
        <v>0</v>
      </c>
      <c r="AC389" s="30"/>
      <c r="AD389" s="30" t="b">
        <f ca="1">IFERROR(__xludf.DUMMYFUNCTION("""COMPUTED_VALUE"""),FALSE)</f>
        <v>0</v>
      </c>
      <c r="AE389" s="30"/>
      <c r="AF389" s="30" t="b">
        <f ca="1">IFERROR(__xludf.DUMMYFUNCTION("""COMPUTED_VALUE"""),FALSE)</f>
        <v>0</v>
      </c>
      <c r="AG389" s="30"/>
      <c r="AH389" s="30" t="str">
        <f ca="1">IFERROR(__xludf.DUMMYFUNCTION("""COMPUTED_VALUE"""),"Sin costo")</f>
        <v>Sin costo</v>
      </c>
      <c r="AI389" s="30"/>
      <c r="AJ389" s="30"/>
      <c r="AK389" s="30"/>
      <c r="AL389" s="30" t="str">
        <f ca="1">IFERROR(__xludf.DUMMYFUNCTION("""COMPUTED_VALUE"""),"ccardonav@guanajuato.gob.mx")</f>
        <v>ccardonav@guanajuato.gob.mx</v>
      </c>
      <c r="AM389" s="30" t="str">
        <f ca="1">IFERROR(__xludf.DUMMYFUNCTION("""COMPUTED_VALUE"""),"Arraigo y empoderamiento cultural de comunidades.")</f>
        <v>Arraigo y empoderamiento cultural de comunidades.</v>
      </c>
      <c r="AN389" s="30" t="str">
        <f ca="1">IFERROR(__xludf.DUMMYFUNCTION("""COMPUTED_VALUE"""),"1 Tranquilidad")</f>
        <v>1 Tranquilidad</v>
      </c>
      <c r="AO389" s="30" t="str">
        <f ca="1">IFERROR(__xludf.DUMMYFUNCTION("""COMPUTED_VALUE"""),"1.2 Fortalecer prevención del delito")</f>
        <v>1.2 Fortalecer prevención del delito</v>
      </c>
      <c r="AP389" s="30" t="str">
        <f ca="1">IFERROR(__xludf.DUMMYFUNCTION("""COMPUTED_VALUE"""),"1.2.2 Fortalecimiento del tejido social")</f>
        <v>1.2.2 Fortalecimiento del tejido social</v>
      </c>
      <c r="AQ389" s="30" t="str">
        <f ca="1">IFERROR(__xludf.DUMMYFUNCTION("""COMPUTED_VALUE"""),"1.2.3.4 Promover una cultura de paz desde las expresiones artísticas y culturales")</f>
        <v>1.2.3.4 Promover una cultura de paz desde las expresiones artísticas y culturales</v>
      </c>
      <c r="AR389" s="30" t="str">
        <f ca="1">IFERROR(__xludf.DUMMYFUNCTION("""COMPUTED_VALUE"""),"Cooperación")</f>
        <v>Cooperación</v>
      </c>
      <c r="AS389" s="30"/>
      <c r="AT389" s="30" t="str">
        <f ca="1">IFERROR(__xludf.DUMMYFUNCTION("""COMPUTED_VALUE"""),"Fortalecimiento de la participación ciudadana y la mediación cultural")</f>
        <v>Fortalecimiento de la participación ciudadana y la mediación cultural</v>
      </c>
      <c r="AU389" s="30" t="str">
        <f ca="1">IFERROR(__xludf.DUMMYFUNCTION("""COMPUTED_VALUE"""),"Impulso a la ampliación de la oferta cultural en los territorios.")</f>
        <v>Impulso a la ampliación de la oferta cultural en los territorios.</v>
      </c>
      <c r="AV38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89" s="30" t="str">
        <f ca="1">IFERROR(__xludf.DUMMYFUNCTION("""COMPUTED_VALUE"""),"Incrementar en 25% la oferta cultural realizada en los municipios.")</f>
        <v>Incrementar en 25% la oferta cultural realizada en los municipios.</v>
      </c>
      <c r="AX389" s="30" t="str">
        <f ca="1">IFERROR(__xludf.DUMMYFUNCTION("""COMPUTED_VALUE"""),"Conferencia")</f>
        <v>Conferencia</v>
      </c>
      <c r="AY389" s="30" t="str">
        <f ca="1">IFERROR(__xludf.DUMMYFUNCTION("""COMPUTED_VALUE"""),"Mediación")</f>
        <v>Mediación</v>
      </c>
      <c r="AZ389" s="30"/>
      <c r="BA389" s="30"/>
      <c r="BB389" s="30"/>
      <c r="BC389" s="30">
        <f ca="1">IFERROR(__xludf.DUMMYFUNCTION("""COMPUTED_VALUE"""),0)</f>
        <v>0</v>
      </c>
      <c r="BD389" s="30"/>
      <c r="BE389" s="30"/>
      <c r="BF389" s="30" t="b">
        <f ca="1">IFERROR(__xludf.DUMMYFUNCTION("""COMPUTED_VALUE"""),FALSE)</f>
        <v>0</v>
      </c>
      <c r="BG389" s="30"/>
      <c r="BH389" s="30"/>
      <c r="BI389" s="30"/>
      <c r="BJ389" s="30"/>
      <c r="BK389" s="30"/>
      <c r="BL389" s="30"/>
      <c r="BM389" s="30" t="str">
        <f ca="1">IFERROR(__xludf.DUMMYFUNCTION("""COMPUTED_VALUE"""),"No")</f>
        <v>No</v>
      </c>
      <c r="BN389" s="30"/>
      <c r="BO389" s="30" t="str">
        <f ca="1">IFERROR(__xludf.DUMMYFUNCTION("""COMPUTED_VALUE"""),"ced8a940")</f>
        <v>ced8a940</v>
      </c>
      <c r="BP389" s="29" t="str">
        <f ca="1">IFERROR(__xludf.DUMMYFUNCTION("""COMPUTED_VALUE"""),"León")</f>
        <v>León</v>
      </c>
      <c r="BQ389" s="30" t="str">
        <f ca="1">IFERROR(__xludf.DUMMYFUNCTION("""COMPUTED_VALUE"""),"Urbano")</f>
        <v>Urbano</v>
      </c>
      <c r="BR389" s="30"/>
      <c r="BS389" s="30"/>
      <c r="BT389" s="30"/>
      <c r="BU389" s="30" t="str">
        <f ca="1">IFERROR(__xludf.DUMMYFUNCTION("""COMPUTED_VALUE"""),"No")</f>
        <v>No</v>
      </c>
      <c r="BV389" s="30" t="str">
        <f ca="1">IFERROR(__xludf.DUMMYFUNCTION("""COMPUTED_VALUE"""),"No")</f>
        <v>No</v>
      </c>
      <c r="BW389" s="30">
        <f ca="1">IFERROR(__xludf.DUMMYFUNCTION("""COMPUTED_VALUE"""),52)</f>
        <v>52</v>
      </c>
      <c r="BX389" s="30">
        <f ca="1">IFERROR(__xludf.DUMMYFUNCTION("""COMPUTED_VALUE"""),4)</f>
        <v>4</v>
      </c>
      <c r="BY389" s="30">
        <f ca="1">IFERROR(__xludf.DUMMYFUNCTION("""COMPUTED_VALUE"""),48)</f>
        <v>48</v>
      </c>
      <c r="BZ389" s="30"/>
      <c r="CA389" s="30" t="str">
        <f ca="1">IFERROR(__xludf.DUMMYFUNCTION("""COMPUTED_VALUE"""),"No")</f>
        <v>No</v>
      </c>
      <c r="CB389" s="30" t="str">
        <f ca="1">IFERROR(__xludf.DUMMYFUNCTION("""COMPUTED_VALUE"""),"No")</f>
        <v>No</v>
      </c>
      <c r="CC389" s="30" t="str">
        <f ca="1">IFERROR(__xludf.DUMMYFUNCTION("""COMPUTED_VALUE"""),"4da54ab0")</f>
        <v>4da54ab0</v>
      </c>
      <c r="CD389" s="29" t="str">
        <f ca="1">IFERROR(__xludf.DUMMYFUNCTION("""COMPUTED_VALUE"""),"Jóvenes (18 a 29 años)")</f>
        <v>Jóvenes (18 a 29 años)</v>
      </c>
      <c r="CE389" s="30" t="str">
        <f ca="1">IFERROR(__xludf.DUMMYFUNCTION("""COMPUTED_VALUE"""),"Dato global")</f>
        <v>Dato global</v>
      </c>
      <c r="CF389" s="30" t="str">
        <f ca="1">IFERROR(__xludf.DUMMYFUNCTION("""COMPUTED_VALUE"""),"Mujeres en situación de vulnerabilidad")</f>
        <v>Mujeres en situación de vulnerabilidad</v>
      </c>
      <c r="CG389" s="30">
        <f ca="1">IFERROR(__xludf.DUMMYFUNCTION("""COMPUTED_VALUE"""),21)</f>
        <v>21</v>
      </c>
      <c r="CJ389" s="29"/>
      <c r="CM389" s="30" t="str">
        <f ca="1">IFERROR(__xludf.DUMMYFUNCTION("""COMPUTED_VALUE"""),"León")</f>
        <v>León</v>
      </c>
      <c r="CN389" s="32" t="e">
        <f ca="1"/>
        <v>#NAME?</v>
      </c>
      <c r="CO389" s="32" t="e">
        <f ca="1"/>
        <v>#NAME?</v>
      </c>
      <c r="CP389" s="32" t="e">
        <f ca="1"/>
        <v>#NAME?</v>
      </c>
      <c r="CQ389" s="32" t="e">
        <f ca="1"/>
        <v>#NAME?</v>
      </c>
      <c r="CR389" s="30" t="e">
        <f ca="1"/>
        <v>#NAME?</v>
      </c>
      <c r="CS389"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390" spans="1:97" ht="13">
      <c r="A390" s="29" t="str">
        <f ca="1">IFERROR(__xludf.DUMMYFUNCTION("""COMPUTED_VALUE"""),"ACT-SCLX68215")</f>
        <v>ACT-SCLX68215</v>
      </c>
      <c r="B390" s="30" t="str">
        <f ca="1">IFERROR(__xludf.DUMMYFUNCTION("""COMPUTED_VALUE"""),"SC-260914-104335")</f>
        <v>SC-260914-104335</v>
      </c>
      <c r="C390" s="62">
        <f ca="1">IFERROR(__xludf.DUMMYFUNCTION("""COMPUTED_VALUE"""),46279.4469328703)</f>
        <v>46279.446932870298</v>
      </c>
      <c r="D390" s="30">
        <f ca="1">IFERROR(__xludf.DUMMYFUNCTION("""COMPUTED_VALUE"""),92)</f>
        <v>92</v>
      </c>
      <c r="E390" s="30" t="str">
        <f ca="1">IFERROR(__xludf.DUMMYFUNCTION("""COMPUTED_VALUE"""),"PB3572")</f>
        <v>PB3572</v>
      </c>
      <c r="F39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0" s="30" t="str">
        <f ca="1">IFERROR(__xludf.DUMMYFUNCTION("""COMPUTED_VALUE"""),"SUBSECRETARÍA DE DESARROLLO Y PROMOCIÓN ARTÍSTICA Y CULTURAL")</f>
        <v>SUBSECRETARÍA DE DESARROLLO Y PROMOCIÓN ARTÍSTICA Y CULTURAL</v>
      </c>
      <c r="I390" s="34" t="str">
        <f ca="1">IFERROR(__xludf.DUMMYFUNCTION("""COMPUTED_VALUE"""),"DIRECCIÓN GENERAL DE MUSEOS, ARTES VISUALES Y EXPOSICIONES")</f>
        <v>DIRECCIÓN GENERAL DE MUSEOS, ARTES VISUALES Y EXPOSICIONES</v>
      </c>
      <c r="J390" s="30" t="str">
        <f ca="1">IFERROR(__xludf.DUMMYFUNCTION("""COMPUTED_VALUE"""),"Número de Actividades realizadas")</f>
        <v>Número de Actividades realizadas</v>
      </c>
      <c r="K390" s="30">
        <f ca="1">IFERROR(__xludf.DUMMYFUNCTION("""COMPUTED_VALUE"""),800)</f>
        <v>800</v>
      </c>
      <c r="L390" s="30" t="str">
        <f ca="1">IFERROR(__xludf.DUMMYFUNCTION("""COMPUTED_VALUE"""),"Cultural")</f>
        <v>Cultural</v>
      </c>
      <c r="M390" s="30" t="str">
        <f ca="1">IFERROR(__xludf.DUMMYFUNCTION("""COMPUTED_VALUE"""),"El espiritismo seduce a Francisco I. Madero. Presenta la autora: Yolia Tortolero Cervantes")</f>
        <v>El espiritismo seduce a Francisco I. Madero. Presenta la autora: Yolia Tortolero Cervantes</v>
      </c>
      <c r="N390" s="30" t="str">
        <f ca="1">IFERROR(__xludf.DUMMYFUNCTION("""COMPUTED_VALUE"""),"Conoce la relación entre el espiritismo y uno de los personajes históricos de nuestra nación.")</f>
        <v>Conoce la relación entre el espiritismo y uno de los personajes históricos de nuestra nación.</v>
      </c>
      <c r="O390" s="30" t="str">
        <f ca="1">IFERROR(__xludf.DUMMYFUNCTION("""COMPUTED_VALUE"""),"Única")</f>
        <v>Única</v>
      </c>
      <c r="P390" s="33">
        <f ca="1">IFERROR(__xludf.DUMMYFUNCTION("""COMPUTED_VALUE"""),46236)</f>
        <v>46236</v>
      </c>
      <c r="Q390" s="33">
        <f ca="1">IFERROR(__xludf.DUMMYFUNCTION("""COMPUTED_VALUE"""),46236)</f>
        <v>46236</v>
      </c>
      <c r="R390" s="30">
        <f ca="1">IFERROR(__xludf.DUMMYFUNCTION("""COMPUTED_VALUE"""),1)</f>
        <v>1</v>
      </c>
      <c r="S390" s="30" t="str">
        <f ca="1">IFERROR(__xludf.DUMMYFUNCTION("""COMPUTED_VALUE"""),"Patrimonio cultural")</f>
        <v>Patrimonio cultural</v>
      </c>
      <c r="T390" s="30" t="str">
        <f ca="1">IFERROR(__xludf.DUMMYFUNCTION("""COMPUTED_VALUE"""),"Memoria histórica")</f>
        <v>Memoria histórica</v>
      </c>
      <c r="U390" s="30" t="str">
        <f ca="1">IFERROR(__xludf.DUMMYFUNCTION("""COMPUTED_VALUE"""),"Conferencia")</f>
        <v>Conferencia</v>
      </c>
      <c r="V390" s="30" t="str">
        <f ca="1">IFERROR(__xludf.DUMMYFUNCTION("""COMPUTED_VALUE"""),"Ninguna")</f>
        <v>Ninguna</v>
      </c>
      <c r="W390" s="30" t="str">
        <f ca="1">IFERROR(__xludf.DUMMYFUNCTION("""COMPUTED_VALUE"""),"Presencial")</f>
        <v>Presencial</v>
      </c>
      <c r="X390" s="30" t="str">
        <f ca="1">IFERROR(__xludf.DUMMYFUNCTION("""COMPUTED_VALUE"""),"Espacio a Cargo de la Secretaría")</f>
        <v>Espacio a Cargo de la Secretaría</v>
      </c>
      <c r="Y390" s="30" t="str">
        <f ca="1">IFERROR(__xludf.DUMMYFUNCTION("""COMPUTED_VALUE"""),"Museo de Arte e Historia de Guanajuato, sala Feliciano Peña")</f>
        <v>Museo de Arte e Historia de Guanajuato, sala Feliciano Peña</v>
      </c>
      <c r="Z390" s="30"/>
      <c r="AA390" s="30"/>
      <c r="AB390" s="30" t="b">
        <f ca="1">IFERROR(__xludf.DUMMYFUNCTION("""COMPUTED_VALUE"""),FALSE)</f>
        <v>0</v>
      </c>
      <c r="AC390" s="30"/>
      <c r="AD390" s="30" t="b">
        <f ca="1">IFERROR(__xludf.DUMMYFUNCTION("""COMPUTED_VALUE"""),FALSE)</f>
        <v>0</v>
      </c>
      <c r="AE390" s="30"/>
      <c r="AF390" s="30" t="b">
        <f ca="1">IFERROR(__xludf.DUMMYFUNCTION("""COMPUTED_VALUE"""),FALSE)</f>
        <v>0</v>
      </c>
      <c r="AG390" s="30"/>
      <c r="AH390" s="30" t="str">
        <f ca="1">IFERROR(__xludf.DUMMYFUNCTION("""COMPUTED_VALUE"""),"Sin costo")</f>
        <v>Sin costo</v>
      </c>
      <c r="AI390" s="30"/>
      <c r="AJ390" s="30"/>
      <c r="AK390" s="30"/>
      <c r="AL390" s="30" t="str">
        <f ca="1">IFERROR(__xludf.DUMMYFUNCTION("""COMPUTED_VALUE"""),"ccardonav@guanajuato.gob.mx")</f>
        <v>ccardonav@guanajuato.gob.mx</v>
      </c>
      <c r="AM390" s="30" t="str">
        <f ca="1">IFERROR(__xludf.DUMMYFUNCTION("""COMPUTED_VALUE"""),"Arraigo y empoderamiento cultural de comunidades.")</f>
        <v>Arraigo y empoderamiento cultural de comunidades.</v>
      </c>
      <c r="AN390" s="30" t="str">
        <f ca="1">IFERROR(__xludf.DUMMYFUNCTION("""COMPUTED_VALUE"""),"1 Tranquilidad")</f>
        <v>1 Tranquilidad</v>
      </c>
      <c r="AO390" s="30" t="str">
        <f ca="1">IFERROR(__xludf.DUMMYFUNCTION("""COMPUTED_VALUE"""),"1.2 Fortalecer prevención del delito")</f>
        <v>1.2 Fortalecer prevención del delito</v>
      </c>
      <c r="AP390" s="30" t="str">
        <f ca="1">IFERROR(__xludf.DUMMYFUNCTION("""COMPUTED_VALUE"""),"1.2.2 Fortalecimiento del tejido social")</f>
        <v>1.2.2 Fortalecimiento del tejido social</v>
      </c>
      <c r="AQ390" s="30" t="str">
        <f ca="1">IFERROR(__xludf.DUMMYFUNCTION("""COMPUTED_VALUE"""),"1.2.3.4 Promover una cultura de paz desde las expresiones artísticas y culturales")</f>
        <v>1.2.3.4 Promover una cultura de paz desde las expresiones artísticas y culturales</v>
      </c>
      <c r="AR390" s="30" t="str">
        <f ca="1">IFERROR(__xludf.DUMMYFUNCTION("""COMPUTED_VALUE"""),"Cooperación")</f>
        <v>Cooperación</v>
      </c>
      <c r="AS390" s="30"/>
      <c r="AT390" s="30" t="str">
        <f ca="1">IFERROR(__xludf.DUMMYFUNCTION("""COMPUTED_VALUE"""),"Fortalecimiento de la participación ciudadana y la mediación cultural")</f>
        <v>Fortalecimiento de la participación ciudadana y la mediación cultural</v>
      </c>
      <c r="AU390" s="30" t="str">
        <f ca="1">IFERROR(__xludf.DUMMYFUNCTION("""COMPUTED_VALUE"""),"Impulso a la ampliación de la oferta cultural en los territorios.")</f>
        <v>Impulso a la ampliación de la oferta cultural en los territorios.</v>
      </c>
      <c r="AV39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0" s="30" t="str">
        <f ca="1">IFERROR(__xludf.DUMMYFUNCTION("""COMPUTED_VALUE"""),"Incrementar en 25% la oferta cultural realizada en los municipios.")</f>
        <v>Incrementar en 25% la oferta cultural realizada en los municipios.</v>
      </c>
      <c r="AX390" s="30" t="str">
        <f ca="1">IFERROR(__xludf.DUMMYFUNCTION("""COMPUTED_VALUE"""),"Conferencia")</f>
        <v>Conferencia</v>
      </c>
      <c r="AY390" s="30" t="str">
        <f ca="1">IFERROR(__xludf.DUMMYFUNCTION("""COMPUTED_VALUE"""),"Mediación")</f>
        <v>Mediación</v>
      </c>
      <c r="AZ390" s="30"/>
      <c r="BA390" s="30"/>
      <c r="BB390" s="30"/>
      <c r="BC390" s="30">
        <f ca="1">IFERROR(__xludf.DUMMYFUNCTION("""COMPUTED_VALUE"""),0)</f>
        <v>0</v>
      </c>
      <c r="BD390" s="30"/>
      <c r="BE390" s="30"/>
      <c r="BF390" s="30" t="b">
        <f ca="1">IFERROR(__xludf.DUMMYFUNCTION("""COMPUTED_VALUE"""),FALSE)</f>
        <v>0</v>
      </c>
      <c r="BG390" s="30"/>
      <c r="BH390" s="30"/>
      <c r="BI390" s="30"/>
      <c r="BJ390" s="30"/>
      <c r="BK390" s="30"/>
      <c r="BL390" s="30"/>
      <c r="BM390" s="30" t="str">
        <f ca="1">IFERROR(__xludf.DUMMYFUNCTION("""COMPUTED_VALUE"""),"No")</f>
        <v>No</v>
      </c>
      <c r="BN390" s="30"/>
      <c r="BO390" s="30" t="str">
        <f ca="1">IFERROR(__xludf.DUMMYFUNCTION("""COMPUTED_VALUE"""),"d12515e3")</f>
        <v>d12515e3</v>
      </c>
      <c r="BP390" s="29" t="str">
        <f ca="1">IFERROR(__xludf.DUMMYFUNCTION("""COMPUTED_VALUE"""),"León")</f>
        <v>León</v>
      </c>
      <c r="BQ390" s="30" t="str">
        <f ca="1">IFERROR(__xludf.DUMMYFUNCTION("""COMPUTED_VALUE"""),"Urbano")</f>
        <v>Urbano</v>
      </c>
      <c r="BR390" s="30"/>
      <c r="BS390" s="30"/>
      <c r="BT390" s="30"/>
      <c r="BU390" s="30" t="str">
        <f ca="1">IFERROR(__xludf.DUMMYFUNCTION("""COMPUTED_VALUE"""),"No")</f>
        <v>No</v>
      </c>
      <c r="BV390" s="30" t="str">
        <f ca="1">IFERROR(__xludf.DUMMYFUNCTION("""COMPUTED_VALUE"""),"No")</f>
        <v>No</v>
      </c>
      <c r="BW390" s="30">
        <f ca="1">IFERROR(__xludf.DUMMYFUNCTION("""COMPUTED_VALUE"""),80)</f>
        <v>80</v>
      </c>
      <c r="BX390" s="30">
        <f ca="1">IFERROR(__xludf.DUMMYFUNCTION("""COMPUTED_VALUE"""),2)</f>
        <v>2</v>
      </c>
      <c r="BY390" s="30">
        <f ca="1">IFERROR(__xludf.DUMMYFUNCTION("""COMPUTED_VALUE"""),78)</f>
        <v>78</v>
      </c>
      <c r="BZ390" s="30"/>
      <c r="CA390" s="30" t="str">
        <f ca="1">IFERROR(__xludf.DUMMYFUNCTION("""COMPUTED_VALUE"""),"No")</f>
        <v>No</v>
      </c>
      <c r="CB390" s="30" t="str">
        <f ca="1">IFERROR(__xludf.DUMMYFUNCTION("""COMPUTED_VALUE"""),"No")</f>
        <v>No</v>
      </c>
      <c r="CC390" s="30" t="str">
        <f ca="1">IFERROR(__xludf.DUMMYFUNCTION("""COMPUTED_VALUE"""),"33229c04")</f>
        <v>33229c04</v>
      </c>
      <c r="CD390" s="29" t="str">
        <f ca="1">IFERROR(__xludf.DUMMYFUNCTION("""COMPUTED_VALUE"""),"Adultos (30 a 59 años)")</f>
        <v>Adultos (30 a 59 años)</v>
      </c>
      <c r="CE390" s="30" t="str">
        <f ca="1">IFERROR(__xludf.DUMMYFUNCTION("""COMPUTED_VALUE"""),"Dato global")</f>
        <v>Dato global</v>
      </c>
      <c r="CF390" s="30" t="str">
        <f ca="1">IFERROR(__xludf.DUMMYFUNCTION("""COMPUTED_VALUE"""),"Mujeres en situación de vulnerabilidad")</f>
        <v>Mujeres en situación de vulnerabilidad</v>
      </c>
      <c r="CG390" s="30">
        <f ca="1">IFERROR(__xludf.DUMMYFUNCTION("""COMPUTED_VALUE"""),15)</f>
        <v>15</v>
      </c>
      <c r="CJ390" s="29"/>
      <c r="CM390" s="30" t="str">
        <f ca="1">IFERROR(__xludf.DUMMYFUNCTION("""COMPUTED_VALUE"""),"León")</f>
        <v>León</v>
      </c>
      <c r="CN390" s="32" t="e">
        <f ca="1"/>
        <v>#NAME?</v>
      </c>
      <c r="CO390" s="32" t="e">
        <f ca="1"/>
        <v>#NAME?</v>
      </c>
      <c r="CP390" s="32" t="e">
        <f ca="1"/>
        <v>#NAME?</v>
      </c>
      <c r="CQ390" s="32" t="e">
        <f ca="1"/>
        <v>#NAME?</v>
      </c>
      <c r="CR390" s="30" t="e">
        <f ca="1"/>
        <v>#NAME?</v>
      </c>
      <c r="CS390" s="30" t="str">
        <f ca="1">IFERROR(__xludf.DUMMYFUNCTION("""COMPUTED_VALUE"""),"Ninguno (Población General), Ninguno (Población General), Ninguno (Población General)")</f>
        <v>Ninguno (Población General), Ninguno (Población General), Ninguno (Población General)</v>
      </c>
    </row>
    <row r="391" spans="1:97" ht="13">
      <c r="A391" s="29" t="str">
        <f ca="1">IFERROR(__xludf.DUMMYFUNCTION("""COMPUTED_VALUE"""),"ACT-SCLU07350")</f>
        <v>ACT-SCLU07350</v>
      </c>
      <c r="B391" s="30" t="str">
        <f ca="1">IFERROR(__xludf.DUMMYFUNCTION("""COMPUTED_VALUE"""),"SC-260914-105149")</f>
        <v>SC-260914-105149</v>
      </c>
      <c r="C391" s="62">
        <f ca="1">IFERROR(__xludf.DUMMYFUNCTION("""COMPUTED_VALUE"""),46279.4526504629)</f>
        <v>46279.452650462903</v>
      </c>
      <c r="D391" s="30">
        <f ca="1">IFERROR(__xludf.DUMMYFUNCTION("""COMPUTED_VALUE"""),92)</f>
        <v>92</v>
      </c>
      <c r="E391" s="30" t="str">
        <f ca="1">IFERROR(__xludf.DUMMYFUNCTION("""COMPUTED_VALUE"""),"PB3572")</f>
        <v>PB3572</v>
      </c>
      <c r="F39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1" s="30" t="str">
        <f ca="1">IFERROR(__xludf.DUMMYFUNCTION("""COMPUTED_VALUE"""),"SUBSECRETARÍA DE DESARROLLO Y PROMOCIÓN ARTÍSTICA Y CULTURAL")</f>
        <v>SUBSECRETARÍA DE DESARROLLO Y PROMOCIÓN ARTÍSTICA Y CULTURAL</v>
      </c>
      <c r="I391" s="34" t="str">
        <f ca="1">IFERROR(__xludf.DUMMYFUNCTION("""COMPUTED_VALUE"""),"DIRECCIÓN GENERAL DE MUSEOS, ARTES VISUALES Y EXPOSICIONES")</f>
        <v>DIRECCIÓN GENERAL DE MUSEOS, ARTES VISUALES Y EXPOSICIONES</v>
      </c>
      <c r="J391" s="30" t="str">
        <f ca="1">IFERROR(__xludf.DUMMYFUNCTION("""COMPUTED_VALUE"""),"Número de Actividades realizadas")</f>
        <v>Número de Actividades realizadas</v>
      </c>
      <c r="K391" s="30">
        <f ca="1">IFERROR(__xludf.DUMMYFUNCTION("""COMPUTED_VALUE"""),800)</f>
        <v>800</v>
      </c>
      <c r="L391" s="30" t="str">
        <f ca="1">IFERROR(__xludf.DUMMYFUNCTION("""COMPUTED_VALUE"""),"Cultural")</f>
        <v>Cultural</v>
      </c>
      <c r="M391" s="30" t="str">
        <f ca="1">IFERROR(__xludf.DUMMYFUNCTION("""COMPUTED_VALUE"""),"Las 7 luminarias y las constelaciones")</f>
        <v>Las 7 luminarias y las constelaciones</v>
      </c>
      <c r="N391" s="30" t="str">
        <f ca="1">IFERROR(__xludf.DUMMYFUNCTION("""COMPUTED_VALUE"""),"Diego García nos ocmparte la relación entre las siete luminarias y la bóveda celeste, además de su importancia identitaria en las comunidades adyacentes.")</f>
        <v>Diego García nos ocmparte la relación entre las siete luminarias y la bóveda celeste, además de su importancia identitaria en las comunidades adyacentes.</v>
      </c>
      <c r="O391" s="30" t="str">
        <f ca="1">IFERROR(__xludf.DUMMYFUNCTION("""COMPUTED_VALUE"""),"Única")</f>
        <v>Única</v>
      </c>
      <c r="P391" s="33">
        <f ca="1">IFERROR(__xludf.DUMMYFUNCTION("""COMPUTED_VALUE"""),46236)</f>
        <v>46236</v>
      </c>
      <c r="Q391" s="33">
        <f ca="1">IFERROR(__xludf.DUMMYFUNCTION("""COMPUTED_VALUE"""),46236)</f>
        <v>46236</v>
      </c>
      <c r="R391" s="30">
        <f ca="1">IFERROR(__xludf.DUMMYFUNCTION("""COMPUTED_VALUE"""),1)</f>
        <v>1</v>
      </c>
      <c r="S391" s="30" t="str">
        <f ca="1">IFERROR(__xludf.DUMMYFUNCTION("""COMPUTED_VALUE"""),"Patrimonio cultural")</f>
        <v>Patrimonio cultural</v>
      </c>
      <c r="T391" s="30" t="str">
        <f ca="1">IFERROR(__xludf.DUMMYFUNCTION("""COMPUTED_VALUE"""),"Memoria histórica")</f>
        <v>Memoria histórica</v>
      </c>
      <c r="U391" s="30" t="str">
        <f ca="1">IFERROR(__xludf.DUMMYFUNCTION("""COMPUTED_VALUE"""),"Conferencia")</f>
        <v>Conferencia</v>
      </c>
      <c r="V391" s="30" t="str">
        <f ca="1">IFERROR(__xludf.DUMMYFUNCTION("""COMPUTED_VALUE"""),"Ninguna")</f>
        <v>Ninguna</v>
      </c>
      <c r="W391" s="30" t="str">
        <f ca="1">IFERROR(__xludf.DUMMYFUNCTION("""COMPUTED_VALUE"""),"Presencial")</f>
        <v>Presencial</v>
      </c>
      <c r="X391" s="30" t="str">
        <f ca="1">IFERROR(__xludf.DUMMYFUNCTION("""COMPUTED_VALUE"""),"Espacio a Cargo de la Secretaría")</f>
        <v>Espacio a Cargo de la Secretaría</v>
      </c>
      <c r="Y391" s="30" t="str">
        <f ca="1">IFERROR(__xludf.DUMMYFUNCTION("""COMPUTED_VALUE"""),"Museo de Arte e Historia de Guanajuato, sala Feliciano Peña")</f>
        <v>Museo de Arte e Historia de Guanajuato, sala Feliciano Peña</v>
      </c>
      <c r="Z391" s="30"/>
      <c r="AA391" s="30"/>
      <c r="AB391" s="30" t="b">
        <f ca="1">IFERROR(__xludf.DUMMYFUNCTION("""COMPUTED_VALUE"""),FALSE)</f>
        <v>0</v>
      </c>
      <c r="AC391" s="30"/>
      <c r="AD391" s="30" t="b">
        <f ca="1">IFERROR(__xludf.DUMMYFUNCTION("""COMPUTED_VALUE"""),FALSE)</f>
        <v>0</v>
      </c>
      <c r="AE391" s="30"/>
      <c r="AF391" s="30" t="b">
        <f ca="1">IFERROR(__xludf.DUMMYFUNCTION("""COMPUTED_VALUE"""),FALSE)</f>
        <v>0</v>
      </c>
      <c r="AG391" s="30"/>
      <c r="AH391" s="30" t="str">
        <f ca="1">IFERROR(__xludf.DUMMYFUNCTION("""COMPUTED_VALUE"""),"Sin costo")</f>
        <v>Sin costo</v>
      </c>
      <c r="AI391" s="30"/>
      <c r="AJ391" s="30"/>
      <c r="AK391" s="30"/>
      <c r="AL391" s="30" t="str">
        <f ca="1">IFERROR(__xludf.DUMMYFUNCTION("""COMPUTED_VALUE"""),"ccardonav@guanajuato.gob.mx")</f>
        <v>ccardonav@guanajuato.gob.mx</v>
      </c>
      <c r="AM391" s="30" t="str">
        <f ca="1">IFERROR(__xludf.DUMMYFUNCTION("""COMPUTED_VALUE"""),"Arraigo y empoderamiento cultural de comunidades.")</f>
        <v>Arraigo y empoderamiento cultural de comunidades.</v>
      </c>
      <c r="AN391" s="30" t="str">
        <f ca="1">IFERROR(__xludf.DUMMYFUNCTION("""COMPUTED_VALUE"""),"1 Tranquilidad")</f>
        <v>1 Tranquilidad</v>
      </c>
      <c r="AO391" s="30" t="str">
        <f ca="1">IFERROR(__xludf.DUMMYFUNCTION("""COMPUTED_VALUE"""),"1.2 Fortalecer prevención del delito")</f>
        <v>1.2 Fortalecer prevención del delito</v>
      </c>
      <c r="AP391" s="30" t="str">
        <f ca="1">IFERROR(__xludf.DUMMYFUNCTION("""COMPUTED_VALUE"""),"1.2.2 Fortalecimiento del tejido social")</f>
        <v>1.2.2 Fortalecimiento del tejido social</v>
      </c>
      <c r="AQ391" s="30" t="str">
        <f ca="1">IFERROR(__xludf.DUMMYFUNCTION("""COMPUTED_VALUE"""),"1.2.3.4 Promover una cultura de paz desde las expresiones artísticas y culturales")</f>
        <v>1.2.3.4 Promover una cultura de paz desde las expresiones artísticas y culturales</v>
      </c>
      <c r="AR391" s="30" t="str">
        <f ca="1">IFERROR(__xludf.DUMMYFUNCTION("""COMPUTED_VALUE"""),"Cooperación")</f>
        <v>Cooperación</v>
      </c>
      <c r="AS391" s="30"/>
      <c r="AT391" s="30" t="str">
        <f ca="1">IFERROR(__xludf.DUMMYFUNCTION("""COMPUTED_VALUE"""),"Fortalecimiento de la participación ciudadana y la mediación cultural")</f>
        <v>Fortalecimiento de la participación ciudadana y la mediación cultural</v>
      </c>
      <c r="AU391" s="30" t="str">
        <f ca="1">IFERROR(__xludf.DUMMYFUNCTION("""COMPUTED_VALUE"""),"Impulso a la ampliación de la oferta cultural en los territorios.")</f>
        <v>Impulso a la ampliación de la oferta cultural en los territorios.</v>
      </c>
      <c r="AV39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1" s="30" t="str">
        <f ca="1">IFERROR(__xludf.DUMMYFUNCTION("""COMPUTED_VALUE"""),"Incrementar en 25% la oferta cultural realizada en los municipios.")</f>
        <v>Incrementar en 25% la oferta cultural realizada en los municipios.</v>
      </c>
      <c r="AX391" s="30" t="str">
        <f ca="1">IFERROR(__xludf.DUMMYFUNCTION("""COMPUTED_VALUE"""),"Conferencia")</f>
        <v>Conferencia</v>
      </c>
      <c r="AY391" s="30" t="str">
        <f ca="1">IFERROR(__xludf.DUMMYFUNCTION("""COMPUTED_VALUE"""),"Mediación")</f>
        <v>Mediación</v>
      </c>
      <c r="AZ391" s="30"/>
      <c r="BA391" s="30"/>
      <c r="BB391" s="30"/>
      <c r="BC391" s="30">
        <f ca="1">IFERROR(__xludf.DUMMYFUNCTION("""COMPUTED_VALUE"""),0)</f>
        <v>0</v>
      </c>
      <c r="BD391" s="30"/>
      <c r="BE391" s="30"/>
      <c r="BF391" s="30" t="b">
        <f ca="1">IFERROR(__xludf.DUMMYFUNCTION("""COMPUTED_VALUE"""),FALSE)</f>
        <v>0</v>
      </c>
      <c r="BG391" s="30"/>
      <c r="BH391" s="30"/>
      <c r="BI391" s="30"/>
      <c r="BJ391" s="30"/>
      <c r="BK391" s="30"/>
      <c r="BL391" s="30"/>
      <c r="BM391" s="30" t="str">
        <f ca="1">IFERROR(__xludf.DUMMYFUNCTION("""COMPUTED_VALUE"""),"No")</f>
        <v>No</v>
      </c>
      <c r="BN391" s="30"/>
      <c r="BO391" s="30" t="str">
        <f ca="1">IFERROR(__xludf.DUMMYFUNCTION("""COMPUTED_VALUE"""),"010e00bc")</f>
        <v>010e00bc</v>
      </c>
      <c r="BP391" s="29" t="str">
        <f ca="1">IFERROR(__xludf.DUMMYFUNCTION("""COMPUTED_VALUE"""),"León")</f>
        <v>León</v>
      </c>
      <c r="BQ391" s="30" t="str">
        <f ca="1">IFERROR(__xludf.DUMMYFUNCTION("""COMPUTED_VALUE"""),"Urbano")</f>
        <v>Urbano</v>
      </c>
      <c r="BR391" s="30"/>
      <c r="BS391" s="30"/>
      <c r="BT391" s="30"/>
      <c r="BU391" s="30" t="str">
        <f ca="1">IFERROR(__xludf.DUMMYFUNCTION("""COMPUTED_VALUE"""),"No")</f>
        <v>No</v>
      </c>
      <c r="BV391" s="30" t="str">
        <f ca="1">IFERROR(__xludf.DUMMYFUNCTION("""COMPUTED_VALUE"""),"No")</f>
        <v>No</v>
      </c>
      <c r="BW391" s="30">
        <f ca="1">IFERROR(__xludf.DUMMYFUNCTION("""COMPUTED_VALUE"""),216)</f>
        <v>216</v>
      </c>
      <c r="BX391" s="30">
        <f ca="1">IFERROR(__xludf.DUMMYFUNCTION("""COMPUTED_VALUE"""),6)</f>
        <v>6</v>
      </c>
      <c r="BY391" s="30">
        <f ca="1">IFERROR(__xludf.DUMMYFUNCTION("""COMPUTED_VALUE"""),210)</f>
        <v>210</v>
      </c>
      <c r="BZ391" s="30"/>
      <c r="CA391" s="30" t="str">
        <f ca="1">IFERROR(__xludf.DUMMYFUNCTION("""COMPUTED_VALUE"""),"No")</f>
        <v>No</v>
      </c>
      <c r="CB391" s="30" t="str">
        <f ca="1">IFERROR(__xludf.DUMMYFUNCTION("""COMPUTED_VALUE"""),"No")</f>
        <v>No</v>
      </c>
      <c r="CC391" s="30" t="str">
        <f ca="1">IFERROR(__xludf.DUMMYFUNCTION("""COMPUTED_VALUE"""),"ed133de6")</f>
        <v>ed133de6</v>
      </c>
      <c r="CD391" s="29" t="str">
        <f ca="1">IFERROR(__xludf.DUMMYFUNCTION("""COMPUTED_VALUE"""),"Adultos Mayores (60 años o más)")</f>
        <v>Adultos Mayores (60 años o más)</v>
      </c>
      <c r="CE391" s="30" t="str">
        <f ca="1">IFERROR(__xludf.DUMMYFUNCTION("""COMPUTED_VALUE"""),"Dato global")</f>
        <v>Dato global</v>
      </c>
      <c r="CF391" s="30" t="str">
        <f ca="1">IFERROR(__xludf.DUMMYFUNCTION("""COMPUTED_VALUE"""),"Mujeres en situación de vulnerabilidad")</f>
        <v>Mujeres en situación de vulnerabilidad</v>
      </c>
      <c r="CG391" s="30">
        <f ca="1">IFERROR(__xludf.DUMMYFUNCTION("""COMPUTED_VALUE"""),6)</f>
        <v>6</v>
      </c>
      <c r="CJ391" s="29"/>
      <c r="CM391" s="30" t="str">
        <f ca="1">IFERROR(__xludf.DUMMYFUNCTION("""COMPUTED_VALUE"""),"")</f>
        <v/>
      </c>
      <c r="CN391" s="32" t="e">
        <f ca="1"/>
        <v>#NAME?</v>
      </c>
      <c r="CO391" s="32" t="e">
        <f ca="1"/>
        <v>#NAME?</v>
      </c>
      <c r="CP391" s="32" t="e">
        <f ca="1"/>
        <v>#NAME?</v>
      </c>
      <c r="CQ391" s="32" t="e">
        <f ca="1"/>
        <v>#NAME?</v>
      </c>
      <c r="CR391" s="30" t="e">
        <f ca="1"/>
        <v>#NAME?</v>
      </c>
      <c r="CS391" s="30" t="str">
        <f ca="1">IFERROR(__xludf.DUMMYFUNCTION("""COMPUTED_VALUE"""),"Ninguno (Población General), Ninguno (Población General)")</f>
        <v>Ninguno (Población General), Ninguno (Población General)</v>
      </c>
    </row>
    <row r="392" spans="1:97" ht="13">
      <c r="A392" s="29" t="str">
        <f ca="1">IFERROR(__xludf.DUMMYFUNCTION("""COMPUTED_VALUE"""),"ACT-SCKY29214")</f>
        <v>ACT-SCKY29214</v>
      </c>
      <c r="B392" s="30" t="str">
        <f ca="1">IFERROR(__xludf.DUMMYFUNCTION("""COMPUTED_VALUE"""),"SC-260914-110221")</f>
        <v>SC-260914-110221</v>
      </c>
      <c r="C392" s="62">
        <f ca="1">IFERROR(__xludf.DUMMYFUNCTION("""COMPUTED_VALUE"""),46279.4599652777)</f>
        <v>46279.459965277703</v>
      </c>
      <c r="D392" s="30">
        <f ca="1">IFERROR(__xludf.DUMMYFUNCTION("""COMPUTED_VALUE"""),92)</f>
        <v>92</v>
      </c>
      <c r="E392" s="30" t="str">
        <f ca="1">IFERROR(__xludf.DUMMYFUNCTION("""COMPUTED_VALUE"""),"PB3572")</f>
        <v>PB3572</v>
      </c>
      <c r="F39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2" s="30" t="str">
        <f ca="1">IFERROR(__xludf.DUMMYFUNCTION("""COMPUTED_VALUE"""),"SUBSECRETARÍA DE DESARROLLO Y PROMOCIÓN ARTÍSTICA Y CULTURAL")</f>
        <v>SUBSECRETARÍA DE DESARROLLO Y PROMOCIÓN ARTÍSTICA Y CULTURAL</v>
      </c>
      <c r="I392" s="34" t="str">
        <f ca="1">IFERROR(__xludf.DUMMYFUNCTION("""COMPUTED_VALUE"""),"DIRECCIÓN GENERAL DE MUSEOS, ARTES VISUALES Y EXPOSICIONES")</f>
        <v>DIRECCIÓN GENERAL DE MUSEOS, ARTES VISUALES Y EXPOSICIONES</v>
      </c>
      <c r="J392" s="30" t="str">
        <f ca="1">IFERROR(__xludf.DUMMYFUNCTION("""COMPUTED_VALUE"""),"Número de Actividades realizadas")</f>
        <v>Número de Actividades realizadas</v>
      </c>
      <c r="K392" s="30">
        <f ca="1">IFERROR(__xludf.DUMMYFUNCTION("""COMPUTED_VALUE"""),800)</f>
        <v>800</v>
      </c>
      <c r="L392" s="30" t="str">
        <f ca="1">IFERROR(__xludf.DUMMYFUNCTION("""COMPUTED_VALUE"""),"Cultural")</f>
        <v>Cultural</v>
      </c>
      <c r="M392" s="30" t="str">
        <f ca="1">IFERROR(__xludf.DUMMYFUNCTION("""COMPUTED_VALUE"""),"Runas y sabiduría nórdica. El lenguaje simbólico del norte como puente entre historia, mito y conciencia.")</f>
        <v>Runas y sabiduría nórdica. El lenguaje simbólico del norte como puente entre historia, mito y conciencia.</v>
      </c>
      <c r="N392" s="30" t="str">
        <f ca="1">IFERROR(__xludf.DUMMYFUNCTION("""COMPUTED_VALUE"""),"Runas y sabiduría nórdica. El lenguaje simbólico del norte como puente entre historia, mito y conciencia.  Con Berenice Vázquez")</f>
        <v>Runas y sabiduría nórdica. El lenguaje simbólico del norte como puente entre historia, mito y conciencia.  Con Berenice Vázquez</v>
      </c>
      <c r="O392" s="30" t="str">
        <f ca="1">IFERROR(__xludf.DUMMYFUNCTION("""COMPUTED_VALUE"""),"Única")</f>
        <v>Única</v>
      </c>
      <c r="P392" s="33">
        <f ca="1">IFERROR(__xludf.DUMMYFUNCTION("""COMPUTED_VALUE"""),46236)</f>
        <v>46236</v>
      </c>
      <c r="Q392" s="33">
        <f ca="1">IFERROR(__xludf.DUMMYFUNCTION("""COMPUTED_VALUE"""),46236)</f>
        <v>46236</v>
      </c>
      <c r="R392" s="30">
        <f ca="1">IFERROR(__xludf.DUMMYFUNCTION("""COMPUTED_VALUE"""),1)</f>
        <v>1</v>
      </c>
      <c r="S392" s="30" t="str">
        <f ca="1">IFERROR(__xludf.DUMMYFUNCTION("""COMPUTED_VALUE"""),"Patrimonio cultural")</f>
        <v>Patrimonio cultural</v>
      </c>
      <c r="T392" s="30" t="str">
        <f ca="1">IFERROR(__xludf.DUMMYFUNCTION("""COMPUTED_VALUE"""),"Memoria histórica")</f>
        <v>Memoria histórica</v>
      </c>
      <c r="U392" s="30" t="str">
        <f ca="1">IFERROR(__xludf.DUMMYFUNCTION("""COMPUTED_VALUE"""),"Conferencia")</f>
        <v>Conferencia</v>
      </c>
      <c r="V392" s="30" t="str">
        <f ca="1">IFERROR(__xludf.DUMMYFUNCTION("""COMPUTED_VALUE"""),"Ninguna")</f>
        <v>Ninguna</v>
      </c>
      <c r="W392" s="30" t="str">
        <f ca="1">IFERROR(__xludf.DUMMYFUNCTION("""COMPUTED_VALUE"""),"Presencial")</f>
        <v>Presencial</v>
      </c>
      <c r="X392" s="30" t="str">
        <f ca="1">IFERROR(__xludf.DUMMYFUNCTION("""COMPUTED_VALUE"""),"Espacio a Cargo de la Secretaría")</f>
        <v>Espacio a Cargo de la Secretaría</v>
      </c>
      <c r="Y392" s="30" t="str">
        <f ca="1">IFERROR(__xludf.DUMMYFUNCTION("""COMPUTED_VALUE"""),"Museo de Arte e Historia de Guanajuato, sala Feliciano Peña")</f>
        <v>Museo de Arte e Historia de Guanajuato, sala Feliciano Peña</v>
      </c>
      <c r="Z392" s="30"/>
      <c r="AA392" s="30"/>
      <c r="AB392" s="30" t="b">
        <f ca="1">IFERROR(__xludf.DUMMYFUNCTION("""COMPUTED_VALUE"""),FALSE)</f>
        <v>0</v>
      </c>
      <c r="AC392" s="30"/>
      <c r="AD392" s="30" t="b">
        <f ca="1">IFERROR(__xludf.DUMMYFUNCTION("""COMPUTED_VALUE"""),FALSE)</f>
        <v>0</v>
      </c>
      <c r="AE392" s="30"/>
      <c r="AF392" s="30" t="b">
        <f ca="1">IFERROR(__xludf.DUMMYFUNCTION("""COMPUTED_VALUE"""),FALSE)</f>
        <v>0</v>
      </c>
      <c r="AG392" s="30"/>
      <c r="AH392" s="30" t="str">
        <f ca="1">IFERROR(__xludf.DUMMYFUNCTION("""COMPUTED_VALUE"""),"Sin costo")</f>
        <v>Sin costo</v>
      </c>
      <c r="AI392" s="30"/>
      <c r="AJ392" s="30"/>
      <c r="AK392" s="30"/>
      <c r="AL392" s="30" t="str">
        <f ca="1">IFERROR(__xludf.DUMMYFUNCTION("""COMPUTED_VALUE"""),"ccardonav@guanajuato.gob.mx")</f>
        <v>ccardonav@guanajuato.gob.mx</v>
      </c>
      <c r="AM392" s="30" t="str">
        <f ca="1">IFERROR(__xludf.DUMMYFUNCTION("""COMPUTED_VALUE"""),"Arraigo y empoderamiento cultural de comunidades.")</f>
        <v>Arraigo y empoderamiento cultural de comunidades.</v>
      </c>
      <c r="AN392" s="30" t="str">
        <f ca="1">IFERROR(__xludf.DUMMYFUNCTION("""COMPUTED_VALUE"""),"1 Tranquilidad")</f>
        <v>1 Tranquilidad</v>
      </c>
      <c r="AO392" s="30" t="str">
        <f ca="1">IFERROR(__xludf.DUMMYFUNCTION("""COMPUTED_VALUE"""),"1.2 Fortalecer prevención del delito")</f>
        <v>1.2 Fortalecer prevención del delito</v>
      </c>
      <c r="AP392" s="30" t="str">
        <f ca="1">IFERROR(__xludf.DUMMYFUNCTION("""COMPUTED_VALUE"""),"1.2.2 Fortalecimiento del tejido social")</f>
        <v>1.2.2 Fortalecimiento del tejido social</v>
      </c>
      <c r="AQ392" s="30" t="str">
        <f ca="1">IFERROR(__xludf.DUMMYFUNCTION("""COMPUTED_VALUE"""),"1.2.3.4 Promover una cultura de paz desde las expresiones artísticas y culturales")</f>
        <v>1.2.3.4 Promover una cultura de paz desde las expresiones artísticas y culturales</v>
      </c>
      <c r="AR392" s="30" t="str">
        <f ca="1">IFERROR(__xludf.DUMMYFUNCTION("""COMPUTED_VALUE"""),"Cooperación")</f>
        <v>Cooperación</v>
      </c>
      <c r="AS392" s="30"/>
      <c r="AT392" s="30" t="str">
        <f ca="1">IFERROR(__xludf.DUMMYFUNCTION("""COMPUTED_VALUE"""),"Fortalecimiento de la participación ciudadana y la mediación cultural")</f>
        <v>Fortalecimiento de la participación ciudadana y la mediación cultural</v>
      </c>
      <c r="AU392" s="30" t="str">
        <f ca="1">IFERROR(__xludf.DUMMYFUNCTION("""COMPUTED_VALUE"""),"Impulso a la ampliación de la oferta cultural en los territorios.")</f>
        <v>Impulso a la ampliación de la oferta cultural en los territorios.</v>
      </c>
      <c r="AV39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2" s="30" t="str">
        <f ca="1">IFERROR(__xludf.DUMMYFUNCTION("""COMPUTED_VALUE"""),"Incrementar en 25% la oferta cultural realizada en los municipios.")</f>
        <v>Incrementar en 25% la oferta cultural realizada en los municipios.</v>
      </c>
      <c r="AX392" s="30" t="str">
        <f ca="1">IFERROR(__xludf.DUMMYFUNCTION("""COMPUTED_VALUE"""),"Conferencia")</f>
        <v>Conferencia</v>
      </c>
      <c r="AY392" s="30" t="str">
        <f ca="1">IFERROR(__xludf.DUMMYFUNCTION("""COMPUTED_VALUE"""),"Mediación")</f>
        <v>Mediación</v>
      </c>
      <c r="AZ392" s="30"/>
      <c r="BA392" s="30"/>
      <c r="BB392" s="30"/>
      <c r="BC392" s="30">
        <f ca="1">IFERROR(__xludf.DUMMYFUNCTION("""COMPUTED_VALUE"""),0)</f>
        <v>0</v>
      </c>
      <c r="BD392" s="30"/>
      <c r="BE392" s="30"/>
      <c r="BF392" s="30" t="b">
        <f ca="1">IFERROR(__xludf.DUMMYFUNCTION("""COMPUTED_VALUE"""),FALSE)</f>
        <v>0</v>
      </c>
      <c r="BG392" s="30"/>
      <c r="BH392" s="30"/>
      <c r="BI392" s="30"/>
      <c r="BJ392" s="30"/>
      <c r="BK392" s="30"/>
      <c r="BL392" s="30"/>
      <c r="BM392" s="30" t="str">
        <f ca="1">IFERROR(__xludf.DUMMYFUNCTION("""COMPUTED_VALUE"""),"No")</f>
        <v>No</v>
      </c>
      <c r="BN392" s="30"/>
      <c r="BO392" s="30" t="str">
        <f ca="1">IFERROR(__xludf.DUMMYFUNCTION("""COMPUTED_VALUE"""),"fce2ef2c")</f>
        <v>fce2ef2c</v>
      </c>
      <c r="BP392" s="29" t="str">
        <f ca="1">IFERROR(__xludf.DUMMYFUNCTION("""COMPUTED_VALUE"""),"León")</f>
        <v>León</v>
      </c>
      <c r="BQ392" s="30" t="str">
        <f ca="1">IFERROR(__xludf.DUMMYFUNCTION("""COMPUTED_VALUE"""),"Urbano")</f>
        <v>Urbano</v>
      </c>
      <c r="BR392" s="30"/>
      <c r="BS392" s="30"/>
      <c r="BT392" s="30"/>
      <c r="BU392" s="30" t="str">
        <f ca="1">IFERROR(__xludf.DUMMYFUNCTION("""COMPUTED_VALUE"""),"No")</f>
        <v>No</v>
      </c>
      <c r="BV392" s="30" t="str">
        <f ca="1">IFERROR(__xludf.DUMMYFUNCTION("""COMPUTED_VALUE"""),"No")</f>
        <v>No</v>
      </c>
      <c r="BW392" s="30">
        <f ca="1">IFERROR(__xludf.DUMMYFUNCTION("""COMPUTED_VALUE"""),164)</f>
        <v>164</v>
      </c>
      <c r="BX392" s="30">
        <f ca="1">IFERROR(__xludf.DUMMYFUNCTION("""COMPUTED_VALUE"""),0)</f>
        <v>0</v>
      </c>
      <c r="BY392" s="30">
        <f ca="1">IFERROR(__xludf.DUMMYFUNCTION("""COMPUTED_VALUE"""),164)</f>
        <v>164</v>
      </c>
      <c r="BZ392" s="30"/>
      <c r="CA392" s="30" t="str">
        <f ca="1">IFERROR(__xludf.DUMMYFUNCTION("""COMPUTED_VALUE"""),"No")</f>
        <v>No</v>
      </c>
      <c r="CB392" s="30" t="str">
        <f ca="1">IFERROR(__xludf.DUMMYFUNCTION("""COMPUTED_VALUE"""),"No")</f>
        <v>No</v>
      </c>
      <c r="CC392" s="30" t="str">
        <f ca="1">IFERROR(__xludf.DUMMYFUNCTION("""COMPUTED_VALUE"""),"d264389e")</f>
        <v>d264389e</v>
      </c>
      <c r="CD392" s="29" t="str">
        <f ca="1">IFERROR(__xludf.DUMMYFUNCTION("""COMPUTED_VALUE"""),"Adolescentes (13 a 17 años)")</f>
        <v>Adolescentes (13 a 17 años)</v>
      </c>
      <c r="CE392" s="30" t="str">
        <f ca="1">IFERROR(__xludf.DUMMYFUNCTION("""COMPUTED_VALUE"""),"Dato global")</f>
        <v>Dato global</v>
      </c>
      <c r="CF392" s="30" t="str">
        <f ca="1">IFERROR(__xludf.DUMMYFUNCTION("""COMPUTED_VALUE"""),"Jóvenes en riesgo")</f>
        <v>Jóvenes en riesgo</v>
      </c>
      <c r="CG392" s="30">
        <f ca="1">IFERROR(__xludf.DUMMYFUNCTION("""COMPUTED_VALUE"""),15)</f>
        <v>15</v>
      </c>
      <c r="CJ392" s="29"/>
      <c r="CM392" s="30" t="str">
        <f ca="1">IFERROR(__xludf.DUMMYFUNCTION("""COMPUTED_VALUE"""),"León")</f>
        <v>León</v>
      </c>
      <c r="CN392" s="32" t="e">
        <f ca="1"/>
        <v>#NAME?</v>
      </c>
      <c r="CO392" s="32" t="e">
        <f ca="1"/>
        <v>#NAME?</v>
      </c>
      <c r="CP392" s="32" t="e">
        <f ca="1"/>
        <v>#NAME?</v>
      </c>
      <c r="CQ392" s="32" t="e">
        <f ca="1"/>
        <v>#NAME?</v>
      </c>
      <c r="CR392" s="30" t="e">
        <f ca="1"/>
        <v>#NAME?</v>
      </c>
      <c r="CS392" s="30" t="str">
        <f ca="1">IFERROR(__xludf.DUMMYFUNCTION("""COMPUTED_VALUE"""),"Ninguno (Población General), Ninguno (Población General)")</f>
        <v>Ninguno (Población General), Ninguno (Población General)</v>
      </c>
    </row>
    <row r="393" spans="1:97" ht="13">
      <c r="A393" s="29" t="str">
        <f ca="1">IFERROR(__xludf.DUMMYFUNCTION("""COMPUTED_VALUE"""),"ACT-SCUI68875")</f>
        <v>ACT-SCUI68875</v>
      </c>
      <c r="B393" s="30" t="str">
        <f ca="1">IFERROR(__xludf.DUMMYFUNCTION("""COMPUTED_VALUE"""),"SC-260914-111815")</f>
        <v>SC-260914-111815</v>
      </c>
      <c r="C393" s="62">
        <f ca="1">IFERROR(__xludf.DUMMYFUNCTION("""COMPUTED_VALUE"""),46279.4710069444)</f>
        <v>46279.471006944397</v>
      </c>
      <c r="D393" s="30">
        <f ca="1">IFERROR(__xludf.DUMMYFUNCTION("""COMPUTED_VALUE"""),92)</f>
        <v>92</v>
      </c>
      <c r="E393" s="30" t="str">
        <f ca="1">IFERROR(__xludf.DUMMYFUNCTION("""COMPUTED_VALUE"""),"PB3572")</f>
        <v>PB3572</v>
      </c>
      <c r="F39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3" s="30" t="str">
        <f ca="1">IFERROR(__xludf.DUMMYFUNCTION("""COMPUTED_VALUE"""),"SUBSECRETARÍA DE DESARROLLO Y PROMOCIÓN ARTÍSTICA Y CULTURAL")</f>
        <v>SUBSECRETARÍA DE DESARROLLO Y PROMOCIÓN ARTÍSTICA Y CULTURAL</v>
      </c>
      <c r="I393" s="34" t="str">
        <f ca="1">IFERROR(__xludf.DUMMYFUNCTION("""COMPUTED_VALUE"""),"DIRECCIÓN GENERAL DE MUSEOS, ARTES VISUALES Y EXPOSICIONES")</f>
        <v>DIRECCIÓN GENERAL DE MUSEOS, ARTES VISUALES Y EXPOSICIONES</v>
      </c>
      <c r="J393" s="30" t="str">
        <f ca="1">IFERROR(__xludf.DUMMYFUNCTION("""COMPUTED_VALUE"""),"Número de Actividades realizadas")</f>
        <v>Número de Actividades realizadas</v>
      </c>
      <c r="K393" s="30">
        <f ca="1">IFERROR(__xludf.DUMMYFUNCTION("""COMPUTED_VALUE"""),800)</f>
        <v>800</v>
      </c>
      <c r="L393" s="30" t="str">
        <f ca="1">IFERROR(__xludf.DUMMYFUNCTION("""COMPUTED_VALUE"""),"Cultural")</f>
        <v>Cultural</v>
      </c>
      <c r="M393" s="30" t="str">
        <f ca="1">IFERROR(__xludf.DUMMYFUNCTION("""COMPUTED_VALUE"""),"Runas y sabiduría nórdica. El lenguaje simbólico del norte como puente entre historia, mito y conciencia.")</f>
        <v>Runas y sabiduría nórdica. El lenguaje simbólico del norte como puente entre historia, mito y conciencia.</v>
      </c>
      <c r="N393" s="30" t="str">
        <f ca="1">IFERROR(__xludf.DUMMYFUNCTION("""COMPUTED_VALUE"""),"Runas y sabiduría nórdica. El lenguaje simbólico del norte como puente entre historia, mito y conciencia.  Con Berenice Vázquez")</f>
        <v>Runas y sabiduría nórdica. El lenguaje simbólico del norte como puente entre historia, mito y conciencia.  Con Berenice Vázquez</v>
      </c>
      <c r="O393" s="30" t="str">
        <f ca="1">IFERROR(__xludf.DUMMYFUNCTION("""COMPUTED_VALUE"""),"Única")</f>
        <v>Única</v>
      </c>
      <c r="P393" s="33">
        <f ca="1">IFERROR(__xludf.DUMMYFUNCTION("""COMPUTED_VALUE"""),46236)</f>
        <v>46236</v>
      </c>
      <c r="Q393" s="33">
        <f ca="1">IFERROR(__xludf.DUMMYFUNCTION("""COMPUTED_VALUE"""),46236)</f>
        <v>46236</v>
      </c>
      <c r="R393" s="30">
        <f ca="1">IFERROR(__xludf.DUMMYFUNCTION("""COMPUTED_VALUE"""),1)</f>
        <v>1</v>
      </c>
      <c r="S393" s="30" t="str">
        <f ca="1">IFERROR(__xludf.DUMMYFUNCTION("""COMPUTED_VALUE"""),"Patrimonio cultural")</f>
        <v>Patrimonio cultural</v>
      </c>
      <c r="T393" s="30" t="str">
        <f ca="1">IFERROR(__xludf.DUMMYFUNCTION("""COMPUTED_VALUE"""),"Memoria histórica")</f>
        <v>Memoria histórica</v>
      </c>
      <c r="U393" s="30" t="str">
        <f ca="1">IFERROR(__xludf.DUMMYFUNCTION("""COMPUTED_VALUE"""),"Conferencia")</f>
        <v>Conferencia</v>
      </c>
      <c r="V393" s="30" t="str">
        <f ca="1">IFERROR(__xludf.DUMMYFUNCTION("""COMPUTED_VALUE"""),"Ninguna")</f>
        <v>Ninguna</v>
      </c>
      <c r="W393" s="30" t="str">
        <f ca="1">IFERROR(__xludf.DUMMYFUNCTION("""COMPUTED_VALUE"""),"Presencial")</f>
        <v>Presencial</v>
      </c>
      <c r="X393" s="30" t="str">
        <f ca="1">IFERROR(__xludf.DUMMYFUNCTION("""COMPUTED_VALUE"""),"Espacio a Cargo de la Secretaría")</f>
        <v>Espacio a Cargo de la Secretaría</v>
      </c>
      <c r="Y393" s="30" t="str">
        <f ca="1">IFERROR(__xludf.DUMMYFUNCTION("""COMPUTED_VALUE"""),"Museo de Arte e Historia de Guanajuato, sala Feliciano Peña")</f>
        <v>Museo de Arte e Historia de Guanajuato, sala Feliciano Peña</v>
      </c>
      <c r="Z393" s="30"/>
      <c r="AA393" s="30"/>
      <c r="AB393" s="30" t="b">
        <f ca="1">IFERROR(__xludf.DUMMYFUNCTION("""COMPUTED_VALUE"""),FALSE)</f>
        <v>0</v>
      </c>
      <c r="AC393" s="30"/>
      <c r="AD393" s="30" t="b">
        <f ca="1">IFERROR(__xludf.DUMMYFUNCTION("""COMPUTED_VALUE"""),FALSE)</f>
        <v>0</v>
      </c>
      <c r="AE393" s="30"/>
      <c r="AF393" s="30" t="b">
        <f ca="1">IFERROR(__xludf.DUMMYFUNCTION("""COMPUTED_VALUE"""),FALSE)</f>
        <v>0</v>
      </c>
      <c r="AG393" s="30"/>
      <c r="AH393" s="30" t="str">
        <f ca="1">IFERROR(__xludf.DUMMYFUNCTION("""COMPUTED_VALUE"""),"Sin costo")</f>
        <v>Sin costo</v>
      </c>
      <c r="AI393" s="30"/>
      <c r="AJ393" s="30"/>
      <c r="AK393" s="30"/>
      <c r="AL393" s="30" t="str">
        <f ca="1">IFERROR(__xludf.DUMMYFUNCTION("""COMPUTED_VALUE"""),"ccardonav@guanajuato.gob.mx")</f>
        <v>ccardonav@guanajuato.gob.mx</v>
      </c>
      <c r="AM393" s="30" t="str">
        <f ca="1">IFERROR(__xludf.DUMMYFUNCTION("""COMPUTED_VALUE"""),"Arraigo y empoderamiento cultural de comunidades.")</f>
        <v>Arraigo y empoderamiento cultural de comunidades.</v>
      </c>
      <c r="AN393" s="30" t="str">
        <f ca="1">IFERROR(__xludf.DUMMYFUNCTION("""COMPUTED_VALUE"""),"1 Tranquilidad")</f>
        <v>1 Tranquilidad</v>
      </c>
      <c r="AO393" s="30" t="str">
        <f ca="1">IFERROR(__xludf.DUMMYFUNCTION("""COMPUTED_VALUE"""),"1.2 Fortalecer prevención del delito")</f>
        <v>1.2 Fortalecer prevención del delito</v>
      </c>
      <c r="AP393" s="30" t="str">
        <f ca="1">IFERROR(__xludf.DUMMYFUNCTION("""COMPUTED_VALUE"""),"1.2.2 Fortalecimiento del tejido social")</f>
        <v>1.2.2 Fortalecimiento del tejido social</v>
      </c>
      <c r="AQ393" s="30" t="str">
        <f ca="1">IFERROR(__xludf.DUMMYFUNCTION("""COMPUTED_VALUE"""),"1.2.3.4 Promover una cultura de paz desde las expresiones artísticas y culturales")</f>
        <v>1.2.3.4 Promover una cultura de paz desde las expresiones artísticas y culturales</v>
      </c>
      <c r="AR393" s="30" t="str">
        <f ca="1">IFERROR(__xludf.DUMMYFUNCTION("""COMPUTED_VALUE"""),"Cooperación")</f>
        <v>Cooperación</v>
      </c>
      <c r="AS393" s="30"/>
      <c r="AT393" s="30" t="str">
        <f ca="1">IFERROR(__xludf.DUMMYFUNCTION("""COMPUTED_VALUE"""),"Fortalecimiento de la participación ciudadana y la mediación cultural")</f>
        <v>Fortalecimiento de la participación ciudadana y la mediación cultural</v>
      </c>
      <c r="AU393" s="30" t="str">
        <f ca="1">IFERROR(__xludf.DUMMYFUNCTION("""COMPUTED_VALUE"""),"Impulso a la ampliación de la oferta cultural en los territorios.")</f>
        <v>Impulso a la ampliación de la oferta cultural en los territorios.</v>
      </c>
      <c r="AV39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3" s="30" t="str">
        <f ca="1">IFERROR(__xludf.DUMMYFUNCTION("""COMPUTED_VALUE"""),"Incrementar en 25% la oferta cultural realizada en los municipios.")</f>
        <v>Incrementar en 25% la oferta cultural realizada en los municipios.</v>
      </c>
      <c r="AX393" s="30" t="str">
        <f ca="1">IFERROR(__xludf.DUMMYFUNCTION("""COMPUTED_VALUE"""),"Conferencia")</f>
        <v>Conferencia</v>
      </c>
      <c r="AY393" s="30" t="str">
        <f ca="1">IFERROR(__xludf.DUMMYFUNCTION("""COMPUTED_VALUE"""),"Mediación")</f>
        <v>Mediación</v>
      </c>
      <c r="AZ393" s="30"/>
      <c r="BA393" s="30"/>
      <c r="BB393" s="30"/>
      <c r="BC393" s="30">
        <f ca="1">IFERROR(__xludf.DUMMYFUNCTION("""COMPUTED_VALUE"""),0)</f>
        <v>0</v>
      </c>
      <c r="BD393" s="30"/>
      <c r="BE393" s="30"/>
      <c r="BF393" s="30" t="b">
        <f ca="1">IFERROR(__xludf.DUMMYFUNCTION("""COMPUTED_VALUE"""),FALSE)</f>
        <v>0</v>
      </c>
      <c r="BG393" s="30"/>
      <c r="BH393" s="30"/>
      <c r="BI393" s="30"/>
      <c r="BJ393" s="30"/>
      <c r="BK393" s="30"/>
      <c r="BL393" s="30"/>
      <c r="BM393" s="30" t="str">
        <f ca="1">IFERROR(__xludf.DUMMYFUNCTION("""COMPUTED_VALUE"""),"No")</f>
        <v>No</v>
      </c>
      <c r="BN393" s="30"/>
      <c r="BO393" s="30" t="str">
        <f ca="1">IFERROR(__xludf.DUMMYFUNCTION("""COMPUTED_VALUE"""),"def8e747")</f>
        <v>def8e747</v>
      </c>
      <c r="BP393" s="29" t="str">
        <f ca="1">IFERROR(__xludf.DUMMYFUNCTION("""COMPUTED_VALUE"""),"León")</f>
        <v>León</v>
      </c>
      <c r="BQ393" s="30" t="str">
        <f ca="1">IFERROR(__xludf.DUMMYFUNCTION("""COMPUTED_VALUE"""),"Urbano")</f>
        <v>Urbano</v>
      </c>
      <c r="BR393" s="30"/>
      <c r="BS393" s="30"/>
      <c r="BT393" s="30"/>
      <c r="BU393" s="30" t="str">
        <f ca="1">IFERROR(__xludf.DUMMYFUNCTION("""COMPUTED_VALUE"""),"No")</f>
        <v>No</v>
      </c>
      <c r="BV393" s="30" t="str">
        <f ca="1">IFERROR(__xludf.DUMMYFUNCTION("""COMPUTED_VALUE"""),"No")</f>
        <v>No</v>
      </c>
      <c r="BW393" s="30">
        <f ca="1">IFERROR(__xludf.DUMMYFUNCTION("""COMPUTED_VALUE"""),180)</f>
        <v>180</v>
      </c>
      <c r="BX393" s="30">
        <f ca="1">IFERROR(__xludf.DUMMYFUNCTION("""COMPUTED_VALUE"""),25)</f>
        <v>25</v>
      </c>
      <c r="BY393" s="30">
        <f ca="1">IFERROR(__xludf.DUMMYFUNCTION("""COMPUTED_VALUE"""),155)</f>
        <v>155</v>
      </c>
      <c r="BZ393" s="30"/>
      <c r="CA393" s="30" t="str">
        <f ca="1">IFERROR(__xludf.DUMMYFUNCTION("""COMPUTED_VALUE"""),"No")</f>
        <v>No</v>
      </c>
      <c r="CB393" s="30" t="str">
        <f ca="1">IFERROR(__xludf.DUMMYFUNCTION("""COMPUTED_VALUE"""),"No")</f>
        <v>No</v>
      </c>
      <c r="CC393" s="30" t="str">
        <f ca="1">IFERROR(__xludf.DUMMYFUNCTION("""COMPUTED_VALUE"""),"245773cb")</f>
        <v>245773cb</v>
      </c>
      <c r="CD393" s="29" t="str">
        <f ca="1">IFERROR(__xludf.DUMMYFUNCTION("""COMPUTED_VALUE"""),"Jóvenes (18 a 29 años)")</f>
        <v>Jóvenes (18 a 29 años)</v>
      </c>
      <c r="CE393" s="30" t="str">
        <f ca="1">IFERROR(__xludf.DUMMYFUNCTION("""COMPUTED_VALUE"""),"Dato global")</f>
        <v>Dato global</v>
      </c>
      <c r="CF393" s="30" t="str">
        <f ca="1">IFERROR(__xludf.DUMMYFUNCTION("""COMPUTED_VALUE"""),"Jóvenes en riesgo")</f>
        <v>Jóvenes en riesgo</v>
      </c>
      <c r="CG393" s="30">
        <f ca="1">IFERROR(__xludf.DUMMYFUNCTION("""COMPUTED_VALUE"""),17)</f>
        <v>17</v>
      </c>
      <c r="CJ393" s="29"/>
      <c r="CM393" s="30" t="str">
        <f ca="1">IFERROR(__xludf.DUMMYFUNCTION("""COMPUTED_VALUE"""),"León")</f>
        <v>León</v>
      </c>
      <c r="CN393" s="32" t="e">
        <f ca="1"/>
        <v>#NAME?</v>
      </c>
      <c r="CO393" s="32" t="e">
        <f ca="1"/>
        <v>#NAME?</v>
      </c>
      <c r="CP393" s="32" t="e">
        <f ca="1"/>
        <v>#NAME?</v>
      </c>
      <c r="CQ393" s="32" t="e">
        <f ca="1"/>
        <v>#NAME?</v>
      </c>
      <c r="CR393" s="30" t="e">
        <f ca="1"/>
        <v>#NAME?</v>
      </c>
      <c r="CS393" s="30" t="str">
        <f ca="1">IFERROR(__xludf.DUMMYFUNCTION("""COMPUTED_VALUE"""),"Ninguno (Población General), Ninguno (Población General), Ninguno (Población General)")</f>
        <v>Ninguno (Población General), Ninguno (Población General), Ninguno (Población General)</v>
      </c>
    </row>
    <row r="394" spans="1:97" ht="13">
      <c r="A394" s="29" t="str">
        <f ca="1">IFERROR(__xludf.DUMMYFUNCTION("""COMPUTED_VALUE"""),"ACT-SCTW29397")</f>
        <v>ACT-SCTW29397</v>
      </c>
      <c r="B394" s="30" t="str">
        <f ca="1">IFERROR(__xludf.DUMMYFUNCTION("""COMPUTED_VALUE"""),"SC-260914-112926")</f>
        <v>SC-260914-112926</v>
      </c>
      <c r="C394" s="62">
        <f ca="1">IFERROR(__xludf.DUMMYFUNCTION("""COMPUTED_VALUE"""),46279.4787731481)</f>
        <v>46279.478773148097</v>
      </c>
      <c r="D394" s="30">
        <f ca="1">IFERROR(__xludf.DUMMYFUNCTION("""COMPUTED_VALUE"""),92)</f>
        <v>92</v>
      </c>
      <c r="E394" s="30" t="str">
        <f ca="1">IFERROR(__xludf.DUMMYFUNCTION("""COMPUTED_VALUE"""),"PB3572")</f>
        <v>PB3572</v>
      </c>
      <c r="F39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4" s="30" t="str">
        <f ca="1">IFERROR(__xludf.DUMMYFUNCTION("""COMPUTED_VALUE"""),"SUBSECRETARÍA DE DESARROLLO Y PROMOCIÓN ARTÍSTICA Y CULTURAL")</f>
        <v>SUBSECRETARÍA DE DESARROLLO Y PROMOCIÓN ARTÍSTICA Y CULTURAL</v>
      </c>
      <c r="I394" s="34" t="str">
        <f ca="1">IFERROR(__xludf.DUMMYFUNCTION("""COMPUTED_VALUE"""),"DIRECCIÓN GENERAL DE MUSEOS, ARTES VISUALES Y EXPOSICIONES")</f>
        <v>DIRECCIÓN GENERAL DE MUSEOS, ARTES VISUALES Y EXPOSICIONES</v>
      </c>
      <c r="J394" s="30" t="str">
        <f ca="1">IFERROR(__xludf.DUMMYFUNCTION("""COMPUTED_VALUE"""),"Número de Actividades realizadas")</f>
        <v>Número de Actividades realizadas</v>
      </c>
      <c r="K394" s="30">
        <f ca="1">IFERROR(__xludf.DUMMYFUNCTION("""COMPUTED_VALUE"""),800)</f>
        <v>800</v>
      </c>
      <c r="L394" s="30" t="str">
        <f ca="1">IFERROR(__xludf.DUMMYFUNCTION("""COMPUTED_VALUE"""),"Cultural")</f>
        <v>Cultural</v>
      </c>
      <c r="M394" s="30" t="str">
        <f ca="1">IFERROR(__xludf.DUMMYFUNCTION("""COMPUTED_VALUE"""),"Conversatorio La importancia de la imagen Butoh.")</f>
        <v>Conversatorio La importancia de la imagen Butoh.</v>
      </c>
      <c r="N394" s="30" t="str">
        <f ca="1">IFERROR(__xludf.DUMMYFUNCTION("""COMPUTED_VALUE"""),"Conversatorio La importancia de la imagen Butoh. Modera: Eugenia Vargas. Participan: César Alberto Guzmán, Teresa Carlos, y Natalia Cuéllar.")</f>
        <v>Conversatorio La importancia de la imagen Butoh. Modera: Eugenia Vargas. Participan: César Alberto Guzmán, Teresa Carlos, y Natalia Cuéllar.</v>
      </c>
      <c r="O394" s="30" t="str">
        <f ca="1">IFERROR(__xludf.DUMMYFUNCTION("""COMPUTED_VALUE"""),"Única")</f>
        <v>Única</v>
      </c>
      <c r="P394" s="33">
        <f ca="1">IFERROR(__xludf.DUMMYFUNCTION("""COMPUTED_VALUE"""),46242)</f>
        <v>46242</v>
      </c>
      <c r="Q394" s="33">
        <f ca="1">IFERROR(__xludf.DUMMYFUNCTION("""COMPUTED_VALUE"""),46242)</f>
        <v>46242</v>
      </c>
      <c r="R394" s="30">
        <f ca="1">IFERROR(__xludf.DUMMYFUNCTION("""COMPUTED_VALUE"""),1)</f>
        <v>1</v>
      </c>
      <c r="S394" s="30" t="str">
        <f ca="1">IFERROR(__xludf.DUMMYFUNCTION("""COMPUTED_VALUE"""),"Artes escénicas")</f>
        <v>Artes escénicas</v>
      </c>
      <c r="T394" s="30" t="str">
        <f ca="1">IFERROR(__xludf.DUMMYFUNCTION("""COMPUTED_VALUE"""),"Danza contemporánea")</f>
        <v>Danza contemporánea</v>
      </c>
      <c r="U394" s="30" t="str">
        <f ca="1">IFERROR(__xludf.DUMMYFUNCTION("""COMPUTED_VALUE"""),"Conferencia")</f>
        <v>Conferencia</v>
      </c>
      <c r="V394" s="30" t="str">
        <f ca="1">IFERROR(__xludf.DUMMYFUNCTION("""COMPUTED_VALUE"""),"Ninguna")</f>
        <v>Ninguna</v>
      </c>
      <c r="W394" s="30" t="str">
        <f ca="1">IFERROR(__xludf.DUMMYFUNCTION("""COMPUTED_VALUE"""),"Presencial")</f>
        <v>Presencial</v>
      </c>
      <c r="X394" s="30" t="str">
        <f ca="1">IFERROR(__xludf.DUMMYFUNCTION("""COMPUTED_VALUE"""),"Espacio a Cargo de la Secretaría")</f>
        <v>Espacio a Cargo de la Secretaría</v>
      </c>
      <c r="Y394" s="30" t="str">
        <f ca="1">IFERROR(__xludf.DUMMYFUNCTION("""COMPUTED_VALUE"""),"Museo de Arte e Historia de Guanajuato, sala Feliciano Peña")</f>
        <v>Museo de Arte e Historia de Guanajuato, sala Feliciano Peña</v>
      </c>
      <c r="Z394" s="30"/>
      <c r="AA394" s="30"/>
      <c r="AB394" s="30" t="b">
        <f ca="1">IFERROR(__xludf.DUMMYFUNCTION("""COMPUTED_VALUE"""),FALSE)</f>
        <v>0</v>
      </c>
      <c r="AC394" s="30"/>
      <c r="AD394" s="30" t="b">
        <f ca="1">IFERROR(__xludf.DUMMYFUNCTION("""COMPUTED_VALUE"""),FALSE)</f>
        <v>0</v>
      </c>
      <c r="AE394" s="30"/>
      <c r="AF394" s="30" t="b">
        <f ca="1">IFERROR(__xludf.DUMMYFUNCTION("""COMPUTED_VALUE"""),FALSE)</f>
        <v>0</v>
      </c>
      <c r="AG394" s="30"/>
      <c r="AH394" s="30" t="str">
        <f ca="1">IFERROR(__xludf.DUMMYFUNCTION("""COMPUTED_VALUE"""),"Sin costo")</f>
        <v>Sin costo</v>
      </c>
      <c r="AI394" s="30"/>
      <c r="AJ394" s="30"/>
      <c r="AK394" s="30"/>
      <c r="AL394" s="30" t="str">
        <f ca="1">IFERROR(__xludf.DUMMYFUNCTION("""COMPUTED_VALUE"""),"ccardonav@guanajuato.gob.mx")</f>
        <v>ccardonav@guanajuato.gob.mx</v>
      </c>
      <c r="AM394" s="30" t="str">
        <f ca="1">IFERROR(__xludf.DUMMYFUNCTION("""COMPUTED_VALUE"""),"Arraigo y empoderamiento cultural de comunidades.")</f>
        <v>Arraigo y empoderamiento cultural de comunidades.</v>
      </c>
      <c r="AN394" s="30" t="str">
        <f ca="1">IFERROR(__xludf.DUMMYFUNCTION("""COMPUTED_VALUE"""),"1 Tranquilidad")</f>
        <v>1 Tranquilidad</v>
      </c>
      <c r="AO394" s="30" t="str">
        <f ca="1">IFERROR(__xludf.DUMMYFUNCTION("""COMPUTED_VALUE"""),"1.2 Fortalecer prevención del delito")</f>
        <v>1.2 Fortalecer prevención del delito</v>
      </c>
      <c r="AP394" s="30" t="str">
        <f ca="1">IFERROR(__xludf.DUMMYFUNCTION("""COMPUTED_VALUE"""),"1.2.2 Fortalecimiento del tejido social")</f>
        <v>1.2.2 Fortalecimiento del tejido social</v>
      </c>
      <c r="AQ394" s="30" t="str">
        <f ca="1">IFERROR(__xludf.DUMMYFUNCTION("""COMPUTED_VALUE"""),"1.2.3.4 Promover una cultura de paz desde las expresiones artísticas y culturales")</f>
        <v>1.2.3.4 Promover una cultura de paz desde las expresiones artísticas y culturales</v>
      </c>
      <c r="AR394" s="30" t="str">
        <f ca="1">IFERROR(__xludf.DUMMYFUNCTION("""COMPUTED_VALUE"""),"Cooperación")</f>
        <v>Cooperación</v>
      </c>
      <c r="AS394" s="30"/>
      <c r="AT394" s="30" t="str">
        <f ca="1">IFERROR(__xludf.DUMMYFUNCTION("""COMPUTED_VALUE"""),"Fortalecimiento de la participación ciudadana y la mediación cultural")</f>
        <v>Fortalecimiento de la participación ciudadana y la mediación cultural</v>
      </c>
      <c r="AU394" s="30" t="str">
        <f ca="1">IFERROR(__xludf.DUMMYFUNCTION("""COMPUTED_VALUE"""),"Impulso a la ampliación de la oferta cultural en los territorios.")</f>
        <v>Impulso a la ampliación de la oferta cultural en los territorios.</v>
      </c>
      <c r="AV39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4" s="30" t="str">
        <f ca="1">IFERROR(__xludf.DUMMYFUNCTION("""COMPUTED_VALUE"""),"Incrementar en 25% la oferta cultural realizada en los municipios.")</f>
        <v>Incrementar en 25% la oferta cultural realizada en los municipios.</v>
      </c>
      <c r="AX394" s="30" t="str">
        <f ca="1">IFERROR(__xludf.DUMMYFUNCTION("""COMPUTED_VALUE"""),"Conferencia")</f>
        <v>Conferencia</v>
      </c>
      <c r="AY394" s="30" t="str">
        <f ca="1">IFERROR(__xludf.DUMMYFUNCTION("""COMPUTED_VALUE"""),"Mediación")</f>
        <v>Mediación</v>
      </c>
      <c r="AZ394" s="30"/>
      <c r="BA394" s="30"/>
      <c r="BB394" s="30"/>
      <c r="BC394" s="30">
        <f ca="1">IFERROR(__xludf.DUMMYFUNCTION("""COMPUTED_VALUE"""),0)</f>
        <v>0</v>
      </c>
      <c r="BD394" s="30"/>
      <c r="BE394" s="30"/>
      <c r="BF394" s="30" t="b">
        <f ca="1">IFERROR(__xludf.DUMMYFUNCTION("""COMPUTED_VALUE"""),FALSE)</f>
        <v>0</v>
      </c>
      <c r="BG394" s="30"/>
      <c r="BH394" s="30"/>
      <c r="BI394" s="30"/>
      <c r="BJ394" s="30"/>
      <c r="BK394" s="30"/>
      <c r="BL394" s="30"/>
      <c r="BM394" s="30" t="str">
        <f ca="1">IFERROR(__xludf.DUMMYFUNCTION("""COMPUTED_VALUE"""),"No")</f>
        <v>No</v>
      </c>
      <c r="BN394" s="30"/>
      <c r="BO394" s="30" t="str">
        <f ca="1">IFERROR(__xludf.DUMMYFUNCTION("""COMPUTED_VALUE"""),"48fa5082")</f>
        <v>48fa5082</v>
      </c>
      <c r="BP394" s="29" t="str">
        <f ca="1">IFERROR(__xludf.DUMMYFUNCTION("""COMPUTED_VALUE"""),"León")</f>
        <v>León</v>
      </c>
      <c r="BQ394" s="30" t="str">
        <f ca="1">IFERROR(__xludf.DUMMYFUNCTION("""COMPUTED_VALUE"""),"Urbano")</f>
        <v>Urbano</v>
      </c>
      <c r="BR394" s="30"/>
      <c r="BS394" s="30"/>
      <c r="BT394" s="30"/>
      <c r="BU394" s="30" t="str">
        <f ca="1">IFERROR(__xludf.DUMMYFUNCTION("""COMPUTED_VALUE"""),"No")</f>
        <v>No</v>
      </c>
      <c r="BV394" s="30" t="str">
        <f ca="1">IFERROR(__xludf.DUMMYFUNCTION("""COMPUTED_VALUE"""),"No")</f>
        <v>No</v>
      </c>
      <c r="BW394" s="30">
        <f ca="1">IFERROR(__xludf.DUMMYFUNCTION("""COMPUTED_VALUE"""),132)</f>
        <v>132</v>
      </c>
      <c r="BX394" s="30"/>
      <c r="BY394" s="30">
        <f ca="1">IFERROR(__xludf.DUMMYFUNCTION("""COMPUTED_VALUE"""),132)</f>
        <v>132</v>
      </c>
      <c r="BZ394" s="30"/>
      <c r="CA394" s="30" t="str">
        <f ca="1">IFERROR(__xludf.DUMMYFUNCTION("""COMPUTED_VALUE"""),"No")</f>
        <v>No</v>
      </c>
      <c r="CB394" s="30" t="str">
        <f ca="1">IFERROR(__xludf.DUMMYFUNCTION("""COMPUTED_VALUE"""),"No")</f>
        <v>No</v>
      </c>
      <c r="CC394" s="30" t="str">
        <f ca="1">IFERROR(__xludf.DUMMYFUNCTION("""COMPUTED_VALUE"""),"31808c09")</f>
        <v>31808c09</v>
      </c>
      <c r="CD394" s="29" t="str">
        <f ca="1">IFERROR(__xludf.DUMMYFUNCTION("""COMPUTED_VALUE"""),"Adultos (30 a 59 años)")</f>
        <v>Adultos (30 a 59 años)</v>
      </c>
      <c r="CE394" s="30" t="str">
        <f ca="1">IFERROR(__xludf.DUMMYFUNCTION("""COMPUTED_VALUE"""),"Dato global")</f>
        <v>Dato global</v>
      </c>
      <c r="CF394" s="30" t="str">
        <f ca="1">IFERROR(__xludf.DUMMYFUNCTION("""COMPUTED_VALUE"""),"Ninguno (Población General)")</f>
        <v>Ninguno (Población General)</v>
      </c>
      <c r="CG394" s="30">
        <f ca="1">IFERROR(__xludf.DUMMYFUNCTION("""COMPUTED_VALUE"""),6)</f>
        <v>6</v>
      </c>
      <c r="CJ394" s="29"/>
      <c r="CM394" s="30" t="str">
        <f ca="1">IFERROR(__xludf.DUMMYFUNCTION("""COMPUTED_VALUE"""),"León")</f>
        <v>León</v>
      </c>
      <c r="CN394" s="32" t="e">
        <f ca="1"/>
        <v>#NAME?</v>
      </c>
      <c r="CO394" s="32" t="e">
        <f ca="1"/>
        <v>#NAME?</v>
      </c>
      <c r="CP394" s="32" t="e">
        <f ca="1"/>
        <v>#NAME?</v>
      </c>
      <c r="CQ394" s="32" t="e">
        <f ca="1"/>
        <v>#NAME?</v>
      </c>
      <c r="CR394" s="30" t="e">
        <f ca="1"/>
        <v>#NAME?</v>
      </c>
      <c r="CS394"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395" spans="1:97" ht="13">
      <c r="A395" s="29" t="str">
        <f ca="1">IFERROR(__xludf.DUMMYFUNCTION("""COMPUTED_VALUE"""),"ACT-SCKY93862")</f>
        <v>ACT-SCKY93862</v>
      </c>
      <c r="B395" s="30" t="str">
        <f ca="1">IFERROR(__xludf.DUMMYFUNCTION("""COMPUTED_VALUE"""),"SC-260914-113412")</f>
        <v>SC-260914-113412</v>
      </c>
      <c r="C395" s="62">
        <f ca="1">IFERROR(__xludf.DUMMYFUNCTION("""COMPUTED_VALUE"""),46279.4820833333)</f>
        <v>46279.4820833333</v>
      </c>
      <c r="D395" s="30">
        <f ca="1">IFERROR(__xludf.DUMMYFUNCTION("""COMPUTED_VALUE"""),92)</f>
        <v>92</v>
      </c>
      <c r="E395" s="30" t="str">
        <f ca="1">IFERROR(__xludf.DUMMYFUNCTION("""COMPUTED_VALUE"""),"PB3572")</f>
        <v>PB3572</v>
      </c>
      <c r="F39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5" s="30" t="str">
        <f ca="1">IFERROR(__xludf.DUMMYFUNCTION("""COMPUTED_VALUE"""),"SUBSECRETARÍA DE DESARROLLO Y PROMOCIÓN ARTÍSTICA Y CULTURAL")</f>
        <v>SUBSECRETARÍA DE DESARROLLO Y PROMOCIÓN ARTÍSTICA Y CULTURAL</v>
      </c>
      <c r="I395" s="34" t="str">
        <f ca="1">IFERROR(__xludf.DUMMYFUNCTION("""COMPUTED_VALUE"""),"DIRECCIÓN GENERAL DE MUSEOS, ARTES VISUALES Y EXPOSICIONES")</f>
        <v>DIRECCIÓN GENERAL DE MUSEOS, ARTES VISUALES Y EXPOSICIONES</v>
      </c>
      <c r="J395" s="30" t="str">
        <f ca="1">IFERROR(__xludf.DUMMYFUNCTION("""COMPUTED_VALUE"""),"Número de Actividades realizadas")</f>
        <v>Número de Actividades realizadas</v>
      </c>
      <c r="K395" s="30">
        <f ca="1">IFERROR(__xludf.DUMMYFUNCTION("""COMPUTED_VALUE"""),800)</f>
        <v>800</v>
      </c>
      <c r="L395" s="30" t="str">
        <f ca="1">IFERROR(__xludf.DUMMYFUNCTION("""COMPUTED_VALUE"""),"Cultural")</f>
        <v>Cultural</v>
      </c>
      <c r="M395" s="30" t="str">
        <f ca="1">IFERROR(__xludf.DUMMYFUNCTION("""COMPUTED_VALUE"""),"Segundo Encuentro de Danza Butoh")</f>
        <v>Segundo Encuentro de Danza Butoh</v>
      </c>
      <c r="N395" s="30" t="str">
        <f ca="1">IFERROR(__xludf.DUMMYFUNCTION("""COMPUTED_VALUE"""),"Natalia Cuéllar (Chile), Teresa Carlos (México)")</f>
        <v>Natalia Cuéllar (Chile), Teresa Carlos (México)</v>
      </c>
      <c r="O395" s="30" t="str">
        <f ca="1">IFERROR(__xludf.DUMMYFUNCTION("""COMPUTED_VALUE"""),"Única")</f>
        <v>Única</v>
      </c>
      <c r="P395" s="33">
        <f ca="1">IFERROR(__xludf.DUMMYFUNCTION("""COMPUTED_VALUE"""),46242)</f>
        <v>46242</v>
      </c>
      <c r="Q395" s="33">
        <f ca="1">IFERROR(__xludf.DUMMYFUNCTION("""COMPUTED_VALUE"""),46242)</f>
        <v>46242</v>
      </c>
      <c r="R395" s="30">
        <f ca="1">IFERROR(__xludf.DUMMYFUNCTION("""COMPUTED_VALUE"""),1)</f>
        <v>1</v>
      </c>
      <c r="S395" s="30" t="str">
        <f ca="1">IFERROR(__xludf.DUMMYFUNCTION("""COMPUTED_VALUE"""),"Artes escénicas")</f>
        <v>Artes escénicas</v>
      </c>
      <c r="T395" s="30" t="str">
        <f ca="1">IFERROR(__xludf.DUMMYFUNCTION("""COMPUTED_VALUE"""),"Danza contemporánea")</f>
        <v>Danza contemporánea</v>
      </c>
      <c r="U395" s="30" t="str">
        <f ca="1">IFERROR(__xludf.DUMMYFUNCTION("""COMPUTED_VALUE"""),"Presentación artística")</f>
        <v>Presentación artística</v>
      </c>
      <c r="V395" s="30" t="str">
        <f ca="1">IFERROR(__xludf.DUMMYFUNCTION("""COMPUTED_VALUE"""),"Ninguna")</f>
        <v>Ninguna</v>
      </c>
      <c r="W395" s="30" t="str">
        <f ca="1">IFERROR(__xludf.DUMMYFUNCTION("""COMPUTED_VALUE"""),"Presencial")</f>
        <v>Presencial</v>
      </c>
      <c r="X395" s="30" t="str">
        <f ca="1">IFERROR(__xludf.DUMMYFUNCTION("""COMPUTED_VALUE"""),"Espacio a Cargo de la Secretaría")</f>
        <v>Espacio a Cargo de la Secretaría</v>
      </c>
      <c r="Y395" s="30" t="str">
        <f ca="1">IFERROR(__xludf.DUMMYFUNCTION("""COMPUTED_VALUE"""),"Museo de Arte e Historia de Guanajuato, sala Feliciano Peña")</f>
        <v>Museo de Arte e Historia de Guanajuato, sala Feliciano Peña</v>
      </c>
      <c r="Z395" s="30"/>
      <c r="AA395" s="30"/>
      <c r="AB395" s="30" t="b">
        <f ca="1">IFERROR(__xludf.DUMMYFUNCTION("""COMPUTED_VALUE"""),FALSE)</f>
        <v>0</v>
      </c>
      <c r="AC395" s="30"/>
      <c r="AD395" s="30" t="b">
        <f ca="1">IFERROR(__xludf.DUMMYFUNCTION("""COMPUTED_VALUE"""),FALSE)</f>
        <v>0</v>
      </c>
      <c r="AE395" s="30"/>
      <c r="AF395" s="30" t="b">
        <f ca="1">IFERROR(__xludf.DUMMYFUNCTION("""COMPUTED_VALUE"""),FALSE)</f>
        <v>0</v>
      </c>
      <c r="AG395" s="30"/>
      <c r="AH395" s="30" t="str">
        <f ca="1">IFERROR(__xludf.DUMMYFUNCTION("""COMPUTED_VALUE"""),"Sin costo")</f>
        <v>Sin costo</v>
      </c>
      <c r="AI395" s="30"/>
      <c r="AJ395" s="30"/>
      <c r="AK395" s="30"/>
      <c r="AL395" s="30" t="str">
        <f ca="1">IFERROR(__xludf.DUMMYFUNCTION("""COMPUTED_VALUE"""),"ccardonav@guanajuato.gob.mx")</f>
        <v>ccardonav@guanajuato.gob.mx</v>
      </c>
      <c r="AM395" s="30" t="str">
        <f ca="1">IFERROR(__xludf.DUMMYFUNCTION("""COMPUTED_VALUE"""),"Arraigo y empoderamiento cultural de comunidades.")</f>
        <v>Arraigo y empoderamiento cultural de comunidades.</v>
      </c>
      <c r="AN395" s="30" t="str">
        <f ca="1">IFERROR(__xludf.DUMMYFUNCTION("""COMPUTED_VALUE"""),"1 Tranquilidad")</f>
        <v>1 Tranquilidad</v>
      </c>
      <c r="AO395" s="30" t="str">
        <f ca="1">IFERROR(__xludf.DUMMYFUNCTION("""COMPUTED_VALUE"""),"1.2 Fortalecer prevención del delito")</f>
        <v>1.2 Fortalecer prevención del delito</v>
      </c>
      <c r="AP395" s="30" t="str">
        <f ca="1">IFERROR(__xludf.DUMMYFUNCTION("""COMPUTED_VALUE"""),"1.2.2 Fortalecimiento del tejido social")</f>
        <v>1.2.2 Fortalecimiento del tejido social</v>
      </c>
      <c r="AQ395" s="30" t="str">
        <f ca="1">IFERROR(__xludf.DUMMYFUNCTION("""COMPUTED_VALUE"""),"1.2.3.4 Promover una cultura de paz desde las expresiones artísticas y culturales")</f>
        <v>1.2.3.4 Promover una cultura de paz desde las expresiones artísticas y culturales</v>
      </c>
      <c r="AR395" s="30" t="str">
        <f ca="1">IFERROR(__xludf.DUMMYFUNCTION("""COMPUTED_VALUE"""),"Cooperación")</f>
        <v>Cooperación</v>
      </c>
      <c r="AS395" s="30"/>
      <c r="AT395" s="30" t="str">
        <f ca="1">IFERROR(__xludf.DUMMYFUNCTION("""COMPUTED_VALUE"""),"Fortalecimiento de la participación ciudadana y la mediación cultural")</f>
        <v>Fortalecimiento de la participación ciudadana y la mediación cultural</v>
      </c>
      <c r="AU395" s="30" t="str">
        <f ca="1">IFERROR(__xludf.DUMMYFUNCTION("""COMPUTED_VALUE"""),"Impulso a la ampliación de la oferta cultural en los territorios.")</f>
        <v>Impulso a la ampliación de la oferta cultural en los territorios.</v>
      </c>
      <c r="AV39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5" s="30" t="str">
        <f ca="1">IFERROR(__xludf.DUMMYFUNCTION("""COMPUTED_VALUE"""),"Incrementar en 25% la oferta cultural realizada en los municipios.")</f>
        <v>Incrementar en 25% la oferta cultural realizada en los municipios.</v>
      </c>
      <c r="AX395" s="30" t="str">
        <f ca="1">IFERROR(__xludf.DUMMYFUNCTION("""COMPUTED_VALUE"""),"Producción artística")</f>
        <v>Producción artística</v>
      </c>
      <c r="AY395" s="30" t="str">
        <f ca="1">IFERROR(__xludf.DUMMYFUNCTION("""COMPUTED_VALUE"""),"Creación")</f>
        <v>Creación</v>
      </c>
      <c r="AZ395" s="30"/>
      <c r="BA395" s="30"/>
      <c r="BB395" s="30"/>
      <c r="BC395" s="30">
        <f ca="1">IFERROR(__xludf.DUMMYFUNCTION("""COMPUTED_VALUE"""),0)</f>
        <v>0</v>
      </c>
      <c r="BD395" s="30"/>
      <c r="BE395" s="30"/>
      <c r="BF395" s="30" t="b">
        <f ca="1">IFERROR(__xludf.DUMMYFUNCTION("""COMPUTED_VALUE"""),FALSE)</f>
        <v>0</v>
      </c>
      <c r="BG395" s="30"/>
      <c r="BH395" s="30"/>
      <c r="BI395" s="30"/>
      <c r="BJ395" s="30"/>
      <c r="BK395" s="30"/>
      <c r="BL395" s="30"/>
      <c r="BM395" s="30" t="str">
        <f ca="1">IFERROR(__xludf.DUMMYFUNCTION("""COMPUTED_VALUE"""),"No")</f>
        <v>No</v>
      </c>
      <c r="BN395" s="30"/>
      <c r="BO395" s="30" t="str">
        <f ca="1">IFERROR(__xludf.DUMMYFUNCTION("""COMPUTED_VALUE"""),"4f830032")</f>
        <v>4f830032</v>
      </c>
      <c r="BP395" s="29" t="str">
        <f ca="1">IFERROR(__xludf.DUMMYFUNCTION("""COMPUTED_VALUE"""),"León")</f>
        <v>León</v>
      </c>
      <c r="BQ395" s="30" t="str">
        <f ca="1">IFERROR(__xludf.DUMMYFUNCTION("""COMPUTED_VALUE"""),"Urbano")</f>
        <v>Urbano</v>
      </c>
      <c r="BR395" s="30"/>
      <c r="BS395" s="30"/>
      <c r="BT395" s="30"/>
      <c r="BU395" s="30" t="str">
        <f ca="1">IFERROR(__xludf.DUMMYFUNCTION("""COMPUTED_VALUE"""),"No")</f>
        <v>No</v>
      </c>
      <c r="BV395" s="30" t="str">
        <f ca="1">IFERROR(__xludf.DUMMYFUNCTION("""COMPUTED_VALUE"""),"No")</f>
        <v>No</v>
      </c>
      <c r="BW395" s="30">
        <f ca="1">IFERROR(__xludf.DUMMYFUNCTION("""COMPUTED_VALUE"""),18)</f>
        <v>18</v>
      </c>
      <c r="BX395" s="30"/>
      <c r="BY395" s="30">
        <f ca="1">IFERROR(__xludf.DUMMYFUNCTION("""COMPUTED_VALUE"""),18)</f>
        <v>18</v>
      </c>
      <c r="BZ395" s="30"/>
      <c r="CA395" s="30" t="str">
        <f ca="1">IFERROR(__xludf.DUMMYFUNCTION("""COMPUTED_VALUE"""),"No")</f>
        <v>No</v>
      </c>
      <c r="CB395" s="30" t="str">
        <f ca="1">IFERROR(__xludf.DUMMYFUNCTION("""COMPUTED_VALUE"""),"No")</f>
        <v>No</v>
      </c>
      <c r="CC395" s="30" t="str">
        <f ca="1">IFERROR(__xludf.DUMMYFUNCTION("""COMPUTED_VALUE"""),"e3e89540")</f>
        <v>e3e89540</v>
      </c>
      <c r="CD395" s="29" t="str">
        <f ca="1">IFERROR(__xludf.DUMMYFUNCTION("""COMPUTED_VALUE"""),"Adultos (30 a 59 años)")</f>
        <v>Adultos (30 a 59 años)</v>
      </c>
      <c r="CE395" s="30" t="str">
        <f ca="1">IFERROR(__xludf.DUMMYFUNCTION("""COMPUTED_VALUE"""),"Hombre")</f>
        <v>Hombre</v>
      </c>
      <c r="CF395" s="30" t="str">
        <f ca="1">IFERROR(__xludf.DUMMYFUNCTION("""COMPUTED_VALUE"""),"Ninguno (Población General)")</f>
        <v>Ninguno (Población General)</v>
      </c>
      <c r="CG395" s="30">
        <f ca="1">IFERROR(__xludf.DUMMYFUNCTION("""COMPUTED_VALUE"""),1)</f>
        <v>1</v>
      </c>
      <c r="CJ395" s="29"/>
      <c r="CM395" s="30" t="str">
        <f ca="1">IFERROR(__xludf.DUMMYFUNCTION("""COMPUTED_VALUE"""),"León")</f>
        <v>León</v>
      </c>
      <c r="CN395" s="32" t="e">
        <f ca="1"/>
        <v>#NAME?</v>
      </c>
      <c r="CO395" s="32" t="e">
        <f ca="1"/>
        <v>#NAME?</v>
      </c>
      <c r="CP395" s="32" t="e">
        <f ca="1"/>
        <v>#NAME?</v>
      </c>
      <c r="CQ395" s="32" t="e">
        <f ca="1"/>
        <v>#NAME?</v>
      </c>
      <c r="CR395" s="30" t="e">
        <f ca="1"/>
        <v>#NAME?</v>
      </c>
      <c r="CS395"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396" spans="1:97" ht="13">
      <c r="A396" s="29" t="str">
        <f ca="1">IFERROR(__xludf.DUMMYFUNCTION("""COMPUTED_VALUE"""),"ACT-SCEV33562")</f>
        <v>ACT-SCEV33562</v>
      </c>
      <c r="B396" s="30" t="str">
        <f ca="1">IFERROR(__xludf.DUMMYFUNCTION("""COMPUTED_VALUE"""),"SC-260914-121800")</f>
        <v>SC-260914-121800</v>
      </c>
      <c r="C396" s="62">
        <f ca="1">IFERROR(__xludf.DUMMYFUNCTION("""COMPUTED_VALUE"""),46279.5125)</f>
        <v>46279.512499999997</v>
      </c>
      <c r="D396" s="30">
        <f ca="1">IFERROR(__xludf.DUMMYFUNCTION("""COMPUTED_VALUE"""),92)</f>
        <v>92</v>
      </c>
      <c r="E396" s="30" t="str">
        <f ca="1">IFERROR(__xludf.DUMMYFUNCTION("""COMPUTED_VALUE"""),"PB3572")</f>
        <v>PB3572</v>
      </c>
      <c r="F39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6" s="30" t="str">
        <f ca="1">IFERROR(__xludf.DUMMYFUNCTION("""COMPUTED_VALUE"""),"SUBSECRETARÍA DE DESARROLLO Y PROMOCIÓN ARTÍSTICA Y CULTURAL")</f>
        <v>SUBSECRETARÍA DE DESARROLLO Y PROMOCIÓN ARTÍSTICA Y CULTURAL</v>
      </c>
      <c r="I396" s="34" t="str">
        <f ca="1">IFERROR(__xludf.DUMMYFUNCTION("""COMPUTED_VALUE"""),"DIRECCIÓN GENERAL DE MUSEOS, ARTES VISUALES Y EXPOSICIONES")</f>
        <v>DIRECCIÓN GENERAL DE MUSEOS, ARTES VISUALES Y EXPOSICIONES</v>
      </c>
      <c r="J396" s="30" t="str">
        <f ca="1">IFERROR(__xludf.DUMMYFUNCTION("""COMPUTED_VALUE"""),"Número de Actividades realizadas")</f>
        <v>Número de Actividades realizadas</v>
      </c>
      <c r="K396" s="30">
        <f ca="1">IFERROR(__xludf.DUMMYFUNCTION("""COMPUTED_VALUE"""),800)</f>
        <v>800</v>
      </c>
      <c r="L396" s="30" t="str">
        <f ca="1">IFERROR(__xludf.DUMMYFUNCTION("""COMPUTED_VALUE"""),"Cultural")</f>
        <v>Cultural</v>
      </c>
      <c r="M396" s="30" t="str">
        <f ca="1">IFERROR(__xludf.DUMMYFUNCTION("""COMPUTED_VALUE"""),"Apertura de la exposición efímera Luz Abisal")</f>
        <v>Apertura de la exposición efímera Luz Abisal</v>
      </c>
      <c r="N396" s="30" t="str">
        <f ca="1">IFERROR(__xludf.DUMMYFUNCTION("""COMPUTED_VALUE"""),"Laboratorio Escénico Danza Teatro Ritual, dirección Eugenia Vargas. Fotógrafo: César Alberto Guzmán")</f>
        <v>Laboratorio Escénico Danza Teatro Ritual, dirección Eugenia Vargas. Fotógrafo: César Alberto Guzmán</v>
      </c>
      <c r="O396" s="30" t="str">
        <f ca="1">IFERROR(__xludf.DUMMYFUNCTION("""COMPUTED_VALUE"""),"Única")</f>
        <v>Única</v>
      </c>
      <c r="P396" s="33">
        <f ca="1">IFERROR(__xludf.DUMMYFUNCTION("""COMPUTED_VALUE"""),46242)</f>
        <v>46242</v>
      </c>
      <c r="Q396" s="33">
        <f ca="1">IFERROR(__xludf.DUMMYFUNCTION("""COMPUTED_VALUE"""),46242)</f>
        <v>46242</v>
      </c>
      <c r="R396" s="30">
        <f ca="1">IFERROR(__xludf.DUMMYFUNCTION("""COMPUTED_VALUE"""),1)</f>
        <v>1</v>
      </c>
      <c r="S396" s="30" t="str">
        <f ca="1">IFERROR(__xludf.DUMMYFUNCTION("""COMPUTED_VALUE"""),"Artes visuales")</f>
        <v>Artes visuales</v>
      </c>
      <c r="T396" s="30" t="str">
        <f ca="1">IFERROR(__xludf.DUMMYFUNCTION("""COMPUTED_VALUE"""),"Fotografía")</f>
        <v>Fotografía</v>
      </c>
      <c r="U396" s="30" t="str">
        <f ca="1">IFERROR(__xludf.DUMMYFUNCTION("""COMPUTED_VALUE"""),"Exposición")</f>
        <v>Exposición</v>
      </c>
      <c r="V396" s="30" t="str">
        <f ca="1">IFERROR(__xludf.DUMMYFUNCTION("""COMPUTED_VALUE"""),"Ninguna")</f>
        <v>Ninguna</v>
      </c>
      <c r="W396" s="30" t="str">
        <f ca="1">IFERROR(__xludf.DUMMYFUNCTION("""COMPUTED_VALUE"""),"Presencial")</f>
        <v>Presencial</v>
      </c>
      <c r="X396" s="30" t="str">
        <f ca="1">IFERROR(__xludf.DUMMYFUNCTION("""COMPUTED_VALUE"""),"Espacio a Cargo de la Secretaría")</f>
        <v>Espacio a Cargo de la Secretaría</v>
      </c>
      <c r="Y396" s="30" t="str">
        <f ca="1">IFERROR(__xludf.DUMMYFUNCTION("""COMPUTED_VALUE"""),"Museo de Arte e Historia de Guanajuato, sala Feliciano Peña")</f>
        <v>Museo de Arte e Historia de Guanajuato, sala Feliciano Peña</v>
      </c>
      <c r="Z396" s="30"/>
      <c r="AA396" s="30"/>
      <c r="AB396" s="30" t="b">
        <f ca="1">IFERROR(__xludf.DUMMYFUNCTION("""COMPUTED_VALUE"""),FALSE)</f>
        <v>0</v>
      </c>
      <c r="AC396" s="30"/>
      <c r="AD396" s="30" t="b">
        <f ca="1">IFERROR(__xludf.DUMMYFUNCTION("""COMPUTED_VALUE"""),FALSE)</f>
        <v>0</v>
      </c>
      <c r="AE396" s="30"/>
      <c r="AF396" s="30" t="b">
        <f ca="1">IFERROR(__xludf.DUMMYFUNCTION("""COMPUTED_VALUE"""),FALSE)</f>
        <v>0</v>
      </c>
      <c r="AG396" s="30"/>
      <c r="AH396" s="30" t="str">
        <f ca="1">IFERROR(__xludf.DUMMYFUNCTION("""COMPUTED_VALUE"""),"Sin costo")</f>
        <v>Sin costo</v>
      </c>
      <c r="AI396" s="30"/>
      <c r="AJ396" s="30"/>
      <c r="AK396" s="30"/>
      <c r="AL396" s="30" t="str">
        <f ca="1">IFERROR(__xludf.DUMMYFUNCTION("""COMPUTED_VALUE"""),"ccardonav@guanajuato.gob.mx")</f>
        <v>ccardonav@guanajuato.gob.mx</v>
      </c>
      <c r="AM396" s="30" t="str">
        <f ca="1">IFERROR(__xludf.DUMMYFUNCTION("""COMPUTED_VALUE"""),"Arraigo y empoderamiento cultural de comunidades.")</f>
        <v>Arraigo y empoderamiento cultural de comunidades.</v>
      </c>
      <c r="AN396" s="30" t="str">
        <f ca="1">IFERROR(__xludf.DUMMYFUNCTION("""COMPUTED_VALUE"""),"1 Tranquilidad")</f>
        <v>1 Tranquilidad</v>
      </c>
      <c r="AO396" s="30" t="str">
        <f ca="1">IFERROR(__xludf.DUMMYFUNCTION("""COMPUTED_VALUE"""),"1.2 Fortalecer prevención del delito")</f>
        <v>1.2 Fortalecer prevención del delito</v>
      </c>
      <c r="AP396" s="30" t="str">
        <f ca="1">IFERROR(__xludf.DUMMYFUNCTION("""COMPUTED_VALUE"""),"1.2.2 Fortalecimiento del tejido social")</f>
        <v>1.2.2 Fortalecimiento del tejido social</v>
      </c>
      <c r="AQ396" s="30" t="str">
        <f ca="1">IFERROR(__xludf.DUMMYFUNCTION("""COMPUTED_VALUE"""),"1.2.3.4 Promover una cultura de paz desde las expresiones artísticas y culturales")</f>
        <v>1.2.3.4 Promover una cultura de paz desde las expresiones artísticas y culturales</v>
      </c>
      <c r="AR396" s="30" t="str">
        <f ca="1">IFERROR(__xludf.DUMMYFUNCTION("""COMPUTED_VALUE"""),"Cooperación")</f>
        <v>Cooperación</v>
      </c>
      <c r="AS396" s="30"/>
      <c r="AT396" s="30" t="str">
        <f ca="1">IFERROR(__xludf.DUMMYFUNCTION("""COMPUTED_VALUE"""),"Fortalecimiento de la participación ciudadana y la mediación cultural")</f>
        <v>Fortalecimiento de la participación ciudadana y la mediación cultural</v>
      </c>
      <c r="AU396" s="30" t="str">
        <f ca="1">IFERROR(__xludf.DUMMYFUNCTION("""COMPUTED_VALUE"""),"Impulso a la ampliación de la oferta cultural en los territorios.")</f>
        <v>Impulso a la ampliación de la oferta cultural en los territorios.</v>
      </c>
      <c r="AV39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6" s="30" t="str">
        <f ca="1">IFERROR(__xludf.DUMMYFUNCTION("""COMPUTED_VALUE"""),"Incrementar en 25% la oferta cultural realizada en los municipios.")</f>
        <v>Incrementar en 25% la oferta cultural realizada en los municipios.</v>
      </c>
      <c r="AX396" s="30" t="str">
        <f ca="1">IFERROR(__xludf.DUMMYFUNCTION("""COMPUTED_VALUE"""),"Producción artística")</f>
        <v>Producción artística</v>
      </c>
      <c r="AY396" s="30" t="str">
        <f ca="1">IFERROR(__xludf.DUMMYFUNCTION("""COMPUTED_VALUE"""),"Creación")</f>
        <v>Creación</v>
      </c>
      <c r="AZ396" s="30"/>
      <c r="BA396" s="30"/>
      <c r="BB396" s="30"/>
      <c r="BC396" s="30">
        <f ca="1">IFERROR(__xludf.DUMMYFUNCTION("""COMPUTED_VALUE"""),0)</f>
        <v>0</v>
      </c>
      <c r="BD396" s="30"/>
      <c r="BE396" s="30"/>
      <c r="BF396" s="30" t="b">
        <f ca="1">IFERROR(__xludf.DUMMYFUNCTION("""COMPUTED_VALUE"""),FALSE)</f>
        <v>0</v>
      </c>
      <c r="BG396" s="30"/>
      <c r="BH396" s="30"/>
      <c r="BI396" s="30"/>
      <c r="BJ396" s="30"/>
      <c r="BK396" s="30"/>
      <c r="BL396" s="30"/>
      <c r="BM396" s="30" t="str">
        <f ca="1">IFERROR(__xludf.DUMMYFUNCTION("""COMPUTED_VALUE"""),"No")</f>
        <v>No</v>
      </c>
      <c r="BN396" s="30"/>
      <c r="BO396" s="30" t="str">
        <f ca="1">IFERROR(__xludf.DUMMYFUNCTION("""COMPUTED_VALUE"""),"b075a994")</f>
        <v>b075a994</v>
      </c>
      <c r="BP396" s="29" t="str">
        <f ca="1">IFERROR(__xludf.DUMMYFUNCTION("""COMPUTED_VALUE"""),"León")</f>
        <v>León</v>
      </c>
      <c r="BQ396" s="30" t="str">
        <f ca="1">IFERROR(__xludf.DUMMYFUNCTION("""COMPUTED_VALUE"""),"Urbano")</f>
        <v>Urbano</v>
      </c>
      <c r="BR396" s="30"/>
      <c r="BS396" s="30"/>
      <c r="BT396" s="30"/>
      <c r="BU396" s="30" t="str">
        <f ca="1">IFERROR(__xludf.DUMMYFUNCTION("""COMPUTED_VALUE"""),"No")</f>
        <v>No</v>
      </c>
      <c r="BV396" s="30" t="str">
        <f ca="1">IFERROR(__xludf.DUMMYFUNCTION("""COMPUTED_VALUE"""),"No")</f>
        <v>No</v>
      </c>
      <c r="BW396" s="30">
        <f ca="1">IFERROR(__xludf.DUMMYFUNCTION("""COMPUTED_VALUE"""),80)</f>
        <v>80</v>
      </c>
      <c r="BX396" s="30"/>
      <c r="BY396" s="30">
        <f ca="1">IFERROR(__xludf.DUMMYFUNCTION("""COMPUTED_VALUE"""),80)</f>
        <v>80</v>
      </c>
      <c r="BZ396" s="30"/>
      <c r="CA396" s="30" t="str">
        <f ca="1">IFERROR(__xludf.DUMMYFUNCTION("""COMPUTED_VALUE"""),"No")</f>
        <v>No</v>
      </c>
      <c r="CB396" s="30" t="str">
        <f ca="1">IFERROR(__xludf.DUMMYFUNCTION("""COMPUTED_VALUE"""),"No")</f>
        <v>No</v>
      </c>
      <c r="CC396" s="30" t="str">
        <f ca="1">IFERROR(__xludf.DUMMYFUNCTION("""COMPUTED_VALUE"""),"ea93e290")</f>
        <v>ea93e290</v>
      </c>
      <c r="CD396" s="29" t="str">
        <f ca="1">IFERROR(__xludf.DUMMYFUNCTION("""COMPUTED_VALUE"""),"Adultos (30 a 59 años)")</f>
        <v>Adultos (30 a 59 años)</v>
      </c>
      <c r="CE396" s="30" t="str">
        <f ca="1">IFERROR(__xludf.DUMMYFUNCTION("""COMPUTED_VALUE"""),"Dato global")</f>
        <v>Dato global</v>
      </c>
      <c r="CF396" s="30" t="str">
        <f ca="1">IFERROR(__xludf.DUMMYFUNCTION("""COMPUTED_VALUE"""),"Ninguno (Población General)")</f>
        <v>Ninguno (Población General)</v>
      </c>
      <c r="CG396" s="30">
        <f ca="1">IFERROR(__xludf.DUMMYFUNCTION("""COMPUTED_VALUE"""),4)</f>
        <v>4</v>
      </c>
      <c r="CJ396" s="29"/>
      <c r="CM396" s="30" t="str">
        <f ca="1">IFERROR(__xludf.DUMMYFUNCTION("""COMPUTED_VALUE"""),"León")</f>
        <v>León</v>
      </c>
      <c r="CN396" s="32" t="e">
        <f ca="1"/>
        <v>#NAME?</v>
      </c>
      <c r="CO396" s="32" t="e">
        <f ca="1"/>
        <v>#NAME?</v>
      </c>
      <c r="CP396" s="32" t="e">
        <f ca="1"/>
        <v>#NAME?</v>
      </c>
      <c r="CQ396" s="32" t="e">
        <f ca="1"/>
        <v>#NAME?</v>
      </c>
      <c r="CR396" s="30" t="e">
        <f ca="1"/>
        <v>#NAME?</v>
      </c>
      <c r="CS396" s="30" t="str">
        <f ca="1">IFERROR(__xludf.DUMMYFUNCTION("""COMPUTED_VALUE"""),"Ninguno (Población General), Ninguno (Población General), Ninguno (Población General)")</f>
        <v>Ninguno (Población General), Ninguno (Población General), Ninguno (Población General)</v>
      </c>
    </row>
    <row r="397" spans="1:97" ht="13">
      <c r="A397" s="29" t="str">
        <f ca="1">IFERROR(__xludf.DUMMYFUNCTION("""COMPUTED_VALUE"""),"ACT-SCJY84263")</f>
        <v>ACT-SCJY84263</v>
      </c>
      <c r="B397" s="30" t="str">
        <f ca="1">IFERROR(__xludf.DUMMYFUNCTION("""COMPUTED_VALUE"""),"SC-260914-122835")</f>
        <v>SC-260914-122835</v>
      </c>
      <c r="C397" s="62">
        <f ca="1">IFERROR(__xludf.DUMMYFUNCTION("""COMPUTED_VALUE"""),46279.519849537)</f>
        <v>46279.519849536999</v>
      </c>
      <c r="D397" s="30">
        <f ca="1">IFERROR(__xludf.DUMMYFUNCTION("""COMPUTED_VALUE"""),92)</f>
        <v>92</v>
      </c>
      <c r="E397" s="30" t="str">
        <f ca="1">IFERROR(__xludf.DUMMYFUNCTION("""COMPUTED_VALUE"""),"PB3572")</f>
        <v>PB3572</v>
      </c>
      <c r="F39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7" s="30" t="str">
        <f ca="1">IFERROR(__xludf.DUMMYFUNCTION("""COMPUTED_VALUE"""),"SUBSECRETARÍA DE DESARROLLO Y PROMOCIÓN ARTÍSTICA Y CULTURAL")</f>
        <v>SUBSECRETARÍA DE DESARROLLO Y PROMOCIÓN ARTÍSTICA Y CULTURAL</v>
      </c>
      <c r="I397" s="34" t="str">
        <f ca="1">IFERROR(__xludf.DUMMYFUNCTION("""COMPUTED_VALUE"""),"DIRECCIÓN GENERAL DE MUSEOS, ARTES VISUALES Y EXPOSICIONES")</f>
        <v>DIRECCIÓN GENERAL DE MUSEOS, ARTES VISUALES Y EXPOSICIONES</v>
      </c>
      <c r="J397" s="30" t="str">
        <f ca="1">IFERROR(__xludf.DUMMYFUNCTION("""COMPUTED_VALUE"""),"Número de Actividades realizadas")</f>
        <v>Número de Actividades realizadas</v>
      </c>
      <c r="K397" s="30">
        <f ca="1">IFERROR(__xludf.DUMMYFUNCTION("""COMPUTED_VALUE"""),800)</f>
        <v>800</v>
      </c>
      <c r="L397" s="30" t="str">
        <f ca="1">IFERROR(__xludf.DUMMYFUNCTION("""COMPUTED_VALUE"""),"Cultural")</f>
        <v>Cultural</v>
      </c>
      <c r="M397" s="30" t="str">
        <f ca="1">IFERROR(__xludf.DUMMYFUNCTION("""COMPUTED_VALUE"""),"4° Festival de Cine de la Otredad. Muestra de Visuales")</f>
        <v>4° Festival de Cine de la Otredad. Muestra de Visuales</v>
      </c>
      <c r="N397" s="30" t="str">
        <f ca="1">IFERROR(__xludf.DUMMYFUNCTION("""COMPUTED_VALUE"""),"Visuales Perros nos comparten su intervenció lumínica en la arquitectura interna del Museo con increíbles videomapings")</f>
        <v>Visuales Perros nos comparten su intervenció lumínica en la arquitectura interna del Museo con increíbles videomapings</v>
      </c>
      <c r="O397" s="30" t="str">
        <f ca="1">IFERROR(__xludf.DUMMYFUNCTION("""COMPUTED_VALUE"""),"Única")</f>
        <v>Única</v>
      </c>
      <c r="P397" s="33">
        <f ca="1">IFERROR(__xludf.DUMMYFUNCTION("""COMPUTED_VALUE"""),46260)</f>
        <v>46260</v>
      </c>
      <c r="Q397" s="33">
        <f ca="1">IFERROR(__xludf.DUMMYFUNCTION("""COMPUTED_VALUE"""),46260)</f>
        <v>46260</v>
      </c>
      <c r="R397" s="30">
        <f ca="1">IFERROR(__xludf.DUMMYFUNCTION("""COMPUTED_VALUE"""),1)</f>
        <v>1</v>
      </c>
      <c r="S397" s="30" t="str">
        <f ca="1">IFERROR(__xludf.DUMMYFUNCTION("""COMPUTED_VALUE"""),"Artes visuales")</f>
        <v>Artes visuales</v>
      </c>
      <c r="T397" s="30" t="str">
        <f ca="1">IFERROR(__xludf.DUMMYFUNCTION("""COMPUTED_VALUE"""),"Arte digital")</f>
        <v>Arte digital</v>
      </c>
      <c r="U397" s="30" t="str">
        <f ca="1">IFERROR(__xludf.DUMMYFUNCTION("""COMPUTED_VALUE"""),"Muestra artística")</f>
        <v>Muestra artística</v>
      </c>
      <c r="V397" s="30" t="str">
        <f ca="1">IFERROR(__xludf.DUMMYFUNCTION("""COMPUTED_VALUE"""),"Ninguna")</f>
        <v>Ninguna</v>
      </c>
      <c r="W397" s="30" t="str">
        <f ca="1">IFERROR(__xludf.DUMMYFUNCTION("""COMPUTED_VALUE"""),"Presencial")</f>
        <v>Presencial</v>
      </c>
      <c r="X397" s="30" t="str">
        <f ca="1">IFERROR(__xludf.DUMMYFUNCTION("""COMPUTED_VALUE"""),"Espacio a Cargo de la Secretaría")</f>
        <v>Espacio a Cargo de la Secretaría</v>
      </c>
      <c r="Y397" s="30" t="str">
        <f ca="1">IFERROR(__xludf.DUMMYFUNCTION("""COMPUTED_VALUE"""),"Museo de Arte e Historia de Guanajuato, sala Feliciano Peña")</f>
        <v>Museo de Arte e Historia de Guanajuato, sala Feliciano Peña</v>
      </c>
      <c r="Z397" s="30"/>
      <c r="AA397" s="30"/>
      <c r="AB397" s="30" t="b">
        <f ca="1">IFERROR(__xludf.DUMMYFUNCTION("""COMPUTED_VALUE"""),FALSE)</f>
        <v>0</v>
      </c>
      <c r="AC397" s="30"/>
      <c r="AD397" s="30" t="b">
        <f ca="1">IFERROR(__xludf.DUMMYFUNCTION("""COMPUTED_VALUE"""),FALSE)</f>
        <v>0</v>
      </c>
      <c r="AE397" s="30"/>
      <c r="AF397" s="30" t="b">
        <f ca="1">IFERROR(__xludf.DUMMYFUNCTION("""COMPUTED_VALUE"""),FALSE)</f>
        <v>0</v>
      </c>
      <c r="AG397" s="30"/>
      <c r="AH397" s="30" t="str">
        <f ca="1">IFERROR(__xludf.DUMMYFUNCTION("""COMPUTED_VALUE"""),"Sin costo")</f>
        <v>Sin costo</v>
      </c>
      <c r="AI397" s="30"/>
      <c r="AJ397" s="30"/>
      <c r="AK397" s="30"/>
      <c r="AL397" s="30" t="str">
        <f ca="1">IFERROR(__xludf.DUMMYFUNCTION("""COMPUTED_VALUE"""),"ccardonav@guanajuato.gob.mx")</f>
        <v>ccardonav@guanajuato.gob.mx</v>
      </c>
      <c r="AM397" s="30" t="str">
        <f ca="1">IFERROR(__xludf.DUMMYFUNCTION("""COMPUTED_VALUE"""),"Arraigo y empoderamiento cultural de comunidades.")</f>
        <v>Arraigo y empoderamiento cultural de comunidades.</v>
      </c>
      <c r="AN397" s="30" t="str">
        <f ca="1">IFERROR(__xludf.DUMMYFUNCTION("""COMPUTED_VALUE"""),"1 Tranquilidad")</f>
        <v>1 Tranquilidad</v>
      </c>
      <c r="AO397" s="30" t="str">
        <f ca="1">IFERROR(__xludf.DUMMYFUNCTION("""COMPUTED_VALUE"""),"1.2 Fortalecer prevención del delito")</f>
        <v>1.2 Fortalecer prevención del delito</v>
      </c>
      <c r="AP397" s="30" t="str">
        <f ca="1">IFERROR(__xludf.DUMMYFUNCTION("""COMPUTED_VALUE"""),"1.2.2 Fortalecimiento del tejido social")</f>
        <v>1.2.2 Fortalecimiento del tejido social</v>
      </c>
      <c r="AQ397" s="30" t="str">
        <f ca="1">IFERROR(__xludf.DUMMYFUNCTION("""COMPUTED_VALUE"""),"1.2.3.4 Promover una cultura de paz desde las expresiones artísticas y culturales")</f>
        <v>1.2.3.4 Promover una cultura de paz desde las expresiones artísticas y culturales</v>
      </c>
      <c r="AR397" s="30" t="str">
        <f ca="1">IFERROR(__xludf.DUMMYFUNCTION("""COMPUTED_VALUE"""),"Cooperación")</f>
        <v>Cooperación</v>
      </c>
      <c r="AS397" s="30"/>
      <c r="AT397" s="30" t="str">
        <f ca="1">IFERROR(__xludf.DUMMYFUNCTION("""COMPUTED_VALUE"""),"Fortalecimiento de la participación ciudadana y la mediación cultural")</f>
        <v>Fortalecimiento de la participación ciudadana y la mediación cultural</v>
      </c>
      <c r="AU397" s="30" t="str">
        <f ca="1">IFERROR(__xludf.DUMMYFUNCTION("""COMPUTED_VALUE"""),"Impulso a la ampliación de la oferta cultural en los territorios.")</f>
        <v>Impulso a la ampliación de la oferta cultural en los territorios.</v>
      </c>
      <c r="AV39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7" s="30" t="str">
        <f ca="1">IFERROR(__xludf.DUMMYFUNCTION("""COMPUTED_VALUE"""),"Incrementar en 25% la oferta cultural realizada en los municipios.")</f>
        <v>Incrementar en 25% la oferta cultural realizada en los municipios.</v>
      </c>
      <c r="AX397" s="30" t="str">
        <f ca="1">IFERROR(__xludf.DUMMYFUNCTION("""COMPUTED_VALUE"""),"Producción artística")</f>
        <v>Producción artística</v>
      </c>
      <c r="AY397" s="30" t="str">
        <f ca="1">IFERROR(__xludf.DUMMYFUNCTION("""COMPUTED_VALUE"""),"Creación")</f>
        <v>Creación</v>
      </c>
      <c r="AZ397" s="30"/>
      <c r="BA397" s="30"/>
      <c r="BB397" s="30"/>
      <c r="BC397" s="30">
        <f ca="1">IFERROR(__xludf.DUMMYFUNCTION("""COMPUTED_VALUE"""),0)</f>
        <v>0</v>
      </c>
      <c r="BD397" s="30"/>
      <c r="BE397" s="30"/>
      <c r="BF397" s="30" t="b">
        <f ca="1">IFERROR(__xludf.DUMMYFUNCTION("""COMPUTED_VALUE"""),FALSE)</f>
        <v>0</v>
      </c>
      <c r="BG397" s="30"/>
      <c r="BH397" s="30"/>
      <c r="BI397" s="30"/>
      <c r="BJ397" s="30"/>
      <c r="BK397" s="30"/>
      <c r="BL397" s="30"/>
      <c r="BM397" s="30" t="str">
        <f ca="1">IFERROR(__xludf.DUMMYFUNCTION("""COMPUTED_VALUE"""),"No")</f>
        <v>No</v>
      </c>
      <c r="BN397" s="30"/>
      <c r="BO397" s="30" t="str">
        <f ca="1">IFERROR(__xludf.DUMMYFUNCTION("""COMPUTED_VALUE"""),"aaef127e")</f>
        <v>aaef127e</v>
      </c>
      <c r="BP397" s="29" t="str">
        <f ca="1">IFERROR(__xludf.DUMMYFUNCTION("""COMPUTED_VALUE"""),"Purísima del Rincón")</f>
        <v>Purísima del Rincón</v>
      </c>
      <c r="BQ397" s="30" t="str">
        <f ca="1">IFERROR(__xludf.DUMMYFUNCTION("""COMPUTED_VALUE"""),"Periurbano")</f>
        <v>Periurbano</v>
      </c>
      <c r="BR397" s="30">
        <f ca="1">IFERROR(__xludf.DUMMYFUNCTION("""COMPUTED_VALUE"""),171)</f>
        <v>171</v>
      </c>
      <c r="BS397" s="30" t="str">
        <f ca="1">IFERROR(__xludf.DUMMYFUNCTION("""COMPUTED_VALUE"""),"Purísima")</f>
        <v>Purísima</v>
      </c>
      <c r="BT397" s="30"/>
      <c r="BU397" s="30" t="str">
        <f ca="1">IFERROR(__xludf.DUMMYFUNCTION("""COMPUTED_VALUE"""),"Si")</f>
        <v>Si</v>
      </c>
      <c r="BV397" s="30" t="str">
        <f ca="1">IFERROR(__xludf.DUMMYFUNCTION("""COMPUTED_VALUE"""),"No")</f>
        <v>No</v>
      </c>
      <c r="BW397" s="30">
        <f ca="1">IFERROR(__xludf.DUMMYFUNCTION("""COMPUTED_VALUE"""),30)</f>
        <v>30</v>
      </c>
      <c r="BX397" s="30"/>
      <c r="BY397" s="30">
        <f ca="1">IFERROR(__xludf.DUMMYFUNCTION("""COMPUTED_VALUE"""),30)</f>
        <v>30</v>
      </c>
      <c r="BZ397" s="30" t="str">
        <f ca="1">IFERROR(__xludf.DUMMYFUNCTION("""COMPUTED_VALUE"""),"Purísima")</f>
        <v>Purísima</v>
      </c>
      <c r="CA397" s="30" t="str">
        <f ca="1">IFERROR(__xludf.DUMMYFUNCTION("""COMPUTED_VALUE"""),"No")</f>
        <v>No</v>
      </c>
      <c r="CB397" s="30" t="str">
        <f ca="1">IFERROR(__xludf.DUMMYFUNCTION("""COMPUTED_VALUE"""),"No")</f>
        <v>No</v>
      </c>
      <c r="CC397" s="30" t="str">
        <f ca="1">IFERROR(__xludf.DUMMYFUNCTION("""COMPUTED_VALUE"""),"18e6770a")</f>
        <v>18e6770a</v>
      </c>
      <c r="CD397" s="29" t="str">
        <f ca="1">IFERROR(__xludf.DUMMYFUNCTION("""COMPUTED_VALUE"""),"Adolescentes (13 a 17 años)")</f>
        <v>Adolescentes (13 a 17 años)</v>
      </c>
      <c r="CE397" s="30" t="str">
        <f ca="1">IFERROR(__xludf.DUMMYFUNCTION("""COMPUTED_VALUE"""),"Dato global")</f>
        <v>Dato global</v>
      </c>
      <c r="CF397" s="30" t="str">
        <f ca="1">IFERROR(__xludf.DUMMYFUNCTION("""COMPUTED_VALUE"""),"Ninguno (Población General)")</f>
        <v>Ninguno (Población General)</v>
      </c>
      <c r="CG397" s="30">
        <f ca="1">IFERROR(__xludf.DUMMYFUNCTION("""COMPUTED_VALUE"""),40)</f>
        <v>40</v>
      </c>
      <c r="CJ397" s="29"/>
      <c r="CM397" s="30" t="str">
        <f ca="1">IFERROR(__xludf.DUMMYFUNCTION("""COMPUTED_VALUE"""),"León")</f>
        <v>León</v>
      </c>
      <c r="CN397" s="32" t="e">
        <f ca="1"/>
        <v>#NAME?</v>
      </c>
      <c r="CO397" s="32" t="e">
        <f ca="1"/>
        <v>#NAME?</v>
      </c>
      <c r="CP397" s="32" t="e">
        <f ca="1"/>
        <v>#NAME?</v>
      </c>
      <c r="CQ397" s="32" t="e">
        <f ca="1"/>
        <v>#NAME?</v>
      </c>
      <c r="CR397" s="30" t="e">
        <f ca="1"/>
        <v>#NAME?</v>
      </c>
      <c r="CS397" s="30" t="str">
        <f ca="1">IFERROR(__xludf.DUMMYFUNCTION("""COMPUTED_VALUE"""),"Ninguno (Población General), Ninguno (Población General), NNA (Niñas, Niños y Adolescentes)")</f>
        <v>Ninguno (Población General), Ninguno (Población General), NNA (Niñas, Niños y Adolescentes)</v>
      </c>
    </row>
    <row r="398" spans="1:97" ht="13">
      <c r="A398" s="29" t="str">
        <f ca="1">IFERROR(__xludf.DUMMYFUNCTION("""COMPUTED_VALUE"""),"ACT-SCZY58450")</f>
        <v>ACT-SCZY58450</v>
      </c>
      <c r="B398" s="30" t="str">
        <f ca="1">IFERROR(__xludf.DUMMYFUNCTION("""COMPUTED_VALUE"""),"SC-260914-123244")</f>
        <v>SC-260914-123244</v>
      </c>
      <c r="C398" s="62">
        <f ca="1">IFERROR(__xludf.DUMMYFUNCTION("""COMPUTED_VALUE"""),46279.5227314814)</f>
        <v>46279.522731481396</v>
      </c>
      <c r="D398" s="30">
        <f ca="1">IFERROR(__xludf.DUMMYFUNCTION("""COMPUTED_VALUE"""),92)</f>
        <v>92</v>
      </c>
      <c r="E398" s="30" t="str">
        <f ca="1">IFERROR(__xludf.DUMMYFUNCTION("""COMPUTED_VALUE"""),"PB3572")</f>
        <v>PB3572</v>
      </c>
      <c r="F39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8" s="30" t="str">
        <f ca="1">IFERROR(__xludf.DUMMYFUNCTION("""COMPUTED_VALUE"""),"SUBSECRETARÍA DE DESARROLLO Y PROMOCIÓN ARTÍSTICA Y CULTURAL")</f>
        <v>SUBSECRETARÍA DE DESARROLLO Y PROMOCIÓN ARTÍSTICA Y CULTURAL</v>
      </c>
      <c r="I398" s="34" t="str">
        <f ca="1">IFERROR(__xludf.DUMMYFUNCTION("""COMPUTED_VALUE"""),"DIRECCIÓN GENERAL DE MUSEOS, ARTES VISUALES Y EXPOSICIONES")</f>
        <v>DIRECCIÓN GENERAL DE MUSEOS, ARTES VISUALES Y EXPOSICIONES</v>
      </c>
      <c r="J398" s="30" t="str">
        <f ca="1">IFERROR(__xludf.DUMMYFUNCTION("""COMPUTED_VALUE"""),"Número de Actividades realizadas")</f>
        <v>Número de Actividades realizadas</v>
      </c>
      <c r="K398" s="30">
        <f ca="1">IFERROR(__xludf.DUMMYFUNCTION("""COMPUTED_VALUE"""),800)</f>
        <v>800</v>
      </c>
      <c r="L398" s="30" t="str">
        <f ca="1">IFERROR(__xludf.DUMMYFUNCTION("""COMPUTED_VALUE"""),"Cultural")</f>
        <v>Cultural</v>
      </c>
      <c r="M398" s="30" t="str">
        <f ca="1">IFERROR(__xludf.DUMMYFUNCTION("""COMPUTED_VALUE"""),"Activación Sonora con Miguel Meza. De la exposición Habitar ése Bosque.")</f>
        <v>Activación Sonora con Miguel Meza. De la exposición Habitar ése Bosque.</v>
      </c>
      <c r="N398" s="30" t="str">
        <f ca="1">IFERROR(__xludf.DUMMYFUNCTION("""COMPUTED_VALUE"""),"Activación Sonora con Miguel Meza. De la exposición Habitar ése Bosque.")</f>
        <v>Activación Sonora con Miguel Meza. De la exposición Habitar ése Bosque.</v>
      </c>
      <c r="O398" s="30" t="str">
        <f ca="1">IFERROR(__xludf.DUMMYFUNCTION("""COMPUTED_VALUE"""),"Única")</f>
        <v>Única</v>
      </c>
      <c r="P398" s="33">
        <f ca="1">IFERROR(__xludf.DUMMYFUNCTION("""COMPUTED_VALUE"""),46260)</f>
        <v>46260</v>
      </c>
      <c r="Q398" s="33">
        <f ca="1">IFERROR(__xludf.DUMMYFUNCTION("""COMPUTED_VALUE"""),46260)</f>
        <v>46260</v>
      </c>
      <c r="R398" s="30">
        <f ca="1">IFERROR(__xludf.DUMMYFUNCTION("""COMPUTED_VALUE"""),1)</f>
        <v>1</v>
      </c>
      <c r="S398" s="30" t="str">
        <f ca="1">IFERROR(__xludf.DUMMYFUNCTION("""COMPUTED_VALUE"""),"Artes visuales")</f>
        <v>Artes visuales</v>
      </c>
      <c r="T398" s="30" t="str">
        <f ca="1">IFERROR(__xludf.DUMMYFUNCTION("""COMPUTED_VALUE"""),"Arte digital")</f>
        <v>Arte digital</v>
      </c>
      <c r="U398" s="30" t="str">
        <f ca="1">IFERROR(__xludf.DUMMYFUNCTION("""COMPUTED_VALUE"""),"Muestra artística")</f>
        <v>Muestra artística</v>
      </c>
      <c r="V398" s="30" t="str">
        <f ca="1">IFERROR(__xludf.DUMMYFUNCTION("""COMPUTED_VALUE"""),"Ninguna")</f>
        <v>Ninguna</v>
      </c>
      <c r="W398" s="30" t="str">
        <f ca="1">IFERROR(__xludf.DUMMYFUNCTION("""COMPUTED_VALUE"""),"Presencial")</f>
        <v>Presencial</v>
      </c>
      <c r="X398" s="30" t="str">
        <f ca="1">IFERROR(__xludf.DUMMYFUNCTION("""COMPUTED_VALUE"""),"Espacio a Cargo de la Secretaría")</f>
        <v>Espacio a Cargo de la Secretaría</v>
      </c>
      <c r="Y398" s="30" t="str">
        <f ca="1">IFERROR(__xludf.DUMMYFUNCTION("""COMPUTED_VALUE"""),"Museo de Arte e Historia de Guanajuato, sala Feliciano Peña")</f>
        <v>Museo de Arte e Historia de Guanajuato, sala Feliciano Peña</v>
      </c>
      <c r="Z398" s="30"/>
      <c r="AA398" s="30"/>
      <c r="AB398" s="30" t="b">
        <f ca="1">IFERROR(__xludf.DUMMYFUNCTION("""COMPUTED_VALUE"""),FALSE)</f>
        <v>0</v>
      </c>
      <c r="AC398" s="30"/>
      <c r="AD398" s="30" t="b">
        <f ca="1">IFERROR(__xludf.DUMMYFUNCTION("""COMPUTED_VALUE"""),FALSE)</f>
        <v>0</v>
      </c>
      <c r="AE398" s="30"/>
      <c r="AF398" s="30" t="b">
        <f ca="1">IFERROR(__xludf.DUMMYFUNCTION("""COMPUTED_VALUE"""),FALSE)</f>
        <v>0</v>
      </c>
      <c r="AG398" s="30"/>
      <c r="AH398" s="30" t="str">
        <f ca="1">IFERROR(__xludf.DUMMYFUNCTION("""COMPUTED_VALUE"""),"Sin costo")</f>
        <v>Sin costo</v>
      </c>
      <c r="AI398" s="30"/>
      <c r="AJ398" s="30"/>
      <c r="AK398" s="30"/>
      <c r="AL398" s="30" t="str">
        <f ca="1">IFERROR(__xludf.DUMMYFUNCTION("""COMPUTED_VALUE"""),"ccardonav@guanajuato.gob.mx")</f>
        <v>ccardonav@guanajuato.gob.mx</v>
      </c>
      <c r="AM398" s="30" t="str">
        <f ca="1">IFERROR(__xludf.DUMMYFUNCTION("""COMPUTED_VALUE"""),"Arraigo y empoderamiento cultural de comunidades.")</f>
        <v>Arraigo y empoderamiento cultural de comunidades.</v>
      </c>
      <c r="AN398" s="30" t="str">
        <f ca="1">IFERROR(__xludf.DUMMYFUNCTION("""COMPUTED_VALUE"""),"1 Tranquilidad")</f>
        <v>1 Tranquilidad</v>
      </c>
      <c r="AO398" s="30" t="str">
        <f ca="1">IFERROR(__xludf.DUMMYFUNCTION("""COMPUTED_VALUE"""),"1.2 Fortalecer prevención del delito")</f>
        <v>1.2 Fortalecer prevención del delito</v>
      </c>
      <c r="AP398" s="30" t="str">
        <f ca="1">IFERROR(__xludf.DUMMYFUNCTION("""COMPUTED_VALUE"""),"1.2.2 Fortalecimiento del tejido social")</f>
        <v>1.2.2 Fortalecimiento del tejido social</v>
      </c>
      <c r="AQ398" s="30" t="str">
        <f ca="1">IFERROR(__xludf.DUMMYFUNCTION("""COMPUTED_VALUE"""),"1.2.3.4 Promover una cultura de paz desde las expresiones artísticas y culturales")</f>
        <v>1.2.3.4 Promover una cultura de paz desde las expresiones artísticas y culturales</v>
      </c>
      <c r="AR398" s="30" t="str">
        <f ca="1">IFERROR(__xludf.DUMMYFUNCTION("""COMPUTED_VALUE"""),"Cooperación")</f>
        <v>Cooperación</v>
      </c>
      <c r="AS398" s="30"/>
      <c r="AT398" s="30" t="str">
        <f ca="1">IFERROR(__xludf.DUMMYFUNCTION("""COMPUTED_VALUE"""),"Fortalecimiento de la participación ciudadana y la mediación cultural")</f>
        <v>Fortalecimiento de la participación ciudadana y la mediación cultural</v>
      </c>
      <c r="AU398" s="30" t="str">
        <f ca="1">IFERROR(__xludf.DUMMYFUNCTION("""COMPUTED_VALUE"""),"Impulso a la ampliación de la oferta cultural en los territorios.")</f>
        <v>Impulso a la ampliación de la oferta cultural en los territorios.</v>
      </c>
      <c r="AV39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8" s="30" t="str">
        <f ca="1">IFERROR(__xludf.DUMMYFUNCTION("""COMPUTED_VALUE"""),"Incrementar en 25% la oferta cultural realizada en los municipios.")</f>
        <v>Incrementar en 25% la oferta cultural realizada en los municipios.</v>
      </c>
      <c r="AX398" s="30" t="str">
        <f ca="1">IFERROR(__xludf.DUMMYFUNCTION("""COMPUTED_VALUE"""),"Producción artística")</f>
        <v>Producción artística</v>
      </c>
      <c r="AY398" s="30" t="str">
        <f ca="1">IFERROR(__xludf.DUMMYFUNCTION("""COMPUTED_VALUE"""),"Creación")</f>
        <v>Creación</v>
      </c>
      <c r="AZ398" s="30"/>
      <c r="BA398" s="30"/>
      <c r="BB398" s="30"/>
      <c r="BC398" s="30">
        <f ca="1">IFERROR(__xludf.DUMMYFUNCTION("""COMPUTED_VALUE"""),0)</f>
        <v>0</v>
      </c>
      <c r="BD398" s="30"/>
      <c r="BE398" s="30"/>
      <c r="BF398" s="30" t="b">
        <f ca="1">IFERROR(__xludf.DUMMYFUNCTION("""COMPUTED_VALUE"""),FALSE)</f>
        <v>0</v>
      </c>
      <c r="BG398" s="30"/>
      <c r="BH398" s="30"/>
      <c r="BI398" s="30"/>
      <c r="BJ398" s="30"/>
      <c r="BK398" s="30"/>
      <c r="BL398" s="30"/>
      <c r="BM398" s="30" t="str">
        <f ca="1">IFERROR(__xludf.DUMMYFUNCTION("""COMPUTED_VALUE"""),"No")</f>
        <v>No</v>
      </c>
      <c r="BN398" s="30"/>
      <c r="BO398" s="30" t="str">
        <f ca="1">IFERROR(__xludf.DUMMYFUNCTION("""COMPUTED_VALUE"""),"7b793fec")</f>
        <v>7b793fec</v>
      </c>
      <c r="BP398" s="29" t="str">
        <f ca="1">IFERROR(__xludf.DUMMYFUNCTION("""COMPUTED_VALUE"""),"Purísima del Rincón")</f>
        <v>Purísima del Rincón</v>
      </c>
      <c r="BQ398" s="30" t="str">
        <f ca="1">IFERROR(__xludf.DUMMYFUNCTION("""COMPUTED_VALUE"""),"Periurbano")</f>
        <v>Periurbano</v>
      </c>
      <c r="BR398" s="30">
        <f ca="1">IFERROR(__xludf.DUMMYFUNCTION("""COMPUTED_VALUE"""),171)</f>
        <v>171</v>
      </c>
      <c r="BS398" s="30" t="str">
        <f ca="1">IFERROR(__xludf.DUMMYFUNCTION("""COMPUTED_VALUE"""),"Purísima")</f>
        <v>Purísima</v>
      </c>
      <c r="BT398" s="30"/>
      <c r="BU398" s="30" t="str">
        <f ca="1">IFERROR(__xludf.DUMMYFUNCTION("""COMPUTED_VALUE"""),"Si")</f>
        <v>Si</v>
      </c>
      <c r="BV398" s="30" t="str">
        <f ca="1">IFERROR(__xludf.DUMMYFUNCTION("""COMPUTED_VALUE"""),"No")</f>
        <v>No</v>
      </c>
      <c r="BW398" s="30">
        <f ca="1">IFERROR(__xludf.DUMMYFUNCTION("""COMPUTED_VALUE"""),17)</f>
        <v>17</v>
      </c>
      <c r="BX398" s="30"/>
      <c r="BY398" s="30">
        <f ca="1">IFERROR(__xludf.DUMMYFUNCTION("""COMPUTED_VALUE"""),17)</f>
        <v>17</v>
      </c>
      <c r="BZ398" s="30" t="str">
        <f ca="1">IFERROR(__xludf.DUMMYFUNCTION("""COMPUTED_VALUE"""),"Purísima")</f>
        <v>Purísima</v>
      </c>
      <c r="CA398" s="30" t="str">
        <f ca="1">IFERROR(__xludf.DUMMYFUNCTION("""COMPUTED_VALUE"""),"No")</f>
        <v>No</v>
      </c>
      <c r="CB398" s="30" t="str">
        <f ca="1">IFERROR(__xludf.DUMMYFUNCTION("""COMPUTED_VALUE"""),"No")</f>
        <v>No</v>
      </c>
      <c r="CC398" s="30" t="str">
        <f ca="1">IFERROR(__xludf.DUMMYFUNCTION("""COMPUTED_VALUE"""),"2f842ee7")</f>
        <v>2f842ee7</v>
      </c>
      <c r="CD398" s="29" t="str">
        <f ca="1">IFERROR(__xludf.DUMMYFUNCTION("""COMPUTED_VALUE"""),"Niñas y Niños (6 a 12 años)")</f>
        <v>Niñas y Niños (6 a 12 años)</v>
      </c>
      <c r="CE398" s="30" t="str">
        <f ca="1">IFERROR(__xludf.DUMMYFUNCTION("""COMPUTED_VALUE"""),"Dato global")</f>
        <v>Dato global</v>
      </c>
      <c r="CF398" s="30" t="str">
        <f ca="1">IFERROR(__xludf.DUMMYFUNCTION("""COMPUTED_VALUE"""),"Ninguno (Población General)")</f>
        <v>Ninguno (Población General)</v>
      </c>
      <c r="CG398" s="30">
        <f ca="1">IFERROR(__xludf.DUMMYFUNCTION("""COMPUTED_VALUE"""),26)</f>
        <v>26</v>
      </c>
      <c r="CJ398" s="29"/>
      <c r="CM398" s="30" t="str">
        <f ca="1">IFERROR(__xludf.DUMMYFUNCTION("""COMPUTED_VALUE"""),"Purísima del Rincón")</f>
        <v>Purísima del Rincón</v>
      </c>
      <c r="CN398" s="32" t="e">
        <f ca="1"/>
        <v>#NAME?</v>
      </c>
      <c r="CO398" s="32" t="e">
        <f ca="1"/>
        <v>#NAME?</v>
      </c>
      <c r="CP398" s="32" t="e">
        <f ca="1"/>
        <v>#NAME?</v>
      </c>
      <c r="CQ398" s="32" t="e">
        <f ca="1"/>
        <v>#NAME?</v>
      </c>
      <c r="CR398" s="30" t="e">
        <f ca="1"/>
        <v>#NAME?</v>
      </c>
      <c r="CS398" s="30" t="str">
        <f ca="1">IFERROR(__xludf.DUMMYFUNCTION("""COMPUTED_VALUE"""),"Jóvenes en riesgo, Jóvenes en riesgo, Jóvenes en riesgo")</f>
        <v>Jóvenes en riesgo, Jóvenes en riesgo, Jóvenes en riesgo</v>
      </c>
    </row>
    <row r="399" spans="1:97" ht="13">
      <c r="A399" s="29" t="str">
        <f ca="1">IFERROR(__xludf.DUMMYFUNCTION("""COMPUTED_VALUE"""),"ACT-SCYM51625")</f>
        <v>ACT-SCYM51625</v>
      </c>
      <c r="B399" s="30" t="str">
        <f ca="1">IFERROR(__xludf.DUMMYFUNCTION("""COMPUTED_VALUE"""),"SC-260914-124024")</f>
        <v>SC-260914-124024</v>
      </c>
      <c r="C399" s="62">
        <f ca="1">IFERROR(__xludf.DUMMYFUNCTION("""COMPUTED_VALUE"""),46279.5280555555)</f>
        <v>46279.5280555555</v>
      </c>
      <c r="D399" s="30">
        <f ca="1">IFERROR(__xludf.DUMMYFUNCTION("""COMPUTED_VALUE"""),92)</f>
        <v>92</v>
      </c>
      <c r="E399" s="30" t="str">
        <f ca="1">IFERROR(__xludf.DUMMYFUNCTION("""COMPUTED_VALUE"""),"PB3572")</f>
        <v>PB3572</v>
      </c>
      <c r="F39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39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399" s="30" t="str">
        <f ca="1">IFERROR(__xludf.DUMMYFUNCTION("""COMPUTED_VALUE"""),"SUBSECRETARÍA DE DESARROLLO Y PROMOCIÓN ARTÍSTICA Y CULTURAL")</f>
        <v>SUBSECRETARÍA DE DESARROLLO Y PROMOCIÓN ARTÍSTICA Y CULTURAL</v>
      </c>
      <c r="I399" s="34" t="str">
        <f ca="1">IFERROR(__xludf.DUMMYFUNCTION("""COMPUTED_VALUE"""),"DIRECCIÓN GENERAL DE MUSEOS, ARTES VISUALES Y EXPOSICIONES")</f>
        <v>DIRECCIÓN GENERAL DE MUSEOS, ARTES VISUALES Y EXPOSICIONES</v>
      </c>
      <c r="J399" s="30" t="str">
        <f ca="1">IFERROR(__xludf.DUMMYFUNCTION("""COMPUTED_VALUE"""),"Número de Actividades realizadas")</f>
        <v>Número de Actividades realizadas</v>
      </c>
      <c r="K399" s="30">
        <f ca="1">IFERROR(__xludf.DUMMYFUNCTION("""COMPUTED_VALUE"""),800)</f>
        <v>800</v>
      </c>
      <c r="L399" s="30" t="str">
        <f ca="1">IFERROR(__xludf.DUMMYFUNCTION("""COMPUTED_VALUE"""),"Cultural")</f>
        <v>Cultural</v>
      </c>
      <c r="M399" s="30" t="str">
        <f ca="1">IFERROR(__xludf.DUMMYFUNCTION("""COMPUTED_VALUE"""),"Proyección de Cortometraje ""La Galereña"", Concierto del Coro AJUG, Charla: Panoramas, perspectivas de la vida, Exposición efímera de los talleres de dibujo y pintura de los talleres AJUG.")</f>
        <v>Proyección de Cortometraje "La Galereña", Concierto del Coro AJUG, Charla: Panoramas, perspectivas de la vida, Exposición efímera de los talleres de dibujo y pintura de los talleres AJUG.</v>
      </c>
      <c r="N399" s="30" t="str">
        <f ca="1">IFERROR(__xludf.DUMMYFUNCTION("""COMPUTED_VALUE"""),"Proyección de Cortometraje ""La Galereña"", Concierto del Coro AJUG, Charla: Panoramas, perspectivas de la vida, Exposición efímera de los talleres de dibujo y pintura de los talleres AJUG.")</f>
        <v>Proyección de Cortometraje "La Galereña", Concierto del Coro AJUG, Charla: Panoramas, perspectivas de la vida, Exposición efímera de los talleres de dibujo y pintura de los talleres AJUG.</v>
      </c>
      <c r="O399" s="30" t="str">
        <f ca="1">IFERROR(__xludf.DUMMYFUNCTION("""COMPUTED_VALUE"""),"Única")</f>
        <v>Única</v>
      </c>
      <c r="P399" s="33">
        <f ca="1">IFERROR(__xludf.DUMMYFUNCTION("""COMPUTED_VALUE"""),46256)</f>
        <v>46256</v>
      </c>
      <c r="Q399" s="33">
        <f ca="1">IFERROR(__xludf.DUMMYFUNCTION("""COMPUTED_VALUE"""),46256)</f>
        <v>46256</v>
      </c>
      <c r="R399" s="30">
        <f ca="1">IFERROR(__xludf.DUMMYFUNCTION("""COMPUTED_VALUE"""),1)</f>
        <v>1</v>
      </c>
      <c r="S399" s="30" t="str">
        <f ca="1">IFERROR(__xludf.DUMMYFUNCTION("""COMPUTED_VALUE"""),"Artes visuales")</f>
        <v>Artes visuales</v>
      </c>
      <c r="T399" s="30" t="str">
        <f ca="1">IFERROR(__xludf.DUMMYFUNCTION("""COMPUTED_VALUE"""),"Pintura")</f>
        <v>Pintura</v>
      </c>
      <c r="U399" s="30" t="str">
        <f ca="1">IFERROR(__xludf.DUMMYFUNCTION("""COMPUTED_VALUE"""),"Exposición")</f>
        <v>Exposición</v>
      </c>
      <c r="V399" s="30" t="str">
        <f ca="1">IFERROR(__xludf.DUMMYFUNCTION("""COMPUTED_VALUE"""),"Ninguna")</f>
        <v>Ninguna</v>
      </c>
      <c r="W399" s="30" t="str">
        <f ca="1">IFERROR(__xludf.DUMMYFUNCTION("""COMPUTED_VALUE"""),"Presencial")</f>
        <v>Presencial</v>
      </c>
      <c r="X399" s="30" t="str">
        <f ca="1">IFERROR(__xludf.DUMMYFUNCTION("""COMPUTED_VALUE"""),"Espacio a Cargo de la Secretaría")</f>
        <v>Espacio a Cargo de la Secretaría</v>
      </c>
      <c r="Y399" s="30" t="str">
        <f ca="1">IFERROR(__xludf.DUMMYFUNCTION("""COMPUTED_VALUE"""),"Museo de Arte e Historia de Guanajuato, sala Feliciano Peña")</f>
        <v>Museo de Arte e Historia de Guanajuato, sala Feliciano Peña</v>
      </c>
      <c r="Z399" s="30"/>
      <c r="AA399" s="30"/>
      <c r="AB399" s="30" t="b">
        <f ca="1">IFERROR(__xludf.DUMMYFUNCTION("""COMPUTED_VALUE"""),FALSE)</f>
        <v>0</v>
      </c>
      <c r="AC399" s="30"/>
      <c r="AD399" s="30" t="b">
        <f ca="1">IFERROR(__xludf.DUMMYFUNCTION("""COMPUTED_VALUE"""),FALSE)</f>
        <v>0</v>
      </c>
      <c r="AE399" s="30"/>
      <c r="AF399" s="30" t="b">
        <f ca="1">IFERROR(__xludf.DUMMYFUNCTION("""COMPUTED_VALUE"""),FALSE)</f>
        <v>0</v>
      </c>
      <c r="AG399" s="30"/>
      <c r="AH399" s="30" t="str">
        <f ca="1">IFERROR(__xludf.DUMMYFUNCTION("""COMPUTED_VALUE"""),"Sin costo")</f>
        <v>Sin costo</v>
      </c>
      <c r="AI399" s="30"/>
      <c r="AJ399" s="30"/>
      <c r="AK399" s="30"/>
      <c r="AL399" s="30" t="str">
        <f ca="1">IFERROR(__xludf.DUMMYFUNCTION("""COMPUTED_VALUE"""),"ccardonav@guanajuato.gob.mx")</f>
        <v>ccardonav@guanajuato.gob.mx</v>
      </c>
      <c r="AM399" s="30" t="str">
        <f ca="1">IFERROR(__xludf.DUMMYFUNCTION("""COMPUTED_VALUE"""),"Arraigo y empoderamiento cultural de comunidades.")</f>
        <v>Arraigo y empoderamiento cultural de comunidades.</v>
      </c>
      <c r="AN399" s="30" t="str">
        <f ca="1">IFERROR(__xludf.DUMMYFUNCTION("""COMPUTED_VALUE"""),"1 Tranquilidad")</f>
        <v>1 Tranquilidad</v>
      </c>
      <c r="AO399" s="30" t="str">
        <f ca="1">IFERROR(__xludf.DUMMYFUNCTION("""COMPUTED_VALUE"""),"1.2 Fortalecer prevención del delito")</f>
        <v>1.2 Fortalecer prevención del delito</v>
      </c>
      <c r="AP399" s="30" t="str">
        <f ca="1">IFERROR(__xludf.DUMMYFUNCTION("""COMPUTED_VALUE"""),"1.2.2 Fortalecimiento del tejido social")</f>
        <v>1.2.2 Fortalecimiento del tejido social</v>
      </c>
      <c r="AQ399" s="30" t="str">
        <f ca="1">IFERROR(__xludf.DUMMYFUNCTION("""COMPUTED_VALUE"""),"1.2.3.4 Promover una cultura de paz desde las expresiones artísticas y culturales")</f>
        <v>1.2.3.4 Promover una cultura de paz desde las expresiones artísticas y culturales</v>
      </c>
      <c r="AR399" s="30" t="str">
        <f ca="1">IFERROR(__xludf.DUMMYFUNCTION("""COMPUTED_VALUE"""),"Cooperación")</f>
        <v>Cooperación</v>
      </c>
      <c r="AS399" s="30"/>
      <c r="AT399" s="30" t="str">
        <f ca="1">IFERROR(__xludf.DUMMYFUNCTION("""COMPUTED_VALUE"""),"Fortalecimiento de la participación ciudadana y la mediación cultural")</f>
        <v>Fortalecimiento de la participación ciudadana y la mediación cultural</v>
      </c>
      <c r="AU399" s="30" t="str">
        <f ca="1">IFERROR(__xludf.DUMMYFUNCTION("""COMPUTED_VALUE"""),"Impulso a la ampliación de la oferta cultural en los territorios.")</f>
        <v>Impulso a la ampliación de la oferta cultural en los territorios.</v>
      </c>
      <c r="AV39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399" s="30" t="str">
        <f ca="1">IFERROR(__xludf.DUMMYFUNCTION("""COMPUTED_VALUE"""),"Incrementar en 25% la oferta cultural realizada en los municipios.")</f>
        <v>Incrementar en 25% la oferta cultural realizada en los municipios.</v>
      </c>
      <c r="AX399" s="30" t="str">
        <f ca="1">IFERROR(__xludf.DUMMYFUNCTION("""COMPUTED_VALUE"""),"Producción artística")</f>
        <v>Producción artística</v>
      </c>
      <c r="AY399" s="30" t="str">
        <f ca="1">IFERROR(__xludf.DUMMYFUNCTION("""COMPUTED_VALUE"""),"Creación")</f>
        <v>Creación</v>
      </c>
      <c r="AZ399" s="30"/>
      <c r="BA399" s="30"/>
      <c r="BB399" s="30"/>
      <c r="BC399" s="30">
        <f ca="1">IFERROR(__xludf.DUMMYFUNCTION("""COMPUTED_VALUE"""),0)</f>
        <v>0</v>
      </c>
      <c r="BD399" s="30"/>
      <c r="BE399" s="30"/>
      <c r="BF399" s="30" t="b">
        <f ca="1">IFERROR(__xludf.DUMMYFUNCTION("""COMPUTED_VALUE"""),FALSE)</f>
        <v>0</v>
      </c>
      <c r="BG399" s="30"/>
      <c r="BH399" s="30"/>
      <c r="BI399" s="30"/>
      <c r="BJ399" s="30"/>
      <c r="BK399" s="30"/>
      <c r="BL399" s="30"/>
      <c r="BM399" s="30" t="str">
        <f ca="1">IFERROR(__xludf.DUMMYFUNCTION("""COMPUTED_VALUE"""),"No")</f>
        <v>No</v>
      </c>
      <c r="BN399" s="30"/>
      <c r="BO399" s="30" t="str">
        <f ca="1">IFERROR(__xludf.DUMMYFUNCTION("""COMPUTED_VALUE"""),"85bbba35")</f>
        <v>85bbba35</v>
      </c>
      <c r="BP399" s="29" t="str">
        <f ca="1">IFERROR(__xludf.DUMMYFUNCTION("""COMPUTED_VALUE"""),"Purísima del Rincón")</f>
        <v>Purísima del Rincón</v>
      </c>
      <c r="BQ399" s="30" t="str">
        <f ca="1">IFERROR(__xludf.DUMMYFUNCTION("""COMPUTED_VALUE"""),"Periurbano")</f>
        <v>Periurbano</v>
      </c>
      <c r="BR399" s="30">
        <f ca="1">IFERROR(__xludf.DUMMYFUNCTION("""COMPUTED_VALUE"""),171)</f>
        <v>171</v>
      </c>
      <c r="BS399" s="30" t="str">
        <f ca="1">IFERROR(__xludf.DUMMYFUNCTION("""COMPUTED_VALUE"""),"Purísima")</f>
        <v>Purísima</v>
      </c>
      <c r="BT399" s="30"/>
      <c r="BU399" s="30" t="str">
        <f ca="1">IFERROR(__xludf.DUMMYFUNCTION("""COMPUTED_VALUE"""),"Si")</f>
        <v>Si</v>
      </c>
      <c r="BV399" s="30" t="str">
        <f ca="1">IFERROR(__xludf.DUMMYFUNCTION("""COMPUTED_VALUE"""),"No")</f>
        <v>No</v>
      </c>
      <c r="BW399" s="30">
        <f ca="1">IFERROR(__xludf.DUMMYFUNCTION("""COMPUTED_VALUE"""),19)</f>
        <v>19</v>
      </c>
      <c r="BX399" s="30"/>
      <c r="BY399" s="30">
        <f ca="1">IFERROR(__xludf.DUMMYFUNCTION("""COMPUTED_VALUE"""),19)</f>
        <v>19</v>
      </c>
      <c r="BZ399" s="30" t="str">
        <f ca="1">IFERROR(__xludf.DUMMYFUNCTION("""COMPUTED_VALUE"""),"Purísima")</f>
        <v>Purísima</v>
      </c>
      <c r="CA399" s="30" t="str">
        <f ca="1">IFERROR(__xludf.DUMMYFUNCTION("""COMPUTED_VALUE"""),"No")</f>
        <v>No</v>
      </c>
      <c r="CB399" s="30" t="str">
        <f ca="1">IFERROR(__xludf.DUMMYFUNCTION("""COMPUTED_VALUE"""),"No")</f>
        <v>No</v>
      </c>
      <c r="CC399" s="30" t="str">
        <f ca="1">IFERROR(__xludf.DUMMYFUNCTION("""COMPUTED_VALUE"""),"396ff8a6")</f>
        <v>396ff8a6</v>
      </c>
      <c r="CD399" s="29" t="str">
        <f ca="1">IFERROR(__xludf.DUMMYFUNCTION("""COMPUTED_VALUE"""),"Adultos (30 a 59 años)")</f>
        <v>Adultos (30 a 59 años)</v>
      </c>
      <c r="CE399" s="30" t="str">
        <f ca="1">IFERROR(__xludf.DUMMYFUNCTION("""COMPUTED_VALUE"""),"Dato global")</f>
        <v>Dato global</v>
      </c>
      <c r="CF399" s="30" t="str">
        <f ca="1">IFERROR(__xludf.DUMMYFUNCTION("""COMPUTED_VALUE"""),"Ninguno (Población General)")</f>
        <v>Ninguno (Población General)</v>
      </c>
      <c r="CG399" s="30">
        <f ca="1">IFERROR(__xludf.DUMMYFUNCTION("""COMPUTED_VALUE"""),3)</f>
        <v>3</v>
      </c>
      <c r="CJ399" s="29"/>
      <c r="CM399" s="30" t="str">
        <f ca="1">IFERROR(__xludf.DUMMYFUNCTION("""COMPUTED_VALUE"""),"Purísima del Rincón")</f>
        <v>Purísima del Rincón</v>
      </c>
      <c r="CN399" s="32" t="e">
        <f ca="1"/>
        <v>#NAME?</v>
      </c>
      <c r="CO399" s="32" t="e">
        <f ca="1"/>
        <v>#NAME?</v>
      </c>
      <c r="CP399" s="32" t="e">
        <f ca="1"/>
        <v>#NAME?</v>
      </c>
      <c r="CQ399" s="32" t="e">
        <f ca="1"/>
        <v>#NAME?</v>
      </c>
      <c r="CR399" s="30" t="e">
        <f ca="1"/>
        <v>#NAME?</v>
      </c>
      <c r="CS399" s="30" t="str">
        <f ca="1">IFERROR(__xludf.DUMMYFUNCTION("""COMPUTED_VALUE"""),"Ninguno (Población General), Ninguno (Población General)")</f>
        <v>Ninguno (Población General), Ninguno (Población General)</v>
      </c>
    </row>
    <row r="400" spans="1:97" ht="13">
      <c r="A400" s="29" t="str">
        <f ca="1">IFERROR(__xludf.DUMMYFUNCTION("""COMPUTED_VALUE"""),"ACT-SCUF24467")</f>
        <v>ACT-SCUF24467</v>
      </c>
      <c r="B400" s="30" t="str">
        <f ca="1">IFERROR(__xludf.DUMMYFUNCTION("""COMPUTED_VALUE"""),"SC-260914-125054")</f>
        <v>SC-260914-125054</v>
      </c>
      <c r="C400" s="62">
        <f ca="1">IFERROR(__xludf.DUMMYFUNCTION("""COMPUTED_VALUE"""),46279.5353472222)</f>
        <v>46279.535347222198</v>
      </c>
      <c r="D400" s="30">
        <f ca="1">IFERROR(__xludf.DUMMYFUNCTION("""COMPUTED_VALUE"""),92)</f>
        <v>92</v>
      </c>
      <c r="E400" s="30" t="str">
        <f ca="1">IFERROR(__xludf.DUMMYFUNCTION("""COMPUTED_VALUE"""),"PB3572")</f>
        <v>PB3572</v>
      </c>
      <c r="F40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0" s="30" t="str">
        <f ca="1">IFERROR(__xludf.DUMMYFUNCTION("""COMPUTED_VALUE"""),"SUBSECRETARÍA DE DESARROLLO Y PROMOCIÓN ARTÍSTICA Y CULTURAL")</f>
        <v>SUBSECRETARÍA DE DESARROLLO Y PROMOCIÓN ARTÍSTICA Y CULTURAL</v>
      </c>
      <c r="I400" s="34" t="str">
        <f ca="1">IFERROR(__xludf.DUMMYFUNCTION("""COMPUTED_VALUE"""),"DIRECCIÓN GENERAL DE MUSEOS, ARTES VISUALES Y EXPOSICIONES")</f>
        <v>DIRECCIÓN GENERAL DE MUSEOS, ARTES VISUALES Y EXPOSICIONES</v>
      </c>
      <c r="J400" s="30" t="str">
        <f ca="1">IFERROR(__xludf.DUMMYFUNCTION("""COMPUTED_VALUE"""),"Número de Actividades realizadas")</f>
        <v>Número de Actividades realizadas</v>
      </c>
      <c r="K400" s="30">
        <f ca="1">IFERROR(__xludf.DUMMYFUNCTION("""COMPUTED_VALUE"""),800)</f>
        <v>800</v>
      </c>
      <c r="L400" s="30" t="str">
        <f ca="1">IFERROR(__xludf.DUMMYFUNCTION("""COMPUTED_VALUE"""),"Cultural")</f>
        <v>Cultural</v>
      </c>
      <c r="M400" s="30" t="str">
        <f ca="1">IFERROR(__xludf.DUMMYFUNCTION("""COMPUTED_VALUE"""),"Espacios incidentales. Coros Voces del Alma y Acordes del Corazón")</f>
        <v>Espacios incidentales. Coros Voces del Alma y Acordes del Corazón</v>
      </c>
      <c r="N400" s="30" t="str">
        <f ca="1">IFERROR(__xludf.DUMMYFUNCTION("""COMPUTED_VALUE"""),"En el mes del adulto mayo presentamos a personas jubiladas de la Asociación de Jubilados de la Universida de Guanajuato, quienes nos invitarán a un viaje a la música romántica de antaño.")</f>
        <v>En el mes del adulto mayo presentamos a personas jubiladas de la Asociación de Jubilados de la Universida de Guanajuato, quienes nos invitarán a un viaje a la música romántica de antaño.</v>
      </c>
      <c r="O400" s="30" t="str">
        <f ca="1">IFERROR(__xludf.DUMMYFUNCTION("""COMPUTED_VALUE"""),"Única")</f>
        <v>Única</v>
      </c>
      <c r="P400" s="33">
        <f ca="1">IFERROR(__xludf.DUMMYFUNCTION("""COMPUTED_VALUE"""),46250)</f>
        <v>46250</v>
      </c>
      <c r="Q400" s="33">
        <f ca="1">IFERROR(__xludf.DUMMYFUNCTION("""COMPUTED_VALUE"""),46250)</f>
        <v>46250</v>
      </c>
      <c r="R400" s="30">
        <f ca="1">IFERROR(__xludf.DUMMYFUNCTION("""COMPUTED_VALUE"""),1)</f>
        <v>1</v>
      </c>
      <c r="S400" s="30" t="str">
        <f ca="1">IFERROR(__xludf.DUMMYFUNCTION("""COMPUTED_VALUE"""),"Música")</f>
        <v>Música</v>
      </c>
      <c r="T400" s="30" t="str">
        <f ca="1">IFERROR(__xludf.DUMMYFUNCTION("""COMPUTED_VALUE"""),"Música popular")</f>
        <v>Música popular</v>
      </c>
      <c r="U400" s="30" t="str">
        <f ca="1">IFERROR(__xludf.DUMMYFUNCTION("""COMPUTED_VALUE"""),"Presentación artística")</f>
        <v>Presentación artística</v>
      </c>
      <c r="V400" s="30" t="str">
        <f ca="1">IFERROR(__xludf.DUMMYFUNCTION("""COMPUTED_VALUE"""),"Ninguna")</f>
        <v>Ninguna</v>
      </c>
      <c r="W400" s="30" t="str">
        <f ca="1">IFERROR(__xludf.DUMMYFUNCTION("""COMPUTED_VALUE"""),"Presencial")</f>
        <v>Presencial</v>
      </c>
      <c r="X400" s="30" t="str">
        <f ca="1">IFERROR(__xludf.DUMMYFUNCTION("""COMPUTED_VALUE"""),"Espacio a Cargo de la Secretaría")</f>
        <v>Espacio a Cargo de la Secretaría</v>
      </c>
      <c r="Y400" s="30" t="str">
        <f ca="1">IFERROR(__xludf.DUMMYFUNCTION("""COMPUTED_VALUE"""),"Museo de Arte e Historia de Guanajuato, sala Feliciano Peña")</f>
        <v>Museo de Arte e Historia de Guanajuato, sala Feliciano Peña</v>
      </c>
      <c r="Z400" s="30"/>
      <c r="AA400" s="30"/>
      <c r="AB400" s="30" t="b">
        <f ca="1">IFERROR(__xludf.DUMMYFUNCTION("""COMPUTED_VALUE"""),FALSE)</f>
        <v>0</v>
      </c>
      <c r="AC400" s="30"/>
      <c r="AD400" s="30" t="b">
        <f ca="1">IFERROR(__xludf.DUMMYFUNCTION("""COMPUTED_VALUE"""),FALSE)</f>
        <v>0</v>
      </c>
      <c r="AE400" s="30"/>
      <c r="AF400" s="30" t="b">
        <f ca="1">IFERROR(__xludf.DUMMYFUNCTION("""COMPUTED_VALUE"""),FALSE)</f>
        <v>0</v>
      </c>
      <c r="AG400" s="30"/>
      <c r="AH400" s="30" t="str">
        <f ca="1">IFERROR(__xludf.DUMMYFUNCTION("""COMPUTED_VALUE"""),"Sin costo")</f>
        <v>Sin costo</v>
      </c>
      <c r="AI400" s="30"/>
      <c r="AJ400" s="30"/>
      <c r="AK400" s="30"/>
      <c r="AL400" s="30" t="str">
        <f ca="1">IFERROR(__xludf.DUMMYFUNCTION("""COMPUTED_VALUE"""),"ccardonav@guanajuato.gob.mx")</f>
        <v>ccardonav@guanajuato.gob.mx</v>
      </c>
      <c r="AM400" s="30" t="str">
        <f ca="1">IFERROR(__xludf.DUMMYFUNCTION("""COMPUTED_VALUE"""),"Arraigo y empoderamiento cultural de comunidades.")</f>
        <v>Arraigo y empoderamiento cultural de comunidades.</v>
      </c>
      <c r="AN400" s="30" t="str">
        <f ca="1">IFERROR(__xludf.DUMMYFUNCTION("""COMPUTED_VALUE"""),"1 Tranquilidad")</f>
        <v>1 Tranquilidad</v>
      </c>
      <c r="AO400" s="30" t="str">
        <f ca="1">IFERROR(__xludf.DUMMYFUNCTION("""COMPUTED_VALUE"""),"1.2 Fortalecer prevención del delito")</f>
        <v>1.2 Fortalecer prevención del delito</v>
      </c>
      <c r="AP400" s="30" t="str">
        <f ca="1">IFERROR(__xludf.DUMMYFUNCTION("""COMPUTED_VALUE"""),"1.2.2 Fortalecimiento del tejido social")</f>
        <v>1.2.2 Fortalecimiento del tejido social</v>
      </c>
      <c r="AQ400" s="30" t="str">
        <f ca="1">IFERROR(__xludf.DUMMYFUNCTION("""COMPUTED_VALUE"""),"1.2.3.4 Promover una cultura de paz desde las expresiones artísticas y culturales")</f>
        <v>1.2.3.4 Promover una cultura de paz desde las expresiones artísticas y culturales</v>
      </c>
      <c r="AR400" s="30" t="str">
        <f ca="1">IFERROR(__xludf.DUMMYFUNCTION("""COMPUTED_VALUE"""),"Cooperación")</f>
        <v>Cooperación</v>
      </c>
      <c r="AS400" s="30"/>
      <c r="AT400" s="30" t="str">
        <f ca="1">IFERROR(__xludf.DUMMYFUNCTION("""COMPUTED_VALUE"""),"Fortalecimiento de la participación ciudadana y la mediación cultural")</f>
        <v>Fortalecimiento de la participación ciudadana y la mediación cultural</v>
      </c>
      <c r="AU400" s="30" t="str">
        <f ca="1">IFERROR(__xludf.DUMMYFUNCTION("""COMPUTED_VALUE"""),"Impulso a la ampliación de la oferta cultural en los territorios.")</f>
        <v>Impulso a la ampliación de la oferta cultural en los territorios.</v>
      </c>
      <c r="AV40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0" s="30" t="str">
        <f ca="1">IFERROR(__xludf.DUMMYFUNCTION("""COMPUTED_VALUE"""),"Incrementar en 25% la oferta cultural realizada en los municipios.")</f>
        <v>Incrementar en 25% la oferta cultural realizada en los municipios.</v>
      </c>
      <c r="AX400" s="30" t="str">
        <f ca="1">IFERROR(__xludf.DUMMYFUNCTION("""COMPUTED_VALUE"""),"Producción artística")</f>
        <v>Producción artística</v>
      </c>
      <c r="AY400" s="30" t="str">
        <f ca="1">IFERROR(__xludf.DUMMYFUNCTION("""COMPUTED_VALUE"""),"Creación")</f>
        <v>Creación</v>
      </c>
      <c r="AZ400" s="30"/>
      <c r="BA400" s="30"/>
      <c r="BB400" s="30"/>
      <c r="BC400" s="30">
        <f ca="1">IFERROR(__xludf.DUMMYFUNCTION("""COMPUTED_VALUE"""),0)</f>
        <v>0</v>
      </c>
      <c r="BD400" s="30"/>
      <c r="BE400" s="30"/>
      <c r="BF400" s="30" t="b">
        <f ca="1">IFERROR(__xludf.DUMMYFUNCTION("""COMPUTED_VALUE"""),FALSE)</f>
        <v>0</v>
      </c>
      <c r="BG400" s="30"/>
      <c r="BH400" s="30"/>
      <c r="BI400" s="30"/>
      <c r="BJ400" s="30"/>
      <c r="BK400" s="30"/>
      <c r="BL400" s="30"/>
      <c r="BM400" s="30" t="str">
        <f ca="1">IFERROR(__xludf.DUMMYFUNCTION("""COMPUTED_VALUE"""),"No")</f>
        <v>No</v>
      </c>
      <c r="BN400" s="30"/>
      <c r="BO400" s="30" t="str">
        <f ca="1">IFERROR(__xludf.DUMMYFUNCTION("""COMPUTED_VALUE"""),"6f410dd6")</f>
        <v>6f410dd6</v>
      </c>
      <c r="BP400" s="29" t="str">
        <f ca="1">IFERROR(__xludf.DUMMYFUNCTION("""COMPUTED_VALUE"""),"Purísima del Rincón")</f>
        <v>Purísima del Rincón</v>
      </c>
      <c r="BQ400" s="30" t="str">
        <f ca="1">IFERROR(__xludf.DUMMYFUNCTION("""COMPUTED_VALUE"""),"Periurbano")</f>
        <v>Periurbano</v>
      </c>
      <c r="BR400" s="30">
        <f ca="1">IFERROR(__xludf.DUMMYFUNCTION("""COMPUTED_VALUE"""),171)</f>
        <v>171</v>
      </c>
      <c r="BS400" s="30" t="str">
        <f ca="1">IFERROR(__xludf.DUMMYFUNCTION("""COMPUTED_VALUE"""),"Purísima")</f>
        <v>Purísima</v>
      </c>
      <c r="BT400" s="30"/>
      <c r="BU400" s="30" t="str">
        <f ca="1">IFERROR(__xludf.DUMMYFUNCTION("""COMPUTED_VALUE"""),"Si")</f>
        <v>Si</v>
      </c>
      <c r="BV400" s="30" t="str">
        <f ca="1">IFERROR(__xludf.DUMMYFUNCTION("""COMPUTED_VALUE"""),"No")</f>
        <v>No</v>
      </c>
      <c r="BW400" s="30">
        <f ca="1">IFERROR(__xludf.DUMMYFUNCTION("""COMPUTED_VALUE"""),35)</f>
        <v>35</v>
      </c>
      <c r="BX400" s="30"/>
      <c r="BY400" s="30">
        <f ca="1">IFERROR(__xludf.DUMMYFUNCTION("""COMPUTED_VALUE"""),35)</f>
        <v>35</v>
      </c>
      <c r="BZ400" s="30" t="str">
        <f ca="1">IFERROR(__xludf.DUMMYFUNCTION("""COMPUTED_VALUE"""),"Purísima")</f>
        <v>Purísima</v>
      </c>
      <c r="CA400" s="30" t="str">
        <f ca="1">IFERROR(__xludf.DUMMYFUNCTION("""COMPUTED_VALUE"""),"No")</f>
        <v>No</v>
      </c>
      <c r="CB400" s="30" t="str">
        <f ca="1">IFERROR(__xludf.DUMMYFUNCTION("""COMPUTED_VALUE"""),"No")</f>
        <v>No</v>
      </c>
      <c r="CC400" s="30" t="str">
        <f ca="1">IFERROR(__xludf.DUMMYFUNCTION("""COMPUTED_VALUE"""),"7f7798e0")</f>
        <v>7f7798e0</v>
      </c>
      <c r="CD400" s="29" t="str">
        <f ca="1">IFERROR(__xludf.DUMMYFUNCTION("""COMPUTED_VALUE"""),"Adultos (30 a 59 años)")</f>
        <v>Adultos (30 a 59 años)</v>
      </c>
      <c r="CE400" s="30" t="str">
        <f ca="1">IFERROR(__xludf.DUMMYFUNCTION("""COMPUTED_VALUE"""),"Dato global")</f>
        <v>Dato global</v>
      </c>
      <c r="CF400" s="30" t="str">
        <f ca="1">IFERROR(__xludf.DUMMYFUNCTION("""COMPUTED_VALUE"""),"Ninguno (Población General)")</f>
        <v>Ninguno (Población General)</v>
      </c>
      <c r="CG400" s="30">
        <f ca="1">IFERROR(__xludf.DUMMYFUNCTION("""COMPUTED_VALUE"""),21)</f>
        <v>21</v>
      </c>
      <c r="CJ400" s="29"/>
      <c r="CM400" s="30" t="str">
        <f ca="1">IFERROR(__xludf.DUMMYFUNCTION("""COMPUTED_VALUE"""),"Purísima del Rincón")</f>
        <v>Purísima del Rincón</v>
      </c>
      <c r="CN400" s="32" t="e">
        <f ca="1"/>
        <v>#NAME?</v>
      </c>
      <c r="CO400" s="32" t="e">
        <f ca="1"/>
        <v>#NAME?</v>
      </c>
      <c r="CP400" s="32" t="e">
        <f ca="1"/>
        <v>#NAME?</v>
      </c>
      <c r="CQ400" s="32" t="e">
        <f ca="1"/>
        <v>#NAME?</v>
      </c>
      <c r="CR400" s="30" t="e">
        <f ca="1"/>
        <v>#NAME?</v>
      </c>
      <c r="CS400" s="30" t="str">
        <f ca="1">IFERROR(__xludf.DUMMYFUNCTION("""COMPUTED_VALUE"""),"Ninguno (Población General), Ninguno (Población General), Ninguno (Población General)")</f>
        <v>Ninguno (Población General), Ninguno (Población General), Ninguno (Población General)</v>
      </c>
    </row>
    <row r="401" spans="1:97" ht="13">
      <c r="A401" s="29" t="str">
        <f ca="1">IFERROR(__xludf.DUMMYFUNCTION("""COMPUTED_VALUE"""),"ACT-SCZJ24932")</f>
        <v>ACT-SCZJ24932</v>
      </c>
      <c r="B401" s="30" t="str">
        <f ca="1">IFERROR(__xludf.DUMMYFUNCTION("""COMPUTED_VALUE"""),"SC-260914-140319")</f>
        <v>SC-260914-140319</v>
      </c>
      <c r="C401" s="62">
        <f ca="1">IFERROR(__xludf.DUMMYFUNCTION("""COMPUTED_VALUE"""),46279.585636574)</f>
        <v>46279.585636573996</v>
      </c>
      <c r="D401" s="30">
        <f ca="1">IFERROR(__xludf.DUMMYFUNCTION("""COMPUTED_VALUE"""),92)</f>
        <v>92</v>
      </c>
      <c r="E401" s="30" t="str">
        <f ca="1">IFERROR(__xludf.DUMMYFUNCTION("""COMPUTED_VALUE"""),"PB3572")</f>
        <v>PB3572</v>
      </c>
      <c r="F40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1" s="30" t="str">
        <f ca="1">IFERROR(__xludf.DUMMYFUNCTION("""COMPUTED_VALUE"""),"SUBSECRETARÍA DE DESARROLLO Y PROMOCIÓN ARTÍSTICA Y CULTURAL")</f>
        <v>SUBSECRETARÍA DE DESARROLLO Y PROMOCIÓN ARTÍSTICA Y CULTURAL</v>
      </c>
      <c r="I401" s="34" t="str">
        <f ca="1">IFERROR(__xludf.DUMMYFUNCTION("""COMPUTED_VALUE"""),"DIRECCIÓN GENERAL DE MUSEOS, ARTES VISUALES Y EXPOSICIONES")</f>
        <v>DIRECCIÓN GENERAL DE MUSEOS, ARTES VISUALES Y EXPOSICIONES</v>
      </c>
      <c r="J401" s="30" t="str">
        <f ca="1">IFERROR(__xludf.DUMMYFUNCTION("""COMPUTED_VALUE"""),"Número de Actividades realizadas")</f>
        <v>Número de Actividades realizadas</v>
      </c>
      <c r="K401" s="30">
        <f ca="1">IFERROR(__xludf.DUMMYFUNCTION("""COMPUTED_VALUE"""),800)</f>
        <v>800</v>
      </c>
      <c r="L401" s="30" t="str">
        <f ca="1">IFERROR(__xludf.DUMMYFUNCTION("""COMPUTED_VALUE"""),"Cultural")</f>
        <v>Cultural</v>
      </c>
      <c r="M401" s="30" t="str">
        <f ca="1">IFERROR(__xludf.DUMMYFUNCTION("""COMPUTED_VALUE"""),"Espacio Incidental La Prudencia")</f>
        <v>Espacio Incidental La Prudencia</v>
      </c>
      <c r="N401" s="30" t="str">
        <f ca="1">IFERROR(__xludf.DUMMYFUNCTION("""COMPUTED_VALUE"""),"Se parte de esta muestra teatral donde se cuestiona la honestidad, soledad y misterio. Colectivo Golpe de Máscara. Artes escénicas UDL")</f>
        <v>Se parte de esta muestra teatral donde se cuestiona la honestidad, soledad y misterio. Colectivo Golpe de Máscara. Artes escénicas UDL</v>
      </c>
      <c r="O401" s="30" t="str">
        <f ca="1">IFERROR(__xludf.DUMMYFUNCTION("""COMPUTED_VALUE"""),"Única")</f>
        <v>Única</v>
      </c>
      <c r="P401" s="33">
        <f ca="1">IFERROR(__xludf.DUMMYFUNCTION("""COMPUTED_VALUE"""),46249)</f>
        <v>46249</v>
      </c>
      <c r="Q401" s="33">
        <f ca="1">IFERROR(__xludf.DUMMYFUNCTION("""COMPUTED_VALUE"""),46249)</f>
        <v>46249</v>
      </c>
      <c r="R401" s="30">
        <f ca="1">IFERROR(__xludf.DUMMYFUNCTION("""COMPUTED_VALUE"""),1)</f>
        <v>1</v>
      </c>
      <c r="S401" s="30" t="str">
        <f ca="1">IFERROR(__xludf.DUMMYFUNCTION("""COMPUTED_VALUE"""),"Artes escénicas")</f>
        <v>Artes escénicas</v>
      </c>
      <c r="T401" s="30" t="str">
        <f ca="1">IFERROR(__xludf.DUMMYFUNCTION("""COMPUTED_VALUE"""),"Teatro")</f>
        <v>Teatro</v>
      </c>
      <c r="U401" s="30" t="str">
        <f ca="1">IFERROR(__xludf.DUMMYFUNCTION("""COMPUTED_VALUE"""),"Presentación artística")</f>
        <v>Presentación artística</v>
      </c>
      <c r="V401" s="30" t="str">
        <f ca="1">IFERROR(__xludf.DUMMYFUNCTION("""COMPUTED_VALUE"""),"Ninguna")</f>
        <v>Ninguna</v>
      </c>
      <c r="W401" s="30" t="str">
        <f ca="1">IFERROR(__xludf.DUMMYFUNCTION("""COMPUTED_VALUE"""),"Presencial")</f>
        <v>Presencial</v>
      </c>
      <c r="X401" s="30" t="str">
        <f ca="1">IFERROR(__xludf.DUMMYFUNCTION("""COMPUTED_VALUE"""),"Espacio a Cargo de la Secretaría")</f>
        <v>Espacio a Cargo de la Secretaría</v>
      </c>
      <c r="Y401" s="30" t="str">
        <f ca="1">IFERROR(__xludf.DUMMYFUNCTION("""COMPUTED_VALUE"""),"Museo de Arte e Historia de Guanajuato, sala Feliciano Peña")</f>
        <v>Museo de Arte e Historia de Guanajuato, sala Feliciano Peña</v>
      </c>
      <c r="Z401" s="30"/>
      <c r="AA401" s="30"/>
      <c r="AB401" s="30" t="b">
        <f ca="1">IFERROR(__xludf.DUMMYFUNCTION("""COMPUTED_VALUE"""),FALSE)</f>
        <v>0</v>
      </c>
      <c r="AC401" s="30"/>
      <c r="AD401" s="30" t="b">
        <f ca="1">IFERROR(__xludf.DUMMYFUNCTION("""COMPUTED_VALUE"""),FALSE)</f>
        <v>0</v>
      </c>
      <c r="AE401" s="30"/>
      <c r="AF401" s="30" t="b">
        <f ca="1">IFERROR(__xludf.DUMMYFUNCTION("""COMPUTED_VALUE"""),FALSE)</f>
        <v>0</v>
      </c>
      <c r="AG401" s="30"/>
      <c r="AH401" s="30" t="str">
        <f ca="1">IFERROR(__xludf.DUMMYFUNCTION("""COMPUTED_VALUE"""),"Sin costo")</f>
        <v>Sin costo</v>
      </c>
      <c r="AI401" s="30"/>
      <c r="AJ401" s="30"/>
      <c r="AK401" s="30"/>
      <c r="AL401" s="30" t="str">
        <f ca="1">IFERROR(__xludf.DUMMYFUNCTION("""COMPUTED_VALUE"""),"ccardonav@guanajuato.gob.mx")</f>
        <v>ccardonav@guanajuato.gob.mx</v>
      </c>
      <c r="AM401" s="30" t="str">
        <f ca="1">IFERROR(__xludf.DUMMYFUNCTION("""COMPUTED_VALUE"""),"Arraigo y empoderamiento cultural de comunidades.")</f>
        <v>Arraigo y empoderamiento cultural de comunidades.</v>
      </c>
      <c r="AN401" s="30" t="str">
        <f ca="1">IFERROR(__xludf.DUMMYFUNCTION("""COMPUTED_VALUE"""),"1 Tranquilidad")</f>
        <v>1 Tranquilidad</v>
      </c>
      <c r="AO401" s="30" t="str">
        <f ca="1">IFERROR(__xludf.DUMMYFUNCTION("""COMPUTED_VALUE"""),"1.2 Fortalecer prevención del delito")</f>
        <v>1.2 Fortalecer prevención del delito</v>
      </c>
      <c r="AP401" s="30" t="str">
        <f ca="1">IFERROR(__xludf.DUMMYFUNCTION("""COMPUTED_VALUE"""),"1.2.2 Fortalecimiento del tejido social")</f>
        <v>1.2.2 Fortalecimiento del tejido social</v>
      </c>
      <c r="AQ401" s="30" t="str">
        <f ca="1">IFERROR(__xludf.DUMMYFUNCTION("""COMPUTED_VALUE"""),"1.2.3.4 Promover una cultura de paz desde las expresiones artísticas y culturales")</f>
        <v>1.2.3.4 Promover una cultura de paz desde las expresiones artísticas y culturales</v>
      </c>
      <c r="AR401" s="30" t="str">
        <f ca="1">IFERROR(__xludf.DUMMYFUNCTION("""COMPUTED_VALUE"""),"Cooperación")</f>
        <v>Cooperación</v>
      </c>
      <c r="AS401" s="30"/>
      <c r="AT401" s="30" t="str">
        <f ca="1">IFERROR(__xludf.DUMMYFUNCTION("""COMPUTED_VALUE"""),"Fortalecimiento de la participación ciudadana y la mediación cultural")</f>
        <v>Fortalecimiento de la participación ciudadana y la mediación cultural</v>
      </c>
      <c r="AU401" s="30" t="str">
        <f ca="1">IFERROR(__xludf.DUMMYFUNCTION("""COMPUTED_VALUE"""),"Impulso a la ampliación de la oferta cultural en los territorios.")</f>
        <v>Impulso a la ampliación de la oferta cultural en los territorios.</v>
      </c>
      <c r="AV40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1" s="30" t="str">
        <f ca="1">IFERROR(__xludf.DUMMYFUNCTION("""COMPUTED_VALUE"""),"Incrementar en 25% la oferta cultural realizada en los municipios.")</f>
        <v>Incrementar en 25% la oferta cultural realizada en los municipios.</v>
      </c>
      <c r="AX401" s="30" t="str">
        <f ca="1">IFERROR(__xludf.DUMMYFUNCTION("""COMPUTED_VALUE"""),"Producción artística")</f>
        <v>Producción artística</v>
      </c>
      <c r="AY401" s="30" t="str">
        <f ca="1">IFERROR(__xludf.DUMMYFUNCTION("""COMPUTED_VALUE"""),"Creación")</f>
        <v>Creación</v>
      </c>
      <c r="AZ401" s="30"/>
      <c r="BA401" s="30"/>
      <c r="BB401" s="30"/>
      <c r="BC401" s="30">
        <f ca="1">IFERROR(__xludf.DUMMYFUNCTION("""COMPUTED_VALUE"""),0)</f>
        <v>0</v>
      </c>
      <c r="BD401" s="30"/>
      <c r="BE401" s="30"/>
      <c r="BF401" s="30" t="b">
        <f ca="1">IFERROR(__xludf.DUMMYFUNCTION("""COMPUTED_VALUE"""),FALSE)</f>
        <v>0</v>
      </c>
      <c r="BG401" s="30"/>
      <c r="BH401" s="30"/>
      <c r="BI401" s="30"/>
      <c r="BJ401" s="30"/>
      <c r="BK401" s="30"/>
      <c r="BL401" s="30"/>
      <c r="BM401" s="30" t="str">
        <f ca="1">IFERROR(__xludf.DUMMYFUNCTION("""COMPUTED_VALUE"""),"No")</f>
        <v>No</v>
      </c>
      <c r="BN401" s="30"/>
      <c r="BO401" s="30" t="str">
        <f ca="1">IFERROR(__xludf.DUMMYFUNCTION("""COMPUTED_VALUE"""),"cf1351c8")</f>
        <v>cf1351c8</v>
      </c>
      <c r="BP401" s="29" t="str">
        <f ca="1">IFERROR(__xludf.DUMMYFUNCTION("""COMPUTED_VALUE"""),"Purísima del Rincón")</f>
        <v>Purísima del Rincón</v>
      </c>
      <c r="BQ401" s="30" t="str">
        <f ca="1">IFERROR(__xludf.DUMMYFUNCTION("""COMPUTED_VALUE"""),"Periurbano")</f>
        <v>Periurbano</v>
      </c>
      <c r="BR401" s="30">
        <f ca="1">IFERROR(__xludf.DUMMYFUNCTION("""COMPUTED_VALUE"""),171)</f>
        <v>171</v>
      </c>
      <c r="BS401" s="30" t="str">
        <f ca="1">IFERROR(__xludf.DUMMYFUNCTION("""COMPUTED_VALUE"""),"Purísima")</f>
        <v>Purísima</v>
      </c>
      <c r="BT401" s="30"/>
      <c r="BU401" s="30" t="str">
        <f ca="1">IFERROR(__xludf.DUMMYFUNCTION("""COMPUTED_VALUE"""),"Si")</f>
        <v>Si</v>
      </c>
      <c r="BV401" s="30" t="str">
        <f ca="1">IFERROR(__xludf.DUMMYFUNCTION("""COMPUTED_VALUE"""),"No")</f>
        <v>No</v>
      </c>
      <c r="BW401" s="30">
        <f ca="1">IFERROR(__xludf.DUMMYFUNCTION("""COMPUTED_VALUE"""),3)</f>
        <v>3</v>
      </c>
      <c r="BX401" s="30"/>
      <c r="BY401" s="30">
        <f ca="1">IFERROR(__xludf.DUMMYFUNCTION("""COMPUTED_VALUE"""),3)</f>
        <v>3</v>
      </c>
      <c r="BZ401" s="30" t="str">
        <f ca="1">IFERROR(__xludf.DUMMYFUNCTION("""COMPUTED_VALUE"""),"Purísima")</f>
        <v>Purísima</v>
      </c>
      <c r="CA401" s="30" t="str">
        <f ca="1">IFERROR(__xludf.DUMMYFUNCTION("""COMPUTED_VALUE"""),"No")</f>
        <v>No</v>
      </c>
      <c r="CB401" s="30" t="str">
        <f ca="1">IFERROR(__xludf.DUMMYFUNCTION("""COMPUTED_VALUE"""),"No")</f>
        <v>No</v>
      </c>
      <c r="CC401" s="30" t="str">
        <f ca="1">IFERROR(__xludf.DUMMYFUNCTION("""COMPUTED_VALUE"""),"193dddaf")</f>
        <v>193dddaf</v>
      </c>
      <c r="CD401" s="29" t="str">
        <f ca="1">IFERROR(__xludf.DUMMYFUNCTION("""COMPUTED_VALUE"""),"Jóvenes (18 a 29 años)")</f>
        <v>Jóvenes (18 a 29 años)</v>
      </c>
      <c r="CE401" s="30" t="str">
        <f ca="1">IFERROR(__xludf.DUMMYFUNCTION("""COMPUTED_VALUE"""),"Dato global")</f>
        <v>Dato global</v>
      </c>
      <c r="CF401" s="30" t="str">
        <f ca="1">IFERROR(__xludf.DUMMYFUNCTION("""COMPUTED_VALUE"""),"Ninguno (Población General)")</f>
        <v>Ninguno (Población General)</v>
      </c>
      <c r="CG401" s="30">
        <f ca="1">IFERROR(__xludf.DUMMYFUNCTION("""COMPUTED_VALUE"""),9)</f>
        <v>9</v>
      </c>
      <c r="CJ401" s="29"/>
      <c r="CM401" s="30" t="str">
        <f ca="1">IFERROR(__xludf.DUMMYFUNCTION("""COMPUTED_VALUE"""),"Purísima del Rincón")</f>
        <v>Purísima del Rincón</v>
      </c>
      <c r="CN401" s="32" t="e">
        <f ca="1"/>
        <v>#NAME?</v>
      </c>
      <c r="CO401" s="32" t="e">
        <f ca="1"/>
        <v>#NAME?</v>
      </c>
      <c r="CP401" s="32" t="e">
        <f ca="1"/>
        <v>#NAME?</v>
      </c>
      <c r="CQ401" s="32" t="e">
        <f ca="1"/>
        <v>#NAME?</v>
      </c>
      <c r="CR401" s="30" t="e">
        <f ca="1"/>
        <v>#NAME?</v>
      </c>
      <c r="CS401" s="30" t="str">
        <f ca="1">IFERROR(__xludf.DUMMYFUNCTION("""COMPUTED_VALUE"""),"Ninguno (Población General), Ninguno (Población General), Ninguno (Población General)")</f>
        <v>Ninguno (Población General), Ninguno (Población General), Ninguno (Población General)</v>
      </c>
    </row>
    <row r="402" spans="1:97" ht="13">
      <c r="A402" s="29" t="str">
        <f ca="1">IFERROR(__xludf.DUMMYFUNCTION("""COMPUTED_VALUE"""),"ACT-SCYH28131")</f>
        <v>ACT-SCYH28131</v>
      </c>
      <c r="B402" s="30" t="str">
        <f ca="1">IFERROR(__xludf.DUMMYFUNCTION("""COMPUTED_VALUE"""),"SC-260914-153454")</f>
        <v>SC-260914-153454</v>
      </c>
      <c r="C402" s="62">
        <f ca="1">IFERROR(__xludf.DUMMYFUNCTION("""COMPUTED_VALUE"""),46279.6492361111)</f>
        <v>46279.649236111101</v>
      </c>
      <c r="D402" s="30">
        <f ca="1">IFERROR(__xludf.DUMMYFUNCTION("""COMPUTED_VALUE"""),92)</f>
        <v>92</v>
      </c>
      <c r="E402" s="30" t="str">
        <f ca="1">IFERROR(__xludf.DUMMYFUNCTION("""COMPUTED_VALUE"""),"PB3572")</f>
        <v>PB3572</v>
      </c>
      <c r="F40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2" s="30" t="str">
        <f ca="1">IFERROR(__xludf.DUMMYFUNCTION("""COMPUTED_VALUE"""),"SUBSECRETARÍA DE DESARROLLO Y PROMOCIÓN ARTÍSTICA Y CULTURAL")</f>
        <v>SUBSECRETARÍA DE DESARROLLO Y PROMOCIÓN ARTÍSTICA Y CULTURAL</v>
      </c>
      <c r="I402" s="34" t="str">
        <f ca="1">IFERROR(__xludf.DUMMYFUNCTION("""COMPUTED_VALUE"""),"DIRECCIÓN GENERAL DE MUSEOS, ARTES VISUALES Y EXPOSICIONES")</f>
        <v>DIRECCIÓN GENERAL DE MUSEOS, ARTES VISUALES Y EXPOSICIONES</v>
      </c>
      <c r="J402" s="30" t="str">
        <f ca="1">IFERROR(__xludf.DUMMYFUNCTION("""COMPUTED_VALUE"""),"Número de Actividades realizadas")</f>
        <v>Número de Actividades realizadas</v>
      </c>
      <c r="K402" s="30">
        <f ca="1">IFERROR(__xludf.DUMMYFUNCTION("""COMPUTED_VALUE"""),800)</f>
        <v>800</v>
      </c>
      <c r="L402" s="30" t="str">
        <f ca="1">IFERROR(__xludf.DUMMYFUNCTION("""COMPUTED_VALUE"""),"Cultural")</f>
        <v>Cultural</v>
      </c>
      <c r="M402" s="30" t="str">
        <f ca="1">IFERROR(__xludf.DUMMYFUNCTION("""COMPUTED_VALUE"""),"Apertura de la exposición efímera Luz Abisal")</f>
        <v>Apertura de la exposición efímera Luz Abisal</v>
      </c>
      <c r="N402" s="30" t="str">
        <f ca="1">IFERROR(__xludf.DUMMYFUNCTION("""COMPUTED_VALUE"""),"Laboratorio Escénico Danza Teatro Ritual, dirección Eugenia Vargas. Fotógrafo: César Alberto Guzmán")</f>
        <v>Laboratorio Escénico Danza Teatro Ritual, dirección Eugenia Vargas. Fotógrafo: César Alberto Guzmán</v>
      </c>
      <c r="O402" s="30" t="str">
        <f ca="1">IFERROR(__xludf.DUMMYFUNCTION("""COMPUTED_VALUE"""),"Única")</f>
        <v>Única</v>
      </c>
      <c r="P402" s="33">
        <f ca="1">IFERROR(__xludf.DUMMYFUNCTION("""COMPUTED_VALUE"""),46242)</f>
        <v>46242</v>
      </c>
      <c r="Q402" s="33">
        <f ca="1">IFERROR(__xludf.DUMMYFUNCTION("""COMPUTED_VALUE"""),46242)</f>
        <v>46242</v>
      </c>
      <c r="R402" s="30">
        <f ca="1">IFERROR(__xludf.DUMMYFUNCTION("""COMPUTED_VALUE"""),1)</f>
        <v>1</v>
      </c>
      <c r="S402" s="30" t="str">
        <f ca="1">IFERROR(__xludf.DUMMYFUNCTION("""COMPUTED_VALUE"""),"Artes visuales")</f>
        <v>Artes visuales</v>
      </c>
      <c r="T402" s="30" t="str">
        <f ca="1">IFERROR(__xludf.DUMMYFUNCTION("""COMPUTED_VALUE"""),"Fotografía")</f>
        <v>Fotografía</v>
      </c>
      <c r="U402" s="30" t="str">
        <f ca="1">IFERROR(__xludf.DUMMYFUNCTION("""COMPUTED_VALUE"""),"Exposición")</f>
        <v>Exposición</v>
      </c>
      <c r="V402" s="30" t="str">
        <f ca="1">IFERROR(__xludf.DUMMYFUNCTION("""COMPUTED_VALUE"""),"Ninguna")</f>
        <v>Ninguna</v>
      </c>
      <c r="W402" s="30" t="str">
        <f ca="1">IFERROR(__xludf.DUMMYFUNCTION("""COMPUTED_VALUE"""),"Presencial")</f>
        <v>Presencial</v>
      </c>
      <c r="X402" s="30" t="str">
        <f ca="1">IFERROR(__xludf.DUMMYFUNCTION("""COMPUTED_VALUE"""),"Espacio a Cargo de la Secretaría")</f>
        <v>Espacio a Cargo de la Secretaría</v>
      </c>
      <c r="Y402" s="30" t="str">
        <f ca="1">IFERROR(__xludf.DUMMYFUNCTION("""COMPUTED_VALUE"""),"Museo de Arte e Historia de Guanajuato, sala Feliciano Peña")</f>
        <v>Museo de Arte e Historia de Guanajuato, sala Feliciano Peña</v>
      </c>
      <c r="Z402" s="30"/>
      <c r="AA402" s="30"/>
      <c r="AB402" s="30" t="b">
        <f ca="1">IFERROR(__xludf.DUMMYFUNCTION("""COMPUTED_VALUE"""),FALSE)</f>
        <v>0</v>
      </c>
      <c r="AC402" s="30"/>
      <c r="AD402" s="30" t="b">
        <f ca="1">IFERROR(__xludf.DUMMYFUNCTION("""COMPUTED_VALUE"""),FALSE)</f>
        <v>0</v>
      </c>
      <c r="AE402" s="30"/>
      <c r="AF402" s="30" t="b">
        <f ca="1">IFERROR(__xludf.DUMMYFUNCTION("""COMPUTED_VALUE"""),FALSE)</f>
        <v>0</v>
      </c>
      <c r="AG402" s="30"/>
      <c r="AH402" s="30" t="str">
        <f ca="1">IFERROR(__xludf.DUMMYFUNCTION("""COMPUTED_VALUE"""),"Sin costo")</f>
        <v>Sin costo</v>
      </c>
      <c r="AI402" s="30"/>
      <c r="AJ402" s="30"/>
      <c r="AK402" s="30"/>
      <c r="AL402" s="30" t="str">
        <f ca="1">IFERROR(__xludf.DUMMYFUNCTION("""COMPUTED_VALUE"""),"ccardonav@guanajuato.gob.mx")</f>
        <v>ccardonav@guanajuato.gob.mx</v>
      </c>
      <c r="AM402" s="30" t="str">
        <f ca="1">IFERROR(__xludf.DUMMYFUNCTION("""COMPUTED_VALUE"""),"Arraigo y empoderamiento cultural de comunidades.")</f>
        <v>Arraigo y empoderamiento cultural de comunidades.</v>
      </c>
      <c r="AN402" s="30" t="str">
        <f ca="1">IFERROR(__xludf.DUMMYFUNCTION("""COMPUTED_VALUE"""),"1 Tranquilidad")</f>
        <v>1 Tranquilidad</v>
      </c>
      <c r="AO402" s="30" t="str">
        <f ca="1">IFERROR(__xludf.DUMMYFUNCTION("""COMPUTED_VALUE"""),"1.2 Fortalecer prevención del delito")</f>
        <v>1.2 Fortalecer prevención del delito</v>
      </c>
      <c r="AP402" s="30" t="str">
        <f ca="1">IFERROR(__xludf.DUMMYFUNCTION("""COMPUTED_VALUE"""),"1.2.2 Fortalecimiento del tejido social")</f>
        <v>1.2.2 Fortalecimiento del tejido social</v>
      </c>
      <c r="AQ402" s="30" t="str">
        <f ca="1">IFERROR(__xludf.DUMMYFUNCTION("""COMPUTED_VALUE"""),"1.2.3.4 Promover una cultura de paz desde las expresiones artísticas y culturales")</f>
        <v>1.2.3.4 Promover una cultura de paz desde las expresiones artísticas y culturales</v>
      </c>
      <c r="AR402" s="30" t="str">
        <f ca="1">IFERROR(__xludf.DUMMYFUNCTION("""COMPUTED_VALUE"""),"Cooperación")</f>
        <v>Cooperación</v>
      </c>
      <c r="AS402" s="30"/>
      <c r="AT402" s="30" t="str">
        <f ca="1">IFERROR(__xludf.DUMMYFUNCTION("""COMPUTED_VALUE"""),"Fortalecimiento de la participación ciudadana y la mediación cultural")</f>
        <v>Fortalecimiento de la participación ciudadana y la mediación cultural</v>
      </c>
      <c r="AU402" s="30" t="str">
        <f ca="1">IFERROR(__xludf.DUMMYFUNCTION("""COMPUTED_VALUE"""),"Impulso a la ampliación de la oferta cultural en los territorios.")</f>
        <v>Impulso a la ampliación de la oferta cultural en los territorios.</v>
      </c>
      <c r="AV40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2" s="30" t="str">
        <f ca="1">IFERROR(__xludf.DUMMYFUNCTION("""COMPUTED_VALUE"""),"Incrementar en 25% la oferta cultural realizada en los municipios.")</f>
        <v>Incrementar en 25% la oferta cultural realizada en los municipios.</v>
      </c>
      <c r="AX402" s="30" t="str">
        <f ca="1">IFERROR(__xludf.DUMMYFUNCTION("""COMPUTED_VALUE"""),"Producción artística")</f>
        <v>Producción artística</v>
      </c>
      <c r="AY402" s="30" t="str">
        <f ca="1">IFERROR(__xludf.DUMMYFUNCTION("""COMPUTED_VALUE"""),"Creación")</f>
        <v>Creación</v>
      </c>
      <c r="AZ402" s="30"/>
      <c r="BA402" s="30"/>
      <c r="BB402" s="30"/>
      <c r="BC402" s="30">
        <f ca="1">IFERROR(__xludf.DUMMYFUNCTION("""COMPUTED_VALUE"""),0)</f>
        <v>0</v>
      </c>
      <c r="BD402" s="30"/>
      <c r="BE402" s="30"/>
      <c r="BF402" s="30" t="b">
        <f ca="1">IFERROR(__xludf.DUMMYFUNCTION("""COMPUTED_VALUE"""),FALSE)</f>
        <v>0</v>
      </c>
      <c r="BG402" s="30"/>
      <c r="BH402" s="30"/>
      <c r="BI402" s="30"/>
      <c r="BJ402" s="30"/>
      <c r="BK402" s="30"/>
      <c r="BL402" s="30"/>
      <c r="BM402" s="30" t="str">
        <f ca="1">IFERROR(__xludf.DUMMYFUNCTION("""COMPUTED_VALUE"""),"No")</f>
        <v>No</v>
      </c>
      <c r="BN402" s="30"/>
      <c r="BO402" s="30" t="str">
        <f ca="1">IFERROR(__xludf.DUMMYFUNCTION("""COMPUTED_VALUE"""),"8d9ba17a")</f>
        <v>8d9ba17a</v>
      </c>
      <c r="BP402" s="29" t="str">
        <f ca="1">IFERROR(__xludf.DUMMYFUNCTION("""COMPUTED_VALUE"""),"Purísima del Rincón")</f>
        <v>Purísima del Rincón</v>
      </c>
      <c r="BQ402" s="30" t="str">
        <f ca="1">IFERROR(__xludf.DUMMYFUNCTION("""COMPUTED_VALUE"""),"Periurbano")</f>
        <v>Periurbano</v>
      </c>
      <c r="BR402" s="30"/>
      <c r="BS402" s="30"/>
      <c r="BT402" s="30"/>
      <c r="BU402" s="30" t="str">
        <f ca="1">IFERROR(__xludf.DUMMYFUNCTION("""COMPUTED_VALUE"""),"No")</f>
        <v>No</v>
      </c>
      <c r="BV402" s="30" t="str">
        <f ca="1">IFERROR(__xludf.DUMMYFUNCTION("""COMPUTED_VALUE"""),"No")</f>
        <v>No</v>
      </c>
      <c r="BW402" s="30">
        <f ca="1">IFERROR(__xludf.DUMMYFUNCTION("""COMPUTED_VALUE"""),153)</f>
        <v>153</v>
      </c>
      <c r="BX402" s="30"/>
      <c r="BY402" s="30">
        <f ca="1">IFERROR(__xludf.DUMMYFUNCTION("""COMPUTED_VALUE"""),153)</f>
        <v>153</v>
      </c>
      <c r="BZ402" s="30"/>
      <c r="CA402" s="30" t="str">
        <f ca="1">IFERROR(__xludf.DUMMYFUNCTION("""COMPUTED_VALUE"""),"No")</f>
        <v>No</v>
      </c>
      <c r="CB402" s="30" t="str">
        <f ca="1">IFERROR(__xludf.DUMMYFUNCTION("""COMPUTED_VALUE"""),"No")</f>
        <v>No</v>
      </c>
      <c r="CC402" s="30" t="str">
        <f ca="1">IFERROR(__xludf.DUMMYFUNCTION("""COMPUTED_VALUE"""),"23da24a8")</f>
        <v>23da24a8</v>
      </c>
      <c r="CD402" s="29" t="str">
        <f ca="1">IFERROR(__xludf.DUMMYFUNCTION("""COMPUTED_VALUE"""),"Adultos (30 a 59 años)")</f>
        <v>Adultos (30 a 59 años)</v>
      </c>
      <c r="CE402" s="30" t="str">
        <f ca="1">IFERROR(__xludf.DUMMYFUNCTION("""COMPUTED_VALUE"""),"Dato global")</f>
        <v>Dato global</v>
      </c>
      <c r="CF402" s="30" t="str">
        <f ca="1">IFERROR(__xludf.DUMMYFUNCTION("""COMPUTED_VALUE"""),"Ninguno (Población General)")</f>
        <v>Ninguno (Población General)</v>
      </c>
      <c r="CG402" s="30">
        <f ca="1">IFERROR(__xludf.DUMMYFUNCTION("""COMPUTED_VALUE"""),9)</f>
        <v>9</v>
      </c>
      <c r="CJ402" s="29"/>
      <c r="CM402" s="30" t="str">
        <f ca="1">IFERROR(__xludf.DUMMYFUNCTION("""COMPUTED_VALUE"""),"Purísima del Rincón")</f>
        <v>Purísima del Rincón</v>
      </c>
      <c r="CN402" s="32" t="e">
        <f ca="1"/>
        <v>#NAME?</v>
      </c>
      <c r="CO402" s="32" t="e">
        <f ca="1"/>
        <v>#NAME?</v>
      </c>
      <c r="CP402" s="32" t="e">
        <f ca="1"/>
        <v>#NAME?</v>
      </c>
      <c r="CQ402" s="32" t="e">
        <f ca="1"/>
        <v>#NAME?</v>
      </c>
      <c r="CR402" s="30" t="e">
        <f ca="1"/>
        <v>#NAME?</v>
      </c>
      <c r="CS402" s="30" t="str">
        <f ca="1">IFERROR(__xludf.DUMMYFUNCTION("""COMPUTED_VALUE"""),"Ninguno (Población General)")</f>
        <v>Ninguno (Población General)</v>
      </c>
    </row>
    <row r="403" spans="1:97" ht="13">
      <c r="A403" s="29" t="str">
        <f ca="1">IFERROR(__xludf.DUMMYFUNCTION("""COMPUTED_VALUE"""),"ACT-SCNC66983")</f>
        <v>ACT-SCNC66983</v>
      </c>
      <c r="B403" s="30" t="str">
        <f ca="1">IFERROR(__xludf.DUMMYFUNCTION("""COMPUTED_VALUE"""),"SC-260915-155021")</f>
        <v>SC-260915-155021</v>
      </c>
      <c r="C403" s="62">
        <f ca="1">IFERROR(__xludf.DUMMYFUNCTION("""COMPUTED_VALUE"""),46280.6599652777)</f>
        <v>46280.6599652777</v>
      </c>
      <c r="D403" s="30">
        <f ca="1">IFERROR(__xludf.DUMMYFUNCTION("""COMPUTED_VALUE"""),92)</f>
        <v>92</v>
      </c>
      <c r="E403" s="30" t="str">
        <f ca="1">IFERROR(__xludf.DUMMYFUNCTION("""COMPUTED_VALUE"""),"PB3572")</f>
        <v>PB3572</v>
      </c>
      <c r="F40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3" s="30" t="str">
        <f ca="1">IFERROR(__xludf.DUMMYFUNCTION("""COMPUTED_VALUE"""),"SUBSECRETARÍA DE DESARROLLO Y PROMOCIÓN ARTÍSTICA Y CULTURAL")</f>
        <v>SUBSECRETARÍA DE DESARROLLO Y PROMOCIÓN ARTÍSTICA Y CULTURAL</v>
      </c>
      <c r="I403" s="34" t="str">
        <f ca="1">IFERROR(__xludf.DUMMYFUNCTION("""COMPUTED_VALUE"""),"DIRECCIÓN GENERAL DE MUSEOS, ARTES VISUALES Y EXPOSICIONES")</f>
        <v>DIRECCIÓN GENERAL DE MUSEOS, ARTES VISUALES Y EXPOSICIONES</v>
      </c>
      <c r="J403" s="30" t="str">
        <f ca="1">IFERROR(__xludf.DUMMYFUNCTION("""COMPUTED_VALUE"""),"Número de Actividades realizadas")</f>
        <v>Número de Actividades realizadas</v>
      </c>
      <c r="K403" s="30">
        <f ca="1">IFERROR(__xludf.DUMMYFUNCTION("""COMPUTED_VALUE"""),800)</f>
        <v>800</v>
      </c>
      <c r="L403" s="30" t="str">
        <f ca="1">IFERROR(__xludf.DUMMYFUNCTION("""COMPUTED_VALUE"""),"Cultural")</f>
        <v>Cultural</v>
      </c>
      <c r="M403" s="30" t="str">
        <f ca="1">IFERROR(__xludf.DUMMYFUNCTION("""COMPUTED_VALUE"""),"Conferencia ""Retablo dorado de Purísima de Bustos""")</f>
        <v>Conferencia "Retablo dorado de Purísima de Bustos"</v>
      </c>
      <c r="N403" s="30" t="str">
        <f ca="1">IFERROR(__xludf.DUMMYFUNCTION("""COMPUTED_VALUE"""),"Conferencia impartida por la Mtra. Carolusa González acerca de la composición y restauración del retablo dorado de la Parroquia de Purísima del Rincón")</f>
        <v>Conferencia impartida por la Mtra. Carolusa González acerca de la composición y restauración del retablo dorado de la Parroquia de Purísima del Rincón</v>
      </c>
      <c r="O403" s="30" t="str">
        <f ca="1">IFERROR(__xludf.DUMMYFUNCTION("""COMPUTED_VALUE"""),"Única")</f>
        <v>Única</v>
      </c>
      <c r="P403" s="33">
        <f ca="1">IFERROR(__xludf.DUMMYFUNCTION("""COMPUTED_VALUE"""),46240)</f>
        <v>46240</v>
      </c>
      <c r="Q403" s="33">
        <f ca="1">IFERROR(__xludf.DUMMYFUNCTION("""COMPUTED_VALUE"""),46240)</f>
        <v>46240</v>
      </c>
      <c r="R403" s="30">
        <f ca="1">IFERROR(__xludf.DUMMYFUNCTION("""COMPUTED_VALUE"""),1)</f>
        <v>1</v>
      </c>
      <c r="S403" s="30" t="str">
        <f ca="1">IFERROR(__xludf.DUMMYFUNCTION("""COMPUTED_VALUE"""),"Cultura comunitaria")</f>
        <v>Cultura comunitaria</v>
      </c>
      <c r="T403" s="30" t="str">
        <f ca="1">IFERROR(__xludf.DUMMYFUNCTION("""COMPUTED_VALUE"""),"Formación comunitaria")</f>
        <v>Formación comunitaria</v>
      </c>
      <c r="U403" s="30" t="str">
        <f ca="1">IFERROR(__xludf.DUMMYFUNCTION("""COMPUTED_VALUE"""),"Conferencia")</f>
        <v>Conferencia</v>
      </c>
      <c r="V403" s="30" t="str">
        <f ca="1">IFERROR(__xludf.DUMMYFUNCTION("""COMPUTED_VALUE"""),"Ninguna")</f>
        <v>Ninguna</v>
      </c>
      <c r="W403" s="30" t="str">
        <f ca="1">IFERROR(__xludf.DUMMYFUNCTION("""COMPUTED_VALUE"""),"Presencial")</f>
        <v>Presencial</v>
      </c>
      <c r="X403" s="30" t="str">
        <f ca="1">IFERROR(__xludf.DUMMYFUNCTION("""COMPUTED_VALUE"""),"Espacio a Cargo de la Secretaría")</f>
        <v>Espacio a Cargo de la Secretaría</v>
      </c>
      <c r="Y403" s="30" t="str">
        <f ca="1">IFERROR(__xludf.DUMMYFUNCTION("""COMPUTED_VALUE"""),"Museo Hermenegildo Bustos, Sala temporal 8 y 9")</f>
        <v>Museo Hermenegildo Bustos, Sala temporal 8 y 9</v>
      </c>
      <c r="Z403" s="30"/>
      <c r="AA403" s="30"/>
      <c r="AB403" s="30" t="b">
        <f ca="1">IFERROR(__xludf.DUMMYFUNCTION("""COMPUTED_VALUE"""),FALSE)</f>
        <v>0</v>
      </c>
      <c r="AC403" s="30"/>
      <c r="AD403" s="30" t="b">
        <f ca="1">IFERROR(__xludf.DUMMYFUNCTION("""COMPUTED_VALUE"""),FALSE)</f>
        <v>0</v>
      </c>
      <c r="AE403" s="30"/>
      <c r="AF403" s="30" t="b">
        <f ca="1">IFERROR(__xludf.DUMMYFUNCTION("""COMPUTED_VALUE"""),FALSE)</f>
        <v>0</v>
      </c>
      <c r="AG403" s="30"/>
      <c r="AH403" s="30" t="str">
        <f ca="1">IFERROR(__xludf.DUMMYFUNCTION("""COMPUTED_VALUE"""),"Sin costo")</f>
        <v>Sin costo</v>
      </c>
      <c r="AI403" s="30"/>
      <c r="AJ403" s="30"/>
      <c r="AK403" s="30"/>
      <c r="AL403" s="30" t="str">
        <f ca="1">IFERROR(__xludf.DUMMYFUNCTION("""COMPUTED_VALUE"""),"ccardonav@guanajuato.gob.mx")</f>
        <v>ccardonav@guanajuato.gob.mx</v>
      </c>
      <c r="AM403" s="30" t="str">
        <f ca="1">IFERROR(__xludf.DUMMYFUNCTION("""COMPUTED_VALUE"""),"Arraigo y empoderamiento cultural de comunidades.")</f>
        <v>Arraigo y empoderamiento cultural de comunidades.</v>
      </c>
      <c r="AN403" s="30" t="str">
        <f ca="1">IFERROR(__xludf.DUMMYFUNCTION("""COMPUTED_VALUE"""),"2 Igualdad")</f>
        <v>2 Igualdad</v>
      </c>
      <c r="AO403" s="30" t="str">
        <f ca="1">IFERROR(__xludf.DUMMYFUNCTION("""COMPUTED_VALUE"""),"2.2 Fortalecer cohesión social")</f>
        <v>2.2 Fortalecer cohesión social</v>
      </c>
      <c r="AP403" s="30" t="str">
        <f ca="1">IFERROR(__xludf.DUMMYFUNCTION("""COMPUTED_VALUE"""),"2.2.1 Participación social comunitaria")</f>
        <v>2.2.1 Participación social comunitaria</v>
      </c>
      <c r="AQ403" s="30" t="str">
        <f ca="1">IFERROR(__xludf.DUMMYFUNCTION("""COMPUTED_VALUE"""),"2.2.1 Participación social comunitaria")</f>
        <v>2.2.1 Participación social comunitaria</v>
      </c>
      <c r="AR403" s="30" t="str">
        <f ca="1">IFERROR(__xludf.DUMMYFUNCTION("""COMPUTED_VALUE"""),"Cooperación")</f>
        <v>Cooperación</v>
      </c>
      <c r="AS403" s="30"/>
      <c r="AT403" s="30" t="str">
        <f ca="1">IFERROR(__xludf.DUMMYFUNCTION("""COMPUTED_VALUE"""),"Fortalecimiento de la participación ciudadana y la mediación cultural")</f>
        <v>Fortalecimiento de la participación ciudadana y la mediación cultural</v>
      </c>
      <c r="AU403" s="30" t="str">
        <f ca="1">IFERROR(__xludf.DUMMYFUNCTION("""COMPUTED_VALUE"""),"Impulso a la ampliación de la oferta cultural en los territorios.")</f>
        <v>Impulso a la ampliación de la oferta cultural en los territorios.</v>
      </c>
      <c r="AV40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3" s="30" t="str">
        <f ca="1">IFERROR(__xludf.DUMMYFUNCTION("""COMPUTED_VALUE"""),"Incrementar en 25% la oferta cultural realizada en los municipios.")</f>
        <v>Incrementar en 25% la oferta cultural realizada en los municipios.</v>
      </c>
      <c r="AX403" s="30" t="str">
        <f ca="1">IFERROR(__xludf.DUMMYFUNCTION("""COMPUTED_VALUE"""),"Conferencia")</f>
        <v>Conferencia</v>
      </c>
      <c r="AY403" s="30" t="str">
        <f ca="1">IFERROR(__xludf.DUMMYFUNCTION("""COMPUTED_VALUE"""),"Mediación")</f>
        <v>Mediación</v>
      </c>
      <c r="AZ403" s="30"/>
      <c r="BA403" s="30"/>
      <c r="BB403" s="30"/>
      <c r="BC403" s="30">
        <f ca="1">IFERROR(__xludf.DUMMYFUNCTION("""COMPUTED_VALUE"""),0)</f>
        <v>0</v>
      </c>
      <c r="BD403" s="30"/>
      <c r="BE403" s="30"/>
      <c r="BF403" s="30" t="b">
        <f ca="1">IFERROR(__xludf.DUMMYFUNCTION("""COMPUTED_VALUE"""),FALSE)</f>
        <v>0</v>
      </c>
      <c r="BG403" s="30"/>
      <c r="BH403" s="30"/>
      <c r="BI403" s="30"/>
      <c r="BJ403" s="30"/>
      <c r="BK403" s="30"/>
      <c r="BL403" s="30"/>
      <c r="BM403" s="30" t="str">
        <f ca="1">IFERROR(__xludf.DUMMYFUNCTION("""COMPUTED_VALUE"""),"No")</f>
        <v>No</v>
      </c>
      <c r="BN403" s="30"/>
      <c r="BO403" s="30" t="str">
        <f ca="1">IFERROR(__xludf.DUMMYFUNCTION("""COMPUTED_VALUE"""),"cf5d9a8c")</f>
        <v>cf5d9a8c</v>
      </c>
      <c r="BP403" s="29" t="str">
        <f ca="1">IFERROR(__xludf.DUMMYFUNCTION("""COMPUTED_VALUE"""),"Purísima del Rincón")</f>
        <v>Purísima del Rincón</v>
      </c>
      <c r="BQ403" s="30" t="str">
        <f ca="1">IFERROR(__xludf.DUMMYFUNCTION("""COMPUTED_VALUE"""),"Periurbano")</f>
        <v>Periurbano</v>
      </c>
      <c r="BR403" s="30"/>
      <c r="BS403" s="30"/>
      <c r="BT403" s="30"/>
      <c r="BU403" s="30" t="str">
        <f ca="1">IFERROR(__xludf.DUMMYFUNCTION("""COMPUTED_VALUE"""),"No")</f>
        <v>No</v>
      </c>
      <c r="BV403" s="30" t="str">
        <f ca="1">IFERROR(__xludf.DUMMYFUNCTION("""COMPUTED_VALUE"""),"No")</f>
        <v>No</v>
      </c>
      <c r="BW403" s="30">
        <f ca="1">IFERROR(__xludf.DUMMYFUNCTION("""COMPUTED_VALUE"""),83)</f>
        <v>83</v>
      </c>
      <c r="BX403" s="30"/>
      <c r="BY403" s="30">
        <f ca="1">IFERROR(__xludf.DUMMYFUNCTION("""COMPUTED_VALUE"""),83)</f>
        <v>83</v>
      </c>
      <c r="BZ403" s="30"/>
      <c r="CA403" s="30" t="str">
        <f ca="1">IFERROR(__xludf.DUMMYFUNCTION("""COMPUTED_VALUE"""),"No")</f>
        <v>No</v>
      </c>
      <c r="CB403" s="30" t="str">
        <f ca="1">IFERROR(__xludf.DUMMYFUNCTION("""COMPUTED_VALUE"""),"No")</f>
        <v>No</v>
      </c>
      <c r="CC403" s="30" t="str">
        <f ca="1">IFERROR(__xludf.DUMMYFUNCTION("""COMPUTED_VALUE"""),"b88ed0ac")</f>
        <v>b88ed0ac</v>
      </c>
      <c r="CD403" s="29" t="str">
        <f ca="1">IFERROR(__xludf.DUMMYFUNCTION("""COMPUTED_VALUE"""),"Jóvenes (18 a 29 años)")</f>
        <v>Jóvenes (18 a 29 años)</v>
      </c>
      <c r="CE403" s="30" t="str">
        <f ca="1">IFERROR(__xludf.DUMMYFUNCTION("""COMPUTED_VALUE"""),"Dato global")</f>
        <v>Dato global</v>
      </c>
      <c r="CF403" s="30" t="str">
        <f ca="1">IFERROR(__xludf.DUMMYFUNCTION("""COMPUTED_VALUE"""),"Ninguno (Población General)")</f>
        <v>Ninguno (Población General)</v>
      </c>
      <c r="CG403" s="30">
        <f ca="1">IFERROR(__xludf.DUMMYFUNCTION("""COMPUTED_VALUE"""),26)</f>
        <v>26</v>
      </c>
      <c r="CJ403" s="29"/>
      <c r="CM403" s="30" t="str">
        <f ca="1">IFERROR(__xludf.DUMMYFUNCTION("""COMPUTED_VALUE"""),"Purísima del Rincón")</f>
        <v>Purísima del Rincón</v>
      </c>
      <c r="CN403" s="32" t="e">
        <f ca="1"/>
        <v>#NAME?</v>
      </c>
      <c r="CO403" s="32" t="e">
        <f ca="1"/>
        <v>#NAME?</v>
      </c>
      <c r="CP403" s="32" t="e">
        <f ca="1"/>
        <v>#NAME?</v>
      </c>
      <c r="CQ403" s="32" t="e">
        <f ca="1"/>
        <v>#NAME?</v>
      </c>
      <c r="CR403" s="30" t="e">
        <f ca="1"/>
        <v>#NAME?</v>
      </c>
      <c r="CS403"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04" spans="1:97" ht="13">
      <c r="A404" s="29" t="str">
        <f ca="1">IFERROR(__xludf.DUMMYFUNCTION("""COMPUTED_VALUE"""),"ACT-SCBV35426")</f>
        <v>ACT-SCBV35426</v>
      </c>
      <c r="B404" s="30" t="str">
        <f ca="1">IFERROR(__xludf.DUMMYFUNCTION("""COMPUTED_VALUE"""),"SC-260915-155640")</f>
        <v>SC-260915-155640</v>
      </c>
      <c r="C404" s="62">
        <f ca="1">IFERROR(__xludf.DUMMYFUNCTION("""COMPUTED_VALUE"""),46280.6643518518)</f>
        <v>46280.664351851803</v>
      </c>
      <c r="D404" s="30">
        <f ca="1">IFERROR(__xludf.DUMMYFUNCTION("""COMPUTED_VALUE"""),92)</f>
        <v>92</v>
      </c>
      <c r="E404" s="30" t="str">
        <f ca="1">IFERROR(__xludf.DUMMYFUNCTION("""COMPUTED_VALUE"""),"PB3572")</f>
        <v>PB3572</v>
      </c>
      <c r="F40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4" s="30" t="str">
        <f ca="1">IFERROR(__xludf.DUMMYFUNCTION("""COMPUTED_VALUE"""),"SUBSECRETARÍA DE DESARROLLO Y PROMOCIÓN ARTÍSTICA Y CULTURAL")</f>
        <v>SUBSECRETARÍA DE DESARROLLO Y PROMOCIÓN ARTÍSTICA Y CULTURAL</v>
      </c>
      <c r="I404" s="34" t="str">
        <f ca="1">IFERROR(__xludf.DUMMYFUNCTION("""COMPUTED_VALUE"""),"DIRECCIÓN GENERAL DE MUSEOS, ARTES VISUALES Y EXPOSICIONES")</f>
        <v>DIRECCIÓN GENERAL DE MUSEOS, ARTES VISUALES Y EXPOSICIONES</v>
      </c>
      <c r="J404" s="30" t="str">
        <f ca="1">IFERROR(__xludf.DUMMYFUNCTION("""COMPUTED_VALUE"""),"Número de Actividades realizadas")</f>
        <v>Número de Actividades realizadas</v>
      </c>
      <c r="K404" s="30">
        <f ca="1">IFERROR(__xludf.DUMMYFUNCTION("""COMPUTED_VALUE"""),800)</f>
        <v>800</v>
      </c>
      <c r="L404" s="30" t="str">
        <f ca="1">IFERROR(__xludf.DUMMYFUNCTION("""COMPUTED_VALUE"""),"Cultural")</f>
        <v>Cultural</v>
      </c>
      <c r="M404" s="30" t="str">
        <f ca="1">IFERROR(__xludf.DUMMYFUNCTION("""COMPUTED_VALUE"""),"Conferencia ""Pincel a pincel, Juan Nepomuceno Herrera y Hermenegildo Bustos""")</f>
        <v>Conferencia "Pincel a pincel, Juan Nepomuceno Herrera y Hermenegildo Bustos"</v>
      </c>
      <c r="N404" s="30" t="str">
        <f ca="1">IFERROR(__xludf.DUMMYFUNCTION("""COMPUTED_VALUE"""),"Conferencia impartida por el Ing. Jesús Verdín Saldaña acerca de Hermenegildo Bustos y su obra.")</f>
        <v>Conferencia impartida por el Ing. Jesús Verdín Saldaña acerca de Hermenegildo Bustos y su obra.</v>
      </c>
      <c r="O404" s="30" t="str">
        <f ca="1">IFERROR(__xludf.DUMMYFUNCTION("""COMPUTED_VALUE"""),"Única")</f>
        <v>Única</v>
      </c>
      <c r="P404" s="33">
        <f ca="1">IFERROR(__xludf.DUMMYFUNCTION("""COMPUTED_VALUE"""),46247)</f>
        <v>46247</v>
      </c>
      <c r="Q404" s="33">
        <f ca="1">IFERROR(__xludf.DUMMYFUNCTION("""COMPUTED_VALUE"""),46247)</f>
        <v>46247</v>
      </c>
      <c r="R404" s="30">
        <f ca="1">IFERROR(__xludf.DUMMYFUNCTION("""COMPUTED_VALUE"""),1)</f>
        <v>1</v>
      </c>
      <c r="S404" s="30" t="str">
        <f ca="1">IFERROR(__xludf.DUMMYFUNCTION("""COMPUTED_VALUE"""),"Cultura comunitaria")</f>
        <v>Cultura comunitaria</v>
      </c>
      <c r="T404" s="30" t="str">
        <f ca="1">IFERROR(__xludf.DUMMYFUNCTION("""COMPUTED_VALUE"""),"Formación comunitaria")</f>
        <v>Formación comunitaria</v>
      </c>
      <c r="U404" s="30" t="str">
        <f ca="1">IFERROR(__xludf.DUMMYFUNCTION("""COMPUTED_VALUE"""),"Conferencia")</f>
        <v>Conferencia</v>
      </c>
      <c r="V404" s="30" t="str">
        <f ca="1">IFERROR(__xludf.DUMMYFUNCTION("""COMPUTED_VALUE"""),"Ninguna")</f>
        <v>Ninguna</v>
      </c>
      <c r="W404" s="30" t="str">
        <f ca="1">IFERROR(__xludf.DUMMYFUNCTION("""COMPUTED_VALUE"""),"Presencial")</f>
        <v>Presencial</v>
      </c>
      <c r="X404" s="30" t="str">
        <f ca="1">IFERROR(__xludf.DUMMYFUNCTION("""COMPUTED_VALUE"""),"Espacio a Cargo de la Secretaría")</f>
        <v>Espacio a Cargo de la Secretaría</v>
      </c>
      <c r="Y404" s="30" t="str">
        <f ca="1">IFERROR(__xludf.DUMMYFUNCTION("""COMPUTED_VALUE"""),"Museo Hermenegildo Bustos, Sala temporal 8 y 9")</f>
        <v>Museo Hermenegildo Bustos, Sala temporal 8 y 9</v>
      </c>
      <c r="Z404" s="30"/>
      <c r="AA404" s="30"/>
      <c r="AB404" s="30" t="b">
        <f ca="1">IFERROR(__xludf.DUMMYFUNCTION("""COMPUTED_VALUE"""),FALSE)</f>
        <v>0</v>
      </c>
      <c r="AC404" s="30"/>
      <c r="AD404" s="30" t="b">
        <f ca="1">IFERROR(__xludf.DUMMYFUNCTION("""COMPUTED_VALUE"""),FALSE)</f>
        <v>0</v>
      </c>
      <c r="AE404" s="30"/>
      <c r="AF404" s="30" t="b">
        <f ca="1">IFERROR(__xludf.DUMMYFUNCTION("""COMPUTED_VALUE"""),FALSE)</f>
        <v>0</v>
      </c>
      <c r="AG404" s="30"/>
      <c r="AH404" s="30" t="str">
        <f ca="1">IFERROR(__xludf.DUMMYFUNCTION("""COMPUTED_VALUE"""),"Sin costo")</f>
        <v>Sin costo</v>
      </c>
      <c r="AI404" s="30"/>
      <c r="AJ404" s="30"/>
      <c r="AK404" s="30"/>
      <c r="AL404" s="30" t="str">
        <f ca="1">IFERROR(__xludf.DUMMYFUNCTION("""COMPUTED_VALUE"""),"ccardonav@guanajuato.gob.mx")</f>
        <v>ccardonav@guanajuato.gob.mx</v>
      </c>
      <c r="AM404" s="30" t="str">
        <f ca="1">IFERROR(__xludf.DUMMYFUNCTION("""COMPUTED_VALUE"""),"Arraigo y empoderamiento cultural de comunidades.")</f>
        <v>Arraigo y empoderamiento cultural de comunidades.</v>
      </c>
      <c r="AN404" s="30" t="str">
        <f ca="1">IFERROR(__xludf.DUMMYFUNCTION("""COMPUTED_VALUE"""),"2 Igualdad")</f>
        <v>2 Igualdad</v>
      </c>
      <c r="AO404" s="30" t="str">
        <f ca="1">IFERROR(__xludf.DUMMYFUNCTION("""COMPUTED_VALUE"""),"2.2 Fortalecer cohesión social")</f>
        <v>2.2 Fortalecer cohesión social</v>
      </c>
      <c r="AP404" s="30" t="str">
        <f ca="1">IFERROR(__xludf.DUMMYFUNCTION("""COMPUTED_VALUE"""),"2.2.1 Participación social comunitaria")</f>
        <v>2.2.1 Participación social comunitaria</v>
      </c>
      <c r="AQ404" s="30" t="str">
        <f ca="1">IFERROR(__xludf.DUMMYFUNCTION("""COMPUTED_VALUE"""),"2.2.1 Participación social comunitaria")</f>
        <v>2.2.1 Participación social comunitaria</v>
      </c>
      <c r="AR404" s="30" t="str">
        <f ca="1">IFERROR(__xludf.DUMMYFUNCTION("""COMPUTED_VALUE"""),"Cooperación")</f>
        <v>Cooperación</v>
      </c>
      <c r="AS404" s="30"/>
      <c r="AT404" s="30" t="str">
        <f ca="1">IFERROR(__xludf.DUMMYFUNCTION("""COMPUTED_VALUE"""),"Fortalecimiento de la participación ciudadana y la mediación cultural")</f>
        <v>Fortalecimiento de la participación ciudadana y la mediación cultural</v>
      </c>
      <c r="AU404" s="30" t="str">
        <f ca="1">IFERROR(__xludf.DUMMYFUNCTION("""COMPUTED_VALUE"""),"Impulso a la ampliación de la oferta cultural en los territorios.")</f>
        <v>Impulso a la ampliación de la oferta cultural en los territorios.</v>
      </c>
      <c r="AV40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4" s="30" t="str">
        <f ca="1">IFERROR(__xludf.DUMMYFUNCTION("""COMPUTED_VALUE"""),"Incrementar en 25% la oferta cultural realizada en los municipios.")</f>
        <v>Incrementar en 25% la oferta cultural realizada en los municipios.</v>
      </c>
      <c r="AX404" s="30" t="str">
        <f ca="1">IFERROR(__xludf.DUMMYFUNCTION("""COMPUTED_VALUE"""),"Conferencia")</f>
        <v>Conferencia</v>
      </c>
      <c r="AY404" s="30" t="str">
        <f ca="1">IFERROR(__xludf.DUMMYFUNCTION("""COMPUTED_VALUE"""),"Mediación")</f>
        <v>Mediación</v>
      </c>
      <c r="AZ404" s="30"/>
      <c r="BA404" s="30"/>
      <c r="BB404" s="30"/>
      <c r="BC404" s="30">
        <f ca="1">IFERROR(__xludf.DUMMYFUNCTION("""COMPUTED_VALUE"""),0)</f>
        <v>0</v>
      </c>
      <c r="BD404" s="30"/>
      <c r="BE404" s="30"/>
      <c r="BF404" s="30" t="b">
        <f ca="1">IFERROR(__xludf.DUMMYFUNCTION("""COMPUTED_VALUE"""),FALSE)</f>
        <v>0</v>
      </c>
      <c r="BG404" s="30"/>
      <c r="BH404" s="30"/>
      <c r="BI404" s="30"/>
      <c r="BJ404" s="30"/>
      <c r="BK404" s="30"/>
      <c r="BL404" s="30"/>
      <c r="BM404" s="30" t="str">
        <f ca="1">IFERROR(__xludf.DUMMYFUNCTION("""COMPUTED_VALUE"""),"No")</f>
        <v>No</v>
      </c>
      <c r="BN404" s="30"/>
      <c r="BO404" s="30" t="str">
        <f ca="1">IFERROR(__xludf.DUMMYFUNCTION("""COMPUTED_VALUE"""),"b2689729")</f>
        <v>b2689729</v>
      </c>
      <c r="BP404" s="29" t="str">
        <f ca="1">IFERROR(__xludf.DUMMYFUNCTION("""COMPUTED_VALUE"""),"Silao de la Victoria")</f>
        <v>Silao de la Victoria</v>
      </c>
      <c r="BQ404" s="30" t="str">
        <f ca="1">IFERROR(__xludf.DUMMYFUNCTION("""COMPUTED_VALUE"""),"Urbano")</f>
        <v>Urbano</v>
      </c>
      <c r="BR404" s="30"/>
      <c r="BS404" s="30"/>
      <c r="BT404" s="30"/>
      <c r="BU404" s="30" t="str">
        <f ca="1">IFERROR(__xludf.DUMMYFUNCTION("""COMPUTED_VALUE"""),"No")</f>
        <v>No</v>
      </c>
      <c r="BV404" s="30" t="str">
        <f ca="1">IFERROR(__xludf.DUMMYFUNCTION("""COMPUTED_VALUE"""),"No")</f>
        <v>No</v>
      </c>
      <c r="BW404" s="30">
        <f ca="1">IFERROR(__xludf.DUMMYFUNCTION("""COMPUTED_VALUE"""),6)</f>
        <v>6</v>
      </c>
      <c r="BX404" s="30"/>
      <c r="BY404" s="30">
        <f ca="1">IFERROR(__xludf.DUMMYFUNCTION("""COMPUTED_VALUE"""),6)</f>
        <v>6</v>
      </c>
      <c r="BZ404" s="30"/>
      <c r="CA404" s="30" t="str">
        <f ca="1">IFERROR(__xludf.DUMMYFUNCTION("""COMPUTED_VALUE"""),"No")</f>
        <v>No</v>
      </c>
      <c r="CB404" s="30" t="str">
        <f ca="1">IFERROR(__xludf.DUMMYFUNCTION("""COMPUTED_VALUE"""),"No")</f>
        <v>No</v>
      </c>
      <c r="CC404" s="30" t="str">
        <f ca="1">IFERROR(__xludf.DUMMYFUNCTION("""COMPUTED_VALUE"""),"85ab7239")</f>
        <v>85ab7239</v>
      </c>
      <c r="CD404" s="29" t="str">
        <f ca="1">IFERROR(__xludf.DUMMYFUNCTION("""COMPUTED_VALUE"""),"Jóvenes (18 a 29 años)")</f>
        <v>Jóvenes (18 a 29 años)</v>
      </c>
      <c r="CE404" s="30" t="str">
        <f ca="1">IFERROR(__xludf.DUMMYFUNCTION("""COMPUTED_VALUE"""),"Dato global")</f>
        <v>Dato global</v>
      </c>
      <c r="CF404" s="30" t="str">
        <f ca="1">IFERROR(__xludf.DUMMYFUNCTION("""COMPUTED_VALUE"""),"Ninguno (Población General)")</f>
        <v>Ninguno (Población General)</v>
      </c>
      <c r="CG404" s="30">
        <f ca="1">IFERROR(__xludf.DUMMYFUNCTION("""COMPUTED_VALUE"""),30)</f>
        <v>30</v>
      </c>
      <c r="CJ404" s="29"/>
      <c r="CM404" s="30" t="str">
        <f ca="1">IFERROR(__xludf.DUMMYFUNCTION("""COMPUTED_VALUE"""),"Purísima del Rincón")</f>
        <v>Purísima del Rincón</v>
      </c>
      <c r="CN404" s="32" t="e">
        <f ca="1"/>
        <v>#NAME?</v>
      </c>
      <c r="CO404" s="32" t="e">
        <f ca="1"/>
        <v>#NAME?</v>
      </c>
      <c r="CP404" s="32" t="e">
        <f ca="1"/>
        <v>#NAME?</v>
      </c>
      <c r="CQ404" s="32" t="e">
        <f ca="1"/>
        <v>#NAME?</v>
      </c>
      <c r="CR404" s="30" t="e">
        <f ca="1"/>
        <v>#NAME?</v>
      </c>
      <c r="CS404" s="30" t="str">
        <f ca="1">IFERROR(__xludf.DUMMYFUNCTION("""COMPUTED_VALUE"""),"Jóvenes en riesgo, Jóvenes en riesgo, Jóvenes en riesgo")</f>
        <v>Jóvenes en riesgo, Jóvenes en riesgo, Jóvenes en riesgo</v>
      </c>
    </row>
    <row r="405" spans="1:97" ht="13">
      <c r="A405" s="29" t="str">
        <f ca="1">IFERROR(__xludf.DUMMYFUNCTION("""COMPUTED_VALUE"""),"ACT-SCKJ13536")</f>
        <v>ACT-SCKJ13536</v>
      </c>
      <c r="B405" s="30" t="str">
        <f ca="1">IFERROR(__xludf.DUMMYFUNCTION("""COMPUTED_VALUE"""),"SC-260915-155934")</f>
        <v>SC-260915-155934</v>
      </c>
      <c r="C405" s="62">
        <f ca="1">IFERROR(__xludf.DUMMYFUNCTION("""COMPUTED_VALUE"""),46280.6663657407)</f>
        <v>46280.666365740697</v>
      </c>
      <c r="D405" s="30">
        <f ca="1">IFERROR(__xludf.DUMMYFUNCTION("""COMPUTED_VALUE"""),92)</f>
        <v>92</v>
      </c>
      <c r="E405" s="30" t="str">
        <f ca="1">IFERROR(__xludf.DUMMYFUNCTION("""COMPUTED_VALUE"""),"PB3572")</f>
        <v>PB3572</v>
      </c>
      <c r="F40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5" s="30" t="str">
        <f ca="1">IFERROR(__xludf.DUMMYFUNCTION("""COMPUTED_VALUE"""),"SUBSECRETARÍA DE DESARROLLO Y PROMOCIÓN ARTÍSTICA Y CULTURAL")</f>
        <v>SUBSECRETARÍA DE DESARROLLO Y PROMOCIÓN ARTÍSTICA Y CULTURAL</v>
      </c>
      <c r="I405" s="34" t="str">
        <f ca="1">IFERROR(__xludf.DUMMYFUNCTION("""COMPUTED_VALUE"""),"DIRECCIÓN GENERAL DE MUSEOS, ARTES VISUALES Y EXPOSICIONES")</f>
        <v>DIRECCIÓN GENERAL DE MUSEOS, ARTES VISUALES Y EXPOSICIONES</v>
      </c>
      <c r="J405" s="30" t="str">
        <f ca="1">IFERROR(__xludf.DUMMYFUNCTION("""COMPUTED_VALUE"""),"Número de Actividades realizadas")</f>
        <v>Número de Actividades realizadas</v>
      </c>
      <c r="K405" s="30">
        <f ca="1">IFERROR(__xludf.DUMMYFUNCTION("""COMPUTED_VALUE"""),800)</f>
        <v>800</v>
      </c>
      <c r="L405" s="30" t="str">
        <f ca="1">IFERROR(__xludf.DUMMYFUNCTION("""COMPUTED_VALUE"""),"Cultural")</f>
        <v>Cultural</v>
      </c>
      <c r="M405" s="30" t="str">
        <f ca="1">IFERROR(__xludf.DUMMYFUNCTION("""COMPUTED_VALUE"""),"Conferencia ""Dichoso de tí angelito""")</f>
        <v>Conferencia "Dichoso de tí angelito"</v>
      </c>
      <c r="N405" s="30" t="str">
        <f ca="1">IFERROR(__xludf.DUMMYFUNCTION("""COMPUTED_VALUE"""),"Conferencia impartida por el Mtro. Ramón Avendaño sobre la colección ""Angelitos: la vida y la muerte niña en México""")</f>
        <v>Conferencia impartida por el Mtro. Ramón Avendaño sobre la colección "Angelitos: la vida y la muerte niña en México"</v>
      </c>
      <c r="O405" s="30" t="str">
        <f ca="1">IFERROR(__xludf.DUMMYFUNCTION("""COMPUTED_VALUE"""),"Única")</f>
        <v>Única</v>
      </c>
      <c r="P405" s="33">
        <f ca="1">IFERROR(__xludf.DUMMYFUNCTION("""COMPUTED_VALUE"""),46254)</f>
        <v>46254</v>
      </c>
      <c r="Q405" s="33">
        <f ca="1">IFERROR(__xludf.DUMMYFUNCTION("""COMPUTED_VALUE"""),46254)</f>
        <v>46254</v>
      </c>
      <c r="R405" s="30">
        <f ca="1">IFERROR(__xludf.DUMMYFUNCTION("""COMPUTED_VALUE"""),1)</f>
        <v>1</v>
      </c>
      <c r="S405" s="30" t="str">
        <f ca="1">IFERROR(__xludf.DUMMYFUNCTION("""COMPUTED_VALUE"""),"Cultura comunitaria")</f>
        <v>Cultura comunitaria</v>
      </c>
      <c r="T405" s="30" t="str">
        <f ca="1">IFERROR(__xludf.DUMMYFUNCTION("""COMPUTED_VALUE"""),"Formación comunitaria")</f>
        <v>Formación comunitaria</v>
      </c>
      <c r="U405" s="30" t="str">
        <f ca="1">IFERROR(__xludf.DUMMYFUNCTION("""COMPUTED_VALUE"""),"Conferencia")</f>
        <v>Conferencia</v>
      </c>
      <c r="V405" s="30" t="str">
        <f ca="1">IFERROR(__xludf.DUMMYFUNCTION("""COMPUTED_VALUE"""),"Ninguna")</f>
        <v>Ninguna</v>
      </c>
      <c r="W405" s="30" t="str">
        <f ca="1">IFERROR(__xludf.DUMMYFUNCTION("""COMPUTED_VALUE"""),"Presencial")</f>
        <v>Presencial</v>
      </c>
      <c r="X405" s="30" t="str">
        <f ca="1">IFERROR(__xludf.DUMMYFUNCTION("""COMPUTED_VALUE"""),"Espacio a Cargo de la Secretaría")</f>
        <v>Espacio a Cargo de la Secretaría</v>
      </c>
      <c r="Y405" s="30" t="str">
        <f ca="1">IFERROR(__xludf.DUMMYFUNCTION("""COMPUTED_VALUE"""),"Museo Hermenegildo Bustos, Sala temporal 8 y 9")</f>
        <v>Museo Hermenegildo Bustos, Sala temporal 8 y 9</v>
      </c>
      <c r="Z405" s="30"/>
      <c r="AA405" s="30"/>
      <c r="AB405" s="30" t="b">
        <f ca="1">IFERROR(__xludf.DUMMYFUNCTION("""COMPUTED_VALUE"""),FALSE)</f>
        <v>0</v>
      </c>
      <c r="AC405" s="30"/>
      <c r="AD405" s="30" t="b">
        <f ca="1">IFERROR(__xludf.DUMMYFUNCTION("""COMPUTED_VALUE"""),FALSE)</f>
        <v>0</v>
      </c>
      <c r="AE405" s="30"/>
      <c r="AF405" s="30" t="b">
        <f ca="1">IFERROR(__xludf.DUMMYFUNCTION("""COMPUTED_VALUE"""),FALSE)</f>
        <v>0</v>
      </c>
      <c r="AG405" s="30"/>
      <c r="AH405" s="30" t="str">
        <f ca="1">IFERROR(__xludf.DUMMYFUNCTION("""COMPUTED_VALUE"""),"Sin costo")</f>
        <v>Sin costo</v>
      </c>
      <c r="AI405" s="30"/>
      <c r="AJ405" s="30"/>
      <c r="AK405" s="30"/>
      <c r="AL405" s="30" t="str">
        <f ca="1">IFERROR(__xludf.DUMMYFUNCTION("""COMPUTED_VALUE"""),"ccardonav@guanajuato.gob.mx")</f>
        <v>ccardonav@guanajuato.gob.mx</v>
      </c>
      <c r="AM405" s="30" t="str">
        <f ca="1">IFERROR(__xludf.DUMMYFUNCTION("""COMPUTED_VALUE"""),"Arraigo y empoderamiento cultural de comunidades.")</f>
        <v>Arraigo y empoderamiento cultural de comunidades.</v>
      </c>
      <c r="AN405" s="30" t="str">
        <f ca="1">IFERROR(__xludf.DUMMYFUNCTION("""COMPUTED_VALUE"""),"2 Igualdad")</f>
        <v>2 Igualdad</v>
      </c>
      <c r="AO405" s="30" t="str">
        <f ca="1">IFERROR(__xludf.DUMMYFUNCTION("""COMPUTED_VALUE"""),"2.2 Fortalecer cohesión social")</f>
        <v>2.2 Fortalecer cohesión social</v>
      </c>
      <c r="AP405" s="30" t="str">
        <f ca="1">IFERROR(__xludf.DUMMYFUNCTION("""COMPUTED_VALUE"""),"2.2.1 Participación social comunitaria")</f>
        <v>2.2.1 Participación social comunitaria</v>
      </c>
      <c r="AQ405" s="30" t="str">
        <f ca="1">IFERROR(__xludf.DUMMYFUNCTION("""COMPUTED_VALUE"""),"2.2.1 Participación social comunitaria")</f>
        <v>2.2.1 Participación social comunitaria</v>
      </c>
      <c r="AR405" s="30" t="str">
        <f ca="1">IFERROR(__xludf.DUMMYFUNCTION("""COMPUTED_VALUE"""),"Cooperación")</f>
        <v>Cooperación</v>
      </c>
      <c r="AS405" s="30"/>
      <c r="AT405" s="30" t="str">
        <f ca="1">IFERROR(__xludf.DUMMYFUNCTION("""COMPUTED_VALUE"""),"Fortalecimiento de la participación ciudadana y la mediación cultural")</f>
        <v>Fortalecimiento de la participación ciudadana y la mediación cultural</v>
      </c>
      <c r="AU405" s="30" t="str">
        <f ca="1">IFERROR(__xludf.DUMMYFUNCTION("""COMPUTED_VALUE"""),"Impulso a la ampliación de la oferta cultural en los territorios.")</f>
        <v>Impulso a la ampliación de la oferta cultural en los territorios.</v>
      </c>
      <c r="AV40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5" s="30" t="str">
        <f ca="1">IFERROR(__xludf.DUMMYFUNCTION("""COMPUTED_VALUE"""),"Incrementar en 25% la oferta cultural realizada en los municipios.")</f>
        <v>Incrementar en 25% la oferta cultural realizada en los municipios.</v>
      </c>
      <c r="AX405" s="30" t="str">
        <f ca="1">IFERROR(__xludf.DUMMYFUNCTION("""COMPUTED_VALUE"""),"Conferencia")</f>
        <v>Conferencia</v>
      </c>
      <c r="AY405" s="30" t="str">
        <f ca="1">IFERROR(__xludf.DUMMYFUNCTION("""COMPUTED_VALUE"""),"Mediación")</f>
        <v>Mediación</v>
      </c>
      <c r="AZ405" s="30"/>
      <c r="BA405" s="30"/>
      <c r="BB405" s="30"/>
      <c r="BC405" s="30">
        <f ca="1">IFERROR(__xludf.DUMMYFUNCTION("""COMPUTED_VALUE"""),0)</f>
        <v>0</v>
      </c>
      <c r="BD405" s="30"/>
      <c r="BE405" s="30"/>
      <c r="BF405" s="30" t="b">
        <f ca="1">IFERROR(__xludf.DUMMYFUNCTION("""COMPUTED_VALUE"""),FALSE)</f>
        <v>0</v>
      </c>
      <c r="BG405" s="30"/>
      <c r="BH405" s="30"/>
      <c r="BI405" s="30"/>
      <c r="BJ405" s="30"/>
      <c r="BK405" s="30"/>
      <c r="BL405" s="30"/>
      <c r="BM405" s="30" t="str">
        <f ca="1">IFERROR(__xludf.DUMMYFUNCTION("""COMPUTED_VALUE"""),"No")</f>
        <v>No</v>
      </c>
      <c r="BN405" s="30"/>
      <c r="BO405" s="30" t="str">
        <f ca="1">IFERROR(__xludf.DUMMYFUNCTION("""COMPUTED_VALUE"""),"c7041758")</f>
        <v>c7041758</v>
      </c>
      <c r="BP405" s="29" t="str">
        <f ca="1">IFERROR(__xludf.DUMMYFUNCTION("""COMPUTED_VALUE"""),"Silao de la Victoria")</f>
        <v>Silao de la Victoria</v>
      </c>
      <c r="BQ405" s="30" t="str">
        <f ca="1">IFERROR(__xludf.DUMMYFUNCTION("""COMPUTED_VALUE"""),"Urbano")</f>
        <v>Urbano</v>
      </c>
      <c r="BR405" s="30"/>
      <c r="BS405" s="30"/>
      <c r="BT405" s="30"/>
      <c r="BU405" s="30" t="str">
        <f ca="1">IFERROR(__xludf.DUMMYFUNCTION("""COMPUTED_VALUE"""),"No")</f>
        <v>No</v>
      </c>
      <c r="BV405" s="30" t="str">
        <f ca="1">IFERROR(__xludf.DUMMYFUNCTION("""COMPUTED_VALUE"""),"No")</f>
        <v>No</v>
      </c>
      <c r="BW405" s="30">
        <f ca="1">IFERROR(__xludf.DUMMYFUNCTION("""COMPUTED_VALUE"""),6)</f>
        <v>6</v>
      </c>
      <c r="BX405" s="30"/>
      <c r="BY405" s="30">
        <f ca="1">IFERROR(__xludf.DUMMYFUNCTION("""COMPUTED_VALUE"""),6)</f>
        <v>6</v>
      </c>
      <c r="BZ405" s="30"/>
      <c r="CA405" s="30" t="str">
        <f ca="1">IFERROR(__xludf.DUMMYFUNCTION("""COMPUTED_VALUE"""),"No")</f>
        <v>No</v>
      </c>
      <c r="CB405" s="30" t="str">
        <f ca="1">IFERROR(__xludf.DUMMYFUNCTION("""COMPUTED_VALUE"""),"No")</f>
        <v>No</v>
      </c>
      <c r="CC405" s="30" t="str">
        <f ca="1">IFERROR(__xludf.DUMMYFUNCTION("""COMPUTED_VALUE"""),"90dd9a14")</f>
        <v>90dd9a14</v>
      </c>
      <c r="CD405" s="29" t="str">
        <f ca="1">IFERROR(__xludf.DUMMYFUNCTION("""COMPUTED_VALUE"""),"Jóvenes (18 a 29 años)")</f>
        <v>Jóvenes (18 a 29 años)</v>
      </c>
      <c r="CE405" s="30" t="str">
        <f ca="1">IFERROR(__xludf.DUMMYFUNCTION("""COMPUTED_VALUE"""),"Dato global")</f>
        <v>Dato global</v>
      </c>
      <c r="CF405" s="30" t="str">
        <f ca="1">IFERROR(__xludf.DUMMYFUNCTION("""COMPUTED_VALUE"""),"Ninguno (Población General)")</f>
        <v>Ninguno (Población General)</v>
      </c>
      <c r="CG405" s="30">
        <f ca="1">IFERROR(__xludf.DUMMYFUNCTION("""COMPUTED_VALUE"""),2)</f>
        <v>2</v>
      </c>
      <c r="CJ405" s="29"/>
      <c r="CM405" s="30" t="str">
        <f ca="1">IFERROR(__xludf.DUMMYFUNCTION("""COMPUTED_VALUE"""),"Silao de la Victoria")</f>
        <v>Silao de la Victoria</v>
      </c>
      <c r="CN405" s="32" t="e">
        <f ca="1"/>
        <v>#NAME?</v>
      </c>
      <c r="CO405" s="32" t="e">
        <f ca="1"/>
        <v>#NAME?</v>
      </c>
      <c r="CP405" s="32" t="e">
        <f ca="1"/>
        <v>#NAME?</v>
      </c>
      <c r="CQ405" s="32" t="e">
        <f ca="1"/>
        <v>#NAME?</v>
      </c>
      <c r="CR405" s="30" t="e">
        <f ca="1"/>
        <v>#NAME?</v>
      </c>
      <c r="CS405" s="30" t="str">
        <f ca="1">IFERROR(__xludf.DUMMYFUNCTION("""COMPUTED_VALUE"""),"Ninguno (Población General), Ninguno (Población General), Ninguno (Población General)")</f>
        <v>Ninguno (Población General), Ninguno (Población General), Ninguno (Población General)</v>
      </c>
    </row>
    <row r="406" spans="1:97" ht="13">
      <c r="A406" s="29" t="str">
        <f ca="1">IFERROR(__xludf.DUMMYFUNCTION("""COMPUTED_VALUE"""),"ACT-SCRB24293")</f>
        <v>ACT-SCRB24293</v>
      </c>
      <c r="B406" s="30" t="str">
        <f ca="1">IFERROR(__xludf.DUMMYFUNCTION("""COMPUTED_VALUE"""),"SC-260915-160911")</f>
        <v>SC-260915-160911</v>
      </c>
      <c r="C406" s="62">
        <f ca="1">IFERROR(__xludf.DUMMYFUNCTION("""COMPUTED_VALUE"""),46280.6730439814)</f>
        <v>46280.673043981398</v>
      </c>
      <c r="D406" s="30">
        <f ca="1">IFERROR(__xludf.DUMMYFUNCTION("""COMPUTED_VALUE"""),92)</f>
        <v>92</v>
      </c>
      <c r="E406" s="30" t="str">
        <f ca="1">IFERROR(__xludf.DUMMYFUNCTION("""COMPUTED_VALUE"""),"PB3572")</f>
        <v>PB3572</v>
      </c>
      <c r="F40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6" s="30" t="str">
        <f ca="1">IFERROR(__xludf.DUMMYFUNCTION("""COMPUTED_VALUE"""),"SUBSECRETARÍA DE DESARROLLO Y PROMOCIÓN ARTÍSTICA Y CULTURAL")</f>
        <v>SUBSECRETARÍA DE DESARROLLO Y PROMOCIÓN ARTÍSTICA Y CULTURAL</v>
      </c>
      <c r="I406" s="34" t="str">
        <f ca="1">IFERROR(__xludf.DUMMYFUNCTION("""COMPUTED_VALUE"""),"DIRECCIÓN GENERAL DE MUSEOS, ARTES VISUALES Y EXPOSICIONES")</f>
        <v>DIRECCIÓN GENERAL DE MUSEOS, ARTES VISUALES Y EXPOSICIONES</v>
      </c>
      <c r="J406" s="30" t="str">
        <f ca="1">IFERROR(__xludf.DUMMYFUNCTION("""COMPUTED_VALUE"""),"Número de Actividades realizadas")</f>
        <v>Número de Actividades realizadas</v>
      </c>
      <c r="K406" s="30">
        <f ca="1">IFERROR(__xludf.DUMMYFUNCTION("""COMPUTED_VALUE"""),800)</f>
        <v>800</v>
      </c>
      <c r="L406" s="30" t="str">
        <f ca="1">IFERROR(__xludf.DUMMYFUNCTION("""COMPUTED_VALUE"""),"Cultural")</f>
        <v>Cultural</v>
      </c>
      <c r="M406" s="30" t="str">
        <f ca="1">IFERROR(__xludf.DUMMYFUNCTION("""COMPUTED_VALUE"""),"Espacios incidentales: Presentación de danza ""Inercia""")</f>
        <v>Espacios incidentales: Presentación de danza "Inercia"</v>
      </c>
      <c r="N406" s="30" t="str">
        <f ca="1">IFERROR(__xludf.DUMMYFUNCTION("""COMPUTED_VALUE"""),"Presentación de danza por integrantes del grupo I. Motion Dance Studio")</f>
        <v>Presentación de danza por integrantes del grupo I. Motion Dance Studio</v>
      </c>
      <c r="O406" s="30" t="str">
        <f ca="1">IFERROR(__xludf.DUMMYFUNCTION("""COMPUTED_VALUE"""),"Única")</f>
        <v>Única</v>
      </c>
      <c r="P406" s="33">
        <f ca="1">IFERROR(__xludf.DUMMYFUNCTION("""COMPUTED_VALUE"""),46256)</f>
        <v>46256</v>
      </c>
      <c r="Q406" s="33">
        <f ca="1">IFERROR(__xludf.DUMMYFUNCTION("""COMPUTED_VALUE"""),46256)</f>
        <v>46256</v>
      </c>
      <c r="R406" s="30">
        <f ca="1">IFERROR(__xludf.DUMMYFUNCTION("""COMPUTED_VALUE"""),1)</f>
        <v>1</v>
      </c>
      <c r="S406" s="30" t="str">
        <f ca="1">IFERROR(__xludf.DUMMYFUNCTION("""COMPUTED_VALUE"""),"Cultura comunitaria")</f>
        <v>Cultura comunitaria</v>
      </c>
      <c r="T406" s="30" t="str">
        <f ca="1">IFERROR(__xludf.DUMMYFUNCTION("""COMPUTED_VALUE"""),"Formación comunitaria")</f>
        <v>Formación comunitaria</v>
      </c>
      <c r="U406" s="30" t="str">
        <f ca="1">IFERROR(__xludf.DUMMYFUNCTION("""COMPUTED_VALUE"""),"Conferencia")</f>
        <v>Conferencia</v>
      </c>
      <c r="V406" s="30" t="str">
        <f ca="1">IFERROR(__xludf.DUMMYFUNCTION("""COMPUTED_VALUE"""),"Ninguna")</f>
        <v>Ninguna</v>
      </c>
      <c r="W406" s="30" t="str">
        <f ca="1">IFERROR(__xludf.DUMMYFUNCTION("""COMPUTED_VALUE"""),"Presencial")</f>
        <v>Presencial</v>
      </c>
      <c r="X406" s="30" t="str">
        <f ca="1">IFERROR(__xludf.DUMMYFUNCTION("""COMPUTED_VALUE"""),"Espacio a Cargo de la Secretaría")</f>
        <v>Espacio a Cargo de la Secretaría</v>
      </c>
      <c r="Y406" s="30" t="str">
        <f ca="1">IFERROR(__xludf.DUMMYFUNCTION("""COMPUTED_VALUE"""),"Museo Hermenegildo Bustos, Sala temporal 8 y 9")</f>
        <v>Museo Hermenegildo Bustos, Sala temporal 8 y 9</v>
      </c>
      <c r="Z406" s="30"/>
      <c r="AA406" s="30"/>
      <c r="AB406" s="30" t="b">
        <f ca="1">IFERROR(__xludf.DUMMYFUNCTION("""COMPUTED_VALUE"""),FALSE)</f>
        <v>0</v>
      </c>
      <c r="AC406" s="30"/>
      <c r="AD406" s="30" t="b">
        <f ca="1">IFERROR(__xludf.DUMMYFUNCTION("""COMPUTED_VALUE"""),FALSE)</f>
        <v>0</v>
      </c>
      <c r="AE406" s="30"/>
      <c r="AF406" s="30" t="b">
        <f ca="1">IFERROR(__xludf.DUMMYFUNCTION("""COMPUTED_VALUE"""),FALSE)</f>
        <v>0</v>
      </c>
      <c r="AG406" s="30"/>
      <c r="AH406" s="30" t="str">
        <f ca="1">IFERROR(__xludf.DUMMYFUNCTION("""COMPUTED_VALUE"""),"Sin costo")</f>
        <v>Sin costo</v>
      </c>
      <c r="AI406" s="30"/>
      <c r="AJ406" s="30"/>
      <c r="AK406" s="30"/>
      <c r="AL406" s="30" t="str">
        <f ca="1">IFERROR(__xludf.DUMMYFUNCTION("""COMPUTED_VALUE"""),"ccardonav@guanajuato.gob.mx")</f>
        <v>ccardonav@guanajuato.gob.mx</v>
      </c>
      <c r="AM406" s="30" t="str">
        <f ca="1">IFERROR(__xludf.DUMMYFUNCTION("""COMPUTED_VALUE"""),"Arraigo y empoderamiento cultural de comunidades.")</f>
        <v>Arraigo y empoderamiento cultural de comunidades.</v>
      </c>
      <c r="AN406" s="30" t="str">
        <f ca="1">IFERROR(__xludf.DUMMYFUNCTION("""COMPUTED_VALUE"""),"2 Igualdad")</f>
        <v>2 Igualdad</v>
      </c>
      <c r="AO406" s="30" t="str">
        <f ca="1">IFERROR(__xludf.DUMMYFUNCTION("""COMPUTED_VALUE"""),"2.2 Fortalecer cohesión social")</f>
        <v>2.2 Fortalecer cohesión social</v>
      </c>
      <c r="AP406" s="30" t="str">
        <f ca="1">IFERROR(__xludf.DUMMYFUNCTION("""COMPUTED_VALUE"""),"2.2.1 Participación social comunitaria")</f>
        <v>2.2.1 Participación social comunitaria</v>
      </c>
      <c r="AQ406" s="30" t="str">
        <f ca="1">IFERROR(__xludf.DUMMYFUNCTION("""COMPUTED_VALUE"""),"2.2.1 Participación social comunitaria")</f>
        <v>2.2.1 Participación social comunitaria</v>
      </c>
      <c r="AR406" s="30" t="str">
        <f ca="1">IFERROR(__xludf.DUMMYFUNCTION("""COMPUTED_VALUE"""),"Cooperación")</f>
        <v>Cooperación</v>
      </c>
      <c r="AS406" s="30"/>
      <c r="AT406" s="30" t="str">
        <f ca="1">IFERROR(__xludf.DUMMYFUNCTION("""COMPUTED_VALUE"""),"Fortalecimiento de la participación ciudadana y la mediación cultural")</f>
        <v>Fortalecimiento de la participación ciudadana y la mediación cultural</v>
      </c>
      <c r="AU406" s="30" t="str">
        <f ca="1">IFERROR(__xludf.DUMMYFUNCTION("""COMPUTED_VALUE"""),"Impulso a la ampliación de la oferta cultural en los territorios.")</f>
        <v>Impulso a la ampliación de la oferta cultural en los territorios.</v>
      </c>
      <c r="AV40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6" s="30" t="str">
        <f ca="1">IFERROR(__xludf.DUMMYFUNCTION("""COMPUTED_VALUE"""),"Incrementar en 25% la oferta cultural realizada en los municipios.")</f>
        <v>Incrementar en 25% la oferta cultural realizada en los municipios.</v>
      </c>
      <c r="AX406" s="30" t="str">
        <f ca="1">IFERROR(__xludf.DUMMYFUNCTION("""COMPUTED_VALUE"""),"Presentación artística")</f>
        <v>Presentación artística</v>
      </c>
      <c r="AY406" s="30" t="str">
        <f ca="1">IFERROR(__xludf.DUMMYFUNCTION("""COMPUTED_VALUE"""),"Mediación")</f>
        <v>Mediación</v>
      </c>
      <c r="AZ406" s="30"/>
      <c r="BA406" s="30"/>
      <c r="BB406" s="30"/>
      <c r="BC406" s="30">
        <f ca="1">IFERROR(__xludf.DUMMYFUNCTION("""COMPUTED_VALUE"""),0)</f>
        <v>0</v>
      </c>
      <c r="BD406" s="30"/>
      <c r="BE406" s="30"/>
      <c r="BF406" s="30" t="b">
        <f ca="1">IFERROR(__xludf.DUMMYFUNCTION("""COMPUTED_VALUE"""),FALSE)</f>
        <v>0</v>
      </c>
      <c r="BG406" s="30"/>
      <c r="BH406" s="30"/>
      <c r="BI406" s="30"/>
      <c r="BJ406" s="30"/>
      <c r="BK406" s="30"/>
      <c r="BL406" s="30" t="str">
        <f ca="1">IFERROR(__xludf.DUMMYFUNCTION("""COMPUTED_VALUE"""),"Vinculación")</f>
        <v>Vinculación</v>
      </c>
      <c r="BM406" s="30" t="str">
        <f ca="1">IFERROR(__xludf.DUMMYFUNCTION("""COMPUTED_VALUE"""),"Sí")</f>
        <v>Sí</v>
      </c>
      <c r="BN406" s="30" t="str">
        <f ca="1">IFERROR(__xludf.DUMMYFUNCTION("""COMPUTED_VALUE"""),"Acompañamiento Técnico")</f>
        <v>Acompañamiento Técnico</v>
      </c>
      <c r="BO406" s="30" t="str">
        <f ca="1">IFERROR(__xludf.DUMMYFUNCTION("""COMPUTED_VALUE"""),"dd87757b")</f>
        <v>dd87757b</v>
      </c>
      <c r="BP406" s="29" t="str">
        <f ca="1">IFERROR(__xludf.DUMMYFUNCTION("""COMPUTED_VALUE"""),"Silao de la Victoria")</f>
        <v>Silao de la Victoria</v>
      </c>
      <c r="BQ406" s="30" t="str">
        <f ca="1">IFERROR(__xludf.DUMMYFUNCTION("""COMPUTED_VALUE"""),"Urbano")</f>
        <v>Urbano</v>
      </c>
      <c r="BR406" s="30"/>
      <c r="BS406" s="30"/>
      <c r="BT406" s="30"/>
      <c r="BU406" s="30" t="str">
        <f ca="1">IFERROR(__xludf.DUMMYFUNCTION("""COMPUTED_VALUE"""),"No")</f>
        <v>No</v>
      </c>
      <c r="BV406" s="30" t="str">
        <f ca="1">IFERROR(__xludf.DUMMYFUNCTION("""COMPUTED_VALUE"""),"No")</f>
        <v>No</v>
      </c>
      <c r="BW406" s="30">
        <f ca="1">IFERROR(__xludf.DUMMYFUNCTION("""COMPUTED_VALUE"""),10)</f>
        <v>10</v>
      </c>
      <c r="BX406" s="30"/>
      <c r="BY406" s="30">
        <f ca="1">IFERROR(__xludf.DUMMYFUNCTION("""COMPUTED_VALUE"""),10)</f>
        <v>10</v>
      </c>
      <c r="BZ406" s="30"/>
      <c r="CA406" s="30" t="str">
        <f ca="1">IFERROR(__xludf.DUMMYFUNCTION("""COMPUTED_VALUE"""),"No")</f>
        <v>No</v>
      </c>
      <c r="CB406" s="30" t="str">
        <f ca="1">IFERROR(__xludf.DUMMYFUNCTION("""COMPUTED_VALUE"""),"No")</f>
        <v>No</v>
      </c>
      <c r="CC406" s="30" t="str">
        <f ca="1">IFERROR(__xludf.DUMMYFUNCTION("""COMPUTED_VALUE"""),"579c8593")</f>
        <v>579c8593</v>
      </c>
      <c r="CD406" s="29" t="str">
        <f ca="1">IFERROR(__xludf.DUMMYFUNCTION("""COMPUTED_VALUE"""),"Jóvenes (18 a 29 años)")</f>
        <v>Jóvenes (18 a 29 años)</v>
      </c>
      <c r="CE406" s="30" t="str">
        <f ca="1">IFERROR(__xludf.DUMMYFUNCTION("""COMPUTED_VALUE"""),"Dato global")</f>
        <v>Dato global</v>
      </c>
      <c r="CF406" s="30" t="str">
        <f ca="1">IFERROR(__xludf.DUMMYFUNCTION("""COMPUTED_VALUE"""),"Ninguno (Población General)")</f>
        <v>Ninguno (Población General)</v>
      </c>
      <c r="CG406" s="30">
        <f ca="1">IFERROR(__xludf.DUMMYFUNCTION("""COMPUTED_VALUE"""),30)</f>
        <v>30</v>
      </c>
      <c r="CJ406" s="29"/>
      <c r="CM406" s="30" t="str">
        <f ca="1">IFERROR(__xludf.DUMMYFUNCTION("""COMPUTED_VALUE"""),"Silao de la Victoria")</f>
        <v>Silao de la Victoria</v>
      </c>
      <c r="CN406" s="32" t="e">
        <f ca="1"/>
        <v>#NAME?</v>
      </c>
      <c r="CO406" s="32" t="e">
        <f ca="1"/>
        <v>#NAME?</v>
      </c>
      <c r="CP406" s="32" t="e">
        <f ca="1"/>
        <v>#NAME?</v>
      </c>
      <c r="CQ406" s="32" t="e">
        <f ca="1"/>
        <v>#NAME?</v>
      </c>
      <c r="CR406" s="30" t="e">
        <f ca="1"/>
        <v>#NAME?</v>
      </c>
      <c r="CS406" s="30" t="str">
        <f ca="1">IFERROR(__xludf.DUMMYFUNCTION("""COMPUTED_VALUE"""),"Ninguno (Población General), Ninguno (Población General)")</f>
        <v>Ninguno (Población General), Ninguno (Población General)</v>
      </c>
    </row>
    <row r="407" spans="1:97" ht="13">
      <c r="A407" s="29" t="str">
        <f ca="1">IFERROR(__xludf.DUMMYFUNCTION("""COMPUTED_VALUE"""),"ACT-SCQB51111")</f>
        <v>ACT-SCQB51111</v>
      </c>
      <c r="B407" s="30" t="str">
        <f ca="1">IFERROR(__xludf.DUMMYFUNCTION("""COMPUTED_VALUE"""),"SC-260915-161610")</f>
        <v>SC-260915-161610</v>
      </c>
      <c r="C407" s="62">
        <f ca="1">IFERROR(__xludf.DUMMYFUNCTION("""COMPUTED_VALUE"""),46280.6778935185)</f>
        <v>46280.677893518499</v>
      </c>
      <c r="D407" s="30">
        <f ca="1">IFERROR(__xludf.DUMMYFUNCTION("""COMPUTED_VALUE"""),92)</f>
        <v>92</v>
      </c>
      <c r="E407" s="30" t="str">
        <f ca="1">IFERROR(__xludf.DUMMYFUNCTION("""COMPUTED_VALUE"""),"PB3572")</f>
        <v>PB3572</v>
      </c>
      <c r="F40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7" s="30" t="str">
        <f ca="1">IFERROR(__xludf.DUMMYFUNCTION("""COMPUTED_VALUE"""),"SUBSECRETARÍA DE DESARROLLO Y PROMOCIÓN ARTÍSTICA Y CULTURAL")</f>
        <v>SUBSECRETARÍA DE DESARROLLO Y PROMOCIÓN ARTÍSTICA Y CULTURAL</v>
      </c>
      <c r="I407" s="34" t="str">
        <f ca="1">IFERROR(__xludf.DUMMYFUNCTION("""COMPUTED_VALUE"""),"DIRECCIÓN GENERAL DE MUSEOS, ARTES VISUALES Y EXPOSICIONES")</f>
        <v>DIRECCIÓN GENERAL DE MUSEOS, ARTES VISUALES Y EXPOSICIONES</v>
      </c>
      <c r="J407" s="30" t="str">
        <f ca="1">IFERROR(__xludf.DUMMYFUNCTION("""COMPUTED_VALUE"""),"Número de Actividades realizadas")</f>
        <v>Número de Actividades realizadas</v>
      </c>
      <c r="K407" s="30">
        <f ca="1">IFERROR(__xludf.DUMMYFUNCTION("""COMPUTED_VALUE"""),800)</f>
        <v>800</v>
      </c>
      <c r="L407" s="30" t="str">
        <f ca="1">IFERROR(__xludf.DUMMYFUNCTION("""COMPUTED_VALUE"""),"Cultural")</f>
        <v>Cultural</v>
      </c>
      <c r="M407" s="30" t="str">
        <f ca="1">IFERROR(__xludf.DUMMYFUNCTION("""COMPUTED_VALUE"""),"Noche de Museos")</f>
        <v>Noche de Museos</v>
      </c>
      <c r="N407" s="30" t="str">
        <f ca="1">IFERROR(__xludf.DUMMYFUNCTION("""COMPUTED_VALUE"""),"Participa en el recorrido que se realiza al caer la tarde en el Museo Hermenegildo Bustos conociendo las diversas exposiciones que se encuentran en el recinto.")</f>
        <v>Participa en el recorrido que se realiza al caer la tarde en el Museo Hermenegildo Bustos conociendo las diversas exposiciones que se encuentran en el recinto.</v>
      </c>
      <c r="O407" s="30" t="str">
        <f ca="1">IFERROR(__xludf.DUMMYFUNCTION("""COMPUTED_VALUE"""),"Única")</f>
        <v>Única</v>
      </c>
      <c r="P407" s="33">
        <f ca="1">IFERROR(__xludf.DUMMYFUNCTION("""COMPUTED_VALUE"""),46260)</f>
        <v>46260</v>
      </c>
      <c r="Q407" s="33">
        <f ca="1">IFERROR(__xludf.DUMMYFUNCTION("""COMPUTED_VALUE"""),46260)</f>
        <v>46260</v>
      </c>
      <c r="R407" s="30">
        <f ca="1">IFERROR(__xludf.DUMMYFUNCTION("""COMPUTED_VALUE"""),1)</f>
        <v>1</v>
      </c>
      <c r="S407" s="30" t="str">
        <f ca="1">IFERROR(__xludf.DUMMYFUNCTION("""COMPUTED_VALUE"""),"Cultura comunitaria")</f>
        <v>Cultura comunitaria</v>
      </c>
      <c r="T407" s="30" t="str">
        <f ca="1">IFERROR(__xludf.DUMMYFUNCTION("""COMPUTED_VALUE"""),"Mediación cultural")</f>
        <v>Mediación cultural</v>
      </c>
      <c r="U407" s="30" t="str">
        <f ca="1">IFERROR(__xludf.DUMMYFUNCTION("""COMPUTED_VALUE"""),"Visitas guiadas")</f>
        <v>Visitas guiadas</v>
      </c>
      <c r="V407" s="30" t="str">
        <f ca="1">IFERROR(__xludf.DUMMYFUNCTION("""COMPUTED_VALUE"""),"Ninguna")</f>
        <v>Ninguna</v>
      </c>
      <c r="W407" s="30" t="str">
        <f ca="1">IFERROR(__xludf.DUMMYFUNCTION("""COMPUTED_VALUE"""),"Presencial")</f>
        <v>Presencial</v>
      </c>
      <c r="X407" s="30" t="str">
        <f ca="1">IFERROR(__xludf.DUMMYFUNCTION("""COMPUTED_VALUE"""),"Espacio a Cargo de la Secretaría")</f>
        <v>Espacio a Cargo de la Secretaría</v>
      </c>
      <c r="Y407" s="30" t="str">
        <f ca="1">IFERROR(__xludf.DUMMYFUNCTION("""COMPUTED_VALUE"""),"Museo de Arte e Historia de Guanajuato, sala Feliciano Peña")</f>
        <v>Museo de Arte e Historia de Guanajuato, sala Feliciano Peña</v>
      </c>
      <c r="Z407" s="30"/>
      <c r="AA407" s="30"/>
      <c r="AB407" s="30" t="b">
        <f ca="1">IFERROR(__xludf.DUMMYFUNCTION("""COMPUTED_VALUE"""),FALSE)</f>
        <v>0</v>
      </c>
      <c r="AC407" s="30"/>
      <c r="AD407" s="30" t="b">
        <f ca="1">IFERROR(__xludf.DUMMYFUNCTION("""COMPUTED_VALUE"""),FALSE)</f>
        <v>0</v>
      </c>
      <c r="AE407" s="30"/>
      <c r="AF407" s="30" t="b">
        <f ca="1">IFERROR(__xludf.DUMMYFUNCTION("""COMPUTED_VALUE"""),FALSE)</f>
        <v>0</v>
      </c>
      <c r="AG407" s="30"/>
      <c r="AH407" s="30" t="str">
        <f ca="1">IFERROR(__xludf.DUMMYFUNCTION("""COMPUTED_VALUE"""),"Sin costo")</f>
        <v>Sin costo</v>
      </c>
      <c r="AI407" s="30"/>
      <c r="AJ407" s="30"/>
      <c r="AK407" s="30"/>
      <c r="AL407" s="30" t="str">
        <f ca="1">IFERROR(__xludf.DUMMYFUNCTION("""COMPUTED_VALUE"""),"ccardonav@guanajuato.gob.mx")</f>
        <v>ccardonav@guanajuato.gob.mx</v>
      </c>
      <c r="AM407" s="30" t="str">
        <f ca="1">IFERROR(__xludf.DUMMYFUNCTION("""COMPUTED_VALUE"""),"Arraigo y empoderamiento cultural de comunidades.")</f>
        <v>Arraigo y empoderamiento cultural de comunidades.</v>
      </c>
      <c r="AN407" s="30" t="str">
        <f ca="1">IFERROR(__xludf.DUMMYFUNCTION("""COMPUTED_VALUE"""),"2 Igualdad")</f>
        <v>2 Igualdad</v>
      </c>
      <c r="AO407" s="30" t="str">
        <f ca="1">IFERROR(__xludf.DUMMYFUNCTION("""COMPUTED_VALUE"""),"2.2 Fortalecer cohesión social")</f>
        <v>2.2 Fortalecer cohesión social</v>
      </c>
      <c r="AP407" s="30" t="str">
        <f ca="1">IFERROR(__xludf.DUMMYFUNCTION("""COMPUTED_VALUE"""),"2.2.1 Participación social comunitaria")</f>
        <v>2.2.1 Participación social comunitaria</v>
      </c>
      <c r="AQ407" s="30" t="str">
        <f ca="1">IFERROR(__xludf.DUMMYFUNCTION("""COMPUTED_VALUE"""),"2.2.1 Participación social comunitaria")</f>
        <v>2.2.1 Participación social comunitaria</v>
      </c>
      <c r="AR407" s="30" t="str">
        <f ca="1">IFERROR(__xludf.DUMMYFUNCTION("""COMPUTED_VALUE"""),"Cooperación")</f>
        <v>Cooperación</v>
      </c>
      <c r="AS407" s="30"/>
      <c r="AT407" s="30" t="str">
        <f ca="1">IFERROR(__xludf.DUMMYFUNCTION("""COMPUTED_VALUE"""),"Fortalecimiento de la participación ciudadana y la mediación cultural")</f>
        <v>Fortalecimiento de la participación ciudadana y la mediación cultural</v>
      </c>
      <c r="AU407" s="30" t="str">
        <f ca="1">IFERROR(__xludf.DUMMYFUNCTION("""COMPUTED_VALUE"""),"Impulso a la ampliación de la oferta cultural en los territorios.")</f>
        <v>Impulso a la ampliación de la oferta cultural en los territorios.</v>
      </c>
      <c r="AV40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7" s="30" t="str">
        <f ca="1">IFERROR(__xludf.DUMMYFUNCTION("""COMPUTED_VALUE"""),"Incrementar en 25% la oferta cultural realizada en los municipios.")</f>
        <v>Incrementar en 25% la oferta cultural realizada en los municipios.</v>
      </c>
      <c r="AX407" s="30" t="str">
        <f ca="1">IFERROR(__xludf.DUMMYFUNCTION("""COMPUTED_VALUE"""),"Visitas guiadas")</f>
        <v>Visitas guiadas</v>
      </c>
      <c r="AY407" s="30" t="str">
        <f ca="1">IFERROR(__xludf.DUMMYFUNCTION("""COMPUTED_VALUE"""),"Mediación")</f>
        <v>Mediación</v>
      </c>
      <c r="AZ407" s="30"/>
      <c r="BA407" s="30"/>
      <c r="BB407" s="30"/>
      <c r="BC407" s="30">
        <f ca="1">IFERROR(__xludf.DUMMYFUNCTION("""COMPUTED_VALUE"""),0)</f>
        <v>0</v>
      </c>
      <c r="BD407" s="30"/>
      <c r="BE407" s="30"/>
      <c r="BF407" s="30" t="b">
        <f ca="1">IFERROR(__xludf.DUMMYFUNCTION("""COMPUTED_VALUE"""),FALSE)</f>
        <v>0</v>
      </c>
      <c r="BG407" s="30"/>
      <c r="BH407" s="30"/>
      <c r="BI407" s="30"/>
      <c r="BJ407" s="30"/>
      <c r="BK407" s="30"/>
      <c r="BL407" s="30"/>
      <c r="BM407" s="30" t="str">
        <f ca="1">IFERROR(__xludf.DUMMYFUNCTION("""COMPUTED_VALUE"""),"No")</f>
        <v>No</v>
      </c>
      <c r="BN407" s="30"/>
      <c r="BO407" s="30" t="str">
        <f ca="1">IFERROR(__xludf.DUMMYFUNCTION("""COMPUTED_VALUE"""),"a1e6f39b")</f>
        <v>a1e6f39b</v>
      </c>
      <c r="BP407" s="29" t="str">
        <f ca="1">IFERROR(__xludf.DUMMYFUNCTION("""COMPUTED_VALUE"""),"Silao de la Victoria")</f>
        <v>Silao de la Victoria</v>
      </c>
      <c r="BQ407" s="30" t="str">
        <f ca="1">IFERROR(__xludf.DUMMYFUNCTION("""COMPUTED_VALUE"""),"Urbano")</f>
        <v>Urbano</v>
      </c>
      <c r="BR407" s="30"/>
      <c r="BS407" s="30"/>
      <c r="BT407" s="30"/>
      <c r="BU407" s="30" t="str">
        <f ca="1">IFERROR(__xludf.DUMMYFUNCTION("""COMPUTED_VALUE"""),"No")</f>
        <v>No</v>
      </c>
      <c r="BV407" s="30" t="str">
        <f ca="1">IFERROR(__xludf.DUMMYFUNCTION("""COMPUTED_VALUE"""),"No")</f>
        <v>No</v>
      </c>
      <c r="BW407" s="30">
        <f ca="1">IFERROR(__xludf.DUMMYFUNCTION("""COMPUTED_VALUE"""),34)</f>
        <v>34</v>
      </c>
      <c r="BX407" s="30">
        <f ca="1">IFERROR(__xludf.DUMMYFUNCTION("""COMPUTED_VALUE"""),34)</f>
        <v>34</v>
      </c>
      <c r="BY407" s="30">
        <f ca="1">IFERROR(__xludf.DUMMYFUNCTION("""COMPUTED_VALUE"""),0)</f>
        <v>0</v>
      </c>
      <c r="BZ407" s="30"/>
      <c r="CA407" s="30" t="str">
        <f ca="1">IFERROR(__xludf.DUMMYFUNCTION("""COMPUTED_VALUE"""),"No")</f>
        <v>No</v>
      </c>
      <c r="CB407" s="30" t="str">
        <f ca="1">IFERROR(__xludf.DUMMYFUNCTION("""COMPUTED_VALUE"""),"No")</f>
        <v>No</v>
      </c>
      <c r="CC407" s="30" t="str">
        <f ca="1">IFERROR(__xludf.DUMMYFUNCTION("""COMPUTED_VALUE"""),"90c8ea84")</f>
        <v>90c8ea84</v>
      </c>
      <c r="CD407" s="29" t="str">
        <f ca="1">IFERROR(__xludf.DUMMYFUNCTION("""COMPUTED_VALUE"""),"Niñas y Niños (6 a 12 años)")</f>
        <v>Niñas y Niños (6 a 12 años)</v>
      </c>
      <c r="CE407" s="30" t="str">
        <f ca="1">IFERROR(__xludf.DUMMYFUNCTION("""COMPUTED_VALUE"""),"Dato global")</f>
        <v>Dato global</v>
      </c>
      <c r="CF407" s="30" t="str">
        <f ca="1">IFERROR(__xludf.DUMMYFUNCTION("""COMPUTED_VALUE"""),"Ninguno (Población General)")</f>
        <v>Ninguno (Población General)</v>
      </c>
      <c r="CG407" s="30">
        <f ca="1">IFERROR(__xludf.DUMMYFUNCTION("""COMPUTED_VALUE"""),7)</f>
        <v>7</v>
      </c>
      <c r="CJ407" s="29"/>
      <c r="CM407" s="30" t="str">
        <f ca="1">IFERROR(__xludf.DUMMYFUNCTION("""COMPUTED_VALUE"""),"Silao de la Victoria")</f>
        <v>Silao de la Victoria</v>
      </c>
      <c r="CN407" s="32" t="e">
        <f ca="1"/>
        <v>#NAME?</v>
      </c>
      <c r="CO407" s="32" t="e">
        <f ca="1"/>
        <v>#NAME?</v>
      </c>
      <c r="CP407" s="32" t="e">
        <f ca="1"/>
        <v>#NAME?</v>
      </c>
      <c r="CQ407" s="32" t="e">
        <f ca="1"/>
        <v>#NAME?</v>
      </c>
      <c r="CR407" s="30" t="e">
        <f ca="1"/>
        <v>#NAME?</v>
      </c>
      <c r="CS407"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08" spans="1:97" ht="13">
      <c r="A408" s="29" t="str">
        <f ca="1">IFERROR(__xludf.DUMMYFUNCTION("""COMPUTED_VALUE"""),"ACT-SCXI94588")</f>
        <v>ACT-SCXI94588</v>
      </c>
      <c r="B408" s="30" t="str">
        <f ca="1">IFERROR(__xludf.DUMMYFUNCTION("""COMPUTED_VALUE"""),"SC-260915-162952")</f>
        <v>SC-260915-162952</v>
      </c>
      <c r="C408" s="62">
        <f ca="1">IFERROR(__xludf.DUMMYFUNCTION("""COMPUTED_VALUE"""),46280.6874074074)</f>
        <v>46280.6874074074</v>
      </c>
      <c r="D408" s="30">
        <f ca="1">IFERROR(__xludf.DUMMYFUNCTION("""COMPUTED_VALUE"""),92)</f>
        <v>92</v>
      </c>
      <c r="E408" s="30" t="str">
        <f ca="1">IFERROR(__xludf.DUMMYFUNCTION("""COMPUTED_VALUE"""),"PB3572")</f>
        <v>PB3572</v>
      </c>
      <c r="F40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8" s="30" t="str">
        <f ca="1">IFERROR(__xludf.DUMMYFUNCTION("""COMPUTED_VALUE"""),"SUBSECRETARÍA DE DESARROLLO Y PROMOCIÓN ARTÍSTICA Y CULTURAL")</f>
        <v>SUBSECRETARÍA DE DESARROLLO Y PROMOCIÓN ARTÍSTICA Y CULTURAL</v>
      </c>
      <c r="I408" s="34" t="str">
        <f ca="1">IFERROR(__xludf.DUMMYFUNCTION("""COMPUTED_VALUE"""),"DIRECCIÓN GENERAL DE MUSEOS, ARTES VISUALES Y EXPOSICIONES")</f>
        <v>DIRECCIÓN GENERAL DE MUSEOS, ARTES VISUALES Y EXPOSICIONES</v>
      </c>
      <c r="J408" s="30" t="str">
        <f ca="1">IFERROR(__xludf.DUMMYFUNCTION("""COMPUTED_VALUE"""),"Número de Actividades realizadas")</f>
        <v>Número de Actividades realizadas</v>
      </c>
      <c r="K408" s="30">
        <f ca="1">IFERROR(__xludf.DUMMYFUNCTION("""COMPUTED_VALUE"""),800)</f>
        <v>800</v>
      </c>
      <c r="L408" s="30" t="str">
        <f ca="1">IFERROR(__xludf.DUMMYFUNCTION("""COMPUTED_VALUE"""),"Artística")</f>
        <v>Artística</v>
      </c>
      <c r="M408" s="30" t="str">
        <f ca="1">IFERROR(__xludf.DUMMYFUNCTION("""COMPUTED_VALUE"""),"Espacios incidentales: presentación de la orquesta Vientos Musicales")</f>
        <v>Espacios incidentales: presentación de la orquesta Vientos Musicales</v>
      </c>
      <c r="N408" s="30" t="str">
        <f ca="1">IFERROR(__xludf.DUMMYFUNCTION("""COMPUTED_VALUE"""),"Presentación de la orquesta Vientos Musicales de Purísima del Rincón")</f>
        <v>Presentación de la orquesta Vientos Musicales de Purísima del Rincón</v>
      </c>
      <c r="O408" s="30" t="str">
        <f ca="1">IFERROR(__xludf.DUMMYFUNCTION("""COMPUTED_VALUE"""),"Única")</f>
        <v>Única</v>
      </c>
      <c r="P408" s="33">
        <f ca="1">IFERROR(__xludf.DUMMYFUNCTION("""COMPUTED_VALUE"""),46262)</f>
        <v>46262</v>
      </c>
      <c r="Q408" s="33">
        <f ca="1">IFERROR(__xludf.DUMMYFUNCTION("""COMPUTED_VALUE"""),46262)</f>
        <v>46262</v>
      </c>
      <c r="R408" s="30">
        <f ca="1">IFERROR(__xludf.DUMMYFUNCTION("""COMPUTED_VALUE"""),1)</f>
        <v>1</v>
      </c>
      <c r="S408" s="30" t="str">
        <f ca="1">IFERROR(__xludf.DUMMYFUNCTION("""COMPUTED_VALUE"""),"Cultura comunitaria")</f>
        <v>Cultura comunitaria</v>
      </c>
      <c r="T408" s="30" t="str">
        <f ca="1">IFERROR(__xludf.DUMMYFUNCTION("""COMPUTED_VALUE"""),"Formación comunitaria")</f>
        <v>Formación comunitaria</v>
      </c>
      <c r="U408" s="30" t="str">
        <f ca="1">IFERROR(__xludf.DUMMYFUNCTION("""COMPUTED_VALUE"""),"Muestra artística")</f>
        <v>Muestra artística</v>
      </c>
      <c r="V408" s="30" t="str">
        <f ca="1">IFERROR(__xludf.DUMMYFUNCTION("""COMPUTED_VALUE"""),"Ninguna")</f>
        <v>Ninguna</v>
      </c>
      <c r="W408" s="30" t="str">
        <f ca="1">IFERROR(__xludf.DUMMYFUNCTION("""COMPUTED_VALUE"""),"Presencial")</f>
        <v>Presencial</v>
      </c>
      <c r="X408" s="30" t="str">
        <f ca="1">IFERROR(__xludf.DUMMYFUNCTION("""COMPUTED_VALUE"""),"Espacio a Cargo de la Secretaría")</f>
        <v>Espacio a Cargo de la Secretaría</v>
      </c>
      <c r="Y408" s="30" t="str">
        <f ca="1">IFERROR(__xludf.DUMMYFUNCTION("""COMPUTED_VALUE"""),"Museo Hermenegildo Bustos, Sala temporal 8 y 9")</f>
        <v>Museo Hermenegildo Bustos, Sala temporal 8 y 9</v>
      </c>
      <c r="Z408" s="30"/>
      <c r="AA408" s="30"/>
      <c r="AB408" s="30" t="b">
        <f ca="1">IFERROR(__xludf.DUMMYFUNCTION("""COMPUTED_VALUE"""),FALSE)</f>
        <v>0</v>
      </c>
      <c r="AC408" s="30"/>
      <c r="AD408" s="30" t="b">
        <f ca="1">IFERROR(__xludf.DUMMYFUNCTION("""COMPUTED_VALUE"""),FALSE)</f>
        <v>0</v>
      </c>
      <c r="AE408" s="30"/>
      <c r="AF408" s="30" t="b">
        <f ca="1">IFERROR(__xludf.DUMMYFUNCTION("""COMPUTED_VALUE"""),FALSE)</f>
        <v>0</v>
      </c>
      <c r="AG408" s="30"/>
      <c r="AH408" s="30" t="str">
        <f ca="1">IFERROR(__xludf.DUMMYFUNCTION("""COMPUTED_VALUE"""),"Sin costo")</f>
        <v>Sin costo</v>
      </c>
      <c r="AI408" s="30"/>
      <c r="AJ408" s="30"/>
      <c r="AK408" s="30"/>
      <c r="AL408" s="30" t="str">
        <f ca="1">IFERROR(__xludf.DUMMYFUNCTION("""COMPUTED_VALUE"""),"ccardonav@guanajuato.gob.mx")</f>
        <v>ccardonav@guanajuato.gob.mx</v>
      </c>
      <c r="AM408" s="30" t="str">
        <f ca="1">IFERROR(__xludf.DUMMYFUNCTION("""COMPUTED_VALUE"""),"Arraigo y empoderamiento cultural de comunidades.")</f>
        <v>Arraigo y empoderamiento cultural de comunidades.</v>
      </c>
      <c r="AN408" s="30" t="str">
        <f ca="1">IFERROR(__xludf.DUMMYFUNCTION("""COMPUTED_VALUE"""),"2 Igualdad")</f>
        <v>2 Igualdad</v>
      </c>
      <c r="AO408" s="30" t="str">
        <f ca="1">IFERROR(__xludf.DUMMYFUNCTION("""COMPUTED_VALUE"""),"2.2 Fortalecer cohesión social")</f>
        <v>2.2 Fortalecer cohesión social</v>
      </c>
      <c r="AP408" s="30" t="str">
        <f ca="1">IFERROR(__xludf.DUMMYFUNCTION("""COMPUTED_VALUE"""),"2.2.1 Participación social comunitaria")</f>
        <v>2.2.1 Participación social comunitaria</v>
      </c>
      <c r="AQ408" s="30" t="str">
        <f ca="1">IFERROR(__xludf.DUMMYFUNCTION("""COMPUTED_VALUE"""),"2.2.1 Participación social comunitaria")</f>
        <v>2.2.1 Participación social comunitaria</v>
      </c>
      <c r="AR408" s="30" t="str">
        <f ca="1">IFERROR(__xludf.DUMMYFUNCTION("""COMPUTED_VALUE"""),"Cooperación")</f>
        <v>Cooperación</v>
      </c>
      <c r="AS408" s="30"/>
      <c r="AT408" s="30" t="str">
        <f ca="1">IFERROR(__xludf.DUMMYFUNCTION("""COMPUTED_VALUE"""),"Fortalecimiento de la participación ciudadana y la mediación cultural")</f>
        <v>Fortalecimiento de la participación ciudadana y la mediación cultural</v>
      </c>
      <c r="AU408" s="30" t="str">
        <f ca="1">IFERROR(__xludf.DUMMYFUNCTION("""COMPUTED_VALUE"""),"Impulso a la ampliación de la oferta cultural en los territorios.")</f>
        <v>Impulso a la ampliación de la oferta cultural en los territorios.</v>
      </c>
      <c r="AV40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8" s="30" t="str">
        <f ca="1">IFERROR(__xludf.DUMMYFUNCTION("""COMPUTED_VALUE"""),"Incrementar en 25% la oferta cultural realizada en los municipios.")</f>
        <v>Incrementar en 25% la oferta cultural realizada en los municipios.</v>
      </c>
      <c r="AX408" s="30" t="str">
        <f ca="1">IFERROR(__xludf.DUMMYFUNCTION("""COMPUTED_VALUE"""),"Presentación artística")</f>
        <v>Presentación artística</v>
      </c>
      <c r="AY408" s="30" t="str">
        <f ca="1">IFERROR(__xludf.DUMMYFUNCTION("""COMPUTED_VALUE"""),"Mediación")</f>
        <v>Mediación</v>
      </c>
      <c r="AZ408" s="30"/>
      <c r="BA408" s="30"/>
      <c r="BB408" s="30"/>
      <c r="BC408" s="30">
        <f ca="1">IFERROR(__xludf.DUMMYFUNCTION("""COMPUTED_VALUE"""),0)</f>
        <v>0</v>
      </c>
      <c r="BD408" s="30"/>
      <c r="BE408" s="30"/>
      <c r="BF408" s="30" t="b">
        <f ca="1">IFERROR(__xludf.DUMMYFUNCTION("""COMPUTED_VALUE"""),FALSE)</f>
        <v>0</v>
      </c>
      <c r="BG408" s="30"/>
      <c r="BH408" s="30"/>
      <c r="BI408" s="30"/>
      <c r="BJ408" s="30"/>
      <c r="BK408" s="30"/>
      <c r="BL408" s="30" t="str">
        <f ca="1">IFERROR(__xludf.DUMMYFUNCTION("""COMPUTED_VALUE"""),"Vinculación")</f>
        <v>Vinculación</v>
      </c>
      <c r="BM408" s="30" t="str">
        <f ca="1">IFERROR(__xludf.DUMMYFUNCTION("""COMPUTED_VALUE"""),"Sí")</f>
        <v>Sí</v>
      </c>
      <c r="BN408" s="30" t="str">
        <f ca="1">IFERROR(__xludf.DUMMYFUNCTION("""COMPUTED_VALUE"""),"Acompañamiento Técnico")</f>
        <v>Acompañamiento Técnico</v>
      </c>
      <c r="BO408" s="30" t="str">
        <f ca="1">IFERROR(__xludf.DUMMYFUNCTION("""COMPUTED_VALUE"""),"b31e0e43")</f>
        <v>b31e0e43</v>
      </c>
      <c r="BP408" s="29" t="str">
        <f ca="1">IFERROR(__xludf.DUMMYFUNCTION("""COMPUTED_VALUE"""),"Silao de la Victoria")</f>
        <v>Silao de la Victoria</v>
      </c>
      <c r="BQ408" s="30" t="str">
        <f ca="1">IFERROR(__xludf.DUMMYFUNCTION("""COMPUTED_VALUE"""),"Urbano")</f>
        <v>Urbano</v>
      </c>
      <c r="BR408" s="30"/>
      <c r="BS408" s="30"/>
      <c r="BT408" s="30"/>
      <c r="BU408" s="30" t="str">
        <f ca="1">IFERROR(__xludf.DUMMYFUNCTION("""COMPUTED_VALUE"""),"No")</f>
        <v>No</v>
      </c>
      <c r="BV408" s="30" t="str">
        <f ca="1">IFERROR(__xludf.DUMMYFUNCTION("""COMPUTED_VALUE"""),"No")</f>
        <v>No</v>
      </c>
      <c r="BW408" s="30">
        <f ca="1">IFERROR(__xludf.DUMMYFUNCTION("""COMPUTED_VALUE"""),31)</f>
        <v>31</v>
      </c>
      <c r="BX408" s="30">
        <f ca="1">IFERROR(__xludf.DUMMYFUNCTION("""COMPUTED_VALUE"""),31)</f>
        <v>31</v>
      </c>
      <c r="BY408" s="30">
        <f ca="1">IFERROR(__xludf.DUMMYFUNCTION("""COMPUTED_VALUE"""),0)</f>
        <v>0</v>
      </c>
      <c r="BZ408" s="30"/>
      <c r="CA408" s="30" t="str">
        <f ca="1">IFERROR(__xludf.DUMMYFUNCTION("""COMPUTED_VALUE"""),"No")</f>
        <v>No</v>
      </c>
      <c r="CB408" s="30" t="str">
        <f ca="1">IFERROR(__xludf.DUMMYFUNCTION("""COMPUTED_VALUE"""),"No")</f>
        <v>No</v>
      </c>
      <c r="CC408" s="30" t="str">
        <f ca="1">IFERROR(__xludf.DUMMYFUNCTION("""COMPUTED_VALUE"""),"97acb888")</f>
        <v>97acb888</v>
      </c>
      <c r="CD408" s="29" t="str">
        <f ca="1">IFERROR(__xludf.DUMMYFUNCTION("""COMPUTED_VALUE"""),"Adultos (30 a 59 años)")</f>
        <v>Adultos (30 a 59 años)</v>
      </c>
      <c r="CE408" s="30" t="str">
        <f ca="1">IFERROR(__xludf.DUMMYFUNCTION("""COMPUTED_VALUE"""),"Dato global")</f>
        <v>Dato global</v>
      </c>
      <c r="CF408" s="30" t="str">
        <f ca="1">IFERROR(__xludf.DUMMYFUNCTION("""COMPUTED_VALUE"""),"Ninguno (Población General)")</f>
        <v>Ninguno (Población General)</v>
      </c>
      <c r="CG408" s="30">
        <f ca="1">IFERROR(__xludf.DUMMYFUNCTION("""COMPUTED_VALUE"""),3)</f>
        <v>3</v>
      </c>
      <c r="CJ408" s="29"/>
      <c r="CM408" s="30" t="str">
        <f ca="1">IFERROR(__xludf.DUMMYFUNCTION("""COMPUTED_VALUE"""),"Silao de la Victoria")</f>
        <v>Silao de la Victoria</v>
      </c>
      <c r="CN408" s="32" t="e">
        <f ca="1"/>
        <v>#NAME?</v>
      </c>
      <c r="CO408" s="32" t="e">
        <f ca="1"/>
        <v>#NAME?</v>
      </c>
      <c r="CP408" s="32" t="e">
        <f ca="1"/>
        <v>#NAME?</v>
      </c>
      <c r="CQ408" s="32" t="e">
        <f ca="1"/>
        <v>#NAME?</v>
      </c>
      <c r="CR408" s="30" t="e">
        <f ca="1"/>
        <v>#NAME?</v>
      </c>
      <c r="CS408"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09" spans="1:97" ht="13">
      <c r="A409" s="29" t="str">
        <f ca="1">IFERROR(__xludf.DUMMYFUNCTION("""COMPUTED_VALUE"""),"ACT-SCMV84403")</f>
        <v>ACT-SCMV84403</v>
      </c>
      <c r="B409" s="30" t="str">
        <f ca="1">IFERROR(__xludf.DUMMYFUNCTION("""COMPUTED_VALUE"""),"SC-260915-163815")</f>
        <v>SC-260915-163815</v>
      </c>
      <c r="C409" s="62">
        <f ca="1">IFERROR(__xludf.DUMMYFUNCTION("""COMPUTED_VALUE"""),46280.6932291666)</f>
        <v>46280.693229166602</v>
      </c>
      <c r="D409" s="30">
        <f ca="1">IFERROR(__xludf.DUMMYFUNCTION("""COMPUTED_VALUE"""),92)</f>
        <v>92</v>
      </c>
      <c r="E409" s="30" t="str">
        <f ca="1">IFERROR(__xludf.DUMMYFUNCTION("""COMPUTED_VALUE"""),"PB3572")</f>
        <v>PB3572</v>
      </c>
      <c r="F40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0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09" s="30" t="str">
        <f ca="1">IFERROR(__xludf.DUMMYFUNCTION("""COMPUTED_VALUE"""),"SUBSECRETARÍA DE DESARROLLO Y PROMOCIÓN ARTÍSTICA Y CULTURAL")</f>
        <v>SUBSECRETARÍA DE DESARROLLO Y PROMOCIÓN ARTÍSTICA Y CULTURAL</v>
      </c>
      <c r="I409" s="34" t="str">
        <f ca="1">IFERROR(__xludf.DUMMYFUNCTION("""COMPUTED_VALUE"""),"DIRECCIÓN GENERAL DE MUSEOS, ARTES VISUALES Y EXPOSICIONES")</f>
        <v>DIRECCIÓN GENERAL DE MUSEOS, ARTES VISUALES Y EXPOSICIONES</v>
      </c>
      <c r="J409" s="30" t="str">
        <f ca="1">IFERROR(__xludf.DUMMYFUNCTION("""COMPUTED_VALUE"""),"Número de Actividades realizadas")</f>
        <v>Número de Actividades realizadas</v>
      </c>
      <c r="K409" s="30">
        <f ca="1">IFERROR(__xludf.DUMMYFUNCTION("""COMPUTED_VALUE"""),800)</f>
        <v>800</v>
      </c>
      <c r="L409" s="30" t="str">
        <f ca="1">IFERROR(__xludf.DUMMYFUNCTION("""COMPUTED_VALUE"""),"Cultural")</f>
        <v>Cultural</v>
      </c>
      <c r="M409" s="30" t="str">
        <f ca="1">IFERROR(__xludf.DUMMYFUNCTION("""COMPUTED_VALUE"""),"Espacios incidentales: Premios Juventudes")</f>
        <v>Espacios incidentales: Premios Juventudes</v>
      </c>
      <c r="N409" s="30" t="str">
        <f ca="1">IFERROR(__xludf.DUMMYFUNCTION("""COMPUTED_VALUE"""),"Se otorgan premios juventudes a personas destacadas del municipio de Purísima del Rincón en diferentes categorías como arte y cultura, deporte, ciencias, etc.")</f>
        <v>Se otorgan premios juventudes a personas destacadas del municipio de Purísima del Rincón en diferentes categorías como arte y cultura, deporte, ciencias, etc.</v>
      </c>
      <c r="O409" s="30" t="str">
        <f ca="1">IFERROR(__xludf.DUMMYFUNCTION("""COMPUTED_VALUE"""),"Única")</f>
        <v>Única</v>
      </c>
      <c r="P409" s="33">
        <f ca="1">IFERROR(__xludf.DUMMYFUNCTION("""COMPUTED_VALUE"""),46269)</f>
        <v>46269</v>
      </c>
      <c r="Q409" s="33">
        <f ca="1">IFERROR(__xludf.DUMMYFUNCTION("""COMPUTED_VALUE"""),46269)</f>
        <v>46269</v>
      </c>
      <c r="R409" s="30">
        <f ca="1">IFERROR(__xludf.DUMMYFUNCTION("""COMPUTED_VALUE"""),1)</f>
        <v>1</v>
      </c>
      <c r="S409" s="30" t="str">
        <f ca="1">IFERROR(__xludf.DUMMYFUNCTION("""COMPUTED_VALUE"""),"Multidisciplinario")</f>
        <v>Multidisciplinario</v>
      </c>
      <c r="T409" s="30" t="str">
        <f ca="1">IFERROR(__xludf.DUMMYFUNCTION("""COMPUTED_VALUE"""),"Interdisciplinario")</f>
        <v>Interdisciplinario</v>
      </c>
      <c r="U409" s="30" t="str">
        <f ca="1">IFERROR(__xludf.DUMMYFUNCTION("""COMPUTED_VALUE"""),"Uso temporal de espacio patrimonial")</f>
        <v>Uso temporal de espacio patrimonial</v>
      </c>
      <c r="V409" s="30" t="str">
        <f ca="1">IFERROR(__xludf.DUMMYFUNCTION("""COMPUTED_VALUE"""),"Ninguna")</f>
        <v>Ninguna</v>
      </c>
      <c r="W409" s="30" t="str">
        <f ca="1">IFERROR(__xludf.DUMMYFUNCTION("""COMPUTED_VALUE"""),"Presencial")</f>
        <v>Presencial</v>
      </c>
      <c r="X409" s="30" t="str">
        <f ca="1">IFERROR(__xludf.DUMMYFUNCTION("""COMPUTED_VALUE"""),"Espacio a Cargo de la Secretaría")</f>
        <v>Espacio a Cargo de la Secretaría</v>
      </c>
      <c r="Y409" s="30" t="str">
        <f ca="1">IFERROR(__xludf.DUMMYFUNCTION("""COMPUTED_VALUE"""),"Museo Hermenegildo Bustos, Sala temporal 8 y 9")</f>
        <v>Museo Hermenegildo Bustos, Sala temporal 8 y 9</v>
      </c>
      <c r="Z409" s="30"/>
      <c r="AA409" s="30"/>
      <c r="AB409" s="30" t="b">
        <f ca="1">IFERROR(__xludf.DUMMYFUNCTION("""COMPUTED_VALUE"""),FALSE)</f>
        <v>0</v>
      </c>
      <c r="AC409" s="30"/>
      <c r="AD409" s="30" t="b">
        <f ca="1">IFERROR(__xludf.DUMMYFUNCTION("""COMPUTED_VALUE"""),FALSE)</f>
        <v>0</v>
      </c>
      <c r="AE409" s="30"/>
      <c r="AF409" s="30" t="b">
        <f ca="1">IFERROR(__xludf.DUMMYFUNCTION("""COMPUTED_VALUE"""),FALSE)</f>
        <v>0</v>
      </c>
      <c r="AG409" s="30"/>
      <c r="AH409" s="30" t="str">
        <f ca="1">IFERROR(__xludf.DUMMYFUNCTION("""COMPUTED_VALUE"""),"Sin costo")</f>
        <v>Sin costo</v>
      </c>
      <c r="AI409" s="30"/>
      <c r="AJ409" s="30"/>
      <c r="AK409" s="30"/>
      <c r="AL409" s="30" t="str">
        <f ca="1">IFERROR(__xludf.DUMMYFUNCTION("""COMPUTED_VALUE"""),"ccardonav@guanajuato.gob.mx")</f>
        <v>ccardonav@guanajuato.gob.mx</v>
      </c>
      <c r="AM409" s="30" t="str">
        <f ca="1">IFERROR(__xludf.DUMMYFUNCTION("""COMPUTED_VALUE"""),"Arraigo y empoderamiento cultural de comunidades.")</f>
        <v>Arraigo y empoderamiento cultural de comunidades.</v>
      </c>
      <c r="AN409" s="30" t="str">
        <f ca="1">IFERROR(__xludf.DUMMYFUNCTION("""COMPUTED_VALUE"""),"2 Igualdad")</f>
        <v>2 Igualdad</v>
      </c>
      <c r="AO409" s="30" t="str">
        <f ca="1">IFERROR(__xludf.DUMMYFUNCTION("""COMPUTED_VALUE"""),"2.2 Fortalecer cohesión social")</f>
        <v>2.2 Fortalecer cohesión social</v>
      </c>
      <c r="AP409" s="30" t="str">
        <f ca="1">IFERROR(__xludf.DUMMYFUNCTION("""COMPUTED_VALUE"""),"2.2 Fortalecer cohesión social")</f>
        <v>2.2 Fortalecer cohesión social</v>
      </c>
      <c r="AQ409" s="30" t="str">
        <f ca="1">IFERROR(__xludf.DUMMYFUNCTION("""COMPUTED_VALUE"""),"2.2.3.2 Promover la participación de grupos prioritarios en actividades culturales")</f>
        <v>2.2.3.2 Promover la participación de grupos prioritarios en actividades culturales</v>
      </c>
      <c r="AR409" s="30" t="str">
        <f ca="1">IFERROR(__xludf.DUMMYFUNCTION("""COMPUTED_VALUE"""),"Inclusión")</f>
        <v>Inclusión</v>
      </c>
      <c r="AS409" s="30" t="str">
        <f ca="1">IFERROR(__xludf.DUMMYFUNCTION("""COMPUTED_VALUE"""),"Jóvenes en riesgo")</f>
        <v>Jóvenes en riesgo</v>
      </c>
      <c r="AT409" s="30" t="str">
        <f ca="1">IFERROR(__xludf.DUMMYFUNCTION("""COMPUTED_VALUE"""),"Fortalecimiento de la participación ciudadana y la mediación cultural")</f>
        <v>Fortalecimiento de la participación ciudadana y la mediación cultural</v>
      </c>
      <c r="AU409" s="30" t="str">
        <f ca="1">IFERROR(__xludf.DUMMYFUNCTION("""COMPUTED_VALUE"""),"Impulso a la ampliación de la oferta cultural en los territorios.")</f>
        <v>Impulso a la ampliación de la oferta cultural en los territorios.</v>
      </c>
      <c r="AV40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09" s="30" t="str">
        <f ca="1">IFERROR(__xludf.DUMMYFUNCTION("""COMPUTED_VALUE"""),"Incrementar en 25% la oferta cultural realizada en los municipios.")</f>
        <v>Incrementar en 25% la oferta cultural realizada en los municipios.</v>
      </c>
      <c r="AX409" s="30" t="str">
        <f ca="1">IFERROR(__xludf.DUMMYFUNCTION("""COMPUTED_VALUE"""),"Uso temporal de espacio patrimonial")</f>
        <v>Uso temporal de espacio patrimonial</v>
      </c>
      <c r="AY409" s="30" t="str">
        <f ca="1">IFERROR(__xludf.DUMMYFUNCTION("""COMPUTED_VALUE"""),"Formación")</f>
        <v>Formación</v>
      </c>
      <c r="AZ409" s="30" t="str">
        <f ca="1">IFERROR(__xludf.DUMMYFUNCTION("""COMPUTED_VALUE"""),"Formación")</f>
        <v>Formación</v>
      </c>
      <c r="BA409" s="30"/>
      <c r="BB409" s="30"/>
      <c r="BC409" s="30">
        <f ca="1">IFERROR(__xludf.DUMMYFUNCTION("""COMPUTED_VALUE"""),0)</f>
        <v>0</v>
      </c>
      <c r="BD409" s="30"/>
      <c r="BE409" s="30"/>
      <c r="BF409" s="30" t="b">
        <f ca="1">IFERROR(__xludf.DUMMYFUNCTION("""COMPUTED_VALUE"""),TRUE)</f>
        <v>1</v>
      </c>
      <c r="BG409" s="30" t="str">
        <f ca="1">IFERROR(__xludf.DUMMYFUNCTION("""COMPUTED_VALUE"""),"Económico")</f>
        <v>Económico</v>
      </c>
      <c r="BH409" s="30"/>
      <c r="BI409" s="30"/>
      <c r="BJ409" s="30"/>
      <c r="BK409" s="30"/>
      <c r="BL409" s="30" t="str">
        <f ca="1">IFERROR(__xludf.DUMMYFUNCTION("""COMPUTED_VALUE"""),"Vinculación")</f>
        <v>Vinculación</v>
      </c>
      <c r="BM409" s="30" t="str">
        <f ca="1">IFERROR(__xludf.DUMMYFUNCTION("""COMPUTED_VALUE"""),"Sí")</f>
        <v>Sí</v>
      </c>
      <c r="BN409" s="30" t="str">
        <f ca="1">IFERROR(__xludf.DUMMYFUNCTION("""COMPUTED_VALUE"""),"Gestión de recursos materiales")</f>
        <v>Gestión de recursos materiales</v>
      </c>
      <c r="BO409" s="30" t="str">
        <f ca="1">IFERROR(__xludf.DUMMYFUNCTION("""COMPUTED_VALUE"""),"2fdb5e7d")</f>
        <v>2fdb5e7d</v>
      </c>
      <c r="BP409" s="29" t="str">
        <f ca="1">IFERROR(__xludf.DUMMYFUNCTION("""COMPUTED_VALUE"""),"Silao de la Victoria")</f>
        <v>Silao de la Victoria</v>
      </c>
      <c r="BQ409" s="30" t="str">
        <f ca="1">IFERROR(__xludf.DUMMYFUNCTION("""COMPUTED_VALUE"""),"Urbano")</f>
        <v>Urbano</v>
      </c>
      <c r="BR409" s="30"/>
      <c r="BS409" s="30"/>
      <c r="BT409" s="30"/>
      <c r="BU409" s="30" t="str">
        <f ca="1">IFERROR(__xludf.DUMMYFUNCTION("""COMPUTED_VALUE"""),"No")</f>
        <v>No</v>
      </c>
      <c r="BV409" s="30" t="str">
        <f ca="1">IFERROR(__xludf.DUMMYFUNCTION("""COMPUTED_VALUE"""),"No")</f>
        <v>No</v>
      </c>
      <c r="BW409" s="30">
        <f ca="1">IFERROR(__xludf.DUMMYFUNCTION("""COMPUTED_VALUE"""),34)</f>
        <v>34</v>
      </c>
      <c r="BX409" s="30">
        <f ca="1">IFERROR(__xludf.DUMMYFUNCTION("""COMPUTED_VALUE"""),34)</f>
        <v>34</v>
      </c>
      <c r="BY409" s="30">
        <f ca="1">IFERROR(__xludf.DUMMYFUNCTION("""COMPUTED_VALUE"""),0)</f>
        <v>0</v>
      </c>
      <c r="BZ409" s="30"/>
      <c r="CA409" s="30" t="str">
        <f ca="1">IFERROR(__xludf.DUMMYFUNCTION("""COMPUTED_VALUE"""),"No")</f>
        <v>No</v>
      </c>
      <c r="CB409" s="30" t="str">
        <f ca="1">IFERROR(__xludf.DUMMYFUNCTION("""COMPUTED_VALUE"""),"No")</f>
        <v>No</v>
      </c>
      <c r="CC409" s="30" t="str">
        <f ca="1">IFERROR(__xludf.DUMMYFUNCTION("""COMPUTED_VALUE"""),"9bbb3837")</f>
        <v>9bbb3837</v>
      </c>
      <c r="CD409" s="29" t="str">
        <f ca="1">IFERROR(__xludf.DUMMYFUNCTION("""COMPUTED_VALUE"""),"Jóvenes (18 a 29 años)")</f>
        <v>Jóvenes (18 a 29 años)</v>
      </c>
      <c r="CE409" s="30" t="str">
        <f ca="1">IFERROR(__xludf.DUMMYFUNCTION("""COMPUTED_VALUE"""),"Dato global")</f>
        <v>Dato global</v>
      </c>
      <c r="CF409" s="30" t="str">
        <f ca="1">IFERROR(__xludf.DUMMYFUNCTION("""COMPUTED_VALUE"""),"Ninguno (Población General)")</f>
        <v>Ninguno (Población General)</v>
      </c>
      <c r="CG409" s="30">
        <f ca="1">IFERROR(__xludf.DUMMYFUNCTION("""COMPUTED_VALUE"""),11)</f>
        <v>11</v>
      </c>
      <c r="CJ409" s="29"/>
      <c r="CM409" s="30" t="str">
        <f ca="1">IFERROR(__xludf.DUMMYFUNCTION("""COMPUTED_VALUE"""),"Silao de la Victoria")</f>
        <v>Silao de la Victoria</v>
      </c>
      <c r="CN409" s="32" t="e">
        <f ca="1"/>
        <v>#NAME?</v>
      </c>
      <c r="CO409" s="32" t="e">
        <f ca="1"/>
        <v>#NAME?</v>
      </c>
      <c r="CP409" s="32" t="e">
        <f ca="1"/>
        <v>#NAME?</v>
      </c>
      <c r="CQ409" s="32" t="e">
        <f ca="1"/>
        <v>#NAME?</v>
      </c>
      <c r="CR409" s="30" t="e">
        <f ca="1"/>
        <v>#NAME?</v>
      </c>
      <c r="CS409" s="30" t="str">
        <f ca="1">IFERROR(__xludf.DUMMYFUNCTION("""COMPUTED_VALUE"""),"Jóvenes en riesgo, Jóvenes en riesgo, Jóvenes en riesgo, Jóvenes en riesgo")</f>
        <v>Jóvenes en riesgo, Jóvenes en riesgo, Jóvenes en riesgo, Jóvenes en riesgo</v>
      </c>
    </row>
    <row r="410" spans="1:97" ht="13">
      <c r="A410" s="29" t="str">
        <f ca="1">IFERROR(__xludf.DUMMYFUNCTION("""COMPUTED_VALUE"""),"ACT-SCMY17952")</f>
        <v>ACT-SCMY17952</v>
      </c>
      <c r="B410" s="30" t="str">
        <f ca="1">IFERROR(__xludf.DUMMYFUNCTION("""COMPUTED_VALUE"""),"SC-260917-102217")</f>
        <v>SC-260917-102217</v>
      </c>
      <c r="C410" s="62">
        <f ca="1">IFERROR(__xludf.DUMMYFUNCTION("""COMPUTED_VALUE"""),46282.4321412037)</f>
        <v>46282.432141203702</v>
      </c>
      <c r="D410" s="30">
        <f ca="1">IFERROR(__xludf.DUMMYFUNCTION("""COMPUTED_VALUE"""),92)</f>
        <v>92</v>
      </c>
      <c r="E410" s="30" t="str">
        <f ca="1">IFERROR(__xludf.DUMMYFUNCTION("""COMPUTED_VALUE"""),"PB3572")</f>
        <v>PB3572</v>
      </c>
      <c r="F41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0" s="30" t="str">
        <f ca="1">IFERROR(__xludf.DUMMYFUNCTION("""COMPUTED_VALUE"""),"SUBSECRETARÍA DE DESARROLLO Y PROMOCIÓN ARTÍSTICA Y CULTURAL")</f>
        <v>SUBSECRETARÍA DE DESARROLLO Y PROMOCIÓN ARTÍSTICA Y CULTURAL</v>
      </c>
      <c r="I410" s="34" t="str">
        <f ca="1">IFERROR(__xludf.DUMMYFUNCTION("""COMPUTED_VALUE"""),"DIRECCIÓN GENERAL DE MUSEOS, ARTES VISUALES Y EXPOSICIONES")</f>
        <v>DIRECCIÓN GENERAL DE MUSEOS, ARTES VISUALES Y EXPOSICIONES</v>
      </c>
      <c r="J410" s="30" t="str">
        <f ca="1">IFERROR(__xludf.DUMMYFUNCTION("""COMPUTED_VALUE"""),"Número de Actividades realizadas")</f>
        <v>Número de Actividades realizadas</v>
      </c>
      <c r="K410" s="30">
        <f ca="1">IFERROR(__xludf.DUMMYFUNCTION("""COMPUTED_VALUE"""),800)</f>
        <v>800</v>
      </c>
      <c r="L410" s="30" t="str">
        <f ca="1">IFERROR(__xludf.DUMMYFUNCTION("""COMPUTED_VALUE"""),"Cultural")</f>
        <v>Cultural</v>
      </c>
      <c r="M410" s="30" t="str">
        <f ca="1">IFERROR(__xludf.DUMMYFUNCTION("""COMPUTED_VALUE"""),"Visita Libre")</f>
        <v>Visita Libre</v>
      </c>
      <c r="N410" s="30" t="str">
        <f ca="1">IFERROR(__xludf.DUMMYFUNCTION("""COMPUTED_VALUE"""),"Recorrido Guiado")</f>
        <v>Recorrido Guiado</v>
      </c>
      <c r="O410" s="30" t="str">
        <f ca="1">IFERROR(__xludf.DUMMYFUNCTION("""COMPUTED_VALUE"""),"Única")</f>
        <v>Única</v>
      </c>
      <c r="P410" s="33">
        <f ca="1">IFERROR(__xludf.DUMMYFUNCTION("""COMPUTED_VALUE"""),46215)</f>
        <v>46215</v>
      </c>
      <c r="Q410" s="33">
        <f ca="1">IFERROR(__xludf.DUMMYFUNCTION("""COMPUTED_VALUE"""),46215)</f>
        <v>46215</v>
      </c>
      <c r="R410" s="30">
        <f ca="1">IFERROR(__xludf.DUMMYFUNCTION("""COMPUTED_VALUE"""),1)</f>
        <v>1</v>
      </c>
      <c r="S410" s="30" t="str">
        <f ca="1">IFERROR(__xludf.DUMMYFUNCTION("""COMPUTED_VALUE"""),"Cultura comunitaria")</f>
        <v>Cultura comunitaria</v>
      </c>
      <c r="T410" s="30" t="str">
        <f ca="1">IFERROR(__xludf.DUMMYFUNCTION("""COMPUTED_VALUE"""),"Formación comunitaria")</f>
        <v>Formación comunitaria</v>
      </c>
      <c r="U410" s="30" t="str">
        <f ca="1">IFERROR(__xludf.DUMMYFUNCTION("""COMPUTED_VALUE"""),"Visitas guiadas")</f>
        <v>Visitas guiadas</v>
      </c>
      <c r="V410" s="30" t="str">
        <f ca="1">IFERROR(__xludf.DUMMYFUNCTION("""COMPUTED_VALUE"""),"Ninguna")</f>
        <v>Ninguna</v>
      </c>
      <c r="W410" s="30" t="str">
        <f ca="1">IFERROR(__xludf.DUMMYFUNCTION("""COMPUTED_VALUE"""),"Presencial")</f>
        <v>Presencial</v>
      </c>
      <c r="X410" s="30" t="str">
        <f ca="1">IFERROR(__xludf.DUMMYFUNCTION("""COMPUTED_VALUE"""),"Espacio a Cargo de la Secretaría")</f>
        <v>Espacio a Cargo de la Secretaría</v>
      </c>
      <c r="Y410" s="30" t="str">
        <f ca="1">IFERROR(__xludf.DUMMYFUNCTION("""COMPUTED_VALUE"""),"Museo José y Tomas Chavez Morado")</f>
        <v>Museo José y Tomas Chavez Morado</v>
      </c>
      <c r="Z410" s="30"/>
      <c r="AA410" s="30"/>
      <c r="AB410" s="30" t="b">
        <f ca="1">IFERROR(__xludf.DUMMYFUNCTION("""COMPUTED_VALUE"""),FALSE)</f>
        <v>0</v>
      </c>
      <c r="AC410" s="30"/>
      <c r="AD410" s="30" t="b">
        <f ca="1">IFERROR(__xludf.DUMMYFUNCTION("""COMPUTED_VALUE"""),FALSE)</f>
        <v>0</v>
      </c>
      <c r="AE410" s="30"/>
      <c r="AF410" s="30" t="b">
        <f ca="1">IFERROR(__xludf.DUMMYFUNCTION("""COMPUTED_VALUE"""),FALSE)</f>
        <v>0</v>
      </c>
      <c r="AG410" s="30"/>
      <c r="AH410" s="30" t="str">
        <f ca="1">IFERROR(__xludf.DUMMYFUNCTION("""COMPUTED_VALUE"""),"Sin costo")</f>
        <v>Sin costo</v>
      </c>
      <c r="AI410" s="30"/>
      <c r="AJ410" s="30"/>
      <c r="AK410" s="30"/>
      <c r="AL410" s="30" t="str">
        <f ca="1">IFERROR(__xludf.DUMMYFUNCTION("""COMPUTED_VALUE"""),"ccardonav@guanajuato.gob.mx")</f>
        <v>ccardonav@guanajuato.gob.mx</v>
      </c>
      <c r="AM410" s="30" t="str">
        <f ca="1">IFERROR(__xludf.DUMMYFUNCTION("""COMPUTED_VALUE"""),"Arraigo y empoderamiento cultural de comunidades.")</f>
        <v>Arraigo y empoderamiento cultural de comunidades.</v>
      </c>
      <c r="AN410" s="30" t="str">
        <f ca="1">IFERROR(__xludf.DUMMYFUNCTION("""COMPUTED_VALUE"""),"1 Tranquilidad")</f>
        <v>1 Tranquilidad</v>
      </c>
      <c r="AO410" s="30" t="str">
        <f ca="1">IFERROR(__xludf.DUMMYFUNCTION("""COMPUTED_VALUE"""),"1.2 Fortalecer prevención del delito")</f>
        <v>1.2 Fortalecer prevención del delito</v>
      </c>
      <c r="AP410" s="30" t="str">
        <f ca="1">IFERROR(__xludf.DUMMYFUNCTION("""COMPUTED_VALUE"""),"1.2.2 Fortalecimiento del tejido social")</f>
        <v>1.2.2 Fortalecimiento del tejido social</v>
      </c>
      <c r="AQ410" s="30" t="str">
        <f ca="1">IFERROR(__xludf.DUMMYFUNCTION("""COMPUTED_VALUE"""),"1.2.3.4 Promover una cultura de paz desde las expresiones artísticas y culturales")</f>
        <v>1.2.3.4 Promover una cultura de paz desde las expresiones artísticas y culturales</v>
      </c>
      <c r="AR410" s="30" t="str">
        <f ca="1">IFERROR(__xludf.DUMMYFUNCTION("""COMPUTED_VALUE"""),"Cooperación")</f>
        <v>Cooperación</v>
      </c>
      <c r="AS410" s="30"/>
      <c r="AT410" s="30" t="str">
        <f ca="1">IFERROR(__xludf.DUMMYFUNCTION("""COMPUTED_VALUE"""),"Fortalecimiento de la participación ciudadana y la mediación cultural")</f>
        <v>Fortalecimiento de la participación ciudadana y la mediación cultural</v>
      </c>
      <c r="AU410" s="30" t="str">
        <f ca="1">IFERROR(__xludf.DUMMYFUNCTION("""COMPUTED_VALUE"""),"Fortalecimiento del diálogo, la mediación y las capacidades de las redes comunitarias.")</f>
        <v>Fortalecimiento del diálogo, la mediación y las capacidades de las redes comunitarias.</v>
      </c>
      <c r="AV410" s="30" t="str">
        <f ca="1">IFERROR(__xludf.DUMMYFUNCTION("""COMPUTED_VALUE"""),"Diseñar e impartir talleres de formación en derechos culturales")</f>
        <v>Diseñar e impartir talleres de formación en derechos culturales</v>
      </c>
      <c r="AW410" s="30" t="str">
        <f ca="1">IFERROR(__xludf.DUMMYFUNCTION("""COMPUTED_VALUE"""),"Incrementar en 25% la oferta cultural realizada en los municipios.")</f>
        <v>Incrementar en 25% la oferta cultural realizada en los municipios.</v>
      </c>
      <c r="AX410" s="30" t="str">
        <f ca="1">IFERROR(__xludf.DUMMYFUNCTION("""COMPUTED_VALUE"""),"Visitas guiadas")</f>
        <v>Visitas guiadas</v>
      </c>
      <c r="AY410" s="30" t="str">
        <f ca="1">IFERROR(__xludf.DUMMYFUNCTION("""COMPUTED_VALUE"""),"Circulación / Exhibición")</f>
        <v>Circulación / Exhibición</v>
      </c>
      <c r="AZ410" s="30"/>
      <c r="BA410" s="30"/>
      <c r="BB410" s="30"/>
      <c r="BC410" s="30">
        <f ca="1">IFERROR(__xludf.DUMMYFUNCTION("""COMPUTED_VALUE"""),0)</f>
        <v>0</v>
      </c>
      <c r="BD410" s="30"/>
      <c r="BE410" s="30"/>
      <c r="BF410" s="30" t="b">
        <f ca="1">IFERROR(__xludf.DUMMYFUNCTION("""COMPUTED_VALUE"""),FALSE)</f>
        <v>0</v>
      </c>
      <c r="BG410" s="30"/>
      <c r="BH410" s="30"/>
      <c r="BI410" s="30"/>
      <c r="BJ410" s="30"/>
      <c r="BK410" s="30"/>
      <c r="BL410" s="30"/>
      <c r="BM410" s="30" t="str">
        <f ca="1">IFERROR(__xludf.DUMMYFUNCTION("""COMPUTED_VALUE"""),"No")</f>
        <v>No</v>
      </c>
      <c r="BN410" s="30"/>
      <c r="BO410" s="30" t="str">
        <f ca="1">IFERROR(__xludf.DUMMYFUNCTION("""COMPUTED_VALUE"""),"03c6b31d")</f>
        <v>03c6b31d</v>
      </c>
      <c r="BP410" s="29" t="str">
        <f ca="1">IFERROR(__xludf.DUMMYFUNCTION("""COMPUTED_VALUE"""),"Silao de la Victoria")</f>
        <v>Silao de la Victoria</v>
      </c>
      <c r="BQ410" s="30" t="str">
        <f ca="1">IFERROR(__xludf.DUMMYFUNCTION("""COMPUTED_VALUE"""),"Urbano")</f>
        <v>Urbano</v>
      </c>
      <c r="BR410" s="30"/>
      <c r="BS410" s="30"/>
      <c r="BT410" s="30"/>
      <c r="BU410" s="30" t="str">
        <f ca="1">IFERROR(__xludf.DUMMYFUNCTION("""COMPUTED_VALUE"""),"No")</f>
        <v>No</v>
      </c>
      <c r="BV410" s="30" t="str">
        <f ca="1">IFERROR(__xludf.DUMMYFUNCTION("""COMPUTED_VALUE"""),"No")</f>
        <v>No</v>
      </c>
      <c r="BW410" s="30">
        <f ca="1">IFERROR(__xludf.DUMMYFUNCTION("""COMPUTED_VALUE"""),26)</f>
        <v>26</v>
      </c>
      <c r="BX410" s="30"/>
      <c r="BY410" s="30">
        <f ca="1">IFERROR(__xludf.DUMMYFUNCTION("""COMPUTED_VALUE"""),26)</f>
        <v>26</v>
      </c>
      <c r="BZ410" s="30"/>
      <c r="CA410" s="30" t="str">
        <f ca="1">IFERROR(__xludf.DUMMYFUNCTION("""COMPUTED_VALUE"""),"No")</f>
        <v>No</v>
      </c>
      <c r="CB410" s="30" t="str">
        <f ca="1">IFERROR(__xludf.DUMMYFUNCTION("""COMPUTED_VALUE"""),"No")</f>
        <v>No</v>
      </c>
      <c r="CC410" s="30" t="str">
        <f ca="1">IFERROR(__xludf.DUMMYFUNCTION("""COMPUTED_VALUE"""),"2c9f0706")</f>
        <v>2c9f0706</v>
      </c>
      <c r="CD410" s="29" t="str">
        <f ca="1">IFERROR(__xludf.DUMMYFUNCTION("""COMPUTED_VALUE"""),"Jóvenes (18 a 29 años)")</f>
        <v>Jóvenes (18 a 29 años)</v>
      </c>
      <c r="CE410" s="30" t="str">
        <f ca="1">IFERROR(__xludf.DUMMYFUNCTION("""COMPUTED_VALUE"""),"Dato global")</f>
        <v>Dato global</v>
      </c>
      <c r="CF410" s="30" t="str">
        <f ca="1">IFERROR(__xludf.DUMMYFUNCTION("""COMPUTED_VALUE"""),"Ninguno (Población General)")</f>
        <v>Ninguno (Población General)</v>
      </c>
      <c r="CG410" s="30">
        <f ca="1">IFERROR(__xludf.DUMMYFUNCTION("""COMPUTED_VALUE"""),17)</f>
        <v>17</v>
      </c>
      <c r="CJ410" s="29"/>
      <c r="CM410" s="30" t="str">
        <f ca="1">IFERROR(__xludf.DUMMYFUNCTION("""COMPUTED_VALUE"""),"Silao de la Victoria")</f>
        <v>Silao de la Victoria</v>
      </c>
      <c r="CN410" s="32" t="e">
        <f ca="1"/>
        <v>#NAME?</v>
      </c>
      <c r="CO410" s="32" t="e">
        <f ca="1"/>
        <v>#NAME?</v>
      </c>
      <c r="CP410" s="32" t="e">
        <f ca="1"/>
        <v>#NAME?</v>
      </c>
      <c r="CQ410" s="32" t="e">
        <f ca="1"/>
        <v>#NAME?</v>
      </c>
      <c r="CR410" s="30" t="e">
        <f ca="1"/>
        <v>#NAME?</v>
      </c>
      <c r="CS410"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11" spans="1:97" ht="13">
      <c r="A411" s="29" t="str">
        <f ca="1">IFERROR(__xludf.DUMMYFUNCTION("""COMPUTED_VALUE"""),"ACT-SCMY83187")</f>
        <v>ACT-SCMY83187</v>
      </c>
      <c r="B411" s="30" t="str">
        <f ca="1">IFERROR(__xludf.DUMMYFUNCTION("""COMPUTED_VALUE"""),"SC-260917-103450")</f>
        <v>SC-260917-103450</v>
      </c>
      <c r="C411" s="62">
        <f ca="1">IFERROR(__xludf.DUMMYFUNCTION("""COMPUTED_VALUE"""),46282.4408564814)</f>
        <v>46282.4408564814</v>
      </c>
      <c r="D411" s="30">
        <f ca="1">IFERROR(__xludf.DUMMYFUNCTION("""COMPUTED_VALUE"""),92)</f>
        <v>92</v>
      </c>
      <c r="E411" s="30" t="str">
        <f ca="1">IFERROR(__xludf.DUMMYFUNCTION("""COMPUTED_VALUE"""),"PB3572")</f>
        <v>PB3572</v>
      </c>
      <c r="F41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1" s="30" t="str">
        <f ca="1">IFERROR(__xludf.DUMMYFUNCTION("""COMPUTED_VALUE"""),"SUBSECRETARÍA DE DESARROLLO Y PROMOCIÓN ARTÍSTICA Y CULTURAL")</f>
        <v>SUBSECRETARÍA DE DESARROLLO Y PROMOCIÓN ARTÍSTICA Y CULTURAL</v>
      </c>
      <c r="I411" s="34" t="str">
        <f ca="1">IFERROR(__xludf.DUMMYFUNCTION("""COMPUTED_VALUE"""),"DIRECCIÓN GENERAL DE MUSEOS, ARTES VISUALES Y EXPOSICIONES")</f>
        <v>DIRECCIÓN GENERAL DE MUSEOS, ARTES VISUALES Y EXPOSICIONES</v>
      </c>
      <c r="J411" s="30" t="str">
        <f ca="1">IFERROR(__xludf.DUMMYFUNCTION("""COMPUTED_VALUE"""),"Número de Actividades realizadas")</f>
        <v>Número de Actividades realizadas</v>
      </c>
      <c r="K411" s="30">
        <f ca="1">IFERROR(__xludf.DUMMYFUNCTION("""COMPUTED_VALUE"""),800)</f>
        <v>800</v>
      </c>
      <c r="L411" s="30" t="str">
        <f ca="1">IFERROR(__xludf.DUMMYFUNCTION("""COMPUTED_VALUE"""),"Cultural")</f>
        <v>Cultural</v>
      </c>
      <c r="M411" s="30" t="str">
        <f ca="1">IFERROR(__xludf.DUMMYFUNCTION("""COMPUTED_VALUE"""),"Visita Libre")</f>
        <v>Visita Libre</v>
      </c>
      <c r="N411" s="30" t="str">
        <f ca="1">IFERROR(__xludf.DUMMYFUNCTION("""COMPUTED_VALUE"""),"Recorrido guiado por el museo")</f>
        <v>Recorrido guiado por el museo</v>
      </c>
      <c r="O411" s="30" t="str">
        <f ca="1">IFERROR(__xludf.DUMMYFUNCTION("""COMPUTED_VALUE"""),"Única")</f>
        <v>Única</v>
      </c>
      <c r="P411" s="33">
        <f ca="1">IFERROR(__xludf.DUMMYFUNCTION("""COMPUTED_VALUE"""),46222)</f>
        <v>46222</v>
      </c>
      <c r="Q411" s="33">
        <f ca="1">IFERROR(__xludf.DUMMYFUNCTION("""COMPUTED_VALUE"""),46222)</f>
        <v>46222</v>
      </c>
      <c r="R411" s="30">
        <f ca="1">IFERROR(__xludf.DUMMYFUNCTION("""COMPUTED_VALUE"""),1)</f>
        <v>1</v>
      </c>
      <c r="S411" s="30" t="str">
        <f ca="1">IFERROR(__xludf.DUMMYFUNCTION("""COMPUTED_VALUE"""),"Cultura comunitaria")</f>
        <v>Cultura comunitaria</v>
      </c>
      <c r="T411" s="30" t="str">
        <f ca="1">IFERROR(__xludf.DUMMYFUNCTION("""COMPUTED_VALUE"""),"Formación comunitaria")</f>
        <v>Formación comunitaria</v>
      </c>
      <c r="U411" s="30" t="str">
        <f ca="1">IFERROR(__xludf.DUMMYFUNCTION("""COMPUTED_VALUE"""),"Visitas guiadas")</f>
        <v>Visitas guiadas</v>
      </c>
      <c r="V411" s="30" t="str">
        <f ca="1">IFERROR(__xludf.DUMMYFUNCTION("""COMPUTED_VALUE"""),"Ninguna")</f>
        <v>Ninguna</v>
      </c>
      <c r="W411" s="30" t="str">
        <f ca="1">IFERROR(__xludf.DUMMYFUNCTION("""COMPUTED_VALUE"""),"Presencial")</f>
        <v>Presencial</v>
      </c>
      <c r="X411" s="30" t="str">
        <f ca="1">IFERROR(__xludf.DUMMYFUNCTION("""COMPUTED_VALUE"""),"Espacio a Cargo de la Secretaría")</f>
        <v>Espacio a Cargo de la Secretaría</v>
      </c>
      <c r="Y411" s="30" t="str">
        <f ca="1">IFERROR(__xludf.DUMMYFUNCTION("""COMPUTED_VALUE"""),"Museo José y Tomas Chavez Morado")</f>
        <v>Museo José y Tomas Chavez Morado</v>
      </c>
      <c r="Z411" s="30"/>
      <c r="AA411" s="30"/>
      <c r="AB411" s="30" t="b">
        <f ca="1">IFERROR(__xludf.DUMMYFUNCTION("""COMPUTED_VALUE"""),FALSE)</f>
        <v>0</v>
      </c>
      <c r="AC411" s="30"/>
      <c r="AD411" s="30" t="b">
        <f ca="1">IFERROR(__xludf.DUMMYFUNCTION("""COMPUTED_VALUE"""),FALSE)</f>
        <v>0</v>
      </c>
      <c r="AE411" s="30"/>
      <c r="AF411" s="30" t="b">
        <f ca="1">IFERROR(__xludf.DUMMYFUNCTION("""COMPUTED_VALUE"""),FALSE)</f>
        <v>0</v>
      </c>
      <c r="AG411" s="30"/>
      <c r="AH411" s="30" t="str">
        <f ca="1">IFERROR(__xludf.DUMMYFUNCTION("""COMPUTED_VALUE"""),"Sin costo")</f>
        <v>Sin costo</v>
      </c>
      <c r="AI411" s="30"/>
      <c r="AJ411" s="30"/>
      <c r="AK411" s="30"/>
      <c r="AL411" s="30" t="str">
        <f ca="1">IFERROR(__xludf.DUMMYFUNCTION("""COMPUTED_VALUE"""),"ccardonav@guanajuato.gob.mx")</f>
        <v>ccardonav@guanajuato.gob.mx</v>
      </c>
      <c r="AM411" s="30" t="str">
        <f ca="1">IFERROR(__xludf.DUMMYFUNCTION("""COMPUTED_VALUE"""),"Arraigo y empoderamiento cultural de comunidades.")</f>
        <v>Arraigo y empoderamiento cultural de comunidades.</v>
      </c>
      <c r="AN411" s="30" t="str">
        <f ca="1">IFERROR(__xludf.DUMMYFUNCTION("""COMPUTED_VALUE"""),"1 Tranquilidad")</f>
        <v>1 Tranquilidad</v>
      </c>
      <c r="AO411" s="30" t="str">
        <f ca="1">IFERROR(__xludf.DUMMYFUNCTION("""COMPUTED_VALUE"""),"1.2 Fortalecer prevención del delito")</f>
        <v>1.2 Fortalecer prevención del delito</v>
      </c>
      <c r="AP411" s="30" t="str">
        <f ca="1">IFERROR(__xludf.DUMMYFUNCTION("""COMPUTED_VALUE"""),"1.2.2 Fortalecimiento del tejido social")</f>
        <v>1.2.2 Fortalecimiento del tejido social</v>
      </c>
      <c r="AQ411" s="30" t="str">
        <f ca="1">IFERROR(__xludf.DUMMYFUNCTION("""COMPUTED_VALUE"""),"1.2.3.4 Promover una cultura de paz desde las expresiones artísticas y culturales")</f>
        <v>1.2.3.4 Promover una cultura de paz desde las expresiones artísticas y culturales</v>
      </c>
      <c r="AR411" s="30" t="str">
        <f ca="1">IFERROR(__xludf.DUMMYFUNCTION("""COMPUTED_VALUE"""),"Cooperación")</f>
        <v>Cooperación</v>
      </c>
      <c r="AS411" s="30"/>
      <c r="AT411" s="30" t="str">
        <f ca="1">IFERROR(__xludf.DUMMYFUNCTION("""COMPUTED_VALUE"""),"Fortalecimiento de la participación ciudadana y la mediación cultural")</f>
        <v>Fortalecimiento de la participación ciudadana y la mediación cultural</v>
      </c>
      <c r="AU411" s="30" t="str">
        <f ca="1">IFERROR(__xludf.DUMMYFUNCTION("""COMPUTED_VALUE"""),"Impulso a la ampliación de la oferta cultural en los territorios.")</f>
        <v>Impulso a la ampliación de la oferta cultural en los territorios.</v>
      </c>
      <c r="AV41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11" s="30" t="str">
        <f ca="1">IFERROR(__xludf.DUMMYFUNCTION("""COMPUTED_VALUE"""),"Incrementar en 25% la oferta cultural realizada en los municipios.")</f>
        <v>Incrementar en 25% la oferta cultural realizada en los municipios.</v>
      </c>
      <c r="AX411" s="30" t="str">
        <f ca="1">IFERROR(__xludf.DUMMYFUNCTION("""COMPUTED_VALUE"""),"Visitas guiadas")</f>
        <v>Visitas guiadas</v>
      </c>
      <c r="AY411" s="30" t="str">
        <f ca="1">IFERROR(__xludf.DUMMYFUNCTION("""COMPUTED_VALUE"""),"Mediación")</f>
        <v>Mediación</v>
      </c>
      <c r="AZ411" s="30"/>
      <c r="BA411" s="30"/>
      <c r="BB411" s="30"/>
      <c r="BC411" s="30">
        <f ca="1">IFERROR(__xludf.DUMMYFUNCTION("""COMPUTED_VALUE"""),0)</f>
        <v>0</v>
      </c>
      <c r="BD411" s="30"/>
      <c r="BE411" s="30"/>
      <c r="BF411" s="30" t="b">
        <f ca="1">IFERROR(__xludf.DUMMYFUNCTION("""COMPUTED_VALUE"""),FALSE)</f>
        <v>0</v>
      </c>
      <c r="BG411" s="30"/>
      <c r="BH411" s="30"/>
      <c r="BI411" s="30"/>
      <c r="BJ411" s="30"/>
      <c r="BK411" s="30"/>
      <c r="BL411" s="30"/>
      <c r="BM411" s="30" t="str">
        <f ca="1">IFERROR(__xludf.DUMMYFUNCTION("""COMPUTED_VALUE"""),"No")</f>
        <v>No</v>
      </c>
      <c r="BN411" s="30"/>
      <c r="BO411" s="30" t="str">
        <f ca="1">IFERROR(__xludf.DUMMYFUNCTION("""COMPUTED_VALUE"""),"58d37c0f")</f>
        <v>58d37c0f</v>
      </c>
      <c r="BP411" s="29" t="str">
        <f ca="1">IFERROR(__xludf.DUMMYFUNCTION("""COMPUTED_VALUE"""),"Silao de la Victoria")</f>
        <v>Silao de la Victoria</v>
      </c>
      <c r="BQ411" s="30" t="str">
        <f ca="1">IFERROR(__xludf.DUMMYFUNCTION("""COMPUTED_VALUE"""),"Urbano")</f>
        <v>Urbano</v>
      </c>
      <c r="BR411" s="30">
        <f ca="1">IFERROR(__xludf.DUMMYFUNCTION("""COMPUTED_VALUE"""),215)</f>
        <v>215</v>
      </c>
      <c r="BS411" s="30" t="str">
        <f ca="1">IFERROR(__xludf.DUMMYFUNCTION("""COMPUTED_VALUE"""),"Silao")</f>
        <v>Silao</v>
      </c>
      <c r="BT411" s="30"/>
      <c r="BU411" s="30" t="str">
        <f ca="1">IFERROR(__xludf.DUMMYFUNCTION("""COMPUTED_VALUE"""),"Si")</f>
        <v>Si</v>
      </c>
      <c r="BV411" s="30" t="str">
        <f ca="1">IFERROR(__xludf.DUMMYFUNCTION("""COMPUTED_VALUE"""),"Si")</f>
        <v>Si</v>
      </c>
      <c r="BW411" s="30">
        <f ca="1">IFERROR(__xludf.DUMMYFUNCTION("""COMPUTED_VALUE"""),2)</f>
        <v>2</v>
      </c>
      <c r="BX411" s="30"/>
      <c r="BY411" s="30">
        <f ca="1">IFERROR(__xludf.DUMMYFUNCTION("""COMPUTED_VALUE"""),2)</f>
        <v>2</v>
      </c>
      <c r="BZ411" s="30" t="str">
        <f ca="1">IFERROR(__xludf.DUMMYFUNCTION("""COMPUTED_VALUE"""),"Silao")</f>
        <v>Silao</v>
      </c>
      <c r="CA411" s="30" t="str">
        <f ca="1">IFERROR(__xludf.DUMMYFUNCTION("""COMPUTED_VALUE"""),"No")</f>
        <v>No</v>
      </c>
      <c r="CB411" s="30" t="str">
        <f ca="1">IFERROR(__xludf.DUMMYFUNCTION("""COMPUTED_VALUE"""),"No")</f>
        <v>No</v>
      </c>
      <c r="CC411" s="30" t="str">
        <f ca="1">IFERROR(__xludf.DUMMYFUNCTION("""COMPUTED_VALUE"""),"7cada595")</f>
        <v>7cada595</v>
      </c>
      <c r="CD411" s="29" t="str">
        <f ca="1">IFERROR(__xludf.DUMMYFUNCTION("""COMPUTED_VALUE"""),"Adultos (30 a 59 años)")</f>
        <v>Adultos (30 a 59 años)</v>
      </c>
      <c r="CE411" s="30" t="str">
        <f ca="1">IFERROR(__xludf.DUMMYFUNCTION("""COMPUTED_VALUE"""),"Dato global")</f>
        <v>Dato global</v>
      </c>
      <c r="CF411" s="30" t="str">
        <f ca="1">IFERROR(__xludf.DUMMYFUNCTION("""COMPUTED_VALUE"""),"Ninguno (Población General)")</f>
        <v>Ninguno (Población General)</v>
      </c>
      <c r="CG411" s="30">
        <f ca="1">IFERROR(__xludf.DUMMYFUNCTION("""COMPUTED_VALUE"""),2)</f>
        <v>2</v>
      </c>
      <c r="CJ411" s="29"/>
      <c r="CM411" s="30" t="str">
        <f ca="1">IFERROR(__xludf.DUMMYFUNCTION("""COMPUTED_VALUE"""),"Silao de la Victoria")</f>
        <v>Silao de la Victoria</v>
      </c>
      <c r="CN411" s="32" t="e">
        <f ca="1"/>
        <v>#NAME?</v>
      </c>
      <c r="CO411" s="32" t="e">
        <f ca="1"/>
        <v>#NAME?</v>
      </c>
      <c r="CP411" s="32" t="e">
        <f ca="1"/>
        <v>#NAME?</v>
      </c>
      <c r="CQ411" s="32" t="e">
        <f ca="1"/>
        <v>#NAME?</v>
      </c>
      <c r="CR411" s="30" t="e">
        <f ca="1"/>
        <v>#NAME?</v>
      </c>
      <c r="CS411"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12" spans="1:97" ht="13">
      <c r="A412" s="29" t="str">
        <f ca="1">IFERROR(__xludf.DUMMYFUNCTION("""COMPUTED_VALUE"""),"ACT-SCSN19355")</f>
        <v>ACT-SCSN19355</v>
      </c>
      <c r="B412" s="30" t="str">
        <f ca="1">IFERROR(__xludf.DUMMYFUNCTION("""COMPUTED_VALUE"""),"SC-260917-103912")</f>
        <v>SC-260917-103912</v>
      </c>
      <c r="C412" s="62">
        <f ca="1">IFERROR(__xludf.DUMMYFUNCTION("""COMPUTED_VALUE"""),46282.4438888888)</f>
        <v>46282.443888888803</v>
      </c>
      <c r="D412" s="30">
        <f ca="1">IFERROR(__xludf.DUMMYFUNCTION("""COMPUTED_VALUE"""),92)</f>
        <v>92</v>
      </c>
      <c r="E412" s="30" t="str">
        <f ca="1">IFERROR(__xludf.DUMMYFUNCTION("""COMPUTED_VALUE"""),"PB3572")</f>
        <v>PB3572</v>
      </c>
      <c r="F41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2" s="30" t="str">
        <f ca="1">IFERROR(__xludf.DUMMYFUNCTION("""COMPUTED_VALUE"""),"SUBSECRETARÍA DE DESARROLLO Y PROMOCIÓN ARTÍSTICA Y CULTURAL")</f>
        <v>SUBSECRETARÍA DE DESARROLLO Y PROMOCIÓN ARTÍSTICA Y CULTURAL</v>
      </c>
      <c r="I412" s="34" t="str">
        <f ca="1">IFERROR(__xludf.DUMMYFUNCTION("""COMPUTED_VALUE"""),"DIRECCIÓN GENERAL DE MUSEOS, ARTES VISUALES Y EXPOSICIONES")</f>
        <v>DIRECCIÓN GENERAL DE MUSEOS, ARTES VISUALES Y EXPOSICIONES</v>
      </c>
      <c r="J412" s="30" t="str">
        <f ca="1">IFERROR(__xludf.DUMMYFUNCTION("""COMPUTED_VALUE"""),"Número de Actividades realizadas")</f>
        <v>Número de Actividades realizadas</v>
      </c>
      <c r="K412" s="30">
        <f ca="1">IFERROR(__xludf.DUMMYFUNCTION("""COMPUTED_VALUE"""),800)</f>
        <v>800</v>
      </c>
      <c r="L412" s="30" t="str">
        <f ca="1">IFERROR(__xludf.DUMMYFUNCTION("""COMPUTED_VALUE"""),"Cultural")</f>
        <v>Cultural</v>
      </c>
      <c r="M412" s="30" t="str">
        <f ca="1">IFERROR(__xludf.DUMMYFUNCTION("""COMPUTED_VALUE"""),"Visita guiada libre")</f>
        <v>Visita guiada libre</v>
      </c>
      <c r="N412" s="30" t="str">
        <f ca="1">IFERROR(__xludf.DUMMYFUNCTION("""COMPUTED_VALUE"""),"Visita guiada por el museo")</f>
        <v>Visita guiada por el museo</v>
      </c>
      <c r="O412" s="30" t="str">
        <f ca="1">IFERROR(__xludf.DUMMYFUNCTION("""COMPUTED_VALUE"""),"Única")</f>
        <v>Única</v>
      </c>
      <c r="P412" s="33">
        <f ca="1">IFERROR(__xludf.DUMMYFUNCTION("""COMPUTED_VALUE"""),46210)</f>
        <v>46210</v>
      </c>
      <c r="Q412" s="33">
        <f ca="1">IFERROR(__xludf.DUMMYFUNCTION("""COMPUTED_VALUE"""),46210)</f>
        <v>46210</v>
      </c>
      <c r="R412" s="30">
        <f ca="1">IFERROR(__xludf.DUMMYFUNCTION("""COMPUTED_VALUE"""),1)</f>
        <v>1</v>
      </c>
      <c r="S412" s="30" t="str">
        <f ca="1">IFERROR(__xludf.DUMMYFUNCTION("""COMPUTED_VALUE"""),"Cultura comunitaria")</f>
        <v>Cultura comunitaria</v>
      </c>
      <c r="T412" s="30" t="str">
        <f ca="1">IFERROR(__xludf.DUMMYFUNCTION("""COMPUTED_VALUE"""),"Formación comunitaria")</f>
        <v>Formación comunitaria</v>
      </c>
      <c r="U412" s="30" t="str">
        <f ca="1">IFERROR(__xludf.DUMMYFUNCTION("""COMPUTED_VALUE"""),"Visitas guiadas")</f>
        <v>Visitas guiadas</v>
      </c>
      <c r="V412" s="30" t="str">
        <f ca="1">IFERROR(__xludf.DUMMYFUNCTION("""COMPUTED_VALUE"""),"Ninguna")</f>
        <v>Ninguna</v>
      </c>
      <c r="W412" s="30" t="str">
        <f ca="1">IFERROR(__xludf.DUMMYFUNCTION("""COMPUTED_VALUE"""),"Presencial")</f>
        <v>Presencial</v>
      </c>
      <c r="X412" s="30" t="str">
        <f ca="1">IFERROR(__xludf.DUMMYFUNCTION("""COMPUTED_VALUE"""),"Espacio a Cargo de la Secretaría")</f>
        <v>Espacio a Cargo de la Secretaría</v>
      </c>
      <c r="Y412" s="30" t="str">
        <f ca="1">IFERROR(__xludf.DUMMYFUNCTION("""COMPUTED_VALUE"""),"Museo José y Tomas Chavez Morado")</f>
        <v>Museo José y Tomas Chavez Morado</v>
      </c>
      <c r="Z412" s="30"/>
      <c r="AA412" s="30"/>
      <c r="AB412" s="30" t="b">
        <f ca="1">IFERROR(__xludf.DUMMYFUNCTION("""COMPUTED_VALUE"""),FALSE)</f>
        <v>0</v>
      </c>
      <c r="AC412" s="30"/>
      <c r="AD412" s="30" t="b">
        <f ca="1">IFERROR(__xludf.DUMMYFUNCTION("""COMPUTED_VALUE"""),FALSE)</f>
        <v>0</v>
      </c>
      <c r="AE412" s="30"/>
      <c r="AF412" s="30" t="b">
        <f ca="1">IFERROR(__xludf.DUMMYFUNCTION("""COMPUTED_VALUE"""),FALSE)</f>
        <v>0</v>
      </c>
      <c r="AG412" s="30"/>
      <c r="AH412" s="30" t="str">
        <f ca="1">IFERROR(__xludf.DUMMYFUNCTION("""COMPUTED_VALUE"""),"Sin costo")</f>
        <v>Sin costo</v>
      </c>
      <c r="AI412" s="30"/>
      <c r="AJ412" s="30"/>
      <c r="AK412" s="30"/>
      <c r="AL412" s="30" t="str">
        <f ca="1">IFERROR(__xludf.DUMMYFUNCTION("""COMPUTED_VALUE"""),"ccardonav@guanajuato.gob.mx")</f>
        <v>ccardonav@guanajuato.gob.mx</v>
      </c>
      <c r="AM412" s="30" t="str">
        <f ca="1">IFERROR(__xludf.DUMMYFUNCTION("""COMPUTED_VALUE"""),"Arraigo y empoderamiento cultural de comunidades.")</f>
        <v>Arraigo y empoderamiento cultural de comunidades.</v>
      </c>
      <c r="AN412" s="30" t="str">
        <f ca="1">IFERROR(__xludf.DUMMYFUNCTION("""COMPUTED_VALUE"""),"1 Tranquilidad")</f>
        <v>1 Tranquilidad</v>
      </c>
      <c r="AO412" s="30" t="str">
        <f ca="1">IFERROR(__xludf.DUMMYFUNCTION("""COMPUTED_VALUE"""),"1.2 Fortalecer prevención del delito")</f>
        <v>1.2 Fortalecer prevención del delito</v>
      </c>
      <c r="AP412" s="30" t="str">
        <f ca="1">IFERROR(__xludf.DUMMYFUNCTION("""COMPUTED_VALUE"""),"1.2.2 Fortalecimiento del tejido social")</f>
        <v>1.2.2 Fortalecimiento del tejido social</v>
      </c>
      <c r="AQ412" s="30" t="str">
        <f ca="1">IFERROR(__xludf.DUMMYFUNCTION("""COMPUTED_VALUE"""),"1.2.3.4 Promover una cultura de paz desde las expresiones artísticas y culturales")</f>
        <v>1.2.3.4 Promover una cultura de paz desde las expresiones artísticas y culturales</v>
      </c>
      <c r="AR412" s="30" t="str">
        <f ca="1">IFERROR(__xludf.DUMMYFUNCTION("""COMPUTED_VALUE"""),"Cooperación")</f>
        <v>Cooperación</v>
      </c>
      <c r="AS412" s="30"/>
      <c r="AT412" s="30" t="str">
        <f ca="1">IFERROR(__xludf.DUMMYFUNCTION("""COMPUTED_VALUE"""),"Fortalecimiento de la participación ciudadana y la mediación cultural")</f>
        <v>Fortalecimiento de la participación ciudadana y la mediación cultural</v>
      </c>
      <c r="AU412" s="30" t="str">
        <f ca="1">IFERROR(__xludf.DUMMYFUNCTION("""COMPUTED_VALUE"""),"Impulso a la ampliación de la oferta cultural en los territorios.")</f>
        <v>Impulso a la ampliación de la oferta cultural en los territorios.</v>
      </c>
      <c r="AV41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12" s="30" t="str">
        <f ca="1">IFERROR(__xludf.DUMMYFUNCTION("""COMPUTED_VALUE"""),"Incrementar en 25% la oferta cultural realizada en los municipios.")</f>
        <v>Incrementar en 25% la oferta cultural realizada en los municipios.</v>
      </c>
      <c r="AX412" s="30" t="str">
        <f ca="1">IFERROR(__xludf.DUMMYFUNCTION("""COMPUTED_VALUE"""),"Visitas guiadas")</f>
        <v>Visitas guiadas</v>
      </c>
      <c r="AY412" s="30" t="str">
        <f ca="1">IFERROR(__xludf.DUMMYFUNCTION("""COMPUTED_VALUE"""),"Mediación")</f>
        <v>Mediación</v>
      </c>
      <c r="AZ412" s="30"/>
      <c r="BA412" s="30"/>
      <c r="BB412" s="30"/>
      <c r="BC412" s="30">
        <f ca="1">IFERROR(__xludf.DUMMYFUNCTION("""COMPUTED_VALUE"""),0)</f>
        <v>0</v>
      </c>
      <c r="BD412" s="30"/>
      <c r="BE412" s="30"/>
      <c r="BF412" s="30" t="b">
        <f ca="1">IFERROR(__xludf.DUMMYFUNCTION("""COMPUTED_VALUE"""),FALSE)</f>
        <v>0</v>
      </c>
      <c r="BG412" s="30"/>
      <c r="BH412" s="30"/>
      <c r="BI412" s="30"/>
      <c r="BJ412" s="30"/>
      <c r="BK412" s="30"/>
      <c r="BL412" s="30"/>
      <c r="BM412" s="30" t="str">
        <f ca="1">IFERROR(__xludf.DUMMYFUNCTION("""COMPUTED_VALUE"""),"No")</f>
        <v>No</v>
      </c>
      <c r="BN412" s="30"/>
      <c r="BO412" s="30" t="str">
        <f ca="1">IFERROR(__xludf.DUMMYFUNCTION("""COMPUTED_VALUE"""),"44f6ff1a")</f>
        <v>44f6ff1a</v>
      </c>
      <c r="BP412" s="29" t="str">
        <f ca="1">IFERROR(__xludf.DUMMYFUNCTION("""COMPUTED_VALUE"""),"Silao de la Victoria")</f>
        <v>Silao de la Victoria</v>
      </c>
      <c r="BQ412" s="30" t="str">
        <f ca="1">IFERROR(__xludf.DUMMYFUNCTION("""COMPUTED_VALUE"""),"Urbano")</f>
        <v>Urbano</v>
      </c>
      <c r="BR412" s="30">
        <f ca="1">IFERROR(__xludf.DUMMYFUNCTION("""COMPUTED_VALUE"""),215)</f>
        <v>215</v>
      </c>
      <c r="BS412" s="30" t="str">
        <f ca="1">IFERROR(__xludf.DUMMYFUNCTION("""COMPUTED_VALUE"""),"Silao")</f>
        <v>Silao</v>
      </c>
      <c r="BT412" s="30"/>
      <c r="BU412" s="30" t="str">
        <f ca="1">IFERROR(__xludf.DUMMYFUNCTION("""COMPUTED_VALUE"""),"Si")</f>
        <v>Si</v>
      </c>
      <c r="BV412" s="30" t="str">
        <f ca="1">IFERROR(__xludf.DUMMYFUNCTION("""COMPUTED_VALUE"""),"Si")</f>
        <v>Si</v>
      </c>
      <c r="BW412" s="30">
        <f ca="1">IFERROR(__xludf.DUMMYFUNCTION("""COMPUTED_VALUE"""),3)</f>
        <v>3</v>
      </c>
      <c r="BX412" s="30"/>
      <c r="BY412" s="30">
        <f ca="1">IFERROR(__xludf.DUMMYFUNCTION("""COMPUTED_VALUE"""),3)</f>
        <v>3</v>
      </c>
      <c r="BZ412" s="30" t="str">
        <f ca="1">IFERROR(__xludf.DUMMYFUNCTION("""COMPUTED_VALUE"""),"Silao")</f>
        <v>Silao</v>
      </c>
      <c r="CA412" s="30" t="str">
        <f ca="1">IFERROR(__xludf.DUMMYFUNCTION("""COMPUTED_VALUE"""),"No")</f>
        <v>No</v>
      </c>
      <c r="CB412" s="30" t="str">
        <f ca="1">IFERROR(__xludf.DUMMYFUNCTION("""COMPUTED_VALUE"""),"No")</f>
        <v>No</v>
      </c>
      <c r="CC412" s="30" t="str">
        <f ca="1">IFERROR(__xludf.DUMMYFUNCTION("""COMPUTED_VALUE"""),"31b05b3e")</f>
        <v>31b05b3e</v>
      </c>
      <c r="CD412" s="29" t="str">
        <f ca="1">IFERROR(__xludf.DUMMYFUNCTION("""COMPUTED_VALUE"""),"Niñas y Niños (6 a 12 años)")</f>
        <v>Niñas y Niños (6 a 12 años)</v>
      </c>
      <c r="CE412" s="30" t="str">
        <f ca="1">IFERROR(__xludf.DUMMYFUNCTION("""COMPUTED_VALUE"""),"Dato global")</f>
        <v>Dato global</v>
      </c>
      <c r="CF412" s="30" t="str">
        <f ca="1">IFERROR(__xludf.DUMMYFUNCTION("""COMPUTED_VALUE"""),"Ninguno (Población General)")</f>
        <v>Ninguno (Población General)</v>
      </c>
      <c r="CG412" s="30">
        <f ca="1">IFERROR(__xludf.DUMMYFUNCTION("""COMPUTED_VALUE"""),20)</f>
        <v>20</v>
      </c>
      <c r="CJ412" s="29"/>
      <c r="CM412" s="30" t="str">
        <f ca="1">IFERROR(__xludf.DUMMYFUNCTION("""COMPUTED_VALUE"""),"Silao de la Victoria")</f>
        <v>Silao de la Victoria</v>
      </c>
      <c r="CN412" s="32" t="e">
        <f ca="1"/>
        <v>#NAME?</v>
      </c>
      <c r="CO412" s="32" t="e">
        <f ca="1"/>
        <v>#NAME?</v>
      </c>
      <c r="CP412" s="32" t="e">
        <f ca="1"/>
        <v>#NAME?</v>
      </c>
      <c r="CQ412" s="32" t="e">
        <f ca="1"/>
        <v>#NAME?</v>
      </c>
      <c r="CR412" s="30" t="e">
        <f ca="1"/>
        <v>#NAME?</v>
      </c>
      <c r="CS412" s="30" t="str">
        <f ca="1">IFERROR(__xludf.DUMMYFUNCTION("""COMPUTED_VALUE"""),"Ninguno (Población General), Ninguno (Población General)")</f>
        <v>Ninguno (Población General), Ninguno (Población General)</v>
      </c>
    </row>
    <row r="413" spans="1:97" ht="13">
      <c r="A413" s="29" t="str">
        <f ca="1">IFERROR(__xludf.DUMMYFUNCTION("""COMPUTED_VALUE"""),"ACT-SCEQ46334")</f>
        <v>ACT-SCEQ46334</v>
      </c>
      <c r="B413" s="30" t="str">
        <f ca="1">IFERROR(__xludf.DUMMYFUNCTION("""COMPUTED_VALUE"""),"SC-260917-104819")</f>
        <v>SC-260917-104819</v>
      </c>
      <c r="C413" s="62">
        <f ca="1">IFERROR(__xludf.DUMMYFUNCTION("""COMPUTED_VALUE"""),46282.4502199074)</f>
        <v>46282.450219907398</v>
      </c>
      <c r="D413" s="30">
        <f ca="1">IFERROR(__xludf.DUMMYFUNCTION("""COMPUTED_VALUE"""),94)</f>
        <v>94</v>
      </c>
      <c r="E413" s="30" t="str">
        <f ca="1">IFERROR(__xludf.DUMMYFUNCTION("""COMPUTED_VALUE"""),"PB3572")</f>
        <v>PB3572</v>
      </c>
      <c r="F41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3"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13" s="30" t="str">
        <f ca="1">IFERROR(__xludf.DUMMYFUNCTION("""COMPUTED_VALUE"""),"SUBSECRETARÍA DE DESARROLLO Y PROMOCIÓN ARTÍSTICA Y CULTURAL")</f>
        <v>SUBSECRETARÍA DE DESARROLLO Y PROMOCIÓN ARTÍSTICA Y CULTURAL</v>
      </c>
      <c r="I413" s="34" t="str">
        <f ca="1">IFERROR(__xludf.DUMMYFUNCTION("""COMPUTED_VALUE"""),"DIRECCIÓN GENERAL DE MUSEOS, ARTES VISUALES Y EXPOSICIONES")</f>
        <v>DIRECCIÓN GENERAL DE MUSEOS, ARTES VISUALES Y EXPOSICIONES</v>
      </c>
      <c r="J413" s="30" t="str">
        <f ca="1">IFERROR(__xludf.DUMMYFUNCTION("""COMPUTED_VALUE"""),"Número de Actividades realizadas")</f>
        <v>Número de Actividades realizadas</v>
      </c>
      <c r="K413" s="30">
        <f ca="1">IFERROR(__xludf.DUMMYFUNCTION("""COMPUTED_VALUE"""),12)</f>
        <v>12</v>
      </c>
      <c r="L413" s="30" t="str">
        <f ca="1">IFERROR(__xludf.DUMMYFUNCTION("""COMPUTED_VALUE"""),"Artística")</f>
        <v>Artística</v>
      </c>
      <c r="M413" s="30" t="str">
        <f ca="1">IFERROR(__xludf.DUMMYFUNCTION("""COMPUTED_VALUE"""),"Crearte Taller de acuarela")</f>
        <v>Crearte Taller de acuarela</v>
      </c>
      <c r="N413" s="30" t="str">
        <f ca="1">IFERROR(__xludf.DUMMYFUNCTION("""COMPUTED_VALUE"""),"Taller de acuarela")</f>
        <v>Taller de acuarela</v>
      </c>
      <c r="O413" s="30" t="str">
        <f ca="1">IFERROR(__xludf.DUMMYFUNCTION("""COMPUTED_VALUE"""),"Semanal")</f>
        <v>Semanal</v>
      </c>
      <c r="P413" s="33">
        <f ca="1">IFERROR(__xludf.DUMMYFUNCTION("""COMPUTED_VALUE"""),46235)</f>
        <v>46235</v>
      </c>
      <c r="Q413" s="33">
        <f ca="1">IFERROR(__xludf.DUMMYFUNCTION("""COMPUTED_VALUE"""),46263)</f>
        <v>46263</v>
      </c>
      <c r="R413" s="30">
        <f ca="1">IFERROR(__xludf.DUMMYFUNCTION("""COMPUTED_VALUE"""),5)</f>
        <v>5</v>
      </c>
      <c r="S413" s="30" t="str">
        <f ca="1">IFERROR(__xludf.DUMMYFUNCTION("""COMPUTED_VALUE"""),"Cultura comunitaria")</f>
        <v>Cultura comunitaria</v>
      </c>
      <c r="T413" s="30" t="str">
        <f ca="1">IFERROR(__xludf.DUMMYFUNCTION("""COMPUTED_VALUE"""),"Formación comunitaria")</f>
        <v>Formación comunitaria</v>
      </c>
      <c r="U413" s="30" t="str">
        <f ca="1">IFERROR(__xludf.DUMMYFUNCTION("""COMPUTED_VALUE"""),"Taller")</f>
        <v>Taller</v>
      </c>
      <c r="V413" s="30" t="str">
        <f ca="1">IFERROR(__xludf.DUMMYFUNCTION("""COMPUTED_VALUE"""),"Ninguna")</f>
        <v>Ninguna</v>
      </c>
      <c r="W413" s="30" t="str">
        <f ca="1">IFERROR(__xludf.DUMMYFUNCTION("""COMPUTED_VALUE"""),"Presencial")</f>
        <v>Presencial</v>
      </c>
      <c r="X413" s="30" t="str">
        <f ca="1">IFERROR(__xludf.DUMMYFUNCTION("""COMPUTED_VALUE"""),"Espacio a Cargo de la Secretaría")</f>
        <v>Espacio a Cargo de la Secretaría</v>
      </c>
      <c r="Y413" s="30" t="str">
        <f ca="1">IFERROR(__xludf.DUMMYFUNCTION("""COMPUTED_VALUE"""),"Museo José y Tomas Chavez Morado")</f>
        <v>Museo José y Tomas Chavez Morado</v>
      </c>
      <c r="Z413" s="30"/>
      <c r="AA413" s="30"/>
      <c r="AB413" s="30" t="b">
        <f ca="1">IFERROR(__xludf.DUMMYFUNCTION("""COMPUTED_VALUE"""),FALSE)</f>
        <v>0</v>
      </c>
      <c r="AC413" s="30"/>
      <c r="AD413" s="30" t="b">
        <f ca="1">IFERROR(__xludf.DUMMYFUNCTION("""COMPUTED_VALUE"""),FALSE)</f>
        <v>0</v>
      </c>
      <c r="AE413" s="30"/>
      <c r="AF413" s="30" t="b">
        <f ca="1">IFERROR(__xludf.DUMMYFUNCTION("""COMPUTED_VALUE"""),FALSE)</f>
        <v>0</v>
      </c>
      <c r="AG413" s="30"/>
      <c r="AH413" s="30" t="str">
        <f ca="1">IFERROR(__xludf.DUMMYFUNCTION("""COMPUTED_VALUE"""),"Sin costo")</f>
        <v>Sin costo</v>
      </c>
      <c r="AI413" s="30"/>
      <c r="AJ413" s="30"/>
      <c r="AK413" s="30"/>
      <c r="AL413" s="30" t="str">
        <f ca="1">IFERROR(__xludf.DUMMYFUNCTION("""COMPUTED_VALUE"""),"ccardonav@guanajuato.gob.mx")</f>
        <v>ccardonav@guanajuato.gob.mx</v>
      </c>
      <c r="AM413" s="30" t="str">
        <f ca="1">IFERROR(__xludf.DUMMYFUNCTION("""COMPUTED_VALUE"""),"Arraigo y empoderamiento cultural de comunidades.")</f>
        <v>Arraigo y empoderamiento cultural de comunidades.</v>
      </c>
      <c r="AN413" s="30" t="str">
        <f ca="1">IFERROR(__xludf.DUMMYFUNCTION("""COMPUTED_VALUE"""),"1 Tranquilidad")</f>
        <v>1 Tranquilidad</v>
      </c>
      <c r="AO413" s="30" t="str">
        <f ca="1">IFERROR(__xludf.DUMMYFUNCTION("""COMPUTED_VALUE"""),"1.2 Fortalecer prevención del delito")</f>
        <v>1.2 Fortalecer prevención del delito</v>
      </c>
      <c r="AP413" s="30" t="str">
        <f ca="1">IFERROR(__xludf.DUMMYFUNCTION("""COMPUTED_VALUE"""),"1.2.2 Fortalecimiento del tejido social")</f>
        <v>1.2.2 Fortalecimiento del tejido social</v>
      </c>
      <c r="AQ413" s="30" t="str">
        <f ca="1">IFERROR(__xludf.DUMMYFUNCTION("""COMPUTED_VALUE"""),"1.2.3.4 Promover una cultura de paz desde las expresiones artísticas y culturales")</f>
        <v>1.2.3.4 Promover una cultura de paz desde las expresiones artísticas y culturales</v>
      </c>
      <c r="AR413" s="30" t="str">
        <f ca="1">IFERROR(__xludf.DUMMYFUNCTION("""COMPUTED_VALUE"""),"Cooperación")</f>
        <v>Cooperación</v>
      </c>
      <c r="AS413" s="30"/>
      <c r="AT413" s="30" t="str">
        <f ca="1">IFERROR(__xludf.DUMMYFUNCTION("""COMPUTED_VALUE"""),"Sostenibilidad del trabajo cultural y la economía creativa.")</f>
        <v>Sostenibilidad del trabajo cultural y la economía creativa.</v>
      </c>
      <c r="AU413"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13" s="30" t="str">
        <f ca="1">IFERROR(__xludf.DUMMYFUNCTION("""COMPUTED_VALUE"""),"Diseñar programas de formación y gestión cultural de base comunitaria.")</f>
        <v>Diseñar programas de formación y gestión cultural de base comunitaria.</v>
      </c>
      <c r="AW413"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13" s="30" t="str">
        <f ca="1">IFERROR(__xludf.DUMMYFUNCTION("""COMPUTED_VALUE"""),"Taller")</f>
        <v>Taller</v>
      </c>
      <c r="AY413" s="30" t="str">
        <f ca="1">IFERROR(__xludf.DUMMYFUNCTION("""COMPUTED_VALUE"""),"Formación")</f>
        <v>Formación</v>
      </c>
      <c r="AZ413" s="30" t="str">
        <f ca="1">IFERROR(__xludf.DUMMYFUNCTION("""COMPUTED_VALUE"""),"Formación")</f>
        <v>Formación</v>
      </c>
      <c r="BA413" s="30"/>
      <c r="BB413" s="30"/>
      <c r="BC413" s="30">
        <f ca="1">IFERROR(__xludf.DUMMYFUNCTION("""COMPUTED_VALUE"""),0)</f>
        <v>0</v>
      </c>
      <c r="BD413" s="30"/>
      <c r="BE413" s="30"/>
      <c r="BF413" s="30" t="b">
        <f ca="1">IFERROR(__xludf.DUMMYFUNCTION("""COMPUTED_VALUE"""),FALSE)</f>
        <v>0</v>
      </c>
      <c r="BG413" s="30"/>
      <c r="BH413" s="30"/>
      <c r="BI413" s="30"/>
      <c r="BJ413" s="30"/>
      <c r="BK413" s="30"/>
      <c r="BL413" s="30" t="str">
        <f ca="1">IFERROR(__xludf.DUMMYFUNCTION("""COMPUTED_VALUE"""),"Se contacto al tallerista")</f>
        <v>Se contacto al tallerista</v>
      </c>
      <c r="BM413" s="30" t="str">
        <f ca="1">IFERROR(__xludf.DUMMYFUNCTION("""COMPUTED_VALUE"""),"Sí")</f>
        <v>Sí</v>
      </c>
      <c r="BN413" s="30" t="str">
        <f ca="1">IFERROR(__xludf.DUMMYFUNCTION("""COMPUTED_VALUE"""),"Acompañamiento Técnico")</f>
        <v>Acompañamiento Técnico</v>
      </c>
      <c r="BO413" s="30" t="str">
        <f ca="1">IFERROR(__xludf.DUMMYFUNCTION("""COMPUTED_VALUE"""),"7edcd39e")</f>
        <v>7edcd39e</v>
      </c>
      <c r="BP413" s="29" t="str">
        <f ca="1">IFERROR(__xludf.DUMMYFUNCTION("""COMPUTED_VALUE"""),"Silao de la Victoria")</f>
        <v>Silao de la Victoria</v>
      </c>
      <c r="BQ413" s="30" t="str">
        <f ca="1">IFERROR(__xludf.DUMMYFUNCTION("""COMPUTED_VALUE"""),"Urbano")</f>
        <v>Urbano</v>
      </c>
      <c r="BR413" s="30"/>
      <c r="BS413" s="30"/>
      <c r="BT413" s="30"/>
      <c r="BU413" s="30" t="str">
        <f ca="1">IFERROR(__xludf.DUMMYFUNCTION("""COMPUTED_VALUE"""),"No")</f>
        <v>No</v>
      </c>
      <c r="BV413" s="30" t="str">
        <f ca="1">IFERROR(__xludf.DUMMYFUNCTION("""COMPUTED_VALUE"""),"No")</f>
        <v>No</v>
      </c>
      <c r="BW413" s="30">
        <f ca="1">IFERROR(__xludf.DUMMYFUNCTION("""COMPUTED_VALUE"""),3)</f>
        <v>3</v>
      </c>
      <c r="BX413" s="30"/>
      <c r="BY413" s="30">
        <f ca="1">IFERROR(__xludf.DUMMYFUNCTION("""COMPUTED_VALUE"""),3)</f>
        <v>3</v>
      </c>
      <c r="BZ413" s="30"/>
      <c r="CA413" s="30" t="str">
        <f ca="1">IFERROR(__xludf.DUMMYFUNCTION("""COMPUTED_VALUE"""),"No")</f>
        <v>No</v>
      </c>
      <c r="CB413" s="30" t="str">
        <f ca="1">IFERROR(__xludf.DUMMYFUNCTION("""COMPUTED_VALUE"""),"No")</f>
        <v>No</v>
      </c>
      <c r="CC413" s="30" t="str">
        <f ca="1">IFERROR(__xludf.DUMMYFUNCTION("""COMPUTED_VALUE"""),"2a4808f2")</f>
        <v>2a4808f2</v>
      </c>
      <c r="CD413" s="29" t="str">
        <f ca="1">IFERROR(__xludf.DUMMYFUNCTION("""COMPUTED_VALUE"""),"Adultos (30 a 59 años)")</f>
        <v>Adultos (30 a 59 años)</v>
      </c>
      <c r="CE413" s="30" t="str">
        <f ca="1">IFERROR(__xludf.DUMMYFUNCTION("""COMPUTED_VALUE"""),"Dato global")</f>
        <v>Dato global</v>
      </c>
      <c r="CF413" s="30" t="str">
        <f ca="1">IFERROR(__xludf.DUMMYFUNCTION("""COMPUTED_VALUE"""),"Ninguno (Población General)")</f>
        <v>Ninguno (Población General)</v>
      </c>
      <c r="CG413" s="30">
        <f ca="1">IFERROR(__xludf.DUMMYFUNCTION("""COMPUTED_VALUE"""),7)</f>
        <v>7</v>
      </c>
      <c r="CJ413" s="29"/>
      <c r="CM413" s="30" t="str">
        <f ca="1">IFERROR(__xludf.DUMMYFUNCTION("""COMPUTED_VALUE"""),"Silao de la Victoria")</f>
        <v>Silao de la Victoria</v>
      </c>
      <c r="CN413" s="32" t="e">
        <f ca="1"/>
        <v>#NAME?</v>
      </c>
      <c r="CO413" s="32" t="e">
        <f ca="1"/>
        <v>#NAME?</v>
      </c>
      <c r="CP413" s="32" t="e">
        <f ca="1"/>
        <v>#NAME?</v>
      </c>
      <c r="CQ413" s="32" t="e">
        <f ca="1"/>
        <v>#NAME?</v>
      </c>
      <c r="CR413" s="30" t="e">
        <f ca="1"/>
        <v>#NAME?</v>
      </c>
      <c r="CS413" s="30" t="str">
        <f ca="1">IFERROR(__xludf.DUMMYFUNCTION("""COMPUTED_VALUE"""),"Ninguno (Población General), Ninguno (Población General)")</f>
        <v>Ninguno (Población General), Ninguno (Población General)</v>
      </c>
    </row>
    <row r="414" spans="1:97" ht="13">
      <c r="A414" s="29" t="str">
        <f ca="1">IFERROR(__xludf.DUMMYFUNCTION("""COMPUTED_VALUE"""),"ACT-SCUH29282")</f>
        <v>ACT-SCUH29282</v>
      </c>
      <c r="B414" s="30" t="str">
        <f ca="1">IFERROR(__xludf.DUMMYFUNCTION("""COMPUTED_VALUE"""),"SC-260917-105528")</f>
        <v>SC-260917-105528</v>
      </c>
      <c r="C414" s="62">
        <f ca="1">IFERROR(__xludf.DUMMYFUNCTION("""COMPUTED_VALUE"""),46282.4551851851)</f>
        <v>46282.455185185099</v>
      </c>
      <c r="D414" s="30">
        <f ca="1">IFERROR(__xludf.DUMMYFUNCTION("""COMPUTED_VALUE"""),94)</f>
        <v>94</v>
      </c>
      <c r="E414" s="30" t="str">
        <f ca="1">IFERROR(__xludf.DUMMYFUNCTION("""COMPUTED_VALUE"""),"PB3572")</f>
        <v>PB3572</v>
      </c>
      <c r="F41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4"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14" s="30" t="str">
        <f ca="1">IFERROR(__xludf.DUMMYFUNCTION("""COMPUTED_VALUE"""),"SUBSECRETARÍA DE DESARROLLO Y PROMOCIÓN ARTÍSTICA Y CULTURAL")</f>
        <v>SUBSECRETARÍA DE DESARROLLO Y PROMOCIÓN ARTÍSTICA Y CULTURAL</v>
      </c>
      <c r="I414" s="34" t="str">
        <f ca="1">IFERROR(__xludf.DUMMYFUNCTION("""COMPUTED_VALUE"""),"DIRECCIÓN GENERAL DE MUSEOS, ARTES VISUALES Y EXPOSICIONES")</f>
        <v>DIRECCIÓN GENERAL DE MUSEOS, ARTES VISUALES Y EXPOSICIONES</v>
      </c>
      <c r="J414" s="30" t="str">
        <f ca="1">IFERROR(__xludf.DUMMYFUNCTION("""COMPUTED_VALUE"""),"Número de Actividades realizadas")</f>
        <v>Número de Actividades realizadas</v>
      </c>
      <c r="K414" s="30">
        <f ca="1">IFERROR(__xludf.DUMMYFUNCTION("""COMPUTED_VALUE"""),12)</f>
        <v>12</v>
      </c>
      <c r="L414" s="30" t="str">
        <f ca="1">IFERROR(__xludf.DUMMYFUNCTION("""COMPUTED_VALUE"""),"Artística")</f>
        <v>Artística</v>
      </c>
      <c r="M414" s="30" t="str">
        <f ca="1">IFERROR(__xludf.DUMMYFUNCTION("""COMPUTED_VALUE"""),"Fanzinarte: Taller de Comic")</f>
        <v>Fanzinarte: Taller de Comic</v>
      </c>
      <c r="N414" s="30" t="str">
        <f ca="1">IFERROR(__xludf.DUMMYFUNCTION("""COMPUTED_VALUE"""),"Taller de dibujo de comic")</f>
        <v>Taller de dibujo de comic</v>
      </c>
      <c r="O414" s="30" t="str">
        <f ca="1">IFERROR(__xludf.DUMMYFUNCTION("""COMPUTED_VALUE"""),"Semanal")</f>
        <v>Semanal</v>
      </c>
      <c r="P414" s="33">
        <f ca="1">IFERROR(__xludf.DUMMYFUNCTION("""COMPUTED_VALUE"""),46239)</f>
        <v>46239</v>
      </c>
      <c r="Q414" s="33">
        <f ca="1">IFERROR(__xludf.DUMMYFUNCTION("""COMPUTED_VALUE"""),46260)</f>
        <v>46260</v>
      </c>
      <c r="R414" s="30">
        <f ca="1">IFERROR(__xludf.DUMMYFUNCTION("""COMPUTED_VALUE"""),4)</f>
        <v>4</v>
      </c>
      <c r="S414" s="30" t="str">
        <f ca="1">IFERROR(__xludf.DUMMYFUNCTION("""COMPUTED_VALUE"""),"Cultura comunitaria")</f>
        <v>Cultura comunitaria</v>
      </c>
      <c r="T414" s="30" t="str">
        <f ca="1">IFERROR(__xludf.DUMMYFUNCTION("""COMPUTED_VALUE"""),"Formación comunitaria")</f>
        <v>Formación comunitaria</v>
      </c>
      <c r="U414" s="30" t="str">
        <f ca="1">IFERROR(__xludf.DUMMYFUNCTION("""COMPUTED_VALUE"""),"Taller")</f>
        <v>Taller</v>
      </c>
      <c r="V414" s="30" t="str">
        <f ca="1">IFERROR(__xludf.DUMMYFUNCTION("""COMPUTED_VALUE"""),"Ninguna")</f>
        <v>Ninguna</v>
      </c>
      <c r="W414" s="30" t="str">
        <f ca="1">IFERROR(__xludf.DUMMYFUNCTION("""COMPUTED_VALUE"""),"Presencial")</f>
        <v>Presencial</v>
      </c>
      <c r="X414" s="30" t="str">
        <f ca="1">IFERROR(__xludf.DUMMYFUNCTION("""COMPUTED_VALUE"""),"Espacio a Cargo de la Secretaría")</f>
        <v>Espacio a Cargo de la Secretaría</v>
      </c>
      <c r="Y414" s="30" t="str">
        <f ca="1">IFERROR(__xludf.DUMMYFUNCTION("""COMPUTED_VALUE"""),"Museo José y Tomas Chavez Morado")</f>
        <v>Museo José y Tomas Chavez Morado</v>
      </c>
      <c r="Z414" s="30"/>
      <c r="AA414" s="30"/>
      <c r="AB414" s="30" t="b">
        <f ca="1">IFERROR(__xludf.DUMMYFUNCTION("""COMPUTED_VALUE"""),FALSE)</f>
        <v>0</v>
      </c>
      <c r="AC414" s="30"/>
      <c r="AD414" s="30" t="b">
        <f ca="1">IFERROR(__xludf.DUMMYFUNCTION("""COMPUTED_VALUE"""),FALSE)</f>
        <v>0</v>
      </c>
      <c r="AE414" s="30"/>
      <c r="AF414" s="30" t="b">
        <f ca="1">IFERROR(__xludf.DUMMYFUNCTION("""COMPUTED_VALUE"""),FALSE)</f>
        <v>0</v>
      </c>
      <c r="AG414" s="30"/>
      <c r="AH414" s="30" t="str">
        <f ca="1">IFERROR(__xludf.DUMMYFUNCTION("""COMPUTED_VALUE"""),"Sin costo")</f>
        <v>Sin costo</v>
      </c>
      <c r="AI414" s="30"/>
      <c r="AJ414" s="30"/>
      <c r="AK414" s="30"/>
      <c r="AL414" s="30" t="str">
        <f ca="1">IFERROR(__xludf.DUMMYFUNCTION("""COMPUTED_VALUE"""),"ccardonav@guanajuato.gob.mx")</f>
        <v>ccardonav@guanajuato.gob.mx</v>
      </c>
      <c r="AM414" s="30" t="str">
        <f ca="1">IFERROR(__xludf.DUMMYFUNCTION("""COMPUTED_VALUE"""),"Arraigo y empoderamiento cultural de comunidades.")</f>
        <v>Arraigo y empoderamiento cultural de comunidades.</v>
      </c>
      <c r="AN414" s="30" t="str">
        <f ca="1">IFERROR(__xludf.DUMMYFUNCTION("""COMPUTED_VALUE"""),"1 Tranquilidad")</f>
        <v>1 Tranquilidad</v>
      </c>
      <c r="AO414" s="30" t="str">
        <f ca="1">IFERROR(__xludf.DUMMYFUNCTION("""COMPUTED_VALUE"""),"1.2 Fortalecer prevención del delito")</f>
        <v>1.2 Fortalecer prevención del delito</v>
      </c>
      <c r="AP414" s="30" t="str">
        <f ca="1">IFERROR(__xludf.DUMMYFUNCTION("""COMPUTED_VALUE"""),"1.2.2 Fortalecimiento del tejido social")</f>
        <v>1.2.2 Fortalecimiento del tejido social</v>
      </c>
      <c r="AQ414" s="30" t="str">
        <f ca="1">IFERROR(__xludf.DUMMYFUNCTION("""COMPUTED_VALUE"""),"1.2.3.4 Promover una cultura de paz desde las expresiones artísticas y culturales")</f>
        <v>1.2.3.4 Promover una cultura de paz desde las expresiones artísticas y culturales</v>
      </c>
      <c r="AR414" s="30" t="str">
        <f ca="1">IFERROR(__xludf.DUMMYFUNCTION("""COMPUTED_VALUE"""),"Inclusión")</f>
        <v>Inclusión</v>
      </c>
      <c r="AS414" s="30" t="str">
        <f ca="1">IFERROR(__xludf.DUMMYFUNCTION("""COMPUTED_VALUE"""),"Jóvenes en riesgo")</f>
        <v>Jóvenes en riesgo</v>
      </c>
      <c r="AT414" s="30" t="str">
        <f ca="1">IFERROR(__xludf.DUMMYFUNCTION("""COMPUTED_VALUE"""),"Sostenibilidad del trabajo cultural y la economía creativa.")</f>
        <v>Sostenibilidad del trabajo cultural y la economía creativa.</v>
      </c>
      <c r="AU414"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14" s="30" t="str">
        <f ca="1">IFERROR(__xludf.DUMMYFUNCTION("""COMPUTED_VALUE"""),"Diseñar programas de formación y gestión cultural de base comunitaria.")</f>
        <v>Diseñar programas de formación y gestión cultural de base comunitaria.</v>
      </c>
      <c r="AW414"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14" s="30" t="str">
        <f ca="1">IFERROR(__xludf.DUMMYFUNCTION("""COMPUTED_VALUE"""),"Taller")</f>
        <v>Taller</v>
      </c>
      <c r="AY414" s="30" t="str">
        <f ca="1">IFERROR(__xludf.DUMMYFUNCTION("""COMPUTED_VALUE"""),"Formación")</f>
        <v>Formación</v>
      </c>
      <c r="AZ414" s="30" t="str">
        <f ca="1">IFERROR(__xludf.DUMMYFUNCTION("""COMPUTED_VALUE"""),"Formación")</f>
        <v>Formación</v>
      </c>
      <c r="BA414" s="30"/>
      <c r="BB414" s="30"/>
      <c r="BC414" s="30">
        <f ca="1">IFERROR(__xludf.DUMMYFUNCTION("""COMPUTED_VALUE"""),0)</f>
        <v>0</v>
      </c>
      <c r="BD414" s="30"/>
      <c r="BE414" s="30"/>
      <c r="BF414" s="30" t="b">
        <f ca="1">IFERROR(__xludf.DUMMYFUNCTION("""COMPUTED_VALUE"""),FALSE)</f>
        <v>0</v>
      </c>
      <c r="BG414" s="30"/>
      <c r="BH414" s="30"/>
      <c r="BI414" s="30"/>
      <c r="BJ414" s="30"/>
      <c r="BK414" s="30"/>
      <c r="BL414" s="30" t="str">
        <f ca="1">IFERROR(__xludf.DUMMYFUNCTION("""COMPUTED_VALUE"""),"Se contacto a Tallerista")</f>
        <v>Se contacto a Tallerista</v>
      </c>
      <c r="BM414" s="30" t="str">
        <f ca="1">IFERROR(__xludf.DUMMYFUNCTION("""COMPUTED_VALUE"""),"Sí")</f>
        <v>Sí</v>
      </c>
      <c r="BN414" s="30" t="str">
        <f ca="1">IFERROR(__xludf.DUMMYFUNCTION("""COMPUTED_VALUE"""),"Acompañamiento Técnico")</f>
        <v>Acompañamiento Técnico</v>
      </c>
      <c r="BO414" s="30" t="str">
        <f ca="1">IFERROR(__xludf.DUMMYFUNCTION("""COMPUTED_VALUE"""),"f3efec83")</f>
        <v>f3efec83</v>
      </c>
      <c r="BP414" s="29" t="str">
        <f ca="1">IFERROR(__xludf.DUMMYFUNCTION("""COMPUTED_VALUE"""),"Salamanca")</f>
        <v>Salamanca</v>
      </c>
      <c r="BQ414" s="30" t="str">
        <f ca="1">IFERROR(__xludf.DUMMYFUNCTION("""COMPUTED_VALUE"""),"Urbano")</f>
        <v>Urbano</v>
      </c>
      <c r="BR414" s="30">
        <f ca="1">IFERROR(__xludf.DUMMYFUNCTION("""COMPUTED_VALUE"""),181)</f>
        <v>181</v>
      </c>
      <c r="BS414" s="30" t="str">
        <f ca="1">IFERROR(__xludf.DUMMYFUNCTION("""COMPUTED_VALUE"""),"Salamanca")</f>
        <v>Salamanca</v>
      </c>
      <c r="BT414" s="30"/>
      <c r="BU414" s="30" t="str">
        <f ca="1">IFERROR(__xludf.DUMMYFUNCTION("""COMPUTED_VALUE"""),"Si")</f>
        <v>Si</v>
      </c>
      <c r="BV414" s="30" t="str">
        <f ca="1">IFERROR(__xludf.DUMMYFUNCTION("""COMPUTED_VALUE"""),"Si")</f>
        <v>Si</v>
      </c>
      <c r="BW414" s="30">
        <f ca="1">IFERROR(__xludf.DUMMYFUNCTION("""COMPUTED_VALUE"""),1368)</f>
        <v>1368</v>
      </c>
      <c r="BX414" s="30"/>
      <c r="BY414" s="30">
        <f ca="1">IFERROR(__xludf.DUMMYFUNCTION("""COMPUTED_VALUE"""),1368)</f>
        <v>1368</v>
      </c>
      <c r="BZ414" s="30" t="str">
        <f ca="1">IFERROR(__xludf.DUMMYFUNCTION("""COMPUTED_VALUE"""),"Salamanca")</f>
        <v>Salamanca</v>
      </c>
      <c r="CA414" s="30" t="str">
        <f ca="1">IFERROR(__xludf.DUMMYFUNCTION("""COMPUTED_VALUE"""),"No")</f>
        <v>No</v>
      </c>
      <c r="CB414" s="30" t="str">
        <f ca="1">IFERROR(__xludf.DUMMYFUNCTION("""COMPUTED_VALUE"""),"No")</f>
        <v>No</v>
      </c>
      <c r="CC414" s="30" t="str">
        <f ca="1">IFERROR(__xludf.DUMMYFUNCTION("""COMPUTED_VALUE"""),"f2496ad6")</f>
        <v>f2496ad6</v>
      </c>
      <c r="CD414" s="29" t="str">
        <f ca="1">IFERROR(__xludf.DUMMYFUNCTION("""COMPUTED_VALUE"""),"Niñas y Niños (6 a 12 años)")</f>
        <v>Niñas y Niños (6 a 12 años)</v>
      </c>
      <c r="CE414" s="30" t="str">
        <f ca="1">IFERROR(__xludf.DUMMYFUNCTION("""COMPUTED_VALUE"""),"No se cuenta con el dato")</f>
        <v>No se cuenta con el dato</v>
      </c>
      <c r="CF414" s="30" t="str">
        <f ca="1">IFERROR(__xludf.DUMMYFUNCTION("""COMPUTED_VALUE"""),"Ninguno (Población General)")</f>
        <v>Ninguno (Población General)</v>
      </c>
      <c r="CG414" s="30">
        <f ca="1">IFERROR(__xludf.DUMMYFUNCTION("""COMPUTED_VALUE"""),162)</f>
        <v>162</v>
      </c>
      <c r="CJ414" s="29"/>
      <c r="CM414" s="30" t="str">
        <f ca="1">IFERROR(__xludf.DUMMYFUNCTION("""COMPUTED_VALUE"""),"Silao de la Victoria")</f>
        <v>Silao de la Victoria</v>
      </c>
      <c r="CN414" s="32" t="e">
        <f ca="1"/>
        <v>#NAME?</v>
      </c>
      <c r="CO414" s="32" t="e">
        <f ca="1"/>
        <v>#NAME?</v>
      </c>
      <c r="CP414" s="32" t="e">
        <f ca="1"/>
        <v>#NAME?</v>
      </c>
      <c r="CQ414" s="32" t="e">
        <f ca="1"/>
        <v>#NAME?</v>
      </c>
      <c r="CR414" s="30" t="e">
        <f ca="1"/>
        <v>#NAME?</v>
      </c>
      <c r="CS414" s="30" t="str">
        <f ca="1">IFERROR(__xludf.DUMMYFUNCTION("""COMPUTED_VALUE"""),"Ninguno (Población General)")</f>
        <v>Ninguno (Población General)</v>
      </c>
    </row>
    <row r="415" spans="1:97" ht="13">
      <c r="A415" s="29" t="str">
        <f ca="1">IFERROR(__xludf.DUMMYFUNCTION("""COMPUTED_VALUE"""),"ACT-SCNO55541")</f>
        <v>ACT-SCNO55541</v>
      </c>
      <c r="B415" s="30" t="str">
        <f ca="1">IFERROR(__xludf.DUMMYFUNCTION("""COMPUTED_VALUE"""),"SC-260917-110308")</f>
        <v>SC-260917-110308</v>
      </c>
      <c r="C415" s="62">
        <f ca="1">IFERROR(__xludf.DUMMYFUNCTION("""COMPUTED_VALUE"""),46282.4605092592)</f>
        <v>46282.460509259203</v>
      </c>
      <c r="D415" s="30">
        <f ca="1">IFERROR(__xludf.DUMMYFUNCTION("""COMPUTED_VALUE"""),94)</f>
        <v>94</v>
      </c>
      <c r="E415" s="30" t="str">
        <f ca="1">IFERROR(__xludf.DUMMYFUNCTION("""COMPUTED_VALUE"""),"PB3572")</f>
        <v>PB3572</v>
      </c>
      <c r="F41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5"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15" s="30" t="str">
        <f ca="1">IFERROR(__xludf.DUMMYFUNCTION("""COMPUTED_VALUE"""),"SUBSECRETARÍA DE DESARROLLO Y PROMOCIÓN ARTÍSTICA Y CULTURAL")</f>
        <v>SUBSECRETARÍA DE DESARROLLO Y PROMOCIÓN ARTÍSTICA Y CULTURAL</v>
      </c>
      <c r="I415" s="34" t="str">
        <f ca="1">IFERROR(__xludf.DUMMYFUNCTION("""COMPUTED_VALUE"""),"DIRECCIÓN GENERAL DE MUSEOS, ARTES VISUALES Y EXPOSICIONES")</f>
        <v>DIRECCIÓN GENERAL DE MUSEOS, ARTES VISUALES Y EXPOSICIONES</v>
      </c>
      <c r="J415" s="30" t="str">
        <f ca="1">IFERROR(__xludf.DUMMYFUNCTION("""COMPUTED_VALUE"""),"Número de Actividades realizadas")</f>
        <v>Número de Actividades realizadas</v>
      </c>
      <c r="K415" s="30">
        <f ca="1">IFERROR(__xludf.DUMMYFUNCTION("""COMPUTED_VALUE"""),12)</f>
        <v>12</v>
      </c>
      <c r="L415" s="30" t="str">
        <f ca="1">IFERROR(__xludf.DUMMYFUNCTION("""COMPUTED_VALUE"""),"Artística")</f>
        <v>Artística</v>
      </c>
      <c r="M415" s="30" t="str">
        <f ca="1">IFERROR(__xludf.DUMMYFUNCTION("""COMPUTED_VALUE"""),"Identiarte: Taller de cartoneria")</f>
        <v>Identiarte: Taller de cartoneria</v>
      </c>
      <c r="N415" s="30" t="str">
        <f ca="1">IFERROR(__xludf.DUMMYFUNCTION("""COMPUTED_VALUE"""),"Taller de cartonería")</f>
        <v>Taller de cartonería</v>
      </c>
      <c r="O415" s="30" t="str">
        <f ca="1">IFERROR(__xludf.DUMMYFUNCTION("""COMPUTED_VALUE"""),"Semanal")</f>
        <v>Semanal</v>
      </c>
      <c r="P415" s="33">
        <f ca="1">IFERROR(__xludf.DUMMYFUNCTION("""COMPUTED_VALUE"""),46240)</f>
        <v>46240</v>
      </c>
      <c r="Q415" s="33">
        <f ca="1">IFERROR(__xludf.DUMMYFUNCTION("""COMPUTED_VALUE"""),46261)</f>
        <v>46261</v>
      </c>
      <c r="R415" s="30">
        <f ca="1">IFERROR(__xludf.DUMMYFUNCTION("""COMPUTED_VALUE"""),5)</f>
        <v>5</v>
      </c>
      <c r="S415" s="30" t="str">
        <f ca="1">IFERROR(__xludf.DUMMYFUNCTION("""COMPUTED_VALUE"""),"Cultura comunitaria")</f>
        <v>Cultura comunitaria</v>
      </c>
      <c r="T415" s="30" t="str">
        <f ca="1">IFERROR(__xludf.DUMMYFUNCTION("""COMPUTED_VALUE"""),"Formación comunitaria")</f>
        <v>Formación comunitaria</v>
      </c>
      <c r="U415" s="30" t="str">
        <f ca="1">IFERROR(__xludf.DUMMYFUNCTION("""COMPUTED_VALUE"""),"Taller")</f>
        <v>Taller</v>
      </c>
      <c r="V415" s="30" t="str">
        <f ca="1">IFERROR(__xludf.DUMMYFUNCTION("""COMPUTED_VALUE"""),"Ninguna")</f>
        <v>Ninguna</v>
      </c>
      <c r="W415" s="30" t="str">
        <f ca="1">IFERROR(__xludf.DUMMYFUNCTION("""COMPUTED_VALUE"""),"Presencial")</f>
        <v>Presencial</v>
      </c>
      <c r="X415" s="30" t="str">
        <f ca="1">IFERROR(__xludf.DUMMYFUNCTION("""COMPUTED_VALUE"""),"Espacio a Cargo de la Secretaría")</f>
        <v>Espacio a Cargo de la Secretaría</v>
      </c>
      <c r="Y415" s="30" t="str">
        <f ca="1">IFERROR(__xludf.DUMMYFUNCTION("""COMPUTED_VALUE"""),"Museo José y Tomas Chavez Morado")</f>
        <v>Museo José y Tomas Chavez Morado</v>
      </c>
      <c r="Z415" s="30"/>
      <c r="AA415" s="30"/>
      <c r="AB415" s="30" t="b">
        <f ca="1">IFERROR(__xludf.DUMMYFUNCTION("""COMPUTED_VALUE"""),FALSE)</f>
        <v>0</v>
      </c>
      <c r="AC415" s="30"/>
      <c r="AD415" s="30" t="b">
        <f ca="1">IFERROR(__xludf.DUMMYFUNCTION("""COMPUTED_VALUE"""),FALSE)</f>
        <v>0</v>
      </c>
      <c r="AE415" s="30"/>
      <c r="AF415" s="30" t="b">
        <f ca="1">IFERROR(__xludf.DUMMYFUNCTION("""COMPUTED_VALUE"""),FALSE)</f>
        <v>0</v>
      </c>
      <c r="AG415" s="30"/>
      <c r="AH415" s="30" t="str">
        <f ca="1">IFERROR(__xludf.DUMMYFUNCTION("""COMPUTED_VALUE"""),"Sin costo")</f>
        <v>Sin costo</v>
      </c>
      <c r="AI415" s="30"/>
      <c r="AJ415" s="30"/>
      <c r="AK415" s="30"/>
      <c r="AL415" s="30" t="str">
        <f ca="1">IFERROR(__xludf.DUMMYFUNCTION("""COMPUTED_VALUE"""),"ccardonav@guanajuato.gob.mx")</f>
        <v>ccardonav@guanajuato.gob.mx</v>
      </c>
      <c r="AM415" s="30" t="str">
        <f ca="1">IFERROR(__xludf.DUMMYFUNCTION("""COMPUTED_VALUE"""),"Arraigo y empoderamiento cultural de comunidades.")</f>
        <v>Arraigo y empoderamiento cultural de comunidades.</v>
      </c>
      <c r="AN415" s="30" t="str">
        <f ca="1">IFERROR(__xludf.DUMMYFUNCTION("""COMPUTED_VALUE"""),"1 Tranquilidad")</f>
        <v>1 Tranquilidad</v>
      </c>
      <c r="AO415" s="30" t="str">
        <f ca="1">IFERROR(__xludf.DUMMYFUNCTION("""COMPUTED_VALUE"""),"1.2 Fortalecer prevención del delito")</f>
        <v>1.2 Fortalecer prevención del delito</v>
      </c>
      <c r="AP415" s="30" t="str">
        <f ca="1">IFERROR(__xludf.DUMMYFUNCTION("""COMPUTED_VALUE"""),"1.2.2 Fortalecimiento del tejido social")</f>
        <v>1.2.2 Fortalecimiento del tejido social</v>
      </c>
      <c r="AQ415" s="30" t="str">
        <f ca="1">IFERROR(__xludf.DUMMYFUNCTION("""COMPUTED_VALUE"""),"1.2.3.4 Promover una cultura de paz desde las expresiones artísticas y culturales")</f>
        <v>1.2.3.4 Promover una cultura de paz desde las expresiones artísticas y culturales</v>
      </c>
      <c r="AR415" s="30" t="str">
        <f ca="1">IFERROR(__xludf.DUMMYFUNCTION("""COMPUTED_VALUE"""),"Cooperación")</f>
        <v>Cooperación</v>
      </c>
      <c r="AS415" s="30"/>
      <c r="AT415" s="30" t="str">
        <f ca="1">IFERROR(__xludf.DUMMYFUNCTION("""COMPUTED_VALUE"""),"Fortalecimiento de la participación ciudadana y la mediación cultural")</f>
        <v>Fortalecimiento de la participación ciudadana y la mediación cultural</v>
      </c>
      <c r="AU415" s="30" t="str">
        <f ca="1">IFERROR(__xludf.DUMMYFUNCTION("""COMPUTED_VALUE"""),"Impulso a la ampliación de la oferta cultural en los territorios.")</f>
        <v>Impulso a la ampliación de la oferta cultural en los territorios.</v>
      </c>
      <c r="AV41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15" s="30" t="str">
        <f ca="1">IFERROR(__xludf.DUMMYFUNCTION("""COMPUTED_VALUE"""),"Incrementar en 25% la oferta cultural realizada en los municipios.")</f>
        <v>Incrementar en 25% la oferta cultural realizada en los municipios.</v>
      </c>
      <c r="AX415" s="30" t="str">
        <f ca="1">IFERROR(__xludf.DUMMYFUNCTION("""COMPUTED_VALUE"""),"Taller")</f>
        <v>Taller</v>
      </c>
      <c r="AY415" s="30" t="str">
        <f ca="1">IFERROR(__xludf.DUMMYFUNCTION("""COMPUTED_VALUE"""),"Formación")</f>
        <v>Formación</v>
      </c>
      <c r="AZ415" s="30" t="str">
        <f ca="1">IFERROR(__xludf.DUMMYFUNCTION("""COMPUTED_VALUE"""),"Formación")</f>
        <v>Formación</v>
      </c>
      <c r="BA415" s="30"/>
      <c r="BB415" s="30"/>
      <c r="BC415" s="30">
        <f ca="1">IFERROR(__xludf.DUMMYFUNCTION("""COMPUTED_VALUE"""),0)</f>
        <v>0</v>
      </c>
      <c r="BD415" s="30"/>
      <c r="BE415" s="30"/>
      <c r="BF415" s="30" t="b">
        <f ca="1">IFERROR(__xludf.DUMMYFUNCTION("""COMPUTED_VALUE"""),FALSE)</f>
        <v>0</v>
      </c>
      <c r="BG415" s="30"/>
      <c r="BH415" s="30"/>
      <c r="BI415" s="30"/>
      <c r="BJ415" s="30"/>
      <c r="BK415" s="30"/>
      <c r="BL415" s="30" t="str">
        <f ca="1">IFERROR(__xludf.DUMMYFUNCTION("""COMPUTED_VALUE"""),"Se contacto a Tallerista")</f>
        <v>Se contacto a Tallerista</v>
      </c>
      <c r="BM415" s="30" t="str">
        <f ca="1">IFERROR(__xludf.DUMMYFUNCTION("""COMPUTED_VALUE"""),"Sí")</f>
        <v>Sí</v>
      </c>
      <c r="BN415" s="30" t="str">
        <f ca="1">IFERROR(__xludf.DUMMYFUNCTION("""COMPUTED_VALUE"""),"Acompañamiento Técnico")</f>
        <v>Acompañamiento Técnico</v>
      </c>
      <c r="BO415" s="30" t="str">
        <f ca="1">IFERROR(__xludf.DUMMYFUNCTION("""COMPUTED_VALUE"""),"331e8fd5")</f>
        <v>331e8fd5</v>
      </c>
      <c r="BP415" s="29" t="str">
        <f ca="1">IFERROR(__xludf.DUMMYFUNCTION("""COMPUTED_VALUE"""),"Silao de la Victoria")</f>
        <v>Silao de la Victoria</v>
      </c>
      <c r="BQ415" s="30" t="str">
        <f ca="1">IFERROR(__xludf.DUMMYFUNCTION("""COMPUTED_VALUE"""),"Urbano")</f>
        <v>Urbano</v>
      </c>
      <c r="BR415" s="30"/>
      <c r="BS415" s="30"/>
      <c r="BT415" s="30"/>
      <c r="BU415" s="30" t="str">
        <f ca="1">IFERROR(__xludf.DUMMYFUNCTION("""COMPUTED_VALUE"""),"No")</f>
        <v>No</v>
      </c>
      <c r="BV415" s="30" t="str">
        <f ca="1">IFERROR(__xludf.DUMMYFUNCTION("""COMPUTED_VALUE"""),"No")</f>
        <v>No</v>
      </c>
      <c r="BW415" s="30">
        <f ca="1">IFERROR(__xludf.DUMMYFUNCTION("""COMPUTED_VALUE"""),6)</f>
        <v>6</v>
      </c>
      <c r="BX415" s="30"/>
      <c r="BY415" s="30">
        <f ca="1">IFERROR(__xludf.DUMMYFUNCTION("""COMPUTED_VALUE"""),6)</f>
        <v>6</v>
      </c>
      <c r="BZ415" s="30"/>
      <c r="CA415" s="30" t="str">
        <f ca="1">IFERROR(__xludf.DUMMYFUNCTION("""COMPUTED_VALUE"""),"No")</f>
        <v>No</v>
      </c>
      <c r="CB415" s="30" t="str">
        <f ca="1">IFERROR(__xludf.DUMMYFUNCTION("""COMPUTED_VALUE"""),"No")</f>
        <v>No</v>
      </c>
      <c r="CC415" s="30" t="str">
        <f ca="1">IFERROR(__xludf.DUMMYFUNCTION("""COMPUTED_VALUE"""),"84f62b33")</f>
        <v>84f62b33</v>
      </c>
      <c r="CD415" s="29" t="str">
        <f ca="1">IFERROR(__xludf.DUMMYFUNCTION("""COMPUTED_VALUE"""),"Adolescentes (13 a 17 años)")</f>
        <v>Adolescentes (13 a 17 años)</v>
      </c>
      <c r="CE415" s="30" t="str">
        <f ca="1">IFERROR(__xludf.DUMMYFUNCTION("""COMPUTED_VALUE"""),"No se cuenta con el dato")</f>
        <v>No se cuenta con el dato</v>
      </c>
      <c r="CF415" s="30" t="str">
        <f ca="1">IFERROR(__xludf.DUMMYFUNCTION("""COMPUTED_VALUE"""),"Ninguno (Población General)")</f>
        <v>Ninguno (Población General)</v>
      </c>
      <c r="CG415" s="30">
        <f ca="1">IFERROR(__xludf.DUMMYFUNCTION("""COMPUTED_VALUE"""),50)</f>
        <v>50</v>
      </c>
      <c r="CJ415" s="29"/>
      <c r="CM415" s="30" t="str">
        <f ca="1">IFERROR(__xludf.DUMMYFUNCTION("""COMPUTED_VALUE"""),"Salamanca")</f>
        <v>Salamanca</v>
      </c>
      <c r="CN415" s="32" t="e">
        <f ca="1"/>
        <v>#NAME?</v>
      </c>
      <c r="CO415" s="32" t="e">
        <f ca="1"/>
        <v>#NAME?</v>
      </c>
      <c r="CP415" s="32" t="e">
        <f ca="1"/>
        <v>#NAME?</v>
      </c>
      <c r="CQ415" s="32" t="e">
        <f ca="1"/>
        <v>#NAME?</v>
      </c>
      <c r="CR415" s="30" t="e">
        <f ca="1"/>
        <v>#NAME?</v>
      </c>
      <c r="CS415" s="30" t="str">
        <f ca="1">IFERROR(__xludf.DUMMYFUNCTION("""COMPUTED_VALUE"""),"Ninguno (Población General)")</f>
        <v>Ninguno (Población General)</v>
      </c>
    </row>
    <row r="416" spans="1:97" ht="13">
      <c r="A416" s="29" t="str">
        <f ca="1">IFERROR(__xludf.DUMMYFUNCTION("""COMPUTED_VALUE"""),"ACT-SCUX09615")</f>
        <v>ACT-SCUX09615</v>
      </c>
      <c r="B416" s="30" t="str">
        <f ca="1">IFERROR(__xludf.DUMMYFUNCTION("""COMPUTED_VALUE"""),"SC-260917-113108")</f>
        <v>SC-260917-113108</v>
      </c>
      <c r="C416" s="62">
        <f ca="1">IFERROR(__xludf.DUMMYFUNCTION("""COMPUTED_VALUE"""),46282.4799537037)</f>
        <v>46282.479953703703</v>
      </c>
      <c r="D416" s="30">
        <f ca="1">IFERROR(__xludf.DUMMYFUNCTION("""COMPUTED_VALUE"""),92)</f>
        <v>92</v>
      </c>
      <c r="E416" s="30" t="str">
        <f ca="1">IFERROR(__xludf.DUMMYFUNCTION("""COMPUTED_VALUE"""),"PB3572")</f>
        <v>PB3572</v>
      </c>
      <c r="F41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6" s="30" t="str">
        <f ca="1">IFERROR(__xludf.DUMMYFUNCTION("""COMPUTED_VALUE"""),"SUBSECRETARÍA DE DESARROLLO Y PROMOCIÓN ARTÍSTICA Y CULTURAL")</f>
        <v>SUBSECRETARÍA DE DESARROLLO Y PROMOCIÓN ARTÍSTICA Y CULTURAL</v>
      </c>
      <c r="I416" s="34" t="str">
        <f ca="1">IFERROR(__xludf.DUMMYFUNCTION("""COMPUTED_VALUE"""),"DIRECCIÓN GENERAL DE MUSEOS, ARTES VISUALES Y EXPOSICIONES")</f>
        <v>DIRECCIÓN GENERAL DE MUSEOS, ARTES VISUALES Y EXPOSICIONES</v>
      </c>
      <c r="J416" s="30" t="str">
        <f ca="1">IFERROR(__xludf.DUMMYFUNCTION("""COMPUTED_VALUE"""),"Número de Actividades realizadas")</f>
        <v>Número de Actividades realizadas</v>
      </c>
      <c r="K416" s="30">
        <f ca="1">IFERROR(__xludf.DUMMYFUNCTION("""COMPUTED_VALUE"""),800)</f>
        <v>800</v>
      </c>
      <c r="L416" s="30" t="str">
        <f ca="1">IFERROR(__xludf.DUMMYFUNCTION("""COMPUTED_VALUE"""),"Cultural")</f>
        <v>Cultural</v>
      </c>
      <c r="M416" s="30" t="str">
        <f ca="1">IFERROR(__xludf.DUMMYFUNCTION("""COMPUTED_VALUE"""),"Circulo de lectura e identidad")</f>
        <v>Circulo de lectura e identidad</v>
      </c>
      <c r="N416" s="30" t="str">
        <f ca="1">IFERROR(__xludf.DUMMYFUNCTION("""COMPUTED_VALUE"""),"Circulo de lectura e identidad")</f>
        <v>Circulo de lectura e identidad</v>
      </c>
      <c r="O416" s="30" t="str">
        <f ca="1">IFERROR(__xludf.DUMMYFUNCTION("""COMPUTED_VALUE"""),"Semanal")</f>
        <v>Semanal</v>
      </c>
      <c r="P416" s="33">
        <f ca="1">IFERROR(__xludf.DUMMYFUNCTION("""COMPUTED_VALUE"""),46240)</f>
        <v>46240</v>
      </c>
      <c r="Q416" s="33">
        <f ca="1">IFERROR(__xludf.DUMMYFUNCTION("""COMPUTED_VALUE"""),46261)</f>
        <v>46261</v>
      </c>
      <c r="R416" s="30">
        <f ca="1">IFERROR(__xludf.DUMMYFUNCTION("""COMPUTED_VALUE"""),4)</f>
        <v>4</v>
      </c>
      <c r="S416" s="30" t="str">
        <f ca="1">IFERROR(__xludf.DUMMYFUNCTION("""COMPUTED_VALUE"""),"Literatura")</f>
        <v>Literatura</v>
      </c>
      <c r="T416" s="30" t="str">
        <f ca="1">IFERROR(__xludf.DUMMYFUNCTION("""COMPUTED_VALUE"""),"Fomento a la lectura")</f>
        <v>Fomento a la lectura</v>
      </c>
      <c r="U416" s="30" t="str">
        <f ca="1">IFERROR(__xludf.DUMMYFUNCTION("""COMPUTED_VALUE"""),"Programación cultural en recinto")</f>
        <v>Programación cultural en recinto</v>
      </c>
      <c r="V416" s="30" t="str">
        <f ca="1">IFERROR(__xludf.DUMMYFUNCTION("""COMPUTED_VALUE"""),"Ninguna")</f>
        <v>Ninguna</v>
      </c>
      <c r="W416" s="30" t="str">
        <f ca="1">IFERROR(__xludf.DUMMYFUNCTION("""COMPUTED_VALUE"""),"Presencial")</f>
        <v>Presencial</v>
      </c>
      <c r="X416" s="30" t="str">
        <f ca="1">IFERROR(__xludf.DUMMYFUNCTION("""COMPUTED_VALUE"""),"Espacio a Cargo de la Secretaría")</f>
        <v>Espacio a Cargo de la Secretaría</v>
      </c>
      <c r="Y416" s="30" t="str">
        <f ca="1">IFERROR(__xludf.DUMMYFUNCTION("""COMPUTED_VALUE"""),"Museo José y Tomas Chavez Morado")</f>
        <v>Museo José y Tomas Chavez Morado</v>
      </c>
      <c r="Z416" s="30"/>
      <c r="AA416" s="30"/>
      <c r="AB416" s="30" t="b">
        <f ca="1">IFERROR(__xludf.DUMMYFUNCTION("""COMPUTED_VALUE"""),FALSE)</f>
        <v>0</v>
      </c>
      <c r="AC416" s="30"/>
      <c r="AD416" s="30" t="b">
        <f ca="1">IFERROR(__xludf.DUMMYFUNCTION("""COMPUTED_VALUE"""),FALSE)</f>
        <v>0</v>
      </c>
      <c r="AE416" s="30"/>
      <c r="AF416" s="30" t="b">
        <f ca="1">IFERROR(__xludf.DUMMYFUNCTION("""COMPUTED_VALUE"""),FALSE)</f>
        <v>0</v>
      </c>
      <c r="AG416" s="30"/>
      <c r="AH416" s="30" t="str">
        <f ca="1">IFERROR(__xludf.DUMMYFUNCTION("""COMPUTED_VALUE"""),"Sin costo")</f>
        <v>Sin costo</v>
      </c>
      <c r="AI416" s="30"/>
      <c r="AJ416" s="30"/>
      <c r="AK416" s="30"/>
      <c r="AL416" s="30" t="str">
        <f ca="1">IFERROR(__xludf.DUMMYFUNCTION("""COMPUTED_VALUE"""),"ccardonav@guanajuato.gob.mx")</f>
        <v>ccardonav@guanajuato.gob.mx</v>
      </c>
      <c r="AM416" s="30" t="str">
        <f ca="1">IFERROR(__xludf.DUMMYFUNCTION("""COMPUTED_VALUE"""),"Leer para crecer.")</f>
        <v>Leer para crecer.</v>
      </c>
      <c r="AN416" s="30" t="str">
        <f ca="1">IFERROR(__xludf.DUMMYFUNCTION("""COMPUTED_VALUE"""),"1 Tranquilidad")</f>
        <v>1 Tranquilidad</v>
      </c>
      <c r="AO416" s="30" t="str">
        <f ca="1">IFERROR(__xludf.DUMMYFUNCTION("""COMPUTED_VALUE"""),"1.2 Fortalecer prevención del delito")</f>
        <v>1.2 Fortalecer prevención del delito</v>
      </c>
      <c r="AP416" s="30" t="str">
        <f ca="1">IFERROR(__xludf.DUMMYFUNCTION("""COMPUTED_VALUE"""),"1.2.2 Fortalecimiento del tejido social")</f>
        <v>1.2.2 Fortalecimiento del tejido social</v>
      </c>
      <c r="AQ416" s="30" t="str">
        <f ca="1">IFERROR(__xludf.DUMMYFUNCTION("""COMPUTED_VALUE"""),"1.2.3.4 Promover una cultura de paz desde las expresiones artísticas y culturales")</f>
        <v>1.2.3.4 Promover una cultura de paz desde las expresiones artísticas y culturales</v>
      </c>
      <c r="AR416" s="30" t="str">
        <f ca="1">IFERROR(__xludf.DUMMYFUNCTION("""COMPUTED_VALUE"""),"Cooperación")</f>
        <v>Cooperación</v>
      </c>
      <c r="AS416" s="30"/>
      <c r="AT416" s="30" t="str">
        <f ca="1">IFERROR(__xludf.DUMMYFUNCTION("""COMPUTED_VALUE"""),"Sostenibilidad del trabajo cultural y la economía creativa.")</f>
        <v>Sostenibilidad del trabajo cultural y la economía creativa.</v>
      </c>
      <c r="AU416"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16" s="30" t="str">
        <f ca="1">IFERROR(__xludf.DUMMYFUNCTION("""COMPUTED_VALUE"""),"Diseñar programas de formación y gestión cultural de base comunitaria.")</f>
        <v>Diseñar programas de formación y gestión cultural de base comunitaria.</v>
      </c>
      <c r="AW416"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16" s="30" t="str">
        <f ca="1">IFERROR(__xludf.DUMMYFUNCTION("""COMPUTED_VALUE"""),"Campaña de difusión cultural")</f>
        <v>Campaña de difusión cultural</v>
      </c>
      <c r="AY416" s="30" t="str">
        <f ca="1">IFERROR(__xludf.DUMMYFUNCTION("""COMPUTED_VALUE"""),"Circulación / Exhibición")</f>
        <v>Circulación / Exhibición</v>
      </c>
      <c r="AZ416" s="30"/>
      <c r="BA416" s="30"/>
      <c r="BB416" s="30"/>
      <c r="BC416" s="30">
        <f ca="1">IFERROR(__xludf.DUMMYFUNCTION("""COMPUTED_VALUE"""),0)</f>
        <v>0</v>
      </c>
      <c r="BD416" s="30"/>
      <c r="BE416" s="30"/>
      <c r="BF416" s="30" t="b">
        <f ca="1">IFERROR(__xludf.DUMMYFUNCTION("""COMPUTED_VALUE"""),FALSE)</f>
        <v>0</v>
      </c>
      <c r="BG416" s="30"/>
      <c r="BH416" s="30"/>
      <c r="BI416" s="30"/>
      <c r="BJ416" s="30"/>
      <c r="BK416" s="30"/>
      <c r="BL416" s="30" t="str">
        <f ca="1">IFERROR(__xludf.DUMMYFUNCTION("""COMPUTED_VALUE"""),"Vinculación")</f>
        <v>Vinculación</v>
      </c>
      <c r="BM416" s="30" t="str">
        <f ca="1">IFERROR(__xludf.DUMMYFUNCTION("""COMPUTED_VALUE"""),"Sí")</f>
        <v>Sí</v>
      </c>
      <c r="BN416" s="30" t="str">
        <f ca="1">IFERROR(__xludf.DUMMYFUNCTION("""COMPUTED_VALUE"""),"Acompañamiento Técnico")</f>
        <v>Acompañamiento Técnico</v>
      </c>
      <c r="BO416" s="30" t="str">
        <f ca="1">IFERROR(__xludf.DUMMYFUNCTION("""COMPUTED_VALUE"""),"b57250d5")</f>
        <v>b57250d5</v>
      </c>
      <c r="BP416" s="29" t="str">
        <f ca="1">IFERROR(__xludf.DUMMYFUNCTION("""COMPUTED_VALUE"""),"Silao de la Victoria")</f>
        <v>Silao de la Victoria</v>
      </c>
      <c r="BQ416" s="30" t="str">
        <f ca="1">IFERROR(__xludf.DUMMYFUNCTION("""COMPUTED_VALUE"""),"Urbano")</f>
        <v>Urbano</v>
      </c>
      <c r="BR416" s="30"/>
      <c r="BS416" s="30"/>
      <c r="BT416" s="30"/>
      <c r="BU416" s="30" t="str">
        <f ca="1">IFERROR(__xludf.DUMMYFUNCTION("""COMPUTED_VALUE"""),"No")</f>
        <v>No</v>
      </c>
      <c r="BV416" s="30" t="str">
        <f ca="1">IFERROR(__xludf.DUMMYFUNCTION("""COMPUTED_VALUE"""),"No")</f>
        <v>No</v>
      </c>
      <c r="BW416" s="30">
        <f ca="1">IFERROR(__xludf.DUMMYFUNCTION("""COMPUTED_VALUE"""),5)</f>
        <v>5</v>
      </c>
      <c r="BX416" s="30"/>
      <c r="BY416" s="30">
        <f ca="1">IFERROR(__xludf.DUMMYFUNCTION("""COMPUTED_VALUE"""),5)</f>
        <v>5</v>
      </c>
      <c r="BZ416" s="30"/>
      <c r="CA416" s="30" t="str">
        <f ca="1">IFERROR(__xludf.DUMMYFUNCTION("""COMPUTED_VALUE"""),"No")</f>
        <v>No</v>
      </c>
      <c r="CB416" s="30" t="str">
        <f ca="1">IFERROR(__xludf.DUMMYFUNCTION("""COMPUTED_VALUE"""),"No")</f>
        <v>No</v>
      </c>
      <c r="CC416" s="30" t="str">
        <f ca="1">IFERROR(__xludf.DUMMYFUNCTION("""COMPUTED_VALUE"""),"703109ac")</f>
        <v>703109ac</v>
      </c>
      <c r="CD416" s="29" t="str">
        <f ca="1">IFERROR(__xludf.DUMMYFUNCTION("""COMPUTED_VALUE"""),"Jóvenes (18 a 29 años)")</f>
        <v>Jóvenes (18 a 29 años)</v>
      </c>
      <c r="CE416" s="30" t="str">
        <f ca="1">IFERROR(__xludf.DUMMYFUNCTION("""COMPUTED_VALUE"""),"No se cuenta con el dato")</f>
        <v>No se cuenta con el dato</v>
      </c>
      <c r="CF416" s="30" t="str">
        <f ca="1">IFERROR(__xludf.DUMMYFUNCTION("""COMPUTED_VALUE"""),"Ninguno (Población General)")</f>
        <v>Ninguno (Población General)</v>
      </c>
      <c r="CG416" s="30">
        <f ca="1">IFERROR(__xludf.DUMMYFUNCTION("""COMPUTED_VALUE"""),69)</f>
        <v>69</v>
      </c>
      <c r="CJ416" s="29"/>
      <c r="CM416" s="30" t="str">
        <f ca="1">IFERROR(__xludf.DUMMYFUNCTION("""COMPUTED_VALUE"""),"Silao de la Victoria")</f>
        <v>Silao de la Victoria</v>
      </c>
      <c r="CN416" s="32" t="e">
        <f ca="1"/>
        <v>#NAME?</v>
      </c>
      <c r="CO416" s="32" t="e">
        <f ca="1"/>
        <v>#NAME?</v>
      </c>
      <c r="CP416" s="32" t="e">
        <f ca="1"/>
        <v>#NAME?</v>
      </c>
      <c r="CQ416" s="32" t="e">
        <f ca="1"/>
        <v>#NAME?</v>
      </c>
      <c r="CR416" s="30" t="e">
        <f ca="1"/>
        <v>#NAME?</v>
      </c>
      <c r="CS416" s="30" t="str">
        <f ca="1">IFERROR(__xludf.DUMMYFUNCTION("""COMPUTED_VALUE"""),"Ninguno (Población General), Ninguno (Población General), Ninguno (Población General)")</f>
        <v>Ninguno (Población General), Ninguno (Población General), Ninguno (Población General)</v>
      </c>
    </row>
    <row r="417" spans="1:97" ht="13">
      <c r="A417" s="29" t="str">
        <f ca="1">IFERROR(__xludf.DUMMYFUNCTION("""COMPUTED_VALUE"""),"ACT-SCAE51563")</f>
        <v>ACT-SCAE51563</v>
      </c>
      <c r="B417" s="30" t="str">
        <f ca="1">IFERROR(__xludf.DUMMYFUNCTION("""COMPUTED_VALUE"""),"SC-260917-143030")</f>
        <v>SC-260917-143030</v>
      </c>
      <c r="C417" s="62">
        <f ca="1">IFERROR(__xludf.DUMMYFUNCTION("""COMPUTED_VALUE"""),46282.6045138888)</f>
        <v>46282.6045138888</v>
      </c>
      <c r="D417" s="30">
        <f ca="1">IFERROR(__xludf.DUMMYFUNCTION("""COMPUTED_VALUE"""),92)</f>
        <v>92</v>
      </c>
      <c r="E417" s="30" t="str">
        <f ca="1">IFERROR(__xludf.DUMMYFUNCTION("""COMPUTED_VALUE"""),"PB3572")</f>
        <v>PB3572</v>
      </c>
      <c r="F41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7" s="30" t="str">
        <f ca="1">IFERROR(__xludf.DUMMYFUNCTION("""COMPUTED_VALUE"""),"SUBSECRETARÍA DE DESARROLLO Y PROMOCIÓN ARTÍSTICA Y CULTURAL")</f>
        <v>SUBSECRETARÍA DE DESARROLLO Y PROMOCIÓN ARTÍSTICA Y CULTURAL</v>
      </c>
      <c r="I417" s="34" t="str">
        <f ca="1">IFERROR(__xludf.DUMMYFUNCTION("""COMPUTED_VALUE"""),"DIRECCIÓN GENERAL DE MUSEOS, ARTES VISUALES Y EXPOSICIONES")</f>
        <v>DIRECCIÓN GENERAL DE MUSEOS, ARTES VISUALES Y EXPOSICIONES</v>
      </c>
      <c r="J417" s="30" t="str">
        <f ca="1">IFERROR(__xludf.DUMMYFUNCTION("""COMPUTED_VALUE"""),"Número de Actividades realizadas")</f>
        <v>Número de Actividades realizadas</v>
      </c>
      <c r="K417" s="30">
        <f ca="1">IFERROR(__xludf.DUMMYFUNCTION("""COMPUTED_VALUE"""),800)</f>
        <v>800</v>
      </c>
      <c r="L417" s="30" t="str">
        <f ca="1">IFERROR(__xludf.DUMMYFUNCTION("""COMPUTED_VALUE"""),"Cultural")</f>
        <v>Cultural</v>
      </c>
      <c r="M417" s="30" t="str">
        <f ca="1">IFERROR(__xludf.DUMMYFUNCTION("""COMPUTED_VALUE"""),"Visita guiada libre")</f>
        <v>Visita guiada libre</v>
      </c>
      <c r="N417" s="30" t="str">
        <f ca="1">IFERROR(__xludf.DUMMYFUNCTION("""COMPUTED_VALUE"""),"Recorrido guiado por el museo")</f>
        <v>Recorrido guiado por el museo</v>
      </c>
      <c r="O417" s="30" t="str">
        <f ca="1">IFERROR(__xludf.DUMMYFUNCTION("""COMPUTED_VALUE"""),"Única")</f>
        <v>Única</v>
      </c>
      <c r="P417" s="33">
        <f ca="1">IFERROR(__xludf.DUMMYFUNCTION("""COMPUTED_VALUE"""),46236)</f>
        <v>46236</v>
      </c>
      <c r="Q417" s="33">
        <f ca="1">IFERROR(__xludf.DUMMYFUNCTION("""COMPUTED_VALUE"""),46236)</f>
        <v>46236</v>
      </c>
      <c r="R417" s="30">
        <f ca="1">IFERROR(__xludf.DUMMYFUNCTION("""COMPUTED_VALUE"""),1)</f>
        <v>1</v>
      </c>
      <c r="S417" s="30" t="str">
        <f ca="1">IFERROR(__xludf.DUMMYFUNCTION("""COMPUTED_VALUE"""),"Cultura comunitaria")</f>
        <v>Cultura comunitaria</v>
      </c>
      <c r="T417" s="30" t="str">
        <f ca="1">IFERROR(__xludf.DUMMYFUNCTION("""COMPUTED_VALUE"""),"Formación comunitaria")</f>
        <v>Formación comunitaria</v>
      </c>
      <c r="U417" s="30" t="str">
        <f ca="1">IFERROR(__xludf.DUMMYFUNCTION("""COMPUTED_VALUE"""),"Visitas guiadas")</f>
        <v>Visitas guiadas</v>
      </c>
      <c r="V417" s="30" t="str">
        <f ca="1">IFERROR(__xludf.DUMMYFUNCTION("""COMPUTED_VALUE"""),"Ninguna")</f>
        <v>Ninguna</v>
      </c>
      <c r="W417" s="30" t="str">
        <f ca="1">IFERROR(__xludf.DUMMYFUNCTION("""COMPUTED_VALUE"""),"Presencial")</f>
        <v>Presencial</v>
      </c>
      <c r="X417" s="30" t="str">
        <f ca="1">IFERROR(__xludf.DUMMYFUNCTION("""COMPUTED_VALUE"""),"Espacio a Cargo de la Secretaría")</f>
        <v>Espacio a Cargo de la Secretaría</v>
      </c>
      <c r="Y417" s="30" t="str">
        <f ca="1">IFERROR(__xludf.DUMMYFUNCTION("""COMPUTED_VALUE"""),"Museo José y Tomas Chavez Morado")</f>
        <v>Museo José y Tomas Chavez Morado</v>
      </c>
      <c r="Z417" s="30"/>
      <c r="AA417" s="30"/>
      <c r="AB417" s="30" t="b">
        <f ca="1">IFERROR(__xludf.DUMMYFUNCTION("""COMPUTED_VALUE"""),FALSE)</f>
        <v>0</v>
      </c>
      <c r="AC417" s="30"/>
      <c r="AD417" s="30" t="b">
        <f ca="1">IFERROR(__xludf.DUMMYFUNCTION("""COMPUTED_VALUE"""),FALSE)</f>
        <v>0</v>
      </c>
      <c r="AE417" s="30"/>
      <c r="AF417" s="30" t="b">
        <f ca="1">IFERROR(__xludf.DUMMYFUNCTION("""COMPUTED_VALUE"""),FALSE)</f>
        <v>0</v>
      </c>
      <c r="AG417" s="30"/>
      <c r="AH417" s="30" t="str">
        <f ca="1">IFERROR(__xludf.DUMMYFUNCTION("""COMPUTED_VALUE"""),"Sin costo")</f>
        <v>Sin costo</v>
      </c>
      <c r="AI417" s="30"/>
      <c r="AJ417" s="30"/>
      <c r="AK417" s="30"/>
      <c r="AL417" s="30" t="str">
        <f ca="1">IFERROR(__xludf.DUMMYFUNCTION("""COMPUTED_VALUE"""),"ccardonav@guanajuato.gob.mx")</f>
        <v>ccardonav@guanajuato.gob.mx</v>
      </c>
      <c r="AM417" s="30" t="str">
        <f ca="1">IFERROR(__xludf.DUMMYFUNCTION("""COMPUTED_VALUE"""),"Arraigo y empoderamiento cultural de comunidades.")</f>
        <v>Arraigo y empoderamiento cultural de comunidades.</v>
      </c>
      <c r="AN417" s="30" t="str">
        <f ca="1">IFERROR(__xludf.DUMMYFUNCTION("""COMPUTED_VALUE"""),"1 Tranquilidad")</f>
        <v>1 Tranquilidad</v>
      </c>
      <c r="AO417" s="30" t="str">
        <f ca="1">IFERROR(__xludf.DUMMYFUNCTION("""COMPUTED_VALUE"""),"1.2 Fortalecer prevención del delito")</f>
        <v>1.2 Fortalecer prevención del delito</v>
      </c>
      <c r="AP417" s="30" t="str">
        <f ca="1">IFERROR(__xludf.DUMMYFUNCTION("""COMPUTED_VALUE"""),"1.2.2 Fortalecimiento del tejido social")</f>
        <v>1.2.2 Fortalecimiento del tejido social</v>
      </c>
      <c r="AQ417" s="30" t="str">
        <f ca="1">IFERROR(__xludf.DUMMYFUNCTION("""COMPUTED_VALUE"""),"1.2.3.4 Promover una cultura de paz desde las expresiones artísticas y culturales")</f>
        <v>1.2.3.4 Promover una cultura de paz desde las expresiones artísticas y culturales</v>
      </c>
      <c r="AR417" s="30" t="str">
        <f ca="1">IFERROR(__xludf.DUMMYFUNCTION("""COMPUTED_VALUE"""),"Cooperación")</f>
        <v>Cooperación</v>
      </c>
      <c r="AS417" s="30"/>
      <c r="AT417" s="30" t="str">
        <f ca="1">IFERROR(__xludf.DUMMYFUNCTION("""COMPUTED_VALUE"""),"Fortalecimiento de la participación ciudadana y la mediación cultural")</f>
        <v>Fortalecimiento de la participación ciudadana y la mediación cultural</v>
      </c>
      <c r="AU417" s="30" t="str">
        <f ca="1">IFERROR(__xludf.DUMMYFUNCTION("""COMPUTED_VALUE"""),"Impulso a la ampliación de la oferta cultural en los territorios.")</f>
        <v>Impulso a la ampliación de la oferta cultural en los territorios.</v>
      </c>
      <c r="AV41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17" s="30" t="str">
        <f ca="1">IFERROR(__xludf.DUMMYFUNCTION("""COMPUTED_VALUE"""),"Incrementar en 25% la oferta cultural realizada en los municipios.")</f>
        <v>Incrementar en 25% la oferta cultural realizada en los municipios.</v>
      </c>
      <c r="AX417" s="30" t="str">
        <f ca="1">IFERROR(__xludf.DUMMYFUNCTION("""COMPUTED_VALUE"""),"Visitas guiadas")</f>
        <v>Visitas guiadas</v>
      </c>
      <c r="AY417" s="30" t="str">
        <f ca="1">IFERROR(__xludf.DUMMYFUNCTION("""COMPUTED_VALUE"""),"Mediación")</f>
        <v>Mediación</v>
      </c>
      <c r="AZ417" s="30"/>
      <c r="BA417" s="30"/>
      <c r="BB417" s="30"/>
      <c r="BC417" s="30">
        <f ca="1">IFERROR(__xludf.DUMMYFUNCTION("""COMPUTED_VALUE"""),0)</f>
        <v>0</v>
      </c>
      <c r="BD417" s="30"/>
      <c r="BE417" s="30"/>
      <c r="BF417" s="30" t="b">
        <f ca="1">IFERROR(__xludf.DUMMYFUNCTION("""COMPUTED_VALUE"""),FALSE)</f>
        <v>0</v>
      </c>
      <c r="BG417" s="30"/>
      <c r="BH417" s="30"/>
      <c r="BI417" s="30"/>
      <c r="BJ417" s="30"/>
      <c r="BK417" s="30"/>
      <c r="BL417" s="30"/>
      <c r="BM417" s="30" t="str">
        <f ca="1">IFERROR(__xludf.DUMMYFUNCTION("""COMPUTED_VALUE"""),"No")</f>
        <v>No</v>
      </c>
      <c r="BN417" s="30"/>
      <c r="BO417" s="30" t="str">
        <f ca="1">IFERROR(__xludf.DUMMYFUNCTION("""COMPUTED_VALUE"""),"b545989a")</f>
        <v>b545989a</v>
      </c>
      <c r="BP417" s="29" t="str">
        <f ca="1">IFERROR(__xludf.DUMMYFUNCTION("""COMPUTED_VALUE"""),"Silao de la Victoria")</f>
        <v>Silao de la Victoria</v>
      </c>
      <c r="BQ417" s="30" t="str">
        <f ca="1">IFERROR(__xludf.DUMMYFUNCTION("""COMPUTED_VALUE"""),"Urbano")</f>
        <v>Urbano</v>
      </c>
      <c r="BR417" s="30"/>
      <c r="BS417" s="30"/>
      <c r="BT417" s="30"/>
      <c r="BU417" s="30" t="str">
        <f ca="1">IFERROR(__xludf.DUMMYFUNCTION("""COMPUTED_VALUE"""),"No")</f>
        <v>No</v>
      </c>
      <c r="BV417" s="30" t="str">
        <f ca="1">IFERROR(__xludf.DUMMYFUNCTION("""COMPUTED_VALUE"""),"No")</f>
        <v>No</v>
      </c>
      <c r="BW417" s="30">
        <f ca="1">IFERROR(__xludf.DUMMYFUNCTION("""COMPUTED_VALUE"""),9)</f>
        <v>9</v>
      </c>
      <c r="BX417" s="30"/>
      <c r="BY417" s="30">
        <f ca="1">IFERROR(__xludf.DUMMYFUNCTION("""COMPUTED_VALUE"""),9)</f>
        <v>9</v>
      </c>
      <c r="BZ417" s="30"/>
      <c r="CA417" s="30" t="str">
        <f ca="1">IFERROR(__xludf.DUMMYFUNCTION("""COMPUTED_VALUE"""),"No")</f>
        <v>No</v>
      </c>
      <c r="CB417" s="30" t="str">
        <f ca="1">IFERROR(__xludf.DUMMYFUNCTION("""COMPUTED_VALUE"""),"No")</f>
        <v>No</v>
      </c>
      <c r="CC417" s="30" t="str">
        <f ca="1">IFERROR(__xludf.DUMMYFUNCTION("""COMPUTED_VALUE"""),"724081f7")</f>
        <v>724081f7</v>
      </c>
      <c r="CD417" s="29" t="str">
        <f ca="1">IFERROR(__xludf.DUMMYFUNCTION("""COMPUTED_VALUE"""),"Adultos (30 a 59 años)")</f>
        <v>Adultos (30 a 59 años)</v>
      </c>
      <c r="CE417" s="30" t="str">
        <f ca="1">IFERROR(__xludf.DUMMYFUNCTION("""COMPUTED_VALUE"""),"No se cuenta con el dato")</f>
        <v>No se cuenta con el dato</v>
      </c>
      <c r="CF417" s="30" t="str">
        <f ca="1">IFERROR(__xludf.DUMMYFUNCTION("""COMPUTED_VALUE"""),"Ninguno (Población General)")</f>
        <v>Ninguno (Población General)</v>
      </c>
      <c r="CG417" s="30">
        <f ca="1">IFERROR(__xludf.DUMMYFUNCTION("""COMPUTED_VALUE"""),100)</f>
        <v>100</v>
      </c>
      <c r="CJ417" s="29"/>
      <c r="CM417" s="30" t="str">
        <f ca="1">IFERROR(__xludf.DUMMYFUNCTION("""COMPUTED_VALUE"""),"Silao de la Victoria")</f>
        <v>Silao de la Victoria</v>
      </c>
      <c r="CN417" s="32" t="e">
        <f ca="1"/>
        <v>#NAME?</v>
      </c>
      <c r="CO417" s="32" t="e">
        <f ca="1"/>
        <v>#NAME?</v>
      </c>
      <c r="CP417" s="32" t="e">
        <f ca="1"/>
        <v>#NAME?</v>
      </c>
      <c r="CQ417" s="32" t="e">
        <f ca="1"/>
        <v>#NAME?</v>
      </c>
      <c r="CR417" s="30" t="e">
        <f ca="1"/>
        <v>#NAME?</v>
      </c>
      <c r="CS417" s="30" t="str">
        <f ca="1">IFERROR(__xludf.DUMMYFUNCTION("""COMPUTED_VALUE"""),"Ninguno (Población General), Ninguno (Población General)")</f>
        <v>Ninguno (Población General), Ninguno (Población General)</v>
      </c>
    </row>
    <row r="418" spans="1:97" ht="13">
      <c r="A418" s="29" t="str">
        <f ca="1">IFERROR(__xludf.DUMMYFUNCTION("""COMPUTED_VALUE"""),"ACT-SCTZ58716")</f>
        <v>ACT-SCTZ58716</v>
      </c>
      <c r="B418" s="30" t="str">
        <f ca="1">IFERROR(__xludf.DUMMYFUNCTION("""COMPUTED_VALUE"""),"SC-260917-150311")</f>
        <v>SC-260917-150311</v>
      </c>
      <c r="C418" s="62">
        <f ca="1">IFERROR(__xludf.DUMMYFUNCTION("""COMPUTED_VALUE"""),46282.6272106481)</f>
        <v>46282.627210648097</v>
      </c>
      <c r="D418" s="30">
        <f ca="1">IFERROR(__xludf.DUMMYFUNCTION("""COMPUTED_VALUE"""),92)</f>
        <v>92</v>
      </c>
      <c r="E418" s="30" t="str">
        <f ca="1">IFERROR(__xludf.DUMMYFUNCTION("""COMPUTED_VALUE"""),"PB3572")</f>
        <v>PB3572</v>
      </c>
      <c r="F41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8" s="30" t="str">
        <f ca="1">IFERROR(__xludf.DUMMYFUNCTION("""COMPUTED_VALUE"""),"SUBSECRETARÍA DE DESARROLLO Y PROMOCIÓN ARTÍSTICA Y CULTURAL")</f>
        <v>SUBSECRETARÍA DE DESARROLLO Y PROMOCIÓN ARTÍSTICA Y CULTURAL</v>
      </c>
      <c r="I418" s="34" t="str">
        <f ca="1">IFERROR(__xludf.DUMMYFUNCTION("""COMPUTED_VALUE"""),"DIRECCIÓN GENERAL DE MUSEOS, ARTES VISUALES Y EXPOSICIONES")</f>
        <v>DIRECCIÓN GENERAL DE MUSEOS, ARTES VISUALES Y EXPOSICIONES</v>
      </c>
      <c r="J418" s="30" t="str">
        <f ca="1">IFERROR(__xludf.DUMMYFUNCTION("""COMPUTED_VALUE"""),"Número de Actividades realizadas")</f>
        <v>Número de Actividades realizadas</v>
      </c>
      <c r="K418" s="30">
        <f ca="1">IFERROR(__xludf.DUMMYFUNCTION("""COMPUTED_VALUE"""),800)</f>
        <v>800</v>
      </c>
      <c r="L418" s="30" t="str">
        <f ca="1">IFERROR(__xludf.DUMMYFUNCTION("""COMPUTED_VALUE"""),"Cultural")</f>
        <v>Cultural</v>
      </c>
      <c r="M418" s="30" t="str">
        <f ca="1">IFERROR(__xludf.DUMMYFUNCTION("""COMPUTED_VALUE"""),"Visita guiada libre")</f>
        <v>Visita guiada libre</v>
      </c>
      <c r="N418" s="30" t="str">
        <f ca="1">IFERROR(__xludf.DUMMYFUNCTION("""COMPUTED_VALUE"""),"Recorrido guiado por el museo")</f>
        <v>Recorrido guiado por el museo</v>
      </c>
      <c r="O418" s="30" t="str">
        <f ca="1">IFERROR(__xludf.DUMMYFUNCTION("""COMPUTED_VALUE"""),"Única")</f>
        <v>Única</v>
      </c>
      <c r="P418" s="33">
        <f ca="1">IFERROR(__xludf.DUMMYFUNCTION("""COMPUTED_VALUE"""),46235)</f>
        <v>46235</v>
      </c>
      <c r="Q418" s="33">
        <f ca="1">IFERROR(__xludf.DUMMYFUNCTION("""COMPUTED_VALUE"""),46235)</f>
        <v>46235</v>
      </c>
      <c r="R418" s="30">
        <f ca="1">IFERROR(__xludf.DUMMYFUNCTION("""COMPUTED_VALUE"""),1)</f>
        <v>1</v>
      </c>
      <c r="S418" s="30" t="str">
        <f ca="1">IFERROR(__xludf.DUMMYFUNCTION("""COMPUTED_VALUE"""),"Cultura comunitaria")</f>
        <v>Cultura comunitaria</v>
      </c>
      <c r="T418" s="30" t="str">
        <f ca="1">IFERROR(__xludf.DUMMYFUNCTION("""COMPUTED_VALUE"""),"Formación comunitaria")</f>
        <v>Formación comunitaria</v>
      </c>
      <c r="U418" s="30" t="str">
        <f ca="1">IFERROR(__xludf.DUMMYFUNCTION("""COMPUTED_VALUE"""),"Visitas guiadas")</f>
        <v>Visitas guiadas</v>
      </c>
      <c r="V418" s="30" t="str">
        <f ca="1">IFERROR(__xludf.DUMMYFUNCTION("""COMPUTED_VALUE"""),"Ninguna")</f>
        <v>Ninguna</v>
      </c>
      <c r="W418" s="30" t="str">
        <f ca="1">IFERROR(__xludf.DUMMYFUNCTION("""COMPUTED_VALUE"""),"Presencial")</f>
        <v>Presencial</v>
      </c>
      <c r="X418" s="30" t="str">
        <f ca="1">IFERROR(__xludf.DUMMYFUNCTION("""COMPUTED_VALUE"""),"Espacio a Cargo de la Secretaría")</f>
        <v>Espacio a Cargo de la Secretaría</v>
      </c>
      <c r="Y418" s="30" t="str">
        <f ca="1">IFERROR(__xludf.DUMMYFUNCTION("""COMPUTED_VALUE"""),"Museo José y Tomas Chavez Morado")</f>
        <v>Museo José y Tomas Chavez Morado</v>
      </c>
      <c r="Z418" s="30"/>
      <c r="AA418" s="30"/>
      <c r="AB418" s="30" t="b">
        <f ca="1">IFERROR(__xludf.DUMMYFUNCTION("""COMPUTED_VALUE"""),FALSE)</f>
        <v>0</v>
      </c>
      <c r="AC418" s="30"/>
      <c r="AD418" s="30" t="b">
        <f ca="1">IFERROR(__xludf.DUMMYFUNCTION("""COMPUTED_VALUE"""),FALSE)</f>
        <v>0</v>
      </c>
      <c r="AE418" s="30"/>
      <c r="AF418" s="30" t="b">
        <f ca="1">IFERROR(__xludf.DUMMYFUNCTION("""COMPUTED_VALUE"""),FALSE)</f>
        <v>0</v>
      </c>
      <c r="AG418" s="30"/>
      <c r="AH418" s="30" t="str">
        <f ca="1">IFERROR(__xludf.DUMMYFUNCTION("""COMPUTED_VALUE"""),"Sin costo")</f>
        <v>Sin costo</v>
      </c>
      <c r="AI418" s="30"/>
      <c r="AJ418" s="30"/>
      <c r="AK418" s="30"/>
      <c r="AL418" s="30" t="str">
        <f ca="1">IFERROR(__xludf.DUMMYFUNCTION("""COMPUTED_VALUE"""),"ccardonav@guanajuato.gob.mx")</f>
        <v>ccardonav@guanajuato.gob.mx</v>
      </c>
      <c r="AM418" s="30" t="str">
        <f ca="1">IFERROR(__xludf.DUMMYFUNCTION("""COMPUTED_VALUE"""),"Arraigo y empoderamiento cultural de comunidades.")</f>
        <v>Arraigo y empoderamiento cultural de comunidades.</v>
      </c>
      <c r="AN418" s="30" t="str">
        <f ca="1">IFERROR(__xludf.DUMMYFUNCTION("""COMPUTED_VALUE"""),"1 Tranquilidad")</f>
        <v>1 Tranquilidad</v>
      </c>
      <c r="AO418" s="30" t="str">
        <f ca="1">IFERROR(__xludf.DUMMYFUNCTION("""COMPUTED_VALUE"""),"1.2 Fortalecer prevención del delito")</f>
        <v>1.2 Fortalecer prevención del delito</v>
      </c>
      <c r="AP418" s="30" t="str">
        <f ca="1">IFERROR(__xludf.DUMMYFUNCTION("""COMPUTED_VALUE"""),"1.2.2 Fortalecimiento del tejido social")</f>
        <v>1.2.2 Fortalecimiento del tejido social</v>
      </c>
      <c r="AQ418" s="30" t="str">
        <f ca="1">IFERROR(__xludf.DUMMYFUNCTION("""COMPUTED_VALUE"""),"1.2.3.4 Promover una cultura de paz desde las expresiones artísticas y culturales")</f>
        <v>1.2.3.4 Promover una cultura de paz desde las expresiones artísticas y culturales</v>
      </c>
      <c r="AR418" s="30" t="str">
        <f ca="1">IFERROR(__xludf.DUMMYFUNCTION("""COMPUTED_VALUE"""),"Cooperación")</f>
        <v>Cooperación</v>
      </c>
      <c r="AS418" s="30"/>
      <c r="AT418" s="30" t="str">
        <f ca="1">IFERROR(__xludf.DUMMYFUNCTION("""COMPUTED_VALUE"""),"Fortalecimiento de la participación ciudadana y la mediación cultural")</f>
        <v>Fortalecimiento de la participación ciudadana y la mediación cultural</v>
      </c>
      <c r="AU418" s="30" t="str">
        <f ca="1">IFERROR(__xludf.DUMMYFUNCTION("""COMPUTED_VALUE"""),"Impulso a la ampliación de la oferta cultural en los territorios.")</f>
        <v>Impulso a la ampliación de la oferta cultural en los territorios.</v>
      </c>
      <c r="AV41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18" s="30" t="str">
        <f ca="1">IFERROR(__xludf.DUMMYFUNCTION("""COMPUTED_VALUE"""),"Incrementar en 25% la oferta cultural realizada en los municipios.")</f>
        <v>Incrementar en 25% la oferta cultural realizada en los municipios.</v>
      </c>
      <c r="AX418" s="30" t="str">
        <f ca="1">IFERROR(__xludf.DUMMYFUNCTION("""COMPUTED_VALUE"""),"Visitas guiadas")</f>
        <v>Visitas guiadas</v>
      </c>
      <c r="AY418" s="30" t="str">
        <f ca="1">IFERROR(__xludf.DUMMYFUNCTION("""COMPUTED_VALUE"""),"Mediación")</f>
        <v>Mediación</v>
      </c>
      <c r="AZ418" s="30"/>
      <c r="BA418" s="30"/>
      <c r="BB418" s="30"/>
      <c r="BC418" s="30">
        <f ca="1">IFERROR(__xludf.DUMMYFUNCTION("""COMPUTED_VALUE"""),0)</f>
        <v>0</v>
      </c>
      <c r="BD418" s="30"/>
      <c r="BE418" s="30"/>
      <c r="BF418" s="30" t="b">
        <f ca="1">IFERROR(__xludf.DUMMYFUNCTION("""COMPUTED_VALUE"""),FALSE)</f>
        <v>0</v>
      </c>
      <c r="BG418" s="30"/>
      <c r="BH418" s="30"/>
      <c r="BI418" s="30"/>
      <c r="BJ418" s="30"/>
      <c r="BK418" s="30"/>
      <c r="BL418" s="30"/>
      <c r="BM418" s="30" t="str">
        <f ca="1">IFERROR(__xludf.DUMMYFUNCTION("""COMPUTED_VALUE"""),"No")</f>
        <v>No</v>
      </c>
      <c r="BN418" s="30"/>
      <c r="BO418" s="30" t="str">
        <f ca="1">IFERROR(__xludf.DUMMYFUNCTION("""COMPUTED_VALUE"""),"735015a3")</f>
        <v>735015a3</v>
      </c>
      <c r="BP418" s="29" t="str">
        <f ca="1">IFERROR(__xludf.DUMMYFUNCTION("""COMPUTED_VALUE"""),"Silao de la Victoria")</f>
        <v>Silao de la Victoria</v>
      </c>
      <c r="BQ418" s="30" t="str">
        <f ca="1">IFERROR(__xludf.DUMMYFUNCTION("""COMPUTED_VALUE"""),"Urbano")</f>
        <v>Urbano</v>
      </c>
      <c r="BR418" s="30"/>
      <c r="BS418" s="30"/>
      <c r="BT418" s="30"/>
      <c r="BU418" s="30" t="str">
        <f ca="1">IFERROR(__xludf.DUMMYFUNCTION("""COMPUTED_VALUE"""),"No")</f>
        <v>No</v>
      </c>
      <c r="BV418" s="30" t="str">
        <f ca="1">IFERROR(__xludf.DUMMYFUNCTION("""COMPUTED_VALUE"""),"No")</f>
        <v>No</v>
      </c>
      <c r="BW418" s="30">
        <f ca="1">IFERROR(__xludf.DUMMYFUNCTION("""COMPUTED_VALUE"""),7)</f>
        <v>7</v>
      </c>
      <c r="BX418" s="30"/>
      <c r="BY418" s="30">
        <f ca="1">IFERROR(__xludf.DUMMYFUNCTION("""COMPUTED_VALUE"""),7)</f>
        <v>7</v>
      </c>
      <c r="BZ418" s="30"/>
      <c r="CA418" s="30" t="str">
        <f ca="1">IFERROR(__xludf.DUMMYFUNCTION("""COMPUTED_VALUE"""),"No")</f>
        <v>No</v>
      </c>
      <c r="CB418" s="30" t="str">
        <f ca="1">IFERROR(__xludf.DUMMYFUNCTION("""COMPUTED_VALUE"""),"No")</f>
        <v>No</v>
      </c>
      <c r="CC418" s="30" t="str">
        <f ca="1">IFERROR(__xludf.DUMMYFUNCTION("""COMPUTED_VALUE"""),"2f60e0a6")</f>
        <v>2f60e0a6</v>
      </c>
      <c r="CD418" s="29" t="str">
        <f ca="1">IFERROR(__xludf.DUMMYFUNCTION("""COMPUTED_VALUE"""),"Adultos Mayores (60 años o más)")</f>
        <v>Adultos Mayores (60 años o más)</v>
      </c>
      <c r="CE418" s="30" t="str">
        <f ca="1">IFERROR(__xludf.DUMMYFUNCTION("""COMPUTED_VALUE"""),"No se cuenta con el dato")</f>
        <v>No se cuenta con el dato</v>
      </c>
      <c r="CF418" s="30" t="str">
        <f ca="1">IFERROR(__xludf.DUMMYFUNCTION("""COMPUTED_VALUE"""),"Ninguno (Población General)")</f>
        <v>Ninguno (Población General)</v>
      </c>
      <c r="CG418" s="30">
        <f ca="1">IFERROR(__xludf.DUMMYFUNCTION("""COMPUTED_VALUE"""),45)</f>
        <v>45</v>
      </c>
      <c r="CJ418" s="29"/>
      <c r="CM418" s="30" t="str">
        <f ca="1">IFERROR(__xludf.DUMMYFUNCTION("""COMPUTED_VALUE"""),"Silao de la Victoria")</f>
        <v>Silao de la Victoria</v>
      </c>
      <c r="CN418" s="32" t="e">
        <f ca="1"/>
        <v>#NAME?</v>
      </c>
      <c r="CO418" s="32" t="e">
        <f ca="1"/>
        <v>#NAME?</v>
      </c>
      <c r="CP418" s="32" t="e">
        <f ca="1"/>
        <v>#NAME?</v>
      </c>
      <c r="CQ418" s="32" t="e">
        <f ca="1"/>
        <v>#NAME?</v>
      </c>
      <c r="CR418" s="30" t="e">
        <f ca="1"/>
        <v>#NAME?</v>
      </c>
      <c r="CS418" s="30" t="str">
        <f ca="1">IFERROR(__xludf.DUMMYFUNCTION("""COMPUTED_VALUE"""),"Ninguno (Población General), Ninguno (Población General), Ninguno (Población General)")</f>
        <v>Ninguno (Población General), Ninguno (Población General), Ninguno (Población General)</v>
      </c>
    </row>
    <row r="419" spans="1:97" ht="13">
      <c r="A419" s="29" t="str">
        <f ca="1">IFERROR(__xludf.DUMMYFUNCTION("""COMPUTED_VALUE"""),"ACT-SCQU72854")</f>
        <v>ACT-SCQU72854</v>
      </c>
      <c r="B419" s="30" t="str">
        <f ca="1">IFERROR(__xludf.DUMMYFUNCTION("""COMPUTED_VALUE"""),"SC-260917-165145")</f>
        <v>SC-260917-165145</v>
      </c>
      <c r="C419" s="62">
        <f ca="1">IFERROR(__xludf.DUMMYFUNCTION("""COMPUTED_VALUE"""),46282.7026041666)</f>
        <v>46282.702604166603</v>
      </c>
      <c r="D419" s="30">
        <f ca="1">IFERROR(__xludf.DUMMYFUNCTION("""COMPUTED_VALUE"""),92)</f>
        <v>92</v>
      </c>
      <c r="E419" s="30" t="str">
        <f ca="1">IFERROR(__xludf.DUMMYFUNCTION("""COMPUTED_VALUE"""),"PB3572")</f>
        <v>PB3572</v>
      </c>
      <c r="F41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1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19" s="30" t="str">
        <f ca="1">IFERROR(__xludf.DUMMYFUNCTION("""COMPUTED_VALUE"""),"SUBSECRETARÍA DE DESARROLLO Y PROMOCIÓN ARTÍSTICA Y CULTURAL")</f>
        <v>SUBSECRETARÍA DE DESARROLLO Y PROMOCIÓN ARTÍSTICA Y CULTURAL</v>
      </c>
      <c r="I419" s="34" t="str">
        <f ca="1">IFERROR(__xludf.DUMMYFUNCTION("""COMPUTED_VALUE"""),"DIRECCIÓN GENERAL DE MUSEOS, ARTES VISUALES Y EXPOSICIONES")</f>
        <v>DIRECCIÓN GENERAL DE MUSEOS, ARTES VISUALES Y EXPOSICIONES</v>
      </c>
      <c r="J419" s="30" t="str">
        <f ca="1">IFERROR(__xludf.DUMMYFUNCTION("""COMPUTED_VALUE"""),"Número de Actividades realizadas")</f>
        <v>Número de Actividades realizadas</v>
      </c>
      <c r="K419" s="30">
        <f ca="1">IFERROR(__xludf.DUMMYFUNCTION("""COMPUTED_VALUE"""),800)</f>
        <v>800</v>
      </c>
      <c r="L419" s="30" t="str">
        <f ca="1">IFERROR(__xludf.DUMMYFUNCTION("""COMPUTED_VALUE"""),"Cultural")</f>
        <v>Cultural</v>
      </c>
      <c r="M419" s="30" t="str">
        <f ca="1">IFERROR(__xludf.DUMMYFUNCTION("""COMPUTED_VALUE"""),"Visita guiada libre")</f>
        <v>Visita guiada libre</v>
      </c>
      <c r="N419" s="30" t="str">
        <f ca="1">IFERROR(__xludf.DUMMYFUNCTION("""COMPUTED_VALUE"""),"Recorrido guiado por el museo")</f>
        <v>Recorrido guiado por el museo</v>
      </c>
      <c r="O419" s="30" t="str">
        <f ca="1">IFERROR(__xludf.DUMMYFUNCTION("""COMPUTED_VALUE"""),"Única")</f>
        <v>Única</v>
      </c>
      <c r="P419" s="33">
        <f ca="1">IFERROR(__xludf.DUMMYFUNCTION("""COMPUTED_VALUE"""),46243)</f>
        <v>46243</v>
      </c>
      <c r="Q419" s="33">
        <f ca="1">IFERROR(__xludf.DUMMYFUNCTION("""COMPUTED_VALUE"""),46243)</f>
        <v>46243</v>
      </c>
      <c r="R419" s="30">
        <f ca="1">IFERROR(__xludf.DUMMYFUNCTION("""COMPUTED_VALUE"""),1)</f>
        <v>1</v>
      </c>
      <c r="S419" s="30" t="str">
        <f ca="1">IFERROR(__xludf.DUMMYFUNCTION("""COMPUTED_VALUE"""),"Cultura comunitaria")</f>
        <v>Cultura comunitaria</v>
      </c>
      <c r="T419" s="30" t="str">
        <f ca="1">IFERROR(__xludf.DUMMYFUNCTION("""COMPUTED_VALUE"""),"Formación comunitaria")</f>
        <v>Formación comunitaria</v>
      </c>
      <c r="U419" s="30" t="str">
        <f ca="1">IFERROR(__xludf.DUMMYFUNCTION("""COMPUTED_VALUE"""),"Visitas guiadas")</f>
        <v>Visitas guiadas</v>
      </c>
      <c r="V419" s="30" t="str">
        <f ca="1">IFERROR(__xludf.DUMMYFUNCTION("""COMPUTED_VALUE"""),"Ninguna")</f>
        <v>Ninguna</v>
      </c>
      <c r="W419" s="30" t="str">
        <f ca="1">IFERROR(__xludf.DUMMYFUNCTION("""COMPUTED_VALUE"""),"Presencial")</f>
        <v>Presencial</v>
      </c>
      <c r="X419" s="30" t="str">
        <f ca="1">IFERROR(__xludf.DUMMYFUNCTION("""COMPUTED_VALUE"""),"Espacio a Cargo de la Secretaría")</f>
        <v>Espacio a Cargo de la Secretaría</v>
      </c>
      <c r="Y419" s="30" t="str">
        <f ca="1">IFERROR(__xludf.DUMMYFUNCTION("""COMPUTED_VALUE"""),"Museo José y Tomas Chavez Morado")</f>
        <v>Museo José y Tomas Chavez Morado</v>
      </c>
      <c r="Z419" s="30"/>
      <c r="AA419" s="30"/>
      <c r="AB419" s="30" t="b">
        <f ca="1">IFERROR(__xludf.DUMMYFUNCTION("""COMPUTED_VALUE"""),FALSE)</f>
        <v>0</v>
      </c>
      <c r="AC419" s="30"/>
      <c r="AD419" s="30" t="b">
        <f ca="1">IFERROR(__xludf.DUMMYFUNCTION("""COMPUTED_VALUE"""),FALSE)</f>
        <v>0</v>
      </c>
      <c r="AE419" s="30"/>
      <c r="AF419" s="30" t="b">
        <f ca="1">IFERROR(__xludf.DUMMYFUNCTION("""COMPUTED_VALUE"""),FALSE)</f>
        <v>0</v>
      </c>
      <c r="AG419" s="30"/>
      <c r="AH419" s="30" t="str">
        <f ca="1">IFERROR(__xludf.DUMMYFUNCTION("""COMPUTED_VALUE"""),"Sin costo")</f>
        <v>Sin costo</v>
      </c>
      <c r="AI419" s="30"/>
      <c r="AJ419" s="30"/>
      <c r="AK419" s="30"/>
      <c r="AL419" s="30" t="str">
        <f ca="1">IFERROR(__xludf.DUMMYFUNCTION("""COMPUTED_VALUE"""),"ccardonav@guanajuato.gob.mx")</f>
        <v>ccardonav@guanajuato.gob.mx</v>
      </c>
      <c r="AM419" s="30" t="str">
        <f ca="1">IFERROR(__xludf.DUMMYFUNCTION("""COMPUTED_VALUE"""),"Arraigo y empoderamiento cultural de comunidades.")</f>
        <v>Arraigo y empoderamiento cultural de comunidades.</v>
      </c>
      <c r="AN419" s="30" t="str">
        <f ca="1">IFERROR(__xludf.DUMMYFUNCTION("""COMPUTED_VALUE"""),"1 Tranquilidad")</f>
        <v>1 Tranquilidad</v>
      </c>
      <c r="AO419" s="30" t="str">
        <f ca="1">IFERROR(__xludf.DUMMYFUNCTION("""COMPUTED_VALUE"""),"1.2 Fortalecer prevención del delito")</f>
        <v>1.2 Fortalecer prevención del delito</v>
      </c>
      <c r="AP419" s="30" t="str">
        <f ca="1">IFERROR(__xludf.DUMMYFUNCTION("""COMPUTED_VALUE"""),"1.2.2 Fortalecimiento del tejido social")</f>
        <v>1.2.2 Fortalecimiento del tejido social</v>
      </c>
      <c r="AQ419" s="30" t="str">
        <f ca="1">IFERROR(__xludf.DUMMYFUNCTION("""COMPUTED_VALUE"""),"1.2.3.4 Promover una cultura de paz desde las expresiones artísticas y culturales")</f>
        <v>1.2.3.4 Promover una cultura de paz desde las expresiones artísticas y culturales</v>
      </c>
      <c r="AR419" s="30" t="str">
        <f ca="1">IFERROR(__xludf.DUMMYFUNCTION("""COMPUTED_VALUE"""),"Cooperación")</f>
        <v>Cooperación</v>
      </c>
      <c r="AS419" s="30"/>
      <c r="AT419" s="30" t="str">
        <f ca="1">IFERROR(__xludf.DUMMYFUNCTION("""COMPUTED_VALUE"""),"Fortalecimiento de la participación ciudadana y la mediación cultural")</f>
        <v>Fortalecimiento de la participación ciudadana y la mediación cultural</v>
      </c>
      <c r="AU419" s="30" t="str">
        <f ca="1">IFERROR(__xludf.DUMMYFUNCTION("""COMPUTED_VALUE"""),"Impulso a la ampliación de la oferta cultural en los territorios.")</f>
        <v>Impulso a la ampliación de la oferta cultural en los territorios.</v>
      </c>
      <c r="AV41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19" s="30" t="str">
        <f ca="1">IFERROR(__xludf.DUMMYFUNCTION("""COMPUTED_VALUE"""),"Incrementar en 25% la oferta cultural realizada en los municipios.")</f>
        <v>Incrementar en 25% la oferta cultural realizada en los municipios.</v>
      </c>
      <c r="AX419" s="30" t="str">
        <f ca="1">IFERROR(__xludf.DUMMYFUNCTION("""COMPUTED_VALUE"""),"Visitas guiadas")</f>
        <v>Visitas guiadas</v>
      </c>
      <c r="AY419" s="30" t="str">
        <f ca="1">IFERROR(__xludf.DUMMYFUNCTION("""COMPUTED_VALUE"""),"Mediación")</f>
        <v>Mediación</v>
      </c>
      <c r="AZ419" s="30"/>
      <c r="BA419" s="30"/>
      <c r="BB419" s="30"/>
      <c r="BC419" s="30">
        <f ca="1">IFERROR(__xludf.DUMMYFUNCTION("""COMPUTED_VALUE"""),0)</f>
        <v>0</v>
      </c>
      <c r="BD419" s="30"/>
      <c r="BE419" s="30"/>
      <c r="BF419" s="30" t="b">
        <f ca="1">IFERROR(__xludf.DUMMYFUNCTION("""COMPUTED_VALUE"""),FALSE)</f>
        <v>0</v>
      </c>
      <c r="BG419" s="30"/>
      <c r="BH419" s="30"/>
      <c r="BI419" s="30"/>
      <c r="BJ419" s="30"/>
      <c r="BK419" s="30"/>
      <c r="BL419" s="30"/>
      <c r="BM419" s="30" t="str">
        <f ca="1">IFERROR(__xludf.DUMMYFUNCTION("""COMPUTED_VALUE"""),"No")</f>
        <v>No</v>
      </c>
      <c r="BN419" s="30"/>
      <c r="BO419" s="30" t="str">
        <f ca="1">IFERROR(__xludf.DUMMYFUNCTION("""COMPUTED_VALUE"""),"8edcff76")</f>
        <v>8edcff76</v>
      </c>
      <c r="BP419" s="29" t="str">
        <f ca="1">IFERROR(__xludf.DUMMYFUNCTION("""COMPUTED_VALUE"""),"Silao de la Victoria")</f>
        <v>Silao de la Victoria</v>
      </c>
      <c r="BQ419" s="30" t="str">
        <f ca="1">IFERROR(__xludf.DUMMYFUNCTION("""COMPUTED_VALUE"""),"Urbano")</f>
        <v>Urbano</v>
      </c>
      <c r="BR419" s="30"/>
      <c r="BS419" s="30"/>
      <c r="BT419" s="30"/>
      <c r="BU419" s="30" t="str">
        <f ca="1">IFERROR(__xludf.DUMMYFUNCTION("""COMPUTED_VALUE"""),"No")</f>
        <v>No</v>
      </c>
      <c r="BV419" s="30" t="str">
        <f ca="1">IFERROR(__xludf.DUMMYFUNCTION("""COMPUTED_VALUE"""),"No")</f>
        <v>No</v>
      </c>
      <c r="BW419" s="30">
        <f ca="1">IFERROR(__xludf.DUMMYFUNCTION("""COMPUTED_VALUE"""),21)</f>
        <v>21</v>
      </c>
      <c r="BX419" s="30"/>
      <c r="BY419" s="30">
        <f ca="1">IFERROR(__xludf.DUMMYFUNCTION("""COMPUTED_VALUE"""),21)</f>
        <v>21</v>
      </c>
      <c r="BZ419" s="30"/>
      <c r="CA419" s="30" t="str">
        <f ca="1">IFERROR(__xludf.DUMMYFUNCTION("""COMPUTED_VALUE"""),"No")</f>
        <v>No</v>
      </c>
      <c r="CB419" s="30" t="str">
        <f ca="1">IFERROR(__xludf.DUMMYFUNCTION("""COMPUTED_VALUE"""),"No")</f>
        <v>No</v>
      </c>
      <c r="CC419" s="30" t="str">
        <f ca="1">IFERROR(__xludf.DUMMYFUNCTION("""COMPUTED_VALUE"""),"0e788a38")</f>
        <v>0e788a38</v>
      </c>
      <c r="CD419" s="29" t="str">
        <f ca="1">IFERROR(__xludf.DUMMYFUNCTION("""COMPUTED_VALUE"""),"Adultos (30 a 59 años)")</f>
        <v>Adultos (30 a 59 años)</v>
      </c>
      <c r="CE419" s="30" t="str">
        <f ca="1">IFERROR(__xludf.DUMMYFUNCTION("""COMPUTED_VALUE"""),"No se cuenta con el dato")</f>
        <v>No se cuenta con el dato</v>
      </c>
      <c r="CF419" s="30" t="str">
        <f ca="1">IFERROR(__xludf.DUMMYFUNCTION("""COMPUTED_VALUE"""),"Ninguno (Población General)")</f>
        <v>Ninguno (Población General)</v>
      </c>
      <c r="CG419" s="30">
        <f ca="1">IFERROR(__xludf.DUMMYFUNCTION("""COMPUTED_VALUE"""),8)</f>
        <v>8</v>
      </c>
      <c r="CJ419" s="29"/>
      <c r="CM419" s="30" t="str">
        <f ca="1">IFERROR(__xludf.DUMMYFUNCTION("""COMPUTED_VALUE"""),"Silao de la Victoria")</f>
        <v>Silao de la Victoria</v>
      </c>
      <c r="CN419" s="32" t="e">
        <f ca="1"/>
        <v>#NAME?</v>
      </c>
      <c r="CO419" s="32" t="e">
        <f ca="1"/>
        <v>#NAME?</v>
      </c>
      <c r="CP419" s="32" t="e">
        <f ca="1"/>
        <v>#NAME?</v>
      </c>
      <c r="CQ419" s="32" t="e">
        <f ca="1"/>
        <v>#NAME?</v>
      </c>
      <c r="CR419" s="30" t="e">
        <f ca="1"/>
        <v>#NAME?</v>
      </c>
      <c r="CS419" s="30" t="str">
        <f ca="1">IFERROR(__xludf.DUMMYFUNCTION("""COMPUTED_VALUE"""),"Ninguno (Población General), Ninguno (Población General), Ninguno (Población General)")</f>
        <v>Ninguno (Población General), Ninguno (Población General), Ninguno (Población General)</v>
      </c>
    </row>
    <row r="420" spans="1:97" ht="13">
      <c r="A420" s="29" t="str">
        <f ca="1">IFERROR(__xludf.DUMMYFUNCTION("""COMPUTED_VALUE"""),"ACT-SCWD89991")</f>
        <v>ACT-SCWD89991</v>
      </c>
      <c r="B420" s="30" t="str">
        <f ca="1">IFERROR(__xludf.DUMMYFUNCTION("""COMPUTED_VALUE"""),"SC-260917-160101")</f>
        <v>SC-260917-160101</v>
      </c>
      <c r="C420" s="62">
        <f ca="1">IFERROR(__xludf.DUMMYFUNCTION("""COMPUTED_VALUE"""),46282.6673726851)</f>
        <v>46282.6673726851</v>
      </c>
      <c r="D420" s="30">
        <f ca="1">IFERROR(__xludf.DUMMYFUNCTION("""COMPUTED_VALUE"""),76)</f>
        <v>76</v>
      </c>
      <c r="E420" s="30" t="str">
        <f ca="1">IFERROR(__xludf.DUMMYFUNCTION("""COMPUTED_VALUE"""),"PB3567")</f>
        <v>PB3567</v>
      </c>
      <c r="F420" s="30" t="str">
        <f ca="1">IFERROR(__xludf.DUMMYFUNCTION("""COMPUTED_VALUE"""),"Formación e Investigación Artística")</f>
        <v>Formación e Investigación Artística</v>
      </c>
      <c r="G420" s="30" t="str">
        <f ca="1">IFERROR(__xludf.DUMMYFUNCTION("""COMPUTED_VALUE"""),"Exposiciones temporales en distintas disciplinas artísticas.")</f>
        <v>Exposiciones temporales en distintas disciplinas artísticas.</v>
      </c>
      <c r="H420" s="30" t="str">
        <f ca="1">IFERROR(__xludf.DUMMYFUNCTION("""COMPUTED_VALUE"""),"SUBSECRETARÍA DE DESARROLLO COMUNITARIO Y PROMOCIÓN PATRIMONIAL")</f>
        <v>SUBSECRETARÍA DE DESARROLLO COMUNITARIO Y PROMOCIÓN PATRIMONIAL</v>
      </c>
      <c r="I420" s="34" t="str">
        <f ca="1">IFERROR(__xludf.DUMMYFUNCTION("""COMPUTED_VALUE"""),"DIRECCIÓN GENERAL DE FORMACIÓN E INVESTIGACIÓN")</f>
        <v>DIRECCIÓN GENERAL DE FORMACIÓN E INVESTIGACIÓN</v>
      </c>
      <c r="J420" s="30" t="str">
        <f ca="1">IFERROR(__xludf.DUMMYFUNCTION("""COMPUTED_VALUE"""),"Exposiciones realizadas")</f>
        <v>Exposiciones realizadas</v>
      </c>
      <c r="K420" s="30">
        <f ca="1">IFERROR(__xludf.DUMMYFUNCTION("""COMPUTED_VALUE"""),3)</f>
        <v>3</v>
      </c>
      <c r="L420" s="30" t="str">
        <f ca="1">IFERROR(__xludf.DUMMYFUNCTION("""COMPUTED_VALUE"""),"Cultural")</f>
        <v>Cultural</v>
      </c>
      <c r="M420" s="30" t="str">
        <f ca="1">IFERROR(__xludf.DUMMYFUNCTION("""COMPUTED_VALUE"""),"Exposicion travesia gráfica")</f>
        <v>Exposicion travesia gráfica</v>
      </c>
      <c r="N420" s="30" t="str">
        <f ca="1">IFERROR(__xludf.DUMMYFUNCTION("""COMPUTED_VALUE"""),"Inauguración de la exposición Travesía gráfica obra de Gilberto Guerrero")</f>
        <v>Inauguración de la exposición Travesía gráfica obra de Gilberto Guerrero</v>
      </c>
      <c r="O420" s="30" t="str">
        <f ca="1">IFERROR(__xludf.DUMMYFUNCTION("""COMPUTED_VALUE"""),"Mensual")</f>
        <v>Mensual</v>
      </c>
      <c r="P420" s="33">
        <f ca="1">IFERROR(__xludf.DUMMYFUNCTION("""COMPUTED_VALUE"""),46081)</f>
        <v>46081</v>
      </c>
      <c r="Q420" s="33">
        <f ca="1">IFERROR(__xludf.DUMMYFUNCTION("""COMPUTED_VALUE"""),46118)</f>
        <v>46118</v>
      </c>
      <c r="R420" s="30">
        <f ca="1">IFERROR(__xludf.DUMMYFUNCTION("""COMPUTED_VALUE"""),38)</f>
        <v>38</v>
      </c>
      <c r="S420" s="30" t="str">
        <f ca="1">IFERROR(__xludf.DUMMYFUNCTION("""COMPUTED_VALUE"""),"Artes visuales")</f>
        <v>Artes visuales</v>
      </c>
      <c r="T420" s="30" t="str">
        <f ca="1">IFERROR(__xludf.DUMMYFUNCTION("""COMPUTED_VALUE"""),"Grabado")</f>
        <v>Grabado</v>
      </c>
      <c r="U420" s="30" t="str">
        <f ca="1">IFERROR(__xludf.DUMMYFUNCTION("""COMPUTED_VALUE"""),"Exposición")</f>
        <v>Exposición</v>
      </c>
      <c r="V420" s="30" t="str">
        <f ca="1">IFERROR(__xludf.DUMMYFUNCTION("""COMPUTED_VALUE"""),"Ninguna")</f>
        <v>Ninguna</v>
      </c>
      <c r="W420" s="30" t="str">
        <f ca="1">IFERROR(__xludf.DUMMYFUNCTION("""COMPUTED_VALUE"""),"Presencial")</f>
        <v>Presencial</v>
      </c>
      <c r="X420" s="30" t="str">
        <f ca="1">IFERROR(__xludf.DUMMYFUNCTION("""COMPUTED_VALUE"""),"Espacio préstamo a la Secretaría de Cultura")</f>
        <v>Espacio préstamo a la Secretaría de Cultura</v>
      </c>
      <c r="Y420" s="30"/>
      <c r="Z420" s="30"/>
      <c r="AA420" s="30"/>
      <c r="AB420" s="30" t="b">
        <f ca="1">IFERROR(__xludf.DUMMYFUNCTION("""COMPUTED_VALUE"""),FALSE)</f>
        <v>0</v>
      </c>
      <c r="AC420" s="30"/>
      <c r="AD420" s="30" t="b">
        <f ca="1">IFERROR(__xludf.DUMMYFUNCTION("""COMPUTED_VALUE"""),TRUE)</f>
        <v>1</v>
      </c>
      <c r="AE420" s="30">
        <f ca="1">IFERROR(__xludf.DUMMYFUNCTION("""COMPUTED_VALUE"""),2)</f>
        <v>2</v>
      </c>
      <c r="AF420" s="30" t="b">
        <f ca="1">IFERROR(__xludf.DUMMYFUNCTION("""COMPUTED_VALUE"""),FALSE)</f>
        <v>0</v>
      </c>
      <c r="AG420" s="30"/>
      <c r="AH420" s="30" t="str">
        <f ca="1">IFERROR(__xludf.DUMMYFUNCTION("""COMPUTED_VALUE"""),"Sin costo")</f>
        <v>Sin costo</v>
      </c>
      <c r="AI420" s="30"/>
      <c r="AJ420" s="30"/>
      <c r="AK420" s="30"/>
      <c r="AL420" s="30" t="str">
        <f ca="1">IFERROR(__xludf.DUMMYFUNCTION("""COMPUTED_VALUE"""),"claudia.ramirezm@guanajuato.gob.mx")</f>
        <v>claudia.ramirezm@guanajuato.gob.mx</v>
      </c>
      <c r="AM420" s="30" t="str">
        <f ca="1">IFERROR(__xludf.DUMMYFUNCTION("""COMPUTED_VALUE"""),"Creación de la Secretaría de Cultura, con una visión social de la política cultural.")</f>
        <v>Creación de la Secretaría de Cultura, con una visión social de la política cultural.</v>
      </c>
      <c r="AN420" s="30" t="str">
        <f ca="1">IFERROR(__xludf.DUMMYFUNCTION("""COMPUTED_VALUE"""),"1 Tranquilidad")</f>
        <v>1 Tranquilidad</v>
      </c>
      <c r="AO420" s="30" t="str">
        <f ca="1">IFERROR(__xludf.DUMMYFUNCTION("""COMPUTED_VALUE"""),"1.2 Fortalecer prevención del delito")</f>
        <v>1.2 Fortalecer prevención del delito</v>
      </c>
      <c r="AP420" s="30" t="str">
        <f ca="1">IFERROR(__xludf.DUMMYFUNCTION("""COMPUTED_VALUE"""),"1.2.2 Fortalecimiento del tejido social")</f>
        <v>1.2.2 Fortalecimiento del tejido social</v>
      </c>
      <c r="AQ420" s="30" t="str">
        <f ca="1">IFERROR(__xludf.DUMMYFUNCTION("""COMPUTED_VALUE"""),"1.2.3.4 Promover una cultura de paz desde las expresiones artísticas y culturales")</f>
        <v>1.2.3.4 Promover una cultura de paz desde las expresiones artísticas y culturales</v>
      </c>
      <c r="AR420" s="30" t="str">
        <f ca="1">IFERROR(__xludf.DUMMYFUNCTION("""COMPUTED_VALUE"""),"Ninguno")</f>
        <v>Ninguno</v>
      </c>
      <c r="AS420" s="30"/>
      <c r="AT420" s="30" t="str">
        <f ca="1">IFERROR(__xludf.DUMMYFUNCTION("""COMPUTED_VALUE"""),"Fortalecimiento de la participación ciudadana y la mediación cultural")</f>
        <v>Fortalecimiento de la participación ciudadana y la mediación cultural</v>
      </c>
      <c r="AU420" s="30" t="str">
        <f ca="1">IFERROR(__xludf.DUMMYFUNCTION("""COMPUTED_VALUE"""),"Impulso a la ampliación de la oferta cultural en los territorios.")</f>
        <v>Impulso a la ampliación de la oferta cultural en los territorios.</v>
      </c>
      <c r="AV42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20" s="30" t="str">
        <f ca="1">IFERROR(__xludf.DUMMYFUNCTION("""COMPUTED_VALUE"""),"Incrementar en 25% la oferta cultural realizada en los municipios.")</f>
        <v>Incrementar en 25% la oferta cultural realizada en los municipios.</v>
      </c>
      <c r="AX420" s="30" t="str">
        <f ca="1">IFERROR(__xludf.DUMMYFUNCTION("""COMPUTED_VALUE"""),"Exposición")</f>
        <v>Exposición</v>
      </c>
      <c r="AY420" s="30" t="str">
        <f ca="1">IFERROR(__xludf.DUMMYFUNCTION("""COMPUTED_VALUE"""),"Producción")</f>
        <v>Producción</v>
      </c>
      <c r="AZ420" s="30"/>
      <c r="BA420" s="30"/>
      <c r="BB420" s="30">
        <f ca="1">IFERROR(__xludf.DUMMYFUNCTION("""COMPUTED_VALUE"""),11)</f>
        <v>11</v>
      </c>
      <c r="BC420" s="30">
        <f ca="1">IFERROR(__xludf.DUMMYFUNCTION("""COMPUTED_VALUE"""),1)</f>
        <v>1</v>
      </c>
      <c r="BD420" s="30" t="str">
        <f ca="1">IFERROR(__xludf.DUMMYFUNCTION("""COMPUTED_VALUE"""),"Apoyado con anterioridad")</f>
        <v>Apoyado con anterioridad</v>
      </c>
      <c r="BE420" s="30" t="str">
        <f ca="1">IFERROR(__xludf.DUMMYFUNCTION("""COMPUTED_VALUE"""),"Mónica Ledesma Arias")</f>
        <v>Mónica Ledesma Arias</v>
      </c>
      <c r="BF420" s="30" t="b">
        <f ca="1">IFERROR(__xludf.DUMMYFUNCTION("""COMPUTED_VALUE"""),FALSE)</f>
        <v>0</v>
      </c>
      <c r="BG420" s="30"/>
      <c r="BH420" s="30"/>
      <c r="BI420" s="30"/>
      <c r="BJ420" s="30"/>
      <c r="BK420" s="30"/>
      <c r="BL420" s="30"/>
      <c r="BM420" s="30" t="str">
        <f ca="1">IFERROR(__xludf.DUMMYFUNCTION("""COMPUTED_VALUE"""),"No")</f>
        <v>No</v>
      </c>
      <c r="BN420" s="30"/>
      <c r="BO420" s="30" t="str">
        <f ca="1">IFERROR(__xludf.DUMMYFUNCTION("""COMPUTED_VALUE"""),"0abc69ed")</f>
        <v>0abc69ed</v>
      </c>
      <c r="BP420" s="29" t="str">
        <f ca="1">IFERROR(__xludf.DUMMYFUNCTION("""COMPUTED_VALUE"""),"Salamanca")</f>
        <v>Salamanca</v>
      </c>
      <c r="BQ420" s="30" t="str">
        <f ca="1">IFERROR(__xludf.DUMMYFUNCTION("""COMPUTED_VALUE"""),"Urbano")</f>
        <v>Urbano</v>
      </c>
      <c r="BR420" s="30">
        <f ca="1">IFERROR(__xludf.DUMMYFUNCTION("""COMPUTED_VALUE"""),181)</f>
        <v>181</v>
      </c>
      <c r="BS420" s="30" t="str">
        <f ca="1">IFERROR(__xludf.DUMMYFUNCTION("""COMPUTED_VALUE"""),"Salamanca")</f>
        <v>Salamanca</v>
      </c>
      <c r="BT420" s="30"/>
      <c r="BU420" s="30" t="str">
        <f ca="1">IFERROR(__xludf.DUMMYFUNCTION("""COMPUTED_VALUE"""),"Si")</f>
        <v>Si</v>
      </c>
      <c r="BV420" s="30" t="str">
        <f ca="1">IFERROR(__xludf.DUMMYFUNCTION("""COMPUTED_VALUE"""),"Si")</f>
        <v>Si</v>
      </c>
      <c r="BW420" s="30">
        <f ca="1">IFERROR(__xludf.DUMMYFUNCTION("""COMPUTED_VALUE"""),9)</f>
        <v>9</v>
      </c>
      <c r="BX420" s="30">
        <f ca="1">IFERROR(__xludf.DUMMYFUNCTION("""COMPUTED_VALUE"""),2)</f>
        <v>2</v>
      </c>
      <c r="BY420" s="30">
        <f ca="1">IFERROR(__xludf.DUMMYFUNCTION("""COMPUTED_VALUE"""),7)</f>
        <v>7</v>
      </c>
      <c r="BZ420" s="30" t="str">
        <f ca="1">IFERROR(__xludf.DUMMYFUNCTION("""COMPUTED_VALUE"""),"Salamanca")</f>
        <v>Salamanca</v>
      </c>
      <c r="CA420" s="30" t="str">
        <f ca="1">IFERROR(__xludf.DUMMYFUNCTION("""COMPUTED_VALUE"""),"No")</f>
        <v>No</v>
      </c>
      <c r="CB420" s="30" t="str">
        <f ca="1">IFERROR(__xludf.DUMMYFUNCTION("""COMPUTED_VALUE"""),"No")</f>
        <v>No</v>
      </c>
      <c r="CC420" s="30" t="str">
        <f ca="1">IFERROR(__xludf.DUMMYFUNCTION("""COMPUTED_VALUE"""),"c4181309")</f>
        <v>c4181309</v>
      </c>
      <c r="CD420" s="29" t="str">
        <f ca="1">IFERROR(__xludf.DUMMYFUNCTION("""COMPUTED_VALUE"""),"Jóvenes (18 a 29 años)")</f>
        <v>Jóvenes (18 a 29 años)</v>
      </c>
      <c r="CE420" s="30" t="str">
        <f ca="1">IFERROR(__xludf.DUMMYFUNCTION("""COMPUTED_VALUE"""),"No se cuenta con el dato")</f>
        <v>No se cuenta con el dato</v>
      </c>
      <c r="CF420" s="30" t="str">
        <f ca="1">IFERROR(__xludf.DUMMYFUNCTION("""COMPUTED_VALUE"""),"Ninguno (Población General)")</f>
        <v>Ninguno (Población General)</v>
      </c>
      <c r="CG420" s="30">
        <f ca="1">IFERROR(__xludf.DUMMYFUNCTION("""COMPUTED_VALUE"""),8)</f>
        <v>8</v>
      </c>
      <c r="CJ420" s="29"/>
      <c r="CM420" s="30" t="str">
        <f ca="1">IFERROR(__xludf.DUMMYFUNCTION("""COMPUTED_VALUE"""),"Silao de la Victoria")</f>
        <v>Silao de la Victoria</v>
      </c>
      <c r="CN420" s="32" t="e">
        <f ca="1"/>
        <v>#NAME?</v>
      </c>
      <c r="CO420" s="32" t="e">
        <f ca="1"/>
        <v>#NAME?</v>
      </c>
      <c r="CP420" s="32" t="e">
        <f ca="1"/>
        <v>#NAME?</v>
      </c>
      <c r="CQ420" s="32" t="e">
        <f ca="1"/>
        <v>#NAME?</v>
      </c>
      <c r="CR420" s="30" t="e">
        <f ca="1"/>
        <v>#NAME?</v>
      </c>
      <c r="CS420" s="30" t="str">
        <f ca="1">IFERROR(__xludf.DUMMYFUNCTION("""COMPUTED_VALUE"""),"Ninguno (Población General)")</f>
        <v>Ninguno (Población General)</v>
      </c>
    </row>
    <row r="421" spans="1:97" ht="13">
      <c r="A421" s="29" t="str">
        <f ca="1">IFERROR(__xludf.DUMMYFUNCTION("""COMPUTED_VALUE"""),"ACT-SCOF39726")</f>
        <v>ACT-SCOF39726</v>
      </c>
      <c r="B421" s="30" t="str">
        <f ca="1">IFERROR(__xludf.DUMMYFUNCTION("""COMPUTED_VALUE"""),"SC-260918-111642")</f>
        <v>SC-260918-111642</v>
      </c>
      <c r="C421" s="62">
        <f ca="1">IFERROR(__xludf.DUMMYFUNCTION("""COMPUTED_VALUE"""),46283.4699305555)</f>
        <v>46283.469930555497</v>
      </c>
      <c r="D421" s="30">
        <f ca="1">IFERROR(__xludf.DUMMYFUNCTION("""COMPUTED_VALUE"""),92)</f>
        <v>92</v>
      </c>
      <c r="E421" s="30" t="str">
        <f ca="1">IFERROR(__xludf.DUMMYFUNCTION("""COMPUTED_VALUE"""),"PB3572")</f>
        <v>PB3572</v>
      </c>
      <c r="F42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2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21" s="30" t="str">
        <f ca="1">IFERROR(__xludf.DUMMYFUNCTION("""COMPUTED_VALUE"""),"SUBSECRETARÍA DE DESARROLLO Y PROMOCIÓN ARTÍSTICA Y CULTURAL")</f>
        <v>SUBSECRETARÍA DE DESARROLLO Y PROMOCIÓN ARTÍSTICA Y CULTURAL</v>
      </c>
      <c r="I421" s="34" t="str">
        <f ca="1">IFERROR(__xludf.DUMMYFUNCTION("""COMPUTED_VALUE"""),"DIRECCIÓN GENERAL DE MUSEOS, ARTES VISUALES Y EXPOSICIONES")</f>
        <v>DIRECCIÓN GENERAL DE MUSEOS, ARTES VISUALES Y EXPOSICIONES</v>
      </c>
      <c r="J421" s="30" t="str">
        <f ca="1">IFERROR(__xludf.DUMMYFUNCTION("""COMPUTED_VALUE"""),"Número de Actividades realizadas")</f>
        <v>Número de Actividades realizadas</v>
      </c>
      <c r="K421" s="30">
        <f ca="1">IFERROR(__xludf.DUMMYFUNCTION("""COMPUTED_VALUE"""),800)</f>
        <v>800</v>
      </c>
      <c r="L421" s="30" t="str">
        <f ca="1">IFERROR(__xludf.DUMMYFUNCTION("""COMPUTED_VALUE"""),"Cultural")</f>
        <v>Cultural</v>
      </c>
      <c r="M421" s="30" t="str">
        <f ca="1">IFERROR(__xludf.DUMMYFUNCTION("""COMPUTED_VALUE"""),"Visita guiada libre")</f>
        <v>Visita guiada libre</v>
      </c>
      <c r="N421" s="30" t="str">
        <f ca="1">IFERROR(__xludf.DUMMYFUNCTION("""COMPUTED_VALUE"""),"Recorrido guiado por el museo")</f>
        <v>Recorrido guiado por el museo</v>
      </c>
      <c r="O421" s="30" t="str">
        <f ca="1">IFERROR(__xludf.DUMMYFUNCTION("""COMPUTED_VALUE"""),"Única")</f>
        <v>Única</v>
      </c>
      <c r="P421" s="33">
        <f ca="1">IFERROR(__xludf.DUMMYFUNCTION("""COMPUTED_VALUE"""),46246)</f>
        <v>46246</v>
      </c>
      <c r="Q421" s="33">
        <f ca="1">IFERROR(__xludf.DUMMYFUNCTION("""COMPUTED_VALUE"""),46246)</f>
        <v>46246</v>
      </c>
      <c r="R421" s="30">
        <f ca="1">IFERROR(__xludf.DUMMYFUNCTION("""COMPUTED_VALUE"""),1)</f>
        <v>1</v>
      </c>
      <c r="S421" s="30" t="str">
        <f ca="1">IFERROR(__xludf.DUMMYFUNCTION("""COMPUTED_VALUE"""),"Cultura comunitaria")</f>
        <v>Cultura comunitaria</v>
      </c>
      <c r="T421" s="30" t="str">
        <f ca="1">IFERROR(__xludf.DUMMYFUNCTION("""COMPUTED_VALUE"""),"Formación comunitaria")</f>
        <v>Formación comunitaria</v>
      </c>
      <c r="U421" s="30" t="str">
        <f ca="1">IFERROR(__xludf.DUMMYFUNCTION("""COMPUTED_VALUE"""),"Visitas guiadas")</f>
        <v>Visitas guiadas</v>
      </c>
      <c r="V421" s="30" t="str">
        <f ca="1">IFERROR(__xludf.DUMMYFUNCTION("""COMPUTED_VALUE"""),"Ninguna")</f>
        <v>Ninguna</v>
      </c>
      <c r="W421" s="30" t="str">
        <f ca="1">IFERROR(__xludf.DUMMYFUNCTION("""COMPUTED_VALUE"""),"Presencial")</f>
        <v>Presencial</v>
      </c>
      <c r="X421" s="30" t="str">
        <f ca="1">IFERROR(__xludf.DUMMYFUNCTION("""COMPUTED_VALUE"""),"Espacio a Cargo de la Secretaría")</f>
        <v>Espacio a Cargo de la Secretaría</v>
      </c>
      <c r="Y421" s="30" t="str">
        <f ca="1">IFERROR(__xludf.DUMMYFUNCTION("""COMPUTED_VALUE"""),"Museo José y Tomas Chavez Morado")</f>
        <v>Museo José y Tomas Chavez Morado</v>
      </c>
      <c r="Z421" s="30"/>
      <c r="AA421" s="30"/>
      <c r="AB421" s="30" t="b">
        <f ca="1">IFERROR(__xludf.DUMMYFUNCTION("""COMPUTED_VALUE"""),FALSE)</f>
        <v>0</v>
      </c>
      <c r="AC421" s="30"/>
      <c r="AD421" s="30" t="b">
        <f ca="1">IFERROR(__xludf.DUMMYFUNCTION("""COMPUTED_VALUE"""),FALSE)</f>
        <v>0</v>
      </c>
      <c r="AE421" s="30"/>
      <c r="AF421" s="30" t="b">
        <f ca="1">IFERROR(__xludf.DUMMYFUNCTION("""COMPUTED_VALUE"""),FALSE)</f>
        <v>0</v>
      </c>
      <c r="AG421" s="30"/>
      <c r="AH421" s="30" t="str">
        <f ca="1">IFERROR(__xludf.DUMMYFUNCTION("""COMPUTED_VALUE"""),"Sin costo")</f>
        <v>Sin costo</v>
      </c>
      <c r="AI421" s="30"/>
      <c r="AJ421" s="30"/>
      <c r="AK421" s="30"/>
      <c r="AL421" s="30" t="str">
        <f ca="1">IFERROR(__xludf.DUMMYFUNCTION("""COMPUTED_VALUE"""),"ccardonav@guanajuato.gob.mx")</f>
        <v>ccardonav@guanajuato.gob.mx</v>
      </c>
      <c r="AM421" s="30" t="str">
        <f ca="1">IFERROR(__xludf.DUMMYFUNCTION("""COMPUTED_VALUE"""),"Arraigo y empoderamiento cultural de comunidades.")</f>
        <v>Arraigo y empoderamiento cultural de comunidades.</v>
      </c>
      <c r="AN421" s="30" t="str">
        <f ca="1">IFERROR(__xludf.DUMMYFUNCTION("""COMPUTED_VALUE"""),"1 Tranquilidad")</f>
        <v>1 Tranquilidad</v>
      </c>
      <c r="AO421" s="30" t="str">
        <f ca="1">IFERROR(__xludf.DUMMYFUNCTION("""COMPUTED_VALUE"""),"1.2 Fortalecer prevención del delito")</f>
        <v>1.2 Fortalecer prevención del delito</v>
      </c>
      <c r="AP421" s="30" t="str">
        <f ca="1">IFERROR(__xludf.DUMMYFUNCTION("""COMPUTED_VALUE"""),"1.2.2 Fortalecimiento del tejido social")</f>
        <v>1.2.2 Fortalecimiento del tejido social</v>
      </c>
      <c r="AQ421" s="30" t="str">
        <f ca="1">IFERROR(__xludf.DUMMYFUNCTION("""COMPUTED_VALUE"""),"1.2.3.4 Promover una cultura de paz desde las expresiones artísticas y culturales")</f>
        <v>1.2.3.4 Promover una cultura de paz desde las expresiones artísticas y culturales</v>
      </c>
      <c r="AR421" s="30" t="str">
        <f ca="1">IFERROR(__xludf.DUMMYFUNCTION("""COMPUTED_VALUE"""),"Cooperación")</f>
        <v>Cooperación</v>
      </c>
      <c r="AS421" s="30"/>
      <c r="AT421" s="30" t="str">
        <f ca="1">IFERROR(__xludf.DUMMYFUNCTION("""COMPUTED_VALUE"""),"Fortalecimiento de la participación ciudadana y la mediación cultural")</f>
        <v>Fortalecimiento de la participación ciudadana y la mediación cultural</v>
      </c>
      <c r="AU421" s="30" t="str">
        <f ca="1">IFERROR(__xludf.DUMMYFUNCTION("""COMPUTED_VALUE"""),"Impulso a la ampliación de la oferta cultural en los territorios.")</f>
        <v>Impulso a la ampliación de la oferta cultural en los territorios.</v>
      </c>
      <c r="AV42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21" s="30" t="str">
        <f ca="1">IFERROR(__xludf.DUMMYFUNCTION("""COMPUTED_VALUE"""),"Incrementar en 25% la oferta cultural realizada en los municipios.")</f>
        <v>Incrementar en 25% la oferta cultural realizada en los municipios.</v>
      </c>
      <c r="AX421" s="30" t="str">
        <f ca="1">IFERROR(__xludf.DUMMYFUNCTION("""COMPUTED_VALUE"""),"Visitas guiadas")</f>
        <v>Visitas guiadas</v>
      </c>
      <c r="AY421" s="30" t="str">
        <f ca="1">IFERROR(__xludf.DUMMYFUNCTION("""COMPUTED_VALUE"""),"Mediación")</f>
        <v>Mediación</v>
      </c>
      <c r="AZ421" s="30"/>
      <c r="BA421" s="30"/>
      <c r="BB421" s="30"/>
      <c r="BC421" s="30">
        <f ca="1">IFERROR(__xludf.DUMMYFUNCTION("""COMPUTED_VALUE"""),0)</f>
        <v>0</v>
      </c>
      <c r="BD421" s="30"/>
      <c r="BE421" s="30"/>
      <c r="BF421" s="30" t="b">
        <f ca="1">IFERROR(__xludf.DUMMYFUNCTION("""COMPUTED_VALUE"""),FALSE)</f>
        <v>0</v>
      </c>
      <c r="BG421" s="30"/>
      <c r="BH421" s="30"/>
      <c r="BI421" s="30"/>
      <c r="BJ421" s="30"/>
      <c r="BK421" s="30"/>
      <c r="BL421" s="30"/>
      <c r="BM421" s="30" t="str">
        <f ca="1">IFERROR(__xludf.DUMMYFUNCTION("""COMPUTED_VALUE"""),"No")</f>
        <v>No</v>
      </c>
      <c r="BN421" s="30"/>
      <c r="BO421" s="30" t="str">
        <f ca="1">IFERROR(__xludf.DUMMYFUNCTION("""COMPUTED_VALUE"""),"1d29ccde")</f>
        <v>1d29ccde</v>
      </c>
      <c r="BP421" s="29" t="str">
        <f ca="1">IFERROR(__xludf.DUMMYFUNCTION("""COMPUTED_VALUE"""),"Salamanca")</f>
        <v>Salamanca</v>
      </c>
      <c r="BQ421" s="30" t="str">
        <f ca="1">IFERROR(__xludf.DUMMYFUNCTION("""COMPUTED_VALUE"""),"Urbano")</f>
        <v>Urbano</v>
      </c>
      <c r="BR421" s="30">
        <f ca="1">IFERROR(__xludf.DUMMYFUNCTION("""COMPUTED_VALUE"""),181)</f>
        <v>181</v>
      </c>
      <c r="BS421" s="30" t="str">
        <f ca="1">IFERROR(__xludf.DUMMYFUNCTION("""COMPUTED_VALUE"""),"Salamanca")</f>
        <v>Salamanca</v>
      </c>
      <c r="BT421" s="30"/>
      <c r="BU421" s="30" t="str">
        <f ca="1">IFERROR(__xludf.DUMMYFUNCTION("""COMPUTED_VALUE"""),"Si")</f>
        <v>Si</v>
      </c>
      <c r="BV421" s="30" t="str">
        <f ca="1">IFERROR(__xludf.DUMMYFUNCTION("""COMPUTED_VALUE"""),"Si")</f>
        <v>Si</v>
      </c>
      <c r="BW421" s="30">
        <f ca="1">IFERROR(__xludf.DUMMYFUNCTION("""COMPUTED_VALUE"""),20)</f>
        <v>20</v>
      </c>
      <c r="BX421" s="30">
        <f ca="1">IFERROR(__xludf.DUMMYFUNCTION("""COMPUTED_VALUE"""),1)</f>
        <v>1</v>
      </c>
      <c r="BY421" s="30">
        <f ca="1">IFERROR(__xludf.DUMMYFUNCTION("""COMPUTED_VALUE"""),19)</f>
        <v>19</v>
      </c>
      <c r="BZ421" s="30" t="str">
        <f ca="1">IFERROR(__xludf.DUMMYFUNCTION("""COMPUTED_VALUE"""),"Salamanca")</f>
        <v>Salamanca</v>
      </c>
      <c r="CA421" s="30" t="str">
        <f ca="1">IFERROR(__xludf.DUMMYFUNCTION("""COMPUTED_VALUE"""),"No")</f>
        <v>No</v>
      </c>
      <c r="CB421" s="30" t="str">
        <f ca="1">IFERROR(__xludf.DUMMYFUNCTION("""COMPUTED_VALUE"""),"No")</f>
        <v>No</v>
      </c>
      <c r="CC421" s="30" t="str">
        <f ca="1">IFERROR(__xludf.DUMMYFUNCTION("""COMPUTED_VALUE"""),"f2349bd3")</f>
        <v>f2349bd3</v>
      </c>
      <c r="CD421" s="29" t="str">
        <f ca="1">IFERROR(__xludf.DUMMYFUNCTION("""COMPUTED_VALUE"""),"Niñas y Niños (6 a 12 años)")</f>
        <v>Niñas y Niños (6 a 12 años)</v>
      </c>
      <c r="CE421" s="30" t="str">
        <f ca="1">IFERROR(__xludf.DUMMYFUNCTION("""COMPUTED_VALUE"""),"No se cuenta con el dato")</f>
        <v>No se cuenta con el dato</v>
      </c>
      <c r="CF421" s="30" t="str">
        <f ca="1">IFERROR(__xludf.DUMMYFUNCTION("""COMPUTED_VALUE"""),"Ninguno (Población General)")</f>
        <v>Ninguno (Población General)</v>
      </c>
      <c r="CG421" s="30">
        <f ca="1">IFERROR(__xludf.DUMMYFUNCTION("""COMPUTED_VALUE"""),26)</f>
        <v>26</v>
      </c>
      <c r="CJ421" s="29"/>
      <c r="CM421" s="30" t="str">
        <f ca="1">IFERROR(__xludf.DUMMYFUNCTION("""COMPUTED_VALUE"""),"Salamanca")</f>
        <v>Salamanca</v>
      </c>
      <c r="CN421" s="32" t="e">
        <f ca="1"/>
        <v>#NAME?</v>
      </c>
      <c r="CO421" s="32" t="e">
        <f ca="1"/>
        <v>#NAME?</v>
      </c>
      <c r="CP421" s="32" t="e">
        <f ca="1"/>
        <v>#NAME?</v>
      </c>
      <c r="CQ421" s="32" t="e">
        <f ca="1"/>
        <v>#NAME?</v>
      </c>
      <c r="CR421" s="30" t="e">
        <f ca="1"/>
        <v>#NAME?</v>
      </c>
      <c r="CS421"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22" spans="1:97" ht="13">
      <c r="A422" s="29" t="str">
        <f ca="1">IFERROR(__xludf.DUMMYFUNCTION("""COMPUTED_VALUE"""),"ACT-SCVS48670")</f>
        <v>ACT-SCVS48670</v>
      </c>
      <c r="B422" s="30" t="str">
        <f ca="1">IFERROR(__xludf.DUMMYFUNCTION("""COMPUTED_VALUE"""),"SC-260918-112632")</f>
        <v>SC-260918-112632</v>
      </c>
      <c r="C422" s="62">
        <f ca="1">IFERROR(__xludf.DUMMYFUNCTION("""COMPUTED_VALUE"""),46283.4767592592)</f>
        <v>46283.476759259203</v>
      </c>
      <c r="D422" s="30">
        <f ca="1">IFERROR(__xludf.DUMMYFUNCTION("""COMPUTED_VALUE"""),92)</f>
        <v>92</v>
      </c>
      <c r="E422" s="30" t="str">
        <f ca="1">IFERROR(__xludf.DUMMYFUNCTION("""COMPUTED_VALUE"""),"PB3572")</f>
        <v>PB3572</v>
      </c>
      <c r="F42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2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22" s="30" t="str">
        <f ca="1">IFERROR(__xludf.DUMMYFUNCTION("""COMPUTED_VALUE"""),"SUBSECRETARÍA DE DESARROLLO Y PROMOCIÓN ARTÍSTICA Y CULTURAL")</f>
        <v>SUBSECRETARÍA DE DESARROLLO Y PROMOCIÓN ARTÍSTICA Y CULTURAL</v>
      </c>
      <c r="I422" s="34" t="str">
        <f ca="1">IFERROR(__xludf.DUMMYFUNCTION("""COMPUTED_VALUE"""),"DIRECCIÓN GENERAL DE MUSEOS, ARTES VISUALES Y EXPOSICIONES")</f>
        <v>DIRECCIÓN GENERAL DE MUSEOS, ARTES VISUALES Y EXPOSICIONES</v>
      </c>
      <c r="J422" s="30" t="str">
        <f ca="1">IFERROR(__xludf.DUMMYFUNCTION("""COMPUTED_VALUE"""),"Número de Actividades realizadas")</f>
        <v>Número de Actividades realizadas</v>
      </c>
      <c r="K422" s="30">
        <f ca="1">IFERROR(__xludf.DUMMYFUNCTION("""COMPUTED_VALUE"""),800)</f>
        <v>800</v>
      </c>
      <c r="L422" s="30" t="str">
        <f ca="1">IFERROR(__xludf.DUMMYFUNCTION("""COMPUTED_VALUE"""),"Cultural")</f>
        <v>Cultural</v>
      </c>
      <c r="M422" s="30" t="str">
        <f ca="1">IFERROR(__xludf.DUMMYFUNCTION("""COMPUTED_VALUE"""),"Visita guiada libre.")</f>
        <v>Visita guiada libre.</v>
      </c>
      <c r="N422" s="30" t="str">
        <f ca="1">IFERROR(__xludf.DUMMYFUNCTION("""COMPUTED_VALUE"""),"Recorrido guiado por el Museo")</f>
        <v>Recorrido guiado por el Museo</v>
      </c>
      <c r="O422" s="30" t="str">
        <f ca="1">IFERROR(__xludf.DUMMYFUNCTION("""COMPUTED_VALUE"""),"Única")</f>
        <v>Única</v>
      </c>
      <c r="P422" s="33">
        <f ca="1">IFERROR(__xludf.DUMMYFUNCTION("""COMPUTED_VALUE"""),46247)</f>
        <v>46247</v>
      </c>
      <c r="Q422" s="33">
        <f ca="1">IFERROR(__xludf.DUMMYFUNCTION("""COMPUTED_VALUE"""),46247)</f>
        <v>46247</v>
      </c>
      <c r="R422" s="30">
        <f ca="1">IFERROR(__xludf.DUMMYFUNCTION("""COMPUTED_VALUE"""),1)</f>
        <v>1</v>
      </c>
      <c r="S422" s="30" t="str">
        <f ca="1">IFERROR(__xludf.DUMMYFUNCTION("""COMPUTED_VALUE"""),"Cultura comunitaria")</f>
        <v>Cultura comunitaria</v>
      </c>
      <c r="T422" s="30" t="str">
        <f ca="1">IFERROR(__xludf.DUMMYFUNCTION("""COMPUTED_VALUE"""),"Formación comunitaria")</f>
        <v>Formación comunitaria</v>
      </c>
      <c r="U422" s="30" t="str">
        <f ca="1">IFERROR(__xludf.DUMMYFUNCTION("""COMPUTED_VALUE"""),"Visitas guiadas")</f>
        <v>Visitas guiadas</v>
      </c>
      <c r="V422" s="30" t="str">
        <f ca="1">IFERROR(__xludf.DUMMYFUNCTION("""COMPUTED_VALUE"""),"Ninguna")</f>
        <v>Ninguna</v>
      </c>
      <c r="W422" s="30" t="str">
        <f ca="1">IFERROR(__xludf.DUMMYFUNCTION("""COMPUTED_VALUE"""),"Presencial")</f>
        <v>Presencial</v>
      </c>
      <c r="X422" s="30" t="str">
        <f ca="1">IFERROR(__xludf.DUMMYFUNCTION("""COMPUTED_VALUE"""),"Espacio a Cargo de la Secretaría")</f>
        <v>Espacio a Cargo de la Secretaría</v>
      </c>
      <c r="Y422" s="30" t="str">
        <f ca="1">IFERROR(__xludf.DUMMYFUNCTION("""COMPUTED_VALUE"""),"Museo José y Tomas Chavez Morado")</f>
        <v>Museo José y Tomas Chavez Morado</v>
      </c>
      <c r="Z422" s="30"/>
      <c r="AA422" s="30"/>
      <c r="AB422" s="30" t="b">
        <f ca="1">IFERROR(__xludf.DUMMYFUNCTION("""COMPUTED_VALUE"""),FALSE)</f>
        <v>0</v>
      </c>
      <c r="AC422" s="30"/>
      <c r="AD422" s="30" t="b">
        <f ca="1">IFERROR(__xludf.DUMMYFUNCTION("""COMPUTED_VALUE"""),FALSE)</f>
        <v>0</v>
      </c>
      <c r="AE422" s="30"/>
      <c r="AF422" s="30" t="b">
        <f ca="1">IFERROR(__xludf.DUMMYFUNCTION("""COMPUTED_VALUE"""),FALSE)</f>
        <v>0</v>
      </c>
      <c r="AG422" s="30"/>
      <c r="AH422" s="30" t="str">
        <f ca="1">IFERROR(__xludf.DUMMYFUNCTION("""COMPUTED_VALUE"""),"Sin costo")</f>
        <v>Sin costo</v>
      </c>
      <c r="AI422" s="30"/>
      <c r="AJ422" s="30"/>
      <c r="AK422" s="30"/>
      <c r="AL422" s="30" t="str">
        <f ca="1">IFERROR(__xludf.DUMMYFUNCTION("""COMPUTED_VALUE"""),"ccardonav@guanajuato.gob.mx")</f>
        <v>ccardonav@guanajuato.gob.mx</v>
      </c>
      <c r="AM422" s="30" t="str">
        <f ca="1">IFERROR(__xludf.DUMMYFUNCTION("""COMPUTED_VALUE"""),"Arraigo y empoderamiento cultural de comunidades.")</f>
        <v>Arraigo y empoderamiento cultural de comunidades.</v>
      </c>
      <c r="AN422" s="30" t="str">
        <f ca="1">IFERROR(__xludf.DUMMYFUNCTION("""COMPUTED_VALUE"""),"1 Tranquilidad")</f>
        <v>1 Tranquilidad</v>
      </c>
      <c r="AO422" s="30" t="str">
        <f ca="1">IFERROR(__xludf.DUMMYFUNCTION("""COMPUTED_VALUE"""),"1.2 Fortalecer prevención del delito")</f>
        <v>1.2 Fortalecer prevención del delito</v>
      </c>
      <c r="AP422" s="30" t="str">
        <f ca="1">IFERROR(__xludf.DUMMYFUNCTION("""COMPUTED_VALUE"""),"1.2.2 Fortalecimiento del tejido social")</f>
        <v>1.2.2 Fortalecimiento del tejido social</v>
      </c>
      <c r="AQ422" s="30" t="str">
        <f ca="1">IFERROR(__xludf.DUMMYFUNCTION("""COMPUTED_VALUE"""),"1.2.3.4 Promover una cultura de paz desde las expresiones artísticas y culturales")</f>
        <v>1.2.3.4 Promover una cultura de paz desde las expresiones artísticas y culturales</v>
      </c>
      <c r="AR422" s="30" t="str">
        <f ca="1">IFERROR(__xludf.DUMMYFUNCTION("""COMPUTED_VALUE"""),"Cooperación")</f>
        <v>Cooperación</v>
      </c>
      <c r="AS422" s="30"/>
      <c r="AT422" s="30" t="str">
        <f ca="1">IFERROR(__xludf.DUMMYFUNCTION("""COMPUTED_VALUE"""),"Fortalecimiento de la participación ciudadana y la mediación cultural")</f>
        <v>Fortalecimiento de la participación ciudadana y la mediación cultural</v>
      </c>
      <c r="AU422" s="30" t="str">
        <f ca="1">IFERROR(__xludf.DUMMYFUNCTION("""COMPUTED_VALUE"""),"Impulso a la ampliación de la oferta cultural en los territorios.")</f>
        <v>Impulso a la ampliación de la oferta cultural en los territorios.</v>
      </c>
      <c r="AV42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22" s="30" t="str">
        <f ca="1">IFERROR(__xludf.DUMMYFUNCTION("""COMPUTED_VALUE"""),"Incrementar en 25% la oferta cultural realizada en los municipios.")</f>
        <v>Incrementar en 25% la oferta cultural realizada en los municipios.</v>
      </c>
      <c r="AX422" s="30" t="str">
        <f ca="1">IFERROR(__xludf.DUMMYFUNCTION("""COMPUTED_VALUE"""),"Visitas guiadas")</f>
        <v>Visitas guiadas</v>
      </c>
      <c r="AY422" s="30" t="str">
        <f ca="1">IFERROR(__xludf.DUMMYFUNCTION("""COMPUTED_VALUE"""),"Mediación")</f>
        <v>Mediación</v>
      </c>
      <c r="AZ422" s="30"/>
      <c r="BA422" s="30"/>
      <c r="BB422" s="30"/>
      <c r="BC422" s="30">
        <f ca="1">IFERROR(__xludf.DUMMYFUNCTION("""COMPUTED_VALUE"""),0)</f>
        <v>0</v>
      </c>
      <c r="BD422" s="30"/>
      <c r="BE422" s="30"/>
      <c r="BF422" s="30" t="b">
        <f ca="1">IFERROR(__xludf.DUMMYFUNCTION("""COMPUTED_VALUE"""),FALSE)</f>
        <v>0</v>
      </c>
      <c r="BG422" s="30"/>
      <c r="BH422" s="30"/>
      <c r="BI422" s="30"/>
      <c r="BJ422" s="30"/>
      <c r="BK422" s="30"/>
      <c r="BL422" s="30"/>
      <c r="BM422" s="30" t="str">
        <f ca="1">IFERROR(__xludf.DUMMYFUNCTION("""COMPUTED_VALUE"""),"No")</f>
        <v>No</v>
      </c>
      <c r="BN422" s="30"/>
      <c r="BO422" s="30" t="str">
        <f ca="1">IFERROR(__xludf.DUMMYFUNCTION("""COMPUTED_VALUE"""),"65281850")</f>
        <v>65281850</v>
      </c>
      <c r="BP422" s="29" t="str">
        <f ca="1">IFERROR(__xludf.DUMMYFUNCTION("""COMPUTED_VALUE"""),"Salamanca")</f>
        <v>Salamanca</v>
      </c>
      <c r="BQ422" s="30" t="str">
        <f ca="1">IFERROR(__xludf.DUMMYFUNCTION("""COMPUTED_VALUE"""),"Urbano")</f>
        <v>Urbano</v>
      </c>
      <c r="BR422" s="30">
        <f ca="1">IFERROR(__xludf.DUMMYFUNCTION("""COMPUTED_VALUE"""),181)</f>
        <v>181</v>
      </c>
      <c r="BS422" s="30" t="str">
        <f ca="1">IFERROR(__xludf.DUMMYFUNCTION("""COMPUTED_VALUE"""),"Salamanca")</f>
        <v>Salamanca</v>
      </c>
      <c r="BT422" s="30"/>
      <c r="BU422" s="30" t="str">
        <f ca="1">IFERROR(__xludf.DUMMYFUNCTION("""COMPUTED_VALUE"""),"Si")</f>
        <v>Si</v>
      </c>
      <c r="BV422" s="30" t="str">
        <f ca="1">IFERROR(__xludf.DUMMYFUNCTION("""COMPUTED_VALUE"""),"Si")</f>
        <v>Si</v>
      </c>
      <c r="BW422" s="30">
        <f ca="1">IFERROR(__xludf.DUMMYFUNCTION("""COMPUTED_VALUE"""),10)</f>
        <v>10</v>
      </c>
      <c r="BX422" s="30">
        <f ca="1">IFERROR(__xludf.DUMMYFUNCTION("""COMPUTED_VALUE"""),2)</f>
        <v>2</v>
      </c>
      <c r="BY422" s="30">
        <f ca="1">IFERROR(__xludf.DUMMYFUNCTION("""COMPUTED_VALUE"""),8)</f>
        <v>8</v>
      </c>
      <c r="BZ422" s="30" t="str">
        <f ca="1">IFERROR(__xludf.DUMMYFUNCTION("""COMPUTED_VALUE"""),"Salamanca")</f>
        <v>Salamanca</v>
      </c>
      <c r="CA422" s="30" t="str">
        <f ca="1">IFERROR(__xludf.DUMMYFUNCTION("""COMPUTED_VALUE"""),"No")</f>
        <v>No</v>
      </c>
      <c r="CB422" s="30" t="str">
        <f ca="1">IFERROR(__xludf.DUMMYFUNCTION("""COMPUTED_VALUE"""),"No")</f>
        <v>No</v>
      </c>
      <c r="CC422" s="30" t="str">
        <f ca="1">IFERROR(__xludf.DUMMYFUNCTION("""COMPUTED_VALUE"""),"28277918")</f>
        <v>28277918</v>
      </c>
      <c r="CD422" s="29" t="str">
        <f ca="1">IFERROR(__xludf.DUMMYFUNCTION("""COMPUTED_VALUE"""),"Adolescentes (13 a 17 años)")</f>
        <v>Adolescentes (13 a 17 años)</v>
      </c>
      <c r="CE422" s="30" t="str">
        <f ca="1">IFERROR(__xludf.DUMMYFUNCTION("""COMPUTED_VALUE"""),"No se cuenta con el dato")</f>
        <v>No se cuenta con el dato</v>
      </c>
      <c r="CF422" s="30" t="str">
        <f ca="1">IFERROR(__xludf.DUMMYFUNCTION("""COMPUTED_VALUE"""),"Ninguno (Población General)")</f>
        <v>Ninguno (Población General)</v>
      </c>
      <c r="CG422" s="30">
        <f ca="1">IFERROR(__xludf.DUMMYFUNCTION("""COMPUTED_VALUE"""),26)</f>
        <v>26</v>
      </c>
      <c r="CJ422" s="29"/>
      <c r="CM422" s="30" t="str">
        <f ca="1">IFERROR(__xludf.DUMMYFUNCTION("""COMPUTED_VALUE"""),"Salamanca")</f>
        <v>Salamanca</v>
      </c>
      <c r="CN422" s="32" t="e">
        <f ca="1"/>
        <v>#NAME?</v>
      </c>
      <c r="CO422" s="32" t="e">
        <f ca="1"/>
        <v>#NAME?</v>
      </c>
      <c r="CP422" s="32" t="e">
        <f ca="1"/>
        <v>#NAME?</v>
      </c>
      <c r="CQ422" s="32" t="e">
        <f ca="1"/>
        <v>#NAME?</v>
      </c>
      <c r="CR422" s="30" t="e">
        <f ca="1"/>
        <v>#NAME?</v>
      </c>
      <c r="CS422"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23" spans="1:97" ht="13">
      <c r="A423" s="29" t="str">
        <f ca="1">IFERROR(__xludf.DUMMYFUNCTION("""COMPUTED_VALUE"""),"ACT-SCNY62875")</f>
        <v>ACT-SCNY62875</v>
      </c>
      <c r="B423" s="30" t="str">
        <f ca="1">IFERROR(__xludf.DUMMYFUNCTION("""COMPUTED_VALUE"""),"SC-260918-113303")</f>
        <v>SC-260918-113303</v>
      </c>
      <c r="C423" s="62">
        <f ca="1">IFERROR(__xludf.DUMMYFUNCTION("""COMPUTED_VALUE"""),46283.4812847222)</f>
        <v>46283.481284722198</v>
      </c>
      <c r="D423" s="30">
        <f ca="1">IFERROR(__xludf.DUMMYFUNCTION("""COMPUTED_VALUE"""),92)</f>
        <v>92</v>
      </c>
      <c r="E423" s="30" t="str">
        <f ca="1">IFERROR(__xludf.DUMMYFUNCTION("""COMPUTED_VALUE"""),"PB3572")</f>
        <v>PB3572</v>
      </c>
      <c r="F42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2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23" s="30" t="str">
        <f ca="1">IFERROR(__xludf.DUMMYFUNCTION("""COMPUTED_VALUE"""),"SUBSECRETARÍA DE DESARROLLO Y PROMOCIÓN ARTÍSTICA Y CULTURAL")</f>
        <v>SUBSECRETARÍA DE DESARROLLO Y PROMOCIÓN ARTÍSTICA Y CULTURAL</v>
      </c>
      <c r="I423" s="34" t="str">
        <f ca="1">IFERROR(__xludf.DUMMYFUNCTION("""COMPUTED_VALUE"""),"DIRECCIÓN GENERAL DE MUSEOS, ARTES VISUALES Y EXPOSICIONES")</f>
        <v>DIRECCIÓN GENERAL DE MUSEOS, ARTES VISUALES Y EXPOSICIONES</v>
      </c>
      <c r="J423" s="30" t="str">
        <f ca="1">IFERROR(__xludf.DUMMYFUNCTION("""COMPUTED_VALUE"""),"Número de Actividades realizadas")</f>
        <v>Número de Actividades realizadas</v>
      </c>
      <c r="K423" s="30">
        <f ca="1">IFERROR(__xludf.DUMMYFUNCTION("""COMPUTED_VALUE"""),800)</f>
        <v>800</v>
      </c>
      <c r="L423" s="30" t="str">
        <f ca="1">IFERROR(__xludf.DUMMYFUNCTION("""COMPUTED_VALUE"""),"Cultural")</f>
        <v>Cultural</v>
      </c>
      <c r="M423" s="30" t="str">
        <f ca="1">IFERROR(__xludf.DUMMYFUNCTION("""COMPUTED_VALUE"""),"Visita guiada libre.")</f>
        <v>Visita guiada libre.</v>
      </c>
      <c r="N423" s="30" t="str">
        <f ca="1">IFERROR(__xludf.DUMMYFUNCTION("""COMPUTED_VALUE"""),"Recorrido guiado por el museo")</f>
        <v>Recorrido guiado por el museo</v>
      </c>
      <c r="O423" s="30" t="str">
        <f ca="1">IFERROR(__xludf.DUMMYFUNCTION("""COMPUTED_VALUE"""),"Única")</f>
        <v>Única</v>
      </c>
      <c r="P423" s="33">
        <f ca="1">IFERROR(__xludf.DUMMYFUNCTION("""COMPUTED_VALUE"""),46248)</f>
        <v>46248</v>
      </c>
      <c r="Q423" s="33">
        <f ca="1">IFERROR(__xludf.DUMMYFUNCTION("""COMPUTED_VALUE"""),46248)</f>
        <v>46248</v>
      </c>
      <c r="R423" s="30">
        <f ca="1">IFERROR(__xludf.DUMMYFUNCTION("""COMPUTED_VALUE"""),1)</f>
        <v>1</v>
      </c>
      <c r="S423" s="30" t="str">
        <f ca="1">IFERROR(__xludf.DUMMYFUNCTION("""COMPUTED_VALUE"""),"Cultura comunitaria")</f>
        <v>Cultura comunitaria</v>
      </c>
      <c r="T423" s="30" t="str">
        <f ca="1">IFERROR(__xludf.DUMMYFUNCTION("""COMPUTED_VALUE"""),"Formación comunitaria")</f>
        <v>Formación comunitaria</v>
      </c>
      <c r="U423" s="30" t="str">
        <f ca="1">IFERROR(__xludf.DUMMYFUNCTION("""COMPUTED_VALUE"""),"Visitas guiadas")</f>
        <v>Visitas guiadas</v>
      </c>
      <c r="V423" s="30" t="str">
        <f ca="1">IFERROR(__xludf.DUMMYFUNCTION("""COMPUTED_VALUE"""),"Ninguna")</f>
        <v>Ninguna</v>
      </c>
      <c r="W423" s="30" t="str">
        <f ca="1">IFERROR(__xludf.DUMMYFUNCTION("""COMPUTED_VALUE"""),"Presencial")</f>
        <v>Presencial</v>
      </c>
      <c r="X423" s="30" t="str">
        <f ca="1">IFERROR(__xludf.DUMMYFUNCTION("""COMPUTED_VALUE"""),"Espacio a Cargo de la Secretaría")</f>
        <v>Espacio a Cargo de la Secretaría</v>
      </c>
      <c r="Y423" s="30" t="str">
        <f ca="1">IFERROR(__xludf.DUMMYFUNCTION("""COMPUTED_VALUE"""),"Museo José y Tomas Chavez Morado")</f>
        <v>Museo José y Tomas Chavez Morado</v>
      </c>
      <c r="Z423" s="30"/>
      <c r="AA423" s="30"/>
      <c r="AB423" s="30" t="b">
        <f ca="1">IFERROR(__xludf.DUMMYFUNCTION("""COMPUTED_VALUE"""),FALSE)</f>
        <v>0</v>
      </c>
      <c r="AC423" s="30"/>
      <c r="AD423" s="30" t="b">
        <f ca="1">IFERROR(__xludf.DUMMYFUNCTION("""COMPUTED_VALUE"""),FALSE)</f>
        <v>0</v>
      </c>
      <c r="AE423" s="30"/>
      <c r="AF423" s="30" t="b">
        <f ca="1">IFERROR(__xludf.DUMMYFUNCTION("""COMPUTED_VALUE"""),FALSE)</f>
        <v>0</v>
      </c>
      <c r="AG423" s="30"/>
      <c r="AH423" s="30" t="str">
        <f ca="1">IFERROR(__xludf.DUMMYFUNCTION("""COMPUTED_VALUE"""),"Sin costo")</f>
        <v>Sin costo</v>
      </c>
      <c r="AI423" s="30"/>
      <c r="AJ423" s="30"/>
      <c r="AK423" s="30"/>
      <c r="AL423" s="30" t="str">
        <f ca="1">IFERROR(__xludf.DUMMYFUNCTION("""COMPUTED_VALUE"""),"ccardonav@guanajuato.gob.mx")</f>
        <v>ccardonav@guanajuato.gob.mx</v>
      </c>
      <c r="AM423" s="30" t="str">
        <f ca="1">IFERROR(__xludf.DUMMYFUNCTION("""COMPUTED_VALUE"""),"Arraigo y empoderamiento cultural de comunidades.")</f>
        <v>Arraigo y empoderamiento cultural de comunidades.</v>
      </c>
      <c r="AN423" s="30" t="str">
        <f ca="1">IFERROR(__xludf.DUMMYFUNCTION("""COMPUTED_VALUE"""),"1 Tranquilidad")</f>
        <v>1 Tranquilidad</v>
      </c>
      <c r="AO423" s="30" t="str">
        <f ca="1">IFERROR(__xludf.DUMMYFUNCTION("""COMPUTED_VALUE"""),"1.2 Fortalecer prevención del delito")</f>
        <v>1.2 Fortalecer prevención del delito</v>
      </c>
      <c r="AP423" s="30" t="str">
        <f ca="1">IFERROR(__xludf.DUMMYFUNCTION("""COMPUTED_VALUE"""),"1.2.2 Fortalecimiento del tejido social")</f>
        <v>1.2.2 Fortalecimiento del tejido social</v>
      </c>
      <c r="AQ423" s="30" t="str">
        <f ca="1">IFERROR(__xludf.DUMMYFUNCTION("""COMPUTED_VALUE"""),"1.2.3.4 Promover una cultura de paz desde las expresiones artísticas y culturales")</f>
        <v>1.2.3.4 Promover una cultura de paz desde las expresiones artísticas y culturales</v>
      </c>
      <c r="AR423" s="30" t="str">
        <f ca="1">IFERROR(__xludf.DUMMYFUNCTION("""COMPUTED_VALUE"""),"Cooperación")</f>
        <v>Cooperación</v>
      </c>
      <c r="AS423" s="30"/>
      <c r="AT423" s="30" t="str">
        <f ca="1">IFERROR(__xludf.DUMMYFUNCTION("""COMPUTED_VALUE"""),"Fortalecimiento de la participación ciudadana y la mediación cultural")</f>
        <v>Fortalecimiento de la participación ciudadana y la mediación cultural</v>
      </c>
      <c r="AU423" s="30" t="str">
        <f ca="1">IFERROR(__xludf.DUMMYFUNCTION("""COMPUTED_VALUE"""),"Impulso a la ampliación de la oferta cultural en los territorios.")</f>
        <v>Impulso a la ampliación de la oferta cultural en los territorios.</v>
      </c>
      <c r="AV42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23" s="30" t="str">
        <f ca="1">IFERROR(__xludf.DUMMYFUNCTION("""COMPUTED_VALUE"""),"Incrementar en 25% la oferta cultural realizada en los municipios.")</f>
        <v>Incrementar en 25% la oferta cultural realizada en los municipios.</v>
      </c>
      <c r="AX423" s="30" t="str">
        <f ca="1">IFERROR(__xludf.DUMMYFUNCTION("""COMPUTED_VALUE"""),"Visitas guiadas")</f>
        <v>Visitas guiadas</v>
      </c>
      <c r="AY423" s="30" t="str">
        <f ca="1">IFERROR(__xludf.DUMMYFUNCTION("""COMPUTED_VALUE"""),"Mediación")</f>
        <v>Mediación</v>
      </c>
      <c r="AZ423" s="30"/>
      <c r="BA423" s="30"/>
      <c r="BB423" s="30"/>
      <c r="BC423" s="30">
        <f ca="1">IFERROR(__xludf.DUMMYFUNCTION("""COMPUTED_VALUE"""),0)</f>
        <v>0</v>
      </c>
      <c r="BD423" s="30"/>
      <c r="BE423" s="30"/>
      <c r="BF423" s="30" t="b">
        <f ca="1">IFERROR(__xludf.DUMMYFUNCTION("""COMPUTED_VALUE"""),FALSE)</f>
        <v>0</v>
      </c>
      <c r="BG423" s="30"/>
      <c r="BH423" s="30"/>
      <c r="BI423" s="30"/>
      <c r="BJ423" s="30"/>
      <c r="BK423" s="30"/>
      <c r="BL423" s="30"/>
      <c r="BM423" s="30" t="str">
        <f ca="1">IFERROR(__xludf.DUMMYFUNCTION("""COMPUTED_VALUE"""),"No")</f>
        <v>No</v>
      </c>
      <c r="BN423" s="30"/>
      <c r="BO423" s="30" t="str">
        <f ca="1">IFERROR(__xludf.DUMMYFUNCTION("""COMPUTED_VALUE"""),"4b020bfe")</f>
        <v>4b020bfe</v>
      </c>
      <c r="BP423" s="29" t="str">
        <f ca="1">IFERROR(__xludf.DUMMYFUNCTION("""COMPUTED_VALUE"""),"Salamanca")</f>
        <v>Salamanca</v>
      </c>
      <c r="BQ423" s="30" t="str">
        <f ca="1">IFERROR(__xludf.DUMMYFUNCTION("""COMPUTED_VALUE"""),"Urbano")</f>
        <v>Urbano</v>
      </c>
      <c r="BR423" s="30">
        <f ca="1">IFERROR(__xludf.DUMMYFUNCTION("""COMPUTED_VALUE"""),181)</f>
        <v>181</v>
      </c>
      <c r="BS423" s="30" t="str">
        <f ca="1">IFERROR(__xludf.DUMMYFUNCTION("""COMPUTED_VALUE"""),"Salamanca")</f>
        <v>Salamanca</v>
      </c>
      <c r="BT423" s="30"/>
      <c r="BU423" s="30" t="str">
        <f ca="1">IFERROR(__xludf.DUMMYFUNCTION("""COMPUTED_VALUE"""),"Si")</f>
        <v>Si</v>
      </c>
      <c r="BV423" s="30" t="str">
        <f ca="1">IFERROR(__xludf.DUMMYFUNCTION("""COMPUTED_VALUE"""),"Si")</f>
        <v>Si</v>
      </c>
      <c r="BW423" s="30">
        <f ca="1">IFERROR(__xludf.DUMMYFUNCTION("""COMPUTED_VALUE"""),13)</f>
        <v>13</v>
      </c>
      <c r="BX423" s="30">
        <f ca="1">IFERROR(__xludf.DUMMYFUNCTION("""COMPUTED_VALUE"""),1)</f>
        <v>1</v>
      </c>
      <c r="BY423" s="30">
        <f ca="1">IFERROR(__xludf.DUMMYFUNCTION("""COMPUTED_VALUE"""),12)</f>
        <v>12</v>
      </c>
      <c r="BZ423" s="30" t="str">
        <f ca="1">IFERROR(__xludf.DUMMYFUNCTION("""COMPUTED_VALUE"""),"Salamanca")</f>
        <v>Salamanca</v>
      </c>
      <c r="CA423" s="30" t="str">
        <f ca="1">IFERROR(__xludf.DUMMYFUNCTION("""COMPUTED_VALUE"""),"No")</f>
        <v>No</v>
      </c>
      <c r="CB423" s="30" t="str">
        <f ca="1">IFERROR(__xludf.DUMMYFUNCTION("""COMPUTED_VALUE"""),"No")</f>
        <v>No</v>
      </c>
      <c r="CC423" s="30" t="str">
        <f ca="1">IFERROR(__xludf.DUMMYFUNCTION("""COMPUTED_VALUE"""),"cf25c1b2")</f>
        <v>cf25c1b2</v>
      </c>
      <c r="CD423" s="29" t="str">
        <f ca="1">IFERROR(__xludf.DUMMYFUNCTION("""COMPUTED_VALUE"""),"Jóvenes (18 a 29 años)")</f>
        <v>Jóvenes (18 a 29 años)</v>
      </c>
      <c r="CE423" s="30" t="str">
        <f ca="1">IFERROR(__xludf.DUMMYFUNCTION("""COMPUTED_VALUE"""),"No se cuenta con el dato")</f>
        <v>No se cuenta con el dato</v>
      </c>
      <c r="CF423" s="30" t="str">
        <f ca="1">IFERROR(__xludf.DUMMYFUNCTION("""COMPUTED_VALUE"""),"Ninguno (Población General)")</f>
        <v>Ninguno (Población General)</v>
      </c>
      <c r="CG423" s="30">
        <f ca="1">IFERROR(__xludf.DUMMYFUNCTION("""COMPUTED_VALUE"""),49)</f>
        <v>49</v>
      </c>
      <c r="CJ423" s="29"/>
      <c r="CM423" s="30" t="str">
        <f ca="1">IFERROR(__xludf.DUMMYFUNCTION("""COMPUTED_VALUE"""),"Salamanca")</f>
        <v>Salamanca</v>
      </c>
      <c r="CN423" s="32" t="e">
        <f ca="1"/>
        <v>#NAME?</v>
      </c>
      <c r="CO423" s="32" t="e">
        <f ca="1"/>
        <v>#NAME?</v>
      </c>
      <c r="CP423" s="32" t="e">
        <f ca="1"/>
        <v>#NAME?</v>
      </c>
      <c r="CQ423" s="32" t="e">
        <f ca="1"/>
        <v>#NAME?</v>
      </c>
      <c r="CR423" s="30" t="e">
        <f ca="1"/>
        <v>#NAME?</v>
      </c>
      <c r="CS423" s="30" t="str">
        <f ca="1">IFERROR(__xludf.DUMMYFUNCTION("""COMPUTED_VALUE"""),"Ninguno (Población General), Ninguno (Población General), Ninguno (Población General)")</f>
        <v>Ninguno (Población General), Ninguno (Población General), Ninguno (Población General)</v>
      </c>
    </row>
    <row r="424" spans="1:97" ht="13">
      <c r="A424" s="29" t="str">
        <f ca="1">IFERROR(__xludf.DUMMYFUNCTION("""COMPUTED_VALUE"""),"ACT-SCKJ18026")</f>
        <v>ACT-SCKJ18026</v>
      </c>
      <c r="B424" s="30" t="str">
        <f ca="1">IFERROR(__xludf.DUMMYFUNCTION("""COMPUTED_VALUE"""),"SC-260918-114022")</f>
        <v>SC-260918-114022</v>
      </c>
      <c r="C424" s="62">
        <f ca="1">IFERROR(__xludf.DUMMYFUNCTION("""COMPUTED_VALUE"""),46283.4863657407)</f>
        <v>46283.486365740697</v>
      </c>
      <c r="D424" s="30">
        <f ca="1">IFERROR(__xludf.DUMMYFUNCTION("""COMPUTED_VALUE"""),92)</f>
        <v>92</v>
      </c>
      <c r="E424" s="30" t="str">
        <f ca="1">IFERROR(__xludf.DUMMYFUNCTION("""COMPUTED_VALUE"""),"PB3572")</f>
        <v>PB3572</v>
      </c>
      <c r="F42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2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24" s="30" t="str">
        <f ca="1">IFERROR(__xludf.DUMMYFUNCTION("""COMPUTED_VALUE"""),"SUBSECRETARÍA DE DESARROLLO Y PROMOCIÓN ARTÍSTICA Y CULTURAL")</f>
        <v>SUBSECRETARÍA DE DESARROLLO Y PROMOCIÓN ARTÍSTICA Y CULTURAL</v>
      </c>
      <c r="I424" s="34" t="str">
        <f ca="1">IFERROR(__xludf.DUMMYFUNCTION("""COMPUTED_VALUE"""),"DIRECCIÓN GENERAL DE MUSEOS, ARTES VISUALES Y EXPOSICIONES")</f>
        <v>DIRECCIÓN GENERAL DE MUSEOS, ARTES VISUALES Y EXPOSICIONES</v>
      </c>
      <c r="J424" s="30" t="str">
        <f ca="1">IFERROR(__xludf.DUMMYFUNCTION("""COMPUTED_VALUE"""),"Número de Actividades realizadas")</f>
        <v>Número de Actividades realizadas</v>
      </c>
      <c r="K424" s="30">
        <f ca="1">IFERROR(__xludf.DUMMYFUNCTION("""COMPUTED_VALUE"""),800)</f>
        <v>800</v>
      </c>
      <c r="L424" s="30" t="str">
        <f ca="1">IFERROR(__xludf.DUMMYFUNCTION("""COMPUTED_VALUE"""),"Cultural")</f>
        <v>Cultural</v>
      </c>
      <c r="M424" s="30" t="str">
        <f ca="1">IFERROR(__xludf.DUMMYFUNCTION("""COMPUTED_VALUE"""),"Visita guiada libre")</f>
        <v>Visita guiada libre</v>
      </c>
      <c r="N424" s="30" t="str">
        <f ca="1">IFERROR(__xludf.DUMMYFUNCTION("""COMPUTED_VALUE"""),"Recorrido guiado por el museo")</f>
        <v>Recorrido guiado por el museo</v>
      </c>
      <c r="O424" s="30" t="str">
        <f ca="1">IFERROR(__xludf.DUMMYFUNCTION("""COMPUTED_VALUE"""),"Única")</f>
        <v>Única</v>
      </c>
      <c r="P424" s="33">
        <f ca="1">IFERROR(__xludf.DUMMYFUNCTION("""COMPUTED_VALUE"""),46250)</f>
        <v>46250</v>
      </c>
      <c r="Q424" s="33">
        <f ca="1">IFERROR(__xludf.DUMMYFUNCTION("""COMPUTED_VALUE"""),46250)</f>
        <v>46250</v>
      </c>
      <c r="R424" s="30">
        <f ca="1">IFERROR(__xludf.DUMMYFUNCTION("""COMPUTED_VALUE"""),1)</f>
        <v>1</v>
      </c>
      <c r="S424" s="30" t="str">
        <f ca="1">IFERROR(__xludf.DUMMYFUNCTION("""COMPUTED_VALUE"""),"Cultura comunitaria")</f>
        <v>Cultura comunitaria</v>
      </c>
      <c r="T424" s="30" t="str">
        <f ca="1">IFERROR(__xludf.DUMMYFUNCTION("""COMPUTED_VALUE"""),"Formación comunitaria")</f>
        <v>Formación comunitaria</v>
      </c>
      <c r="U424" s="30" t="str">
        <f ca="1">IFERROR(__xludf.DUMMYFUNCTION("""COMPUTED_VALUE"""),"Visitas guiadas")</f>
        <v>Visitas guiadas</v>
      </c>
      <c r="V424" s="30" t="str">
        <f ca="1">IFERROR(__xludf.DUMMYFUNCTION("""COMPUTED_VALUE"""),"Ninguna")</f>
        <v>Ninguna</v>
      </c>
      <c r="W424" s="30" t="str">
        <f ca="1">IFERROR(__xludf.DUMMYFUNCTION("""COMPUTED_VALUE"""),"Presencial")</f>
        <v>Presencial</v>
      </c>
      <c r="X424" s="30" t="str">
        <f ca="1">IFERROR(__xludf.DUMMYFUNCTION("""COMPUTED_VALUE"""),"Espacio a Cargo de la Secretaría")</f>
        <v>Espacio a Cargo de la Secretaría</v>
      </c>
      <c r="Y424" s="30" t="str">
        <f ca="1">IFERROR(__xludf.DUMMYFUNCTION("""COMPUTED_VALUE"""),"Museo José y Tomas Chavez Morado")</f>
        <v>Museo José y Tomas Chavez Morado</v>
      </c>
      <c r="Z424" s="30"/>
      <c r="AA424" s="30"/>
      <c r="AB424" s="30" t="b">
        <f ca="1">IFERROR(__xludf.DUMMYFUNCTION("""COMPUTED_VALUE"""),FALSE)</f>
        <v>0</v>
      </c>
      <c r="AC424" s="30"/>
      <c r="AD424" s="30" t="b">
        <f ca="1">IFERROR(__xludf.DUMMYFUNCTION("""COMPUTED_VALUE"""),FALSE)</f>
        <v>0</v>
      </c>
      <c r="AE424" s="30"/>
      <c r="AF424" s="30" t="b">
        <f ca="1">IFERROR(__xludf.DUMMYFUNCTION("""COMPUTED_VALUE"""),FALSE)</f>
        <v>0</v>
      </c>
      <c r="AG424" s="30"/>
      <c r="AH424" s="30" t="str">
        <f ca="1">IFERROR(__xludf.DUMMYFUNCTION("""COMPUTED_VALUE"""),"Sin costo")</f>
        <v>Sin costo</v>
      </c>
      <c r="AI424" s="30"/>
      <c r="AJ424" s="30"/>
      <c r="AK424" s="30"/>
      <c r="AL424" s="30" t="str">
        <f ca="1">IFERROR(__xludf.DUMMYFUNCTION("""COMPUTED_VALUE"""),"ccardonav@guanajuato.gob.mx")</f>
        <v>ccardonav@guanajuato.gob.mx</v>
      </c>
      <c r="AM424" s="30" t="str">
        <f ca="1">IFERROR(__xludf.DUMMYFUNCTION("""COMPUTED_VALUE"""),"Arraigo y empoderamiento cultural de comunidades.")</f>
        <v>Arraigo y empoderamiento cultural de comunidades.</v>
      </c>
      <c r="AN424" s="30" t="str">
        <f ca="1">IFERROR(__xludf.DUMMYFUNCTION("""COMPUTED_VALUE"""),"1 Tranquilidad")</f>
        <v>1 Tranquilidad</v>
      </c>
      <c r="AO424" s="30" t="str">
        <f ca="1">IFERROR(__xludf.DUMMYFUNCTION("""COMPUTED_VALUE"""),"1.2 Fortalecer prevención del delito")</f>
        <v>1.2 Fortalecer prevención del delito</v>
      </c>
      <c r="AP424" s="30" t="str">
        <f ca="1">IFERROR(__xludf.DUMMYFUNCTION("""COMPUTED_VALUE"""),"1.2.2 Fortalecimiento del tejido social")</f>
        <v>1.2.2 Fortalecimiento del tejido social</v>
      </c>
      <c r="AQ424" s="30" t="str">
        <f ca="1">IFERROR(__xludf.DUMMYFUNCTION("""COMPUTED_VALUE"""),"1.2.3.4 Promover una cultura de paz desde las expresiones artísticas y culturales")</f>
        <v>1.2.3.4 Promover una cultura de paz desde las expresiones artísticas y culturales</v>
      </c>
      <c r="AR424" s="30" t="str">
        <f ca="1">IFERROR(__xludf.DUMMYFUNCTION("""COMPUTED_VALUE"""),"Cooperación")</f>
        <v>Cooperación</v>
      </c>
      <c r="AS424" s="30"/>
      <c r="AT424" s="30" t="str">
        <f ca="1">IFERROR(__xludf.DUMMYFUNCTION("""COMPUTED_VALUE"""),"Fortalecimiento de la participación ciudadana y la mediación cultural")</f>
        <v>Fortalecimiento de la participación ciudadana y la mediación cultural</v>
      </c>
      <c r="AU424" s="30" t="str">
        <f ca="1">IFERROR(__xludf.DUMMYFUNCTION("""COMPUTED_VALUE"""),"Impulso a la ampliación de la oferta cultural en los territorios.")</f>
        <v>Impulso a la ampliación de la oferta cultural en los territorios.</v>
      </c>
      <c r="AV42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24" s="30" t="str">
        <f ca="1">IFERROR(__xludf.DUMMYFUNCTION("""COMPUTED_VALUE"""),"Incrementar en 25% la oferta cultural realizada en los municipios.")</f>
        <v>Incrementar en 25% la oferta cultural realizada en los municipios.</v>
      </c>
      <c r="AX424" s="30" t="str">
        <f ca="1">IFERROR(__xludf.DUMMYFUNCTION("""COMPUTED_VALUE"""),"Visitas guiadas")</f>
        <v>Visitas guiadas</v>
      </c>
      <c r="AY424" s="30" t="str">
        <f ca="1">IFERROR(__xludf.DUMMYFUNCTION("""COMPUTED_VALUE"""),"Mediación")</f>
        <v>Mediación</v>
      </c>
      <c r="AZ424" s="30"/>
      <c r="BA424" s="30"/>
      <c r="BB424" s="30"/>
      <c r="BC424" s="30">
        <f ca="1">IFERROR(__xludf.DUMMYFUNCTION("""COMPUTED_VALUE"""),0)</f>
        <v>0</v>
      </c>
      <c r="BD424" s="30"/>
      <c r="BE424" s="30"/>
      <c r="BF424" s="30" t="b">
        <f ca="1">IFERROR(__xludf.DUMMYFUNCTION("""COMPUTED_VALUE"""),FALSE)</f>
        <v>0</v>
      </c>
      <c r="BG424" s="30"/>
      <c r="BH424" s="30"/>
      <c r="BI424" s="30"/>
      <c r="BJ424" s="30"/>
      <c r="BK424" s="30"/>
      <c r="BL424" s="30"/>
      <c r="BM424" s="30" t="str">
        <f ca="1">IFERROR(__xludf.DUMMYFUNCTION("""COMPUTED_VALUE"""),"No")</f>
        <v>No</v>
      </c>
      <c r="BN424" s="30"/>
      <c r="BO424" s="30" t="str">
        <f ca="1">IFERROR(__xludf.DUMMYFUNCTION("""COMPUTED_VALUE"""),"00ca5cc3")</f>
        <v>00ca5cc3</v>
      </c>
      <c r="BP424" s="29" t="str">
        <f ca="1">IFERROR(__xludf.DUMMYFUNCTION("""COMPUTED_VALUE"""),"Salamanca")</f>
        <v>Salamanca</v>
      </c>
      <c r="BQ424" s="30" t="str">
        <f ca="1">IFERROR(__xludf.DUMMYFUNCTION("""COMPUTED_VALUE"""),"Urbano")</f>
        <v>Urbano</v>
      </c>
      <c r="BR424" s="30">
        <f ca="1">IFERROR(__xludf.DUMMYFUNCTION("""COMPUTED_VALUE"""),181)</f>
        <v>181</v>
      </c>
      <c r="BS424" s="30" t="str">
        <f ca="1">IFERROR(__xludf.DUMMYFUNCTION("""COMPUTED_VALUE"""),"Salamanca")</f>
        <v>Salamanca</v>
      </c>
      <c r="BT424" s="30"/>
      <c r="BU424" s="30" t="str">
        <f ca="1">IFERROR(__xludf.DUMMYFUNCTION("""COMPUTED_VALUE"""),"Si")</f>
        <v>Si</v>
      </c>
      <c r="BV424" s="30" t="str">
        <f ca="1">IFERROR(__xludf.DUMMYFUNCTION("""COMPUTED_VALUE"""),"Si")</f>
        <v>Si</v>
      </c>
      <c r="BW424" s="30">
        <f ca="1">IFERROR(__xludf.DUMMYFUNCTION("""COMPUTED_VALUE"""),7)</f>
        <v>7</v>
      </c>
      <c r="BX424" s="30">
        <f ca="1">IFERROR(__xludf.DUMMYFUNCTION("""COMPUTED_VALUE"""),1)</f>
        <v>1</v>
      </c>
      <c r="BY424" s="30">
        <f ca="1">IFERROR(__xludf.DUMMYFUNCTION("""COMPUTED_VALUE"""),6)</f>
        <v>6</v>
      </c>
      <c r="BZ424" s="30" t="str">
        <f ca="1">IFERROR(__xludf.DUMMYFUNCTION("""COMPUTED_VALUE"""),"Salamanca")</f>
        <v>Salamanca</v>
      </c>
      <c r="CA424" s="30" t="str">
        <f ca="1">IFERROR(__xludf.DUMMYFUNCTION("""COMPUTED_VALUE"""),"No")</f>
        <v>No</v>
      </c>
      <c r="CB424" s="30" t="str">
        <f ca="1">IFERROR(__xludf.DUMMYFUNCTION("""COMPUTED_VALUE"""),"No")</f>
        <v>No</v>
      </c>
      <c r="CC424" s="30" t="str">
        <f ca="1">IFERROR(__xludf.DUMMYFUNCTION("""COMPUTED_VALUE"""),"9261aa4b")</f>
        <v>9261aa4b</v>
      </c>
      <c r="CD424" s="29" t="str">
        <f ca="1">IFERROR(__xludf.DUMMYFUNCTION("""COMPUTED_VALUE"""),"Jóvenes (18 a 29 años)")</f>
        <v>Jóvenes (18 a 29 años)</v>
      </c>
      <c r="CE424" s="30" t="str">
        <f ca="1">IFERROR(__xludf.DUMMYFUNCTION("""COMPUTED_VALUE"""),"No se cuenta con el dato")</f>
        <v>No se cuenta con el dato</v>
      </c>
      <c r="CF424" s="30" t="str">
        <f ca="1">IFERROR(__xludf.DUMMYFUNCTION("""COMPUTED_VALUE"""),"Ninguno (Población General)")</f>
        <v>Ninguno (Población General)</v>
      </c>
      <c r="CG424" s="30">
        <f ca="1">IFERROR(__xludf.DUMMYFUNCTION("""COMPUTED_VALUE"""),49)</f>
        <v>49</v>
      </c>
      <c r="CJ424" s="29"/>
      <c r="CM424" s="30" t="str">
        <f ca="1">IFERROR(__xludf.DUMMYFUNCTION("""COMPUTED_VALUE"""),"Salamanca")</f>
        <v>Salamanca</v>
      </c>
      <c r="CN424" s="32" t="e">
        <f ca="1"/>
        <v>#NAME?</v>
      </c>
      <c r="CO424" s="32" t="e">
        <f ca="1"/>
        <v>#NAME?</v>
      </c>
      <c r="CP424" s="32" t="e">
        <f ca="1"/>
        <v>#NAME?</v>
      </c>
      <c r="CQ424" s="32" t="e">
        <f ca="1"/>
        <v>#NAME?</v>
      </c>
      <c r="CR424" s="30" t="e">
        <f ca="1"/>
        <v>#NAME?</v>
      </c>
      <c r="CS424"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25" spans="1:97" ht="13">
      <c r="A425" s="29" t="str">
        <f ca="1">IFERROR(__xludf.DUMMYFUNCTION("""COMPUTED_VALUE"""),"ACT-SCSG23490")</f>
        <v>ACT-SCSG23490</v>
      </c>
      <c r="B425" s="30" t="str">
        <f ca="1">IFERROR(__xludf.DUMMYFUNCTION("""COMPUTED_VALUE"""),"SC-260918-114545")</f>
        <v>SC-260918-114545</v>
      </c>
      <c r="C425" s="62">
        <f ca="1">IFERROR(__xludf.DUMMYFUNCTION("""COMPUTED_VALUE"""),46283.4901041666)</f>
        <v>46283.490104166602</v>
      </c>
      <c r="D425" s="30">
        <f ca="1">IFERROR(__xludf.DUMMYFUNCTION("""COMPUTED_VALUE"""),92)</f>
        <v>92</v>
      </c>
      <c r="E425" s="30" t="str">
        <f ca="1">IFERROR(__xludf.DUMMYFUNCTION("""COMPUTED_VALUE"""),"PB3572")</f>
        <v>PB3572</v>
      </c>
      <c r="F42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2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25" s="30" t="str">
        <f ca="1">IFERROR(__xludf.DUMMYFUNCTION("""COMPUTED_VALUE"""),"SUBSECRETARÍA DE DESARROLLO Y PROMOCIÓN ARTÍSTICA Y CULTURAL")</f>
        <v>SUBSECRETARÍA DE DESARROLLO Y PROMOCIÓN ARTÍSTICA Y CULTURAL</v>
      </c>
      <c r="I425" s="34" t="str">
        <f ca="1">IFERROR(__xludf.DUMMYFUNCTION("""COMPUTED_VALUE"""),"DIRECCIÓN GENERAL DE MUSEOS, ARTES VISUALES Y EXPOSICIONES")</f>
        <v>DIRECCIÓN GENERAL DE MUSEOS, ARTES VISUALES Y EXPOSICIONES</v>
      </c>
      <c r="J425" s="30" t="str">
        <f ca="1">IFERROR(__xludf.DUMMYFUNCTION("""COMPUTED_VALUE"""),"Número de Actividades realizadas")</f>
        <v>Número de Actividades realizadas</v>
      </c>
      <c r="K425" s="30">
        <f ca="1">IFERROR(__xludf.DUMMYFUNCTION("""COMPUTED_VALUE"""),800)</f>
        <v>800</v>
      </c>
      <c r="L425" s="30" t="str">
        <f ca="1">IFERROR(__xludf.DUMMYFUNCTION("""COMPUTED_VALUE"""),"Cultural")</f>
        <v>Cultural</v>
      </c>
      <c r="M425" s="30" t="str">
        <f ca="1">IFERROR(__xludf.DUMMYFUNCTION("""COMPUTED_VALUE"""),"Visita guiada libre")</f>
        <v>Visita guiada libre</v>
      </c>
      <c r="N425" s="30" t="str">
        <f ca="1">IFERROR(__xludf.DUMMYFUNCTION("""COMPUTED_VALUE"""),"Recorrido guiado por el museo")</f>
        <v>Recorrido guiado por el museo</v>
      </c>
      <c r="O425" s="30" t="str">
        <f ca="1">IFERROR(__xludf.DUMMYFUNCTION("""COMPUTED_VALUE"""),"Única")</f>
        <v>Única</v>
      </c>
      <c r="P425" s="33">
        <f ca="1">IFERROR(__xludf.DUMMYFUNCTION("""COMPUTED_VALUE"""),46254)</f>
        <v>46254</v>
      </c>
      <c r="Q425" s="33">
        <f ca="1">IFERROR(__xludf.DUMMYFUNCTION("""COMPUTED_VALUE"""),46254)</f>
        <v>46254</v>
      </c>
      <c r="R425" s="30">
        <f ca="1">IFERROR(__xludf.DUMMYFUNCTION("""COMPUTED_VALUE"""),1)</f>
        <v>1</v>
      </c>
      <c r="S425" s="30" t="str">
        <f ca="1">IFERROR(__xludf.DUMMYFUNCTION("""COMPUTED_VALUE"""),"Cultura comunitaria")</f>
        <v>Cultura comunitaria</v>
      </c>
      <c r="T425" s="30" t="str">
        <f ca="1">IFERROR(__xludf.DUMMYFUNCTION("""COMPUTED_VALUE"""),"Formación comunitaria")</f>
        <v>Formación comunitaria</v>
      </c>
      <c r="U425" s="30" t="str">
        <f ca="1">IFERROR(__xludf.DUMMYFUNCTION("""COMPUTED_VALUE"""),"Visitas guiadas")</f>
        <v>Visitas guiadas</v>
      </c>
      <c r="V425" s="30" t="str">
        <f ca="1">IFERROR(__xludf.DUMMYFUNCTION("""COMPUTED_VALUE"""),"Ninguna")</f>
        <v>Ninguna</v>
      </c>
      <c r="W425" s="30" t="str">
        <f ca="1">IFERROR(__xludf.DUMMYFUNCTION("""COMPUTED_VALUE"""),"Presencial")</f>
        <v>Presencial</v>
      </c>
      <c r="X425" s="30" t="str">
        <f ca="1">IFERROR(__xludf.DUMMYFUNCTION("""COMPUTED_VALUE"""),"Espacio a Cargo de la Secretaría")</f>
        <v>Espacio a Cargo de la Secretaría</v>
      </c>
      <c r="Y425" s="30" t="str">
        <f ca="1">IFERROR(__xludf.DUMMYFUNCTION("""COMPUTED_VALUE"""),"Museo José y Tomas Chavez Morado")</f>
        <v>Museo José y Tomas Chavez Morado</v>
      </c>
      <c r="Z425" s="30"/>
      <c r="AA425" s="30"/>
      <c r="AB425" s="30" t="b">
        <f ca="1">IFERROR(__xludf.DUMMYFUNCTION("""COMPUTED_VALUE"""),FALSE)</f>
        <v>0</v>
      </c>
      <c r="AC425" s="30"/>
      <c r="AD425" s="30" t="b">
        <f ca="1">IFERROR(__xludf.DUMMYFUNCTION("""COMPUTED_VALUE"""),FALSE)</f>
        <v>0</v>
      </c>
      <c r="AE425" s="30"/>
      <c r="AF425" s="30" t="b">
        <f ca="1">IFERROR(__xludf.DUMMYFUNCTION("""COMPUTED_VALUE"""),FALSE)</f>
        <v>0</v>
      </c>
      <c r="AG425" s="30"/>
      <c r="AH425" s="30" t="str">
        <f ca="1">IFERROR(__xludf.DUMMYFUNCTION("""COMPUTED_VALUE"""),"Sin costo")</f>
        <v>Sin costo</v>
      </c>
      <c r="AI425" s="30"/>
      <c r="AJ425" s="30"/>
      <c r="AK425" s="30"/>
      <c r="AL425" s="30" t="str">
        <f ca="1">IFERROR(__xludf.DUMMYFUNCTION("""COMPUTED_VALUE"""),"ccardonav@guanajuato.gob.mx")</f>
        <v>ccardonav@guanajuato.gob.mx</v>
      </c>
      <c r="AM425" s="30" t="str">
        <f ca="1">IFERROR(__xludf.DUMMYFUNCTION("""COMPUTED_VALUE"""),"Arraigo y empoderamiento cultural de comunidades.")</f>
        <v>Arraigo y empoderamiento cultural de comunidades.</v>
      </c>
      <c r="AN425" s="30" t="str">
        <f ca="1">IFERROR(__xludf.DUMMYFUNCTION("""COMPUTED_VALUE"""),"1 Tranquilidad")</f>
        <v>1 Tranquilidad</v>
      </c>
      <c r="AO425" s="30" t="str">
        <f ca="1">IFERROR(__xludf.DUMMYFUNCTION("""COMPUTED_VALUE"""),"1.2 Fortalecer prevención del delito")</f>
        <v>1.2 Fortalecer prevención del delito</v>
      </c>
      <c r="AP425" s="30" t="str">
        <f ca="1">IFERROR(__xludf.DUMMYFUNCTION("""COMPUTED_VALUE"""),"1.2.2 Fortalecimiento del tejido social")</f>
        <v>1.2.2 Fortalecimiento del tejido social</v>
      </c>
      <c r="AQ425" s="30" t="str">
        <f ca="1">IFERROR(__xludf.DUMMYFUNCTION("""COMPUTED_VALUE"""),"1.2.3.4 Promover una cultura de paz desde las expresiones artísticas y culturales")</f>
        <v>1.2.3.4 Promover una cultura de paz desde las expresiones artísticas y culturales</v>
      </c>
      <c r="AR425" s="30" t="str">
        <f ca="1">IFERROR(__xludf.DUMMYFUNCTION("""COMPUTED_VALUE"""),"Cooperación")</f>
        <v>Cooperación</v>
      </c>
      <c r="AS425" s="30"/>
      <c r="AT425" s="30" t="str">
        <f ca="1">IFERROR(__xludf.DUMMYFUNCTION("""COMPUTED_VALUE"""),"Fortalecimiento de la participación ciudadana y la mediación cultural")</f>
        <v>Fortalecimiento de la participación ciudadana y la mediación cultural</v>
      </c>
      <c r="AU425" s="30" t="str">
        <f ca="1">IFERROR(__xludf.DUMMYFUNCTION("""COMPUTED_VALUE"""),"Impulso a la ampliación de la oferta cultural en los territorios.")</f>
        <v>Impulso a la ampliación de la oferta cultural en los territorios.</v>
      </c>
      <c r="AV42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25" s="30" t="str">
        <f ca="1">IFERROR(__xludf.DUMMYFUNCTION("""COMPUTED_VALUE"""),"Incrementar en 25% la oferta cultural realizada en los municipios.")</f>
        <v>Incrementar en 25% la oferta cultural realizada en los municipios.</v>
      </c>
      <c r="AX425" s="30" t="str">
        <f ca="1">IFERROR(__xludf.DUMMYFUNCTION("""COMPUTED_VALUE"""),"Visitas guiadas")</f>
        <v>Visitas guiadas</v>
      </c>
      <c r="AY425" s="30" t="str">
        <f ca="1">IFERROR(__xludf.DUMMYFUNCTION("""COMPUTED_VALUE"""),"Mediación")</f>
        <v>Mediación</v>
      </c>
      <c r="AZ425" s="30"/>
      <c r="BA425" s="30"/>
      <c r="BB425" s="30"/>
      <c r="BC425" s="30">
        <f ca="1">IFERROR(__xludf.DUMMYFUNCTION("""COMPUTED_VALUE"""),0)</f>
        <v>0</v>
      </c>
      <c r="BD425" s="30"/>
      <c r="BE425" s="30"/>
      <c r="BF425" s="30" t="b">
        <f ca="1">IFERROR(__xludf.DUMMYFUNCTION("""COMPUTED_VALUE"""),FALSE)</f>
        <v>0</v>
      </c>
      <c r="BG425" s="30"/>
      <c r="BH425" s="30"/>
      <c r="BI425" s="30"/>
      <c r="BJ425" s="30"/>
      <c r="BK425" s="30"/>
      <c r="BL425" s="30"/>
      <c r="BM425" s="30" t="str">
        <f ca="1">IFERROR(__xludf.DUMMYFUNCTION("""COMPUTED_VALUE"""),"No")</f>
        <v>No</v>
      </c>
      <c r="BN425" s="30"/>
      <c r="BO425" s="30" t="str">
        <f ca="1">IFERROR(__xludf.DUMMYFUNCTION("""COMPUTED_VALUE"""),"b2f1464e")</f>
        <v>b2f1464e</v>
      </c>
      <c r="BP425" s="29" t="str">
        <f ca="1">IFERROR(__xludf.DUMMYFUNCTION("""COMPUTED_VALUE"""),"Salamanca")</f>
        <v>Salamanca</v>
      </c>
      <c r="BQ425" s="30" t="str">
        <f ca="1">IFERROR(__xludf.DUMMYFUNCTION("""COMPUTED_VALUE"""),"Urbano")</f>
        <v>Urbano</v>
      </c>
      <c r="BR425" s="30">
        <f ca="1">IFERROR(__xludf.DUMMYFUNCTION("""COMPUTED_VALUE"""),181)</f>
        <v>181</v>
      </c>
      <c r="BS425" s="30" t="str">
        <f ca="1">IFERROR(__xludf.DUMMYFUNCTION("""COMPUTED_VALUE"""),"Salamanca")</f>
        <v>Salamanca</v>
      </c>
      <c r="BT425" s="30"/>
      <c r="BU425" s="30" t="str">
        <f ca="1">IFERROR(__xludf.DUMMYFUNCTION("""COMPUTED_VALUE"""),"Si")</f>
        <v>Si</v>
      </c>
      <c r="BV425" s="30" t="str">
        <f ca="1">IFERROR(__xludf.DUMMYFUNCTION("""COMPUTED_VALUE"""),"Si")</f>
        <v>Si</v>
      </c>
      <c r="BW425" s="30">
        <f ca="1">IFERROR(__xludf.DUMMYFUNCTION("""COMPUTED_VALUE"""),10)</f>
        <v>10</v>
      </c>
      <c r="BX425" s="30">
        <f ca="1">IFERROR(__xludf.DUMMYFUNCTION("""COMPUTED_VALUE"""),1)</f>
        <v>1</v>
      </c>
      <c r="BY425" s="30">
        <f ca="1">IFERROR(__xludf.DUMMYFUNCTION("""COMPUTED_VALUE"""),9)</f>
        <v>9</v>
      </c>
      <c r="BZ425" s="30" t="str">
        <f ca="1">IFERROR(__xludf.DUMMYFUNCTION("""COMPUTED_VALUE"""),"Salamanca")</f>
        <v>Salamanca</v>
      </c>
      <c r="CA425" s="30" t="str">
        <f ca="1">IFERROR(__xludf.DUMMYFUNCTION("""COMPUTED_VALUE"""),"No")</f>
        <v>No</v>
      </c>
      <c r="CB425" s="30" t="str">
        <f ca="1">IFERROR(__xludf.DUMMYFUNCTION("""COMPUTED_VALUE"""),"No")</f>
        <v>No</v>
      </c>
      <c r="CC425" s="30" t="str">
        <f ca="1">IFERROR(__xludf.DUMMYFUNCTION("""COMPUTED_VALUE"""),"34cbfba4")</f>
        <v>34cbfba4</v>
      </c>
      <c r="CD425" s="29" t="str">
        <f ca="1">IFERROR(__xludf.DUMMYFUNCTION("""COMPUTED_VALUE"""),"Jóvenes (18 a 29 años)")</f>
        <v>Jóvenes (18 a 29 años)</v>
      </c>
      <c r="CE425" s="30" t="str">
        <f ca="1">IFERROR(__xludf.DUMMYFUNCTION("""COMPUTED_VALUE"""),"No se cuenta con el dato")</f>
        <v>No se cuenta con el dato</v>
      </c>
      <c r="CF425" s="30" t="str">
        <f ca="1">IFERROR(__xludf.DUMMYFUNCTION("""COMPUTED_VALUE"""),"Ninguno (Población General)")</f>
        <v>Ninguno (Población General)</v>
      </c>
      <c r="CG425" s="30">
        <f ca="1">IFERROR(__xludf.DUMMYFUNCTION("""COMPUTED_VALUE"""),19)</f>
        <v>19</v>
      </c>
      <c r="CJ425" s="29"/>
      <c r="CM425" s="30" t="str">
        <f ca="1">IFERROR(__xludf.DUMMYFUNCTION("""COMPUTED_VALUE"""),"Salamanca")</f>
        <v>Salamanca</v>
      </c>
      <c r="CN425" s="32" t="e">
        <f ca="1"/>
        <v>#NAME?</v>
      </c>
      <c r="CO425" s="32" t="e">
        <f ca="1"/>
        <v>#NAME?</v>
      </c>
      <c r="CP425" s="32" t="e">
        <f ca="1"/>
        <v>#NAME?</v>
      </c>
      <c r="CQ425" s="32" t="e">
        <f ca="1"/>
        <v>#NAME?</v>
      </c>
      <c r="CR425" s="30" t="e">
        <f ca="1"/>
        <v>#NAME?</v>
      </c>
      <c r="CS425" s="30" t="str">
        <f ca="1">IFERROR(__xludf.DUMMYFUNCTION("""COMPUTED_VALUE"""),"Ninguno (Población General), Ninguno (Población General), Ninguno (Población General)")</f>
        <v>Ninguno (Población General), Ninguno (Población General), Ninguno (Población General)</v>
      </c>
    </row>
    <row r="426" spans="1:97" ht="13">
      <c r="A426" s="29" t="str">
        <f ca="1">IFERROR(__xludf.DUMMYFUNCTION("""COMPUTED_VALUE"""),"ACT-SCSA90746")</f>
        <v>ACT-SCSA90746</v>
      </c>
      <c r="B426" s="30" t="str">
        <f ca="1">IFERROR(__xludf.DUMMYFUNCTION("""COMPUTED_VALUE"""),"SC-260918-121346")</f>
        <v>SC-260918-121346</v>
      </c>
      <c r="C426" s="62">
        <f ca="1">IFERROR(__xludf.DUMMYFUNCTION("""COMPUTED_VALUE"""),46283.5095601851)</f>
        <v>46283.509560185099</v>
      </c>
      <c r="D426" s="30">
        <f ca="1">IFERROR(__xludf.DUMMYFUNCTION("""COMPUTED_VALUE"""),71)</f>
        <v>71</v>
      </c>
      <c r="E426" s="30" t="str">
        <f ca="1">IFERROR(__xludf.DUMMYFUNCTION("""COMPUTED_VALUE"""),"PB3567")</f>
        <v>PB3567</v>
      </c>
      <c r="F426" s="30" t="str">
        <f ca="1">IFERROR(__xludf.DUMMYFUNCTION("""COMPUTED_VALUE"""),"Formación e Investigación Artística")</f>
        <v>Formación e Investigación Artística</v>
      </c>
      <c r="G426"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26" s="30" t="str">
        <f ca="1">IFERROR(__xludf.DUMMYFUNCTION("""COMPUTED_VALUE"""),"SUBSECRETARÍA DE DESARROLLO COMUNITARIO Y PROMOCIÓN PATRIMONIAL")</f>
        <v>SUBSECRETARÍA DE DESARROLLO COMUNITARIO Y PROMOCIÓN PATRIMONIAL</v>
      </c>
      <c r="I426" s="34" t="str">
        <f ca="1">IFERROR(__xludf.DUMMYFUNCTION("""COMPUTED_VALUE"""),"DIRECCIÓN GENERAL DE FORMACIÓN E INVESTIGACIÓN")</f>
        <v>DIRECCIÓN GENERAL DE FORMACIÓN E INVESTIGACIÓN</v>
      </c>
      <c r="J426" s="30" t="str">
        <f ca="1">IFERROR(__xludf.DUMMYFUNCTION("""COMPUTED_VALUE"""),"Cursos, talleres, diplomados realizados")</f>
        <v>Cursos, talleres, diplomados realizados</v>
      </c>
      <c r="K426" s="30">
        <f ca="1">IFERROR(__xludf.DUMMYFUNCTION("""COMPUTED_VALUE"""),4)</f>
        <v>4</v>
      </c>
      <c r="L426" s="30" t="str">
        <f ca="1">IFERROR(__xludf.DUMMYFUNCTION("""COMPUTED_VALUE"""),"Artística")</f>
        <v>Artística</v>
      </c>
      <c r="M426" s="30" t="str">
        <f ca="1">IFERROR(__xludf.DUMMYFUNCTION("""COMPUTED_VALUE"""),"Taller -laboratorio: Teatro abierto, nuevas narrativas, territorios expresivos y estrategias de producción")</f>
        <v>Taller -laboratorio: Teatro abierto, nuevas narrativas, territorios expresivos y estrategias de producción</v>
      </c>
      <c r="N426" s="30" t="str">
        <f ca="1">IFERROR(__xludf.DUMMYFUNCTION("""COMPUTED_VALUE"""),"Taller-laboratotio de teatro, con duración de 60 horas . El objetivo es generar un primer contacto con las formas y relaciones del teatro abierto, de esas nuevas narrativas, de estos territorios expresivos, que precisan a su vez de otras formas, espacios "&amp;"y estrategias de producción con sus nuevos espectadores, de manera de producir las coincidencias y los encuentros.")</f>
        <v>Taller-laboratotio de teatro, con duración de 60 horas . El objetivo es generar un primer contacto con las formas y relaciones del teatro abierto, de esas nuevas narrativas, de estos territorios expresivos, que precisan a su vez de otras formas, espacios y estrategias de producción con sus nuevos espectadores, de manera de producir las coincidencias y los encuentros.</v>
      </c>
      <c r="O426" s="30" t="str">
        <f ca="1">IFERROR(__xludf.DUMMYFUNCTION("""COMPUTED_VALUE"""),"Diaria")</f>
        <v>Diaria</v>
      </c>
      <c r="P426" s="33">
        <f ca="1">IFERROR(__xludf.DUMMYFUNCTION("""COMPUTED_VALUE"""),46095)</f>
        <v>46095</v>
      </c>
      <c r="Q426" s="33">
        <f ca="1">IFERROR(__xludf.DUMMYFUNCTION("""COMPUTED_VALUE"""),46192)</f>
        <v>46192</v>
      </c>
      <c r="R426" s="30">
        <f ca="1">IFERROR(__xludf.DUMMYFUNCTION("""COMPUTED_VALUE"""),97)</f>
        <v>97</v>
      </c>
      <c r="S426" s="30" t="str">
        <f ca="1">IFERROR(__xludf.DUMMYFUNCTION("""COMPUTED_VALUE"""),"Artes escénicas")</f>
        <v>Artes escénicas</v>
      </c>
      <c r="T426" s="30" t="str">
        <f ca="1">IFERROR(__xludf.DUMMYFUNCTION("""COMPUTED_VALUE"""),"Teatro")</f>
        <v>Teatro</v>
      </c>
      <c r="U426" s="30" t="str">
        <f ca="1">IFERROR(__xludf.DUMMYFUNCTION("""COMPUTED_VALUE"""),"Taller")</f>
        <v>Taller</v>
      </c>
      <c r="V426" s="30" t="str">
        <f ca="1">IFERROR(__xludf.DUMMYFUNCTION("""COMPUTED_VALUE"""),"Ninguna")</f>
        <v>Ninguna</v>
      </c>
      <c r="W426" s="30" t="str">
        <f ca="1">IFERROR(__xludf.DUMMYFUNCTION("""COMPUTED_VALUE"""),"Presencial")</f>
        <v>Presencial</v>
      </c>
      <c r="X426" s="30" t="str">
        <f ca="1">IFERROR(__xludf.DUMMYFUNCTION("""COMPUTED_VALUE"""),"Espacio préstamo a la Secretaría de Cultura")</f>
        <v>Espacio préstamo a la Secretaría de Cultura</v>
      </c>
      <c r="Y426" s="30"/>
      <c r="Z426" s="30"/>
      <c r="AA426" s="30"/>
      <c r="AB426" s="30" t="b">
        <f ca="1">IFERROR(__xludf.DUMMYFUNCTION("""COMPUTED_VALUE"""),FALSE)</f>
        <v>0</v>
      </c>
      <c r="AC426" s="30"/>
      <c r="AD426" s="30" t="b">
        <f ca="1">IFERROR(__xludf.DUMMYFUNCTION("""COMPUTED_VALUE"""),TRUE)</f>
        <v>1</v>
      </c>
      <c r="AE426" s="30">
        <f ca="1">IFERROR(__xludf.DUMMYFUNCTION("""COMPUTED_VALUE"""),1)</f>
        <v>1</v>
      </c>
      <c r="AF426" s="30" t="b">
        <f ca="1">IFERROR(__xludf.DUMMYFUNCTION("""COMPUTED_VALUE"""),FALSE)</f>
        <v>0</v>
      </c>
      <c r="AG426" s="30"/>
      <c r="AH426" s="30" t="str">
        <f ca="1">IFERROR(__xludf.DUMMYFUNCTION("""COMPUTED_VALUE"""),"Sin costo")</f>
        <v>Sin costo</v>
      </c>
      <c r="AI426" s="30"/>
      <c r="AJ426" s="30"/>
      <c r="AK426" s="30"/>
      <c r="AL426" s="30" t="str">
        <f ca="1">IFERROR(__xludf.DUMMYFUNCTION("""COMPUTED_VALUE"""),"claudia.ramirezm@guanajuato.gob.mx")</f>
        <v>claudia.ramirezm@guanajuato.gob.mx</v>
      </c>
      <c r="AM426" s="30" t="str">
        <f ca="1">IFERROR(__xludf.DUMMYFUNCTION("""COMPUTED_VALUE"""),"Actividades artísticas y culturales en zonas de alta marginación.")</f>
        <v>Actividades artísticas y culturales en zonas de alta marginación.</v>
      </c>
      <c r="AN426" s="30" t="str">
        <f ca="1">IFERROR(__xludf.DUMMYFUNCTION("""COMPUTED_VALUE"""),"2 Igualdad")</f>
        <v>2 Igualdad</v>
      </c>
      <c r="AO426" s="30" t="str">
        <f ca="1">IFERROR(__xludf.DUMMYFUNCTION("""COMPUTED_VALUE"""),"2.2 Fortalecer cohesión social")</f>
        <v>2.2 Fortalecer cohesión social</v>
      </c>
      <c r="AP426" s="30" t="str">
        <f ca="1">IFERROR(__xludf.DUMMYFUNCTION("""COMPUTED_VALUE"""),"2.2 Fortalecer cohesión social")</f>
        <v>2.2 Fortalecer cohesión social</v>
      </c>
      <c r="AQ426" s="30" t="str">
        <f ca="1">IFERROR(__xludf.DUMMYFUNCTION("""COMPUTED_VALUE"""),"2.2.3.2 Promover la participación de grupos prioritarios en actividades culturales")</f>
        <v>2.2.3.2 Promover la participación de grupos prioritarios en actividades culturales</v>
      </c>
      <c r="AR426" s="30" t="str">
        <f ca="1">IFERROR(__xludf.DUMMYFUNCTION("""COMPUTED_VALUE"""),"Inclusión")</f>
        <v>Inclusión</v>
      </c>
      <c r="AS426" s="30" t="str">
        <f ca="1">IFERROR(__xludf.DUMMYFUNCTION("""COMPUTED_VALUE"""),"Ninguno (Población General)")</f>
        <v>Ninguno (Población General)</v>
      </c>
      <c r="AT426" s="30" t="str">
        <f ca="1">IFERROR(__xludf.DUMMYFUNCTION("""COMPUTED_VALUE"""),"Impulso a la educación artística y a la profesionalización del sector cultural")</f>
        <v>Impulso a la educación artística y a la profesionalización del sector cultural</v>
      </c>
      <c r="AU426" s="30" t="str">
        <f ca="1">IFERROR(__xludf.DUMMYFUNCTION("""COMPUTED_VALUE"""),"Impulso a programas de formación y profesionalización para agentes culturales.")</f>
        <v>Impulso a programas de formación y profesionalización para agentes culturales.</v>
      </c>
      <c r="AV426"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26" s="30" t="str">
        <f ca="1">IFERROR(__xludf.DUMMYFUNCTION("""COMPUTED_VALUE"""),"Incrementar un 30% la oferta de formación y profesionalización para agentes culturales.")</f>
        <v>Incrementar un 30% la oferta de formación y profesionalización para agentes culturales.</v>
      </c>
      <c r="AX426" s="30" t="str">
        <f ca="1">IFERROR(__xludf.DUMMYFUNCTION("""COMPUTED_VALUE"""),"Taller")</f>
        <v>Taller</v>
      </c>
      <c r="AY426" s="30" t="str">
        <f ca="1">IFERROR(__xludf.DUMMYFUNCTION("""COMPUTED_VALUE"""),"Formación")</f>
        <v>Formación</v>
      </c>
      <c r="AZ426" s="30" t="str">
        <f ca="1">IFERROR(__xludf.DUMMYFUNCTION("""COMPUTED_VALUE"""),"Formación")</f>
        <v>Formación</v>
      </c>
      <c r="BA426" s="30" t="str">
        <f ca="1">IFERROR(__xludf.DUMMYFUNCTION("""COMPUTED_VALUE"""),"Taller-laboratorio teórico-práctico enfocado en el desarrollo de lenguajes escénicos contemporáneos, nuevas narrativas y herramientas de producción teatral.")</f>
        <v>Taller-laboratorio teórico-práctico enfocado en el desarrollo de lenguajes escénicos contemporáneos, nuevas narrativas y herramientas de producción teatral.</v>
      </c>
      <c r="BB426" s="30">
        <f ca="1">IFERROR(__xludf.DUMMYFUNCTION("""COMPUTED_VALUE"""),5)</f>
        <v>5</v>
      </c>
      <c r="BC426" s="30">
        <f ca="1">IFERROR(__xludf.DUMMYFUNCTION("""COMPUTED_VALUE"""),2)</f>
        <v>2</v>
      </c>
      <c r="BD426" s="30" t="str">
        <f ca="1">IFERROR(__xludf.DUMMYFUNCTION("""COMPUTED_VALUE"""),"Apoyado con anterioridad")</f>
        <v>Apoyado con anterioridad</v>
      </c>
      <c r="BE426" s="30" t="str">
        <f ca="1">IFERROR(__xludf.DUMMYFUNCTION("""COMPUTED_VALUE"""),"Humberto García Lázaro, Armando Rivero")</f>
        <v>Humberto García Lázaro, Armando Rivero</v>
      </c>
      <c r="BF426" s="30" t="b">
        <f ca="1">IFERROR(__xludf.DUMMYFUNCTION("""COMPUTED_VALUE"""),TRUE)</f>
        <v>1</v>
      </c>
      <c r="BG426" s="30" t="str">
        <f ca="1">IFERROR(__xludf.DUMMYFUNCTION("""COMPUTED_VALUE"""),"Económico")</f>
        <v>Económico</v>
      </c>
      <c r="BH426" s="30">
        <f ca="1">IFERROR(__xludf.DUMMYFUNCTION("""COMPUTED_VALUE"""),58500)</f>
        <v>58500</v>
      </c>
      <c r="BI426" s="30"/>
      <c r="BJ426" s="30"/>
      <c r="BK426" s="30"/>
      <c r="BL426" s="30"/>
      <c r="BM426" s="30" t="str">
        <f ca="1">IFERROR(__xludf.DUMMYFUNCTION("""COMPUTED_VALUE"""),"No")</f>
        <v>No</v>
      </c>
      <c r="BN426" s="30"/>
      <c r="BO426" s="30" t="str">
        <f ca="1">IFERROR(__xludf.DUMMYFUNCTION("""COMPUTED_VALUE"""),"5f1b44ac")</f>
        <v>5f1b44ac</v>
      </c>
      <c r="BP426" s="29" t="str">
        <f ca="1">IFERROR(__xludf.DUMMYFUNCTION("""COMPUTED_VALUE"""),"Salamanca")</f>
        <v>Salamanca</v>
      </c>
      <c r="BQ426" s="30" t="str">
        <f ca="1">IFERROR(__xludf.DUMMYFUNCTION("""COMPUTED_VALUE"""),"Urbano")</f>
        <v>Urbano</v>
      </c>
      <c r="BR426" s="30">
        <f ca="1">IFERROR(__xludf.DUMMYFUNCTION("""COMPUTED_VALUE"""),181)</f>
        <v>181</v>
      </c>
      <c r="BS426" s="30" t="str">
        <f ca="1">IFERROR(__xludf.DUMMYFUNCTION("""COMPUTED_VALUE"""),"Salamanca")</f>
        <v>Salamanca</v>
      </c>
      <c r="BT426" s="30"/>
      <c r="BU426" s="30" t="str">
        <f ca="1">IFERROR(__xludf.DUMMYFUNCTION("""COMPUTED_VALUE"""),"Si")</f>
        <v>Si</v>
      </c>
      <c r="BV426" s="30" t="str">
        <f ca="1">IFERROR(__xludf.DUMMYFUNCTION("""COMPUTED_VALUE"""),"Si")</f>
        <v>Si</v>
      </c>
      <c r="BW426" s="30">
        <f ca="1">IFERROR(__xludf.DUMMYFUNCTION("""COMPUTED_VALUE"""),17)</f>
        <v>17</v>
      </c>
      <c r="BX426" s="30">
        <f ca="1">IFERROR(__xludf.DUMMYFUNCTION("""COMPUTED_VALUE"""),3)</f>
        <v>3</v>
      </c>
      <c r="BY426" s="30">
        <f ca="1">IFERROR(__xludf.DUMMYFUNCTION("""COMPUTED_VALUE"""),14)</f>
        <v>14</v>
      </c>
      <c r="BZ426" s="30" t="str">
        <f ca="1">IFERROR(__xludf.DUMMYFUNCTION("""COMPUTED_VALUE"""),"Salamanca")</f>
        <v>Salamanca</v>
      </c>
      <c r="CA426" s="30" t="str">
        <f ca="1">IFERROR(__xludf.DUMMYFUNCTION("""COMPUTED_VALUE"""),"No")</f>
        <v>No</v>
      </c>
      <c r="CB426" s="30" t="str">
        <f ca="1">IFERROR(__xludf.DUMMYFUNCTION("""COMPUTED_VALUE"""),"No")</f>
        <v>No</v>
      </c>
      <c r="CC426" s="30" t="str">
        <f ca="1">IFERROR(__xludf.DUMMYFUNCTION("""COMPUTED_VALUE"""),"51fd6e11")</f>
        <v>51fd6e11</v>
      </c>
      <c r="CD426" s="29" t="str">
        <f ca="1">IFERROR(__xludf.DUMMYFUNCTION("""COMPUTED_VALUE"""),"Adultos (30 a 59 años)")</f>
        <v>Adultos (30 a 59 años)</v>
      </c>
      <c r="CE426" s="30" t="str">
        <f ca="1">IFERROR(__xludf.DUMMYFUNCTION("""COMPUTED_VALUE"""),"No se cuenta con el dato")</f>
        <v>No se cuenta con el dato</v>
      </c>
      <c r="CF426" s="30" t="str">
        <f ca="1">IFERROR(__xludf.DUMMYFUNCTION("""COMPUTED_VALUE"""),"Ninguno (Población General)")</f>
        <v>Ninguno (Población General)</v>
      </c>
      <c r="CG426" s="30">
        <f ca="1">IFERROR(__xludf.DUMMYFUNCTION("""COMPUTED_VALUE"""),3)</f>
        <v>3</v>
      </c>
      <c r="CJ426" s="29"/>
      <c r="CM426" s="30" t="str">
        <f ca="1">IFERROR(__xludf.DUMMYFUNCTION("""COMPUTED_VALUE"""),"Salamanca")</f>
        <v>Salamanca</v>
      </c>
      <c r="CN426" s="32" t="e">
        <f ca="1"/>
        <v>#NAME?</v>
      </c>
      <c r="CO426" s="32" t="e">
        <f ca="1"/>
        <v>#NAME?</v>
      </c>
      <c r="CP426" s="32" t="e">
        <f ca="1"/>
        <v>#NAME?</v>
      </c>
      <c r="CQ426" s="32" t="e">
        <f ca="1"/>
        <v>#NAME?</v>
      </c>
      <c r="CR426" s="30" t="e">
        <f ca="1"/>
        <v>#NAME?</v>
      </c>
      <c r="CS426" s="30" t="str">
        <f ca="1">IFERROR(__xludf.DUMMYFUNCTION("""COMPUTED_VALUE"""),"Ninguno (Población General)")</f>
        <v>Ninguno (Población General)</v>
      </c>
    </row>
    <row r="427" spans="1:97" ht="13">
      <c r="A427" s="29" t="str">
        <f ca="1">IFERROR(__xludf.DUMMYFUNCTION("""COMPUTED_VALUE"""),"ACT-SCJW46062")</f>
        <v>ACT-SCJW46062</v>
      </c>
      <c r="B427" s="30" t="str">
        <f ca="1">IFERROR(__xludf.DUMMYFUNCTION("""COMPUTED_VALUE"""),"SC-260918-130913")</f>
        <v>SC-260918-130913</v>
      </c>
      <c r="C427" s="62">
        <f ca="1">IFERROR(__xludf.DUMMYFUNCTION("""COMPUTED_VALUE"""),46283.5480671296)</f>
        <v>46283.548067129603</v>
      </c>
      <c r="D427" s="30">
        <f ca="1">IFERROR(__xludf.DUMMYFUNCTION("""COMPUTED_VALUE"""),29)</f>
        <v>29</v>
      </c>
      <c r="E427" s="30" t="str">
        <f ca="1">IFERROR(__xludf.DUMMYFUNCTION("""COMPUTED_VALUE"""),"QC4049")</f>
        <v>QC4049</v>
      </c>
      <c r="F427" s="30" t="str">
        <f ca="1">IFERROR(__xludf.DUMMYFUNCTION("""COMPUTED_VALUE"""),"Centro de las Artes de Guanajuato, Claustro Mayor")</f>
        <v>Centro de las Artes de Guanajuato, Claustro Mayor</v>
      </c>
      <c r="G427"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27" s="30" t="str">
        <f ca="1">IFERROR(__xludf.DUMMYFUNCTION("""COMPUTED_VALUE"""),"SUBSECRETARÍA DE DESARROLLO COMUNITARIO Y PROMOCIÓN PATRIMONIAL")</f>
        <v>SUBSECRETARÍA DE DESARROLLO COMUNITARIO Y PROMOCIÓN PATRIMONIAL</v>
      </c>
      <c r="I427" s="34" t="str">
        <f ca="1">IFERROR(__xludf.DUMMYFUNCTION("""COMPUTED_VALUE"""),"DIRECCIÓN GENERAL DE FORMACIÓN E INVESTIGACIÓN")</f>
        <v>DIRECCIÓN GENERAL DE FORMACIÓN E INVESTIGACIÓN</v>
      </c>
      <c r="J427" s="30" t="str">
        <f ca="1">IFERROR(__xludf.DUMMYFUNCTION("""COMPUTED_VALUE"""),"Actividades realizadas")</f>
        <v>Actividades realizadas</v>
      </c>
      <c r="K427" s="30">
        <f ca="1">IFERROR(__xludf.DUMMYFUNCTION("""COMPUTED_VALUE"""),16)</f>
        <v>16</v>
      </c>
      <c r="L427" s="30" t="str">
        <f ca="1">IFERROR(__xludf.DUMMYFUNCTION("""COMPUTED_VALUE"""),"Artística")</f>
        <v>Artística</v>
      </c>
      <c r="M427" s="30" t="str">
        <f ca="1">IFERROR(__xludf.DUMMYFUNCTION("""COMPUTED_VALUE"""),"Taller avanzado de grabado en metal FIC.")</f>
        <v>Taller avanzado de grabado en metal FIC.</v>
      </c>
      <c r="N427" s="30" t="str">
        <f ca="1">IFERROR(__xludf.DUMMYFUNCTION("""COMPUTED_VALUE"""),"Taller de grabado en metal dirigido a personas creadoras con trayectoria.Los resultados de este taller se presentarán como parte del programa de artes visuales del Festival Internacional Cervantino en su edición 54, en alineación a Francia como país invit"&amp;"ado de honor, en una muestra tributo a Alice Rahon, artista franco-mexicana exponente del surrealismo.")</f>
        <v>Taller de grabado en metal dirigido a personas creadoras con trayectoria.Los resultados de este taller se presentarán como parte del programa de artes visuales del Festival Internacional Cervantino en su edición 54, en alineación a Francia como país invitado de honor, en una muestra tributo a Alice Rahon, artista franco-mexicana exponente del surrealismo.</v>
      </c>
      <c r="O427" s="30" t="str">
        <f ca="1">IFERROR(__xludf.DUMMYFUNCTION("""COMPUTED_VALUE"""),"Diaria")</f>
        <v>Diaria</v>
      </c>
      <c r="P427" s="33">
        <f ca="1">IFERROR(__xludf.DUMMYFUNCTION("""COMPUTED_VALUE"""),46088)</f>
        <v>46088</v>
      </c>
      <c r="Q427" s="33">
        <f ca="1">IFERROR(__xludf.DUMMYFUNCTION("""COMPUTED_VALUE"""),46120)</f>
        <v>46120</v>
      </c>
      <c r="R427" s="30">
        <f ca="1">IFERROR(__xludf.DUMMYFUNCTION("""COMPUTED_VALUE"""),33)</f>
        <v>33</v>
      </c>
      <c r="S427" s="30" t="str">
        <f ca="1">IFERROR(__xludf.DUMMYFUNCTION("""COMPUTED_VALUE"""),"Artes visuales")</f>
        <v>Artes visuales</v>
      </c>
      <c r="T427" s="30" t="str">
        <f ca="1">IFERROR(__xludf.DUMMYFUNCTION("""COMPUTED_VALUE"""),"Grabado")</f>
        <v>Grabado</v>
      </c>
      <c r="U427" s="30" t="str">
        <f ca="1">IFERROR(__xludf.DUMMYFUNCTION("""COMPUTED_VALUE"""),"Taller")</f>
        <v>Taller</v>
      </c>
      <c r="V427" s="30" t="str">
        <f ca="1">IFERROR(__xludf.DUMMYFUNCTION("""COMPUTED_VALUE"""),"Ninguna")</f>
        <v>Ninguna</v>
      </c>
      <c r="W427" s="30" t="str">
        <f ca="1">IFERROR(__xludf.DUMMYFUNCTION("""COMPUTED_VALUE"""),"Presencial")</f>
        <v>Presencial</v>
      </c>
      <c r="X427" s="30" t="str">
        <f ca="1">IFERROR(__xludf.DUMMYFUNCTION("""COMPUTED_VALUE"""),"Espacio préstamo a la Secretaría de Cultura")</f>
        <v>Espacio préstamo a la Secretaría de Cultura</v>
      </c>
      <c r="Y427" s="30"/>
      <c r="Z427" s="30"/>
      <c r="AA427" s="30"/>
      <c r="AB427" s="30" t="b">
        <f ca="1">IFERROR(__xludf.DUMMYFUNCTION("""COMPUTED_VALUE"""),FALSE)</f>
        <v>0</v>
      </c>
      <c r="AC427" s="30"/>
      <c r="AD427" s="30" t="b">
        <f ca="1">IFERROR(__xludf.DUMMYFUNCTION("""COMPUTED_VALUE"""),TRUE)</f>
        <v>1</v>
      </c>
      <c r="AE427" s="30">
        <f ca="1">IFERROR(__xludf.DUMMYFUNCTION("""COMPUTED_VALUE"""),1)</f>
        <v>1</v>
      </c>
      <c r="AF427" s="30" t="b">
        <f ca="1">IFERROR(__xludf.DUMMYFUNCTION("""COMPUTED_VALUE"""),FALSE)</f>
        <v>0</v>
      </c>
      <c r="AG427" s="30"/>
      <c r="AH427" s="30" t="str">
        <f ca="1">IFERROR(__xludf.DUMMYFUNCTION("""COMPUTED_VALUE"""),"Sin costo")</f>
        <v>Sin costo</v>
      </c>
      <c r="AI427" s="30"/>
      <c r="AJ427" s="30"/>
      <c r="AK427" s="30"/>
      <c r="AL427" s="30" t="str">
        <f ca="1">IFERROR(__xludf.DUMMYFUNCTION("""COMPUTED_VALUE"""),"claudia.ramirezm@guanajuato.gob.mx")</f>
        <v>claudia.ramirezm@guanajuato.gob.mx</v>
      </c>
      <c r="AM427" s="30" t="str">
        <f ca="1">IFERROR(__xludf.DUMMYFUNCTION("""COMPUTED_VALUE"""),"Mayor inversión en conservación del patrimonio artístico y cultural.")</f>
        <v>Mayor inversión en conservación del patrimonio artístico y cultural.</v>
      </c>
      <c r="AN427" s="30" t="str">
        <f ca="1">IFERROR(__xludf.DUMMYFUNCTION("""COMPUTED_VALUE"""),"2 Igualdad")</f>
        <v>2 Igualdad</v>
      </c>
      <c r="AO427" s="30" t="str">
        <f ca="1">IFERROR(__xludf.DUMMYFUNCTION("""COMPUTED_VALUE"""),"2.2 Fortalecer cohesión social")</f>
        <v>2.2 Fortalecer cohesión social</v>
      </c>
      <c r="AP427" s="30" t="str">
        <f ca="1">IFERROR(__xludf.DUMMYFUNCTION("""COMPUTED_VALUE"""),"2.2 Fortalecer cohesión social")</f>
        <v>2.2 Fortalecer cohesión social</v>
      </c>
      <c r="AQ427" s="30" t="str">
        <f ca="1">IFERROR(__xludf.DUMMYFUNCTION("""COMPUTED_VALUE"""),"2.2.3.2 Promover la participación de grupos prioritarios en actividades culturales")</f>
        <v>2.2.3.2 Promover la participación de grupos prioritarios en actividades culturales</v>
      </c>
      <c r="AR427" s="30" t="str">
        <f ca="1">IFERROR(__xludf.DUMMYFUNCTION("""COMPUTED_VALUE"""),"Inclusión")</f>
        <v>Inclusión</v>
      </c>
      <c r="AS427" s="30" t="str">
        <f ca="1">IFERROR(__xludf.DUMMYFUNCTION("""COMPUTED_VALUE"""),"Ninguno (Población General)")</f>
        <v>Ninguno (Población General)</v>
      </c>
      <c r="AT427" s="30" t="str">
        <f ca="1">IFERROR(__xludf.DUMMYFUNCTION("""COMPUTED_VALUE"""),"Impulso a la educación artística y a la profesionalización del sector cultural")</f>
        <v>Impulso a la educación artística y a la profesionalización del sector cultural</v>
      </c>
      <c r="AU427" s="30" t="str">
        <f ca="1">IFERROR(__xludf.DUMMYFUNCTION("""COMPUTED_VALUE"""),"Impulso a programas de formación y profesionalización para agentes culturales.")</f>
        <v>Impulso a programas de formación y profesionalización para agentes culturales.</v>
      </c>
      <c r="AV427"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27" s="30" t="str">
        <f ca="1">IFERROR(__xludf.DUMMYFUNCTION("""COMPUTED_VALUE"""),"Incrementar un 30% la oferta de formación y profesionalización para agentes culturales.")</f>
        <v>Incrementar un 30% la oferta de formación y profesionalización para agentes culturales.</v>
      </c>
      <c r="AX427" s="30" t="str">
        <f ca="1">IFERROR(__xludf.DUMMYFUNCTION("""COMPUTED_VALUE"""),"Taller")</f>
        <v>Taller</v>
      </c>
      <c r="AY427" s="30" t="str">
        <f ca="1">IFERROR(__xludf.DUMMYFUNCTION("""COMPUTED_VALUE"""),"Formación")</f>
        <v>Formación</v>
      </c>
      <c r="AZ427" s="30" t="str">
        <f ca="1">IFERROR(__xludf.DUMMYFUNCTION("""COMPUTED_VALUE"""),"Formación")</f>
        <v>Formación</v>
      </c>
      <c r="BA427" s="30" t="str">
        <f ca="1">IFERROR(__xludf.DUMMYFUNCTION("""COMPUTED_VALUE"""),"Espacio formativo y de producción práctica centrado en el desarrollo de técnicas avanzadas de grabado.")</f>
        <v>Espacio formativo y de producción práctica centrado en el desarrollo de técnicas avanzadas de grabado.</v>
      </c>
      <c r="BB427" s="30">
        <f ca="1">IFERROR(__xludf.DUMMYFUNCTION("""COMPUTED_VALUE"""),6)</f>
        <v>6</v>
      </c>
      <c r="BC427" s="30">
        <f ca="1">IFERROR(__xludf.DUMMYFUNCTION("""COMPUTED_VALUE"""),1)</f>
        <v>1</v>
      </c>
      <c r="BD427" s="30" t="str">
        <f ca="1">IFERROR(__xludf.DUMMYFUNCTION("""COMPUTED_VALUE"""),"Nuevo")</f>
        <v>Nuevo</v>
      </c>
      <c r="BE427" s="30" t="str">
        <f ca="1">IFERROR(__xludf.DUMMYFUNCTION("""COMPUTED_VALUE"""),"Gilberto Guerrero Sánchez")</f>
        <v>Gilberto Guerrero Sánchez</v>
      </c>
      <c r="BF427" s="30" t="b">
        <f ca="1">IFERROR(__xludf.DUMMYFUNCTION("""COMPUTED_VALUE"""),TRUE)</f>
        <v>1</v>
      </c>
      <c r="BG427" s="30" t="str">
        <f ca="1">IFERROR(__xludf.DUMMYFUNCTION("""COMPUTED_VALUE"""),"Económico")</f>
        <v>Económico</v>
      </c>
      <c r="BH427" s="30">
        <f ca="1">IFERROR(__xludf.DUMMYFUNCTION("""COMPUTED_VALUE"""),78026)</f>
        <v>78026</v>
      </c>
      <c r="BI427" s="30"/>
      <c r="BJ427" s="30"/>
      <c r="BK427" s="30"/>
      <c r="BL427" s="30"/>
      <c r="BM427" s="30" t="str">
        <f ca="1">IFERROR(__xludf.DUMMYFUNCTION("""COMPUTED_VALUE"""),"No")</f>
        <v>No</v>
      </c>
      <c r="BN427" s="30"/>
      <c r="BO427" s="30" t="str">
        <f ca="1">IFERROR(__xludf.DUMMYFUNCTION("""COMPUTED_VALUE"""),"46e0a60a")</f>
        <v>46e0a60a</v>
      </c>
      <c r="BP427" s="29" t="str">
        <f ca="1">IFERROR(__xludf.DUMMYFUNCTION("""COMPUTED_VALUE"""),"Salamanca")</f>
        <v>Salamanca</v>
      </c>
      <c r="BQ427" s="30" t="str">
        <f ca="1">IFERROR(__xludf.DUMMYFUNCTION("""COMPUTED_VALUE"""),"Urbano")</f>
        <v>Urbano</v>
      </c>
      <c r="BR427" s="30">
        <f ca="1">IFERROR(__xludf.DUMMYFUNCTION("""COMPUTED_VALUE"""),181)</f>
        <v>181</v>
      </c>
      <c r="BS427" s="30" t="str">
        <f ca="1">IFERROR(__xludf.DUMMYFUNCTION("""COMPUTED_VALUE"""),"Salamanca")</f>
        <v>Salamanca</v>
      </c>
      <c r="BT427" s="30"/>
      <c r="BU427" s="30" t="str">
        <f ca="1">IFERROR(__xludf.DUMMYFUNCTION("""COMPUTED_VALUE"""),"Si")</f>
        <v>Si</v>
      </c>
      <c r="BV427" s="30" t="str">
        <f ca="1">IFERROR(__xludf.DUMMYFUNCTION("""COMPUTED_VALUE"""),"Si")</f>
        <v>Si</v>
      </c>
      <c r="BW427" s="30">
        <f ca="1">IFERROR(__xludf.DUMMYFUNCTION("""COMPUTED_VALUE"""),10)</f>
        <v>10</v>
      </c>
      <c r="BX427" s="30">
        <f ca="1">IFERROR(__xludf.DUMMYFUNCTION("""COMPUTED_VALUE"""),1)</f>
        <v>1</v>
      </c>
      <c r="BY427" s="30">
        <f ca="1">IFERROR(__xludf.DUMMYFUNCTION("""COMPUTED_VALUE"""),9)</f>
        <v>9</v>
      </c>
      <c r="BZ427" s="30" t="str">
        <f ca="1">IFERROR(__xludf.DUMMYFUNCTION("""COMPUTED_VALUE"""),"Salamanca")</f>
        <v>Salamanca</v>
      </c>
      <c r="CA427" s="30" t="str">
        <f ca="1">IFERROR(__xludf.DUMMYFUNCTION("""COMPUTED_VALUE"""),"No")</f>
        <v>No</v>
      </c>
      <c r="CB427" s="30" t="str">
        <f ca="1">IFERROR(__xludf.DUMMYFUNCTION("""COMPUTED_VALUE"""),"No")</f>
        <v>No</v>
      </c>
      <c r="CC427" s="30" t="str">
        <f ca="1">IFERROR(__xludf.DUMMYFUNCTION("""COMPUTED_VALUE"""),"45f8e453")</f>
        <v>45f8e453</v>
      </c>
      <c r="CD427" s="29" t="str">
        <f ca="1">IFERROR(__xludf.DUMMYFUNCTION("""COMPUTED_VALUE"""),"Jóvenes (18 a 29 años)")</f>
        <v>Jóvenes (18 a 29 años)</v>
      </c>
      <c r="CE427" s="30" t="str">
        <f ca="1">IFERROR(__xludf.DUMMYFUNCTION("""COMPUTED_VALUE"""),"No se cuenta con el dato")</f>
        <v>No se cuenta con el dato</v>
      </c>
      <c r="CF427" s="30" t="str">
        <f ca="1">IFERROR(__xludf.DUMMYFUNCTION("""COMPUTED_VALUE"""),"Ninguno (Población General)")</f>
        <v>Ninguno (Población General)</v>
      </c>
      <c r="CG427" s="30">
        <f ca="1">IFERROR(__xludf.DUMMYFUNCTION("""COMPUTED_VALUE"""),4)</f>
        <v>4</v>
      </c>
      <c r="CJ427" s="29"/>
      <c r="CM427" s="30" t="str">
        <f ca="1">IFERROR(__xludf.DUMMYFUNCTION("""COMPUTED_VALUE"""),"Salamanca")</f>
        <v>Salamanca</v>
      </c>
      <c r="CN427" s="32" t="e">
        <f ca="1"/>
        <v>#NAME?</v>
      </c>
      <c r="CO427" s="32" t="e">
        <f ca="1"/>
        <v>#NAME?</v>
      </c>
      <c r="CP427" s="32" t="e">
        <f ca="1"/>
        <v>#NAME?</v>
      </c>
      <c r="CQ427" s="32" t="e">
        <f ca="1"/>
        <v>#NAME?</v>
      </c>
      <c r="CR427" s="30" t="e">
        <f ca="1"/>
        <v>#NAME?</v>
      </c>
      <c r="CS427"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28" spans="1:97" ht="13">
      <c r="A428" s="29" t="str">
        <f ca="1">IFERROR(__xludf.DUMMYFUNCTION("""COMPUTED_VALUE"""),"ACT-SCBC66974")</f>
        <v>ACT-SCBC66974</v>
      </c>
      <c r="B428" s="30" t="str">
        <f ca="1">IFERROR(__xludf.DUMMYFUNCTION("""COMPUTED_VALUE"""),"SC-260918-131816")</f>
        <v>SC-260918-131816</v>
      </c>
      <c r="C428" s="62">
        <f ca="1">IFERROR(__xludf.DUMMYFUNCTION("""COMPUTED_VALUE"""),46283.5543518518)</f>
        <v>46283.554351851802</v>
      </c>
      <c r="D428" s="30">
        <f ca="1">IFERROR(__xludf.DUMMYFUNCTION("""COMPUTED_VALUE"""),71)</f>
        <v>71</v>
      </c>
      <c r="E428" s="30" t="str">
        <f ca="1">IFERROR(__xludf.DUMMYFUNCTION("""COMPUTED_VALUE"""),"PB3567")</f>
        <v>PB3567</v>
      </c>
      <c r="F428" s="30" t="str">
        <f ca="1">IFERROR(__xludf.DUMMYFUNCTION("""COMPUTED_VALUE"""),"Formación e Investigación Artística")</f>
        <v>Formación e Investigación Artística</v>
      </c>
      <c r="G428"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28" s="30" t="str">
        <f ca="1">IFERROR(__xludf.DUMMYFUNCTION("""COMPUTED_VALUE"""),"SUBSECRETARÍA DE DESARROLLO COMUNITARIO Y PROMOCIÓN PATRIMONIAL")</f>
        <v>SUBSECRETARÍA DE DESARROLLO COMUNITARIO Y PROMOCIÓN PATRIMONIAL</v>
      </c>
      <c r="I428" s="34" t="str">
        <f ca="1">IFERROR(__xludf.DUMMYFUNCTION("""COMPUTED_VALUE"""),"DIRECCIÓN GENERAL DE FORMACIÓN E INVESTIGACIÓN")</f>
        <v>DIRECCIÓN GENERAL DE FORMACIÓN E INVESTIGACIÓN</v>
      </c>
      <c r="J428" s="30" t="str">
        <f ca="1">IFERROR(__xludf.DUMMYFUNCTION("""COMPUTED_VALUE"""),"Cursos, talleres, diplomados realizados")</f>
        <v>Cursos, talleres, diplomados realizados</v>
      </c>
      <c r="K428" s="30">
        <f ca="1">IFERROR(__xludf.DUMMYFUNCTION("""COMPUTED_VALUE"""),4)</f>
        <v>4</v>
      </c>
      <c r="L428" s="30" t="str">
        <f ca="1">IFERROR(__xludf.DUMMYFUNCTION("""COMPUTED_VALUE"""),"Cultural")</f>
        <v>Cultural</v>
      </c>
      <c r="M428" s="30" t="str">
        <f ca="1">IFERROR(__xludf.DUMMYFUNCTION("""COMPUTED_VALUE"""),"Cartografía de Archivos Vivos")</f>
        <v>Cartografía de Archivos Vivos</v>
      </c>
      <c r="N428" s="30" t="str">
        <f ca="1">IFERROR(__xludf.DUMMYFUNCTION("""COMPUTED_VALUE"""),"El taller de Cartografías de Archivos Vivos será un espacio participativo orientado a la construcción colectiva de conocimiento, memoria y territorio, donde se fusiona el mapeo social con la recuperación de narrativas orales y documentales (archivos).")</f>
        <v>El taller de Cartografías de Archivos Vivos será un espacio participativo orientado a la construcción colectiva de conocimiento, memoria y territorio, donde se fusiona el mapeo social con la recuperación de narrativas orales y documentales (archivos).</v>
      </c>
      <c r="O428" s="30" t="str">
        <f ca="1">IFERROR(__xludf.DUMMYFUNCTION("""COMPUTED_VALUE"""),"Única")</f>
        <v>Única</v>
      </c>
      <c r="P428" s="33">
        <f ca="1">IFERROR(__xludf.DUMMYFUNCTION("""COMPUTED_VALUE"""),46109)</f>
        <v>46109</v>
      </c>
      <c r="Q428" s="33">
        <f ca="1">IFERROR(__xludf.DUMMYFUNCTION("""COMPUTED_VALUE"""),46109)</f>
        <v>46109</v>
      </c>
      <c r="R428" s="30">
        <f ca="1">IFERROR(__xludf.DUMMYFUNCTION("""COMPUTED_VALUE"""),1)</f>
        <v>1</v>
      </c>
      <c r="S428" s="30" t="str">
        <f ca="1">IFERROR(__xludf.DUMMYFUNCTION("""COMPUTED_VALUE"""),"Artes escénicas")</f>
        <v>Artes escénicas</v>
      </c>
      <c r="T428" s="30" t="str">
        <f ca="1">IFERROR(__xludf.DUMMYFUNCTION("""COMPUTED_VALUE"""),"Teatro")</f>
        <v>Teatro</v>
      </c>
      <c r="U428" s="30" t="str">
        <f ca="1">IFERROR(__xludf.DUMMYFUNCTION("""COMPUTED_VALUE"""),"Taller")</f>
        <v>Taller</v>
      </c>
      <c r="V428" s="30" t="str">
        <f ca="1">IFERROR(__xludf.DUMMYFUNCTION("""COMPUTED_VALUE"""),"Ninguna")</f>
        <v>Ninguna</v>
      </c>
      <c r="W428" s="30" t="str">
        <f ca="1">IFERROR(__xludf.DUMMYFUNCTION("""COMPUTED_VALUE"""),"Presencial")</f>
        <v>Presencial</v>
      </c>
      <c r="X428" s="30" t="str">
        <f ca="1">IFERROR(__xludf.DUMMYFUNCTION("""COMPUTED_VALUE"""),"Espacio préstamo a la Secretaría de Cultura")</f>
        <v>Espacio préstamo a la Secretaría de Cultura</v>
      </c>
      <c r="Y428" s="30"/>
      <c r="Z428" s="30"/>
      <c r="AA428" s="30"/>
      <c r="AB428" s="30" t="b">
        <f ca="1">IFERROR(__xludf.DUMMYFUNCTION("""COMPUTED_VALUE"""),FALSE)</f>
        <v>0</v>
      </c>
      <c r="AC428" s="30"/>
      <c r="AD428" s="30" t="b">
        <f ca="1">IFERROR(__xludf.DUMMYFUNCTION("""COMPUTED_VALUE"""),TRUE)</f>
        <v>1</v>
      </c>
      <c r="AE428" s="30">
        <f ca="1">IFERROR(__xludf.DUMMYFUNCTION("""COMPUTED_VALUE"""),1)</f>
        <v>1</v>
      </c>
      <c r="AF428" s="30" t="b">
        <f ca="1">IFERROR(__xludf.DUMMYFUNCTION("""COMPUTED_VALUE"""),FALSE)</f>
        <v>0</v>
      </c>
      <c r="AG428" s="30"/>
      <c r="AH428" s="30" t="str">
        <f ca="1">IFERROR(__xludf.DUMMYFUNCTION("""COMPUTED_VALUE"""),"Sin costo")</f>
        <v>Sin costo</v>
      </c>
      <c r="AI428" s="30"/>
      <c r="AJ428" s="30"/>
      <c r="AK428" s="30"/>
      <c r="AL428" s="30" t="str">
        <f ca="1">IFERROR(__xludf.DUMMYFUNCTION("""COMPUTED_VALUE"""),"claudia.ramirezm@guanajuato.gob.mx")</f>
        <v>claudia.ramirezm@guanajuato.gob.mx</v>
      </c>
      <c r="AM428"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428" s="30" t="str">
        <f ca="1">IFERROR(__xludf.DUMMYFUNCTION("""COMPUTED_VALUE"""),"2 Igualdad")</f>
        <v>2 Igualdad</v>
      </c>
      <c r="AO428" s="30" t="str">
        <f ca="1">IFERROR(__xludf.DUMMYFUNCTION("""COMPUTED_VALUE"""),"2.4 Reducir brechas de desigualdad")</f>
        <v>2.4 Reducir brechas de desigualdad</v>
      </c>
      <c r="AP428" s="30" t="str">
        <f ca="1">IFERROR(__xludf.DUMMYFUNCTION("""COMPUTED_VALUE"""),"2.4.3 Descentralización de la oferta cultural")</f>
        <v>2.4.3 Descentralización de la oferta cultural</v>
      </c>
      <c r="AQ428" s="30" t="str">
        <f ca="1">IFERROR(__xludf.DUMMYFUNCTION("""COMPUTED_VALUE"""),"2.4.3.1 Impulsar el desarrollo artístico y cultural entre infancias y juventudes")</f>
        <v>2.4.3.1 Impulsar el desarrollo artístico y cultural entre infancias y juventudes</v>
      </c>
      <c r="AR428" s="30" t="str">
        <f ca="1">IFERROR(__xludf.DUMMYFUNCTION("""COMPUTED_VALUE"""),"Inclusión")</f>
        <v>Inclusión</v>
      </c>
      <c r="AS428" s="30" t="str">
        <f ca="1">IFERROR(__xludf.DUMMYFUNCTION("""COMPUTED_VALUE"""),"Ninguno (Población General)")</f>
        <v>Ninguno (Población General)</v>
      </c>
      <c r="AT428" s="30" t="str">
        <f ca="1">IFERROR(__xludf.DUMMYFUNCTION("""COMPUTED_VALUE"""),"Impulso a la educación artística y a la profesionalización del sector cultural")</f>
        <v>Impulso a la educación artística y a la profesionalización del sector cultural</v>
      </c>
      <c r="AU428" s="30" t="str">
        <f ca="1">IFERROR(__xludf.DUMMYFUNCTION("""COMPUTED_VALUE"""),"Impulso a programas de formación y profesionalización para agentes culturales.")</f>
        <v>Impulso a programas de formación y profesionalización para agentes culturales.</v>
      </c>
      <c r="AV428"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28" s="30" t="str">
        <f ca="1">IFERROR(__xludf.DUMMYFUNCTION("""COMPUTED_VALUE"""),"Incrementar un 30% la oferta de formación y profesionalización para agentes culturales.")</f>
        <v>Incrementar un 30% la oferta de formación y profesionalización para agentes culturales.</v>
      </c>
      <c r="AX428" s="30" t="str">
        <f ca="1">IFERROR(__xludf.DUMMYFUNCTION("""COMPUTED_VALUE"""),"Taller")</f>
        <v>Taller</v>
      </c>
      <c r="AY428" s="30" t="str">
        <f ca="1">IFERROR(__xludf.DUMMYFUNCTION("""COMPUTED_VALUE"""),"Formación")</f>
        <v>Formación</v>
      </c>
      <c r="AZ428" s="30" t="str">
        <f ca="1">IFERROR(__xludf.DUMMYFUNCTION("""COMPUTED_VALUE"""),"Formación")</f>
        <v>Formación</v>
      </c>
      <c r="BA428" s="30" t="str">
        <f ca="1">IFERROR(__xludf.DUMMYFUNCTION("""COMPUTED_VALUE"""),"Es un laboratorio donde el cuerpo se aborda como un territorio vivo de mitos, mandatos y patrones. En él se pudieron vivenciar herramientas como el movimiento, la poesía y la atención plena. Fue dirigido a artistas escénicos , personas creadoras y persona"&amp;"s estudiantes.")</f>
        <v>Es un laboratorio donde el cuerpo se aborda como un territorio vivo de mitos, mandatos y patrones. En él se pudieron vivenciar herramientas como el movimiento, la poesía y la atención plena. Fue dirigido a artistas escénicos , personas creadoras y personas estudiantes.</v>
      </c>
      <c r="BB428" s="30">
        <f ca="1">IFERROR(__xludf.DUMMYFUNCTION("""COMPUTED_VALUE"""),5)</f>
        <v>5</v>
      </c>
      <c r="BC428" s="30">
        <f ca="1">IFERROR(__xludf.DUMMYFUNCTION("""COMPUTED_VALUE"""),2)</f>
        <v>2</v>
      </c>
      <c r="BD428" s="30" t="str">
        <f ca="1">IFERROR(__xludf.DUMMYFUNCTION("""COMPUTED_VALUE"""),"Apoyado con anterioridad")</f>
        <v>Apoyado con anterioridad</v>
      </c>
      <c r="BE428" s="30" t="str">
        <f ca="1">IFERROR(__xludf.DUMMYFUNCTION("""COMPUTED_VALUE"""),"Juan Manuel Garcia Belmonte, Valeria Oviedo")</f>
        <v>Juan Manuel Garcia Belmonte, Valeria Oviedo</v>
      </c>
      <c r="BF428" s="30" t="b">
        <f ca="1">IFERROR(__xludf.DUMMYFUNCTION("""COMPUTED_VALUE"""),TRUE)</f>
        <v>1</v>
      </c>
      <c r="BG428" s="30" t="str">
        <f ca="1">IFERROR(__xludf.DUMMYFUNCTION("""COMPUTED_VALUE"""),"Económico")</f>
        <v>Económico</v>
      </c>
      <c r="BH428" s="30">
        <f ca="1">IFERROR(__xludf.DUMMYFUNCTION("""COMPUTED_VALUE"""),45000)</f>
        <v>45000</v>
      </c>
      <c r="BI428" s="30"/>
      <c r="BJ428" s="30"/>
      <c r="BK428" s="30"/>
      <c r="BL428" s="30"/>
      <c r="BM428" s="30" t="str">
        <f ca="1">IFERROR(__xludf.DUMMYFUNCTION("""COMPUTED_VALUE"""),"No")</f>
        <v>No</v>
      </c>
      <c r="BN428" s="30"/>
      <c r="BO428" s="30" t="str">
        <f ca="1">IFERROR(__xludf.DUMMYFUNCTION("""COMPUTED_VALUE"""),"c835215b")</f>
        <v>c835215b</v>
      </c>
      <c r="BP428" s="29" t="str">
        <f ca="1">IFERROR(__xludf.DUMMYFUNCTION("""COMPUTED_VALUE"""),"Salamanca")</f>
        <v>Salamanca</v>
      </c>
      <c r="BQ428" s="30" t="str">
        <f ca="1">IFERROR(__xludf.DUMMYFUNCTION("""COMPUTED_VALUE"""),"Urbano")</f>
        <v>Urbano</v>
      </c>
      <c r="BR428" s="30">
        <f ca="1">IFERROR(__xludf.DUMMYFUNCTION("""COMPUTED_VALUE"""),181)</f>
        <v>181</v>
      </c>
      <c r="BS428" s="30" t="str">
        <f ca="1">IFERROR(__xludf.DUMMYFUNCTION("""COMPUTED_VALUE"""),"Salamanca")</f>
        <v>Salamanca</v>
      </c>
      <c r="BT428" s="30"/>
      <c r="BU428" s="30" t="str">
        <f ca="1">IFERROR(__xludf.DUMMYFUNCTION("""COMPUTED_VALUE"""),"Si")</f>
        <v>Si</v>
      </c>
      <c r="BV428" s="30" t="str">
        <f ca="1">IFERROR(__xludf.DUMMYFUNCTION("""COMPUTED_VALUE"""),"Si")</f>
        <v>Si</v>
      </c>
      <c r="BW428" s="30">
        <f ca="1">IFERROR(__xludf.DUMMYFUNCTION("""COMPUTED_VALUE"""),18)</f>
        <v>18</v>
      </c>
      <c r="BX428" s="30">
        <f ca="1">IFERROR(__xludf.DUMMYFUNCTION("""COMPUTED_VALUE"""),2)</f>
        <v>2</v>
      </c>
      <c r="BY428" s="30">
        <f ca="1">IFERROR(__xludf.DUMMYFUNCTION("""COMPUTED_VALUE"""),16)</f>
        <v>16</v>
      </c>
      <c r="BZ428" s="30" t="str">
        <f ca="1">IFERROR(__xludf.DUMMYFUNCTION("""COMPUTED_VALUE"""),"Salamanca")</f>
        <v>Salamanca</v>
      </c>
      <c r="CA428" s="30" t="str">
        <f ca="1">IFERROR(__xludf.DUMMYFUNCTION("""COMPUTED_VALUE"""),"No")</f>
        <v>No</v>
      </c>
      <c r="CB428" s="30" t="str">
        <f ca="1">IFERROR(__xludf.DUMMYFUNCTION("""COMPUTED_VALUE"""),"No")</f>
        <v>No</v>
      </c>
      <c r="CC428" s="30" t="str">
        <f ca="1">IFERROR(__xludf.DUMMYFUNCTION("""COMPUTED_VALUE"""),"3933bee6")</f>
        <v>3933bee6</v>
      </c>
      <c r="CD428" s="29" t="str">
        <f ca="1">IFERROR(__xludf.DUMMYFUNCTION("""COMPUTED_VALUE"""),"Jóvenes (18 a 29 años)")</f>
        <v>Jóvenes (18 a 29 años)</v>
      </c>
      <c r="CE428" s="30" t="str">
        <f ca="1">IFERROR(__xludf.DUMMYFUNCTION("""COMPUTED_VALUE"""),"No se cuenta con el dato")</f>
        <v>No se cuenta con el dato</v>
      </c>
      <c r="CF428" s="30" t="str">
        <f ca="1">IFERROR(__xludf.DUMMYFUNCTION("""COMPUTED_VALUE"""),"Ninguno (Población General)")</f>
        <v>Ninguno (Población General)</v>
      </c>
      <c r="CG428" s="30">
        <f ca="1">IFERROR(__xludf.DUMMYFUNCTION("""COMPUTED_VALUE"""),9)</f>
        <v>9</v>
      </c>
      <c r="CJ428" s="29"/>
      <c r="CM428" s="30" t="str">
        <f ca="1">IFERROR(__xludf.DUMMYFUNCTION("""COMPUTED_VALUE"""),"Salamanca")</f>
        <v>Salamanca</v>
      </c>
      <c r="CN428" s="32" t="e">
        <f ca="1"/>
        <v>#NAME?</v>
      </c>
      <c r="CO428" s="32" t="e">
        <f ca="1"/>
        <v>#NAME?</v>
      </c>
      <c r="CP428" s="32" t="e">
        <f ca="1"/>
        <v>#NAME?</v>
      </c>
      <c r="CQ428" s="32" t="e">
        <f ca="1"/>
        <v>#NAME?</v>
      </c>
      <c r="CR428" s="30" t="e">
        <f ca="1"/>
        <v>#NAME?</v>
      </c>
      <c r="CS428" s="30" t="str">
        <f ca="1">IFERROR(__xludf.DUMMYFUNCTION("""COMPUTED_VALUE"""),"Ninguno (Población General)")</f>
        <v>Ninguno (Población General)</v>
      </c>
    </row>
    <row r="429" spans="1:97" ht="13">
      <c r="A429" s="29" t="str">
        <f ca="1">IFERROR(__xludf.DUMMYFUNCTION("""COMPUTED_VALUE"""),"ACT-SCHO27779")</f>
        <v>ACT-SCHO27779</v>
      </c>
      <c r="B429" s="30" t="str">
        <f ca="1">IFERROR(__xludf.DUMMYFUNCTION("""COMPUTED_VALUE"""),"SC-260918-151610")</f>
        <v>SC-260918-151610</v>
      </c>
      <c r="C429" s="62">
        <f ca="1">IFERROR(__xludf.DUMMYFUNCTION("""COMPUTED_VALUE"""),46283.6362268518)</f>
        <v>46283.636226851799</v>
      </c>
      <c r="D429" s="30">
        <f ca="1">IFERROR(__xludf.DUMMYFUNCTION("""COMPUTED_VALUE"""),29)</f>
        <v>29</v>
      </c>
      <c r="E429" s="30" t="str">
        <f ca="1">IFERROR(__xludf.DUMMYFUNCTION("""COMPUTED_VALUE"""),"QC4049")</f>
        <v>QC4049</v>
      </c>
      <c r="F429" s="30" t="str">
        <f ca="1">IFERROR(__xludf.DUMMYFUNCTION("""COMPUTED_VALUE"""),"Centro de las Artes de Guanajuato, Claustro Mayor")</f>
        <v>Centro de las Artes de Guanajuato, Claustro Mayor</v>
      </c>
      <c r="G429"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29" s="30" t="str">
        <f ca="1">IFERROR(__xludf.DUMMYFUNCTION("""COMPUTED_VALUE"""),"SUBSECRETARÍA DE DESARROLLO COMUNITARIO Y PROMOCIÓN PATRIMONIAL")</f>
        <v>SUBSECRETARÍA DE DESARROLLO COMUNITARIO Y PROMOCIÓN PATRIMONIAL</v>
      </c>
      <c r="I429" s="34" t="str">
        <f ca="1">IFERROR(__xludf.DUMMYFUNCTION("""COMPUTED_VALUE"""),"DIRECCIÓN GENERAL DE FORMACIÓN E INVESTIGACIÓN")</f>
        <v>DIRECCIÓN GENERAL DE FORMACIÓN E INVESTIGACIÓN</v>
      </c>
      <c r="J429" s="30" t="str">
        <f ca="1">IFERROR(__xludf.DUMMYFUNCTION("""COMPUTED_VALUE"""),"Actividades realizadas")</f>
        <v>Actividades realizadas</v>
      </c>
      <c r="K429" s="30">
        <f ca="1">IFERROR(__xludf.DUMMYFUNCTION("""COMPUTED_VALUE"""),16)</f>
        <v>16</v>
      </c>
      <c r="L429" s="30" t="str">
        <f ca="1">IFERROR(__xludf.DUMMYFUNCTION("""COMPUTED_VALUE"""),"Artística")</f>
        <v>Artística</v>
      </c>
      <c r="M429" s="30" t="str">
        <f ca="1">IFERROR(__xludf.DUMMYFUNCTION("""COMPUTED_VALUE"""),"Taller de gráfica experimental a través de la estampación y transferencia botánica")</f>
        <v>Taller de gráfica experimental a través de la estampación y transferencia botánica</v>
      </c>
      <c r="N429" s="30" t="str">
        <f ca="1">IFERROR(__xludf.DUMMYFUNCTION("""COMPUTED_VALUE"""),"Espacio de exploración artística que combina técnicas de estampación y transferencia gráfica utilizando elementos y pigmentos botánicos.")</f>
        <v>Espacio de exploración artística que combina técnicas de estampación y transferencia gráfica utilizando elementos y pigmentos botánicos.</v>
      </c>
      <c r="O429" s="30" t="str">
        <f ca="1">IFERROR(__xludf.DUMMYFUNCTION("""COMPUTED_VALUE"""),"Diaria")</f>
        <v>Diaria</v>
      </c>
      <c r="P429" s="33">
        <f ca="1">IFERROR(__xludf.DUMMYFUNCTION("""COMPUTED_VALUE"""),46130)</f>
        <v>46130</v>
      </c>
      <c r="Q429" s="33">
        <f ca="1">IFERROR(__xludf.DUMMYFUNCTION("""COMPUTED_VALUE"""),46159)</f>
        <v>46159</v>
      </c>
      <c r="R429" s="30">
        <f ca="1">IFERROR(__xludf.DUMMYFUNCTION("""COMPUTED_VALUE"""),30)</f>
        <v>30</v>
      </c>
      <c r="S429" s="30" t="str">
        <f ca="1">IFERROR(__xludf.DUMMYFUNCTION("""COMPUTED_VALUE"""),"Artes visuales")</f>
        <v>Artes visuales</v>
      </c>
      <c r="T429" s="30" t="str">
        <f ca="1">IFERROR(__xludf.DUMMYFUNCTION("""COMPUTED_VALUE"""),"Grabado")</f>
        <v>Grabado</v>
      </c>
      <c r="U429" s="30" t="str">
        <f ca="1">IFERROR(__xludf.DUMMYFUNCTION("""COMPUTED_VALUE"""),"Taller")</f>
        <v>Taller</v>
      </c>
      <c r="V429" s="30" t="str">
        <f ca="1">IFERROR(__xludf.DUMMYFUNCTION("""COMPUTED_VALUE"""),"Ninguna")</f>
        <v>Ninguna</v>
      </c>
      <c r="W429" s="30" t="str">
        <f ca="1">IFERROR(__xludf.DUMMYFUNCTION("""COMPUTED_VALUE"""),"Presencial")</f>
        <v>Presencial</v>
      </c>
      <c r="X429" s="30" t="str">
        <f ca="1">IFERROR(__xludf.DUMMYFUNCTION("""COMPUTED_VALUE"""),"Espacio préstamo a la Secretaría de Cultura")</f>
        <v>Espacio préstamo a la Secretaría de Cultura</v>
      </c>
      <c r="Y429" s="30"/>
      <c r="Z429" s="30"/>
      <c r="AA429" s="30"/>
      <c r="AB429" s="30" t="b">
        <f ca="1">IFERROR(__xludf.DUMMYFUNCTION("""COMPUTED_VALUE"""),FALSE)</f>
        <v>0</v>
      </c>
      <c r="AC429" s="30"/>
      <c r="AD429" s="30" t="b">
        <f ca="1">IFERROR(__xludf.DUMMYFUNCTION("""COMPUTED_VALUE"""),TRUE)</f>
        <v>1</v>
      </c>
      <c r="AE429" s="30">
        <f ca="1">IFERROR(__xludf.DUMMYFUNCTION("""COMPUTED_VALUE"""),1)</f>
        <v>1</v>
      </c>
      <c r="AF429" s="30" t="b">
        <f ca="1">IFERROR(__xludf.DUMMYFUNCTION("""COMPUTED_VALUE"""),FALSE)</f>
        <v>0</v>
      </c>
      <c r="AG429" s="30"/>
      <c r="AH429" s="30" t="str">
        <f ca="1">IFERROR(__xludf.DUMMYFUNCTION("""COMPUTED_VALUE"""),"Sin costo")</f>
        <v>Sin costo</v>
      </c>
      <c r="AI429" s="30"/>
      <c r="AJ429" s="30"/>
      <c r="AK429" s="30"/>
      <c r="AL429" s="30" t="str">
        <f ca="1">IFERROR(__xludf.DUMMYFUNCTION("""COMPUTED_VALUE"""),"claudia.ramirezm@guanajuato.gob.mx")</f>
        <v>claudia.ramirezm@guanajuato.gob.mx</v>
      </c>
      <c r="AM429" s="30" t="str">
        <f ca="1">IFERROR(__xludf.DUMMYFUNCTION("""COMPUTED_VALUE"""),"Mayor inversión en conservación del patrimonio artístico y cultural.")</f>
        <v>Mayor inversión en conservación del patrimonio artístico y cultural.</v>
      </c>
      <c r="AN429" s="30" t="str">
        <f ca="1">IFERROR(__xludf.DUMMYFUNCTION("""COMPUTED_VALUE"""),"2 Igualdad")</f>
        <v>2 Igualdad</v>
      </c>
      <c r="AO429" s="30" t="str">
        <f ca="1">IFERROR(__xludf.DUMMYFUNCTION("""COMPUTED_VALUE"""),"2.2 Fortalecer cohesión social")</f>
        <v>2.2 Fortalecer cohesión social</v>
      </c>
      <c r="AP429" s="30" t="str">
        <f ca="1">IFERROR(__xludf.DUMMYFUNCTION("""COMPUTED_VALUE"""),"2.2 Fortalecer cohesión social")</f>
        <v>2.2 Fortalecer cohesión social</v>
      </c>
      <c r="AQ429" s="30" t="str">
        <f ca="1">IFERROR(__xludf.DUMMYFUNCTION("""COMPUTED_VALUE"""),"2.2.3.2 Promover la participación de grupos prioritarios en actividades culturales")</f>
        <v>2.2.3.2 Promover la participación de grupos prioritarios en actividades culturales</v>
      </c>
      <c r="AR429" s="30" t="str">
        <f ca="1">IFERROR(__xludf.DUMMYFUNCTION("""COMPUTED_VALUE"""),"Inclusión")</f>
        <v>Inclusión</v>
      </c>
      <c r="AS429" s="30" t="str">
        <f ca="1">IFERROR(__xludf.DUMMYFUNCTION("""COMPUTED_VALUE"""),"Ninguno (Población General)")</f>
        <v>Ninguno (Población General)</v>
      </c>
      <c r="AT429" s="30" t="str">
        <f ca="1">IFERROR(__xludf.DUMMYFUNCTION("""COMPUTED_VALUE"""),"Impulso a la educación artística y a la profesionalización del sector cultural")</f>
        <v>Impulso a la educación artística y a la profesionalización del sector cultural</v>
      </c>
      <c r="AU429" s="30" t="str">
        <f ca="1">IFERROR(__xludf.DUMMYFUNCTION("""COMPUTED_VALUE"""),"Impulso a programas de formación y profesionalización para agentes culturales.")</f>
        <v>Impulso a programas de formación y profesionalización para agentes culturales.</v>
      </c>
      <c r="AV429"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29" s="30" t="str">
        <f ca="1">IFERROR(__xludf.DUMMYFUNCTION("""COMPUTED_VALUE"""),"Incrementar un 30% la oferta de formación y profesionalización para agentes culturales.")</f>
        <v>Incrementar un 30% la oferta de formación y profesionalización para agentes culturales.</v>
      </c>
      <c r="AX429" s="30" t="str">
        <f ca="1">IFERROR(__xludf.DUMMYFUNCTION("""COMPUTED_VALUE"""),"Taller")</f>
        <v>Taller</v>
      </c>
      <c r="AY429" s="30" t="str">
        <f ca="1">IFERROR(__xludf.DUMMYFUNCTION("""COMPUTED_VALUE"""),"Formación")</f>
        <v>Formación</v>
      </c>
      <c r="AZ429" s="30" t="str">
        <f ca="1">IFERROR(__xludf.DUMMYFUNCTION("""COMPUTED_VALUE"""),"Formación")</f>
        <v>Formación</v>
      </c>
      <c r="BA429" s="30" t="str">
        <f ca="1">IFERROR(__xludf.DUMMYFUNCTION("""COMPUTED_VALUE"""),"Dotar al participante de los conocimientos de la técnica en la cual se hace una transferencia del material que da el color a todas las plantas y flores por medio del calor ya sea con inmersión en agua en ebullición o al vapor, plancha y/o presión, ya sea "&amp;"con martillo de madera o metal y con tórculo. Además se propone que las personas participantes generen piezas que planteen piezas de lo bidimensional a lo tridimensional.")</f>
        <v>Dotar al participante de los conocimientos de la técnica en la cual se hace una transferencia del material que da el color a todas las plantas y flores por medio del calor ya sea con inmersión en agua en ebullición o al vapor, plancha y/o presión, ya sea con martillo de madera o metal y con tórculo. Además se propone que las personas participantes generen piezas que planteen piezas de lo bidimensional a lo tridimensional.</v>
      </c>
      <c r="BB429" s="30">
        <f ca="1">IFERROR(__xludf.DUMMYFUNCTION("""COMPUTED_VALUE"""),6)</f>
        <v>6</v>
      </c>
      <c r="BC429" s="30">
        <f ca="1">IFERROR(__xludf.DUMMYFUNCTION("""COMPUTED_VALUE"""),1)</f>
        <v>1</v>
      </c>
      <c r="BD429" s="30" t="str">
        <f ca="1">IFERROR(__xludf.DUMMYFUNCTION("""COMPUTED_VALUE"""),"Apoyado con anterioridad")</f>
        <v>Apoyado con anterioridad</v>
      </c>
      <c r="BE429" s="30" t="str">
        <f ca="1">IFERROR(__xludf.DUMMYFUNCTION("""COMPUTED_VALUE"""),"ALBERTINA TAFOLLA RODRIGUEZ")</f>
        <v>ALBERTINA TAFOLLA RODRIGUEZ</v>
      </c>
      <c r="BF429" s="30" t="b">
        <f ca="1">IFERROR(__xludf.DUMMYFUNCTION("""COMPUTED_VALUE"""),TRUE)</f>
        <v>1</v>
      </c>
      <c r="BG429" s="30" t="str">
        <f ca="1">IFERROR(__xludf.DUMMYFUNCTION("""COMPUTED_VALUE"""),"Económico")</f>
        <v>Económico</v>
      </c>
      <c r="BH429" s="30">
        <f ca="1">IFERROR(__xludf.DUMMYFUNCTION("""COMPUTED_VALUE"""),41440)</f>
        <v>41440</v>
      </c>
      <c r="BI429" s="30"/>
      <c r="BJ429" s="30"/>
      <c r="BK429" s="30"/>
      <c r="BL429" s="30"/>
      <c r="BM429" s="30" t="str">
        <f ca="1">IFERROR(__xludf.DUMMYFUNCTION("""COMPUTED_VALUE"""),"No")</f>
        <v>No</v>
      </c>
      <c r="BN429" s="30"/>
      <c r="BO429" s="30" t="str">
        <f ca="1">IFERROR(__xludf.DUMMYFUNCTION("""COMPUTED_VALUE"""),"69427062")</f>
        <v>69427062</v>
      </c>
      <c r="BP429" s="29" t="str">
        <f ca="1">IFERROR(__xludf.DUMMYFUNCTION("""COMPUTED_VALUE"""),"Salamanca")</f>
        <v>Salamanca</v>
      </c>
      <c r="BQ429" s="30" t="str">
        <f ca="1">IFERROR(__xludf.DUMMYFUNCTION("""COMPUTED_VALUE"""),"Urbano")</f>
        <v>Urbano</v>
      </c>
      <c r="BR429" s="30">
        <f ca="1">IFERROR(__xludf.DUMMYFUNCTION("""COMPUTED_VALUE"""),181)</f>
        <v>181</v>
      </c>
      <c r="BS429" s="30" t="str">
        <f ca="1">IFERROR(__xludf.DUMMYFUNCTION("""COMPUTED_VALUE"""),"Salamanca")</f>
        <v>Salamanca</v>
      </c>
      <c r="BT429" s="30"/>
      <c r="BU429" s="30" t="str">
        <f ca="1">IFERROR(__xludf.DUMMYFUNCTION("""COMPUTED_VALUE"""),"Si")</f>
        <v>Si</v>
      </c>
      <c r="BV429" s="30" t="str">
        <f ca="1">IFERROR(__xludf.DUMMYFUNCTION("""COMPUTED_VALUE"""),"Si")</f>
        <v>Si</v>
      </c>
      <c r="BW429" s="30">
        <f ca="1">IFERROR(__xludf.DUMMYFUNCTION("""COMPUTED_VALUE"""),16)</f>
        <v>16</v>
      </c>
      <c r="BX429" s="30">
        <f ca="1">IFERROR(__xludf.DUMMYFUNCTION("""COMPUTED_VALUE"""),1)</f>
        <v>1</v>
      </c>
      <c r="BY429" s="30">
        <f ca="1">IFERROR(__xludf.DUMMYFUNCTION("""COMPUTED_VALUE"""),15)</f>
        <v>15</v>
      </c>
      <c r="BZ429" s="30" t="str">
        <f ca="1">IFERROR(__xludf.DUMMYFUNCTION("""COMPUTED_VALUE"""),"Salamanca")</f>
        <v>Salamanca</v>
      </c>
      <c r="CA429" s="30" t="str">
        <f ca="1">IFERROR(__xludf.DUMMYFUNCTION("""COMPUTED_VALUE"""),"No")</f>
        <v>No</v>
      </c>
      <c r="CB429" s="30" t="str">
        <f ca="1">IFERROR(__xludf.DUMMYFUNCTION("""COMPUTED_VALUE"""),"No")</f>
        <v>No</v>
      </c>
      <c r="CC429" s="30" t="str">
        <f ca="1">IFERROR(__xludf.DUMMYFUNCTION("""COMPUTED_VALUE"""),"857083d1")</f>
        <v>857083d1</v>
      </c>
      <c r="CD429" s="29" t="str">
        <f ca="1">IFERROR(__xludf.DUMMYFUNCTION("""COMPUTED_VALUE"""),"Jóvenes (18 a 29 años)")</f>
        <v>Jóvenes (18 a 29 años)</v>
      </c>
      <c r="CE429" s="30" t="str">
        <f ca="1">IFERROR(__xludf.DUMMYFUNCTION("""COMPUTED_VALUE"""),"No se cuenta con el dato")</f>
        <v>No se cuenta con el dato</v>
      </c>
      <c r="CF429" s="30" t="str">
        <f ca="1">IFERROR(__xludf.DUMMYFUNCTION("""COMPUTED_VALUE"""),"Ninguno (Población General)")</f>
        <v>Ninguno (Población General)</v>
      </c>
      <c r="CG429" s="30">
        <f ca="1">IFERROR(__xludf.DUMMYFUNCTION("""COMPUTED_VALUE"""),31)</f>
        <v>31</v>
      </c>
      <c r="CJ429" s="29"/>
      <c r="CM429" s="30" t="str">
        <f ca="1">IFERROR(__xludf.DUMMYFUNCTION("""COMPUTED_VALUE"""),"Salamanca")</f>
        <v>Salamanca</v>
      </c>
      <c r="CN429" s="32" t="e">
        <f ca="1"/>
        <v>#NAME?</v>
      </c>
      <c r="CO429" s="32" t="e">
        <f ca="1"/>
        <v>#NAME?</v>
      </c>
      <c r="CP429" s="32" t="e">
        <f ca="1"/>
        <v>#NAME?</v>
      </c>
      <c r="CQ429" s="32" t="e">
        <f ca="1"/>
        <v>#NAME?</v>
      </c>
      <c r="CR429" s="30" t="e">
        <f ca="1"/>
        <v>#NAME?</v>
      </c>
      <c r="CS429"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30" spans="1:97" ht="13">
      <c r="A430" s="29" t="str">
        <f ca="1">IFERROR(__xludf.DUMMYFUNCTION("""COMPUTED_VALUE"""),"ACT-SCSU96183")</f>
        <v>ACT-SCSU96183</v>
      </c>
      <c r="B430" s="30" t="str">
        <f ca="1">IFERROR(__xludf.DUMMYFUNCTION("""COMPUTED_VALUE"""),"SC-260918-160843")</f>
        <v>SC-260918-160843</v>
      </c>
      <c r="C430" s="62">
        <f ca="1">IFERROR(__xludf.DUMMYFUNCTION("""COMPUTED_VALUE"""),46283.6727199074)</f>
        <v>46283.672719907401</v>
      </c>
      <c r="D430" s="30">
        <f ca="1">IFERROR(__xludf.DUMMYFUNCTION("""COMPUTED_VALUE"""),72)</f>
        <v>72</v>
      </c>
      <c r="E430" s="30" t="str">
        <f ca="1">IFERROR(__xludf.DUMMYFUNCTION("""COMPUTED_VALUE"""),"PB3567")</f>
        <v>PB3567</v>
      </c>
      <c r="F430" s="30" t="str">
        <f ca="1">IFERROR(__xludf.DUMMYFUNCTION("""COMPUTED_VALUE"""),"Formación e Investigación Artística")</f>
        <v>Formación e Investigación Artística</v>
      </c>
      <c r="G430" s="30" t="str">
        <f ca="1">IFERROR(__xludf.DUMMYFUNCTION("""COMPUTED_VALUE"""),"Cursos, talleres, y diplomados en la disciplina de las artes plásticas, sobre distintas técnicas del grabado")</f>
        <v>Cursos, talleres, y diplomados en la disciplina de las artes plásticas, sobre distintas técnicas del grabado</v>
      </c>
      <c r="H430" s="30" t="str">
        <f ca="1">IFERROR(__xludf.DUMMYFUNCTION("""COMPUTED_VALUE"""),"SUBSECRETARÍA DE DESARROLLO COMUNITARIO Y PROMOCIÓN PATRIMONIAL")</f>
        <v>SUBSECRETARÍA DE DESARROLLO COMUNITARIO Y PROMOCIÓN PATRIMONIAL</v>
      </c>
      <c r="I430" s="34" t="str">
        <f ca="1">IFERROR(__xludf.DUMMYFUNCTION("""COMPUTED_VALUE"""),"DIRECCIÓN GENERAL DE FORMACIÓN E INVESTIGACIÓN")</f>
        <v>DIRECCIÓN GENERAL DE FORMACIÓN E INVESTIGACIÓN</v>
      </c>
      <c r="J430" s="30" t="str">
        <f ca="1">IFERROR(__xludf.DUMMYFUNCTION("""COMPUTED_VALUE"""),"Cursos, talleres, diplomados realizados")</f>
        <v>Cursos, talleres, diplomados realizados</v>
      </c>
      <c r="K430" s="30">
        <f ca="1">IFERROR(__xludf.DUMMYFUNCTION("""COMPUTED_VALUE"""),4)</f>
        <v>4</v>
      </c>
      <c r="L430" s="30" t="str">
        <f ca="1">IFERROR(__xludf.DUMMYFUNCTION("""COMPUTED_VALUE"""),"Artística")</f>
        <v>Artística</v>
      </c>
      <c r="M430" s="30" t="str">
        <f ca="1">IFERROR(__xludf.DUMMYFUNCTION("""COMPUTED_VALUE"""),"Taller de metodologías del grabado para la inclusión")</f>
        <v>Taller de metodologías del grabado para la inclusión</v>
      </c>
      <c r="N430" s="30" t="str">
        <f ca="1">IFERROR(__xludf.DUMMYFUNCTION("""COMPUTED_VALUE"""),"Taller de metodologías del grabado para la inclusión de programa de formación y especialización en grabado y litografía el cual tuvo una duración de 20 horas y tuvo una modalidad en linea.")</f>
        <v>Taller de metodologías del grabado para la inclusión de programa de formación y especialización en grabado y litografía el cual tuvo una duración de 20 horas y tuvo una modalidad en linea.</v>
      </c>
      <c r="O430" s="30" t="str">
        <f ca="1">IFERROR(__xludf.DUMMYFUNCTION("""COMPUTED_VALUE"""),"Diaria")</f>
        <v>Diaria</v>
      </c>
      <c r="P430" s="33">
        <f ca="1">IFERROR(__xludf.DUMMYFUNCTION("""COMPUTED_VALUE"""),46174)</f>
        <v>46174</v>
      </c>
      <c r="Q430" s="33">
        <f ca="1">IFERROR(__xludf.DUMMYFUNCTION("""COMPUTED_VALUE"""),46195)</f>
        <v>46195</v>
      </c>
      <c r="R430" s="30">
        <f ca="1">IFERROR(__xludf.DUMMYFUNCTION("""COMPUTED_VALUE"""),22)</f>
        <v>22</v>
      </c>
      <c r="S430" s="30" t="str">
        <f ca="1">IFERROR(__xludf.DUMMYFUNCTION("""COMPUTED_VALUE"""),"Artes visuales")</f>
        <v>Artes visuales</v>
      </c>
      <c r="T430" s="30" t="str">
        <f ca="1">IFERROR(__xludf.DUMMYFUNCTION("""COMPUTED_VALUE"""),"Grabado")</f>
        <v>Grabado</v>
      </c>
      <c r="U430" s="30" t="str">
        <f ca="1">IFERROR(__xludf.DUMMYFUNCTION("""COMPUTED_VALUE"""),"Taller")</f>
        <v>Taller</v>
      </c>
      <c r="V430" s="30" t="str">
        <f ca="1">IFERROR(__xludf.DUMMYFUNCTION("""COMPUTED_VALUE"""),"Ninguna")</f>
        <v>Ninguna</v>
      </c>
      <c r="W430" s="30" t="str">
        <f ca="1">IFERROR(__xludf.DUMMYFUNCTION("""COMPUTED_VALUE"""),"Virtual")</f>
        <v>Virtual</v>
      </c>
      <c r="X430" s="30" t="str">
        <f ca="1">IFERROR(__xludf.DUMMYFUNCTION("""COMPUTED_VALUE"""),"Modalidad en linea")</f>
        <v>Modalidad en linea</v>
      </c>
      <c r="Y430" s="30"/>
      <c r="Z430" s="30"/>
      <c r="AA430" s="30"/>
      <c r="AB430" s="30" t="b">
        <f ca="1">IFERROR(__xludf.DUMMYFUNCTION("""COMPUTED_VALUE"""),FALSE)</f>
        <v>0</v>
      </c>
      <c r="AC430" s="30"/>
      <c r="AD430" s="30" t="b">
        <f ca="1">IFERROR(__xludf.DUMMYFUNCTION("""COMPUTED_VALUE"""),TRUE)</f>
        <v>1</v>
      </c>
      <c r="AE430" s="30">
        <f ca="1">IFERROR(__xludf.DUMMYFUNCTION("""COMPUTED_VALUE"""),1)</f>
        <v>1</v>
      </c>
      <c r="AF430" s="30" t="b">
        <f ca="1">IFERROR(__xludf.DUMMYFUNCTION("""COMPUTED_VALUE"""),FALSE)</f>
        <v>0</v>
      </c>
      <c r="AG430" s="30"/>
      <c r="AH430" s="30" t="str">
        <f ca="1">IFERROR(__xludf.DUMMYFUNCTION("""COMPUTED_VALUE"""),"Sin costo")</f>
        <v>Sin costo</v>
      </c>
      <c r="AI430" s="30"/>
      <c r="AJ430" s="30"/>
      <c r="AK430" s="30"/>
      <c r="AL430" s="30" t="str">
        <f ca="1">IFERROR(__xludf.DUMMYFUNCTION("""COMPUTED_VALUE"""),"claudia.ramirezm@guanajuato.gob.mx")</f>
        <v>claudia.ramirezm@guanajuato.gob.mx</v>
      </c>
      <c r="AM430"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430" s="30" t="str">
        <f ca="1">IFERROR(__xludf.DUMMYFUNCTION("""COMPUTED_VALUE"""),"2 Igualdad")</f>
        <v>2 Igualdad</v>
      </c>
      <c r="AO430" s="30" t="str">
        <f ca="1">IFERROR(__xludf.DUMMYFUNCTION("""COMPUTED_VALUE"""),"2.2 Fortalecer cohesión social")</f>
        <v>2.2 Fortalecer cohesión social</v>
      </c>
      <c r="AP430" s="30" t="str">
        <f ca="1">IFERROR(__xludf.DUMMYFUNCTION("""COMPUTED_VALUE"""),"2.2 Fortalecer cohesión social")</f>
        <v>2.2 Fortalecer cohesión social</v>
      </c>
      <c r="AQ430" s="30" t="str">
        <f ca="1">IFERROR(__xludf.DUMMYFUNCTION("""COMPUTED_VALUE"""),"2.2.3.2 Promover la participación de grupos prioritarios en actividades culturales")</f>
        <v>2.2.3.2 Promover la participación de grupos prioritarios en actividades culturales</v>
      </c>
      <c r="AR430" s="30" t="str">
        <f ca="1">IFERROR(__xludf.DUMMYFUNCTION("""COMPUTED_VALUE"""),"Inclusión")</f>
        <v>Inclusión</v>
      </c>
      <c r="AS430" s="30" t="str">
        <f ca="1">IFERROR(__xludf.DUMMYFUNCTION("""COMPUTED_VALUE"""),"Ninguno (Población General)")</f>
        <v>Ninguno (Población General)</v>
      </c>
      <c r="AT430" s="30" t="str">
        <f ca="1">IFERROR(__xludf.DUMMYFUNCTION("""COMPUTED_VALUE"""),"Impulso a la educación artística y a la profesionalización del sector cultural")</f>
        <v>Impulso a la educación artística y a la profesionalización del sector cultural</v>
      </c>
      <c r="AU430" s="30" t="str">
        <f ca="1">IFERROR(__xludf.DUMMYFUNCTION("""COMPUTED_VALUE"""),"Impulso a programas de formación y profesionalización para agentes culturales.")</f>
        <v>Impulso a programas de formación y profesionalización para agentes culturales.</v>
      </c>
      <c r="AV430"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0" s="30" t="str">
        <f ca="1">IFERROR(__xludf.DUMMYFUNCTION("""COMPUTED_VALUE"""),"Incrementar un 30% la oferta de formación y profesionalización para agentes culturales.")</f>
        <v>Incrementar un 30% la oferta de formación y profesionalización para agentes culturales.</v>
      </c>
      <c r="AX430" s="30" t="str">
        <f ca="1">IFERROR(__xludf.DUMMYFUNCTION("""COMPUTED_VALUE"""),"Taller")</f>
        <v>Taller</v>
      </c>
      <c r="AY430" s="30" t="str">
        <f ca="1">IFERROR(__xludf.DUMMYFUNCTION("""COMPUTED_VALUE"""),"Formación")</f>
        <v>Formación</v>
      </c>
      <c r="AZ430" s="30" t="str">
        <f ca="1">IFERROR(__xludf.DUMMYFUNCTION("""COMPUTED_VALUE"""),"Formación")</f>
        <v>Formación</v>
      </c>
      <c r="BA430" s="30" t="str">
        <f ca="1">IFERROR(__xludf.DUMMYFUNCTION("""COMPUTED_VALUE"""),"Capacitar a docentes y artistas con la finalidad de trabajar técnicas gráficas con grupos de personas que presentan barreras para el aprendizaje y la participación.")</f>
        <v>Capacitar a docentes y artistas con la finalidad de trabajar técnicas gráficas con grupos de personas que presentan barreras para el aprendizaje y la participación.</v>
      </c>
      <c r="BB430" s="30">
        <f ca="1">IFERROR(__xludf.DUMMYFUNCTION("""COMPUTED_VALUE"""),5)</f>
        <v>5</v>
      </c>
      <c r="BC430" s="30">
        <f ca="1">IFERROR(__xludf.DUMMYFUNCTION("""COMPUTED_VALUE"""),1)</f>
        <v>1</v>
      </c>
      <c r="BD430" s="30" t="str">
        <f ca="1">IFERROR(__xludf.DUMMYFUNCTION("""COMPUTED_VALUE"""),"Nuevo")</f>
        <v>Nuevo</v>
      </c>
      <c r="BE430" s="30" t="str">
        <f ca="1">IFERROR(__xludf.DUMMYFUNCTION("""COMPUTED_VALUE"""),"Ana Patricia Marín")</f>
        <v>Ana Patricia Marín</v>
      </c>
      <c r="BF430" s="30" t="b">
        <f ca="1">IFERROR(__xludf.DUMMYFUNCTION("""COMPUTED_VALUE"""),TRUE)</f>
        <v>1</v>
      </c>
      <c r="BG430" s="30" t="str">
        <f ca="1">IFERROR(__xludf.DUMMYFUNCTION("""COMPUTED_VALUE"""),"Económico")</f>
        <v>Económico</v>
      </c>
      <c r="BH430" s="30">
        <f ca="1">IFERROR(__xludf.DUMMYFUNCTION("""COMPUTED_VALUE"""),13920)</f>
        <v>13920</v>
      </c>
      <c r="BI430" s="30"/>
      <c r="BJ430" s="30"/>
      <c r="BK430" s="30"/>
      <c r="BL430" s="30"/>
      <c r="BM430" s="30" t="str">
        <f ca="1">IFERROR(__xludf.DUMMYFUNCTION("""COMPUTED_VALUE"""),"No")</f>
        <v>No</v>
      </c>
      <c r="BN430" s="30"/>
      <c r="BO430" s="30" t="str">
        <f ca="1">IFERROR(__xludf.DUMMYFUNCTION("""COMPUTED_VALUE"""),"9e15d826")</f>
        <v>9e15d826</v>
      </c>
      <c r="BP430" s="29" t="str">
        <f ca="1">IFERROR(__xludf.DUMMYFUNCTION("""COMPUTED_VALUE"""),"Salamanca")</f>
        <v>Salamanca</v>
      </c>
      <c r="BQ430" s="30" t="str">
        <f ca="1">IFERROR(__xludf.DUMMYFUNCTION("""COMPUTED_VALUE"""),"Urbano")</f>
        <v>Urbano</v>
      </c>
      <c r="BR430" s="30">
        <f ca="1">IFERROR(__xludf.DUMMYFUNCTION("""COMPUTED_VALUE"""),181)</f>
        <v>181</v>
      </c>
      <c r="BS430" s="30" t="str">
        <f ca="1">IFERROR(__xludf.DUMMYFUNCTION("""COMPUTED_VALUE"""),"Salamanca")</f>
        <v>Salamanca</v>
      </c>
      <c r="BT430" s="30"/>
      <c r="BU430" s="30" t="str">
        <f ca="1">IFERROR(__xludf.DUMMYFUNCTION("""COMPUTED_VALUE"""),"Si")</f>
        <v>Si</v>
      </c>
      <c r="BV430" s="30" t="str">
        <f ca="1">IFERROR(__xludf.DUMMYFUNCTION("""COMPUTED_VALUE"""),"Si")</f>
        <v>Si</v>
      </c>
      <c r="BW430" s="30">
        <f ca="1">IFERROR(__xludf.DUMMYFUNCTION("""COMPUTED_VALUE"""),24)</f>
        <v>24</v>
      </c>
      <c r="BX430" s="30">
        <f ca="1">IFERROR(__xludf.DUMMYFUNCTION("""COMPUTED_VALUE"""),1)</f>
        <v>1</v>
      </c>
      <c r="BY430" s="30">
        <f ca="1">IFERROR(__xludf.DUMMYFUNCTION("""COMPUTED_VALUE"""),23)</f>
        <v>23</v>
      </c>
      <c r="BZ430" s="30" t="str">
        <f ca="1">IFERROR(__xludf.DUMMYFUNCTION("""COMPUTED_VALUE"""),"Salamanca")</f>
        <v>Salamanca</v>
      </c>
      <c r="CA430" s="30" t="str">
        <f ca="1">IFERROR(__xludf.DUMMYFUNCTION("""COMPUTED_VALUE"""),"No")</f>
        <v>No</v>
      </c>
      <c r="CB430" s="30" t="str">
        <f ca="1">IFERROR(__xludf.DUMMYFUNCTION("""COMPUTED_VALUE"""),"No")</f>
        <v>No</v>
      </c>
      <c r="CC430" s="30" t="str">
        <f ca="1">IFERROR(__xludf.DUMMYFUNCTION("""COMPUTED_VALUE"""),"e0066ef6")</f>
        <v>e0066ef6</v>
      </c>
      <c r="CD430" s="29" t="str">
        <f ca="1">IFERROR(__xludf.DUMMYFUNCTION("""COMPUTED_VALUE"""),"Jóvenes (18 a 29 años)")</f>
        <v>Jóvenes (18 a 29 años)</v>
      </c>
      <c r="CE430" s="30" t="str">
        <f ca="1">IFERROR(__xludf.DUMMYFUNCTION("""COMPUTED_VALUE"""),"No se cuenta con el dato")</f>
        <v>No se cuenta con el dato</v>
      </c>
      <c r="CF430" s="30" t="str">
        <f ca="1">IFERROR(__xludf.DUMMYFUNCTION("""COMPUTED_VALUE"""),"Ninguno (Población General)")</f>
        <v>Ninguno (Población General)</v>
      </c>
      <c r="CG430" s="30">
        <f ca="1">IFERROR(__xludf.DUMMYFUNCTION("""COMPUTED_VALUE"""),6)</f>
        <v>6</v>
      </c>
      <c r="CJ430" s="29"/>
      <c r="CM430" s="30" t="str">
        <f ca="1">IFERROR(__xludf.DUMMYFUNCTION("""COMPUTED_VALUE"""),"Salamanca")</f>
        <v>Salamanca</v>
      </c>
      <c r="CN430" s="32" t="e">
        <f ca="1"/>
        <v>#NAME?</v>
      </c>
      <c r="CO430" s="32" t="e">
        <f ca="1"/>
        <v>#NAME?</v>
      </c>
      <c r="CP430" s="32" t="e">
        <f ca="1"/>
        <v>#NAME?</v>
      </c>
      <c r="CQ430" s="32" t="e">
        <f ca="1"/>
        <v>#NAME?</v>
      </c>
      <c r="CR430" s="30" t="e">
        <f ca="1"/>
        <v>#NAME?</v>
      </c>
      <c r="CS430"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31" spans="1:97" ht="13">
      <c r="A431" s="29" t="str">
        <f ca="1">IFERROR(__xludf.DUMMYFUNCTION("""COMPUTED_VALUE"""),"ACT-SCRN10556")</f>
        <v>ACT-SCRN10556</v>
      </c>
      <c r="B431" s="30" t="str">
        <f ca="1">IFERROR(__xludf.DUMMYFUNCTION("""COMPUTED_VALUE"""),"SC-260918-163417")</f>
        <v>SC-260918-163417</v>
      </c>
      <c r="C431" s="62">
        <f ca="1">IFERROR(__xludf.DUMMYFUNCTION("""COMPUTED_VALUE"""),46283.690474537)</f>
        <v>46283.690474536997</v>
      </c>
      <c r="D431" s="30">
        <f ca="1">IFERROR(__xludf.DUMMYFUNCTION("""COMPUTED_VALUE"""),29)</f>
        <v>29</v>
      </c>
      <c r="E431" s="30" t="str">
        <f ca="1">IFERROR(__xludf.DUMMYFUNCTION("""COMPUTED_VALUE"""),"QC4049")</f>
        <v>QC4049</v>
      </c>
      <c r="F431" s="30" t="str">
        <f ca="1">IFERROR(__xludf.DUMMYFUNCTION("""COMPUTED_VALUE"""),"Centro de las Artes de Guanajuato, Claustro Mayor")</f>
        <v>Centro de las Artes de Guanajuato, Claustro Mayor</v>
      </c>
      <c r="G431"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31" s="30" t="str">
        <f ca="1">IFERROR(__xludf.DUMMYFUNCTION("""COMPUTED_VALUE"""),"SUBSECRETARÍA DE DESARROLLO COMUNITARIO Y PROMOCIÓN PATRIMONIAL")</f>
        <v>SUBSECRETARÍA DE DESARROLLO COMUNITARIO Y PROMOCIÓN PATRIMONIAL</v>
      </c>
      <c r="I431" s="34" t="str">
        <f ca="1">IFERROR(__xludf.DUMMYFUNCTION("""COMPUTED_VALUE"""),"DIRECCIÓN GENERAL DE FORMACIÓN E INVESTIGACIÓN")</f>
        <v>DIRECCIÓN GENERAL DE FORMACIÓN E INVESTIGACIÓN</v>
      </c>
      <c r="J431" s="30" t="str">
        <f ca="1">IFERROR(__xludf.DUMMYFUNCTION("""COMPUTED_VALUE"""),"Actividades realizadas")</f>
        <v>Actividades realizadas</v>
      </c>
      <c r="K431" s="30">
        <f ca="1">IFERROR(__xludf.DUMMYFUNCTION("""COMPUTED_VALUE"""),16)</f>
        <v>16</v>
      </c>
      <c r="L431" s="30" t="str">
        <f ca="1">IFERROR(__xludf.DUMMYFUNCTION("""COMPUTED_VALUE"""),"Artística")</f>
        <v>Artística</v>
      </c>
      <c r="M431" s="30" t="str">
        <f ca="1">IFERROR(__xludf.DUMMYFUNCTION("""COMPUTED_VALUE"""),"Taller ""Escritura poética. Genealogias de lo familiar""")</f>
        <v>Taller "Escritura poética. Genealogias de lo familiar"</v>
      </c>
      <c r="N431" s="30" t="str">
        <f ca="1">IFERROR(__xludf.DUMMYFUNCTION("""COMPUTED_VALUE"""),"Taller de creación e investigación poética centrado en la exploración temática de la genealogía, la memoria y el entorno familiar.")</f>
        <v>Taller de creación e investigación poética centrado en la exploración temática de la genealogía, la memoria y el entorno familiar.</v>
      </c>
      <c r="O431" s="30" t="str">
        <f ca="1">IFERROR(__xludf.DUMMYFUNCTION("""COMPUTED_VALUE"""),"Única")</f>
        <v>Única</v>
      </c>
      <c r="P431" s="33">
        <f ca="1">IFERROR(__xludf.DUMMYFUNCTION("""COMPUTED_VALUE"""),46200)</f>
        <v>46200</v>
      </c>
      <c r="Q431" s="33">
        <f ca="1">IFERROR(__xludf.DUMMYFUNCTION("""COMPUTED_VALUE"""),46200)</f>
        <v>46200</v>
      </c>
      <c r="R431" s="30">
        <f ca="1">IFERROR(__xludf.DUMMYFUNCTION("""COMPUTED_VALUE"""),1)</f>
        <v>1</v>
      </c>
      <c r="S431" s="30" t="str">
        <f ca="1">IFERROR(__xludf.DUMMYFUNCTION("""COMPUTED_VALUE"""),"Literatura")</f>
        <v>Literatura</v>
      </c>
      <c r="T431" s="30" t="str">
        <f ca="1">IFERROR(__xludf.DUMMYFUNCTION("""COMPUTED_VALUE"""),"Poesía")</f>
        <v>Poesía</v>
      </c>
      <c r="U431" s="30" t="str">
        <f ca="1">IFERROR(__xludf.DUMMYFUNCTION("""COMPUTED_VALUE"""),"Taller")</f>
        <v>Taller</v>
      </c>
      <c r="V431" s="30" t="str">
        <f ca="1">IFERROR(__xludf.DUMMYFUNCTION("""COMPUTED_VALUE"""),"Ninguna")</f>
        <v>Ninguna</v>
      </c>
      <c r="W431" s="30" t="str">
        <f ca="1">IFERROR(__xludf.DUMMYFUNCTION("""COMPUTED_VALUE"""),"Presencial")</f>
        <v>Presencial</v>
      </c>
      <c r="X431" s="30" t="str">
        <f ca="1">IFERROR(__xludf.DUMMYFUNCTION("""COMPUTED_VALUE"""),"Espacio préstamo a la Secretaría de Cultura")</f>
        <v>Espacio préstamo a la Secretaría de Cultura</v>
      </c>
      <c r="Y431" s="30"/>
      <c r="Z431" s="30"/>
      <c r="AA431" s="30"/>
      <c r="AB431" s="30" t="b">
        <f ca="1">IFERROR(__xludf.DUMMYFUNCTION("""COMPUTED_VALUE"""),FALSE)</f>
        <v>0</v>
      </c>
      <c r="AC431" s="30"/>
      <c r="AD431" s="30" t="b">
        <f ca="1">IFERROR(__xludf.DUMMYFUNCTION("""COMPUTED_VALUE"""),TRUE)</f>
        <v>1</v>
      </c>
      <c r="AE431" s="30">
        <f ca="1">IFERROR(__xludf.DUMMYFUNCTION("""COMPUTED_VALUE"""),1)</f>
        <v>1</v>
      </c>
      <c r="AF431" s="30" t="b">
        <f ca="1">IFERROR(__xludf.DUMMYFUNCTION("""COMPUTED_VALUE"""),FALSE)</f>
        <v>0</v>
      </c>
      <c r="AG431" s="30"/>
      <c r="AH431" s="30" t="str">
        <f ca="1">IFERROR(__xludf.DUMMYFUNCTION("""COMPUTED_VALUE"""),"Sin costo")</f>
        <v>Sin costo</v>
      </c>
      <c r="AI431" s="30"/>
      <c r="AJ431" s="30"/>
      <c r="AK431" s="30"/>
      <c r="AL431" s="30" t="str">
        <f ca="1">IFERROR(__xludf.DUMMYFUNCTION("""COMPUTED_VALUE"""),"claudia.ramirezm@guanajuato.gob.mx")</f>
        <v>claudia.ramirezm@guanajuato.gob.mx</v>
      </c>
      <c r="AM431" s="30" t="str">
        <f ca="1">IFERROR(__xludf.DUMMYFUNCTION("""COMPUTED_VALUE"""),"Mayor inversión en conservación del patrimonio artístico y cultural.")</f>
        <v>Mayor inversión en conservación del patrimonio artístico y cultural.</v>
      </c>
      <c r="AN431" s="30" t="str">
        <f ca="1">IFERROR(__xludf.DUMMYFUNCTION("""COMPUTED_VALUE"""),"2 Igualdad")</f>
        <v>2 Igualdad</v>
      </c>
      <c r="AO431" s="30" t="str">
        <f ca="1">IFERROR(__xludf.DUMMYFUNCTION("""COMPUTED_VALUE"""),"2.2 Fortalecer cohesión social")</f>
        <v>2.2 Fortalecer cohesión social</v>
      </c>
      <c r="AP431" s="30" t="str">
        <f ca="1">IFERROR(__xludf.DUMMYFUNCTION("""COMPUTED_VALUE"""),"2.2 Fortalecer cohesión social")</f>
        <v>2.2 Fortalecer cohesión social</v>
      </c>
      <c r="AQ431" s="30" t="str">
        <f ca="1">IFERROR(__xludf.DUMMYFUNCTION("""COMPUTED_VALUE"""),"2.2.3.2 Promover la participación de grupos prioritarios en actividades culturales")</f>
        <v>2.2.3.2 Promover la participación de grupos prioritarios en actividades culturales</v>
      </c>
      <c r="AR431" s="30" t="str">
        <f ca="1">IFERROR(__xludf.DUMMYFUNCTION("""COMPUTED_VALUE"""),"Ninguno")</f>
        <v>Ninguno</v>
      </c>
      <c r="AS431" s="30"/>
      <c r="AT431" s="30" t="str">
        <f ca="1">IFERROR(__xludf.DUMMYFUNCTION("""COMPUTED_VALUE"""),"Fortalecimiento de la participación ciudadana y la mediación cultural")</f>
        <v>Fortalecimiento de la participación ciudadana y la mediación cultural</v>
      </c>
      <c r="AU431" s="30" t="str">
        <f ca="1">IFERROR(__xludf.DUMMYFUNCTION("""COMPUTED_VALUE"""),"Fortalecimiento del diálogo, la mediación y las capacidades de las redes comunitarias.")</f>
        <v>Fortalecimiento del diálogo, la mediación y las capacidades de las redes comunitarias.</v>
      </c>
      <c r="AV431" s="30" t="str">
        <f ca="1">IFERROR(__xludf.DUMMYFUNCTION("""COMPUTED_VALUE"""),"Diseñar e impartir talleres de formación en derechos culturales")</f>
        <v>Diseñar e impartir talleres de formación en derechos culturales</v>
      </c>
      <c r="AW431" s="30" t="str">
        <f ca="1">IFERROR(__xludf.DUMMYFUNCTION("""COMPUTED_VALUE"""),"Incrementar en 25% la oferta cultural realizada en los municipios.")</f>
        <v>Incrementar en 25% la oferta cultural realizada en los municipios.</v>
      </c>
      <c r="AX431" s="30" t="str">
        <f ca="1">IFERROR(__xludf.DUMMYFUNCTION("""COMPUTED_VALUE"""),"Taller")</f>
        <v>Taller</v>
      </c>
      <c r="AY431" s="30" t="str">
        <f ca="1">IFERROR(__xludf.DUMMYFUNCTION("""COMPUTED_VALUE"""),"Formación")</f>
        <v>Formación</v>
      </c>
      <c r="AZ431" s="30" t="str">
        <f ca="1">IFERROR(__xludf.DUMMYFUNCTION("""COMPUTED_VALUE"""),"Formación")</f>
        <v>Formación</v>
      </c>
      <c r="BA431" s="30" t="str">
        <f ca="1">IFERROR(__xludf.DUMMYFUNCTION("""COMPUTED_VALUE"""),"Impartición de dos talleres de formación e investigación literaria centrados en la escritura poética a través de las genealogías familiares.")</f>
        <v>Impartición de dos talleres de formación e investigación literaria centrados en la escritura poética a través de las genealogías familiares.</v>
      </c>
      <c r="BB431" s="30">
        <f ca="1">IFERROR(__xludf.DUMMYFUNCTION("""COMPUTED_VALUE"""),5)</f>
        <v>5</v>
      </c>
      <c r="BC431" s="30">
        <f ca="1">IFERROR(__xludf.DUMMYFUNCTION("""COMPUTED_VALUE"""),1)</f>
        <v>1</v>
      </c>
      <c r="BD431" s="30" t="str">
        <f ca="1">IFERROR(__xludf.DUMMYFUNCTION("""COMPUTED_VALUE"""),"Nuevo")</f>
        <v>Nuevo</v>
      </c>
      <c r="BE431" s="30" t="str">
        <f ca="1">IFERROR(__xludf.DUMMYFUNCTION("""COMPUTED_VALUE"""),"Ariana Ibañez Barrera")</f>
        <v>Ariana Ibañez Barrera</v>
      </c>
      <c r="BF431" s="30" t="b">
        <f ca="1">IFERROR(__xludf.DUMMYFUNCTION("""COMPUTED_VALUE"""),TRUE)</f>
        <v>1</v>
      </c>
      <c r="BG431" s="30" t="str">
        <f ca="1">IFERROR(__xludf.DUMMYFUNCTION("""COMPUTED_VALUE"""),"Económico")</f>
        <v>Económico</v>
      </c>
      <c r="BH431" s="30">
        <f ca="1">IFERROR(__xludf.DUMMYFUNCTION("""COMPUTED_VALUE"""),60668)</f>
        <v>60668</v>
      </c>
      <c r="BI431" s="30"/>
      <c r="BJ431" s="30"/>
      <c r="BK431" s="30"/>
      <c r="BL431" s="30"/>
      <c r="BM431" s="30" t="str">
        <f ca="1">IFERROR(__xludf.DUMMYFUNCTION("""COMPUTED_VALUE"""),"No")</f>
        <v>No</v>
      </c>
      <c r="BN431" s="30"/>
      <c r="BO431" s="30" t="str">
        <f ca="1">IFERROR(__xludf.DUMMYFUNCTION("""COMPUTED_VALUE"""),"ed4b2e62")</f>
        <v>ed4b2e62</v>
      </c>
      <c r="BP431" s="29" t="str">
        <f ca="1">IFERROR(__xludf.DUMMYFUNCTION("""COMPUTED_VALUE"""),"Salamanca")</f>
        <v>Salamanca</v>
      </c>
      <c r="BQ431" s="30" t="str">
        <f ca="1">IFERROR(__xludf.DUMMYFUNCTION("""COMPUTED_VALUE"""),"Urbano")</f>
        <v>Urbano</v>
      </c>
      <c r="BR431" s="30">
        <f ca="1">IFERROR(__xludf.DUMMYFUNCTION("""COMPUTED_VALUE"""),181)</f>
        <v>181</v>
      </c>
      <c r="BS431" s="30" t="str">
        <f ca="1">IFERROR(__xludf.DUMMYFUNCTION("""COMPUTED_VALUE"""),"Salamanca")</f>
        <v>Salamanca</v>
      </c>
      <c r="BT431" s="30"/>
      <c r="BU431" s="30" t="str">
        <f ca="1">IFERROR(__xludf.DUMMYFUNCTION("""COMPUTED_VALUE"""),"Si")</f>
        <v>Si</v>
      </c>
      <c r="BV431" s="30" t="str">
        <f ca="1">IFERROR(__xludf.DUMMYFUNCTION("""COMPUTED_VALUE"""),"Si")</f>
        <v>Si</v>
      </c>
      <c r="BW431" s="30">
        <f ca="1">IFERROR(__xludf.DUMMYFUNCTION("""COMPUTED_VALUE"""),15)</f>
        <v>15</v>
      </c>
      <c r="BX431" s="30">
        <f ca="1">IFERROR(__xludf.DUMMYFUNCTION("""COMPUTED_VALUE"""),2)</f>
        <v>2</v>
      </c>
      <c r="BY431" s="30">
        <f ca="1">IFERROR(__xludf.DUMMYFUNCTION("""COMPUTED_VALUE"""),13)</f>
        <v>13</v>
      </c>
      <c r="BZ431" s="30" t="str">
        <f ca="1">IFERROR(__xludf.DUMMYFUNCTION("""COMPUTED_VALUE"""),"Salamanca")</f>
        <v>Salamanca</v>
      </c>
      <c r="CA431" s="30" t="str">
        <f ca="1">IFERROR(__xludf.DUMMYFUNCTION("""COMPUTED_VALUE"""),"No")</f>
        <v>No</v>
      </c>
      <c r="CB431" s="30" t="str">
        <f ca="1">IFERROR(__xludf.DUMMYFUNCTION("""COMPUTED_VALUE"""),"No")</f>
        <v>No</v>
      </c>
      <c r="CC431" s="30" t="str">
        <f ca="1">IFERROR(__xludf.DUMMYFUNCTION("""COMPUTED_VALUE"""),"6b5dc275")</f>
        <v>6b5dc275</v>
      </c>
      <c r="CD431" s="29" t="str">
        <f ca="1">IFERROR(__xludf.DUMMYFUNCTION("""COMPUTED_VALUE"""),"Jóvenes (18 a 29 años)")</f>
        <v>Jóvenes (18 a 29 años)</v>
      </c>
      <c r="CE431" s="30" t="str">
        <f ca="1">IFERROR(__xludf.DUMMYFUNCTION("""COMPUTED_VALUE"""),"Hombre")</f>
        <v>Hombre</v>
      </c>
      <c r="CF431" s="30" t="str">
        <f ca="1">IFERROR(__xludf.DUMMYFUNCTION("""COMPUTED_VALUE"""),"Ninguno (Población General)")</f>
        <v>Ninguno (Población General)</v>
      </c>
      <c r="CG431" s="30">
        <f ca="1">IFERROR(__xludf.DUMMYFUNCTION("""COMPUTED_VALUE"""),4)</f>
        <v>4</v>
      </c>
      <c r="CJ431" s="29"/>
      <c r="CM431" s="30" t="str">
        <f ca="1">IFERROR(__xludf.DUMMYFUNCTION("""COMPUTED_VALUE"""),"Salamanca")</f>
        <v>Salamanca</v>
      </c>
      <c r="CN431" s="32" t="e">
        <f ca="1"/>
        <v>#NAME?</v>
      </c>
      <c r="CO431" s="32" t="e">
        <f ca="1"/>
        <v>#NAME?</v>
      </c>
      <c r="CP431" s="32" t="e">
        <f ca="1"/>
        <v>#NAME?</v>
      </c>
      <c r="CQ431" s="32" t="e">
        <f ca="1"/>
        <v>#NAME?</v>
      </c>
      <c r="CR431" s="30" t="e">
        <f ca="1"/>
        <v>#NAME?</v>
      </c>
      <c r="CS431" s="30" t="str">
        <f ca="1">IFERROR(__xludf.DUMMYFUNCTION("""COMPUTED_VALUE"""),"Ninguno (Población General), NNA (Niñas, Niños y Adolescentes), NNA (Niñas, Niños y Adolescentes)")</f>
        <v>Ninguno (Población General), NNA (Niñas, Niños y Adolescentes), NNA (Niñas, Niños y Adolescentes)</v>
      </c>
    </row>
    <row r="432" spans="1:97" ht="13">
      <c r="A432" s="29" t="str">
        <f ca="1">IFERROR(__xludf.DUMMYFUNCTION("""COMPUTED_VALUE"""),"ACT-SCWB12949")</f>
        <v>ACT-SCWB12949</v>
      </c>
      <c r="B432" s="30" t="str">
        <f ca="1">IFERROR(__xludf.DUMMYFUNCTION("""COMPUTED_VALUE"""),"SC-260918-165012")</f>
        <v>SC-260918-165012</v>
      </c>
      <c r="C432" s="62">
        <f ca="1">IFERROR(__xludf.DUMMYFUNCTION("""COMPUTED_VALUE"""),46283.7015277777)</f>
        <v>46283.701527777703</v>
      </c>
      <c r="D432" s="30">
        <f ca="1">IFERROR(__xludf.DUMMYFUNCTION("""COMPUTED_VALUE"""),71)</f>
        <v>71</v>
      </c>
      <c r="E432" s="30" t="str">
        <f ca="1">IFERROR(__xludf.DUMMYFUNCTION("""COMPUTED_VALUE"""),"PB3567")</f>
        <v>PB3567</v>
      </c>
      <c r="F432" s="30" t="str">
        <f ca="1">IFERROR(__xludf.DUMMYFUNCTION("""COMPUTED_VALUE"""),"Formación e Investigación Artística")</f>
        <v>Formación e Investigación Artística</v>
      </c>
      <c r="G432"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32" s="30" t="str">
        <f ca="1">IFERROR(__xludf.DUMMYFUNCTION("""COMPUTED_VALUE"""),"SUBSECRETARÍA DE DESARROLLO COMUNITARIO Y PROMOCIÓN PATRIMONIAL")</f>
        <v>SUBSECRETARÍA DE DESARROLLO COMUNITARIO Y PROMOCIÓN PATRIMONIAL</v>
      </c>
      <c r="I432" s="34" t="str">
        <f ca="1">IFERROR(__xludf.DUMMYFUNCTION("""COMPUTED_VALUE"""),"DIRECCIÓN GENERAL DE FORMACIÓN E INVESTIGACIÓN")</f>
        <v>DIRECCIÓN GENERAL DE FORMACIÓN E INVESTIGACIÓN</v>
      </c>
      <c r="J432" s="30" t="str">
        <f ca="1">IFERROR(__xludf.DUMMYFUNCTION("""COMPUTED_VALUE"""),"Cursos, talleres, diplomados realizados")</f>
        <v>Cursos, talleres, diplomados realizados</v>
      </c>
      <c r="K432" s="30">
        <f ca="1">IFERROR(__xludf.DUMMYFUNCTION("""COMPUTED_VALUE"""),4)</f>
        <v>4</v>
      </c>
      <c r="L432" s="30" t="str">
        <f ca="1">IFERROR(__xludf.DUMMYFUNCTION("""COMPUTED_VALUE"""),"Artística")</f>
        <v>Artística</v>
      </c>
      <c r="M432" s="30" t="str">
        <f ca="1">IFERROR(__xludf.DUMMYFUNCTION("""COMPUTED_VALUE"""),"ENCLAVE 2026. Poéticas de Origen Futuro Taller de Códigos Poéticos Expandidos")</f>
        <v>ENCLAVE 2026. Poéticas de Origen Futuro Taller de Códigos Poéticos Expandidos</v>
      </c>
      <c r="N432" s="30" t="str">
        <f ca="1">IFERROR(__xludf.DUMMYFUNCTION("""COMPUTED_VALUE"""),"El Taller Enclave 2026: Poéticas de origen futuro es un espacio de exploración creativa que articula la poesía con el live coding como práctica artística contemporánea. A través de la escritura en tiempo real y el uso de herramientas digitales, las y los "&amp;"participantes experimentan nuevas formas de creación poética donde el código se convierte en lenguaje expresivo, performativo y generador de sentido. El taller propone un diálogo entre lo humano y lo tecnológico, explorando cómo los procesos algorítmicos "&amp;"pueden expandir las posibilidades de la palabra, el ritmo y la narrativa. Desde una perspectiva experimental, se construyen piezas que integran texto, sonido y ejecución en vivo, abriendo rutas hacia una poética situada en el presente pero proyectada haci"&amp;"a futuros posibles.")</f>
        <v>El Taller Enclave 2026: Poéticas de origen futuro es un espacio de exploración creativa que articula la poesía con el live coding como práctica artística contemporánea. A través de la escritura en tiempo real y el uso de herramientas digitales, las y los participantes experimentan nuevas formas de creación poética donde el código se convierte en lenguaje expresivo, performativo y generador de sentido. El taller propone un diálogo entre lo humano y lo tecnológico, explorando cómo los procesos algorítmicos pueden expandir las posibilidades de la palabra, el ritmo y la narrativa. Desde una perspectiva experimental, se construyen piezas que integran texto, sonido y ejecución en vivo, abriendo rutas hacia una poética situada en el presente pero proyectada hacia futuros posibles.</v>
      </c>
      <c r="O432" s="30" t="str">
        <f ca="1">IFERROR(__xludf.DUMMYFUNCTION("""COMPUTED_VALUE"""),"Diaria")</f>
        <v>Diaria</v>
      </c>
      <c r="P432" s="33">
        <f ca="1">IFERROR(__xludf.DUMMYFUNCTION("""COMPUTED_VALUE"""),46099)</f>
        <v>46099</v>
      </c>
      <c r="Q432" s="33">
        <f ca="1">IFERROR(__xludf.DUMMYFUNCTION("""COMPUTED_VALUE"""),46102)</f>
        <v>46102</v>
      </c>
      <c r="R432" s="30">
        <f ca="1">IFERROR(__xludf.DUMMYFUNCTION("""COMPUTED_VALUE"""),4)</f>
        <v>4</v>
      </c>
      <c r="S432" s="30" t="str">
        <f ca="1">IFERROR(__xludf.DUMMYFUNCTION("""COMPUTED_VALUE"""),"Artes visuales")</f>
        <v>Artes visuales</v>
      </c>
      <c r="T432" s="30" t="str">
        <f ca="1">IFERROR(__xludf.DUMMYFUNCTION("""COMPUTED_VALUE"""),"Arte digital")</f>
        <v>Arte digital</v>
      </c>
      <c r="U432" s="30" t="str">
        <f ca="1">IFERROR(__xludf.DUMMYFUNCTION("""COMPUTED_VALUE"""),"Taller")</f>
        <v>Taller</v>
      </c>
      <c r="V432" s="30" t="str">
        <f ca="1">IFERROR(__xludf.DUMMYFUNCTION("""COMPUTED_VALUE"""),"Ninguna")</f>
        <v>Ninguna</v>
      </c>
      <c r="W432" s="30" t="str">
        <f ca="1">IFERROR(__xludf.DUMMYFUNCTION("""COMPUTED_VALUE"""),"Híbrido")</f>
        <v>Híbrido</v>
      </c>
      <c r="X432" s="30" t="str">
        <f ca="1">IFERROR(__xludf.DUMMYFUNCTION("""COMPUTED_VALUE"""),"Espacio préstamo a la Secretaría de Cultura")</f>
        <v>Espacio préstamo a la Secretaría de Cultura</v>
      </c>
      <c r="Y432" s="30"/>
      <c r="Z432" s="30"/>
      <c r="AA432" s="30"/>
      <c r="AB432" s="30" t="b">
        <f ca="1">IFERROR(__xludf.DUMMYFUNCTION("""COMPUTED_VALUE"""),FALSE)</f>
        <v>0</v>
      </c>
      <c r="AC432" s="30"/>
      <c r="AD432" s="30" t="b">
        <f ca="1">IFERROR(__xludf.DUMMYFUNCTION("""COMPUTED_VALUE"""),TRUE)</f>
        <v>1</v>
      </c>
      <c r="AE432" s="30">
        <f ca="1">IFERROR(__xludf.DUMMYFUNCTION("""COMPUTED_VALUE"""),1)</f>
        <v>1</v>
      </c>
      <c r="AF432" s="30" t="b">
        <f ca="1">IFERROR(__xludf.DUMMYFUNCTION("""COMPUTED_VALUE"""),FALSE)</f>
        <v>0</v>
      </c>
      <c r="AG432" s="30"/>
      <c r="AH432" s="30" t="str">
        <f ca="1">IFERROR(__xludf.DUMMYFUNCTION("""COMPUTED_VALUE"""),"Sin costo")</f>
        <v>Sin costo</v>
      </c>
      <c r="AI432" s="30"/>
      <c r="AJ432" s="30"/>
      <c r="AK432" s="30"/>
      <c r="AL432" s="30" t="str">
        <f ca="1">IFERROR(__xludf.DUMMYFUNCTION("""COMPUTED_VALUE"""),"claudia.ramirezm@guanajuato.gob.mx")</f>
        <v>claudia.ramirezm@guanajuato.gob.mx</v>
      </c>
      <c r="AM432"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432" s="30" t="str">
        <f ca="1">IFERROR(__xludf.DUMMYFUNCTION("""COMPUTED_VALUE"""),"1 Tranquilidad")</f>
        <v>1 Tranquilidad</v>
      </c>
      <c r="AO432" s="30" t="str">
        <f ca="1">IFERROR(__xludf.DUMMYFUNCTION("""COMPUTED_VALUE"""),"1.2 Fortalecer prevención del delito")</f>
        <v>1.2 Fortalecer prevención del delito</v>
      </c>
      <c r="AP432" s="30" t="str">
        <f ca="1">IFERROR(__xludf.DUMMYFUNCTION("""COMPUTED_VALUE"""),"1.2.2 Fortalecimiento del tejido social")</f>
        <v>1.2.2 Fortalecimiento del tejido social</v>
      </c>
      <c r="AQ432" s="30" t="str">
        <f ca="1">IFERROR(__xludf.DUMMYFUNCTION("""COMPUTED_VALUE"""),"1.2.3.4 Promover una cultura de paz desde las expresiones artísticas y culturales")</f>
        <v>1.2.3.4 Promover una cultura de paz desde las expresiones artísticas y culturales</v>
      </c>
      <c r="AR432" s="30" t="str">
        <f ca="1">IFERROR(__xludf.DUMMYFUNCTION("""COMPUTED_VALUE"""),"Inclusión")</f>
        <v>Inclusión</v>
      </c>
      <c r="AS432" s="30" t="str">
        <f ca="1">IFERROR(__xludf.DUMMYFUNCTION("""COMPUTED_VALUE"""),"Ninguno (Población General)")</f>
        <v>Ninguno (Población General)</v>
      </c>
      <c r="AT432" s="30" t="str">
        <f ca="1">IFERROR(__xludf.DUMMYFUNCTION("""COMPUTED_VALUE"""),"Impulso a la educación artística y a la profesionalización del sector cultural")</f>
        <v>Impulso a la educación artística y a la profesionalización del sector cultural</v>
      </c>
      <c r="AU432" s="30" t="str">
        <f ca="1">IFERROR(__xludf.DUMMYFUNCTION("""COMPUTED_VALUE"""),"Impulso a programas de formación y profesionalización para agentes culturales.")</f>
        <v>Impulso a programas de formación y profesionalización para agentes culturales.</v>
      </c>
      <c r="AV432"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2" s="30" t="str">
        <f ca="1">IFERROR(__xludf.DUMMYFUNCTION("""COMPUTED_VALUE"""),"Incrementar un 30% la oferta de formación y profesionalización para agentes culturales.")</f>
        <v>Incrementar un 30% la oferta de formación y profesionalización para agentes culturales.</v>
      </c>
      <c r="AX432" s="30" t="str">
        <f ca="1">IFERROR(__xludf.DUMMYFUNCTION("""COMPUTED_VALUE"""),"Taller")</f>
        <v>Taller</v>
      </c>
      <c r="AY432" s="30" t="str">
        <f ca="1">IFERROR(__xludf.DUMMYFUNCTION("""COMPUTED_VALUE"""),"Formación")</f>
        <v>Formación</v>
      </c>
      <c r="AZ432" s="30" t="str">
        <f ca="1">IFERROR(__xludf.DUMMYFUNCTION("""COMPUTED_VALUE"""),"Formación")</f>
        <v>Formación</v>
      </c>
      <c r="BA432" s="30" t="str">
        <f ca="1">IFERROR(__xludf.DUMMYFUNCTION("""COMPUTED_VALUE"""),"Taller enfocado en la experimentación y creación audiovisual en tiempo real mediante herramientas de live coding. A través de la interacción entre sonido, imagen y texto, el espacio propone al código como un lenguaje performativo y crítico, promoviendo me"&amp;"todologías de trabajo colaborativo que integran la improvisación para la construcción de narrativas abiertas y poéticas contemporáneas.")</f>
        <v>Taller enfocado en la experimentación y creación audiovisual en tiempo real mediante herramientas de live coding. A través de la interacción entre sonido, imagen y texto, el espacio propone al código como un lenguaje performativo y crítico, promoviendo metodologías de trabajo colaborativo que integran la improvisación para la construcción de narrativas abiertas y poéticas contemporáneas.</v>
      </c>
      <c r="BB432" s="30">
        <f ca="1">IFERROR(__xludf.DUMMYFUNCTION("""COMPUTED_VALUE"""),5)</f>
        <v>5</v>
      </c>
      <c r="BC432" s="30">
        <f ca="1">IFERROR(__xludf.DUMMYFUNCTION("""COMPUTED_VALUE"""),3)</f>
        <v>3</v>
      </c>
      <c r="BD432" s="30" t="str">
        <f ca="1">IFERROR(__xludf.DUMMYFUNCTION("""COMPUTED_VALUE"""),"Apoyado con anterioridad")</f>
        <v>Apoyado con anterioridad</v>
      </c>
      <c r="BE432" s="30" t="str">
        <f ca="1">IFERROR(__xludf.DUMMYFUNCTION("""COMPUTED_VALUE"""),"Rocío Jazmín Cerón Flores, Malintzin Cortés, Vinicius Marquet")</f>
        <v>Rocío Jazmín Cerón Flores, Malintzin Cortés, Vinicius Marquet</v>
      </c>
      <c r="BF432" s="30" t="b">
        <f ca="1">IFERROR(__xludf.DUMMYFUNCTION("""COMPUTED_VALUE"""),TRUE)</f>
        <v>1</v>
      </c>
      <c r="BG432" s="30" t="str">
        <f ca="1">IFERROR(__xludf.DUMMYFUNCTION("""COMPUTED_VALUE"""),"Económico")</f>
        <v>Económico</v>
      </c>
      <c r="BH432" s="30">
        <f ca="1">IFERROR(__xludf.DUMMYFUNCTION("""COMPUTED_VALUE"""),108000)</f>
        <v>108000</v>
      </c>
      <c r="BI432" s="30"/>
      <c r="BJ432" s="30"/>
      <c r="BK432" s="30"/>
      <c r="BL432" s="30" t="str">
        <f ca="1">IFERROR(__xludf.DUMMYFUNCTION("""COMPUTED_VALUE"""),"Acompañamiento en las actividades impartidas en el taller.")</f>
        <v>Acompañamiento en las actividades impartidas en el taller.</v>
      </c>
      <c r="BM432" s="30" t="str">
        <f ca="1">IFERROR(__xludf.DUMMYFUNCTION("""COMPUTED_VALUE"""),"No")</f>
        <v>No</v>
      </c>
      <c r="BN432" s="30" t="str">
        <f ca="1">IFERROR(__xludf.DUMMYFUNCTION("""COMPUTED_VALUE"""),"Acompañamiento Técnico")</f>
        <v>Acompañamiento Técnico</v>
      </c>
      <c r="BO432" s="30" t="str">
        <f ca="1">IFERROR(__xludf.DUMMYFUNCTION("""COMPUTED_VALUE"""),"ac2dd1b5")</f>
        <v>ac2dd1b5</v>
      </c>
      <c r="BP432" s="29" t="str">
        <f ca="1">IFERROR(__xludf.DUMMYFUNCTION("""COMPUTED_VALUE"""),"Salamanca")</f>
        <v>Salamanca</v>
      </c>
      <c r="BQ432" s="30" t="str">
        <f ca="1">IFERROR(__xludf.DUMMYFUNCTION("""COMPUTED_VALUE"""),"Urbano")</f>
        <v>Urbano</v>
      </c>
      <c r="BR432" s="30">
        <f ca="1">IFERROR(__xludf.DUMMYFUNCTION("""COMPUTED_VALUE"""),181)</f>
        <v>181</v>
      </c>
      <c r="BS432" s="30" t="str">
        <f ca="1">IFERROR(__xludf.DUMMYFUNCTION("""COMPUTED_VALUE"""),"Salamanca")</f>
        <v>Salamanca</v>
      </c>
      <c r="BT432" s="30"/>
      <c r="BU432" s="30" t="str">
        <f ca="1">IFERROR(__xludf.DUMMYFUNCTION("""COMPUTED_VALUE"""),"Si")</f>
        <v>Si</v>
      </c>
      <c r="BV432" s="30" t="str">
        <f ca="1">IFERROR(__xludf.DUMMYFUNCTION("""COMPUTED_VALUE"""),"Si")</f>
        <v>Si</v>
      </c>
      <c r="BW432" s="30">
        <f ca="1">IFERROR(__xludf.DUMMYFUNCTION("""COMPUTED_VALUE"""),21)</f>
        <v>21</v>
      </c>
      <c r="BX432" s="30">
        <f ca="1">IFERROR(__xludf.DUMMYFUNCTION("""COMPUTED_VALUE"""),3)</f>
        <v>3</v>
      </c>
      <c r="BY432" s="30">
        <f ca="1">IFERROR(__xludf.DUMMYFUNCTION("""COMPUTED_VALUE"""),18)</f>
        <v>18</v>
      </c>
      <c r="BZ432" s="30" t="str">
        <f ca="1">IFERROR(__xludf.DUMMYFUNCTION("""COMPUTED_VALUE"""),"Salamanca")</f>
        <v>Salamanca</v>
      </c>
      <c r="CA432" s="30" t="str">
        <f ca="1">IFERROR(__xludf.DUMMYFUNCTION("""COMPUTED_VALUE"""),"No")</f>
        <v>No</v>
      </c>
      <c r="CB432" s="30" t="str">
        <f ca="1">IFERROR(__xludf.DUMMYFUNCTION("""COMPUTED_VALUE"""),"No")</f>
        <v>No</v>
      </c>
      <c r="CC432" s="30" t="str">
        <f ca="1">IFERROR(__xludf.DUMMYFUNCTION("""COMPUTED_VALUE"""),"2bba8c7b")</f>
        <v>2bba8c7b</v>
      </c>
      <c r="CD432" s="29" t="str">
        <f ca="1">IFERROR(__xludf.DUMMYFUNCTION("""COMPUTED_VALUE"""),"Jóvenes (18 a 29 años)")</f>
        <v>Jóvenes (18 a 29 años)</v>
      </c>
      <c r="CE432" s="30" t="str">
        <f ca="1">IFERROR(__xludf.DUMMYFUNCTION("""COMPUTED_VALUE"""),"Mujer")</f>
        <v>Mujer</v>
      </c>
      <c r="CF432" s="30" t="str">
        <f ca="1">IFERROR(__xludf.DUMMYFUNCTION("""COMPUTED_VALUE"""),"Ninguno (Población General)")</f>
        <v>Ninguno (Población General)</v>
      </c>
      <c r="CG432" s="30">
        <f ca="1">IFERROR(__xludf.DUMMYFUNCTION("""COMPUTED_VALUE"""),3)</f>
        <v>3</v>
      </c>
      <c r="CJ432" s="29"/>
      <c r="CM432" s="30" t="str">
        <f ca="1">IFERROR(__xludf.DUMMYFUNCTION("""COMPUTED_VALUE"""),"Salamanca")</f>
        <v>Salamanca</v>
      </c>
      <c r="CN432" s="32" t="e">
        <f ca="1"/>
        <v>#NAME?</v>
      </c>
      <c r="CO432" s="32" t="e">
        <f ca="1"/>
        <v>#NAME?</v>
      </c>
      <c r="CP432" s="32" t="e">
        <f ca="1"/>
        <v>#NAME?</v>
      </c>
      <c r="CQ432" s="32" t="e">
        <f ca="1"/>
        <v>#NAME?</v>
      </c>
      <c r="CR432" s="30" t="e">
        <f ca="1"/>
        <v>#NAME?</v>
      </c>
      <c r="CS432"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33" spans="1:97" ht="13">
      <c r="A433" s="29" t="str">
        <f ca="1">IFERROR(__xludf.DUMMYFUNCTION("""COMPUTED_VALUE"""),"ACT-SCJH52543")</f>
        <v>ACT-SCJH52543</v>
      </c>
      <c r="B433" s="30" t="str">
        <f ca="1">IFERROR(__xludf.DUMMYFUNCTION("""COMPUTED_VALUE"""),"SC-260921-110314")</f>
        <v>SC-260921-110314</v>
      </c>
      <c r="C433" s="62">
        <f ca="1">IFERROR(__xludf.DUMMYFUNCTION("""COMPUTED_VALUE"""),46286.4605787037)</f>
        <v>46286.4605787037</v>
      </c>
      <c r="D433" s="30">
        <f ca="1">IFERROR(__xludf.DUMMYFUNCTION("""COMPUTED_VALUE"""),29)</f>
        <v>29</v>
      </c>
      <c r="E433" s="30" t="str">
        <f ca="1">IFERROR(__xludf.DUMMYFUNCTION("""COMPUTED_VALUE"""),"QC4049")</f>
        <v>QC4049</v>
      </c>
      <c r="F433" s="30" t="str">
        <f ca="1">IFERROR(__xludf.DUMMYFUNCTION("""COMPUTED_VALUE"""),"Centro de las Artes de Guanajuato, Claustro Mayor")</f>
        <v>Centro de las Artes de Guanajuato, Claustro Mayor</v>
      </c>
      <c r="G433"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33" s="30" t="str">
        <f ca="1">IFERROR(__xludf.DUMMYFUNCTION("""COMPUTED_VALUE"""),"SUBSECRETARÍA DE DESARROLLO COMUNITARIO Y PROMOCIÓN PATRIMONIAL")</f>
        <v>SUBSECRETARÍA DE DESARROLLO COMUNITARIO Y PROMOCIÓN PATRIMONIAL</v>
      </c>
      <c r="I433" s="34" t="str">
        <f ca="1">IFERROR(__xludf.DUMMYFUNCTION("""COMPUTED_VALUE"""),"DIRECCIÓN GENERAL DE FORMACIÓN E INVESTIGACIÓN")</f>
        <v>DIRECCIÓN GENERAL DE FORMACIÓN E INVESTIGACIÓN</v>
      </c>
      <c r="J433" s="30" t="str">
        <f ca="1">IFERROR(__xludf.DUMMYFUNCTION("""COMPUTED_VALUE"""),"Actividades realizadas")</f>
        <v>Actividades realizadas</v>
      </c>
      <c r="K433" s="30">
        <f ca="1">IFERROR(__xludf.DUMMYFUNCTION("""COMPUTED_VALUE"""),16)</f>
        <v>16</v>
      </c>
      <c r="L433" s="30" t="str">
        <f ca="1">IFERROR(__xludf.DUMMYFUNCTION("""COMPUTED_VALUE"""),"Artística")</f>
        <v>Artística</v>
      </c>
      <c r="M433" s="30" t="str">
        <f ca="1">IFERROR(__xludf.DUMMYFUNCTION("""COMPUTED_VALUE"""),"Taller "" La cuerpa. Actividades sensoriales y sensibles""")</f>
        <v>Taller " La cuerpa. Actividades sensoriales y sensibles"</v>
      </c>
      <c r="N433" s="30" t="str">
        <f ca="1">IFERROR(__xludf.DUMMYFUNCTION("""COMPUTED_VALUE"""),"La cuerpa: Actividades sensoriales y sensibles"" es un espacio de encuentro y exploración diseñado para reconectar con los sentidos, la escucha interna y la expresividad desde una perspectiva empática y de liberación.")</f>
        <v>La cuerpa: Actividades sensoriales y sensibles" es un espacio de encuentro y exploración diseñado para reconectar con los sentidos, la escucha interna y la expresividad desde una perspectiva empática y de liberación.</v>
      </c>
      <c r="O433" s="30" t="str">
        <f ca="1">IFERROR(__xludf.DUMMYFUNCTION("""COMPUTED_VALUE"""),"Única")</f>
        <v>Única</v>
      </c>
      <c r="P433" s="33">
        <f ca="1">IFERROR(__xludf.DUMMYFUNCTION("""COMPUTED_VALUE"""),46200)</f>
        <v>46200</v>
      </c>
      <c r="Q433" s="33">
        <f ca="1">IFERROR(__xludf.DUMMYFUNCTION("""COMPUTED_VALUE"""),46200)</f>
        <v>46200</v>
      </c>
      <c r="R433" s="30">
        <f ca="1">IFERROR(__xludf.DUMMYFUNCTION("""COMPUTED_VALUE"""),1)</f>
        <v>1</v>
      </c>
      <c r="S433" s="30" t="str">
        <f ca="1">IFERROR(__xludf.DUMMYFUNCTION("""COMPUTED_VALUE"""),"Artes visuales")</f>
        <v>Artes visuales</v>
      </c>
      <c r="T433" s="30" t="str">
        <f ca="1">IFERROR(__xludf.DUMMYFUNCTION("""COMPUTED_VALUE"""),"Arte urbano")</f>
        <v>Arte urbano</v>
      </c>
      <c r="U433" s="30" t="str">
        <f ca="1">IFERROR(__xludf.DUMMYFUNCTION("""COMPUTED_VALUE"""),"Taller")</f>
        <v>Taller</v>
      </c>
      <c r="V433" s="30" t="str">
        <f ca="1">IFERROR(__xludf.DUMMYFUNCTION("""COMPUTED_VALUE"""),"Ninguna")</f>
        <v>Ninguna</v>
      </c>
      <c r="W433" s="30" t="str">
        <f ca="1">IFERROR(__xludf.DUMMYFUNCTION("""COMPUTED_VALUE"""),"Presencial")</f>
        <v>Presencial</v>
      </c>
      <c r="X433" s="30" t="str">
        <f ca="1">IFERROR(__xludf.DUMMYFUNCTION("""COMPUTED_VALUE"""),"Espacio préstamo a la Secretaría de Cultura")</f>
        <v>Espacio préstamo a la Secretaría de Cultura</v>
      </c>
      <c r="Y433" s="30"/>
      <c r="Z433" s="30"/>
      <c r="AA433" s="30"/>
      <c r="AB433" s="30" t="b">
        <f ca="1">IFERROR(__xludf.DUMMYFUNCTION("""COMPUTED_VALUE"""),FALSE)</f>
        <v>0</v>
      </c>
      <c r="AC433" s="30"/>
      <c r="AD433" s="30" t="b">
        <f ca="1">IFERROR(__xludf.DUMMYFUNCTION("""COMPUTED_VALUE"""),TRUE)</f>
        <v>1</v>
      </c>
      <c r="AE433" s="30">
        <f ca="1">IFERROR(__xludf.DUMMYFUNCTION("""COMPUTED_VALUE"""),1)</f>
        <v>1</v>
      </c>
      <c r="AF433" s="30" t="b">
        <f ca="1">IFERROR(__xludf.DUMMYFUNCTION("""COMPUTED_VALUE"""),FALSE)</f>
        <v>0</v>
      </c>
      <c r="AG433" s="30"/>
      <c r="AH433" s="30" t="str">
        <f ca="1">IFERROR(__xludf.DUMMYFUNCTION("""COMPUTED_VALUE"""),"Sin costo")</f>
        <v>Sin costo</v>
      </c>
      <c r="AI433" s="30"/>
      <c r="AJ433" s="30"/>
      <c r="AK433" s="30"/>
      <c r="AL433" s="30" t="str">
        <f ca="1">IFERROR(__xludf.DUMMYFUNCTION("""COMPUTED_VALUE"""),"claudia.ramirezm@guanajuato.gob.mx")</f>
        <v>claudia.ramirezm@guanajuato.gob.mx</v>
      </c>
      <c r="AM433" s="30" t="str">
        <f ca="1">IFERROR(__xludf.DUMMYFUNCTION("""COMPUTED_VALUE"""),"Mayor inversión en conservación del patrimonio artístico y cultural.")</f>
        <v>Mayor inversión en conservación del patrimonio artístico y cultural.</v>
      </c>
      <c r="AN433" s="30" t="str">
        <f ca="1">IFERROR(__xludf.DUMMYFUNCTION("""COMPUTED_VALUE"""),"2 Igualdad")</f>
        <v>2 Igualdad</v>
      </c>
      <c r="AO433" s="30" t="str">
        <f ca="1">IFERROR(__xludf.DUMMYFUNCTION("""COMPUTED_VALUE"""),"2.2 Fortalecer cohesión social")</f>
        <v>2.2 Fortalecer cohesión social</v>
      </c>
      <c r="AP433" s="30" t="str">
        <f ca="1">IFERROR(__xludf.DUMMYFUNCTION("""COMPUTED_VALUE"""),"2.2 Fortalecer cohesión social")</f>
        <v>2.2 Fortalecer cohesión social</v>
      </c>
      <c r="AQ433" s="30" t="str">
        <f ca="1">IFERROR(__xludf.DUMMYFUNCTION("""COMPUTED_VALUE"""),"2.2.3.2 Promover la participación de grupos prioritarios en actividades culturales")</f>
        <v>2.2.3.2 Promover la participación de grupos prioritarios en actividades culturales</v>
      </c>
      <c r="AR433" s="30" t="str">
        <f ca="1">IFERROR(__xludf.DUMMYFUNCTION("""COMPUTED_VALUE"""),"Ninguno")</f>
        <v>Ninguno</v>
      </c>
      <c r="AS433" s="30"/>
      <c r="AT433" s="30" t="str">
        <f ca="1">IFERROR(__xludf.DUMMYFUNCTION("""COMPUTED_VALUE"""),"Fortalecimiento de la participación ciudadana y la mediación cultural")</f>
        <v>Fortalecimiento de la participación ciudadana y la mediación cultural</v>
      </c>
      <c r="AU433" s="30" t="str">
        <f ca="1">IFERROR(__xludf.DUMMYFUNCTION("""COMPUTED_VALUE"""),"Fortalecimiento del diálogo, la mediación y las capacidades de las redes comunitarias.")</f>
        <v>Fortalecimiento del diálogo, la mediación y las capacidades de las redes comunitarias.</v>
      </c>
      <c r="AV433" s="30" t="str">
        <f ca="1">IFERROR(__xludf.DUMMYFUNCTION("""COMPUTED_VALUE"""),"Diseñar e impartir talleres de formación en derechos culturales")</f>
        <v>Diseñar e impartir talleres de formación en derechos culturales</v>
      </c>
      <c r="AW433" s="30" t="str">
        <f ca="1">IFERROR(__xludf.DUMMYFUNCTION("""COMPUTED_VALUE"""),"Incrementar en 25% la oferta cultural realizada en los municipios.")</f>
        <v>Incrementar en 25% la oferta cultural realizada en los municipios.</v>
      </c>
      <c r="AX433" s="30" t="str">
        <f ca="1">IFERROR(__xludf.DUMMYFUNCTION("""COMPUTED_VALUE"""),"Taller")</f>
        <v>Taller</v>
      </c>
      <c r="AY433" s="30" t="str">
        <f ca="1">IFERROR(__xludf.DUMMYFUNCTION("""COMPUTED_VALUE"""),"Formación")</f>
        <v>Formación</v>
      </c>
      <c r="AZ433" s="30" t="str">
        <f ca="1">IFERROR(__xludf.DUMMYFUNCTION("""COMPUTED_VALUE"""),"Formación")</f>
        <v>Formación</v>
      </c>
      <c r="BA433" s="30" t="str">
        <f ca="1">IFERROR(__xludf.DUMMYFUNCTION("""COMPUTED_VALUE"""),"El taller presencial ""La cuerpa: Actividades sensoriales y sensibles"" es una experiencia vivencial de exploración corporal y sensibilidad artística. Combina dinámicas de integración sensorial, movimiento libre y creación colectiv. Está diseñado para rec"&amp;"onectar con los sentidos y la expresión corporal en un ambiente seguro de trabajo en equipo.")</f>
        <v>El taller presencial "La cuerpa: Actividades sensoriales y sensibles" es una experiencia vivencial de exploración corporal y sensibilidad artística. Combina dinámicas de integración sensorial, movimiento libre y creación colectiv. Está diseñado para reconectar con los sentidos y la expresión corporal en un ambiente seguro de trabajo en equipo.</v>
      </c>
      <c r="BB433" s="30">
        <f ca="1">IFERROR(__xludf.DUMMYFUNCTION("""COMPUTED_VALUE"""),5)</f>
        <v>5</v>
      </c>
      <c r="BC433" s="30">
        <f ca="1">IFERROR(__xludf.DUMMYFUNCTION("""COMPUTED_VALUE"""),1)</f>
        <v>1</v>
      </c>
      <c r="BD433" s="30" t="str">
        <f ca="1">IFERROR(__xludf.DUMMYFUNCTION("""COMPUTED_VALUE"""),"Nuevo")</f>
        <v>Nuevo</v>
      </c>
      <c r="BE433" s="30" t="str">
        <f ca="1">IFERROR(__xludf.DUMMYFUNCTION("""COMPUTED_VALUE"""),"ARIANA IBAÑEZ BARRERA")</f>
        <v>ARIANA IBAÑEZ BARRERA</v>
      </c>
      <c r="BF433" s="30" t="b">
        <f ca="1">IFERROR(__xludf.DUMMYFUNCTION("""COMPUTED_VALUE"""),TRUE)</f>
        <v>1</v>
      </c>
      <c r="BG433" s="30" t="str">
        <f ca="1">IFERROR(__xludf.DUMMYFUNCTION("""COMPUTED_VALUE"""),"Económico")</f>
        <v>Económico</v>
      </c>
      <c r="BH433" s="30">
        <f ca="1">IFERROR(__xludf.DUMMYFUNCTION("""COMPUTED_VALUE"""),60668)</f>
        <v>60668</v>
      </c>
      <c r="BI433" s="30"/>
      <c r="BJ433" s="30"/>
      <c r="BK433" s="30"/>
      <c r="BL433" s="30"/>
      <c r="BM433" s="30" t="str">
        <f ca="1">IFERROR(__xludf.DUMMYFUNCTION("""COMPUTED_VALUE"""),"No")</f>
        <v>No</v>
      </c>
      <c r="BN433" s="30"/>
      <c r="BO433" s="30" t="str">
        <f ca="1">IFERROR(__xludf.DUMMYFUNCTION("""COMPUTED_VALUE"""),"e27d16dd")</f>
        <v>e27d16dd</v>
      </c>
      <c r="BP433" s="29" t="str">
        <f ca="1">IFERROR(__xludf.DUMMYFUNCTION("""COMPUTED_VALUE"""),"Salamanca")</f>
        <v>Salamanca</v>
      </c>
      <c r="BQ433" s="30" t="str">
        <f ca="1">IFERROR(__xludf.DUMMYFUNCTION("""COMPUTED_VALUE"""),"Urbano")</f>
        <v>Urbano</v>
      </c>
      <c r="BR433" s="30">
        <f ca="1">IFERROR(__xludf.DUMMYFUNCTION("""COMPUTED_VALUE"""),181)</f>
        <v>181</v>
      </c>
      <c r="BS433" s="30" t="str">
        <f ca="1">IFERROR(__xludf.DUMMYFUNCTION("""COMPUTED_VALUE"""),"Salamanca")</f>
        <v>Salamanca</v>
      </c>
      <c r="BT433" s="30"/>
      <c r="BU433" s="30" t="str">
        <f ca="1">IFERROR(__xludf.DUMMYFUNCTION("""COMPUTED_VALUE"""),"Si")</f>
        <v>Si</v>
      </c>
      <c r="BV433" s="30" t="str">
        <f ca="1">IFERROR(__xludf.DUMMYFUNCTION("""COMPUTED_VALUE"""),"Si")</f>
        <v>Si</v>
      </c>
      <c r="BW433" s="30">
        <f ca="1">IFERROR(__xludf.DUMMYFUNCTION("""COMPUTED_VALUE"""),185)</f>
        <v>185</v>
      </c>
      <c r="BX433" s="30">
        <f ca="1">IFERROR(__xludf.DUMMYFUNCTION("""COMPUTED_VALUE"""),3)</f>
        <v>3</v>
      </c>
      <c r="BY433" s="30">
        <f ca="1">IFERROR(__xludf.DUMMYFUNCTION("""COMPUTED_VALUE"""),182)</f>
        <v>182</v>
      </c>
      <c r="BZ433" s="30" t="str">
        <f ca="1">IFERROR(__xludf.DUMMYFUNCTION("""COMPUTED_VALUE"""),"Salamanca")</f>
        <v>Salamanca</v>
      </c>
      <c r="CA433" s="30" t="str">
        <f ca="1">IFERROR(__xludf.DUMMYFUNCTION("""COMPUTED_VALUE"""),"No")</f>
        <v>No</v>
      </c>
      <c r="CB433" s="30" t="str">
        <f ca="1">IFERROR(__xludf.DUMMYFUNCTION("""COMPUTED_VALUE"""),"No")</f>
        <v>No</v>
      </c>
      <c r="CC433" s="30" t="str">
        <f ca="1">IFERROR(__xludf.DUMMYFUNCTION("""COMPUTED_VALUE"""),"dc14fb92")</f>
        <v>dc14fb92</v>
      </c>
      <c r="CD433" s="29" t="str">
        <f ca="1">IFERROR(__xludf.DUMMYFUNCTION("""COMPUTED_VALUE"""),"Adultos Mayores (60 años o más)")</f>
        <v>Adultos Mayores (60 años o más)</v>
      </c>
      <c r="CE433" s="30" t="str">
        <f ca="1">IFERROR(__xludf.DUMMYFUNCTION("""COMPUTED_VALUE"""),"No se cuenta con el dato")</f>
        <v>No se cuenta con el dato</v>
      </c>
      <c r="CF433" s="30" t="str">
        <f ca="1">IFERROR(__xludf.DUMMYFUNCTION("""COMPUTED_VALUE"""),"Ninguno (Población General)")</f>
        <v>Ninguno (Población General)</v>
      </c>
      <c r="CG433" s="30">
        <f ca="1">IFERROR(__xludf.DUMMYFUNCTION("""COMPUTED_VALUE"""),1404)</f>
        <v>1404</v>
      </c>
      <c r="CJ433" s="29"/>
      <c r="CM433" s="30" t="str">
        <f ca="1">IFERROR(__xludf.DUMMYFUNCTION("""COMPUTED_VALUE"""),"Salamanca")</f>
        <v>Salamanca</v>
      </c>
      <c r="CN433" s="32" t="e">
        <f ca="1"/>
        <v>#NAME?</v>
      </c>
      <c r="CO433" s="32" t="e">
        <f ca="1"/>
        <v>#NAME?</v>
      </c>
      <c r="CP433" s="32" t="e">
        <f ca="1"/>
        <v>#NAME?</v>
      </c>
      <c r="CQ433" s="32" t="e">
        <f ca="1"/>
        <v>#NAME?</v>
      </c>
      <c r="CR433" s="30" t="e">
        <f ca="1"/>
        <v>#NAME?</v>
      </c>
      <c r="CS433"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34" spans="1:97" ht="13">
      <c r="A434" s="29" t="str">
        <f ca="1">IFERROR(__xludf.DUMMYFUNCTION("""COMPUTED_VALUE"""),"ACT-SCCL28269")</f>
        <v>ACT-SCCL28269</v>
      </c>
      <c r="B434" s="30" t="str">
        <f ca="1">IFERROR(__xludf.DUMMYFUNCTION("""COMPUTED_VALUE"""),"SC-260921-110015")</f>
        <v>SC-260921-110015</v>
      </c>
      <c r="C434" s="62">
        <f ca="1">IFERROR(__xludf.DUMMYFUNCTION("""COMPUTED_VALUE"""),46286.4585069444)</f>
        <v>46286.4585069444</v>
      </c>
      <c r="D434" s="30">
        <f ca="1">IFERROR(__xludf.DUMMYFUNCTION("""COMPUTED_VALUE"""),75)</f>
        <v>75</v>
      </c>
      <c r="E434" s="30" t="str">
        <f ca="1">IFERROR(__xludf.DUMMYFUNCTION("""COMPUTED_VALUE"""),"PB3567")</f>
        <v>PB3567</v>
      </c>
      <c r="F434" s="30" t="str">
        <f ca="1">IFERROR(__xludf.DUMMYFUNCTION("""COMPUTED_VALUE"""),"Formación e Investigación Artística")</f>
        <v>Formación e Investigación Artística</v>
      </c>
      <c r="G434" s="30" t="str">
        <f ca="1">IFERROR(__xludf.DUMMYFUNCTION("""COMPUTED_VALUE"""),"Cursos, talleres, y diplomados en la disciplina de las artes visuales, digitales y sonoras. Cine y sonorización.")</f>
        <v>Cursos, talleres, y diplomados en la disciplina de las artes visuales, digitales y sonoras. Cine y sonorización.</v>
      </c>
      <c r="H434" s="30" t="str">
        <f ca="1">IFERROR(__xludf.DUMMYFUNCTION("""COMPUTED_VALUE"""),"SUBSECRETARÍA DE DESARROLLO COMUNITARIO Y PROMOCIÓN PATRIMONIAL")</f>
        <v>SUBSECRETARÍA DE DESARROLLO COMUNITARIO Y PROMOCIÓN PATRIMONIAL</v>
      </c>
      <c r="I434" s="34" t="str">
        <f ca="1">IFERROR(__xludf.DUMMYFUNCTION("""COMPUTED_VALUE"""),"DIRECCIÓN GENERAL DE FORMACIÓN E INVESTIGACIÓN")</f>
        <v>DIRECCIÓN GENERAL DE FORMACIÓN E INVESTIGACIÓN</v>
      </c>
      <c r="J434" s="30" t="str">
        <f ca="1">IFERROR(__xludf.DUMMYFUNCTION("""COMPUTED_VALUE"""),"Cursos, talleres, diplomados realizados")</f>
        <v>Cursos, talleres, diplomados realizados</v>
      </c>
      <c r="K434" s="30">
        <f ca="1">IFERROR(__xludf.DUMMYFUNCTION("""COMPUTED_VALUE"""),4)</f>
        <v>4</v>
      </c>
      <c r="L434" s="30" t="str">
        <f ca="1">IFERROR(__xludf.DUMMYFUNCTION("""COMPUTED_VALUE"""),"Artística")</f>
        <v>Artística</v>
      </c>
      <c r="M434" s="30" t="str">
        <f ca="1">IFERROR(__xludf.DUMMYFUNCTION("""COMPUTED_VALUE"""),"Taller de Modelado 3D en Blender")</f>
        <v>Taller de Modelado 3D en Blender</v>
      </c>
      <c r="N434" s="30" t="str">
        <f ca="1">IFERROR(__xludf.DUMMYFUNCTION("""COMPUTED_VALUE"""),"Taller práctico sobre los fundamentos del modelado tridimensional en Blender, orientado a la creación y transformación de objetos virtuales, manejo de geometrías y aplicación básica de materiales, iluminación y renderizado para el desarrollo de proyectos "&amp;"de diseño y arte digital.")</f>
        <v>Taller práctico sobre los fundamentos del modelado tridimensional en Blender, orientado a la creación y transformación de objetos virtuales, manejo de geometrías y aplicación básica de materiales, iluminación y renderizado para el desarrollo de proyectos de diseño y arte digital.</v>
      </c>
      <c r="O434" s="30" t="str">
        <f ca="1">IFERROR(__xludf.DUMMYFUNCTION("""COMPUTED_VALUE"""),"Diaria")</f>
        <v>Diaria</v>
      </c>
      <c r="P434" s="33">
        <f ca="1">IFERROR(__xludf.DUMMYFUNCTION("""COMPUTED_VALUE"""),46158)</f>
        <v>46158</v>
      </c>
      <c r="Q434" s="33">
        <f ca="1">IFERROR(__xludf.DUMMYFUNCTION("""COMPUTED_VALUE"""),46171)</f>
        <v>46171</v>
      </c>
      <c r="R434" s="30">
        <f ca="1">IFERROR(__xludf.DUMMYFUNCTION("""COMPUTED_VALUE"""),14)</f>
        <v>14</v>
      </c>
      <c r="S434" s="30" t="str">
        <f ca="1">IFERROR(__xludf.DUMMYFUNCTION("""COMPUTED_VALUE"""),"Artes visuales")</f>
        <v>Artes visuales</v>
      </c>
      <c r="T434" s="30" t="str">
        <f ca="1">IFERROR(__xludf.DUMMYFUNCTION("""COMPUTED_VALUE"""),"Arte digital")</f>
        <v>Arte digital</v>
      </c>
      <c r="U434" s="30" t="str">
        <f ca="1">IFERROR(__xludf.DUMMYFUNCTION("""COMPUTED_VALUE"""),"Taller")</f>
        <v>Taller</v>
      </c>
      <c r="V434" s="30" t="str">
        <f ca="1">IFERROR(__xludf.DUMMYFUNCTION("""COMPUTED_VALUE"""),"Ninguna")</f>
        <v>Ninguna</v>
      </c>
      <c r="W434" s="30" t="str">
        <f ca="1">IFERROR(__xludf.DUMMYFUNCTION("""COMPUTED_VALUE"""),"Híbrido")</f>
        <v>Híbrido</v>
      </c>
      <c r="X434" s="30" t="str">
        <f ca="1">IFERROR(__xludf.DUMMYFUNCTION("""COMPUTED_VALUE"""),"Espacio préstamo a la Secretaría de Cultura")</f>
        <v>Espacio préstamo a la Secretaría de Cultura</v>
      </c>
      <c r="Y434" s="30"/>
      <c r="Z434" s="30"/>
      <c r="AA434" s="30"/>
      <c r="AB434" s="30" t="b">
        <f ca="1">IFERROR(__xludf.DUMMYFUNCTION("""COMPUTED_VALUE"""),FALSE)</f>
        <v>0</v>
      </c>
      <c r="AC434" s="30"/>
      <c r="AD434" s="30" t="b">
        <f ca="1">IFERROR(__xludf.DUMMYFUNCTION("""COMPUTED_VALUE"""),TRUE)</f>
        <v>1</v>
      </c>
      <c r="AE434" s="30">
        <f ca="1">IFERROR(__xludf.DUMMYFUNCTION("""COMPUTED_VALUE"""),1)</f>
        <v>1</v>
      </c>
      <c r="AF434" s="30" t="b">
        <f ca="1">IFERROR(__xludf.DUMMYFUNCTION("""COMPUTED_VALUE"""),FALSE)</f>
        <v>0</v>
      </c>
      <c r="AG434" s="30"/>
      <c r="AH434" s="30" t="str">
        <f ca="1">IFERROR(__xludf.DUMMYFUNCTION("""COMPUTED_VALUE"""),"Sin costo")</f>
        <v>Sin costo</v>
      </c>
      <c r="AI434" s="30"/>
      <c r="AJ434" s="30"/>
      <c r="AK434" s="30"/>
      <c r="AL434" s="30" t="str">
        <f ca="1">IFERROR(__xludf.DUMMYFUNCTION("""COMPUTED_VALUE"""),"claudia.ramirezm@guanajuato.gob.mx")</f>
        <v>claudia.ramirezm@guanajuato.gob.mx</v>
      </c>
      <c r="AM434"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434" s="30" t="str">
        <f ca="1">IFERROR(__xludf.DUMMYFUNCTION("""COMPUTED_VALUE"""),"2 Igualdad")</f>
        <v>2 Igualdad</v>
      </c>
      <c r="AO434" s="30" t="str">
        <f ca="1">IFERROR(__xludf.DUMMYFUNCTION("""COMPUTED_VALUE"""),"2.4 Reducir brechas de desigualdad")</f>
        <v>2.4 Reducir brechas de desigualdad</v>
      </c>
      <c r="AP434" s="30" t="str">
        <f ca="1">IFERROR(__xludf.DUMMYFUNCTION("""COMPUTED_VALUE"""),"2.4.3 Descentralización de la oferta cultural")</f>
        <v>2.4.3 Descentralización de la oferta cultural</v>
      </c>
      <c r="AQ434" s="30" t="str">
        <f ca="1">IFERROR(__xludf.DUMMYFUNCTION("""COMPUTED_VALUE"""),"2.4.3.1 Impulsar el desarrollo artístico y cultural entre infancias y juventudes")</f>
        <v>2.4.3.1 Impulsar el desarrollo artístico y cultural entre infancias y juventudes</v>
      </c>
      <c r="AR434" s="30" t="str">
        <f ca="1">IFERROR(__xludf.DUMMYFUNCTION("""COMPUTED_VALUE"""),"Inclusión")</f>
        <v>Inclusión</v>
      </c>
      <c r="AS434" s="30" t="str">
        <f ca="1">IFERROR(__xludf.DUMMYFUNCTION("""COMPUTED_VALUE"""),"Ninguno (Población General)")</f>
        <v>Ninguno (Población General)</v>
      </c>
      <c r="AT434" s="30" t="str">
        <f ca="1">IFERROR(__xludf.DUMMYFUNCTION("""COMPUTED_VALUE"""),"Impulso a la educación artística y a la profesionalización del sector cultural")</f>
        <v>Impulso a la educación artística y a la profesionalización del sector cultural</v>
      </c>
      <c r="AU434" s="30" t="str">
        <f ca="1">IFERROR(__xludf.DUMMYFUNCTION("""COMPUTED_VALUE"""),"Impulso a programas de formación y profesionalización para agentes culturales.")</f>
        <v>Impulso a programas de formación y profesionalización para agentes culturales.</v>
      </c>
      <c r="AV434"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4" s="30" t="str">
        <f ca="1">IFERROR(__xludf.DUMMYFUNCTION("""COMPUTED_VALUE"""),"Incrementar un 30% la oferta de formación y profesionalización para agentes culturales.")</f>
        <v>Incrementar un 30% la oferta de formación y profesionalización para agentes culturales.</v>
      </c>
      <c r="AX434" s="30" t="str">
        <f ca="1">IFERROR(__xludf.DUMMYFUNCTION("""COMPUTED_VALUE"""),"Taller")</f>
        <v>Taller</v>
      </c>
      <c r="AY434" s="30" t="str">
        <f ca="1">IFERROR(__xludf.DUMMYFUNCTION("""COMPUTED_VALUE"""),"Formación")</f>
        <v>Formación</v>
      </c>
      <c r="AZ434" s="30" t="str">
        <f ca="1">IFERROR(__xludf.DUMMYFUNCTION("""COMPUTED_VALUE"""),"Formación")</f>
        <v>Formación</v>
      </c>
      <c r="BA434" s="30" t="str">
        <f ca="1">IFERROR(__xludf.DUMMYFUNCTION("""COMPUTED_VALUE"""),"En este taller se exploran las prácticas de creación en tiempo real mediante live coding, integrando sonido, imagen y texto como lenguajes poéticos. Las y los participantes experimentarán con el código como un medio expresivo, performativo y colaborativo,"&amp;" aprovechando la improvisación y el error para desarrollar piezas audiovisuales y prototipos que reflexionen sobre futuros posibles.")</f>
        <v>En este taller se exploran las prácticas de creación en tiempo real mediante live coding, integrando sonido, imagen y texto como lenguajes poéticos. Las y los participantes experimentarán con el código como un medio expresivo, performativo y colaborativo, aprovechando la improvisación y el error para desarrollar piezas audiovisuales y prototipos que reflexionen sobre futuros posibles.</v>
      </c>
      <c r="BB434" s="30">
        <f ca="1">IFERROR(__xludf.DUMMYFUNCTION("""COMPUTED_VALUE"""),5)</f>
        <v>5</v>
      </c>
      <c r="BC434" s="30">
        <f ca="1">IFERROR(__xludf.DUMMYFUNCTION("""COMPUTED_VALUE"""),2)</f>
        <v>2</v>
      </c>
      <c r="BD434" s="30" t="str">
        <f ca="1">IFERROR(__xludf.DUMMYFUNCTION("""COMPUTED_VALUE"""),"Apoyado con anterioridad")</f>
        <v>Apoyado con anterioridad</v>
      </c>
      <c r="BE434" s="30" t="str">
        <f ca="1">IFERROR(__xludf.DUMMYFUNCTION("""COMPUTED_VALUE"""),"Hasem Anzures, Alfredo López Soto")</f>
        <v>Hasem Anzures, Alfredo López Soto</v>
      </c>
      <c r="BF434" s="30" t="b">
        <f ca="1">IFERROR(__xludf.DUMMYFUNCTION("""COMPUTED_VALUE"""),TRUE)</f>
        <v>1</v>
      </c>
      <c r="BG434" s="30" t="str">
        <f ca="1">IFERROR(__xludf.DUMMYFUNCTION("""COMPUTED_VALUE"""),"Económico")</f>
        <v>Económico</v>
      </c>
      <c r="BH434" s="30">
        <f ca="1">IFERROR(__xludf.DUMMYFUNCTION("""COMPUTED_VALUE"""),31902.07)</f>
        <v>31902.07</v>
      </c>
      <c r="BI434" s="30"/>
      <c r="BJ434" s="30"/>
      <c r="BK434" s="30"/>
      <c r="BL434" s="30"/>
      <c r="BM434" s="30" t="str">
        <f ca="1">IFERROR(__xludf.DUMMYFUNCTION("""COMPUTED_VALUE"""),"No")</f>
        <v>No</v>
      </c>
      <c r="BN434" s="30"/>
      <c r="BO434" s="30" t="str">
        <f ca="1">IFERROR(__xludf.DUMMYFUNCTION("""COMPUTED_VALUE"""),"cef7d0a1")</f>
        <v>cef7d0a1</v>
      </c>
      <c r="BP434" s="29" t="str">
        <f ca="1">IFERROR(__xludf.DUMMYFUNCTION("""COMPUTED_VALUE"""),"Salamanca")</f>
        <v>Salamanca</v>
      </c>
      <c r="BQ434" s="30" t="str">
        <f ca="1">IFERROR(__xludf.DUMMYFUNCTION("""COMPUTED_VALUE"""),"Urbano")</f>
        <v>Urbano</v>
      </c>
      <c r="BR434" s="30">
        <f ca="1">IFERROR(__xludf.DUMMYFUNCTION("""COMPUTED_VALUE"""),181)</f>
        <v>181</v>
      </c>
      <c r="BS434" s="30" t="str">
        <f ca="1">IFERROR(__xludf.DUMMYFUNCTION("""COMPUTED_VALUE"""),"Salamanca")</f>
        <v>Salamanca</v>
      </c>
      <c r="BT434" s="30"/>
      <c r="BU434" s="30" t="str">
        <f ca="1">IFERROR(__xludf.DUMMYFUNCTION("""COMPUTED_VALUE"""),"Si")</f>
        <v>Si</v>
      </c>
      <c r="BV434" s="30" t="str">
        <f ca="1">IFERROR(__xludf.DUMMYFUNCTION("""COMPUTED_VALUE"""),"Si")</f>
        <v>Si</v>
      </c>
      <c r="BW434" s="30">
        <f ca="1">IFERROR(__xludf.DUMMYFUNCTION("""COMPUTED_VALUE"""),50)</f>
        <v>50</v>
      </c>
      <c r="BX434" s="30">
        <f ca="1">IFERROR(__xludf.DUMMYFUNCTION("""COMPUTED_VALUE"""),19)</f>
        <v>19</v>
      </c>
      <c r="BY434" s="30">
        <f ca="1">IFERROR(__xludf.DUMMYFUNCTION("""COMPUTED_VALUE"""),31)</f>
        <v>31</v>
      </c>
      <c r="BZ434" s="30" t="str">
        <f ca="1">IFERROR(__xludf.DUMMYFUNCTION("""COMPUTED_VALUE"""),"Salamanca")</f>
        <v>Salamanca</v>
      </c>
      <c r="CA434" s="30" t="str">
        <f ca="1">IFERROR(__xludf.DUMMYFUNCTION("""COMPUTED_VALUE"""),"No")</f>
        <v>No</v>
      </c>
      <c r="CB434" s="30" t="str">
        <f ca="1">IFERROR(__xludf.DUMMYFUNCTION("""COMPUTED_VALUE"""),"No")</f>
        <v>No</v>
      </c>
      <c r="CC434" s="30" t="str">
        <f ca="1">IFERROR(__xludf.DUMMYFUNCTION("""COMPUTED_VALUE"""),"fc2e6a5f")</f>
        <v>fc2e6a5f</v>
      </c>
      <c r="CD434" s="29" t="str">
        <f ca="1">IFERROR(__xludf.DUMMYFUNCTION("""COMPUTED_VALUE"""),"Adultos (30 a 59 años)")</f>
        <v>Adultos (30 a 59 años)</v>
      </c>
      <c r="CE434" s="30" t="str">
        <f ca="1">IFERROR(__xludf.DUMMYFUNCTION("""COMPUTED_VALUE"""),"No se cuenta con el dato")</f>
        <v>No se cuenta con el dato</v>
      </c>
      <c r="CF434" s="30" t="str">
        <f ca="1">IFERROR(__xludf.DUMMYFUNCTION("""COMPUTED_VALUE"""),"Ninguno (Población General)")</f>
        <v>Ninguno (Población General)</v>
      </c>
      <c r="CG434" s="30">
        <f ca="1">IFERROR(__xludf.DUMMYFUNCTION("""COMPUTED_VALUE"""),1692)</f>
        <v>1692</v>
      </c>
      <c r="CJ434" s="29"/>
      <c r="CM434" s="30" t="str">
        <f ca="1">IFERROR(__xludf.DUMMYFUNCTION("""COMPUTED_VALUE"""),"Salamanca")</f>
        <v>Salamanca</v>
      </c>
      <c r="CN434" s="32" t="e">
        <f ca="1"/>
        <v>#NAME?</v>
      </c>
      <c r="CO434" s="32" t="e">
        <f ca="1"/>
        <v>#NAME?</v>
      </c>
      <c r="CP434" s="32" t="e">
        <f ca="1"/>
        <v>#NAME?</v>
      </c>
      <c r="CQ434" s="32" t="e">
        <f ca="1"/>
        <v>#NAME?</v>
      </c>
      <c r="CR434" s="30" t="e">
        <f ca="1"/>
        <v>#NAME?</v>
      </c>
      <c r="CS434" s="30" t="str">
        <f ca="1">IFERROR(__xludf.DUMMYFUNCTION("""COMPUTED_VALUE"""),"NNA (Niñas, Niños y Adolescentes), NNA (Niñas, Niños y Adolescentes)")</f>
        <v>NNA (Niñas, Niños y Adolescentes), NNA (Niñas, Niños y Adolescentes)</v>
      </c>
    </row>
    <row r="435" spans="1:97" ht="13">
      <c r="A435" s="29" t="str">
        <f ca="1">IFERROR(__xludf.DUMMYFUNCTION("""COMPUTED_VALUE"""),"ACT-SCPE79917")</f>
        <v>ACT-SCPE79917</v>
      </c>
      <c r="B435" s="30" t="str">
        <f ca="1">IFERROR(__xludf.DUMMYFUNCTION("""COMPUTED_VALUE"""),"SC-260921-114720")</f>
        <v>SC-260921-114720</v>
      </c>
      <c r="C435" s="62">
        <f ca="1">IFERROR(__xludf.DUMMYFUNCTION("""COMPUTED_VALUE"""),46286.4912037037)</f>
        <v>46286.491203703699</v>
      </c>
      <c r="D435" s="30">
        <f ca="1">IFERROR(__xludf.DUMMYFUNCTION("""COMPUTED_VALUE"""),75)</f>
        <v>75</v>
      </c>
      <c r="E435" s="30" t="str">
        <f ca="1">IFERROR(__xludf.DUMMYFUNCTION("""COMPUTED_VALUE"""),"PB3567")</f>
        <v>PB3567</v>
      </c>
      <c r="F435" s="30" t="str">
        <f ca="1">IFERROR(__xludf.DUMMYFUNCTION("""COMPUTED_VALUE"""),"Formación e Investigación Artística")</f>
        <v>Formación e Investigación Artística</v>
      </c>
      <c r="G435" s="30" t="str">
        <f ca="1">IFERROR(__xludf.DUMMYFUNCTION("""COMPUTED_VALUE"""),"Cursos, talleres, y diplomados en la disciplina de las artes visuales, digitales y sonoras. Cine y sonorización.")</f>
        <v>Cursos, talleres, y diplomados en la disciplina de las artes visuales, digitales y sonoras. Cine y sonorización.</v>
      </c>
      <c r="H435" s="30" t="str">
        <f ca="1">IFERROR(__xludf.DUMMYFUNCTION("""COMPUTED_VALUE"""),"SUBSECRETARÍA DE DESARROLLO COMUNITARIO Y PROMOCIÓN PATRIMONIAL")</f>
        <v>SUBSECRETARÍA DE DESARROLLO COMUNITARIO Y PROMOCIÓN PATRIMONIAL</v>
      </c>
      <c r="I435" s="34" t="str">
        <f ca="1">IFERROR(__xludf.DUMMYFUNCTION("""COMPUTED_VALUE"""),"DIRECCIÓN GENERAL DE FORMACIÓN E INVESTIGACIÓN")</f>
        <v>DIRECCIÓN GENERAL DE FORMACIÓN E INVESTIGACIÓN</v>
      </c>
      <c r="J435" s="30" t="str">
        <f ca="1">IFERROR(__xludf.DUMMYFUNCTION("""COMPUTED_VALUE"""),"Cursos, talleres, diplomados realizados")</f>
        <v>Cursos, talleres, diplomados realizados</v>
      </c>
      <c r="K435" s="30">
        <f ca="1">IFERROR(__xludf.DUMMYFUNCTION("""COMPUTED_VALUE"""),4)</f>
        <v>4</v>
      </c>
      <c r="L435" s="30" t="str">
        <f ca="1">IFERROR(__xludf.DUMMYFUNCTION("""COMPUTED_VALUE"""),"Artística")</f>
        <v>Artística</v>
      </c>
      <c r="M435" s="30" t="str">
        <f ca="1">IFERROR(__xludf.DUMMYFUNCTION("""COMPUTED_VALUE"""),"Taller de Introducción a la interdisciplina.")</f>
        <v>Taller de Introducción a la interdisciplina.</v>
      </c>
      <c r="N435" s="30" t="str">
        <f ca="1">IFERROR(__xludf.DUMMYFUNCTION("""COMPUTED_VALUE"""),"Taller de introducción a la interdisciplina dentro del programa de formación y especialización en artes digitales y multimedia.")</f>
        <v>Taller de introducción a la interdisciplina dentro del programa de formación y especialización en artes digitales y multimedia.</v>
      </c>
      <c r="O435" s="30" t="str">
        <f ca="1">IFERROR(__xludf.DUMMYFUNCTION("""COMPUTED_VALUE"""),"Diaria")</f>
        <v>Diaria</v>
      </c>
      <c r="P435" s="33">
        <f ca="1">IFERROR(__xludf.DUMMYFUNCTION("""COMPUTED_VALUE"""),46091)</f>
        <v>46091</v>
      </c>
      <c r="Q435" s="33">
        <f ca="1">IFERROR(__xludf.DUMMYFUNCTION("""COMPUTED_VALUE"""),46110)</f>
        <v>46110</v>
      </c>
      <c r="R435" s="30">
        <f ca="1">IFERROR(__xludf.DUMMYFUNCTION("""COMPUTED_VALUE"""),8)</f>
        <v>8</v>
      </c>
      <c r="S435" s="30" t="str">
        <f ca="1">IFERROR(__xludf.DUMMYFUNCTION("""COMPUTED_VALUE"""),"Artes visuales")</f>
        <v>Artes visuales</v>
      </c>
      <c r="T435" s="30" t="str">
        <f ca="1">IFERROR(__xludf.DUMMYFUNCTION("""COMPUTED_VALUE"""),"Arte digital")</f>
        <v>Arte digital</v>
      </c>
      <c r="U435" s="30" t="str">
        <f ca="1">IFERROR(__xludf.DUMMYFUNCTION("""COMPUTED_VALUE"""),"Taller")</f>
        <v>Taller</v>
      </c>
      <c r="V435" s="30" t="str">
        <f ca="1">IFERROR(__xludf.DUMMYFUNCTION("""COMPUTED_VALUE"""),"Ninguna")</f>
        <v>Ninguna</v>
      </c>
      <c r="W435" s="30" t="str">
        <f ca="1">IFERROR(__xludf.DUMMYFUNCTION("""COMPUTED_VALUE"""),"Híbrido")</f>
        <v>Híbrido</v>
      </c>
      <c r="X435" s="30" t="str">
        <f ca="1">IFERROR(__xludf.DUMMYFUNCTION("""COMPUTED_VALUE"""),"Espacio préstamo a la Secretaría de Cultura")</f>
        <v>Espacio préstamo a la Secretaría de Cultura</v>
      </c>
      <c r="Y435" s="30"/>
      <c r="Z435" s="30"/>
      <c r="AA435" s="30"/>
      <c r="AB435" s="30" t="b">
        <f ca="1">IFERROR(__xludf.DUMMYFUNCTION("""COMPUTED_VALUE"""),FALSE)</f>
        <v>0</v>
      </c>
      <c r="AC435" s="30"/>
      <c r="AD435" s="30" t="b">
        <f ca="1">IFERROR(__xludf.DUMMYFUNCTION("""COMPUTED_VALUE"""),TRUE)</f>
        <v>1</v>
      </c>
      <c r="AE435" s="30">
        <f ca="1">IFERROR(__xludf.DUMMYFUNCTION("""COMPUTED_VALUE"""),1)</f>
        <v>1</v>
      </c>
      <c r="AF435" s="30" t="b">
        <f ca="1">IFERROR(__xludf.DUMMYFUNCTION("""COMPUTED_VALUE"""),FALSE)</f>
        <v>0</v>
      </c>
      <c r="AG435" s="30"/>
      <c r="AH435" s="30" t="str">
        <f ca="1">IFERROR(__xludf.DUMMYFUNCTION("""COMPUTED_VALUE"""),"Sin costo")</f>
        <v>Sin costo</v>
      </c>
      <c r="AI435" s="30"/>
      <c r="AJ435" s="30"/>
      <c r="AK435" s="30"/>
      <c r="AL435" s="30" t="str">
        <f ca="1">IFERROR(__xludf.DUMMYFUNCTION("""COMPUTED_VALUE"""),"claudia.ramirezm@guanajuato.gob.mx")</f>
        <v>claudia.ramirezm@guanajuato.gob.mx</v>
      </c>
      <c r="AM435" s="30" t="str">
        <f ca="1">IFERROR(__xludf.DUMMYFUNCTION("""COMPUTED_VALUE"""),"Mayor inversión en conservación del patrimonio artístico y cultural.")</f>
        <v>Mayor inversión en conservación del patrimonio artístico y cultural.</v>
      </c>
      <c r="AN435" s="30" t="str">
        <f ca="1">IFERROR(__xludf.DUMMYFUNCTION("""COMPUTED_VALUE"""),"2 Igualdad")</f>
        <v>2 Igualdad</v>
      </c>
      <c r="AO435" s="30" t="str">
        <f ca="1">IFERROR(__xludf.DUMMYFUNCTION("""COMPUTED_VALUE"""),"2.2 Fortalecer cohesión social")</f>
        <v>2.2 Fortalecer cohesión social</v>
      </c>
      <c r="AP435" s="30" t="str">
        <f ca="1">IFERROR(__xludf.DUMMYFUNCTION("""COMPUTED_VALUE"""),"2.2 Fortalecer cohesión social")</f>
        <v>2.2 Fortalecer cohesión social</v>
      </c>
      <c r="AQ435" s="30" t="str">
        <f ca="1">IFERROR(__xludf.DUMMYFUNCTION("""COMPUTED_VALUE"""),"2.2.3.2 Promover la participación de grupos prioritarios en actividades culturales")</f>
        <v>2.2.3.2 Promover la participación de grupos prioritarios en actividades culturales</v>
      </c>
      <c r="AR435" s="30" t="str">
        <f ca="1">IFERROR(__xludf.DUMMYFUNCTION("""COMPUTED_VALUE"""),"Inclusión")</f>
        <v>Inclusión</v>
      </c>
      <c r="AS435" s="30" t="str">
        <f ca="1">IFERROR(__xludf.DUMMYFUNCTION("""COMPUTED_VALUE"""),"Ninguno (Población General)")</f>
        <v>Ninguno (Población General)</v>
      </c>
      <c r="AT435" s="30" t="str">
        <f ca="1">IFERROR(__xludf.DUMMYFUNCTION("""COMPUTED_VALUE"""),"Impulso a la educación artística y a la profesionalización del sector cultural")</f>
        <v>Impulso a la educación artística y a la profesionalización del sector cultural</v>
      </c>
      <c r="AU435" s="30" t="str">
        <f ca="1">IFERROR(__xludf.DUMMYFUNCTION("""COMPUTED_VALUE"""),"Impulso a programas de formación y profesionalización para agentes culturales.")</f>
        <v>Impulso a programas de formación y profesionalización para agentes culturales.</v>
      </c>
      <c r="AV435"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5" s="30" t="str">
        <f ca="1">IFERROR(__xludf.DUMMYFUNCTION("""COMPUTED_VALUE"""),"Incrementar un 30% la oferta de formación y profesionalización para agentes culturales.")</f>
        <v>Incrementar un 30% la oferta de formación y profesionalización para agentes culturales.</v>
      </c>
      <c r="AX435" s="30" t="str">
        <f ca="1">IFERROR(__xludf.DUMMYFUNCTION("""COMPUTED_VALUE"""),"Taller")</f>
        <v>Taller</v>
      </c>
      <c r="AY435" s="30" t="str">
        <f ca="1">IFERROR(__xludf.DUMMYFUNCTION("""COMPUTED_VALUE"""),"Formación")</f>
        <v>Formación</v>
      </c>
      <c r="AZ435" s="30" t="str">
        <f ca="1">IFERROR(__xludf.DUMMYFUNCTION("""COMPUTED_VALUE"""),"Formación")</f>
        <v>Formación</v>
      </c>
      <c r="BA435" s="30" t="str">
        <f ca="1">IFERROR(__xludf.DUMMYFUNCTION("""COMPUTED_VALUE"""),"Inmersión metodológica que explora otras formas de producción y enseñanza artística mediante la práctica interdisciplinaria.")</f>
        <v>Inmersión metodológica que explora otras formas de producción y enseñanza artística mediante la práctica interdisciplinaria.</v>
      </c>
      <c r="BB435" s="30">
        <f ca="1">IFERROR(__xludf.DUMMYFUNCTION("""COMPUTED_VALUE"""),5)</f>
        <v>5</v>
      </c>
      <c r="BC435" s="30">
        <f ca="1">IFERROR(__xludf.DUMMYFUNCTION("""COMPUTED_VALUE"""),1)</f>
        <v>1</v>
      </c>
      <c r="BD435" s="30" t="str">
        <f ca="1">IFERROR(__xludf.DUMMYFUNCTION("""COMPUTED_VALUE"""),"Nuevo")</f>
        <v>Nuevo</v>
      </c>
      <c r="BE435" s="30" t="str">
        <f ca="1">IFERROR(__xludf.DUMMYFUNCTION("""COMPUTED_VALUE"""),"Francisco González Hernández")</f>
        <v>Francisco González Hernández</v>
      </c>
      <c r="BF435" s="30" t="b">
        <f ca="1">IFERROR(__xludf.DUMMYFUNCTION("""COMPUTED_VALUE"""),TRUE)</f>
        <v>1</v>
      </c>
      <c r="BG435" s="30" t="str">
        <f ca="1">IFERROR(__xludf.DUMMYFUNCTION("""COMPUTED_VALUE"""),"Económico")</f>
        <v>Económico</v>
      </c>
      <c r="BH435" s="30">
        <f ca="1">IFERROR(__xludf.DUMMYFUNCTION("""COMPUTED_VALUE"""),16010)</f>
        <v>16010</v>
      </c>
      <c r="BI435" s="30"/>
      <c r="BJ435" s="30"/>
      <c r="BK435" s="30"/>
      <c r="BL435" s="30"/>
      <c r="BM435" s="30" t="str">
        <f ca="1">IFERROR(__xludf.DUMMYFUNCTION("""COMPUTED_VALUE"""),"No")</f>
        <v>No</v>
      </c>
      <c r="BN435" s="30"/>
      <c r="BO435" s="30" t="str">
        <f ca="1">IFERROR(__xludf.DUMMYFUNCTION("""COMPUTED_VALUE"""),"eda958f9")</f>
        <v>eda958f9</v>
      </c>
      <c r="BP435" s="29" t="str">
        <f ca="1">IFERROR(__xludf.DUMMYFUNCTION("""COMPUTED_VALUE"""),"Guanajuato")</f>
        <v>Guanajuato</v>
      </c>
      <c r="BQ435" s="30" t="str">
        <f ca="1">IFERROR(__xludf.DUMMYFUNCTION("""COMPUTED_VALUE"""),"Urbano")</f>
        <v>Urbano</v>
      </c>
      <c r="BR435" s="30">
        <f ca="1">IFERROR(__xludf.DUMMYFUNCTION("""COMPUTED_VALUE"""),49)</f>
        <v>49</v>
      </c>
      <c r="BS435" s="30" t="str">
        <f ca="1">IFERROR(__xludf.DUMMYFUNCTION("""COMPUTED_VALUE"""),"Guanajuato")</f>
        <v>Guanajuato</v>
      </c>
      <c r="BT435" s="30"/>
      <c r="BU435" s="30" t="str">
        <f ca="1">IFERROR(__xludf.DUMMYFUNCTION("""COMPUTED_VALUE"""),"Si")</f>
        <v>Si</v>
      </c>
      <c r="BV435" s="30" t="str">
        <f ca="1">IFERROR(__xludf.DUMMYFUNCTION("""COMPUTED_VALUE"""),"Si")</f>
        <v>Si</v>
      </c>
      <c r="BW435" s="30">
        <f ca="1">IFERROR(__xludf.DUMMYFUNCTION("""COMPUTED_VALUE"""),157)</f>
        <v>157</v>
      </c>
      <c r="BX435" s="30">
        <f ca="1">IFERROR(__xludf.DUMMYFUNCTION("""COMPUTED_VALUE"""),30)</f>
        <v>30</v>
      </c>
      <c r="BY435" s="30">
        <f ca="1">IFERROR(__xludf.DUMMYFUNCTION("""COMPUTED_VALUE"""),127)</f>
        <v>127</v>
      </c>
      <c r="BZ435" s="30" t="str">
        <f ca="1">IFERROR(__xludf.DUMMYFUNCTION("""COMPUTED_VALUE"""),"Guanajuato")</f>
        <v>Guanajuato</v>
      </c>
      <c r="CA435" s="30" t="str">
        <f ca="1">IFERROR(__xludf.DUMMYFUNCTION("""COMPUTED_VALUE"""),"No")</f>
        <v>No</v>
      </c>
      <c r="CB435" s="30" t="str">
        <f ca="1">IFERROR(__xludf.DUMMYFUNCTION("""COMPUTED_VALUE"""),"No")</f>
        <v>No</v>
      </c>
      <c r="CC435" s="30" t="str">
        <f ca="1">IFERROR(__xludf.DUMMYFUNCTION("""COMPUTED_VALUE"""),"19cec7fd")</f>
        <v>19cec7fd</v>
      </c>
      <c r="CD435" s="29" t="str">
        <f ca="1">IFERROR(__xludf.DUMMYFUNCTION("""COMPUTED_VALUE"""),"Jóvenes (18 a 29 años)")</f>
        <v>Jóvenes (18 a 29 años)</v>
      </c>
      <c r="CE435" s="30" t="str">
        <f ca="1">IFERROR(__xludf.DUMMYFUNCTION("""COMPUTED_VALUE"""),"No se cuenta con el dato")</f>
        <v>No se cuenta con el dato</v>
      </c>
      <c r="CF435" s="30" t="str">
        <f ca="1">IFERROR(__xludf.DUMMYFUNCTION("""COMPUTED_VALUE"""),"Ninguno (Población General)")</f>
        <v>Ninguno (Población General)</v>
      </c>
      <c r="CG435" s="30">
        <f ca="1">IFERROR(__xludf.DUMMYFUNCTION("""COMPUTED_VALUE"""),3266)</f>
        <v>3266</v>
      </c>
      <c r="CJ435" s="29"/>
      <c r="CM435" s="30" t="str">
        <f ca="1">IFERROR(__xludf.DUMMYFUNCTION("""COMPUTED_VALUE"""),"Salamanca")</f>
        <v>Salamanca</v>
      </c>
      <c r="CN435" s="32" t="e">
        <f ca="1"/>
        <v>#NAME?</v>
      </c>
      <c r="CO435" s="32" t="e">
        <f ca="1"/>
        <v>#NAME?</v>
      </c>
      <c r="CP435" s="32" t="e">
        <f ca="1"/>
        <v>#NAME?</v>
      </c>
      <c r="CQ435" s="32" t="e">
        <f ca="1"/>
        <v>#NAME?</v>
      </c>
      <c r="CR435" s="30" t="e">
        <f ca="1"/>
        <v>#NAME?</v>
      </c>
      <c r="CS435" s="30" t="str">
        <f ca="1">IFERROR(__xludf.DUMMYFUNCTION("""COMPUTED_VALUE"""),"Ninguno (Población General), NNA (Niñas, Niños y Adolescentes)")</f>
        <v>Ninguno (Población General), NNA (Niñas, Niños y Adolescentes)</v>
      </c>
    </row>
    <row r="436" spans="1:97" ht="13">
      <c r="A436" s="29" t="str">
        <f ca="1">IFERROR(__xludf.DUMMYFUNCTION("""COMPUTED_VALUE"""),"ACT-SCVU63289")</f>
        <v>ACT-SCVU63289</v>
      </c>
      <c r="B436" s="30" t="str">
        <f ca="1">IFERROR(__xludf.DUMMYFUNCTION("""COMPUTED_VALUE"""),"SC-260921-122345")</f>
        <v>SC-260921-122345</v>
      </c>
      <c r="C436" s="62">
        <f ca="1">IFERROR(__xludf.DUMMYFUNCTION("""COMPUTED_VALUE"""),46286.5164930555)</f>
        <v>46286.516493055497</v>
      </c>
      <c r="D436" s="30">
        <f ca="1">IFERROR(__xludf.DUMMYFUNCTION("""COMPUTED_VALUE"""),71)</f>
        <v>71</v>
      </c>
      <c r="E436" s="30" t="str">
        <f ca="1">IFERROR(__xludf.DUMMYFUNCTION("""COMPUTED_VALUE"""),"PB3567")</f>
        <v>PB3567</v>
      </c>
      <c r="F436" s="30" t="str">
        <f ca="1">IFERROR(__xludf.DUMMYFUNCTION("""COMPUTED_VALUE"""),"Formación e Investigación Artística")</f>
        <v>Formación e Investigación Artística</v>
      </c>
      <c r="G436"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36" s="30" t="str">
        <f ca="1">IFERROR(__xludf.DUMMYFUNCTION("""COMPUTED_VALUE"""),"SUBSECRETARÍA DE DESARROLLO COMUNITARIO Y PROMOCIÓN PATRIMONIAL")</f>
        <v>SUBSECRETARÍA DE DESARROLLO COMUNITARIO Y PROMOCIÓN PATRIMONIAL</v>
      </c>
      <c r="I436" s="34" t="str">
        <f ca="1">IFERROR(__xludf.DUMMYFUNCTION("""COMPUTED_VALUE"""),"DIRECCIÓN GENERAL DE FORMACIÓN E INVESTIGACIÓN")</f>
        <v>DIRECCIÓN GENERAL DE FORMACIÓN E INVESTIGACIÓN</v>
      </c>
      <c r="J436" s="30" t="str">
        <f ca="1">IFERROR(__xludf.DUMMYFUNCTION("""COMPUTED_VALUE"""),"Cursos, talleres, diplomados realizados")</f>
        <v>Cursos, talleres, diplomados realizados</v>
      </c>
      <c r="K436" s="30">
        <f ca="1">IFERROR(__xludf.DUMMYFUNCTION("""COMPUTED_VALUE"""),4)</f>
        <v>4</v>
      </c>
      <c r="L436" s="30" t="str">
        <f ca="1">IFERROR(__xludf.DUMMYFUNCTION("""COMPUTED_VALUE"""),"Artística")</f>
        <v>Artística</v>
      </c>
      <c r="M436" s="30" t="str">
        <f ca="1">IFERROR(__xludf.DUMMYFUNCTION("""COMPUTED_VALUE"""),"""Taller la niña y la ciencia """)</f>
        <v>"Taller la niña y la ciencia "</v>
      </c>
      <c r="N436" s="30" t="str">
        <f ca="1">IFERROR(__xludf.DUMMYFUNCTION("""COMPUTED_VALUE"""),"Proyecto del programa estatal de cultura infantil impulsado conjuntamente por la Secretaría de Cultura Federal y la SCUL, diseñado para vincular la ciencia y la cultura en beneficio del desarrollo creativo e intelectual de las infancias.")</f>
        <v>Proyecto del programa estatal de cultura infantil impulsado conjuntamente por la Secretaría de Cultura Federal y la SCUL, diseñado para vincular la ciencia y la cultura en beneficio del desarrollo creativo e intelectual de las infancias.</v>
      </c>
      <c r="O436" s="30" t="str">
        <f ca="1">IFERROR(__xludf.DUMMYFUNCTION("""COMPUTED_VALUE"""),"Única")</f>
        <v>Única</v>
      </c>
      <c r="P436" s="33">
        <f ca="1">IFERROR(__xludf.DUMMYFUNCTION("""COMPUTED_VALUE"""),46064)</f>
        <v>46064</v>
      </c>
      <c r="Q436" s="33">
        <f ca="1">IFERROR(__xludf.DUMMYFUNCTION("""COMPUTED_VALUE"""),46064)</f>
        <v>46064</v>
      </c>
      <c r="R436" s="30">
        <f ca="1">IFERROR(__xludf.DUMMYFUNCTION("""COMPUTED_VALUE"""),1)</f>
        <v>1</v>
      </c>
      <c r="S436" s="30" t="str">
        <f ca="1">IFERROR(__xludf.DUMMYFUNCTION("""COMPUTED_VALUE"""),"Artes visuales")</f>
        <v>Artes visuales</v>
      </c>
      <c r="T436" s="30" t="str">
        <f ca="1">IFERROR(__xludf.DUMMYFUNCTION("""COMPUTED_VALUE"""),"Arte digital")</f>
        <v>Arte digital</v>
      </c>
      <c r="U436" s="30" t="str">
        <f ca="1">IFERROR(__xludf.DUMMYFUNCTION("""COMPUTED_VALUE"""),"Taller")</f>
        <v>Taller</v>
      </c>
      <c r="V436" s="30" t="str">
        <f ca="1">IFERROR(__xludf.DUMMYFUNCTION("""COMPUTED_VALUE"""),"Ninguna")</f>
        <v>Ninguna</v>
      </c>
      <c r="W436" s="30" t="str">
        <f ca="1">IFERROR(__xludf.DUMMYFUNCTION("""COMPUTED_VALUE"""),"Presencial")</f>
        <v>Presencial</v>
      </c>
      <c r="X436" s="30" t="str">
        <f ca="1">IFERROR(__xludf.DUMMYFUNCTION("""COMPUTED_VALUE"""),"Espacio préstamo a la Secretaría de Cultura")</f>
        <v>Espacio préstamo a la Secretaría de Cultura</v>
      </c>
      <c r="Y436" s="30"/>
      <c r="Z436" s="30"/>
      <c r="AA436" s="30"/>
      <c r="AB436" s="30" t="b">
        <f ca="1">IFERROR(__xludf.DUMMYFUNCTION("""COMPUTED_VALUE"""),FALSE)</f>
        <v>0</v>
      </c>
      <c r="AC436" s="30"/>
      <c r="AD436" s="30" t="b">
        <f ca="1">IFERROR(__xludf.DUMMYFUNCTION("""COMPUTED_VALUE"""),FALSE)</f>
        <v>0</v>
      </c>
      <c r="AE436" s="30">
        <f ca="1">IFERROR(__xludf.DUMMYFUNCTION("""COMPUTED_VALUE"""),1)</f>
        <v>1</v>
      </c>
      <c r="AF436" s="30" t="b">
        <f ca="1">IFERROR(__xludf.DUMMYFUNCTION("""COMPUTED_VALUE"""),FALSE)</f>
        <v>0</v>
      </c>
      <c r="AG436" s="30"/>
      <c r="AH436" s="30" t="str">
        <f ca="1">IFERROR(__xludf.DUMMYFUNCTION("""COMPUTED_VALUE"""),"Sin costo")</f>
        <v>Sin costo</v>
      </c>
      <c r="AI436" s="30"/>
      <c r="AJ436" s="30"/>
      <c r="AK436" s="30"/>
      <c r="AL436" s="30" t="str">
        <f ca="1">IFERROR(__xludf.DUMMYFUNCTION("""COMPUTED_VALUE"""),"claudia.ramirezm@guanajuato.gob.mx")</f>
        <v>claudia.ramirezm@guanajuato.gob.mx</v>
      </c>
      <c r="AM436"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436" s="30" t="str">
        <f ca="1">IFERROR(__xludf.DUMMYFUNCTION("""COMPUTED_VALUE"""),"2 Igualdad")</f>
        <v>2 Igualdad</v>
      </c>
      <c r="AO436" s="30" t="str">
        <f ca="1">IFERROR(__xludf.DUMMYFUNCTION("""COMPUTED_VALUE"""),"2.4 Reducir brechas de desigualdad")</f>
        <v>2.4 Reducir brechas de desigualdad</v>
      </c>
      <c r="AP436" s="30" t="str">
        <f ca="1">IFERROR(__xludf.DUMMYFUNCTION("""COMPUTED_VALUE"""),"2.4.3 Descentralización de la oferta cultural")</f>
        <v>2.4.3 Descentralización de la oferta cultural</v>
      </c>
      <c r="AQ436" s="30" t="str">
        <f ca="1">IFERROR(__xludf.DUMMYFUNCTION("""COMPUTED_VALUE"""),"2.4.3.1 Impulsar el desarrollo artístico y cultural entre infancias y juventudes")</f>
        <v>2.4.3.1 Impulsar el desarrollo artístico y cultural entre infancias y juventudes</v>
      </c>
      <c r="AR436" s="30" t="str">
        <f ca="1">IFERROR(__xludf.DUMMYFUNCTION("""COMPUTED_VALUE"""),"Inclusión")</f>
        <v>Inclusión</v>
      </c>
      <c r="AS436" s="30" t="str">
        <f ca="1">IFERROR(__xludf.DUMMYFUNCTION("""COMPUTED_VALUE"""),"NNA (Niñas, Niños y Adolescentes)")</f>
        <v>NNA (Niñas, Niños y Adolescentes)</v>
      </c>
      <c r="AT436" s="30" t="str">
        <f ca="1">IFERROR(__xludf.DUMMYFUNCTION("""COMPUTED_VALUE"""),"Impulso a la educación artística y a la profesionalización del sector cultural")</f>
        <v>Impulso a la educación artística y a la profesionalización del sector cultural</v>
      </c>
      <c r="AU436" s="30" t="str">
        <f ca="1">IFERROR(__xludf.DUMMYFUNCTION("""COMPUTED_VALUE"""),"Impulso a programas de formación y profesionalización para agentes culturales.")</f>
        <v>Impulso a programas de formación y profesionalización para agentes culturales.</v>
      </c>
      <c r="AV436"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6" s="30" t="str">
        <f ca="1">IFERROR(__xludf.DUMMYFUNCTION("""COMPUTED_VALUE"""),"Incrementar un 30% la oferta de formación y profesionalización para agentes culturales.")</f>
        <v>Incrementar un 30% la oferta de formación y profesionalización para agentes culturales.</v>
      </c>
      <c r="AX436" s="30" t="str">
        <f ca="1">IFERROR(__xludf.DUMMYFUNCTION("""COMPUTED_VALUE"""),"Taller")</f>
        <v>Taller</v>
      </c>
      <c r="AY436" s="30" t="str">
        <f ca="1">IFERROR(__xludf.DUMMYFUNCTION("""COMPUTED_VALUE"""),"Formación")</f>
        <v>Formación</v>
      </c>
      <c r="AZ436" s="30" t="str">
        <f ca="1">IFERROR(__xludf.DUMMYFUNCTION("""COMPUTED_VALUE"""),"Formación")</f>
        <v>Formación</v>
      </c>
      <c r="BA436" s="30" t="str">
        <f ca="1">IFERROR(__xludf.DUMMYFUNCTION("""COMPUTED_VALUE"""),"Iniciativa inscrita en el programa estatal de cultura infantil, coordinada mediante convenio de colaboración entre la Secretaría de Cultura Federal y la Secretaría de Cultura del Estado de Guanajuato. El proyecto busca articular los lenguajes artísticos c"&amp;"on la divulgación científica para fomentar el desarrollo integral, la curiosidad y la creatividad de la niñez en el estado.")</f>
        <v>Iniciativa inscrita en el programa estatal de cultura infantil, coordinada mediante convenio de colaboración entre la Secretaría de Cultura Federal y la Secretaría de Cultura del Estado de Guanajuato. El proyecto busca articular los lenguajes artísticos con la divulgación científica para fomentar el desarrollo integral, la curiosidad y la creatividad de la niñez en el estado.</v>
      </c>
      <c r="BB436" s="30">
        <f ca="1">IFERROR(__xludf.DUMMYFUNCTION("""COMPUTED_VALUE"""),5)</f>
        <v>5</v>
      </c>
      <c r="BC436" s="30">
        <f ca="1">IFERROR(__xludf.DUMMYFUNCTION("""COMPUTED_VALUE"""),1)</f>
        <v>1</v>
      </c>
      <c r="BD436" s="30" t="str">
        <f ca="1">IFERROR(__xludf.DUMMYFUNCTION("""COMPUTED_VALUE"""),"Apoyado con anterioridad")</f>
        <v>Apoyado con anterioridad</v>
      </c>
      <c r="BE436" s="30" t="str">
        <f ca="1">IFERROR(__xludf.DUMMYFUNCTION("""COMPUTED_VALUE"""),"Amanda de Jesus Flores Santacruz")</f>
        <v>Amanda de Jesus Flores Santacruz</v>
      </c>
      <c r="BF436" s="30" t="b">
        <f ca="1">IFERROR(__xludf.DUMMYFUNCTION("""COMPUTED_VALUE"""),FALSE)</f>
        <v>0</v>
      </c>
      <c r="BG436" s="30" t="str">
        <f ca="1">IFERROR(__xludf.DUMMYFUNCTION("""COMPUTED_VALUE"""),"Económico")</f>
        <v>Económico</v>
      </c>
      <c r="BH436" s="30">
        <f ca="1">IFERROR(__xludf.DUMMYFUNCTION("""COMPUTED_VALUE"""),6245.69)</f>
        <v>6245.69</v>
      </c>
      <c r="BI436" s="30"/>
      <c r="BJ436" s="30"/>
      <c r="BK436" s="30"/>
      <c r="BL436" s="30"/>
      <c r="BM436" s="30" t="str">
        <f ca="1">IFERROR(__xludf.DUMMYFUNCTION("""COMPUTED_VALUE"""),"No")</f>
        <v>No</v>
      </c>
      <c r="BN436" s="30"/>
      <c r="BO436" s="30" t="str">
        <f ca="1">IFERROR(__xludf.DUMMYFUNCTION("""COMPUTED_VALUE"""),"4726fd87")</f>
        <v>4726fd87</v>
      </c>
      <c r="BP436" s="29" t="str">
        <f ca="1">IFERROR(__xludf.DUMMYFUNCTION("""COMPUTED_VALUE"""),"Salamanca")</f>
        <v>Salamanca</v>
      </c>
      <c r="BQ436" s="30" t="str">
        <f ca="1">IFERROR(__xludf.DUMMYFUNCTION("""COMPUTED_VALUE"""),"Urbano")</f>
        <v>Urbano</v>
      </c>
      <c r="BR436" s="30">
        <f ca="1">IFERROR(__xludf.DUMMYFUNCTION("""COMPUTED_VALUE"""),181)</f>
        <v>181</v>
      </c>
      <c r="BS436" s="30" t="str">
        <f ca="1">IFERROR(__xludf.DUMMYFUNCTION("""COMPUTED_VALUE"""),"Salamanca")</f>
        <v>Salamanca</v>
      </c>
      <c r="BT436" s="30"/>
      <c r="BU436" s="30" t="str">
        <f ca="1">IFERROR(__xludf.DUMMYFUNCTION("""COMPUTED_VALUE"""),"Si")</f>
        <v>Si</v>
      </c>
      <c r="BV436" s="30" t="str">
        <f ca="1">IFERROR(__xludf.DUMMYFUNCTION("""COMPUTED_VALUE"""),"Si")</f>
        <v>Si</v>
      </c>
      <c r="BW436" s="30">
        <f ca="1">IFERROR(__xludf.DUMMYFUNCTION("""COMPUTED_VALUE"""),225)</f>
        <v>225</v>
      </c>
      <c r="BX436" s="30">
        <f ca="1">IFERROR(__xludf.DUMMYFUNCTION("""COMPUTED_VALUE"""),25)</f>
        <v>25</v>
      </c>
      <c r="BY436" s="30">
        <f ca="1">IFERROR(__xludf.DUMMYFUNCTION("""COMPUTED_VALUE"""),200)</f>
        <v>200</v>
      </c>
      <c r="BZ436" s="30" t="str">
        <f ca="1">IFERROR(__xludf.DUMMYFUNCTION("""COMPUTED_VALUE"""),"Salamanca")</f>
        <v>Salamanca</v>
      </c>
      <c r="CA436" s="30" t="str">
        <f ca="1">IFERROR(__xludf.DUMMYFUNCTION("""COMPUTED_VALUE"""),"No")</f>
        <v>No</v>
      </c>
      <c r="CB436" s="30" t="str">
        <f ca="1">IFERROR(__xludf.DUMMYFUNCTION("""COMPUTED_VALUE"""),"No")</f>
        <v>No</v>
      </c>
      <c r="CC436" s="30" t="str">
        <f ca="1">IFERROR(__xludf.DUMMYFUNCTION("""COMPUTED_VALUE"""),"e6b36272")</f>
        <v>e6b36272</v>
      </c>
      <c r="CD436" s="29" t="str">
        <f ca="1">IFERROR(__xludf.DUMMYFUNCTION("""COMPUTED_VALUE"""),"Adolescentes (13 a 17 años)")</f>
        <v>Adolescentes (13 a 17 años)</v>
      </c>
      <c r="CE436" s="30" t="str">
        <f ca="1">IFERROR(__xludf.DUMMYFUNCTION("""COMPUTED_VALUE"""),"No se cuenta con el dato")</f>
        <v>No se cuenta con el dato</v>
      </c>
      <c r="CF436" s="30" t="str">
        <f ca="1">IFERROR(__xludf.DUMMYFUNCTION("""COMPUTED_VALUE"""),"Ninguno (Población General)")</f>
        <v>Ninguno (Población General)</v>
      </c>
      <c r="CG436" s="30">
        <f ca="1">IFERROR(__xludf.DUMMYFUNCTION("""COMPUTED_VALUE"""),2492)</f>
        <v>2492</v>
      </c>
      <c r="CJ436" s="29"/>
      <c r="CM436" s="30" t="str">
        <f ca="1">IFERROR(__xludf.DUMMYFUNCTION("""COMPUTED_VALUE"""),"Guanajuato")</f>
        <v>Guanajuato</v>
      </c>
      <c r="CN436" s="32" t="e">
        <f ca="1"/>
        <v>#NAME?</v>
      </c>
      <c r="CO436" s="32" t="e">
        <f ca="1"/>
        <v>#NAME?</v>
      </c>
      <c r="CP436" s="32" t="e">
        <f ca="1"/>
        <v>#NAME?</v>
      </c>
      <c r="CQ436" s="32" t="e">
        <f ca="1"/>
        <v>#NAME?</v>
      </c>
      <c r="CR436" s="30" t="e">
        <f ca="1"/>
        <v>#NAME?</v>
      </c>
      <c r="CS436" s="30" t="str">
        <f ca="1">IFERROR(__xludf.DUMMYFUNCTION("""COMPUTED_VALUE"""),"Población General")</f>
        <v>Población General</v>
      </c>
    </row>
    <row r="437" spans="1:97" ht="13">
      <c r="A437" s="29" t="str">
        <f ca="1">IFERROR(__xludf.DUMMYFUNCTION("""COMPUTED_VALUE"""),"ACT-SCLV97219")</f>
        <v>ACT-SCLV97219</v>
      </c>
      <c r="B437" s="30" t="str">
        <f ca="1">IFERROR(__xludf.DUMMYFUNCTION("""COMPUTED_VALUE"""),"SC-260921-124547")</f>
        <v>SC-260921-124547</v>
      </c>
      <c r="C437" s="62">
        <f ca="1">IFERROR(__xludf.DUMMYFUNCTION("""COMPUTED_VALUE"""),46286.5317939814)</f>
        <v>46286.531793981398</v>
      </c>
      <c r="D437" s="30">
        <f ca="1">IFERROR(__xludf.DUMMYFUNCTION("""COMPUTED_VALUE"""),75)</f>
        <v>75</v>
      </c>
      <c r="E437" s="30" t="str">
        <f ca="1">IFERROR(__xludf.DUMMYFUNCTION("""COMPUTED_VALUE"""),"PB3567")</f>
        <v>PB3567</v>
      </c>
      <c r="F437" s="30" t="str">
        <f ca="1">IFERROR(__xludf.DUMMYFUNCTION("""COMPUTED_VALUE"""),"Formación e Investigación Artística")</f>
        <v>Formación e Investigación Artística</v>
      </c>
      <c r="G437" s="30" t="str">
        <f ca="1">IFERROR(__xludf.DUMMYFUNCTION("""COMPUTED_VALUE"""),"Cursos, talleres, y diplomados en la disciplina de las artes visuales, digitales y sonoras. Cine y sonorización.")</f>
        <v>Cursos, talleres, y diplomados en la disciplina de las artes visuales, digitales y sonoras. Cine y sonorización.</v>
      </c>
      <c r="H437" s="30" t="str">
        <f ca="1">IFERROR(__xludf.DUMMYFUNCTION("""COMPUTED_VALUE"""),"SUBSECRETARÍA DE DESARROLLO COMUNITARIO Y PROMOCIÓN PATRIMONIAL")</f>
        <v>SUBSECRETARÍA DE DESARROLLO COMUNITARIO Y PROMOCIÓN PATRIMONIAL</v>
      </c>
      <c r="I437" s="34" t="str">
        <f ca="1">IFERROR(__xludf.DUMMYFUNCTION("""COMPUTED_VALUE"""),"DIRECCIÓN GENERAL DE FORMACIÓN E INVESTIGACIÓN")</f>
        <v>DIRECCIÓN GENERAL DE FORMACIÓN E INVESTIGACIÓN</v>
      </c>
      <c r="J437" s="30" t="str">
        <f ca="1">IFERROR(__xludf.DUMMYFUNCTION("""COMPUTED_VALUE"""),"Cursos, talleres, diplomados realizados")</f>
        <v>Cursos, talleres, diplomados realizados</v>
      </c>
      <c r="K437" s="30">
        <f ca="1">IFERROR(__xludf.DUMMYFUNCTION("""COMPUTED_VALUE"""),4)</f>
        <v>4</v>
      </c>
      <c r="L437" s="30" t="str">
        <f ca="1">IFERROR(__xludf.DUMMYFUNCTION("""COMPUTED_VALUE"""),"Artística")</f>
        <v>Artística</v>
      </c>
      <c r="M437" s="30" t="str">
        <f ca="1">IFERROR(__xludf.DUMMYFUNCTION("""COMPUTED_VALUE"""),"Metodologia de procesos creativos")</f>
        <v>Metodologia de procesos creativos</v>
      </c>
      <c r="N437" s="30" t="str">
        <f ca="1">IFERROR(__xludf.DUMMYFUNCTION("""COMPUTED_VALUE"""),"Durante el desarrollo del taller se implementa una metodología enfocada en la experimentación práctica y el intercambio de experiencias entre las personas participantes. Las sesiones combinan momentos de reflexión con ejercicios individuales y colectivos "&amp;"orientados a estimular la creatividad desde diversas perspectivas.")</f>
        <v>Durante el desarrollo del taller se implementa una metodología enfocada en la experimentación práctica y el intercambio de experiencias entre las personas participantes. Las sesiones combinan momentos de reflexión con ejercicios individuales y colectivos orientados a estimular la creatividad desde diversas perspectivas.</v>
      </c>
      <c r="O437" s="30" t="str">
        <f ca="1">IFERROR(__xludf.DUMMYFUNCTION("""COMPUTED_VALUE"""),"Diaria")</f>
        <v>Diaria</v>
      </c>
      <c r="P437" s="33">
        <f ca="1">IFERROR(__xludf.DUMMYFUNCTION("""COMPUTED_VALUE"""),46125)</f>
        <v>46125</v>
      </c>
      <c r="Q437" s="33">
        <f ca="1">IFERROR(__xludf.DUMMYFUNCTION("""COMPUTED_VALUE"""),46138)</f>
        <v>46138</v>
      </c>
      <c r="R437" s="30">
        <f ca="1">IFERROR(__xludf.DUMMYFUNCTION("""COMPUTED_VALUE"""),13)</f>
        <v>13</v>
      </c>
      <c r="S437" s="30" t="str">
        <f ca="1">IFERROR(__xludf.DUMMYFUNCTION("""COMPUTED_VALUE"""),"Artesanías y arte popular")</f>
        <v>Artesanías y arte popular</v>
      </c>
      <c r="T437" s="30" t="str">
        <f ca="1">IFERROR(__xludf.DUMMYFUNCTION("""COMPUTED_VALUE"""),"Arte popular")</f>
        <v>Arte popular</v>
      </c>
      <c r="U437" s="30" t="str">
        <f ca="1">IFERROR(__xludf.DUMMYFUNCTION("""COMPUTED_VALUE"""),"Taller")</f>
        <v>Taller</v>
      </c>
      <c r="V437" s="30" t="str">
        <f ca="1">IFERROR(__xludf.DUMMYFUNCTION("""COMPUTED_VALUE"""),"Ninguna")</f>
        <v>Ninguna</v>
      </c>
      <c r="W437" s="30" t="str">
        <f ca="1">IFERROR(__xludf.DUMMYFUNCTION("""COMPUTED_VALUE"""),"Híbrido")</f>
        <v>Híbrido</v>
      </c>
      <c r="X437" s="30" t="str">
        <f ca="1">IFERROR(__xludf.DUMMYFUNCTION("""COMPUTED_VALUE"""),"Espacio préstamo a la Secretaría de Cultura")</f>
        <v>Espacio préstamo a la Secretaría de Cultura</v>
      </c>
      <c r="Y437" s="30"/>
      <c r="Z437" s="30"/>
      <c r="AA437" s="30"/>
      <c r="AB437" s="30" t="b">
        <f ca="1">IFERROR(__xludf.DUMMYFUNCTION("""COMPUTED_VALUE"""),FALSE)</f>
        <v>0</v>
      </c>
      <c r="AC437" s="30"/>
      <c r="AD437" s="30" t="b">
        <f ca="1">IFERROR(__xludf.DUMMYFUNCTION("""COMPUTED_VALUE"""),TRUE)</f>
        <v>1</v>
      </c>
      <c r="AE437" s="30">
        <f ca="1">IFERROR(__xludf.DUMMYFUNCTION("""COMPUTED_VALUE"""),1)</f>
        <v>1</v>
      </c>
      <c r="AF437" s="30" t="b">
        <f ca="1">IFERROR(__xludf.DUMMYFUNCTION("""COMPUTED_VALUE"""),FALSE)</f>
        <v>0</v>
      </c>
      <c r="AG437" s="30"/>
      <c r="AH437" s="30" t="str">
        <f ca="1">IFERROR(__xludf.DUMMYFUNCTION("""COMPUTED_VALUE"""),"Sin costo")</f>
        <v>Sin costo</v>
      </c>
      <c r="AI437" s="30"/>
      <c r="AJ437" s="30"/>
      <c r="AK437" s="30"/>
      <c r="AL437" s="30" t="str">
        <f ca="1">IFERROR(__xludf.DUMMYFUNCTION("""COMPUTED_VALUE"""),"claudia.ramirezm@guanajuato.gob.mx")</f>
        <v>claudia.ramirezm@guanajuato.gob.mx</v>
      </c>
      <c r="AM437" s="30" t="str">
        <f ca="1">IFERROR(__xludf.DUMMYFUNCTION("""COMPUTED_VALUE"""),"Mayor inversión en conservación del patrimonio artístico y cultural.")</f>
        <v>Mayor inversión en conservación del patrimonio artístico y cultural.</v>
      </c>
      <c r="AN437" s="30" t="str">
        <f ca="1">IFERROR(__xludf.DUMMYFUNCTION("""COMPUTED_VALUE"""),"2 Igualdad")</f>
        <v>2 Igualdad</v>
      </c>
      <c r="AO437" s="30" t="str">
        <f ca="1">IFERROR(__xludf.DUMMYFUNCTION("""COMPUTED_VALUE"""),"2.2 Fortalecer cohesión social")</f>
        <v>2.2 Fortalecer cohesión social</v>
      </c>
      <c r="AP437" s="30" t="str">
        <f ca="1">IFERROR(__xludf.DUMMYFUNCTION("""COMPUTED_VALUE"""),"2.2 Fortalecer cohesión social")</f>
        <v>2.2 Fortalecer cohesión social</v>
      </c>
      <c r="AQ437" s="30" t="str">
        <f ca="1">IFERROR(__xludf.DUMMYFUNCTION("""COMPUTED_VALUE"""),"2.2.3.2 Promover la participación de grupos prioritarios en actividades culturales")</f>
        <v>2.2.3.2 Promover la participación de grupos prioritarios en actividades culturales</v>
      </c>
      <c r="AR437" s="30" t="str">
        <f ca="1">IFERROR(__xludf.DUMMYFUNCTION("""COMPUTED_VALUE"""),"Inclusión")</f>
        <v>Inclusión</v>
      </c>
      <c r="AS437" s="30" t="str">
        <f ca="1">IFERROR(__xludf.DUMMYFUNCTION("""COMPUTED_VALUE"""),"Ninguno (Población General)")</f>
        <v>Ninguno (Población General)</v>
      </c>
      <c r="AT437" s="30" t="str">
        <f ca="1">IFERROR(__xludf.DUMMYFUNCTION("""COMPUTED_VALUE"""),"Impulso a la educación artística y a la profesionalización del sector cultural")</f>
        <v>Impulso a la educación artística y a la profesionalización del sector cultural</v>
      </c>
      <c r="AU437" s="30" t="str">
        <f ca="1">IFERROR(__xludf.DUMMYFUNCTION("""COMPUTED_VALUE"""),"Impulso a programas de formación y profesionalización para agentes culturales.")</f>
        <v>Impulso a programas de formación y profesionalización para agentes culturales.</v>
      </c>
      <c r="AV437"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7" s="30" t="str">
        <f ca="1">IFERROR(__xludf.DUMMYFUNCTION("""COMPUTED_VALUE"""),"Incrementar un 30% la oferta de formación y profesionalización para agentes culturales.")</f>
        <v>Incrementar un 30% la oferta de formación y profesionalización para agentes culturales.</v>
      </c>
      <c r="AX437" s="30" t="str">
        <f ca="1">IFERROR(__xludf.DUMMYFUNCTION("""COMPUTED_VALUE"""),"Taller")</f>
        <v>Taller</v>
      </c>
      <c r="AY437" s="30" t="str">
        <f ca="1">IFERROR(__xludf.DUMMYFUNCTION("""COMPUTED_VALUE"""),"Formación")</f>
        <v>Formación</v>
      </c>
      <c r="AZ437" s="30" t="str">
        <f ca="1">IFERROR(__xludf.DUMMYFUNCTION("""COMPUTED_VALUE"""),"Formación")</f>
        <v>Formación</v>
      </c>
      <c r="BA437" s="30" t="str">
        <f ca="1">IFERROR(__xludf.DUMMYFUNCTION("""COMPUTED_VALUE"""),"Proceso intensivo basado en retos creativos que culminan en una primera pieza colectiva.")</f>
        <v>Proceso intensivo basado en retos creativos que culminan en una primera pieza colectiva.</v>
      </c>
      <c r="BB437" s="30">
        <f ca="1">IFERROR(__xludf.DUMMYFUNCTION("""COMPUTED_VALUE"""),5)</f>
        <v>5</v>
      </c>
      <c r="BC437" s="30">
        <f ca="1">IFERROR(__xludf.DUMMYFUNCTION("""COMPUTED_VALUE"""),2)</f>
        <v>2</v>
      </c>
      <c r="BD437" s="30" t="str">
        <f ca="1">IFERROR(__xludf.DUMMYFUNCTION("""COMPUTED_VALUE"""),"Nuevo")</f>
        <v>Nuevo</v>
      </c>
      <c r="BE437" s="30" t="str">
        <f ca="1">IFERROR(__xludf.DUMMYFUNCTION("""COMPUTED_VALUE"""),"Mónica Pérez Quintero, Fabián Ávila Elizalde")</f>
        <v>Mónica Pérez Quintero, Fabián Ávila Elizalde</v>
      </c>
      <c r="BF437" s="30" t="b">
        <f ca="1">IFERROR(__xludf.DUMMYFUNCTION("""COMPUTED_VALUE"""),TRUE)</f>
        <v>1</v>
      </c>
      <c r="BG437" s="30" t="str">
        <f ca="1">IFERROR(__xludf.DUMMYFUNCTION("""COMPUTED_VALUE"""),"Económico")</f>
        <v>Económico</v>
      </c>
      <c r="BH437" s="30">
        <f ca="1">IFERROR(__xludf.DUMMYFUNCTION("""COMPUTED_VALUE"""),26840)</f>
        <v>26840</v>
      </c>
      <c r="BI437" s="30"/>
      <c r="BJ437" s="30"/>
      <c r="BK437" s="30"/>
      <c r="BL437" s="30" t="str">
        <f ca="1">IFERROR(__xludf.DUMMYFUNCTION("""COMPUTED_VALUE"""),"Apoyo en las actividades llevadas a cabo.")</f>
        <v>Apoyo en las actividades llevadas a cabo.</v>
      </c>
      <c r="BM437" s="30" t="str">
        <f ca="1">IFERROR(__xludf.DUMMYFUNCTION("""COMPUTED_VALUE"""),"No")</f>
        <v>No</v>
      </c>
      <c r="BN437" s="30" t="str">
        <f ca="1">IFERROR(__xludf.DUMMYFUNCTION("""COMPUTED_VALUE"""),"Acompañamiento Técnico")</f>
        <v>Acompañamiento Técnico</v>
      </c>
      <c r="BO437" s="30" t="str">
        <f ca="1">IFERROR(__xludf.DUMMYFUNCTION("""COMPUTED_VALUE"""),"05b52a88")</f>
        <v>05b52a88</v>
      </c>
      <c r="BP437" s="29" t="str">
        <f ca="1">IFERROR(__xludf.DUMMYFUNCTION("""COMPUTED_VALUE"""),"Salamanca")</f>
        <v>Salamanca</v>
      </c>
      <c r="BQ437" s="30" t="str">
        <f ca="1">IFERROR(__xludf.DUMMYFUNCTION("""COMPUTED_VALUE"""),"Urbano")</f>
        <v>Urbano</v>
      </c>
      <c r="BR437" s="30">
        <f ca="1">IFERROR(__xludf.DUMMYFUNCTION("""COMPUTED_VALUE"""),181)</f>
        <v>181</v>
      </c>
      <c r="BS437" s="30" t="str">
        <f ca="1">IFERROR(__xludf.DUMMYFUNCTION("""COMPUTED_VALUE"""),"Salamanca")</f>
        <v>Salamanca</v>
      </c>
      <c r="BT437" s="30"/>
      <c r="BU437" s="30" t="str">
        <f ca="1">IFERROR(__xludf.DUMMYFUNCTION("""COMPUTED_VALUE"""),"Si")</f>
        <v>Si</v>
      </c>
      <c r="BV437" s="30" t="str">
        <f ca="1">IFERROR(__xludf.DUMMYFUNCTION("""COMPUTED_VALUE"""),"Si")</f>
        <v>Si</v>
      </c>
      <c r="BW437" s="30">
        <f ca="1">IFERROR(__xludf.DUMMYFUNCTION("""COMPUTED_VALUE"""),61)</f>
        <v>61</v>
      </c>
      <c r="BX437" s="30">
        <f ca="1">IFERROR(__xludf.DUMMYFUNCTION("""COMPUTED_VALUE"""),30)</f>
        <v>30</v>
      </c>
      <c r="BY437" s="30">
        <f ca="1">IFERROR(__xludf.DUMMYFUNCTION("""COMPUTED_VALUE"""),31)</f>
        <v>31</v>
      </c>
      <c r="BZ437" s="30" t="str">
        <f ca="1">IFERROR(__xludf.DUMMYFUNCTION("""COMPUTED_VALUE"""),"Salamanca")</f>
        <v>Salamanca</v>
      </c>
      <c r="CA437" s="30" t="str">
        <f ca="1">IFERROR(__xludf.DUMMYFUNCTION("""COMPUTED_VALUE"""),"No")</f>
        <v>No</v>
      </c>
      <c r="CB437" s="30" t="str">
        <f ca="1">IFERROR(__xludf.DUMMYFUNCTION("""COMPUTED_VALUE"""),"No")</f>
        <v>No</v>
      </c>
      <c r="CC437" s="30" t="str">
        <f ca="1">IFERROR(__xludf.DUMMYFUNCTION("""COMPUTED_VALUE"""),"52760345")</f>
        <v>52760345</v>
      </c>
      <c r="CD437" s="29" t="str">
        <f ca="1">IFERROR(__xludf.DUMMYFUNCTION("""COMPUTED_VALUE"""),"Niñas y Niños (6 a 12 años)")</f>
        <v>Niñas y Niños (6 a 12 años)</v>
      </c>
      <c r="CE437" s="30" t="str">
        <f ca="1">IFERROR(__xludf.DUMMYFUNCTION("""COMPUTED_VALUE"""),"No se cuenta con el dato")</f>
        <v>No se cuenta con el dato</v>
      </c>
      <c r="CF437" s="30" t="str">
        <f ca="1">IFERROR(__xludf.DUMMYFUNCTION("""COMPUTED_VALUE"""),"Ninguno (Población General)")</f>
        <v>Ninguno (Población General)</v>
      </c>
      <c r="CG437" s="30">
        <f ca="1">IFERROR(__xludf.DUMMYFUNCTION("""COMPUTED_VALUE"""),1417)</f>
        <v>1417</v>
      </c>
      <c r="CJ437" s="29"/>
      <c r="CM437" s="30" t="str">
        <f ca="1">IFERROR(__xludf.DUMMYFUNCTION("""COMPUTED_VALUE"""),"Salamanca")</f>
        <v>Salamanca</v>
      </c>
      <c r="CN437" s="32" t="e">
        <f ca="1"/>
        <v>#NAME?</v>
      </c>
      <c r="CO437" s="32" t="e">
        <f ca="1"/>
        <v>#NAME?</v>
      </c>
      <c r="CP437" s="32" t="e">
        <f ca="1"/>
        <v>#NAME?</v>
      </c>
      <c r="CQ437" s="32" t="e">
        <f ca="1"/>
        <v>#NAME?</v>
      </c>
      <c r="CR437" s="30" t="e">
        <f ca="1"/>
        <v>#NAME?</v>
      </c>
      <c r="CS437" s="30" t="str">
        <f ca="1">IFERROR(__xludf.DUMMYFUNCTION("""COMPUTED_VALUE"""),"Ninguno (Población General)")</f>
        <v>Ninguno (Población General)</v>
      </c>
    </row>
    <row r="438" spans="1:97" ht="13">
      <c r="A438" s="29" t="str">
        <f ca="1">IFERROR(__xludf.DUMMYFUNCTION("""COMPUTED_VALUE"""),"ACT-SCTP93796")</f>
        <v>ACT-SCTP93796</v>
      </c>
      <c r="B438" s="30" t="str">
        <f ca="1">IFERROR(__xludf.DUMMYFUNCTION("""COMPUTED_VALUE"""),"SC-260921-134156")</f>
        <v>SC-260921-134156</v>
      </c>
      <c r="C438" s="62">
        <f ca="1">IFERROR(__xludf.DUMMYFUNCTION("""COMPUTED_VALUE"""),46286.570787037)</f>
        <v>46286.570787037002</v>
      </c>
      <c r="D438" s="30">
        <f ca="1">IFERROR(__xludf.DUMMYFUNCTION("""COMPUTED_VALUE"""),75)</f>
        <v>75</v>
      </c>
      <c r="E438" s="30" t="str">
        <f ca="1">IFERROR(__xludf.DUMMYFUNCTION("""COMPUTED_VALUE"""),"PB3567")</f>
        <v>PB3567</v>
      </c>
      <c r="F438" s="30" t="str">
        <f ca="1">IFERROR(__xludf.DUMMYFUNCTION("""COMPUTED_VALUE"""),"Formación e Investigación Artística")</f>
        <v>Formación e Investigación Artística</v>
      </c>
      <c r="G438" s="30" t="str">
        <f ca="1">IFERROR(__xludf.DUMMYFUNCTION("""COMPUTED_VALUE"""),"Cursos, talleres, y diplomados en la disciplina de las artes visuales, digitales y sonoras. Cine y sonorización.")</f>
        <v>Cursos, talleres, y diplomados en la disciplina de las artes visuales, digitales y sonoras. Cine y sonorización.</v>
      </c>
      <c r="H438" s="30" t="str">
        <f ca="1">IFERROR(__xludf.DUMMYFUNCTION("""COMPUTED_VALUE"""),"SUBSECRETARÍA DE DESARROLLO COMUNITARIO Y PROMOCIÓN PATRIMONIAL")</f>
        <v>SUBSECRETARÍA DE DESARROLLO COMUNITARIO Y PROMOCIÓN PATRIMONIAL</v>
      </c>
      <c r="I438" s="34" t="str">
        <f ca="1">IFERROR(__xludf.DUMMYFUNCTION("""COMPUTED_VALUE"""),"DIRECCIÓN GENERAL DE FORMACIÓN E INVESTIGACIÓN")</f>
        <v>DIRECCIÓN GENERAL DE FORMACIÓN E INVESTIGACIÓN</v>
      </c>
      <c r="J438" s="30" t="str">
        <f ca="1">IFERROR(__xludf.DUMMYFUNCTION("""COMPUTED_VALUE"""),"Cursos, talleres, diplomados realizados")</f>
        <v>Cursos, talleres, diplomados realizados</v>
      </c>
      <c r="K438" s="30">
        <f ca="1">IFERROR(__xludf.DUMMYFUNCTION("""COMPUTED_VALUE"""),4)</f>
        <v>4</v>
      </c>
      <c r="L438" s="30" t="str">
        <f ca="1">IFERROR(__xludf.DUMMYFUNCTION("""COMPUTED_VALUE"""),"Artística")</f>
        <v>Artística</v>
      </c>
      <c r="M438" s="30" t="str">
        <f ca="1">IFERROR(__xludf.DUMMYFUNCTION("""COMPUTED_VALUE"""),"Taller de Producción Audiovisual.")</f>
        <v>Taller de Producción Audiovisual.</v>
      </c>
      <c r="N438" s="30" t="str">
        <f ca="1">IFERROR(__xludf.DUMMYFUNCTION("""COMPUTED_VALUE"""),"Durante el desarrollo del taller, las personas participantes se enfocaron en los procesos de creación, registro, edición y postproducción audiovisual aplicados a proyectos de carácter cultural y tecnológico.")</f>
        <v>Durante el desarrollo del taller, las personas participantes se enfocaron en los procesos de creación, registro, edición y postproducción audiovisual aplicados a proyectos de carácter cultural y tecnológico.</v>
      </c>
      <c r="O438" s="30" t="str">
        <f ca="1">IFERROR(__xludf.DUMMYFUNCTION("""COMPUTED_VALUE"""),"Diaria")</f>
        <v>Diaria</v>
      </c>
      <c r="P438" s="33">
        <f ca="1">IFERROR(__xludf.DUMMYFUNCTION("""COMPUTED_VALUE"""),46146)</f>
        <v>46146</v>
      </c>
      <c r="Q438" s="33">
        <f ca="1">IFERROR(__xludf.DUMMYFUNCTION("""COMPUTED_VALUE"""),46165)</f>
        <v>46165</v>
      </c>
      <c r="R438" s="30">
        <f ca="1">IFERROR(__xludf.DUMMYFUNCTION("""COMPUTED_VALUE"""),19)</f>
        <v>19</v>
      </c>
      <c r="S438" s="30" t="str">
        <f ca="1">IFERROR(__xludf.DUMMYFUNCTION("""COMPUTED_VALUE"""),"Cinematografía y medios audiovisuales")</f>
        <v>Cinematografía y medios audiovisuales</v>
      </c>
      <c r="T438" s="30" t="str">
        <f ca="1">IFERROR(__xludf.DUMMYFUNCTION("""COMPUTED_VALUE"""),"Producción audiovisual")</f>
        <v>Producción audiovisual</v>
      </c>
      <c r="U438" s="30" t="str">
        <f ca="1">IFERROR(__xludf.DUMMYFUNCTION("""COMPUTED_VALUE"""),"Taller")</f>
        <v>Taller</v>
      </c>
      <c r="V438" s="30" t="str">
        <f ca="1">IFERROR(__xludf.DUMMYFUNCTION("""COMPUTED_VALUE"""),"Ninguna")</f>
        <v>Ninguna</v>
      </c>
      <c r="W438" s="30" t="str">
        <f ca="1">IFERROR(__xludf.DUMMYFUNCTION("""COMPUTED_VALUE"""),"Híbrido")</f>
        <v>Híbrido</v>
      </c>
      <c r="X438" s="30" t="str">
        <f ca="1">IFERROR(__xludf.DUMMYFUNCTION("""COMPUTED_VALUE"""),"Espacio préstamo a la Secretaría de Cultura")</f>
        <v>Espacio préstamo a la Secretaría de Cultura</v>
      </c>
      <c r="Y438" s="30"/>
      <c r="Z438" s="30"/>
      <c r="AA438" s="30"/>
      <c r="AB438" s="30" t="b">
        <f ca="1">IFERROR(__xludf.DUMMYFUNCTION("""COMPUTED_VALUE"""),FALSE)</f>
        <v>0</v>
      </c>
      <c r="AC438" s="30"/>
      <c r="AD438" s="30" t="b">
        <f ca="1">IFERROR(__xludf.DUMMYFUNCTION("""COMPUTED_VALUE"""),TRUE)</f>
        <v>1</v>
      </c>
      <c r="AE438" s="30">
        <f ca="1">IFERROR(__xludf.DUMMYFUNCTION("""COMPUTED_VALUE"""),1)</f>
        <v>1</v>
      </c>
      <c r="AF438" s="30" t="b">
        <f ca="1">IFERROR(__xludf.DUMMYFUNCTION("""COMPUTED_VALUE"""),FALSE)</f>
        <v>0</v>
      </c>
      <c r="AG438" s="30"/>
      <c r="AH438" s="30" t="str">
        <f ca="1">IFERROR(__xludf.DUMMYFUNCTION("""COMPUTED_VALUE"""),"Sin costo")</f>
        <v>Sin costo</v>
      </c>
      <c r="AI438" s="30"/>
      <c r="AJ438" s="30"/>
      <c r="AK438" s="30"/>
      <c r="AL438" s="30" t="str">
        <f ca="1">IFERROR(__xludf.DUMMYFUNCTION("""COMPUTED_VALUE"""),"claudia.ramirezm@guanajuato.gob.mx")</f>
        <v>claudia.ramirezm@guanajuato.gob.mx</v>
      </c>
      <c r="AM438" s="30" t="str">
        <f ca="1">IFERROR(__xludf.DUMMYFUNCTION("""COMPUTED_VALUE"""),"Mayor inversión en conservación del patrimonio artístico y cultural.")</f>
        <v>Mayor inversión en conservación del patrimonio artístico y cultural.</v>
      </c>
      <c r="AN438" s="30" t="str">
        <f ca="1">IFERROR(__xludf.DUMMYFUNCTION("""COMPUTED_VALUE"""),"2 Igualdad")</f>
        <v>2 Igualdad</v>
      </c>
      <c r="AO438" s="30" t="str">
        <f ca="1">IFERROR(__xludf.DUMMYFUNCTION("""COMPUTED_VALUE"""),"2.2 Fortalecer cohesión social")</f>
        <v>2.2 Fortalecer cohesión social</v>
      </c>
      <c r="AP438" s="30" t="str">
        <f ca="1">IFERROR(__xludf.DUMMYFUNCTION("""COMPUTED_VALUE"""),"2.2 Fortalecer cohesión social")</f>
        <v>2.2 Fortalecer cohesión social</v>
      </c>
      <c r="AQ438" s="30" t="str">
        <f ca="1">IFERROR(__xludf.DUMMYFUNCTION("""COMPUTED_VALUE"""),"2.2.3.2 Promover la participación de grupos prioritarios en actividades culturales")</f>
        <v>2.2.3.2 Promover la participación de grupos prioritarios en actividades culturales</v>
      </c>
      <c r="AR438" s="30" t="str">
        <f ca="1">IFERROR(__xludf.DUMMYFUNCTION("""COMPUTED_VALUE"""),"Inclusión")</f>
        <v>Inclusión</v>
      </c>
      <c r="AS438" s="30" t="str">
        <f ca="1">IFERROR(__xludf.DUMMYFUNCTION("""COMPUTED_VALUE"""),"Ninguno (Población General)")</f>
        <v>Ninguno (Población General)</v>
      </c>
      <c r="AT438" s="30" t="str">
        <f ca="1">IFERROR(__xludf.DUMMYFUNCTION("""COMPUTED_VALUE"""),"Impulso a la educación artística y a la profesionalización del sector cultural")</f>
        <v>Impulso a la educación artística y a la profesionalización del sector cultural</v>
      </c>
      <c r="AU438" s="30" t="str">
        <f ca="1">IFERROR(__xludf.DUMMYFUNCTION("""COMPUTED_VALUE"""),"Impulso a programas de formación y profesionalización para agentes culturales.")</f>
        <v>Impulso a programas de formación y profesionalización para agentes culturales.</v>
      </c>
      <c r="AV438"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8" s="30" t="str">
        <f ca="1">IFERROR(__xludf.DUMMYFUNCTION("""COMPUTED_VALUE"""),"Incrementar un 30% la oferta de formación y profesionalización para agentes culturales.")</f>
        <v>Incrementar un 30% la oferta de formación y profesionalización para agentes culturales.</v>
      </c>
      <c r="AX438" s="30" t="str">
        <f ca="1">IFERROR(__xludf.DUMMYFUNCTION("""COMPUTED_VALUE"""),"Taller")</f>
        <v>Taller</v>
      </c>
      <c r="AY438" s="30" t="str">
        <f ca="1">IFERROR(__xludf.DUMMYFUNCTION("""COMPUTED_VALUE"""),"Formación")</f>
        <v>Formación</v>
      </c>
      <c r="AZ438" s="30" t="str">
        <f ca="1">IFERROR(__xludf.DUMMYFUNCTION("""COMPUTED_VALUE"""),"Formación")</f>
        <v>Formación</v>
      </c>
      <c r="BA438" s="30" t="str">
        <f ca="1">IFERROR(__xludf.DUMMYFUNCTION("""COMPUTED_VALUE"""),"Bases técnicas para producir imágenes en movimiento desde preproducción hasta montaje.")</f>
        <v>Bases técnicas para producir imágenes en movimiento desde preproducción hasta montaje.</v>
      </c>
      <c r="BB438" s="30">
        <f ca="1">IFERROR(__xludf.DUMMYFUNCTION("""COMPUTED_VALUE"""),5)</f>
        <v>5</v>
      </c>
      <c r="BC438" s="30">
        <f ca="1">IFERROR(__xludf.DUMMYFUNCTION("""COMPUTED_VALUE"""),2)</f>
        <v>2</v>
      </c>
      <c r="BD438" s="30" t="str">
        <f ca="1">IFERROR(__xludf.DUMMYFUNCTION("""COMPUTED_VALUE"""),"Nuevo")</f>
        <v>Nuevo</v>
      </c>
      <c r="BE438" s="30" t="str">
        <f ca="1">IFERROR(__xludf.DUMMYFUNCTION("""COMPUTED_VALUE"""),"Eliud Romero, Rene Valderrama Rochin")</f>
        <v>Eliud Romero, Rene Valderrama Rochin</v>
      </c>
      <c r="BF438" s="30" t="b">
        <f ca="1">IFERROR(__xludf.DUMMYFUNCTION("""COMPUTED_VALUE"""),TRUE)</f>
        <v>1</v>
      </c>
      <c r="BG438" s="30" t="str">
        <f ca="1">IFERROR(__xludf.DUMMYFUNCTION("""COMPUTED_VALUE"""),"Económico")</f>
        <v>Económico</v>
      </c>
      <c r="BH438" s="30">
        <f ca="1">IFERROR(__xludf.DUMMYFUNCTION("""COMPUTED_VALUE"""),27430)</f>
        <v>27430</v>
      </c>
      <c r="BI438" s="30"/>
      <c r="BJ438" s="30"/>
      <c r="BK438" s="30"/>
      <c r="BL438" s="30" t="str">
        <f ca="1">IFERROR(__xludf.DUMMYFUNCTION("""COMPUTED_VALUE"""),"Apoyo técnico en las sesiones llevadas a cabo.")</f>
        <v>Apoyo técnico en las sesiones llevadas a cabo.</v>
      </c>
      <c r="BM438" s="30" t="str">
        <f ca="1">IFERROR(__xludf.DUMMYFUNCTION("""COMPUTED_VALUE"""),"No")</f>
        <v>No</v>
      </c>
      <c r="BN438" s="30" t="str">
        <f ca="1">IFERROR(__xludf.DUMMYFUNCTION("""COMPUTED_VALUE"""),"Acompañamiento Técnico")</f>
        <v>Acompañamiento Técnico</v>
      </c>
      <c r="BO438" s="30" t="str">
        <f ca="1">IFERROR(__xludf.DUMMYFUNCTION("""COMPUTED_VALUE"""),"d6aac67e")</f>
        <v>d6aac67e</v>
      </c>
      <c r="BP438" s="29" t="str">
        <f ca="1">IFERROR(__xludf.DUMMYFUNCTION("""COMPUTED_VALUE"""),"Salamanca")</f>
        <v>Salamanca</v>
      </c>
      <c r="BQ438" s="30" t="str">
        <f ca="1">IFERROR(__xludf.DUMMYFUNCTION("""COMPUTED_VALUE"""),"Urbano")</f>
        <v>Urbano</v>
      </c>
      <c r="BR438" s="30">
        <f ca="1">IFERROR(__xludf.DUMMYFUNCTION("""COMPUTED_VALUE"""),181)</f>
        <v>181</v>
      </c>
      <c r="BS438" s="30" t="str">
        <f ca="1">IFERROR(__xludf.DUMMYFUNCTION("""COMPUTED_VALUE"""),"Salamanca")</f>
        <v>Salamanca</v>
      </c>
      <c r="BT438" s="30"/>
      <c r="BU438" s="30" t="str">
        <f ca="1">IFERROR(__xludf.DUMMYFUNCTION("""COMPUTED_VALUE"""),"Si")</f>
        <v>Si</v>
      </c>
      <c r="BV438" s="30" t="str">
        <f ca="1">IFERROR(__xludf.DUMMYFUNCTION("""COMPUTED_VALUE"""),"Si")</f>
        <v>Si</v>
      </c>
      <c r="BW438" s="30">
        <f ca="1">IFERROR(__xludf.DUMMYFUNCTION("""COMPUTED_VALUE"""),30)</f>
        <v>30</v>
      </c>
      <c r="BX438" s="30">
        <f ca="1">IFERROR(__xludf.DUMMYFUNCTION("""COMPUTED_VALUE"""),1)</f>
        <v>1</v>
      </c>
      <c r="BY438" s="30">
        <f ca="1">IFERROR(__xludf.DUMMYFUNCTION("""COMPUTED_VALUE"""),29)</f>
        <v>29</v>
      </c>
      <c r="BZ438" s="30" t="str">
        <f ca="1">IFERROR(__xludf.DUMMYFUNCTION("""COMPUTED_VALUE"""),"Salamanca")</f>
        <v>Salamanca</v>
      </c>
      <c r="CA438" s="30" t="str">
        <f ca="1">IFERROR(__xludf.DUMMYFUNCTION("""COMPUTED_VALUE"""),"No")</f>
        <v>No</v>
      </c>
      <c r="CB438" s="30" t="str">
        <f ca="1">IFERROR(__xludf.DUMMYFUNCTION("""COMPUTED_VALUE"""),"No")</f>
        <v>No</v>
      </c>
      <c r="CC438" s="30" t="str">
        <f ca="1">IFERROR(__xludf.DUMMYFUNCTION("""COMPUTED_VALUE"""),"159a3217")</f>
        <v>159a3217</v>
      </c>
      <c r="CD438" s="29" t="str">
        <f ca="1">IFERROR(__xludf.DUMMYFUNCTION("""COMPUTED_VALUE"""),"Primera Infancia (0 a 5 años)")</f>
        <v>Primera Infancia (0 a 5 años)</v>
      </c>
      <c r="CE438" s="30" t="str">
        <f ca="1">IFERROR(__xludf.DUMMYFUNCTION("""COMPUTED_VALUE"""),"No se cuenta con el dato")</f>
        <v>No se cuenta con el dato</v>
      </c>
      <c r="CF438" s="30" t="str">
        <f ca="1">IFERROR(__xludf.DUMMYFUNCTION("""COMPUTED_VALUE"""),"Ninguno (Población General)")</f>
        <v>Ninguno (Población General)</v>
      </c>
      <c r="CG438" s="30">
        <f ca="1">IFERROR(__xludf.DUMMYFUNCTION("""COMPUTED_VALUE"""),2846)</f>
        <v>2846</v>
      </c>
      <c r="CJ438" s="29"/>
      <c r="CM438" s="30" t="str">
        <f ca="1">IFERROR(__xludf.DUMMYFUNCTION("""COMPUTED_VALUE"""),"Salamanca")</f>
        <v>Salamanca</v>
      </c>
      <c r="CN438" s="32" t="e">
        <f ca="1"/>
        <v>#NAME?</v>
      </c>
      <c r="CO438" s="32" t="e">
        <f ca="1"/>
        <v>#NAME?</v>
      </c>
      <c r="CP438" s="32" t="e">
        <f ca="1"/>
        <v>#NAME?</v>
      </c>
      <c r="CQ438" s="32" t="e">
        <f ca="1"/>
        <v>#NAME?</v>
      </c>
      <c r="CR438" s="30" t="e">
        <f ca="1"/>
        <v>#NAME?</v>
      </c>
      <c r="CS438" s="30" t="str">
        <f ca="1">IFERROR(__xludf.DUMMYFUNCTION("""COMPUTED_VALUE"""),"NNA (Niñas, Niños y Adolescentes), NNA (Niñas, Niños y Adolescentes)")</f>
        <v>NNA (Niñas, Niños y Adolescentes), NNA (Niñas, Niños y Adolescentes)</v>
      </c>
    </row>
    <row r="439" spans="1:97" ht="13">
      <c r="A439" s="29" t="str">
        <f ca="1">IFERROR(__xludf.DUMMYFUNCTION("""COMPUTED_VALUE"""),"ACT-SCZN45583")</f>
        <v>ACT-SCZN45583</v>
      </c>
      <c r="B439" s="30" t="str">
        <f ca="1">IFERROR(__xludf.DUMMYFUNCTION("""COMPUTED_VALUE"""),"SC-260922-123055")</f>
        <v>SC-260922-123055</v>
      </c>
      <c r="C439" s="62">
        <f ca="1">IFERROR(__xludf.DUMMYFUNCTION("""COMPUTED_VALUE"""),46287.5214699074)</f>
        <v>46287.521469907399</v>
      </c>
      <c r="D439" s="30">
        <f ca="1">IFERROR(__xludf.DUMMYFUNCTION("""COMPUTED_VALUE"""),78)</f>
        <v>78</v>
      </c>
      <c r="E439" s="30" t="str">
        <f ca="1">IFERROR(__xludf.DUMMYFUNCTION("""COMPUTED_VALUE"""),"PB3567")</f>
        <v>PB3567</v>
      </c>
      <c r="F439" s="30" t="str">
        <f ca="1">IFERROR(__xludf.DUMMYFUNCTION("""COMPUTED_VALUE"""),"Formación e Investigación Artística")</f>
        <v>Formación e Investigación Artística</v>
      </c>
      <c r="G439" s="30" t="str">
        <f ca="1">IFERROR(__xludf.DUMMYFUNCTION("""COMPUTED_VALUE"""),"Cursos y talleres de iniciación artística para infantes y adolescentes. Artes plásticas, teatro, danza y arte popular.")</f>
        <v>Cursos y talleres de iniciación artística para infantes y adolescentes. Artes plásticas, teatro, danza y arte popular.</v>
      </c>
      <c r="H439" s="30" t="str">
        <f ca="1">IFERROR(__xludf.DUMMYFUNCTION("""COMPUTED_VALUE"""),"SUBSECRETARÍA DE DESARROLLO COMUNITARIO Y PROMOCIÓN PATRIMONIAL")</f>
        <v>SUBSECRETARÍA DE DESARROLLO COMUNITARIO Y PROMOCIÓN PATRIMONIAL</v>
      </c>
      <c r="I439" s="34" t="str">
        <f ca="1">IFERROR(__xludf.DUMMYFUNCTION("""COMPUTED_VALUE"""),"DIRECCIÓN GENERAL DE FORMACIÓN E INVESTIGACIÓN")</f>
        <v>DIRECCIÓN GENERAL DE FORMACIÓN E INVESTIGACIÓN</v>
      </c>
      <c r="J439" s="30" t="str">
        <f ca="1">IFERROR(__xludf.DUMMYFUNCTION("""COMPUTED_VALUE"""),"Curso y talleres artísticos realizados")</f>
        <v>Curso y talleres artísticos realizados</v>
      </c>
      <c r="K439" s="30">
        <f ca="1">IFERROR(__xludf.DUMMYFUNCTION("""COMPUTED_VALUE"""),15)</f>
        <v>15</v>
      </c>
      <c r="L439" s="30" t="str">
        <f ca="1">IFERROR(__xludf.DUMMYFUNCTION("""COMPUTED_VALUE"""),"Artística")</f>
        <v>Artística</v>
      </c>
      <c r="M439" s="30" t="str">
        <f ca="1">IFERROR(__xludf.DUMMYFUNCTION("""COMPUTED_VALUE"""),"6o. Concurso Nacional de Literatura Infantil")</f>
        <v>6o. Concurso Nacional de Literatura Infantil</v>
      </c>
      <c r="N439" s="30" t="str">
        <f ca="1">IFERROR(__xludf.DUMMYFUNCTION("""COMPUTED_VALUE"""),"Este concurso convoca a escritoras y escritores de todo nuestro país para participar en dos categorías: cuento y poesía dirigidos a niñas y niños de segunda infancia")</f>
        <v>Este concurso convoca a escritoras y escritores de todo nuestro país para participar en dos categorías: cuento y poesía dirigidos a niñas y niños de segunda infancia</v>
      </c>
      <c r="O439" s="30" t="str">
        <f ca="1">IFERROR(__xludf.DUMMYFUNCTION("""COMPUTED_VALUE"""),"Única")</f>
        <v>Única</v>
      </c>
      <c r="P439" s="33">
        <f ca="1">IFERROR(__xludf.DUMMYFUNCTION("""COMPUTED_VALUE"""),46174)</f>
        <v>46174</v>
      </c>
      <c r="Q439" s="33">
        <f ca="1">IFERROR(__xludf.DUMMYFUNCTION("""COMPUTED_VALUE"""),46174)</f>
        <v>46174</v>
      </c>
      <c r="R439" s="30">
        <f ca="1">IFERROR(__xludf.DUMMYFUNCTION("""COMPUTED_VALUE"""),1)</f>
        <v>1</v>
      </c>
      <c r="S439" s="30" t="str">
        <f ca="1">IFERROR(__xludf.DUMMYFUNCTION("""COMPUTED_VALUE"""),"Literatura")</f>
        <v>Literatura</v>
      </c>
      <c r="T439" s="30" t="str">
        <f ca="1">IFERROR(__xludf.DUMMYFUNCTION("""COMPUTED_VALUE"""),"Literatura infantil y juvenil")</f>
        <v>Literatura infantil y juvenil</v>
      </c>
      <c r="U439" s="30" t="str">
        <f ca="1">IFERROR(__xludf.DUMMYFUNCTION("""COMPUTED_VALUE"""),"Taller")</f>
        <v>Taller</v>
      </c>
      <c r="V439" s="30" t="str">
        <f ca="1">IFERROR(__xludf.DUMMYFUNCTION("""COMPUTED_VALUE"""),"Ninguna")</f>
        <v>Ninguna</v>
      </c>
      <c r="W439" s="30" t="str">
        <f ca="1">IFERROR(__xludf.DUMMYFUNCTION("""COMPUTED_VALUE"""),"Virtual")</f>
        <v>Virtual</v>
      </c>
      <c r="X439" s="30" t="str">
        <f ca="1">IFERROR(__xludf.DUMMYFUNCTION("""COMPUTED_VALUE"""),"Espacio préstamo a la Secretaría de Cultura")</f>
        <v>Espacio préstamo a la Secretaría de Cultura</v>
      </c>
      <c r="Y439" s="30"/>
      <c r="Z439" s="30"/>
      <c r="AA439" s="30"/>
      <c r="AB439" s="30" t="b">
        <f ca="1">IFERROR(__xludf.DUMMYFUNCTION("""COMPUTED_VALUE"""),FALSE)</f>
        <v>0</v>
      </c>
      <c r="AC439" s="30"/>
      <c r="AD439" s="30" t="b">
        <f ca="1">IFERROR(__xludf.DUMMYFUNCTION("""COMPUTED_VALUE"""),FALSE)</f>
        <v>0</v>
      </c>
      <c r="AE439" s="30"/>
      <c r="AF439" s="30" t="b">
        <f ca="1">IFERROR(__xludf.DUMMYFUNCTION("""COMPUTED_VALUE"""),FALSE)</f>
        <v>0</v>
      </c>
      <c r="AG439" s="30"/>
      <c r="AH439" s="30" t="str">
        <f ca="1">IFERROR(__xludf.DUMMYFUNCTION("""COMPUTED_VALUE"""),"Sin costo")</f>
        <v>Sin costo</v>
      </c>
      <c r="AI439" s="30"/>
      <c r="AJ439" s="30"/>
      <c r="AK439" s="30"/>
      <c r="AL439" s="30" t="str">
        <f ca="1">IFERROR(__xludf.DUMMYFUNCTION("""COMPUTED_VALUE"""),"claudia.ramirezm@guanajuato.gob.mx")</f>
        <v>claudia.ramirezm@guanajuato.gob.mx</v>
      </c>
      <c r="AM439" s="30" t="str">
        <f ca="1">IFERROR(__xludf.DUMMYFUNCTION("""COMPUTED_VALUE"""),"Programas extraescolares de lectura y escritura, con: A. Formación de bibliotecarios y escritores locales mediante bibliotecas itinerantes. B. Concursos de creación literaria como cuentacuentos y oratoria en todos los niveles educativos.")</f>
        <v>Programas extraescolares de lectura y escritura, con: A. Formación de bibliotecarios y escritores locales mediante bibliotecas itinerantes. B. Concursos de creación literaria como cuentacuentos y oratoria en todos los niveles educativos.</v>
      </c>
      <c r="AN439" s="30" t="str">
        <f ca="1">IFERROR(__xludf.DUMMYFUNCTION("""COMPUTED_VALUE"""),"2 Igualdad")</f>
        <v>2 Igualdad</v>
      </c>
      <c r="AO439" s="30" t="str">
        <f ca="1">IFERROR(__xludf.DUMMYFUNCTION("""COMPUTED_VALUE"""),"2.4 Reducir brechas de desigualdad")</f>
        <v>2.4 Reducir brechas de desigualdad</v>
      </c>
      <c r="AP439" s="30" t="str">
        <f ca="1">IFERROR(__xludf.DUMMYFUNCTION("""COMPUTED_VALUE"""),"2.4.3 Descentralización de la oferta cultural")</f>
        <v>2.4.3 Descentralización de la oferta cultural</v>
      </c>
      <c r="AQ439" s="30" t="str">
        <f ca="1">IFERROR(__xludf.DUMMYFUNCTION("""COMPUTED_VALUE"""),"2.4.3.1 Impulsar el desarrollo artístico y cultural entre infancias y juventudes")</f>
        <v>2.4.3.1 Impulsar el desarrollo artístico y cultural entre infancias y juventudes</v>
      </c>
      <c r="AR439" s="30" t="str">
        <f ca="1">IFERROR(__xludf.DUMMYFUNCTION("""COMPUTED_VALUE"""),"Inclusión")</f>
        <v>Inclusión</v>
      </c>
      <c r="AS439" s="30" t="str">
        <f ca="1">IFERROR(__xludf.DUMMYFUNCTION("""COMPUTED_VALUE"""),"NNA (Niñas, Niños y Adolescentes)")</f>
        <v>NNA (Niñas, Niños y Adolescentes)</v>
      </c>
      <c r="AT439" s="30" t="str">
        <f ca="1">IFERROR(__xludf.DUMMYFUNCTION("""COMPUTED_VALUE"""),"Impulso a la educación artística y a la profesionalización del sector cultural")</f>
        <v>Impulso a la educación artística y a la profesionalización del sector cultural</v>
      </c>
      <c r="AU439" s="30" t="str">
        <f ca="1">IFERROR(__xludf.DUMMYFUNCTION("""COMPUTED_VALUE"""),"Impulso a programas de formación y profesionalización para agentes culturales.")</f>
        <v>Impulso a programas de formación y profesionalización para agentes culturales.</v>
      </c>
      <c r="AV439"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39" s="30" t="str">
        <f ca="1">IFERROR(__xludf.DUMMYFUNCTION("""COMPUTED_VALUE"""),"Incrementar un 30% la oferta de formación y profesionalización para agentes culturales.")</f>
        <v>Incrementar un 30% la oferta de formación y profesionalización para agentes culturales.</v>
      </c>
      <c r="AX439" s="30" t="str">
        <f ca="1">IFERROR(__xludf.DUMMYFUNCTION("""COMPUTED_VALUE"""),"Taller")</f>
        <v>Taller</v>
      </c>
      <c r="AY439" s="30" t="str">
        <f ca="1">IFERROR(__xludf.DUMMYFUNCTION("""COMPUTED_VALUE"""),"Formación")</f>
        <v>Formación</v>
      </c>
      <c r="AZ439" s="30" t="str">
        <f ca="1">IFERROR(__xludf.DUMMYFUNCTION("""COMPUTED_VALUE"""),"Formación")</f>
        <v>Formación</v>
      </c>
      <c r="BA439" s="30" t="str">
        <f ca="1">IFERROR(__xludf.DUMMYFUNCTION("""COMPUTED_VALUE"""),"Este concurso convoca a escritoras y escritores de todo nuestro país para participar en dos categorías: cuento y poesía dirigidos a niñas y niños de segunda infancia.")</f>
        <v>Este concurso convoca a escritoras y escritores de todo nuestro país para participar en dos categorías: cuento y poesía dirigidos a niñas y niños de segunda infancia.</v>
      </c>
      <c r="BB439" s="30">
        <f ca="1">IFERROR(__xludf.DUMMYFUNCTION("""COMPUTED_VALUE"""),5)</f>
        <v>5</v>
      </c>
      <c r="BC439" s="30">
        <f ca="1">IFERROR(__xludf.DUMMYFUNCTION("""COMPUTED_VALUE"""),3)</f>
        <v>3</v>
      </c>
      <c r="BD439" s="30" t="str">
        <f ca="1">IFERROR(__xludf.DUMMYFUNCTION("""COMPUTED_VALUE"""),"Apoyado con anterioridad")</f>
        <v>Apoyado con anterioridad</v>
      </c>
      <c r="BE439" s="30" t="str">
        <f ca="1">IFERROR(__xludf.DUMMYFUNCTION("""COMPUTED_VALUE"""),"Ricardo Chávez Castañeda, Rodolfo Fonseca López, Carola Diez Biscaro")</f>
        <v>Ricardo Chávez Castañeda, Rodolfo Fonseca López, Carola Diez Biscaro</v>
      </c>
      <c r="BF439" s="30" t="b">
        <f ca="1">IFERROR(__xludf.DUMMYFUNCTION("""COMPUTED_VALUE"""),FALSE)</f>
        <v>0</v>
      </c>
      <c r="BG439" s="30"/>
      <c r="BH439" s="30"/>
      <c r="BI439" s="30"/>
      <c r="BJ439" s="30"/>
      <c r="BK439" s="30"/>
      <c r="BL439" s="30"/>
      <c r="BM439" s="30" t="str">
        <f ca="1">IFERROR(__xludf.DUMMYFUNCTION("""COMPUTED_VALUE"""),"No")</f>
        <v>No</v>
      </c>
      <c r="BN439" s="30"/>
      <c r="BO439" s="30" t="str">
        <f ca="1">IFERROR(__xludf.DUMMYFUNCTION("""COMPUTED_VALUE"""),"ec02d0c9")</f>
        <v>ec02d0c9</v>
      </c>
      <c r="BP439" s="29" t="str">
        <f ca="1">IFERROR(__xludf.DUMMYFUNCTION("""COMPUTED_VALUE"""),"Silao de la Victoria")</f>
        <v>Silao de la Victoria</v>
      </c>
      <c r="BQ439" s="30" t="str">
        <f ca="1">IFERROR(__xludf.DUMMYFUNCTION("""COMPUTED_VALUE"""),"Urbano")</f>
        <v>Urbano</v>
      </c>
      <c r="BR439" s="30">
        <f ca="1">IFERROR(__xludf.DUMMYFUNCTION("""COMPUTED_VALUE"""),215)</f>
        <v>215</v>
      </c>
      <c r="BS439" s="30" t="str">
        <f ca="1">IFERROR(__xludf.DUMMYFUNCTION("""COMPUTED_VALUE"""),"Silao")</f>
        <v>Silao</v>
      </c>
      <c r="BT439" s="30"/>
      <c r="BU439" s="30" t="str">
        <f ca="1">IFERROR(__xludf.DUMMYFUNCTION("""COMPUTED_VALUE"""),"Si")</f>
        <v>Si</v>
      </c>
      <c r="BV439" s="30" t="str">
        <f ca="1">IFERROR(__xludf.DUMMYFUNCTION("""COMPUTED_VALUE"""),"Si")</f>
        <v>Si</v>
      </c>
      <c r="BW439" s="30">
        <f ca="1">IFERROR(__xludf.DUMMYFUNCTION("""COMPUTED_VALUE"""),15)</f>
        <v>15</v>
      </c>
      <c r="BX439" s="30"/>
      <c r="BY439" s="30">
        <f ca="1">IFERROR(__xludf.DUMMYFUNCTION("""COMPUTED_VALUE"""),15)</f>
        <v>15</v>
      </c>
      <c r="BZ439" s="30" t="str">
        <f ca="1">IFERROR(__xludf.DUMMYFUNCTION("""COMPUTED_VALUE"""),"Silao")</f>
        <v>Silao</v>
      </c>
      <c r="CA439" s="30" t="str">
        <f ca="1">IFERROR(__xludf.DUMMYFUNCTION("""COMPUTED_VALUE"""),"No")</f>
        <v>No</v>
      </c>
      <c r="CB439" s="30" t="str">
        <f ca="1">IFERROR(__xludf.DUMMYFUNCTION("""COMPUTED_VALUE"""),"No")</f>
        <v>No</v>
      </c>
      <c r="CC439" s="30" t="str">
        <f ca="1">IFERROR(__xludf.DUMMYFUNCTION("""COMPUTED_VALUE"""),"d90c7202")</f>
        <v>d90c7202</v>
      </c>
      <c r="CD439" s="29" t="str">
        <f ca="1">IFERROR(__xludf.DUMMYFUNCTION("""COMPUTED_VALUE"""),"Adultos Mayores (60 años o más)")</f>
        <v>Adultos Mayores (60 años o más)</v>
      </c>
      <c r="CE439" s="30" t="str">
        <f ca="1">IFERROR(__xludf.DUMMYFUNCTION("""COMPUTED_VALUE"""),"No se cuenta con el dato")</f>
        <v>No se cuenta con el dato</v>
      </c>
      <c r="CF439" s="30" t="str">
        <f ca="1">IFERROR(__xludf.DUMMYFUNCTION("""COMPUTED_VALUE"""),"Ninguno (Población General)")</f>
        <v>Ninguno (Población General)</v>
      </c>
      <c r="CG439" s="30">
        <f ca="1">IFERROR(__xludf.DUMMYFUNCTION("""COMPUTED_VALUE"""),2830)</f>
        <v>2830</v>
      </c>
      <c r="CJ439" s="29"/>
      <c r="CM439" s="30" t="str">
        <f ca="1">IFERROR(__xludf.DUMMYFUNCTION("""COMPUTED_VALUE"""),"Salamanca")</f>
        <v>Salamanca</v>
      </c>
      <c r="CN439" s="32" t="e">
        <f ca="1"/>
        <v>#NAME?</v>
      </c>
      <c r="CO439" s="32" t="e">
        <f ca="1"/>
        <v>#NAME?</v>
      </c>
      <c r="CP439" s="32" t="e">
        <f ca="1"/>
        <v>#NAME?</v>
      </c>
      <c r="CQ439" s="32" t="e">
        <f ca="1"/>
        <v>#NAME?</v>
      </c>
      <c r="CR439" s="30" t="e">
        <f ca="1"/>
        <v>#NAME?</v>
      </c>
      <c r="CS439"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40" spans="1:97" ht="13">
      <c r="A440" s="29" t="str">
        <f ca="1">IFERROR(__xludf.DUMMYFUNCTION("""COMPUTED_VALUE"""),"ACT-SCAM76227")</f>
        <v>ACT-SCAM76227</v>
      </c>
      <c r="B440" s="30" t="str">
        <f ca="1">IFERROR(__xludf.DUMMYFUNCTION("""COMPUTED_VALUE"""),"SC-260922-134829")</f>
        <v>SC-260922-134829</v>
      </c>
      <c r="C440" s="62">
        <f ca="1">IFERROR(__xludf.DUMMYFUNCTION("""COMPUTED_VALUE"""),46287.5753356481)</f>
        <v>46287.5753356481</v>
      </c>
      <c r="D440" s="30">
        <f ca="1">IFERROR(__xludf.DUMMYFUNCTION("""COMPUTED_VALUE"""),77)</f>
        <v>77</v>
      </c>
      <c r="E440" s="30" t="str">
        <f ca="1">IFERROR(__xludf.DUMMYFUNCTION("""COMPUTED_VALUE"""),"PB3567")</f>
        <v>PB3567</v>
      </c>
      <c r="F440" s="30" t="str">
        <f ca="1">IFERROR(__xludf.DUMMYFUNCTION("""COMPUTED_VALUE"""),"Formación e Investigación Artística")</f>
        <v>Formación e Investigación Artística</v>
      </c>
      <c r="G440" s="30" t="str">
        <f ca="1">IFERROR(__xludf.DUMMYFUNCTION("""COMPUTED_VALUE"""),"Presentaciones artísticas de teatro, música y danza, editoriales, conversatorios, conferencias y charlas")</f>
        <v>Presentaciones artísticas de teatro, música y danza, editoriales, conversatorios, conferencias y charlas</v>
      </c>
      <c r="H440" s="30" t="str">
        <f ca="1">IFERROR(__xludf.DUMMYFUNCTION("""COMPUTED_VALUE"""),"SUBSECRETARÍA DE DESARROLLO COMUNITARIO Y PROMOCIÓN PATRIMONIAL")</f>
        <v>SUBSECRETARÍA DE DESARROLLO COMUNITARIO Y PROMOCIÓN PATRIMONIAL</v>
      </c>
      <c r="I440" s="34" t="str">
        <f ca="1">IFERROR(__xludf.DUMMYFUNCTION("""COMPUTED_VALUE"""),"DIRECCIÓN GENERAL DE FORMACIÓN E INVESTIGACIÓN")</f>
        <v>DIRECCIÓN GENERAL DE FORMACIÓN E INVESTIGACIÓN</v>
      </c>
      <c r="J440" s="30" t="str">
        <f ca="1">IFERROR(__xludf.DUMMYFUNCTION("""COMPUTED_VALUE"""),"Presentaciones realizadas")</f>
        <v>Presentaciones realizadas</v>
      </c>
      <c r="K440" s="30">
        <f ca="1">IFERROR(__xludf.DUMMYFUNCTION("""COMPUTED_VALUE"""),20)</f>
        <v>20</v>
      </c>
      <c r="L440" s="30" t="str">
        <f ca="1">IFERROR(__xludf.DUMMYFUNCTION("""COMPUTED_VALUE"""),"Cultural")</f>
        <v>Cultural</v>
      </c>
      <c r="M440" s="30" t="str">
        <f ca="1">IFERROR(__xludf.DUMMYFUNCTION("""COMPUTED_VALUE"""),"Grupo de la danza el torito de Romita.")</f>
        <v>Grupo de la danza el torito de Romita.</v>
      </c>
      <c r="N440" s="30" t="str">
        <f ca="1">IFERROR(__xludf.DUMMYFUNCTION("""COMPUTED_VALUE"""),"Participación del grupo de Danza el Torito de Romita en el Encuentro Estatal de Saberes Locales.")</f>
        <v>Participación del grupo de Danza el Torito de Romita en el Encuentro Estatal de Saberes Locales.</v>
      </c>
      <c r="O440" s="30" t="str">
        <f ca="1">IFERROR(__xludf.DUMMYFUNCTION("""COMPUTED_VALUE"""),"Única")</f>
        <v>Única</v>
      </c>
      <c r="P440" s="33">
        <f ca="1">IFERROR(__xludf.DUMMYFUNCTION("""COMPUTED_VALUE"""),46177)</f>
        <v>46177</v>
      </c>
      <c r="Q440" s="33">
        <f ca="1">IFERROR(__xludf.DUMMYFUNCTION("""COMPUTED_VALUE"""),46177)</f>
        <v>46177</v>
      </c>
      <c r="R440" s="30">
        <f ca="1">IFERROR(__xludf.DUMMYFUNCTION("""COMPUTED_VALUE"""),1)</f>
        <v>1</v>
      </c>
      <c r="S440" s="30" t="str">
        <f ca="1">IFERROR(__xludf.DUMMYFUNCTION("""COMPUTED_VALUE"""),"Artes escénicas")</f>
        <v>Artes escénicas</v>
      </c>
      <c r="T440" s="30" t="str">
        <f ca="1">IFERROR(__xludf.DUMMYFUNCTION("""COMPUTED_VALUE"""),"Danza tradicional")</f>
        <v>Danza tradicional</v>
      </c>
      <c r="U440" s="30" t="str">
        <f ca="1">IFERROR(__xludf.DUMMYFUNCTION("""COMPUTED_VALUE"""),"Encuentro cultural")</f>
        <v>Encuentro cultural</v>
      </c>
      <c r="V440" s="30" t="str">
        <f ca="1">IFERROR(__xludf.DUMMYFUNCTION("""COMPUTED_VALUE"""),"Ninguna")</f>
        <v>Ninguna</v>
      </c>
      <c r="W440" s="30" t="str">
        <f ca="1">IFERROR(__xludf.DUMMYFUNCTION("""COMPUTED_VALUE"""),"Presencial")</f>
        <v>Presencial</v>
      </c>
      <c r="X440" s="30" t="str">
        <f ca="1">IFERROR(__xludf.DUMMYFUNCTION("""COMPUTED_VALUE"""),"Espacio préstamo a la Secretaría de Cultura")</f>
        <v>Espacio préstamo a la Secretaría de Cultura</v>
      </c>
      <c r="Y440" s="30"/>
      <c r="Z440" s="30"/>
      <c r="AA440" s="30"/>
      <c r="AB440" s="30" t="b">
        <f ca="1">IFERROR(__xludf.DUMMYFUNCTION("""COMPUTED_VALUE"""),FALSE)</f>
        <v>0</v>
      </c>
      <c r="AC440" s="30"/>
      <c r="AD440" s="30" t="b">
        <f ca="1">IFERROR(__xludf.DUMMYFUNCTION("""COMPUTED_VALUE"""),TRUE)</f>
        <v>1</v>
      </c>
      <c r="AE440" s="30">
        <f ca="1">IFERROR(__xludf.DUMMYFUNCTION("""COMPUTED_VALUE"""),1)</f>
        <v>1</v>
      </c>
      <c r="AF440" s="30" t="b">
        <f ca="1">IFERROR(__xludf.DUMMYFUNCTION("""COMPUTED_VALUE"""),FALSE)</f>
        <v>0</v>
      </c>
      <c r="AG440" s="30"/>
      <c r="AH440" s="30" t="str">
        <f ca="1">IFERROR(__xludf.DUMMYFUNCTION("""COMPUTED_VALUE"""),"Sin costo")</f>
        <v>Sin costo</v>
      </c>
      <c r="AI440" s="30"/>
      <c r="AJ440" s="30"/>
      <c r="AK440" s="30"/>
      <c r="AL440" s="30" t="str">
        <f ca="1">IFERROR(__xludf.DUMMYFUNCTION("""COMPUTED_VALUE"""),"claudia.ramirezm@guanajuato.gob.mx")</f>
        <v>claudia.ramirezm@guanajuato.gob.mx</v>
      </c>
      <c r="AM440" s="30" t="str">
        <f ca="1">IFERROR(__xludf.DUMMYFUNCTION("""COMPUTED_VALUE"""),"Mayor inversión en conservación del patrimonio artístico y cultural.")</f>
        <v>Mayor inversión en conservación del patrimonio artístico y cultural.</v>
      </c>
      <c r="AN440" s="30" t="str">
        <f ca="1">IFERROR(__xludf.DUMMYFUNCTION("""COMPUTED_VALUE"""),"2 Igualdad")</f>
        <v>2 Igualdad</v>
      </c>
      <c r="AO440" s="30" t="str">
        <f ca="1">IFERROR(__xludf.DUMMYFUNCTION("""COMPUTED_VALUE"""),"2.4 Reducir brechas de desigualdad")</f>
        <v>2.4 Reducir brechas de desigualdad</v>
      </c>
      <c r="AP440" s="30" t="str">
        <f ca="1">IFERROR(__xludf.DUMMYFUNCTION("""COMPUTED_VALUE"""),"2.4.3 Descentralización de la oferta cultural")</f>
        <v>2.4.3 Descentralización de la oferta cultural</v>
      </c>
      <c r="AQ440" s="30" t="str">
        <f ca="1">IFERROR(__xludf.DUMMYFUNCTION("""COMPUTED_VALUE"""),"2.4.3.1 Impulsar el desarrollo artístico y cultural entre infancias y juventudes")</f>
        <v>2.4.3.1 Impulsar el desarrollo artístico y cultural entre infancias y juventudes</v>
      </c>
      <c r="AR440" s="30" t="str">
        <f ca="1">IFERROR(__xludf.DUMMYFUNCTION("""COMPUTED_VALUE"""),"Inclusión")</f>
        <v>Inclusión</v>
      </c>
      <c r="AS440" s="30" t="str">
        <f ca="1">IFERROR(__xludf.DUMMYFUNCTION("""COMPUTED_VALUE"""),"NNA (Niñas, Niños y Adolescentes)")</f>
        <v>NNA (Niñas, Niños y Adolescentes)</v>
      </c>
      <c r="AT440" s="30" t="str">
        <f ca="1">IFERROR(__xludf.DUMMYFUNCTION("""COMPUTED_VALUE"""),"Impulso a la educación artística y a la profesionalización del sector cultural")</f>
        <v>Impulso a la educación artística y a la profesionalización del sector cultural</v>
      </c>
      <c r="AU440" s="30" t="str">
        <f ca="1">IFERROR(__xludf.DUMMYFUNCTION("""COMPUTED_VALUE"""),"Impulso a programas de formación y profesionalización para agentes culturales.")</f>
        <v>Impulso a programas de formación y profesionalización para agentes culturales.</v>
      </c>
      <c r="AV440"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40" s="30" t="str">
        <f ca="1">IFERROR(__xludf.DUMMYFUNCTION("""COMPUTED_VALUE"""),"Incrementar un 30% la oferta de formación y profesionalización para agentes culturales.")</f>
        <v>Incrementar un 30% la oferta de formación y profesionalización para agentes culturales.</v>
      </c>
      <c r="AX440" s="30" t="str">
        <f ca="1">IFERROR(__xludf.DUMMYFUNCTION("""COMPUTED_VALUE"""),"Encuentro cultural")</f>
        <v>Encuentro cultural</v>
      </c>
      <c r="AY440" s="30" t="str">
        <f ca="1">IFERROR(__xludf.DUMMYFUNCTION("""COMPUTED_VALUE"""),"Circulación / Exhibición")</f>
        <v>Circulación / Exhibición</v>
      </c>
      <c r="AZ440" s="30" t="str">
        <f ca="1">IFERROR(__xludf.DUMMYFUNCTION("""COMPUTED_VALUE"""),"Formación")</f>
        <v>Formación</v>
      </c>
      <c r="BA440" s="30"/>
      <c r="BB440" s="30">
        <f ca="1">IFERROR(__xludf.DUMMYFUNCTION("""COMPUTED_VALUE"""),13)</f>
        <v>13</v>
      </c>
      <c r="BC440" s="30">
        <f ca="1">IFERROR(__xludf.DUMMYFUNCTION("""COMPUTED_VALUE"""),19)</f>
        <v>19</v>
      </c>
      <c r="BD440" s="30" t="str">
        <f ca="1">IFERROR(__xludf.DUMMYFUNCTION("""COMPUTED_VALUE"""),"Apoyado con anterioridad")</f>
        <v>Apoyado con anterioridad</v>
      </c>
      <c r="BE440" s="30" t="str">
        <f ca="1">IFERROR(__xludf.DUMMYFUNCTION("""COMPUTED_VALUE"""),"Grupo danza el Torito de Romita")</f>
        <v>Grupo danza el Torito de Romita</v>
      </c>
      <c r="BF440" s="30" t="b">
        <f ca="1">IFERROR(__xludf.DUMMYFUNCTION("""COMPUTED_VALUE"""),TRUE)</f>
        <v>1</v>
      </c>
      <c r="BG440" s="30" t="str">
        <f ca="1">IFERROR(__xludf.DUMMYFUNCTION("""COMPUTED_VALUE"""),"Económico")</f>
        <v>Económico</v>
      </c>
      <c r="BH440" s="30">
        <f ca="1">IFERROR(__xludf.DUMMYFUNCTION("""COMPUTED_VALUE"""),100000)</f>
        <v>100000</v>
      </c>
      <c r="BI440" s="30"/>
      <c r="BJ440" s="30"/>
      <c r="BK440" s="30"/>
      <c r="BL440" s="30"/>
      <c r="BM440" s="30" t="str">
        <f ca="1">IFERROR(__xludf.DUMMYFUNCTION("""COMPUTED_VALUE"""),"No")</f>
        <v>No</v>
      </c>
      <c r="BN440" s="30"/>
      <c r="BO440" s="30" t="str">
        <f ca="1">IFERROR(__xludf.DUMMYFUNCTION("""COMPUTED_VALUE"""),"1e36e2be")</f>
        <v>1e36e2be</v>
      </c>
      <c r="BP440" s="29" t="str">
        <f ca="1">IFERROR(__xludf.DUMMYFUNCTION("""COMPUTED_VALUE"""),"Silao de la Victoria")</f>
        <v>Silao de la Victoria</v>
      </c>
      <c r="BQ440" s="30" t="str">
        <f ca="1">IFERROR(__xludf.DUMMYFUNCTION("""COMPUTED_VALUE"""),"Urbano")</f>
        <v>Urbano</v>
      </c>
      <c r="BR440" s="30"/>
      <c r="BS440" s="30"/>
      <c r="BT440" s="30"/>
      <c r="BU440" s="30" t="str">
        <f ca="1">IFERROR(__xludf.DUMMYFUNCTION("""COMPUTED_VALUE"""),"No")</f>
        <v>No</v>
      </c>
      <c r="BV440" s="30" t="str">
        <f ca="1">IFERROR(__xludf.DUMMYFUNCTION("""COMPUTED_VALUE"""),"No")</f>
        <v>No</v>
      </c>
      <c r="BW440" s="30">
        <f ca="1">IFERROR(__xludf.DUMMYFUNCTION("""COMPUTED_VALUE"""),8)</f>
        <v>8</v>
      </c>
      <c r="BX440" s="30"/>
      <c r="BY440" s="30">
        <f ca="1">IFERROR(__xludf.DUMMYFUNCTION("""COMPUTED_VALUE"""),8)</f>
        <v>8</v>
      </c>
      <c r="BZ440" s="30"/>
      <c r="CA440" s="30" t="str">
        <f ca="1">IFERROR(__xludf.DUMMYFUNCTION("""COMPUTED_VALUE"""),"No")</f>
        <v>No</v>
      </c>
      <c r="CB440" s="30" t="str">
        <f ca="1">IFERROR(__xludf.DUMMYFUNCTION("""COMPUTED_VALUE"""),"No")</f>
        <v>No</v>
      </c>
      <c r="CC440" s="30" t="str">
        <f ca="1">IFERROR(__xludf.DUMMYFUNCTION("""COMPUTED_VALUE"""),"ae8a5be1")</f>
        <v>ae8a5be1</v>
      </c>
      <c r="CD440" s="29" t="str">
        <f ca="1">IFERROR(__xludf.DUMMYFUNCTION("""COMPUTED_VALUE"""),"Adultos (30 a 59 años)")</f>
        <v>Adultos (30 a 59 años)</v>
      </c>
      <c r="CE440" s="30" t="str">
        <f ca="1">IFERROR(__xludf.DUMMYFUNCTION("""COMPUTED_VALUE"""),"No se cuenta con el dato")</f>
        <v>No se cuenta con el dato</v>
      </c>
      <c r="CF440" s="30" t="str">
        <f ca="1">IFERROR(__xludf.DUMMYFUNCTION("""COMPUTED_VALUE"""),"Ninguno (Población General)")</f>
        <v>Ninguno (Población General)</v>
      </c>
      <c r="CG440" s="30">
        <f ca="1">IFERROR(__xludf.DUMMYFUNCTION("""COMPUTED_VALUE"""),7126)</f>
        <v>7126</v>
      </c>
      <c r="CJ440" s="29"/>
      <c r="CM440" s="30" t="str">
        <f ca="1">IFERROR(__xludf.DUMMYFUNCTION("""COMPUTED_VALUE"""),"Silao de la Victoria")</f>
        <v>Silao de la Victoria</v>
      </c>
      <c r="CN440" s="32" t="e">
        <f ca="1"/>
        <v>#NAME?</v>
      </c>
      <c r="CO440" s="32" t="e">
        <f ca="1"/>
        <v>#NAME?</v>
      </c>
      <c r="CP440" s="32" t="e">
        <f ca="1"/>
        <v>#NAME?</v>
      </c>
      <c r="CQ440" s="32" t="e">
        <f ca="1"/>
        <v>#NAME?</v>
      </c>
      <c r="CR440" s="30" t="e">
        <f ca="1"/>
        <v>#NAME?</v>
      </c>
      <c r="CS440"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41" spans="1:97" ht="13">
      <c r="A441" s="29" t="str">
        <f ca="1">IFERROR(__xludf.DUMMYFUNCTION("""COMPUTED_VALUE"""),"ACT-SCWW82026")</f>
        <v>ACT-SCWW82026</v>
      </c>
      <c r="B441" s="30" t="str">
        <f ca="1">IFERROR(__xludf.DUMMYFUNCTION("""COMPUTED_VALUE"""),"SC-260922-152310")</f>
        <v>SC-260922-152310</v>
      </c>
      <c r="C441" s="62">
        <f ca="1">IFERROR(__xludf.DUMMYFUNCTION("""COMPUTED_VALUE"""),46287.6410879629)</f>
        <v>46287.641087962897</v>
      </c>
      <c r="D441" s="30">
        <f ca="1">IFERROR(__xludf.DUMMYFUNCTION("""COMPUTED_VALUE"""),85)</f>
        <v>85</v>
      </c>
      <c r="E441" s="30" t="str">
        <f ca="1">IFERROR(__xludf.DUMMYFUNCTION("""COMPUTED_VALUE"""),"PB3569")</f>
        <v>PB3569</v>
      </c>
      <c r="F441" s="30" t="str">
        <f ca="1">IFERROR(__xludf.DUMMYFUNCTION("""COMPUTED_VALUE"""),"Coordinación artística y operativa de la Banda de Música del Estado de Guanajuato")</f>
        <v>Coordinación artística y operativa de la Banda de Música del Estado de Guanajuato</v>
      </c>
      <c r="G441" s="30" t="str">
        <f ca="1">IFERROR(__xludf.DUMMYFUNCTION("""COMPUTED_VALUE"""),"Conciertos de la Banda de Música del Estado de Guanajuato en municipios del estado.")</f>
        <v>Conciertos de la Banda de Música del Estado de Guanajuato en municipios del estado.</v>
      </c>
      <c r="H441" s="30" t="str">
        <f ca="1">IFERROR(__xludf.DUMMYFUNCTION("""COMPUTED_VALUE"""),"SUBSECRETARÍA DE DESARROLLO Y PROMOCIÓN ARTÍSTICA Y CULTURAL")</f>
        <v>SUBSECRETARÍA DE DESARROLLO Y PROMOCIÓN ARTÍSTICA Y CULTURAL</v>
      </c>
      <c r="I441" s="34" t="str">
        <f ca="1">IFERROR(__xludf.DUMMYFUNCTION("""COMPUTED_VALUE"""),"DIRECCIÓN GENERAL DE PRODUCCIÓN ARTÍSTICA")</f>
        <v>DIRECCIÓN GENERAL DE PRODUCCIÓN ARTÍSTICA</v>
      </c>
      <c r="J441" s="30" t="str">
        <f ca="1">IFERROR(__xludf.DUMMYFUNCTION("""COMPUTED_VALUE"""),"Conciertos")</f>
        <v>Conciertos</v>
      </c>
      <c r="K441" s="30">
        <f ca="1">IFERROR(__xludf.DUMMYFUNCTION("""COMPUTED_VALUE"""),25)</f>
        <v>25</v>
      </c>
      <c r="L441" s="30" t="str">
        <f ca="1">IFERROR(__xludf.DUMMYFUNCTION("""COMPUTED_VALUE"""),"Artística")</f>
        <v>Artística</v>
      </c>
      <c r="M441" s="30" t="str">
        <f ca="1">IFERROR(__xludf.DUMMYFUNCTION("""COMPUTED_VALUE"""),"Presentación Banda de Música")</f>
        <v>Presentación Banda de Música</v>
      </c>
      <c r="N441" s="30" t="str">
        <f ca="1">IFERROR(__xludf.DUMMYFUNCTION("""COMPUTED_VALUE"""),"Matinata de la Banda en Jardín Unión")</f>
        <v>Matinata de la Banda en Jardín Unión</v>
      </c>
      <c r="O441" s="30" t="str">
        <f ca="1">IFERROR(__xludf.DUMMYFUNCTION("""COMPUTED_VALUE"""),"Única")</f>
        <v>Única</v>
      </c>
      <c r="P441" s="33">
        <f ca="1">IFERROR(__xludf.DUMMYFUNCTION("""COMPUTED_VALUE"""),46040)</f>
        <v>46040</v>
      </c>
      <c r="Q441" s="33">
        <f ca="1">IFERROR(__xludf.DUMMYFUNCTION("""COMPUTED_VALUE"""),46040)</f>
        <v>46040</v>
      </c>
      <c r="R441" s="30">
        <f ca="1">IFERROR(__xludf.DUMMYFUNCTION("""COMPUTED_VALUE"""),1)</f>
        <v>1</v>
      </c>
      <c r="S441" s="30" t="str">
        <f ca="1">IFERROR(__xludf.DUMMYFUNCTION("""COMPUTED_VALUE"""),"Música")</f>
        <v>Música</v>
      </c>
      <c r="T441" s="30" t="str">
        <f ca="1">IFERROR(__xludf.DUMMYFUNCTION("""COMPUTED_VALUE"""),"Música tradicional")</f>
        <v>Música tradicional</v>
      </c>
      <c r="U441" s="30" t="str">
        <f ca="1">IFERROR(__xludf.DUMMYFUNCTION("""COMPUTED_VALUE"""),"Presentación artística")</f>
        <v>Presentación artística</v>
      </c>
      <c r="V441" s="30" t="str">
        <f ca="1">IFERROR(__xludf.DUMMYFUNCTION("""COMPUTED_VALUE"""),"Ninguna")</f>
        <v>Ninguna</v>
      </c>
      <c r="W441" s="30" t="str">
        <f ca="1">IFERROR(__xludf.DUMMYFUNCTION("""COMPUTED_VALUE"""),"Presencial")</f>
        <v>Presencial</v>
      </c>
      <c r="X441" s="30" t="str">
        <f ca="1">IFERROR(__xludf.DUMMYFUNCTION("""COMPUTED_VALUE"""),"Espacio Público")</f>
        <v>Espacio Público</v>
      </c>
      <c r="Y441" s="30"/>
      <c r="Z441" s="30" t="str">
        <f ca="1">IFERROR(__xludf.DUMMYFUNCTION("""COMPUTED_VALUE"""),"Jardín de la Unión")</f>
        <v>Jardín de la Unión</v>
      </c>
      <c r="AA441" s="30"/>
      <c r="AB441" s="30" t="b">
        <f ca="1">IFERROR(__xludf.DUMMYFUNCTION("""COMPUTED_VALUE"""),FALSE)</f>
        <v>0</v>
      </c>
      <c r="AC441" s="30"/>
      <c r="AD441" s="30" t="b">
        <f ca="1">IFERROR(__xludf.DUMMYFUNCTION("""COMPUTED_VALUE"""),FALSE)</f>
        <v>0</v>
      </c>
      <c r="AE441" s="30"/>
      <c r="AF441" s="30" t="b">
        <f ca="1">IFERROR(__xludf.DUMMYFUNCTION("""COMPUTED_VALUE"""),FALSE)</f>
        <v>0</v>
      </c>
      <c r="AG441" s="30"/>
      <c r="AH441" s="30" t="str">
        <f ca="1">IFERROR(__xludf.DUMMYFUNCTION("""COMPUTED_VALUE"""),"Sin costo")</f>
        <v>Sin costo</v>
      </c>
      <c r="AI441" s="30"/>
      <c r="AJ441" s="30"/>
      <c r="AK441" s="30"/>
      <c r="AL441" s="30" t="str">
        <f ca="1">IFERROR(__xludf.DUMMYFUNCTION("""COMPUTED_VALUE"""),"machagoya@guanajuato.gob.mx")</f>
        <v>machagoya@guanajuato.gob.mx</v>
      </c>
      <c r="AM441" s="30" t="str">
        <f ca="1">IFERROR(__xludf.DUMMYFUNCTION("""COMPUTED_VALUE"""),"Mayor inversión en conservación del patrimonio artístico y cultural.")</f>
        <v>Mayor inversión en conservación del patrimonio artístico y cultural.</v>
      </c>
      <c r="AN441" s="30" t="str">
        <f ca="1">IFERROR(__xludf.DUMMYFUNCTION("""COMPUTED_VALUE"""),"2 Igualdad")</f>
        <v>2 Igualdad</v>
      </c>
      <c r="AO441" s="30" t="str">
        <f ca="1">IFERROR(__xludf.DUMMYFUNCTION("""COMPUTED_VALUE"""),"2.2 Fortalecer cohesión social")</f>
        <v>2.2 Fortalecer cohesión social</v>
      </c>
      <c r="AP441" s="30" t="str">
        <f ca="1">IFERROR(__xludf.DUMMYFUNCTION("""COMPUTED_VALUE"""),"2.2.1 Participación social comunitaria")</f>
        <v>2.2.1 Participación social comunitaria</v>
      </c>
      <c r="AQ441" s="30" t="str">
        <f ca="1">IFERROR(__xludf.DUMMYFUNCTION("""COMPUTED_VALUE"""),"2.2.1 Participación social comunitaria")</f>
        <v>2.2.1 Participación social comunitaria</v>
      </c>
      <c r="AR441" s="30" t="str">
        <f ca="1">IFERROR(__xludf.DUMMYFUNCTION("""COMPUTED_VALUE"""),"Inclusión")</f>
        <v>Inclusión</v>
      </c>
      <c r="AS441" s="30"/>
      <c r="AT441" s="30" t="str">
        <f ca="1">IFERROR(__xludf.DUMMYFUNCTION("""COMPUTED_VALUE"""),"Fortalecimiento de la participación ciudadana y la mediación cultural")</f>
        <v>Fortalecimiento de la participación ciudadana y la mediación cultural</v>
      </c>
      <c r="AU441" s="30" t="str">
        <f ca="1">IFERROR(__xludf.DUMMYFUNCTION("""COMPUTED_VALUE"""),"Impulso a la ampliación de la oferta cultural en los territorios.")</f>
        <v>Impulso a la ampliación de la oferta cultural en los territorios.</v>
      </c>
      <c r="AV44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41" s="30" t="str">
        <f ca="1">IFERROR(__xludf.DUMMYFUNCTION("""COMPUTED_VALUE"""),"Incrementar en 25% la oferta cultural realizada en los municipios.")</f>
        <v>Incrementar en 25% la oferta cultural realizada en los municipios.</v>
      </c>
      <c r="AX441" s="30" t="str">
        <f ca="1">IFERROR(__xludf.DUMMYFUNCTION("""COMPUTED_VALUE"""),"Presentación artística")</f>
        <v>Presentación artística</v>
      </c>
      <c r="AY441" s="30" t="str">
        <f ca="1">IFERROR(__xludf.DUMMYFUNCTION("""COMPUTED_VALUE"""),"Creación")</f>
        <v>Creación</v>
      </c>
      <c r="AZ441" s="30" t="str">
        <f ca="1">IFERROR(__xludf.DUMMYFUNCTION("""COMPUTED_VALUE"""),"Formación")</f>
        <v>Formación</v>
      </c>
      <c r="BA441" s="30"/>
      <c r="BB441" s="30">
        <f ca="1">IFERROR(__xludf.DUMMYFUNCTION("""COMPUTED_VALUE"""),3)</f>
        <v>3</v>
      </c>
      <c r="BC441" s="30">
        <f ca="1">IFERROR(__xludf.DUMMYFUNCTION("""COMPUTED_VALUE"""),30)</f>
        <v>30</v>
      </c>
      <c r="BD441" s="30" t="str">
        <f ca="1">IFERROR(__xludf.DUMMYFUNCTION("""COMPUTED_VALUE"""),"Apoyado con anterioridad")</f>
        <v>Apoyado con anterioridad</v>
      </c>
      <c r="BE441" s="30"/>
      <c r="BF441" s="30" t="b">
        <f ca="1">IFERROR(__xludf.DUMMYFUNCTION("""COMPUTED_VALUE"""),FALSE)</f>
        <v>0</v>
      </c>
      <c r="BG441" s="30"/>
      <c r="BH441" s="30"/>
      <c r="BI441" s="30"/>
      <c r="BJ441" s="30"/>
      <c r="BK441" s="30"/>
      <c r="BL441" s="30"/>
      <c r="BM441" s="30" t="str">
        <f ca="1">IFERROR(__xludf.DUMMYFUNCTION("""COMPUTED_VALUE"""),"No")</f>
        <v>No</v>
      </c>
      <c r="BN441" s="30"/>
      <c r="BO441" s="30" t="str">
        <f ca="1">IFERROR(__xludf.DUMMYFUNCTION("""COMPUTED_VALUE"""),"d43936bc")</f>
        <v>d43936bc</v>
      </c>
      <c r="BP441" s="29" t="str">
        <f ca="1">IFERROR(__xludf.DUMMYFUNCTION("""COMPUTED_VALUE"""),"Silao de la Victoria")</f>
        <v>Silao de la Victoria</v>
      </c>
      <c r="BQ441" s="30" t="str">
        <f ca="1">IFERROR(__xludf.DUMMYFUNCTION("""COMPUTED_VALUE"""),"Urbano")</f>
        <v>Urbano</v>
      </c>
      <c r="BR441" s="30"/>
      <c r="BS441" s="30"/>
      <c r="BT441" s="30"/>
      <c r="BU441" s="30" t="str">
        <f ca="1">IFERROR(__xludf.DUMMYFUNCTION("""COMPUTED_VALUE"""),"No")</f>
        <v>No</v>
      </c>
      <c r="BV441" s="30" t="str">
        <f ca="1">IFERROR(__xludf.DUMMYFUNCTION("""COMPUTED_VALUE"""),"No")</f>
        <v>No</v>
      </c>
      <c r="BW441" s="30">
        <f ca="1">IFERROR(__xludf.DUMMYFUNCTION("""COMPUTED_VALUE"""),6)</f>
        <v>6</v>
      </c>
      <c r="BX441" s="30"/>
      <c r="BY441" s="30">
        <f ca="1">IFERROR(__xludf.DUMMYFUNCTION("""COMPUTED_VALUE"""),6)</f>
        <v>6</v>
      </c>
      <c r="BZ441" s="30"/>
      <c r="CA441" s="30" t="str">
        <f ca="1">IFERROR(__xludf.DUMMYFUNCTION("""COMPUTED_VALUE"""),"No")</f>
        <v>No</v>
      </c>
      <c r="CB441" s="30" t="str">
        <f ca="1">IFERROR(__xludf.DUMMYFUNCTION("""COMPUTED_VALUE"""),"No")</f>
        <v>No</v>
      </c>
      <c r="CC441" s="30" t="str">
        <f ca="1">IFERROR(__xludf.DUMMYFUNCTION("""COMPUTED_VALUE"""),"1caa6924")</f>
        <v>1caa6924</v>
      </c>
      <c r="CD441" s="29" t="str">
        <f ca="1">IFERROR(__xludf.DUMMYFUNCTION("""COMPUTED_VALUE"""),"Jóvenes (18 a 29 años)")</f>
        <v>Jóvenes (18 a 29 años)</v>
      </c>
      <c r="CE441" s="30" t="str">
        <f ca="1">IFERROR(__xludf.DUMMYFUNCTION("""COMPUTED_VALUE"""),"No se cuenta con el dato")</f>
        <v>No se cuenta con el dato</v>
      </c>
      <c r="CF441" s="30" t="str">
        <f ca="1">IFERROR(__xludf.DUMMYFUNCTION("""COMPUTED_VALUE"""),"Ninguno (Población General)")</f>
        <v>Ninguno (Población General)</v>
      </c>
      <c r="CG441" s="30">
        <f ca="1">IFERROR(__xludf.DUMMYFUNCTION("""COMPUTED_VALUE"""),6644)</f>
        <v>6644</v>
      </c>
      <c r="CJ441" s="29"/>
      <c r="CM441" s="30" t="str">
        <f ca="1">IFERROR(__xludf.DUMMYFUNCTION("""COMPUTED_VALUE"""),"Silao de la Victoria")</f>
        <v>Silao de la Victoria</v>
      </c>
      <c r="CN441" s="32" t="e">
        <f ca="1"/>
        <v>#NAME?</v>
      </c>
      <c r="CO441" s="32" t="e">
        <f ca="1"/>
        <v>#NAME?</v>
      </c>
      <c r="CP441" s="32" t="e">
        <f ca="1"/>
        <v>#NAME?</v>
      </c>
      <c r="CQ441" s="32" t="e">
        <f ca="1"/>
        <v>#NAME?</v>
      </c>
      <c r="CR441" s="30" t="e">
        <f ca="1"/>
        <v>#NAME?</v>
      </c>
      <c r="CS441" s="30" t="str">
        <f ca="1">IFERROR(__xludf.DUMMYFUNCTION("""COMPUTED_VALUE"""),"Personas Migrantes, Personas Migrantes, Personas Migrantes")</f>
        <v>Personas Migrantes, Personas Migrantes, Personas Migrantes</v>
      </c>
    </row>
    <row r="442" spans="1:97" ht="13">
      <c r="A442" s="29" t="str">
        <f ca="1">IFERROR(__xludf.DUMMYFUNCTION("""COMPUTED_VALUE"""),"ACT-SCCV58393")</f>
        <v>ACT-SCCV58393</v>
      </c>
      <c r="B442" s="30" t="str">
        <f ca="1">IFERROR(__xludf.DUMMYFUNCTION("""COMPUTED_VALUE"""),"SC-260922-160107")</f>
        <v>SC-260922-160107</v>
      </c>
      <c r="C442" s="62">
        <f ca="1">IFERROR(__xludf.DUMMYFUNCTION("""COMPUTED_VALUE"""),46287.6674421296)</f>
        <v>46287.667442129597</v>
      </c>
      <c r="D442" s="30">
        <f ca="1">IFERROR(__xludf.DUMMYFUNCTION("""COMPUTED_VALUE"""),77)</f>
        <v>77</v>
      </c>
      <c r="E442" s="30" t="str">
        <f ca="1">IFERROR(__xludf.DUMMYFUNCTION("""COMPUTED_VALUE"""),"PB3567")</f>
        <v>PB3567</v>
      </c>
      <c r="F442" s="30" t="str">
        <f ca="1">IFERROR(__xludf.DUMMYFUNCTION("""COMPUTED_VALUE"""),"Formación e Investigación Artística")</f>
        <v>Formación e Investigación Artística</v>
      </c>
      <c r="G442" s="30" t="str">
        <f ca="1">IFERROR(__xludf.DUMMYFUNCTION("""COMPUTED_VALUE"""),"Presentaciones artísticas de teatro, música y danza, editoriales, conversatorios, conferencias y charlas")</f>
        <v>Presentaciones artísticas de teatro, música y danza, editoriales, conversatorios, conferencias y charlas</v>
      </c>
      <c r="H442" s="30" t="str">
        <f ca="1">IFERROR(__xludf.DUMMYFUNCTION("""COMPUTED_VALUE"""),"SUBSECRETARÍA DE DESARROLLO COMUNITARIO Y PROMOCIÓN PATRIMONIAL")</f>
        <v>SUBSECRETARÍA DE DESARROLLO COMUNITARIO Y PROMOCIÓN PATRIMONIAL</v>
      </c>
      <c r="I442" s="34" t="str">
        <f ca="1">IFERROR(__xludf.DUMMYFUNCTION("""COMPUTED_VALUE"""),"DIRECCIÓN GENERAL DE FORMACIÓN E INVESTIGACIÓN")</f>
        <v>DIRECCIÓN GENERAL DE FORMACIÓN E INVESTIGACIÓN</v>
      </c>
      <c r="J442" s="30" t="str">
        <f ca="1">IFERROR(__xludf.DUMMYFUNCTION("""COMPUTED_VALUE"""),"Presentaciones realizadas")</f>
        <v>Presentaciones realizadas</v>
      </c>
      <c r="K442" s="30">
        <f ca="1">IFERROR(__xludf.DUMMYFUNCTION("""COMPUTED_VALUE"""),20)</f>
        <v>20</v>
      </c>
      <c r="L442" s="30" t="str">
        <f ca="1">IFERROR(__xludf.DUMMYFUNCTION("""COMPUTED_VALUE"""),"Cultural")</f>
        <v>Cultural</v>
      </c>
      <c r="M442" s="30" t="str">
        <f ca="1">IFERROR(__xludf.DUMMYFUNCTION("""COMPUTED_VALUE"""),"Grupo de la danza apache guadalupana de Santa Cruz de Juventino Rosas")</f>
        <v>Grupo de la danza apache guadalupana de Santa Cruz de Juventino Rosas</v>
      </c>
      <c r="N442" s="30" t="str">
        <f ca="1">IFERROR(__xludf.DUMMYFUNCTION("""COMPUTED_VALUE"""),"Presentación de la Danza Apache guadalupana de Santa Cruz de Juventino Rosas en el Encuentro Estatal de Saberes locales.")</f>
        <v>Presentación de la Danza Apache guadalupana de Santa Cruz de Juventino Rosas en el Encuentro Estatal de Saberes locales.</v>
      </c>
      <c r="O442" s="30" t="str">
        <f ca="1">IFERROR(__xludf.DUMMYFUNCTION("""COMPUTED_VALUE"""),"Única")</f>
        <v>Única</v>
      </c>
      <c r="P442" s="33">
        <f ca="1">IFERROR(__xludf.DUMMYFUNCTION("""COMPUTED_VALUE"""),46118)</f>
        <v>46118</v>
      </c>
      <c r="Q442" s="33">
        <f ca="1">IFERROR(__xludf.DUMMYFUNCTION("""COMPUTED_VALUE"""),46118)</f>
        <v>46118</v>
      </c>
      <c r="R442" s="30">
        <f ca="1">IFERROR(__xludf.DUMMYFUNCTION("""COMPUTED_VALUE"""),1)</f>
        <v>1</v>
      </c>
      <c r="S442" s="30" t="str">
        <f ca="1">IFERROR(__xludf.DUMMYFUNCTION("""COMPUTED_VALUE"""),"Artes escénicas")</f>
        <v>Artes escénicas</v>
      </c>
      <c r="T442" s="30" t="str">
        <f ca="1">IFERROR(__xludf.DUMMYFUNCTION("""COMPUTED_VALUE"""),"Danza tradicional")</f>
        <v>Danza tradicional</v>
      </c>
      <c r="U442" s="30" t="str">
        <f ca="1">IFERROR(__xludf.DUMMYFUNCTION("""COMPUTED_VALUE"""),"Encuentro cultural")</f>
        <v>Encuentro cultural</v>
      </c>
      <c r="V442" s="30" t="str">
        <f ca="1">IFERROR(__xludf.DUMMYFUNCTION("""COMPUTED_VALUE"""),"Ninguna")</f>
        <v>Ninguna</v>
      </c>
      <c r="W442" s="30" t="str">
        <f ca="1">IFERROR(__xludf.DUMMYFUNCTION("""COMPUTED_VALUE"""),"Presencial")</f>
        <v>Presencial</v>
      </c>
      <c r="X442" s="30" t="str">
        <f ca="1">IFERROR(__xludf.DUMMYFUNCTION("""COMPUTED_VALUE"""),"Espacio préstamo a la Secretaría de Cultura")</f>
        <v>Espacio préstamo a la Secretaría de Cultura</v>
      </c>
      <c r="Y442" s="30"/>
      <c r="Z442" s="30"/>
      <c r="AA442" s="30"/>
      <c r="AB442" s="30" t="b">
        <f ca="1">IFERROR(__xludf.DUMMYFUNCTION("""COMPUTED_VALUE"""),FALSE)</f>
        <v>0</v>
      </c>
      <c r="AC442" s="30"/>
      <c r="AD442" s="30" t="b">
        <f ca="1">IFERROR(__xludf.DUMMYFUNCTION("""COMPUTED_VALUE"""),TRUE)</f>
        <v>1</v>
      </c>
      <c r="AE442" s="30">
        <f ca="1">IFERROR(__xludf.DUMMYFUNCTION("""COMPUTED_VALUE"""),1)</f>
        <v>1</v>
      </c>
      <c r="AF442" s="30" t="b">
        <f ca="1">IFERROR(__xludf.DUMMYFUNCTION("""COMPUTED_VALUE"""),FALSE)</f>
        <v>0</v>
      </c>
      <c r="AG442" s="30"/>
      <c r="AH442" s="30" t="str">
        <f ca="1">IFERROR(__xludf.DUMMYFUNCTION("""COMPUTED_VALUE"""),"Sin costo")</f>
        <v>Sin costo</v>
      </c>
      <c r="AI442" s="30"/>
      <c r="AJ442" s="30"/>
      <c r="AK442" s="30"/>
      <c r="AL442" s="30" t="str">
        <f ca="1">IFERROR(__xludf.DUMMYFUNCTION("""COMPUTED_VALUE"""),"claudia.ramirezm@guanajuato.gob.mx")</f>
        <v>claudia.ramirezm@guanajuato.gob.mx</v>
      </c>
      <c r="AM442" s="30" t="str">
        <f ca="1">IFERROR(__xludf.DUMMYFUNCTION("""COMPUTED_VALUE"""),"Arraigo y empoderamiento cultural de comunidades.")</f>
        <v>Arraigo y empoderamiento cultural de comunidades.</v>
      </c>
      <c r="AN442" s="30" t="str">
        <f ca="1">IFERROR(__xludf.DUMMYFUNCTION("""COMPUTED_VALUE"""),"2 Igualdad")</f>
        <v>2 Igualdad</v>
      </c>
      <c r="AO442" s="30" t="str">
        <f ca="1">IFERROR(__xludf.DUMMYFUNCTION("""COMPUTED_VALUE"""),"2.4 Reducir brechas de desigualdad")</f>
        <v>2.4 Reducir brechas de desigualdad</v>
      </c>
      <c r="AP442" s="30" t="str">
        <f ca="1">IFERROR(__xludf.DUMMYFUNCTION("""COMPUTED_VALUE"""),"2.4.3 Descentralización de la oferta cultural")</f>
        <v>2.4.3 Descentralización de la oferta cultural</v>
      </c>
      <c r="AQ442" s="30" t="str">
        <f ca="1">IFERROR(__xludf.DUMMYFUNCTION("""COMPUTED_VALUE"""),"2.4.3.3 Incidir en el involucramiento de las personas con el ecosistema cultural")</f>
        <v>2.4.3.3 Incidir en el involucramiento de las personas con el ecosistema cultural</v>
      </c>
      <c r="AR442" s="30" t="str">
        <f ca="1">IFERROR(__xludf.DUMMYFUNCTION("""COMPUTED_VALUE"""),"Ninguno")</f>
        <v>Ninguno</v>
      </c>
      <c r="AS442" s="30"/>
      <c r="AT442" s="30" t="str">
        <f ca="1">IFERROR(__xludf.DUMMYFUNCTION("""COMPUTED_VALUE"""),"Fortalecimiento de la participación ciudadana y la mediación cultural")</f>
        <v>Fortalecimiento de la participación ciudadana y la mediación cultural</v>
      </c>
      <c r="AU442" s="30" t="str">
        <f ca="1">IFERROR(__xludf.DUMMYFUNCTION("""COMPUTED_VALUE"""),"Impulso a la ampliación de la oferta cultural en los territorios.")</f>
        <v>Impulso a la ampliación de la oferta cultural en los territorios.</v>
      </c>
      <c r="AV442" s="30" t="str">
        <f ca="1">IFERROR(__xludf.DUMMYFUNCTION("""COMPUTED_VALUE"""),"Impulsar los proyectos culturales itinerantes.")</f>
        <v>Impulsar los proyectos culturales itinerantes.</v>
      </c>
      <c r="AW442" s="30" t="str">
        <f ca="1">IFERROR(__xludf.DUMMYFUNCTION("""COMPUTED_VALUE"""),"Incrementar en 25% la oferta cultural realizada en los municipios.")</f>
        <v>Incrementar en 25% la oferta cultural realizada en los municipios.</v>
      </c>
      <c r="AX442" s="30" t="str">
        <f ca="1">IFERROR(__xludf.DUMMYFUNCTION("""COMPUTED_VALUE"""),"Presentación artística")</f>
        <v>Presentación artística</v>
      </c>
      <c r="AY442" s="30" t="str">
        <f ca="1">IFERROR(__xludf.DUMMYFUNCTION("""COMPUTED_VALUE"""),"Formación")</f>
        <v>Formación</v>
      </c>
      <c r="AZ442" s="30" t="str">
        <f ca="1">IFERROR(__xludf.DUMMYFUNCTION("""COMPUTED_VALUE"""),"Formación")</f>
        <v>Formación</v>
      </c>
      <c r="BA442" s="30"/>
      <c r="BB442" s="30">
        <f ca="1">IFERROR(__xludf.DUMMYFUNCTION("""COMPUTED_VALUE"""),5)</f>
        <v>5</v>
      </c>
      <c r="BC442" s="30">
        <f ca="1">IFERROR(__xludf.DUMMYFUNCTION("""COMPUTED_VALUE"""),25)</f>
        <v>25</v>
      </c>
      <c r="BD442" s="30"/>
      <c r="BE442" s="30"/>
      <c r="BF442" s="30" t="b">
        <f ca="1">IFERROR(__xludf.DUMMYFUNCTION("""COMPUTED_VALUE"""),FALSE)</f>
        <v>0</v>
      </c>
      <c r="BG442" s="30"/>
      <c r="BH442" s="30"/>
      <c r="BI442" s="30"/>
      <c r="BJ442" s="30"/>
      <c r="BK442" s="30"/>
      <c r="BL442" s="30"/>
      <c r="BM442" s="30" t="str">
        <f ca="1">IFERROR(__xludf.DUMMYFUNCTION("""COMPUTED_VALUE"""),"No")</f>
        <v>No</v>
      </c>
      <c r="BN442" s="30"/>
      <c r="BO442" s="30" t="str">
        <f ca="1">IFERROR(__xludf.DUMMYFUNCTION("""COMPUTED_VALUE"""),"e6ee3886")</f>
        <v>e6ee3886</v>
      </c>
      <c r="BP442" s="29" t="str">
        <f ca="1">IFERROR(__xludf.DUMMYFUNCTION("""COMPUTED_VALUE"""),"Salamanca")</f>
        <v>Salamanca</v>
      </c>
      <c r="BQ442" s="30" t="str">
        <f ca="1">IFERROR(__xludf.DUMMYFUNCTION("""COMPUTED_VALUE"""),"Urbano")</f>
        <v>Urbano</v>
      </c>
      <c r="BR442" s="30">
        <f ca="1">IFERROR(__xludf.DUMMYFUNCTION("""COMPUTED_VALUE"""),181)</f>
        <v>181</v>
      </c>
      <c r="BS442" s="30" t="str">
        <f ca="1">IFERROR(__xludf.DUMMYFUNCTION("""COMPUTED_VALUE"""),"Salamanca")</f>
        <v>Salamanca</v>
      </c>
      <c r="BT442" s="30"/>
      <c r="BU442" s="30" t="str">
        <f ca="1">IFERROR(__xludf.DUMMYFUNCTION("""COMPUTED_VALUE"""),"Si")</f>
        <v>Si</v>
      </c>
      <c r="BV442" s="30" t="str">
        <f ca="1">IFERROR(__xludf.DUMMYFUNCTION("""COMPUTED_VALUE"""),"Si")</f>
        <v>Si</v>
      </c>
      <c r="BW442" s="30">
        <f ca="1">IFERROR(__xludf.DUMMYFUNCTION("""COMPUTED_VALUE"""),3298)</f>
        <v>3298</v>
      </c>
      <c r="BX442" s="30"/>
      <c r="BY442" s="30">
        <f ca="1">IFERROR(__xludf.DUMMYFUNCTION("""COMPUTED_VALUE"""),3298)</f>
        <v>3298</v>
      </c>
      <c r="BZ442" s="30" t="str">
        <f ca="1">IFERROR(__xludf.DUMMYFUNCTION("""COMPUTED_VALUE"""),"Salamanca")</f>
        <v>Salamanca</v>
      </c>
      <c r="CA442" s="30" t="str">
        <f ca="1">IFERROR(__xludf.DUMMYFUNCTION("""COMPUTED_VALUE"""),"No")</f>
        <v>No</v>
      </c>
      <c r="CB442" s="30" t="str">
        <f ca="1">IFERROR(__xludf.DUMMYFUNCTION("""COMPUTED_VALUE"""),"No")</f>
        <v>No</v>
      </c>
      <c r="CC442" s="30" t="str">
        <f ca="1">IFERROR(__xludf.DUMMYFUNCTION("""COMPUTED_VALUE"""),"5d98ca5a")</f>
        <v>5d98ca5a</v>
      </c>
      <c r="CD442" s="29" t="str">
        <f ca="1">IFERROR(__xludf.DUMMYFUNCTION("""COMPUTED_VALUE"""),"Adolescentes (13 a 17 años)")</f>
        <v>Adolescentes (13 a 17 años)</v>
      </c>
      <c r="CE442" s="30" t="str">
        <f ca="1">IFERROR(__xludf.DUMMYFUNCTION("""COMPUTED_VALUE"""),"No se cuenta con el dato")</f>
        <v>No se cuenta con el dato</v>
      </c>
      <c r="CF442" s="30" t="str">
        <f ca="1">IFERROR(__xludf.DUMMYFUNCTION("""COMPUTED_VALUE"""),"Ninguno (Población General)")</f>
        <v>Ninguno (Población General)</v>
      </c>
      <c r="CG442" s="30">
        <f ca="1">IFERROR(__xludf.DUMMYFUNCTION("""COMPUTED_VALUE"""),4360)</f>
        <v>4360</v>
      </c>
      <c r="CJ442" s="29"/>
      <c r="CM442" s="30" t="str">
        <f ca="1">IFERROR(__xludf.DUMMYFUNCTION("""COMPUTED_VALUE"""),"Silao de la Victoria")</f>
        <v>Silao de la Victoria</v>
      </c>
      <c r="CN442" s="32" t="e">
        <f ca="1"/>
        <v>#NAME?</v>
      </c>
      <c r="CO442" s="32" t="e">
        <f ca="1"/>
        <v>#NAME?</v>
      </c>
      <c r="CP442" s="32" t="e">
        <f ca="1"/>
        <v>#NAME?</v>
      </c>
      <c r="CQ442" s="32" t="e">
        <f ca="1"/>
        <v>#NAME?</v>
      </c>
      <c r="CR442" s="30" t="e">
        <f ca="1"/>
        <v>#NAME?</v>
      </c>
      <c r="CS442" s="30" t="str">
        <f ca="1">IFERROR(__xludf.DUMMYFUNCTION("""COMPUTED_VALUE"""),"Ninguno (Población General), Ninguno (Población General), Ninguno (Población General)")</f>
        <v>Ninguno (Población General), Ninguno (Población General), Ninguno (Población General)</v>
      </c>
    </row>
    <row r="443" spans="1:97" ht="13">
      <c r="A443" s="29" t="str">
        <f ca="1">IFERROR(__xludf.DUMMYFUNCTION("""COMPUTED_VALUE"""),"ACT-SCAP97980")</f>
        <v>ACT-SCAP97980</v>
      </c>
      <c r="B443" s="30" t="str">
        <f ca="1">IFERROR(__xludf.DUMMYFUNCTION("""COMPUTED_VALUE"""),"SC-260922-160706")</f>
        <v>SC-260922-160706</v>
      </c>
      <c r="C443" s="62">
        <f ca="1">IFERROR(__xludf.DUMMYFUNCTION("""COMPUTED_VALUE"""),46287.6715972222)</f>
        <v>46287.671597222201</v>
      </c>
      <c r="D443" s="30">
        <f ca="1">IFERROR(__xludf.DUMMYFUNCTION("""COMPUTED_VALUE"""),77)</f>
        <v>77</v>
      </c>
      <c r="E443" s="30" t="str">
        <f ca="1">IFERROR(__xludf.DUMMYFUNCTION("""COMPUTED_VALUE"""),"PB3567")</f>
        <v>PB3567</v>
      </c>
      <c r="F443" s="30" t="str">
        <f ca="1">IFERROR(__xludf.DUMMYFUNCTION("""COMPUTED_VALUE"""),"Formación e Investigación Artística")</f>
        <v>Formación e Investigación Artística</v>
      </c>
      <c r="G443" s="30" t="str">
        <f ca="1">IFERROR(__xludf.DUMMYFUNCTION("""COMPUTED_VALUE"""),"Presentaciones artísticas de teatro, música y danza, editoriales, conversatorios, conferencias y charlas")</f>
        <v>Presentaciones artísticas de teatro, música y danza, editoriales, conversatorios, conferencias y charlas</v>
      </c>
      <c r="H443" s="30" t="str">
        <f ca="1">IFERROR(__xludf.DUMMYFUNCTION("""COMPUTED_VALUE"""),"SUBSECRETARÍA DE DESARROLLO COMUNITARIO Y PROMOCIÓN PATRIMONIAL")</f>
        <v>SUBSECRETARÍA DE DESARROLLO COMUNITARIO Y PROMOCIÓN PATRIMONIAL</v>
      </c>
      <c r="I443" s="34" t="str">
        <f ca="1">IFERROR(__xludf.DUMMYFUNCTION("""COMPUTED_VALUE"""),"DIRECCIÓN GENERAL DE FORMACIÓN E INVESTIGACIÓN")</f>
        <v>DIRECCIÓN GENERAL DE FORMACIÓN E INVESTIGACIÓN</v>
      </c>
      <c r="J443" s="30" t="str">
        <f ca="1">IFERROR(__xludf.DUMMYFUNCTION("""COMPUTED_VALUE"""),"Presentaciones realizadas")</f>
        <v>Presentaciones realizadas</v>
      </c>
      <c r="K443" s="30">
        <f ca="1">IFERROR(__xludf.DUMMYFUNCTION("""COMPUTED_VALUE"""),20)</f>
        <v>20</v>
      </c>
      <c r="L443" s="30" t="str">
        <f ca="1">IFERROR(__xludf.DUMMYFUNCTION("""COMPUTED_VALUE"""),"Cultural")</f>
        <v>Cultural</v>
      </c>
      <c r="M443" s="30" t="str">
        <f ca="1">IFERROR(__xludf.DUMMYFUNCTION("""COMPUTED_VALUE"""),"Agrupación de la Judea chiquita de Purísima del Rincón")</f>
        <v>Agrupación de la Judea chiquita de Purísima del Rincón</v>
      </c>
      <c r="N443" s="30" t="str">
        <f ca="1">IFERROR(__xludf.DUMMYFUNCTION("""COMPUTED_VALUE"""),"Participación de Agrupación de la Judea chiquita de Purísima del Rincón en el Encuentro Estatal de Saberes Locales.")</f>
        <v>Participación de Agrupación de la Judea chiquita de Purísima del Rincón en el Encuentro Estatal de Saberes Locales.</v>
      </c>
      <c r="O443" s="30" t="str">
        <f ca="1">IFERROR(__xludf.DUMMYFUNCTION("""COMPUTED_VALUE"""),"Única")</f>
        <v>Única</v>
      </c>
      <c r="P443" s="33">
        <f ca="1">IFERROR(__xludf.DUMMYFUNCTION("""COMPUTED_VALUE"""),46177)</f>
        <v>46177</v>
      </c>
      <c r="Q443" s="33">
        <f ca="1">IFERROR(__xludf.DUMMYFUNCTION("""COMPUTED_VALUE"""),46177)</f>
        <v>46177</v>
      </c>
      <c r="R443" s="30">
        <f ca="1">IFERROR(__xludf.DUMMYFUNCTION("""COMPUTED_VALUE"""),1)</f>
        <v>1</v>
      </c>
      <c r="S443" s="30" t="str">
        <f ca="1">IFERROR(__xludf.DUMMYFUNCTION("""COMPUTED_VALUE"""),"Artes escénicas")</f>
        <v>Artes escénicas</v>
      </c>
      <c r="T443" s="30" t="str">
        <f ca="1">IFERROR(__xludf.DUMMYFUNCTION("""COMPUTED_VALUE"""),"Danza tradicional")</f>
        <v>Danza tradicional</v>
      </c>
      <c r="U443" s="30" t="str">
        <f ca="1">IFERROR(__xludf.DUMMYFUNCTION("""COMPUTED_VALUE"""),"Encuentro cultural")</f>
        <v>Encuentro cultural</v>
      </c>
      <c r="V443" s="30" t="str">
        <f ca="1">IFERROR(__xludf.DUMMYFUNCTION("""COMPUTED_VALUE"""),"Ninguna")</f>
        <v>Ninguna</v>
      </c>
      <c r="W443" s="30" t="str">
        <f ca="1">IFERROR(__xludf.DUMMYFUNCTION("""COMPUTED_VALUE"""),"Presencial")</f>
        <v>Presencial</v>
      </c>
      <c r="X443" s="30" t="str">
        <f ca="1">IFERROR(__xludf.DUMMYFUNCTION("""COMPUTED_VALUE"""),"Espacio préstamo a la Secretaría de Cultura")</f>
        <v>Espacio préstamo a la Secretaría de Cultura</v>
      </c>
      <c r="Y443" s="30"/>
      <c r="Z443" s="30"/>
      <c r="AA443" s="30"/>
      <c r="AB443" s="30" t="b">
        <f ca="1">IFERROR(__xludf.DUMMYFUNCTION("""COMPUTED_VALUE"""),FALSE)</f>
        <v>0</v>
      </c>
      <c r="AC443" s="30"/>
      <c r="AD443" s="30" t="b">
        <f ca="1">IFERROR(__xludf.DUMMYFUNCTION("""COMPUTED_VALUE"""),TRUE)</f>
        <v>1</v>
      </c>
      <c r="AE443" s="30">
        <f ca="1">IFERROR(__xludf.DUMMYFUNCTION("""COMPUTED_VALUE"""),1)</f>
        <v>1</v>
      </c>
      <c r="AF443" s="30" t="b">
        <f ca="1">IFERROR(__xludf.DUMMYFUNCTION("""COMPUTED_VALUE"""),FALSE)</f>
        <v>0</v>
      </c>
      <c r="AG443" s="30"/>
      <c r="AH443" s="30" t="str">
        <f ca="1">IFERROR(__xludf.DUMMYFUNCTION("""COMPUTED_VALUE"""),"Sin costo")</f>
        <v>Sin costo</v>
      </c>
      <c r="AI443" s="30"/>
      <c r="AJ443" s="30"/>
      <c r="AK443" s="30"/>
      <c r="AL443" s="30" t="str">
        <f ca="1">IFERROR(__xludf.DUMMYFUNCTION("""COMPUTED_VALUE"""),"claudia.ramirezm@guanajuato.gob.mx")</f>
        <v>claudia.ramirezm@guanajuato.gob.mx</v>
      </c>
      <c r="AM443" s="30" t="str">
        <f ca="1">IFERROR(__xludf.DUMMYFUNCTION("""COMPUTED_VALUE"""),"Actividades artísticas y culturales en zonas de alta marginación.")</f>
        <v>Actividades artísticas y culturales en zonas de alta marginación.</v>
      </c>
      <c r="AN443" s="30" t="str">
        <f ca="1">IFERROR(__xludf.DUMMYFUNCTION("""COMPUTED_VALUE"""),"1 Tranquilidad")</f>
        <v>1 Tranquilidad</v>
      </c>
      <c r="AO443" s="30" t="str">
        <f ca="1">IFERROR(__xludf.DUMMYFUNCTION("""COMPUTED_VALUE"""),"1.2 Fortalecer prevención del delito")</f>
        <v>1.2 Fortalecer prevención del delito</v>
      </c>
      <c r="AP443" s="30" t="str">
        <f ca="1">IFERROR(__xludf.DUMMYFUNCTION("""COMPUTED_VALUE"""),"1.2.2 Fortalecimiento del tejido social")</f>
        <v>1.2.2 Fortalecimiento del tejido social</v>
      </c>
      <c r="AQ443" s="30" t="str">
        <f ca="1">IFERROR(__xludf.DUMMYFUNCTION("""COMPUTED_VALUE"""),"1.2.3.4 Promover una cultura de paz desde las expresiones artísticas y culturales")</f>
        <v>1.2.3.4 Promover una cultura de paz desde las expresiones artísticas y culturales</v>
      </c>
      <c r="AR443" s="30" t="str">
        <f ca="1">IFERROR(__xludf.DUMMYFUNCTION("""COMPUTED_VALUE"""),"Inclusión")</f>
        <v>Inclusión</v>
      </c>
      <c r="AS443" s="30" t="str">
        <f ca="1">IFERROR(__xludf.DUMMYFUNCTION("""COMPUTED_VALUE"""),"Ninguno (Población General)")</f>
        <v>Ninguno (Población General)</v>
      </c>
      <c r="AT443" s="30" t="str">
        <f ca="1">IFERROR(__xludf.DUMMYFUNCTION("""COMPUTED_VALUE"""),"Impulso a la educación artística y a la profesionalización del sector cultural")</f>
        <v>Impulso a la educación artística y a la profesionalización del sector cultural</v>
      </c>
      <c r="AU443" s="30" t="str">
        <f ca="1">IFERROR(__xludf.DUMMYFUNCTION("""COMPUTED_VALUE"""),"Impulso a programas de formación y profesionalización para agentes culturales.")</f>
        <v>Impulso a programas de formación y profesionalización para agentes culturales.</v>
      </c>
      <c r="AV443"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43" s="30" t="str">
        <f ca="1">IFERROR(__xludf.DUMMYFUNCTION("""COMPUTED_VALUE"""),"Incrementar un 30% la oferta de formación y profesionalización para agentes culturales.")</f>
        <v>Incrementar un 30% la oferta de formación y profesionalización para agentes culturales.</v>
      </c>
      <c r="AX443" s="30" t="str">
        <f ca="1">IFERROR(__xludf.DUMMYFUNCTION("""COMPUTED_VALUE"""),"Encuentro cultural")</f>
        <v>Encuentro cultural</v>
      </c>
      <c r="AY443" s="30" t="str">
        <f ca="1">IFERROR(__xludf.DUMMYFUNCTION("""COMPUTED_VALUE"""),"Formación")</f>
        <v>Formación</v>
      </c>
      <c r="AZ443" s="30" t="str">
        <f ca="1">IFERROR(__xludf.DUMMYFUNCTION("""COMPUTED_VALUE"""),"Formación")</f>
        <v>Formación</v>
      </c>
      <c r="BA443" s="30" t="str">
        <f ca="1">IFERROR(__xludf.DUMMYFUNCTION("""COMPUTED_VALUE"""),"Participación de Agrupación de la Judea chiquita de Purísima del Rincón en el Encuentro Estatal de Saberes Locales.")</f>
        <v>Participación de Agrupación de la Judea chiquita de Purísima del Rincón en el Encuentro Estatal de Saberes Locales.</v>
      </c>
      <c r="BB443" s="30">
        <f ca="1">IFERROR(__xludf.DUMMYFUNCTION("""COMPUTED_VALUE"""),5)</f>
        <v>5</v>
      </c>
      <c r="BC443" s="30">
        <f ca="1">IFERROR(__xludf.DUMMYFUNCTION("""COMPUTED_VALUE"""),30)</f>
        <v>30</v>
      </c>
      <c r="BD443" s="30" t="str">
        <f ca="1">IFERROR(__xludf.DUMMYFUNCTION("""COMPUTED_VALUE"""),"Apoyado con anterioridad")</f>
        <v>Apoyado con anterioridad</v>
      </c>
      <c r="BE443" s="30" t="str">
        <f ca="1">IFERROR(__xludf.DUMMYFUNCTION("""COMPUTED_VALUE"""),"Kayka Producciones S.C.")</f>
        <v>Kayka Producciones S.C.</v>
      </c>
      <c r="BF443" s="30" t="b">
        <f ca="1">IFERROR(__xludf.DUMMYFUNCTION("""COMPUTED_VALUE"""),TRUE)</f>
        <v>1</v>
      </c>
      <c r="BG443" s="30" t="str">
        <f ca="1">IFERROR(__xludf.DUMMYFUNCTION("""COMPUTED_VALUE"""),"Económico")</f>
        <v>Económico</v>
      </c>
      <c r="BH443" s="30">
        <f ca="1">IFERROR(__xludf.DUMMYFUNCTION("""COMPUTED_VALUE"""),100000)</f>
        <v>100000</v>
      </c>
      <c r="BI443" s="30"/>
      <c r="BJ443" s="30"/>
      <c r="BK443" s="30"/>
      <c r="BL443" s="30"/>
      <c r="BM443" s="30" t="str">
        <f ca="1">IFERROR(__xludf.DUMMYFUNCTION("""COMPUTED_VALUE"""),"No")</f>
        <v>No</v>
      </c>
      <c r="BN443" s="30"/>
      <c r="BO443" s="30" t="str">
        <f ca="1">IFERROR(__xludf.DUMMYFUNCTION("""COMPUTED_VALUE"""),"c9f4098d")</f>
        <v>c9f4098d</v>
      </c>
      <c r="BP443" s="29" t="str">
        <f ca="1">IFERROR(__xludf.DUMMYFUNCTION("""COMPUTED_VALUE"""),"Salamanca")</f>
        <v>Salamanca</v>
      </c>
      <c r="BQ443" s="30" t="str">
        <f ca="1">IFERROR(__xludf.DUMMYFUNCTION("""COMPUTED_VALUE"""),"Urbano")</f>
        <v>Urbano</v>
      </c>
      <c r="BR443" s="30">
        <f ca="1">IFERROR(__xludf.DUMMYFUNCTION("""COMPUTED_VALUE"""),181)</f>
        <v>181</v>
      </c>
      <c r="BS443" s="30" t="str">
        <f ca="1">IFERROR(__xludf.DUMMYFUNCTION("""COMPUTED_VALUE"""),"Salamanca")</f>
        <v>Salamanca</v>
      </c>
      <c r="BT443" s="30"/>
      <c r="BU443" s="30" t="str">
        <f ca="1">IFERROR(__xludf.DUMMYFUNCTION("""COMPUTED_VALUE"""),"Si")</f>
        <v>Si</v>
      </c>
      <c r="BV443" s="30" t="str">
        <f ca="1">IFERROR(__xludf.DUMMYFUNCTION("""COMPUTED_VALUE"""),"Si")</f>
        <v>Si</v>
      </c>
      <c r="BW443" s="30">
        <f ca="1">IFERROR(__xludf.DUMMYFUNCTION("""COMPUTED_VALUE"""),14)</f>
        <v>14</v>
      </c>
      <c r="BX443" s="30">
        <f ca="1">IFERROR(__xludf.DUMMYFUNCTION("""COMPUTED_VALUE"""),1)</f>
        <v>1</v>
      </c>
      <c r="BY443" s="30">
        <f ca="1">IFERROR(__xludf.DUMMYFUNCTION("""COMPUTED_VALUE"""),13)</f>
        <v>13</v>
      </c>
      <c r="BZ443" s="30" t="str">
        <f ca="1">IFERROR(__xludf.DUMMYFUNCTION("""COMPUTED_VALUE"""),"Salamanca")</f>
        <v>Salamanca</v>
      </c>
      <c r="CA443" s="30" t="str">
        <f ca="1">IFERROR(__xludf.DUMMYFUNCTION("""COMPUTED_VALUE"""),"No")</f>
        <v>No</v>
      </c>
      <c r="CB443" s="30" t="str">
        <f ca="1">IFERROR(__xludf.DUMMYFUNCTION("""COMPUTED_VALUE"""),"No")</f>
        <v>No</v>
      </c>
      <c r="CC443" s="30" t="str">
        <f ca="1">IFERROR(__xludf.DUMMYFUNCTION("""COMPUTED_VALUE"""),"98782f10")</f>
        <v>98782f10</v>
      </c>
      <c r="CD443" s="29" t="str">
        <f ca="1">IFERROR(__xludf.DUMMYFUNCTION("""COMPUTED_VALUE"""),"Niñas y Niños (6 a 12 años)")</f>
        <v>Niñas y Niños (6 a 12 años)</v>
      </c>
      <c r="CE443" s="30" t="str">
        <f ca="1">IFERROR(__xludf.DUMMYFUNCTION("""COMPUTED_VALUE"""),"No se cuenta con el dato")</f>
        <v>No se cuenta con el dato</v>
      </c>
      <c r="CF443" s="30" t="str">
        <f ca="1">IFERROR(__xludf.DUMMYFUNCTION("""COMPUTED_VALUE"""),"Ninguno (Población General)")</f>
        <v>Ninguno (Población General)</v>
      </c>
      <c r="CG443" s="30">
        <f ca="1">IFERROR(__xludf.DUMMYFUNCTION("""COMPUTED_VALUE"""),15)</f>
        <v>15</v>
      </c>
      <c r="CJ443" s="29"/>
      <c r="CM443" s="30" t="str">
        <f ca="1">IFERROR(__xludf.DUMMYFUNCTION("""COMPUTED_VALUE"""),"Salamanca")</f>
        <v>Salamanca</v>
      </c>
      <c r="CN443" s="32" t="e">
        <f ca="1"/>
        <v>#NAME?</v>
      </c>
      <c r="CO443" s="32" t="e">
        <f ca="1"/>
        <v>#NAME?</v>
      </c>
      <c r="CP443" s="32" t="e">
        <f ca="1"/>
        <v>#NAME?</v>
      </c>
      <c r="CQ443" s="32" t="e">
        <f ca="1"/>
        <v>#NAME?</v>
      </c>
      <c r="CR443" s="30" t="e">
        <f ca="1"/>
        <v>#NAME?</v>
      </c>
      <c r="CS443" s="30" t="str">
        <f ca="1">IFERROR(__xludf.DUMMYFUNCTION("""COMPUTED_VALUE"""),"Población General")</f>
        <v>Población General</v>
      </c>
    </row>
    <row r="444" spans="1:97" ht="13">
      <c r="A444" s="29" t="str">
        <f ca="1">IFERROR(__xludf.DUMMYFUNCTION("""COMPUTED_VALUE"""),"ACT-SCTS87185")</f>
        <v>ACT-SCTS87185</v>
      </c>
      <c r="B444" s="30" t="str">
        <f ca="1">IFERROR(__xludf.DUMMYFUNCTION("""COMPUTED_VALUE"""),"SC-260922-161523")</f>
        <v>SC-260922-161523</v>
      </c>
      <c r="C444" s="62">
        <f ca="1">IFERROR(__xludf.DUMMYFUNCTION("""COMPUTED_VALUE"""),46287.677349537)</f>
        <v>46287.677349537</v>
      </c>
      <c r="D444" s="30">
        <f ca="1">IFERROR(__xludf.DUMMYFUNCTION("""COMPUTED_VALUE"""),74)</f>
        <v>74</v>
      </c>
      <c r="E444" s="30" t="str">
        <f ca="1">IFERROR(__xludf.DUMMYFUNCTION("""COMPUTED_VALUE"""),"PB3567")</f>
        <v>PB3567</v>
      </c>
      <c r="F444" s="30" t="str">
        <f ca="1">IFERROR(__xludf.DUMMYFUNCTION("""COMPUTED_VALUE"""),"Formación e Investigación Artística")</f>
        <v>Formación e Investigación Artística</v>
      </c>
      <c r="G444" s="30" t="str">
        <f ca="1">IFERROR(__xludf.DUMMYFUNCTION("""COMPUTED_VALUE"""),"Cursos, talleres, y diplomados en los distintos ámbitos de la gestión cultura. Gestión de recursos y elaboración de proyectos.")</f>
        <v>Cursos, talleres, y diplomados en los distintos ámbitos de la gestión cultura. Gestión de recursos y elaboración de proyectos.</v>
      </c>
      <c r="H444" s="30" t="str">
        <f ca="1">IFERROR(__xludf.DUMMYFUNCTION("""COMPUTED_VALUE"""),"SUBSECRETARÍA DE DESARROLLO COMUNITARIO Y PROMOCIÓN PATRIMONIAL")</f>
        <v>SUBSECRETARÍA DE DESARROLLO COMUNITARIO Y PROMOCIÓN PATRIMONIAL</v>
      </c>
      <c r="I444" s="34" t="str">
        <f ca="1">IFERROR(__xludf.DUMMYFUNCTION("""COMPUTED_VALUE"""),"DIRECCIÓN GENERAL DE FORMACIÓN E INVESTIGACIÓN")</f>
        <v>DIRECCIÓN GENERAL DE FORMACIÓN E INVESTIGACIÓN</v>
      </c>
      <c r="J444" s="30" t="str">
        <f ca="1">IFERROR(__xludf.DUMMYFUNCTION("""COMPUTED_VALUE"""),"Cursos, talleres, diplomados realizados")</f>
        <v>Cursos, talleres, diplomados realizados</v>
      </c>
      <c r="K444" s="30">
        <f ca="1">IFERROR(__xludf.DUMMYFUNCTION("""COMPUTED_VALUE"""),2)</f>
        <v>2</v>
      </c>
      <c r="L444" s="30" t="str">
        <f ca="1">IFERROR(__xludf.DUMMYFUNCTION("""COMPUTED_VALUE"""),"Artística")</f>
        <v>Artística</v>
      </c>
      <c r="M444" s="30" t="str">
        <f ca="1">IFERROR(__xludf.DUMMYFUNCTION("""COMPUTED_VALUE"""),"Taller de Diseño de postulaciones para becas de creación artística y cultural.")</f>
        <v>Taller de Diseño de postulaciones para becas de creación artística y cultural.</v>
      </c>
      <c r="N444" s="30" t="str">
        <f ca="1">IFERROR(__xludf.DUMMYFUNCTION("""COMPUTED_VALUE"""),"Taller práctico e intensivo diseñado para orientar a creadores, gestores y agentes culturales en la estructuración, redacción y carpetado técnico de proyectos para convocatorias públicas e independientes.")</f>
        <v>Taller práctico e intensivo diseñado para orientar a creadores, gestores y agentes culturales en la estructuración, redacción y carpetado técnico de proyectos para convocatorias públicas e independientes.</v>
      </c>
      <c r="O444" s="30" t="str">
        <f ca="1">IFERROR(__xludf.DUMMYFUNCTION("""COMPUTED_VALUE"""),"Única")</f>
        <v>Única</v>
      </c>
      <c r="P444" s="33">
        <f ca="1">IFERROR(__xludf.DUMMYFUNCTION("""COMPUTED_VALUE"""),46036)</f>
        <v>46036</v>
      </c>
      <c r="Q444" s="33">
        <f ca="1">IFERROR(__xludf.DUMMYFUNCTION("""COMPUTED_VALUE"""),46036)</f>
        <v>46036</v>
      </c>
      <c r="R444" s="30">
        <f ca="1">IFERROR(__xludf.DUMMYFUNCTION("""COMPUTED_VALUE"""),1)</f>
        <v>1</v>
      </c>
      <c r="S444" s="30" t="str">
        <f ca="1">IFERROR(__xludf.DUMMYFUNCTION("""COMPUTED_VALUE"""),"Cultura comunitaria")</f>
        <v>Cultura comunitaria</v>
      </c>
      <c r="T444" s="30" t="str">
        <f ca="1">IFERROR(__xludf.DUMMYFUNCTION("""COMPUTED_VALUE"""),"Formación comunitaria")</f>
        <v>Formación comunitaria</v>
      </c>
      <c r="U444" s="30" t="str">
        <f ca="1">IFERROR(__xludf.DUMMYFUNCTION("""COMPUTED_VALUE"""),"Taller")</f>
        <v>Taller</v>
      </c>
      <c r="V444" s="30" t="str">
        <f ca="1">IFERROR(__xludf.DUMMYFUNCTION("""COMPUTED_VALUE"""),"Ninguna")</f>
        <v>Ninguna</v>
      </c>
      <c r="W444" s="30" t="str">
        <f ca="1">IFERROR(__xludf.DUMMYFUNCTION("""COMPUTED_VALUE"""),"Presencial")</f>
        <v>Presencial</v>
      </c>
      <c r="X444" s="30" t="str">
        <f ca="1">IFERROR(__xludf.DUMMYFUNCTION("""COMPUTED_VALUE"""),"Espacio préstamo a la Secretaría de Cultura")</f>
        <v>Espacio préstamo a la Secretaría de Cultura</v>
      </c>
      <c r="Y444" s="30"/>
      <c r="Z444" s="30"/>
      <c r="AA444" s="30"/>
      <c r="AB444" s="30" t="b">
        <f ca="1">IFERROR(__xludf.DUMMYFUNCTION("""COMPUTED_VALUE"""),FALSE)</f>
        <v>0</v>
      </c>
      <c r="AC444" s="30"/>
      <c r="AD444" s="30" t="b">
        <f ca="1">IFERROR(__xludf.DUMMYFUNCTION("""COMPUTED_VALUE"""),FALSE)</f>
        <v>0</v>
      </c>
      <c r="AE444" s="30"/>
      <c r="AF444" s="30" t="b">
        <f ca="1">IFERROR(__xludf.DUMMYFUNCTION("""COMPUTED_VALUE"""),FALSE)</f>
        <v>0</v>
      </c>
      <c r="AG444" s="30"/>
      <c r="AH444" s="30" t="str">
        <f ca="1">IFERROR(__xludf.DUMMYFUNCTION("""COMPUTED_VALUE"""),"Sin costo")</f>
        <v>Sin costo</v>
      </c>
      <c r="AI444" s="30"/>
      <c r="AJ444" s="30"/>
      <c r="AK444" s="30"/>
      <c r="AL444" s="30" t="str">
        <f ca="1">IFERROR(__xludf.DUMMYFUNCTION("""COMPUTED_VALUE"""),"claudia.ramirezm@guanajuato.gob.mx")</f>
        <v>claudia.ramirezm@guanajuato.gob.mx</v>
      </c>
      <c r="AM444"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444" s="30" t="str">
        <f ca="1">IFERROR(__xludf.DUMMYFUNCTION("""COMPUTED_VALUE"""),"4 Vocación")</f>
        <v>4 Vocación</v>
      </c>
      <c r="AO444" s="30" t="str">
        <f ca="1">IFERROR(__xludf.DUMMYFUNCTION("""COMPUTED_VALUE"""),"4.4 Reforzar competencias lectoras y lógico matemáticas")</f>
        <v>4.4 Reforzar competencias lectoras y lógico matemáticas</v>
      </c>
      <c r="AP444" s="30" t="str">
        <f ca="1">IFERROR(__xludf.DUMMYFUNCTION("""COMPUTED_VALUE"""),"4.4.1 Competencias y habilidades")</f>
        <v>4.4.1 Competencias y habilidades</v>
      </c>
      <c r="AQ444" s="30" t="str">
        <f ca="1">IFERROR(__xludf.DUMMYFUNCTION("""COMPUTED_VALUE"""),"4.4.1 Competencias y habilidades")</f>
        <v>4.4.1 Competencias y habilidades</v>
      </c>
      <c r="AR444" s="30" t="str">
        <f ca="1">IFERROR(__xludf.DUMMYFUNCTION("""COMPUTED_VALUE"""),"Inclusión")</f>
        <v>Inclusión</v>
      </c>
      <c r="AS444" s="30" t="str">
        <f ca="1">IFERROR(__xludf.DUMMYFUNCTION("""COMPUTED_VALUE"""),"Ninguno (Población General)")</f>
        <v>Ninguno (Población General)</v>
      </c>
      <c r="AT444" s="30" t="str">
        <f ca="1">IFERROR(__xludf.DUMMYFUNCTION("""COMPUTED_VALUE"""),"Impulso a la educación artística y a la profesionalización del sector cultural")</f>
        <v>Impulso a la educación artística y a la profesionalización del sector cultural</v>
      </c>
      <c r="AU444" s="30" t="str">
        <f ca="1">IFERROR(__xludf.DUMMYFUNCTION("""COMPUTED_VALUE"""),"Impulso a programas de formación y profesionalización para agentes culturales.")</f>
        <v>Impulso a programas de formación y profesionalización para agentes culturales.</v>
      </c>
      <c r="AV444"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44" s="30" t="str">
        <f ca="1">IFERROR(__xludf.DUMMYFUNCTION("""COMPUTED_VALUE"""),"Incrementar un 30% la oferta de formación y profesionalización para agentes culturales.")</f>
        <v>Incrementar un 30% la oferta de formación y profesionalización para agentes culturales.</v>
      </c>
      <c r="AX444" s="30" t="str">
        <f ca="1">IFERROR(__xludf.DUMMYFUNCTION("""COMPUTED_VALUE"""),"Taller")</f>
        <v>Taller</v>
      </c>
      <c r="AY444" s="30" t="str">
        <f ca="1">IFERROR(__xludf.DUMMYFUNCTION("""COMPUTED_VALUE"""),"Formación")</f>
        <v>Formación</v>
      </c>
      <c r="AZ444" s="30" t="str">
        <f ca="1">IFERROR(__xludf.DUMMYFUNCTION("""COMPUTED_VALUE"""),"Formación")</f>
        <v>Formación</v>
      </c>
      <c r="BA444" s="30"/>
      <c r="BB444" s="30">
        <f ca="1">IFERROR(__xludf.DUMMYFUNCTION("""COMPUTED_VALUE"""),6)</f>
        <v>6</v>
      </c>
      <c r="BC444" s="30">
        <f ca="1">IFERROR(__xludf.DUMMYFUNCTION("""COMPUTED_VALUE"""),1)</f>
        <v>1</v>
      </c>
      <c r="BD444" s="30" t="str">
        <f ca="1">IFERROR(__xludf.DUMMYFUNCTION("""COMPUTED_VALUE"""),"Nuevo")</f>
        <v>Nuevo</v>
      </c>
      <c r="BE444" s="30" t="str">
        <f ca="1">IFERROR(__xludf.DUMMYFUNCTION("""COMPUTED_VALUE"""),"Luis Tareke Ortíz Cisneros")</f>
        <v>Luis Tareke Ortíz Cisneros</v>
      </c>
      <c r="BF444" s="30" t="b">
        <f ca="1">IFERROR(__xludf.DUMMYFUNCTION("""COMPUTED_VALUE"""),TRUE)</f>
        <v>1</v>
      </c>
      <c r="BG444" s="30" t="str">
        <f ca="1">IFERROR(__xludf.DUMMYFUNCTION("""COMPUTED_VALUE"""),"Económico")</f>
        <v>Económico</v>
      </c>
      <c r="BH444" s="30"/>
      <c r="BI444" s="30"/>
      <c r="BJ444" s="30"/>
      <c r="BK444" s="30"/>
      <c r="BL444" s="30"/>
      <c r="BM444" s="30" t="str">
        <f ca="1">IFERROR(__xludf.DUMMYFUNCTION("""COMPUTED_VALUE"""),"No")</f>
        <v>No</v>
      </c>
      <c r="BN444" s="30"/>
      <c r="BO444" s="30" t="str">
        <f ca="1">IFERROR(__xludf.DUMMYFUNCTION("""COMPUTED_VALUE"""),"15791d20")</f>
        <v>15791d20</v>
      </c>
      <c r="BP444" s="29" t="str">
        <f ca="1">IFERROR(__xludf.DUMMYFUNCTION("""COMPUTED_VALUE"""),"Salamanca")</f>
        <v>Salamanca</v>
      </c>
      <c r="BQ444" s="30" t="str">
        <f ca="1">IFERROR(__xludf.DUMMYFUNCTION("""COMPUTED_VALUE"""),"Urbano")</f>
        <v>Urbano</v>
      </c>
      <c r="BR444" s="30">
        <f ca="1">IFERROR(__xludf.DUMMYFUNCTION("""COMPUTED_VALUE"""),181)</f>
        <v>181</v>
      </c>
      <c r="BS444" s="30" t="str">
        <f ca="1">IFERROR(__xludf.DUMMYFUNCTION("""COMPUTED_VALUE"""),"Salamanca")</f>
        <v>Salamanca</v>
      </c>
      <c r="BT444" s="30"/>
      <c r="BU444" s="30" t="str">
        <f ca="1">IFERROR(__xludf.DUMMYFUNCTION("""COMPUTED_VALUE"""),"Si")</f>
        <v>Si</v>
      </c>
      <c r="BV444" s="30" t="str">
        <f ca="1">IFERROR(__xludf.DUMMYFUNCTION("""COMPUTED_VALUE"""),"Si")</f>
        <v>Si</v>
      </c>
      <c r="BW444" s="30">
        <f ca="1">IFERROR(__xludf.DUMMYFUNCTION("""COMPUTED_VALUE"""),31)</f>
        <v>31</v>
      </c>
      <c r="BX444" s="30">
        <f ca="1">IFERROR(__xludf.DUMMYFUNCTION("""COMPUTED_VALUE"""),0)</f>
        <v>0</v>
      </c>
      <c r="BY444" s="30">
        <f ca="1">IFERROR(__xludf.DUMMYFUNCTION("""COMPUTED_VALUE"""),31)</f>
        <v>31</v>
      </c>
      <c r="BZ444" s="30" t="str">
        <f ca="1">IFERROR(__xludf.DUMMYFUNCTION("""COMPUTED_VALUE"""),"Salamanca")</f>
        <v>Salamanca</v>
      </c>
      <c r="CA444" s="30" t="str">
        <f ca="1">IFERROR(__xludf.DUMMYFUNCTION("""COMPUTED_VALUE"""),"No")</f>
        <v>No</v>
      </c>
      <c r="CB444" s="30" t="str">
        <f ca="1">IFERROR(__xludf.DUMMYFUNCTION("""COMPUTED_VALUE"""),"No")</f>
        <v>No</v>
      </c>
      <c r="CC444" s="30" t="str">
        <f ca="1">IFERROR(__xludf.DUMMYFUNCTION("""COMPUTED_VALUE"""),"780629fa")</f>
        <v>780629fa</v>
      </c>
      <c r="CD444" s="29" t="str">
        <f ca="1">IFERROR(__xludf.DUMMYFUNCTION("""COMPUTED_VALUE"""),"Niñas y Niños (6 a 12 años)")</f>
        <v>Niñas y Niños (6 a 12 años)</v>
      </c>
      <c r="CE444" s="30" t="str">
        <f ca="1">IFERROR(__xludf.DUMMYFUNCTION("""COMPUTED_VALUE"""),"No se cuenta con el dato")</f>
        <v>No se cuenta con el dato</v>
      </c>
      <c r="CF444" s="30" t="str">
        <f ca="1">IFERROR(__xludf.DUMMYFUNCTION("""COMPUTED_VALUE"""),"Ninguno (Población General)")</f>
        <v>Ninguno (Población General)</v>
      </c>
      <c r="CG444" s="30">
        <f ca="1">IFERROR(__xludf.DUMMYFUNCTION("""COMPUTED_VALUE"""),34)</f>
        <v>34</v>
      </c>
      <c r="CJ444" s="29"/>
      <c r="CM444" s="30" t="str">
        <f ca="1">IFERROR(__xludf.DUMMYFUNCTION("""COMPUTED_VALUE"""),"Salamanca")</f>
        <v>Salamanca</v>
      </c>
      <c r="CN444" s="32" t="e">
        <f ca="1"/>
        <v>#NAME?</v>
      </c>
      <c r="CO444" s="32" t="e">
        <f ca="1"/>
        <v>#NAME?</v>
      </c>
      <c r="CP444" s="32" t="e">
        <f ca="1"/>
        <v>#NAME?</v>
      </c>
      <c r="CQ444" s="32" t="e">
        <f ca="1"/>
        <v>#NAME?</v>
      </c>
      <c r="CR444" s="30" t="e">
        <f ca="1"/>
        <v>#NAME?</v>
      </c>
      <c r="CS444" s="30" t="str">
        <f ca="1">IFERROR(__xludf.DUMMYFUNCTION("""COMPUTED_VALUE"""),"Ninguno (Población General)")</f>
        <v>Ninguno (Población General)</v>
      </c>
    </row>
    <row r="445" spans="1:97" ht="13">
      <c r="A445" s="29" t="str">
        <f ca="1">IFERROR(__xludf.DUMMYFUNCTION("""COMPUTED_VALUE"""),"ACT-SCMQ74551")</f>
        <v>ACT-SCMQ74551</v>
      </c>
      <c r="B445" s="30" t="str">
        <f ca="1">IFERROR(__xludf.DUMMYFUNCTION("""COMPUTED_VALUE"""),"SC-260923-110614")</f>
        <v>SC-260923-110614</v>
      </c>
      <c r="C445" s="62">
        <f ca="1">IFERROR(__xludf.DUMMYFUNCTION("""COMPUTED_VALUE"""),46288.462662037)</f>
        <v>46288.462662037004</v>
      </c>
      <c r="D445" s="30">
        <f ca="1">IFERROR(__xludf.DUMMYFUNCTION("""COMPUTED_VALUE"""),92)</f>
        <v>92</v>
      </c>
      <c r="E445" s="30" t="str">
        <f ca="1">IFERROR(__xludf.DUMMYFUNCTION("""COMPUTED_VALUE"""),"PB3572")</f>
        <v>PB3572</v>
      </c>
      <c r="F44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4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45" s="30" t="str">
        <f ca="1">IFERROR(__xludf.DUMMYFUNCTION("""COMPUTED_VALUE"""),"SUBSECRETARÍA DE DESARROLLO Y PROMOCIÓN ARTÍSTICA Y CULTURAL")</f>
        <v>SUBSECRETARÍA DE DESARROLLO Y PROMOCIÓN ARTÍSTICA Y CULTURAL</v>
      </c>
      <c r="I445" s="34" t="str">
        <f ca="1">IFERROR(__xludf.DUMMYFUNCTION("""COMPUTED_VALUE"""),"DIRECCIÓN GENERAL DE MUSEOS, ARTES VISUALES Y EXPOSICIONES")</f>
        <v>DIRECCIÓN GENERAL DE MUSEOS, ARTES VISUALES Y EXPOSICIONES</v>
      </c>
      <c r="J445" s="30" t="str">
        <f ca="1">IFERROR(__xludf.DUMMYFUNCTION("""COMPUTED_VALUE"""),"Número de Actividades realizadas")</f>
        <v>Número de Actividades realizadas</v>
      </c>
      <c r="K445" s="30">
        <f ca="1">IFERROR(__xludf.DUMMYFUNCTION("""COMPUTED_VALUE"""),800)</f>
        <v>800</v>
      </c>
      <c r="L445" s="30" t="str">
        <f ca="1">IFERROR(__xludf.DUMMYFUNCTION("""COMPUTED_VALUE"""),"Cultural")</f>
        <v>Cultural</v>
      </c>
      <c r="M445" s="30" t="str">
        <f ca="1">IFERROR(__xludf.DUMMYFUNCTION("""COMPUTED_VALUE"""),"Conferencia")</f>
        <v>Conferencia</v>
      </c>
      <c r="N445" s="30" t="str">
        <f ca="1">IFERROR(__xludf.DUMMYFUNCTION("""COMPUTED_VALUE"""),"Conferencia 10 de Agosto")</f>
        <v>Conferencia 10 de Agosto</v>
      </c>
      <c r="O445" s="30" t="str">
        <f ca="1">IFERROR(__xludf.DUMMYFUNCTION("""COMPUTED_VALUE"""),"Única")</f>
        <v>Única</v>
      </c>
      <c r="P445" s="33">
        <f ca="1">IFERROR(__xludf.DUMMYFUNCTION("""COMPUTED_VALUE"""),46248)</f>
        <v>46248</v>
      </c>
      <c r="Q445" s="33">
        <f ca="1">IFERROR(__xludf.DUMMYFUNCTION("""COMPUTED_VALUE"""),46248)</f>
        <v>46248</v>
      </c>
      <c r="R445" s="30">
        <f ca="1">IFERROR(__xludf.DUMMYFUNCTION("""COMPUTED_VALUE"""),1)</f>
        <v>1</v>
      </c>
      <c r="S445" s="30" t="str">
        <f ca="1">IFERROR(__xludf.DUMMYFUNCTION("""COMPUTED_VALUE"""),"Patrimonio cultural")</f>
        <v>Patrimonio cultural</v>
      </c>
      <c r="T445" s="30" t="str">
        <f ca="1">IFERROR(__xludf.DUMMYFUNCTION("""COMPUTED_VALUE"""),"Patrimonio documental")</f>
        <v>Patrimonio documental</v>
      </c>
      <c r="U445" s="30" t="str">
        <f ca="1">IFERROR(__xludf.DUMMYFUNCTION("""COMPUTED_VALUE"""),"Conferencia")</f>
        <v>Conferencia</v>
      </c>
      <c r="V445" s="30" t="str">
        <f ca="1">IFERROR(__xludf.DUMMYFUNCTION("""COMPUTED_VALUE"""),"Ninguna")</f>
        <v>Ninguna</v>
      </c>
      <c r="W445" s="30" t="str">
        <f ca="1">IFERROR(__xludf.DUMMYFUNCTION("""COMPUTED_VALUE"""),"Presencial")</f>
        <v>Presencial</v>
      </c>
      <c r="X445" s="30" t="str">
        <f ca="1">IFERROR(__xludf.DUMMYFUNCTION("""COMPUTED_VALUE"""),"Espacio a Cargo de la Secretaría")</f>
        <v>Espacio a Cargo de la Secretaría</v>
      </c>
      <c r="Y445" s="30" t="str">
        <f ca="1">IFERROR(__xludf.DUMMYFUNCTION("""COMPUTED_VALUE"""),"Museo José y Tomas Chavez Morado")</f>
        <v>Museo José y Tomas Chavez Morado</v>
      </c>
      <c r="Z445" s="30"/>
      <c r="AA445" s="30"/>
      <c r="AB445" s="30" t="b">
        <f ca="1">IFERROR(__xludf.DUMMYFUNCTION("""COMPUTED_VALUE"""),FALSE)</f>
        <v>0</v>
      </c>
      <c r="AC445" s="30"/>
      <c r="AD445" s="30" t="b">
        <f ca="1">IFERROR(__xludf.DUMMYFUNCTION("""COMPUTED_VALUE"""),FALSE)</f>
        <v>0</v>
      </c>
      <c r="AE445" s="30"/>
      <c r="AF445" s="30" t="b">
        <f ca="1">IFERROR(__xludf.DUMMYFUNCTION("""COMPUTED_VALUE"""),FALSE)</f>
        <v>0</v>
      </c>
      <c r="AG445" s="30"/>
      <c r="AH445" s="30" t="str">
        <f ca="1">IFERROR(__xludf.DUMMYFUNCTION("""COMPUTED_VALUE"""),"Sin costo")</f>
        <v>Sin costo</v>
      </c>
      <c r="AI445" s="30"/>
      <c r="AJ445" s="30"/>
      <c r="AK445" s="30"/>
      <c r="AL445" s="30" t="str">
        <f ca="1">IFERROR(__xludf.DUMMYFUNCTION("""COMPUTED_VALUE"""),"ccardonav@guanajuato.gob.mx")</f>
        <v>ccardonav@guanajuato.gob.mx</v>
      </c>
      <c r="AM445" s="30" t="str">
        <f ca="1">IFERROR(__xludf.DUMMYFUNCTION("""COMPUTED_VALUE"""),"Arraigo y empoderamiento cultural de comunidades.")</f>
        <v>Arraigo y empoderamiento cultural de comunidades.</v>
      </c>
      <c r="AN445" s="30" t="str">
        <f ca="1">IFERROR(__xludf.DUMMYFUNCTION("""COMPUTED_VALUE"""),"1 Tranquilidad")</f>
        <v>1 Tranquilidad</v>
      </c>
      <c r="AO445" s="30" t="str">
        <f ca="1">IFERROR(__xludf.DUMMYFUNCTION("""COMPUTED_VALUE"""),"1.2 Fortalecer prevención del delito")</f>
        <v>1.2 Fortalecer prevención del delito</v>
      </c>
      <c r="AP445" s="30" t="str">
        <f ca="1">IFERROR(__xludf.DUMMYFUNCTION("""COMPUTED_VALUE"""),"1.2.2 Fortalecimiento del tejido social")</f>
        <v>1.2.2 Fortalecimiento del tejido social</v>
      </c>
      <c r="AQ445" s="30" t="str">
        <f ca="1">IFERROR(__xludf.DUMMYFUNCTION("""COMPUTED_VALUE"""),"1.2.3.4 Promover una cultura de paz desde las expresiones artísticas y culturales")</f>
        <v>1.2.3.4 Promover una cultura de paz desde las expresiones artísticas y culturales</v>
      </c>
      <c r="AR445" s="30" t="str">
        <f ca="1">IFERROR(__xludf.DUMMYFUNCTION("""COMPUTED_VALUE"""),"Cooperación")</f>
        <v>Cooperación</v>
      </c>
      <c r="AS445" s="30"/>
      <c r="AT445" s="30" t="str">
        <f ca="1">IFERROR(__xludf.DUMMYFUNCTION("""COMPUTED_VALUE"""),"Fortalecimiento de la participación ciudadana y la mediación cultural")</f>
        <v>Fortalecimiento de la participación ciudadana y la mediación cultural</v>
      </c>
      <c r="AU445" s="30" t="str">
        <f ca="1">IFERROR(__xludf.DUMMYFUNCTION("""COMPUTED_VALUE"""),"Fortalecimiento del diálogo, la mediación y las capacidades de las redes comunitarias.")</f>
        <v>Fortalecimiento del diálogo, la mediación y las capacidades de las redes comunitarias.</v>
      </c>
      <c r="AV445" s="30" t="str">
        <f ca="1">IFERROR(__xludf.DUMMYFUNCTION("""COMPUTED_VALUE"""),"Diseñar e impartir talleres de formación en derechos culturales")</f>
        <v>Diseñar e impartir talleres de formación en derechos culturales</v>
      </c>
      <c r="AW445" s="30" t="str">
        <f ca="1">IFERROR(__xludf.DUMMYFUNCTION("""COMPUTED_VALUE"""),"Incrementar en 25% la oferta cultural realizada en los municipios.")</f>
        <v>Incrementar en 25% la oferta cultural realizada en los municipios.</v>
      </c>
      <c r="AX445" s="30" t="str">
        <f ca="1">IFERROR(__xludf.DUMMYFUNCTION("""COMPUTED_VALUE"""),"Visitas guiadas")</f>
        <v>Visitas guiadas</v>
      </c>
      <c r="AY445" s="30" t="str">
        <f ca="1">IFERROR(__xludf.DUMMYFUNCTION("""COMPUTED_VALUE"""),"Circulación / Exhibición")</f>
        <v>Circulación / Exhibición</v>
      </c>
      <c r="AZ445" s="30"/>
      <c r="BA445" s="30"/>
      <c r="BB445" s="30"/>
      <c r="BC445" s="30">
        <f ca="1">IFERROR(__xludf.DUMMYFUNCTION("""COMPUTED_VALUE"""),0)</f>
        <v>0</v>
      </c>
      <c r="BD445" s="30"/>
      <c r="BE445" s="30"/>
      <c r="BF445" s="30" t="b">
        <f ca="1">IFERROR(__xludf.DUMMYFUNCTION("""COMPUTED_VALUE"""),FALSE)</f>
        <v>0</v>
      </c>
      <c r="BG445" s="30"/>
      <c r="BH445" s="30"/>
      <c r="BI445" s="30"/>
      <c r="BJ445" s="30"/>
      <c r="BK445" s="30"/>
      <c r="BL445" s="30"/>
      <c r="BM445" s="30" t="str">
        <f ca="1">IFERROR(__xludf.DUMMYFUNCTION("""COMPUTED_VALUE"""),"No")</f>
        <v>No</v>
      </c>
      <c r="BN445" s="30"/>
      <c r="BO445" s="30" t="str">
        <f ca="1">IFERROR(__xludf.DUMMYFUNCTION("""COMPUTED_VALUE"""),"888539cc")</f>
        <v>888539cc</v>
      </c>
      <c r="BP445" s="29" t="str">
        <f ca="1">IFERROR(__xludf.DUMMYFUNCTION("""COMPUTED_VALUE"""),"Salamanca")</f>
        <v>Salamanca</v>
      </c>
      <c r="BQ445" s="30" t="str">
        <f ca="1">IFERROR(__xludf.DUMMYFUNCTION("""COMPUTED_VALUE"""),"Urbano")</f>
        <v>Urbano</v>
      </c>
      <c r="BR445" s="30">
        <f ca="1">IFERROR(__xludf.DUMMYFUNCTION("""COMPUTED_VALUE"""),181)</f>
        <v>181</v>
      </c>
      <c r="BS445" s="30" t="str">
        <f ca="1">IFERROR(__xludf.DUMMYFUNCTION("""COMPUTED_VALUE"""),"Salamanca")</f>
        <v>Salamanca</v>
      </c>
      <c r="BT445" s="30"/>
      <c r="BU445" s="30" t="str">
        <f ca="1">IFERROR(__xludf.DUMMYFUNCTION("""COMPUTED_VALUE"""),"Si")</f>
        <v>Si</v>
      </c>
      <c r="BV445" s="30" t="str">
        <f ca="1">IFERROR(__xludf.DUMMYFUNCTION("""COMPUTED_VALUE"""),"Si")</f>
        <v>Si</v>
      </c>
      <c r="BW445" s="30">
        <f ca="1">IFERROR(__xludf.DUMMYFUNCTION("""COMPUTED_VALUE"""),57)</f>
        <v>57</v>
      </c>
      <c r="BX445" s="30">
        <f ca="1">IFERROR(__xludf.DUMMYFUNCTION("""COMPUTED_VALUE"""),1)</f>
        <v>1</v>
      </c>
      <c r="BY445" s="30">
        <f ca="1">IFERROR(__xludf.DUMMYFUNCTION("""COMPUTED_VALUE"""),56)</f>
        <v>56</v>
      </c>
      <c r="BZ445" s="30" t="str">
        <f ca="1">IFERROR(__xludf.DUMMYFUNCTION("""COMPUTED_VALUE"""),"Salamanca")</f>
        <v>Salamanca</v>
      </c>
      <c r="CA445" s="30" t="str">
        <f ca="1">IFERROR(__xludf.DUMMYFUNCTION("""COMPUTED_VALUE"""),"No")</f>
        <v>No</v>
      </c>
      <c r="CB445" s="30" t="str">
        <f ca="1">IFERROR(__xludf.DUMMYFUNCTION("""COMPUTED_VALUE"""),"No")</f>
        <v>No</v>
      </c>
      <c r="CC445" s="30" t="str">
        <f ca="1">IFERROR(__xludf.DUMMYFUNCTION("""COMPUTED_VALUE"""),"9d611791")</f>
        <v>9d611791</v>
      </c>
      <c r="CD445" s="29" t="str">
        <f ca="1">IFERROR(__xludf.DUMMYFUNCTION("""COMPUTED_VALUE"""),"Niñas y Niños (6 a 12 años)")</f>
        <v>Niñas y Niños (6 a 12 años)</v>
      </c>
      <c r="CE445" s="30" t="str">
        <f ca="1">IFERROR(__xludf.DUMMYFUNCTION("""COMPUTED_VALUE"""),"No se cuenta con el dato")</f>
        <v>No se cuenta con el dato</v>
      </c>
      <c r="CF445" s="30" t="str">
        <f ca="1">IFERROR(__xludf.DUMMYFUNCTION("""COMPUTED_VALUE"""),"Jóvenes en riesgo")</f>
        <v>Jóvenes en riesgo</v>
      </c>
      <c r="CG445" s="30">
        <f ca="1">IFERROR(__xludf.DUMMYFUNCTION("""COMPUTED_VALUE"""),4)</f>
        <v>4</v>
      </c>
      <c r="CJ445" s="29"/>
      <c r="CM445" s="30" t="str">
        <f ca="1">IFERROR(__xludf.DUMMYFUNCTION("""COMPUTED_VALUE"""),"Salamanca")</f>
        <v>Salamanca</v>
      </c>
      <c r="CN445" s="32" t="e">
        <f ca="1"/>
        <v>#NAME?</v>
      </c>
      <c r="CO445" s="32" t="e">
        <f ca="1"/>
        <v>#NAME?</v>
      </c>
      <c r="CP445" s="32" t="e">
        <f ca="1"/>
        <v>#NAME?</v>
      </c>
      <c r="CQ445" s="32" t="e">
        <f ca="1"/>
        <v>#NAME?</v>
      </c>
      <c r="CR445" s="30" t="e">
        <f ca="1"/>
        <v>#NAME?</v>
      </c>
      <c r="CS445"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46" spans="1:97" ht="13">
      <c r="A446" s="29" t="str">
        <f ca="1">IFERROR(__xludf.DUMMYFUNCTION("""COMPUTED_VALUE"""),"ACT-SCKZ58880")</f>
        <v>ACT-SCKZ58880</v>
      </c>
      <c r="B446" s="30" t="str">
        <f ca="1">IFERROR(__xludf.DUMMYFUNCTION("""COMPUTED_VALUE"""),"SC-260923-111454")</f>
        <v>SC-260923-111454</v>
      </c>
      <c r="C446" s="62">
        <f ca="1">IFERROR(__xludf.DUMMYFUNCTION("""COMPUTED_VALUE"""),46288.4686805555)</f>
        <v>46288.468680555503</v>
      </c>
      <c r="D446" s="30">
        <f ca="1">IFERROR(__xludf.DUMMYFUNCTION("""COMPUTED_VALUE"""),94)</f>
        <v>94</v>
      </c>
      <c r="E446" s="30" t="str">
        <f ca="1">IFERROR(__xludf.DUMMYFUNCTION("""COMPUTED_VALUE"""),"PB3572")</f>
        <v>PB3572</v>
      </c>
      <c r="F44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46"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46" s="30" t="str">
        <f ca="1">IFERROR(__xludf.DUMMYFUNCTION("""COMPUTED_VALUE"""),"SUBSECRETARÍA DE DESARROLLO Y PROMOCIÓN ARTÍSTICA Y CULTURAL")</f>
        <v>SUBSECRETARÍA DE DESARROLLO Y PROMOCIÓN ARTÍSTICA Y CULTURAL</v>
      </c>
      <c r="I446" s="34" t="str">
        <f ca="1">IFERROR(__xludf.DUMMYFUNCTION("""COMPUTED_VALUE"""),"DIRECCIÓN GENERAL DE MUSEOS, ARTES VISUALES Y EXPOSICIONES")</f>
        <v>DIRECCIÓN GENERAL DE MUSEOS, ARTES VISUALES Y EXPOSICIONES</v>
      </c>
      <c r="J446" s="30" t="str">
        <f ca="1">IFERROR(__xludf.DUMMYFUNCTION("""COMPUTED_VALUE"""),"Número de Actividades realizadas")</f>
        <v>Número de Actividades realizadas</v>
      </c>
      <c r="K446" s="30">
        <f ca="1">IFERROR(__xludf.DUMMYFUNCTION("""COMPUTED_VALUE"""),12)</f>
        <v>12</v>
      </c>
      <c r="L446" s="30" t="str">
        <f ca="1">IFERROR(__xludf.DUMMYFUNCTION("""COMPUTED_VALUE"""),"Cultural")</f>
        <v>Cultural</v>
      </c>
      <c r="M446" s="30" t="str">
        <f ca="1">IFERROR(__xludf.DUMMYFUNCTION("""COMPUTED_VALUE"""),"Conferencia ""Migrantes de guanajuato""")</f>
        <v>Conferencia "Migrantes de guanajuato"</v>
      </c>
      <c r="N446" s="30" t="str">
        <f ca="1">IFERROR(__xludf.DUMMYFUNCTION("""COMPUTED_VALUE"""),"Conferencia")</f>
        <v>Conferencia</v>
      </c>
      <c r="O446" s="30" t="str">
        <f ca="1">IFERROR(__xludf.DUMMYFUNCTION("""COMPUTED_VALUE"""),"Única")</f>
        <v>Única</v>
      </c>
      <c r="P446" s="33">
        <f ca="1">IFERROR(__xludf.DUMMYFUNCTION("""COMPUTED_VALUE"""),46255)</f>
        <v>46255</v>
      </c>
      <c r="Q446" s="33">
        <f ca="1">IFERROR(__xludf.DUMMYFUNCTION("""COMPUTED_VALUE"""),46255)</f>
        <v>46255</v>
      </c>
      <c r="R446" s="30">
        <f ca="1">IFERROR(__xludf.DUMMYFUNCTION("""COMPUTED_VALUE"""),1)</f>
        <v>1</v>
      </c>
      <c r="S446" s="30" t="str">
        <f ca="1">IFERROR(__xludf.DUMMYFUNCTION("""COMPUTED_VALUE"""),"Patrimonio cultural")</f>
        <v>Patrimonio cultural</v>
      </c>
      <c r="T446" s="30" t="str">
        <f ca="1">IFERROR(__xludf.DUMMYFUNCTION("""COMPUTED_VALUE"""),"Patrimonio documental")</f>
        <v>Patrimonio documental</v>
      </c>
      <c r="U446" s="30" t="str">
        <f ca="1">IFERROR(__xludf.DUMMYFUNCTION("""COMPUTED_VALUE"""),"Conferencia")</f>
        <v>Conferencia</v>
      </c>
      <c r="V446" s="30" t="str">
        <f ca="1">IFERROR(__xludf.DUMMYFUNCTION("""COMPUTED_VALUE"""),"Ninguna")</f>
        <v>Ninguna</v>
      </c>
      <c r="W446" s="30" t="str">
        <f ca="1">IFERROR(__xludf.DUMMYFUNCTION("""COMPUTED_VALUE"""),"Presencial")</f>
        <v>Presencial</v>
      </c>
      <c r="X446" s="30" t="str">
        <f ca="1">IFERROR(__xludf.DUMMYFUNCTION("""COMPUTED_VALUE"""),"Espacio a Cargo de la Secretaría")</f>
        <v>Espacio a Cargo de la Secretaría</v>
      </c>
      <c r="Y446" s="30" t="str">
        <f ca="1">IFERROR(__xludf.DUMMYFUNCTION("""COMPUTED_VALUE"""),"Museo José y Tomas Chavez Morado")</f>
        <v>Museo José y Tomas Chavez Morado</v>
      </c>
      <c r="Z446" s="30"/>
      <c r="AA446" s="30"/>
      <c r="AB446" s="30" t="b">
        <f ca="1">IFERROR(__xludf.DUMMYFUNCTION("""COMPUTED_VALUE"""),FALSE)</f>
        <v>0</v>
      </c>
      <c r="AC446" s="30"/>
      <c r="AD446" s="30" t="b">
        <f ca="1">IFERROR(__xludf.DUMMYFUNCTION("""COMPUTED_VALUE"""),FALSE)</f>
        <v>0</v>
      </c>
      <c r="AE446" s="30"/>
      <c r="AF446" s="30" t="b">
        <f ca="1">IFERROR(__xludf.DUMMYFUNCTION("""COMPUTED_VALUE"""),FALSE)</f>
        <v>0</v>
      </c>
      <c r="AG446" s="30"/>
      <c r="AH446" s="30" t="str">
        <f ca="1">IFERROR(__xludf.DUMMYFUNCTION("""COMPUTED_VALUE"""),"Sin costo")</f>
        <v>Sin costo</v>
      </c>
      <c r="AI446" s="30"/>
      <c r="AJ446" s="30"/>
      <c r="AK446" s="30"/>
      <c r="AL446" s="30" t="str">
        <f ca="1">IFERROR(__xludf.DUMMYFUNCTION("""COMPUTED_VALUE"""),"ccardonav@guanajuato.gob.mx")</f>
        <v>ccardonav@guanajuato.gob.mx</v>
      </c>
      <c r="AM446" s="30" t="str">
        <f ca="1">IFERROR(__xludf.DUMMYFUNCTION("""COMPUTED_VALUE"""),"Arraigo y empoderamiento cultural de comunidades.")</f>
        <v>Arraigo y empoderamiento cultural de comunidades.</v>
      </c>
      <c r="AN446" s="30" t="str">
        <f ca="1">IFERROR(__xludf.DUMMYFUNCTION("""COMPUTED_VALUE"""),"1 Tranquilidad")</f>
        <v>1 Tranquilidad</v>
      </c>
      <c r="AO446" s="30" t="str">
        <f ca="1">IFERROR(__xludf.DUMMYFUNCTION("""COMPUTED_VALUE"""),"1.2 Fortalecer prevención del delito")</f>
        <v>1.2 Fortalecer prevención del delito</v>
      </c>
      <c r="AP446" s="30" t="str">
        <f ca="1">IFERROR(__xludf.DUMMYFUNCTION("""COMPUTED_VALUE"""),"1.2.2 Fortalecimiento del tejido social")</f>
        <v>1.2.2 Fortalecimiento del tejido social</v>
      </c>
      <c r="AQ446" s="30" t="str">
        <f ca="1">IFERROR(__xludf.DUMMYFUNCTION("""COMPUTED_VALUE"""),"1.2.3.4 Promover una cultura de paz desde las expresiones artísticas y culturales")</f>
        <v>1.2.3.4 Promover una cultura de paz desde las expresiones artísticas y culturales</v>
      </c>
      <c r="AR446" s="30" t="str">
        <f ca="1">IFERROR(__xludf.DUMMYFUNCTION("""COMPUTED_VALUE"""),"Inclusión")</f>
        <v>Inclusión</v>
      </c>
      <c r="AS446" s="30" t="str">
        <f ca="1">IFERROR(__xludf.DUMMYFUNCTION("""COMPUTED_VALUE"""),"Personas Migrantes")</f>
        <v>Personas Migrantes</v>
      </c>
      <c r="AT446" s="30" t="str">
        <f ca="1">IFERROR(__xludf.DUMMYFUNCTION("""COMPUTED_VALUE"""),"Fortalecimiento de la participación ciudadana y la mediación cultural")</f>
        <v>Fortalecimiento de la participación ciudadana y la mediación cultural</v>
      </c>
      <c r="AU446" s="30" t="str">
        <f ca="1">IFERROR(__xludf.DUMMYFUNCTION("""COMPUTED_VALUE"""),"Fortalecimiento del diálogo, la mediación y las capacidades de las redes comunitarias.")</f>
        <v>Fortalecimiento del diálogo, la mediación y las capacidades de las redes comunitarias.</v>
      </c>
      <c r="AV446" s="30" t="str">
        <f ca="1">IFERROR(__xludf.DUMMYFUNCTION("""COMPUTED_VALUE"""),"Diseñar e impartir talleres de formación en derechos culturales")</f>
        <v>Diseñar e impartir talleres de formación en derechos culturales</v>
      </c>
      <c r="AW446" s="30" t="str">
        <f ca="1">IFERROR(__xludf.DUMMYFUNCTION("""COMPUTED_VALUE"""),"Incrementar en 25% la oferta cultural realizada en los municipios.")</f>
        <v>Incrementar en 25% la oferta cultural realizada en los municipios.</v>
      </c>
      <c r="AX446" s="30" t="str">
        <f ca="1">IFERROR(__xludf.DUMMYFUNCTION("""COMPUTED_VALUE"""),"Conferencia")</f>
        <v>Conferencia</v>
      </c>
      <c r="AY446" s="30" t="str">
        <f ca="1">IFERROR(__xludf.DUMMYFUNCTION("""COMPUTED_VALUE"""),"Mediación")</f>
        <v>Mediación</v>
      </c>
      <c r="AZ446" s="30"/>
      <c r="BA446" s="30"/>
      <c r="BB446" s="30"/>
      <c r="BC446" s="30">
        <f ca="1">IFERROR(__xludf.DUMMYFUNCTION("""COMPUTED_VALUE"""),0)</f>
        <v>0</v>
      </c>
      <c r="BD446" s="30"/>
      <c r="BE446" s="30"/>
      <c r="BF446" s="30" t="b">
        <f ca="1">IFERROR(__xludf.DUMMYFUNCTION("""COMPUTED_VALUE"""),FALSE)</f>
        <v>0</v>
      </c>
      <c r="BG446" s="30"/>
      <c r="BH446" s="30"/>
      <c r="BI446" s="30"/>
      <c r="BJ446" s="30"/>
      <c r="BK446" s="30"/>
      <c r="BL446" s="30"/>
      <c r="BM446" s="30" t="str">
        <f ca="1">IFERROR(__xludf.DUMMYFUNCTION("""COMPUTED_VALUE"""),"No")</f>
        <v>No</v>
      </c>
      <c r="BN446" s="30"/>
      <c r="BO446" s="30" t="str">
        <f ca="1">IFERROR(__xludf.DUMMYFUNCTION("""COMPUTED_VALUE"""),"90b21d76")</f>
        <v>90b21d76</v>
      </c>
      <c r="BP446" s="29" t="str">
        <f ca="1">IFERROR(__xludf.DUMMYFUNCTION("""COMPUTED_VALUE"""),"San Francisco del Rincón")</f>
        <v>San Francisco del Rincón</v>
      </c>
      <c r="BQ446" s="30" t="str">
        <f ca="1">IFERROR(__xludf.DUMMYFUNCTION("""COMPUTED_VALUE"""),"Urbano")</f>
        <v>Urbano</v>
      </c>
      <c r="BR446" s="30">
        <f ca="1">IFERROR(__xludf.DUMMYFUNCTION("""COMPUTED_VALUE"""),195)</f>
        <v>195</v>
      </c>
      <c r="BS446" s="30" t="str">
        <f ca="1">IFERROR(__xludf.DUMMYFUNCTION("""COMPUTED_VALUE"""),"San Francisco")</f>
        <v>San Francisco</v>
      </c>
      <c r="BT446" s="30"/>
      <c r="BU446" s="30" t="str">
        <f ca="1">IFERROR(__xludf.DUMMYFUNCTION("""COMPUTED_VALUE"""),"Si")</f>
        <v>Si</v>
      </c>
      <c r="BV446" s="30" t="str">
        <f ca="1">IFERROR(__xludf.DUMMYFUNCTION("""COMPUTED_VALUE"""),"No")</f>
        <v>No</v>
      </c>
      <c r="BW446" s="30">
        <f ca="1">IFERROR(__xludf.DUMMYFUNCTION("""COMPUTED_VALUE"""),35)</f>
        <v>35</v>
      </c>
      <c r="BX446" s="30">
        <f ca="1">IFERROR(__xludf.DUMMYFUNCTION("""COMPUTED_VALUE"""),1)</f>
        <v>1</v>
      </c>
      <c r="BY446" s="30">
        <f ca="1">IFERROR(__xludf.DUMMYFUNCTION("""COMPUTED_VALUE"""),34)</f>
        <v>34</v>
      </c>
      <c r="BZ446" s="30" t="str">
        <f ca="1">IFERROR(__xludf.DUMMYFUNCTION("""COMPUTED_VALUE"""),"San Francisco")</f>
        <v>San Francisco</v>
      </c>
      <c r="CA446" s="30" t="str">
        <f ca="1">IFERROR(__xludf.DUMMYFUNCTION("""COMPUTED_VALUE"""),"No")</f>
        <v>No</v>
      </c>
      <c r="CB446" s="30" t="str">
        <f ca="1">IFERROR(__xludf.DUMMYFUNCTION("""COMPUTED_VALUE"""),"No")</f>
        <v>No</v>
      </c>
      <c r="CC446" s="30" t="str">
        <f ca="1">IFERROR(__xludf.DUMMYFUNCTION("""COMPUTED_VALUE"""),"e3d724da")</f>
        <v>e3d724da</v>
      </c>
      <c r="CD446" s="29" t="str">
        <f ca="1">IFERROR(__xludf.DUMMYFUNCTION("""COMPUTED_VALUE"""),"Adolescentes (13 a 17 años)")</f>
        <v>Adolescentes (13 a 17 años)</v>
      </c>
      <c r="CE446" s="30" t="str">
        <f ca="1">IFERROR(__xludf.DUMMYFUNCTION("""COMPUTED_VALUE"""),"No se cuenta con el dato")</f>
        <v>No se cuenta con el dato</v>
      </c>
      <c r="CF446" s="30" t="str">
        <f ca="1">IFERROR(__xludf.DUMMYFUNCTION("""COMPUTED_VALUE"""),"Jóvenes en riesgo")</f>
        <v>Jóvenes en riesgo</v>
      </c>
      <c r="CG446" s="30">
        <f ca="1">IFERROR(__xludf.DUMMYFUNCTION("""COMPUTED_VALUE"""),19)</f>
        <v>19</v>
      </c>
      <c r="CJ446" s="29"/>
      <c r="CM446" s="30" t="str">
        <f ca="1">IFERROR(__xludf.DUMMYFUNCTION("""COMPUTED_VALUE"""),"Salamanca")</f>
        <v>Salamanca</v>
      </c>
      <c r="CN446" s="32" t="e">
        <f ca="1"/>
        <v>#NAME?</v>
      </c>
      <c r="CO446" s="32" t="e">
        <f ca="1"/>
        <v>#NAME?</v>
      </c>
      <c r="CP446" s="32" t="e">
        <f ca="1"/>
        <v>#NAME?</v>
      </c>
      <c r="CQ446" s="32" t="e">
        <f ca="1"/>
        <v>#NAME?</v>
      </c>
      <c r="CR446" s="30" t="e">
        <f ca="1"/>
        <v>#NAME?</v>
      </c>
      <c r="CS446" s="30" t="str">
        <f ca="1">IFERROR(__xludf.DUMMYFUNCTION("""COMPUTED_VALUE"""),"NNA (Niñas, Niños y Adolescentes), NNA (Niñas, Niños y Adolescentes)")</f>
        <v>NNA (Niñas, Niños y Adolescentes), NNA (Niñas, Niños y Adolescentes)</v>
      </c>
    </row>
    <row r="447" spans="1:97" ht="13">
      <c r="A447" s="29" t="str">
        <f ca="1">IFERROR(__xludf.DUMMYFUNCTION("""COMPUTED_VALUE"""),"ACT-SCCN06688")</f>
        <v>ACT-SCCN06688</v>
      </c>
      <c r="B447" s="30" t="str">
        <f ca="1">IFERROR(__xludf.DUMMYFUNCTION("""COMPUTED_VALUE"""),"SC-260923-112900")</f>
        <v>SC-260923-112900</v>
      </c>
      <c r="C447" s="62">
        <f ca="1">IFERROR(__xludf.DUMMYFUNCTION("""COMPUTED_VALUE"""),46288.4784722222)</f>
        <v>46288.478472222203</v>
      </c>
      <c r="D447" s="30">
        <f ca="1">IFERROR(__xludf.DUMMYFUNCTION("""COMPUTED_VALUE"""),92)</f>
        <v>92</v>
      </c>
      <c r="E447" s="30" t="str">
        <f ca="1">IFERROR(__xludf.DUMMYFUNCTION("""COMPUTED_VALUE"""),"PB3572")</f>
        <v>PB3572</v>
      </c>
      <c r="F44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4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47" s="30" t="str">
        <f ca="1">IFERROR(__xludf.DUMMYFUNCTION("""COMPUTED_VALUE"""),"SUBSECRETARÍA DE DESARROLLO Y PROMOCIÓN ARTÍSTICA Y CULTURAL")</f>
        <v>SUBSECRETARÍA DE DESARROLLO Y PROMOCIÓN ARTÍSTICA Y CULTURAL</v>
      </c>
      <c r="I447" s="34" t="str">
        <f ca="1">IFERROR(__xludf.DUMMYFUNCTION("""COMPUTED_VALUE"""),"DIRECCIÓN GENERAL DE MUSEOS, ARTES VISUALES Y EXPOSICIONES")</f>
        <v>DIRECCIÓN GENERAL DE MUSEOS, ARTES VISUALES Y EXPOSICIONES</v>
      </c>
      <c r="J447" s="30" t="str">
        <f ca="1">IFERROR(__xludf.DUMMYFUNCTION("""COMPUTED_VALUE"""),"Número de Actividades realizadas")</f>
        <v>Número de Actividades realizadas</v>
      </c>
      <c r="K447" s="30">
        <f ca="1">IFERROR(__xludf.DUMMYFUNCTION("""COMPUTED_VALUE"""),800)</f>
        <v>800</v>
      </c>
      <c r="L447" s="30" t="str">
        <f ca="1">IFERROR(__xludf.DUMMYFUNCTION("""COMPUTED_VALUE"""),"Cultural")</f>
        <v>Cultural</v>
      </c>
      <c r="M447" s="30" t="str">
        <f ca="1">IFERROR(__xludf.DUMMYFUNCTION("""COMPUTED_VALUE"""),"Visita Libre")</f>
        <v>Visita Libre</v>
      </c>
      <c r="N447" s="30" t="str">
        <f ca="1">IFERROR(__xludf.DUMMYFUNCTION("""COMPUTED_VALUE"""),"Visita guiada por el museo")</f>
        <v>Visita guiada por el museo</v>
      </c>
      <c r="O447" s="30" t="str">
        <f ca="1">IFERROR(__xludf.DUMMYFUNCTION("""COMPUTED_VALUE"""),"Única")</f>
        <v>Única</v>
      </c>
      <c r="P447" s="33">
        <f ca="1">IFERROR(__xludf.DUMMYFUNCTION("""COMPUTED_VALUE"""),46256)</f>
        <v>46256</v>
      </c>
      <c r="Q447" s="33">
        <f ca="1">IFERROR(__xludf.DUMMYFUNCTION("""COMPUTED_VALUE"""),46256)</f>
        <v>46256</v>
      </c>
      <c r="R447" s="30">
        <f ca="1">IFERROR(__xludf.DUMMYFUNCTION("""COMPUTED_VALUE"""),1)</f>
        <v>1</v>
      </c>
      <c r="S447" s="30" t="str">
        <f ca="1">IFERROR(__xludf.DUMMYFUNCTION("""COMPUTED_VALUE"""),"Cultura comunitaria")</f>
        <v>Cultura comunitaria</v>
      </c>
      <c r="T447" s="30" t="str">
        <f ca="1">IFERROR(__xludf.DUMMYFUNCTION("""COMPUTED_VALUE"""),"Formación comunitaria")</f>
        <v>Formación comunitaria</v>
      </c>
      <c r="U447" s="30" t="str">
        <f ca="1">IFERROR(__xludf.DUMMYFUNCTION("""COMPUTED_VALUE"""),"Visitas guiadas")</f>
        <v>Visitas guiadas</v>
      </c>
      <c r="V447" s="30" t="str">
        <f ca="1">IFERROR(__xludf.DUMMYFUNCTION("""COMPUTED_VALUE"""),"Ninguna")</f>
        <v>Ninguna</v>
      </c>
      <c r="W447" s="30" t="str">
        <f ca="1">IFERROR(__xludf.DUMMYFUNCTION("""COMPUTED_VALUE"""),"Presencial")</f>
        <v>Presencial</v>
      </c>
      <c r="X447" s="30" t="str">
        <f ca="1">IFERROR(__xludf.DUMMYFUNCTION("""COMPUTED_VALUE"""),"Espacio a Cargo de la Secretaría")</f>
        <v>Espacio a Cargo de la Secretaría</v>
      </c>
      <c r="Y447" s="30" t="str">
        <f ca="1">IFERROR(__xludf.DUMMYFUNCTION("""COMPUTED_VALUE"""),"Museo José y Tomas Chavez Morado")</f>
        <v>Museo José y Tomas Chavez Morado</v>
      </c>
      <c r="Z447" s="30"/>
      <c r="AA447" s="30"/>
      <c r="AB447" s="30" t="b">
        <f ca="1">IFERROR(__xludf.DUMMYFUNCTION("""COMPUTED_VALUE"""),FALSE)</f>
        <v>0</v>
      </c>
      <c r="AC447" s="30"/>
      <c r="AD447" s="30" t="b">
        <f ca="1">IFERROR(__xludf.DUMMYFUNCTION("""COMPUTED_VALUE"""),FALSE)</f>
        <v>0</v>
      </c>
      <c r="AE447" s="30"/>
      <c r="AF447" s="30" t="b">
        <f ca="1">IFERROR(__xludf.DUMMYFUNCTION("""COMPUTED_VALUE"""),FALSE)</f>
        <v>0</v>
      </c>
      <c r="AG447" s="30"/>
      <c r="AH447" s="30" t="str">
        <f ca="1">IFERROR(__xludf.DUMMYFUNCTION("""COMPUTED_VALUE"""),"Sin costo")</f>
        <v>Sin costo</v>
      </c>
      <c r="AI447" s="30"/>
      <c r="AJ447" s="30"/>
      <c r="AK447" s="30"/>
      <c r="AL447" s="30" t="str">
        <f ca="1">IFERROR(__xludf.DUMMYFUNCTION("""COMPUTED_VALUE"""),"ccardonav@guanajuato.gob.mx")</f>
        <v>ccardonav@guanajuato.gob.mx</v>
      </c>
      <c r="AM447" s="30" t="str">
        <f ca="1">IFERROR(__xludf.DUMMYFUNCTION("""COMPUTED_VALUE"""),"Arraigo y empoderamiento cultural de comunidades.")</f>
        <v>Arraigo y empoderamiento cultural de comunidades.</v>
      </c>
      <c r="AN447" s="30" t="str">
        <f ca="1">IFERROR(__xludf.DUMMYFUNCTION("""COMPUTED_VALUE"""),"1 Tranquilidad")</f>
        <v>1 Tranquilidad</v>
      </c>
      <c r="AO447" s="30" t="str">
        <f ca="1">IFERROR(__xludf.DUMMYFUNCTION("""COMPUTED_VALUE"""),"1.2 Fortalecer prevención del delito")</f>
        <v>1.2 Fortalecer prevención del delito</v>
      </c>
      <c r="AP447" s="30" t="str">
        <f ca="1">IFERROR(__xludf.DUMMYFUNCTION("""COMPUTED_VALUE"""),"1.2.2 Fortalecimiento del tejido social")</f>
        <v>1.2.2 Fortalecimiento del tejido social</v>
      </c>
      <c r="AQ447" s="30" t="str">
        <f ca="1">IFERROR(__xludf.DUMMYFUNCTION("""COMPUTED_VALUE"""),"1.2.3.4 Promover una cultura de paz desde las expresiones artísticas y culturales")</f>
        <v>1.2.3.4 Promover una cultura de paz desde las expresiones artísticas y culturales</v>
      </c>
      <c r="AR447" s="30" t="str">
        <f ca="1">IFERROR(__xludf.DUMMYFUNCTION("""COMPUTED_VALUE"""),"Cooperación")</f>
        <v>Cooperación</v>
      </c>
      <c r="AS447" s="30"/>
      <c r="AT447" s="30" t="str">
        <f ca="1">IFERROR(__xludf.DUMMYFUNCTION("""COMPUTED_VALUE"""),"Fortalecimiento de la participación ciudadana y la mediación cultural")</f>
        <v>Fortalecimiento de la participación ciudadana y la mediación cultural</v>
      </c>
      <c r="AU447" s="30" t="str">
        <f ca="1">IFERROR(__xludf.DUMMYFUNCTION("""COMPUTED_VALUE"""),"Impulso a la ampliación de la oferta cultural en los territorios.")</f>
        <v>Impulso a la ampliación de la oferta cultural en los territorios.</v>
      </c>
      <c r="AV44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47" s="30" t="str">
        <f ca="1">IFERROR(__xludf.DUMMYFUNCTION("""COMPUTED_VALUE"""),"Incrementar en 25% la oferta cultural realizada en los municipios.")</f>
        <v>Incrementar en 25% la oferta cultural realizada en los municipios.</v>
      </c>
      <c r="AX447" s="30" t="str">
        <f ca="1">IFERROR(__xludf.DUMMYFUNCTION("""COMPUTED_VALUE"""),"Visitas guiadas")</f>
        <v>Visitas guiadas</v>
      </c>
      <c r="AY447" s="30" t="str">
        <f ca="1">IFERROR(__xludf.DUMMYFUNCTION("""COMPUTED_VALUE"""),"Mediación")</f>
        <v>Mediación</v>
      </c>
      <c r="AZ447" s="30"/>
      <c r="BA447" s="30"/>
      <c r="BB447" s="30"/>
      <c r="BC447" s="30">
        <f ca="1">IFERROR(__xludf.DUMMYFUNCTION("""COMPUTED_VALUE"""),0)</f>
        <v>0</v>
      </c>
      <c r="BD447" s="30"/>
      <c r="BE447" s="30"/>
      <c r="BF447" s="30" t="b">
        <f ca="1">IFERROR(__xludf.DUMMYFUNCTION("""COMPUTED_VALUE"""),FALSE)</f>
        <v>0</v>
      </c>
      <c r="BG447" s="30"/>
      <c r="BH447" s="30"/>
      <c r="BI447" s="30"/>
      <c r="BJ447" s="30"/>
      <c r="BK447" s="30"/>
      <c r="BL447" s="30"/>
      <c r="BM447" s="30" t="str">
        <f ca="1">IFERROR(__xludf.DUMMYFUNCTION("""COMPUTED_VALUE"""),"No")</f>
        <v>No</v>
      </c>
      <c r="BN447" s="30"/>
      <c r="BO447" s="30" t="str">
        <f ca="1">IFERROR(__xludf.DUMMYFUNCTION("""COMPUTED_VALUE"""),"bdd588aa")</f>
        <v>bdd588aa</v>
      </c>
      <c r="BP447" s="29" t="str">
        <f ca="1">IFERROR(__xludf.DUMMYFUNCTION("""COMPUTED_VALUE"""),"Silao de la Victoria")</f>
        <v>Silao de la Victoria</v>
      </c>
      <c r="BQ447" s="30" t="str">
        <f ca="1">IFERROR(__xludf.DUMMYFUNCTION("""COMPUTED_VALUE"""),"Urbano")</f>
        <v>Urbano</v>
      </c>
      <c r="BR447" s="30">
        <f ca="1">IFERROR(__xludf.DUMMYFUNCTION("""COMPUTED_VALUE"""),215)</f>
        <v>215</v>
      </c>
      <c r="BS447" s="30" t="str">
        <f ca="1">IFERROR(__xludf.DUMMYFUNCTION("""COMPUTED_VALUE"""),"Silao")</f>
        <v>Silao</v>
      </c>
      <c r="BT447" s="30"/>
      <c r="BU447" s="30" t="str">
        <f ca="1">IFERROR(__xludf.DUMMYFUNCTION("""COMPUTED_VALUE"""),"Si")</f>
        <v>Si</v>
      </c>
      <c r="BV447" s="30" t="str">
        <f ca="1">IFERROR(__xludf.DUMMYFUNCTION("""COMPUTED_VALUE"""),"Si")</f>
        <v>Si</v>
      </c>
      <c r="BW447" s="30">
        <f ca="1">IFERROR(__xludf.DUMMYFUNCTION("""COMPUTED_VALUE"""),2)</f>
        <v>2</v>
      </c>
      <c r="BX447" s="30"/>
      <c r="BY447" s="30">
        <f ca="1">IFERROR(__xludf.DUMMYFUNCTION("""COMPUTED_VALUE"""),2)</f>
        <v>2</v>
      </c>
      <c r="BZ447" s="30" t="str">
        <f ca="1">IFERROR(__xludf.DUMMYFUNCTION("""COMPUTED_VALUE"""),"Silao")</f>
        <v>Silao</v>
      </c>
      <c r="CA447" s="30" t="str">
        <f ca="1">IFERROR(__xludf.DUMMYFUNCTION("""COMPUTED_VALUE"""),"No")</f>
        <v>No</v>
      </c>
      <c r="CB447" s="30" t="str">
        <f ca="1">IFERROR(__xludf.DUMMYFUNCTION("""COMPUTED_VALUE"""),"No")</f>
        <v>No</v>
      </c>
      <c r="CC447" s="30" t="str">
        <f ca="1">IFERROR(__xludf.DUMMYFUNCTION("""COMPUTED_VALUE"""),"b86d189e")</f>
        <v>b86d189e</v>
      </c>
      <c r="CD447" s="29" t="str">
        <f ca="1">IFERROR(__xludf.DUMMYFUNCTION("""COMPUTED_VALUE"""),"Jóvenes (18 a 29 años)")</f>
        <v>Jóvenes (18 a 29 años)</v>
      </c>
      <c r="CE447" s="30" t="str">
        <f ca="1">IFERROR(__xludf.DUMMYFUNCTION("""COMPUTED_VALUE"""),"No se cuenta con el dato")</f>
        <v>No se cuenta con el dato</v>
      </c>
      <c r="CF447" s="30" t="str">
        <f ca="1">IFERROR(__xludf.DUMMYFUNCTION("""COMPUTED_VALUE"""),"Jóvenes en riesgo")</f>
        <v>Jóvenes en riesgo</v>
      </c>
      <c r="CG447" s="30">
        <f ca="1">IFERROR(__xludf.DUMMYFUNCTION("""COMPUTED_VALUE"""),3)</f>
        <v>3</v>
      </c>
      <c r="CJ447" s="29"/>
      <c r="CM447" s="30" t="str">
        <f ca="1">IFERROR(__xludf.DUMMYFUNCTION("""COMPUTED_VALUE"""),"San Francisco del Rincón")</f>
        <v>San Francisco del Rincón</v>
      </c>
      <c r="CN447" s="32" t="e">
        <f ca="1"/>
        <v>#NAME?</v>
      </c>
      <c r="CO447" s="32" t="e">
        <f ca="1"/>
        <v>#NAME?</v>
      </c>
      <c r="CP447" s="32" t="e">
        <f ca="1"/>
        <v>#NAME?</v>
      </c>
      <c r="CQ447" s="32" t="e">
        <f ca="1"/>
        <v>#NAME?</v>
      </c>
      <c r="CR447" s="30" t="e">
        <f ca="1"/>
        <v>#NAME?</v>
      </c>
      <c r="CS447" s="30" t="str">
        <f ca="1">IFERROR(__xludf.DUMMYFUNCTION("""COMPUTED_VALUE"""),"Ninguno (Población General), NNA (Niñas, Niños y Adolescentes), Ninguno (Población General)")</f>
        <v>Ninguno (Población General), NNA (Niñas, Niños y Adolescentes), Ninguno (Población General)</v>
      </c>
    </row>
    <row r="448" spans="1:97" ht="13">
      <c r="A448" s="29" t="str">
        <f ca="1">IFERROR(__xludf.DUMMYFUNCTION("""COMPUTED_VALUE"""),"ACT-SCJU79713")</f>
        <v>ACT-SCJU79713</v>
      </c>
      <c r="B448" s="30" t="str">
        <f ca="1">IFERROR(__xludf.DUMMYFUNCTION("""COMPUTED_VALUE"""),"SC-260923-110558")</f>
        <v>SC-260923-110558</v>
      </c>
      <c r="C448" s="62">
        <f ca="1">IFERROR(__xludf.DUMMYFUNCTION("""COMPUTED_VALUE"""),46288.4624768518)</f>
        <v>46288.462476851797</v>
      </c>
      <c r="D448" s="30">
        <f ca="1">IFERROR(__xludf.DUMMYFUNCTION("""COMPUTED_VALUE"""),31)</f>
        <v>31</v>
      </c>
      <c r="E448" s="30" t="str">
        <f ca="1">IFERROR(__xludf.DUMMYFUNCTION("""COMPUTED_VALUE"""),"QC4049")</f>
        <v>QC4049</v>
      </c>
      <c r="F448" s="30" t="str">
        <f ca="1">IFERROR(__xludf.DUMMYFUNCTION("""COMPUTED_VALUE"""),"Centro de las Artes de Guanajuato, Claustro Mayor")</f>
        <v>Centro de las Artes de Guanajuato, Claustro Mayor</v>
      </c>
      <c r="G448" s="30" t="str">
        <f ca="1">IFERROR(__xludf.DUMMYFUNCTION("""COMPUTED_VALUE"""),"Programa anual expositivo del Centro de las Artes de Guanajuato, Claustro Mayor, con exposiciones temporales de artes plásticas y de los acervos CEARG en Salamanca")</f>
        <v>Programa anual expositivo del Centro de las Artes de Guanajuato, Claustro Mayor, con exposiciones temporales de artes plásticas y de los acervos CEARG en Salamanca</v>
      </c>
      <c r="H448" s="30" t="str">
        <f ca="1">IFERROR(__xludf.DUMMYFUNCTION("""COMPUTED_VALUE"""),"SUBSECRETARÍA DE DESARROLLO COMUNITARIO Y PROMOCIÓN PATRIMONIAL")</f>
        <v>SUBSECRETARÍA DE DESARROLLO COMUNITARIO Y PROMOCIÓN PATRIMONIAL</v>
      </c>
      <c r="I448" s="34" t="str">
        <f ca="1">IFERROR(__xludf.DUMMYFUNCTION("""COMPUTED_VALUE"""),"DIRECCIÓN GENERAL DE FORMACIÓN E INVESTIGACIÓN")</f>
        <v>DIRECCIÓN GENERAL DE FORMACIÓN E INVESTIGACIÓN</v>
      </c>
      <c r="J448" s="30" t="str">
        <f ca="1">IFERROR(__xludf.DUMMYFUNCTION("""COMPUTED_VALUE"""),"Exposiciones realizadas")</f>
        <v>Exposiciones realizadas</v>
      </c>
      <c r="K448" s="30">
        <f ca="1">IFERROR(__xludf.DUMMYFUNCTION("""COMPUTED_VALUE"""),3)</f>
        <v>3</v>
      </c>
      <c r="L448" s="30" t="str">
        <f ca="1">IFERROR(__xludf.DUMMYFUNCTION("""COMPUTED_VALUE"""),"Cultural")</f>
        <v>Cultural</v>
      </c>
      <c r="M448" s="30" t="str">
        <f ca="1">IFERROR(__xludf.DUMMYFUNCTION("""COMPUTED_VALUE"""),"Exposición ""La Fortaleza. MarisolGuerrero""")</f>
        <v>Exposición "La Fortaleza. MarisolGuerrero"</v>
      </c>
      <c r="N448" s="30" t="str">
        <f ca="1">IFERROR(__xludf.DUMMYFUNCTION("""COMPUTED_VALUE"""),"La exposición gira en torno a las genealogías familiares, los vínculos entre 3 generaciones madres, abuelas e hijas, así como los espacios compartidos dentro del hogar.")</f>
        <v>La exposición gira en torno a las genealogías familiares, los vínculos entre 3 generaciones madres, abuelas e hijas, así como los espacios compartidos dentro del hogar.</v>
      </c>
      <c r="O448" s="30" t="str">
        <f ca="1">IFERROR(__xludf.DUMMYFUNCTION("""COMPUTED_VALUE"""),"Única")</f>
        <v>Única</v>
      </c>
      <c r="P448" s="33">
        <f ca="1">IFERROR(__xludf.DUMMYFUNCTION("""COMPUTED_VALUE"""),46121)</f>
        <v>46121</v>
      </c>
      <c r="Q448" s="33">
        <f ca="1">IFERROR(__xludf.DUMMYFUNCTION("""COMPUTED_VALUE"""),46121)</f>
        <v>46121</v>
      </c>
      <c r="R448" s="30">
        <f ca="1">IFERROR(__xludf.DUMMYFUNCTION("""COMPUTED_VALUE"""),1)</f>
        <v>1</v>
      </c>
      <c r="S448" s="30" t="str">
        <f ca="1">IFERROR(__xludf.DUMMYFUNCTION("""COMPUTED_VALUE"""),"Artes visuales")</f>
        <v>Artes visuales</v>
      </c>
      <c r="T448" s="30" t="str">
        <f ca="1">IFERROR(__xludf.DUMMYFUNCTION("""COMPUTED_VALUE"""),"Grabado")</f>
        <v>Grabado</v>
      </c>
      <c r="U448" s="30" t="str">
        <f ca="1">IFERROR(__xludf.DUMMYFUNCTION("""COMPUTED_VALUE"""),"Exposición")</f>
        <v>Exposición</v>
      </c>
      <c r="V448" s="30" t="str">
        <f ca="1">IFERROR(__xludf.DUMMYFUNCTION("""COMPUTED_VALUE"""),"Ninguna")</f>
        <v>Ninguna</v>
      </c>
      <c r="W448" s="30" t="str">
        <f ca="1">IFERROR(__xludf.DUMMYFUNCTION("""COMPUTED_VALUE"""),"Presencial")</f>
        <v>Presencial</v>
      </c>
      <c r="X448" s="30" t="str">
        <f ca="1">IFERROR(__xludf.DUMMYFUNCTION("""COMPUTED_VALUE"""),"Espacio préstamo a la Secretaría de Cultura")</f>
        <v>Espacio préstamo a la Secretaría de Cultura</v>
      </c>
      <c r="Y448" s="30"/>
      <c r="Z448" s="30"/>
      <c r="AA448" s="30"/>
      <c r="AB448" s="30" t="b">
        <f ca="1">IFERROR(__xludf.DUMMYFUNCTION("""COMPUTED_VALUE"""),FALSE)</f>
        <v>0</v>
      </c>
      <c r="AC448" s="30"/>
      <c r="AD448" s="30" t="b">
        <f ca="1">IFERROR(__xludf.DUMMYFUNCTION("""COMPUTED_VALUE"""),TRUE)</f>
        <v>1</v>
      </c>
      <c r="AE448" s="30">
        <f ca="1">IFERROR(__xludf.DUMMYFUNCTION("""COMPUTED_VALUE"""),3)</f>
        <v>3</v>
      </c>
      <c r="AF448" s="30" t="b">
        <f ca="1">IFERROR(__xludf.DUMMYFUNCTION("""COMPUTED_VALUE"""),FALSE)</f>
        <v>0</v>
      </c>
      <c r="AG448" s="30"/>
      <c r="AH448" s="30" t="str">
        <f ca="1">IFERROR(__xludf.DUMMYFUNCTION("""COMPUTED_VALUE"""),"Sin costo")</f>
        <v>Sin costo</v>
      </c>
      <c r="AI448" s="30"/>
      <c r="AJ448" s="30"/>
      <c r="AK448" s="30"/>
      <c r="AL448" s="30" t="str">
        <f ca="1">IFERROR(__xludf.DUMMYFUNCTION("""COMPUTED_VALUE"""),"claudia.ramirezm@guanajuato.gob.mx")</f>
        <v>claudia.ramirezm@guanajuato.gob.mx</v>
      </c>
      <c r="AM448" s="30" t="str">
        <f ca="1">IFERROR(__xludf.DUMMYFUNCTION("""COMPUTED_VALUE"""),"Creación de la Secretaría de Cultura, con una visión social de la política cultural.")</f>
        <v>Creación de la Secretaría de Cultura, con una visión social de la política cultural.</v>
      </c>
      <c r="AN448" s="30" t="str">
        <f ca="1">IFERROR(__xludf.DUMMYFUNCTION("""COMPUTED_VALUE"""),"2 Igualdad")</f>
        <v>2 Igualdad</v>
      </c>
      <c r="AO448" s="30" t="str">
        <f ca="1">IFERROR(__xludf.DUMMYFUNCTION("""COMPUTED_VALUE"""),"2.4 Reducir brechas de desigualdad")</f>
        <v>2.4 Reducir brechas de desigualdad</v>
      </c>
      <c r="AP448" s="30" t="str">
        <f ca="1">IFERROR(__xludf.DUMMYFUNCTION("""COMPUTED_VALUE"""),"2.4.3 Descentralización de la oferta cultural")</f>
        <v>2.4.3 Descentralización de la oferta cultural</v>
      </c>
      <c r="AQ448" s="30" t="str">
        <f ca="1">IFERROR(__xludf.DUMMYFUNCTION("""COMPUTED_VALUE"""),"2.4.3.3 Incidir en el involucramiento de las personas con el ecosistema cultural")</f>
        <v>2.4.3.3 Incidir en el involucramiento de las personas con el ecosistema cultural</v>
      </c>
      <c r="AR448" s="30" t="str">
        <f ca="1">IFERROR(__xludf.DUMMYFUNCTION("""COMPUTED_VALUE"""),"Ninguno")</f>
        <v>Ninguno</v>
      </c>
      <c r="AS448" s="30"/>
      <c r="AT448" s="30" t="str">
        <f ca="1">IFERROR(__xludf.DUMMYFUNCTION("""COMPUTED_VALUE"""),"Fortalecimiento de la participación ciudadana y la mediación cultural")</f>
        <v>Fortalecimiento de la participación ciudadana y la mediación cultural</v>
      </c>
      <c r="AU448" s="30" t="str">
        <f ca="1">IFERROR(__xludf.DUMMYFUNCTION("""COMPUTED_VALUE"""),"Impulso a la ampliación de la oferta cultural en los territorios.")</f>
        <v>Impulso a la ampliación de la oferta cultural en los territorios.</v>
      </c>
      <c r="AV44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48" s="30" t="str">
        <f ca="1">IFERROR(__xludf.DUMMYFUNCTION("""COMPUTED_VALUE"""),"Incrementar en 25% la oferta cultural realizada en los municipios.")</f>
        <v>Incrementar en 25% la oferta cultural realizada en los municipios.</v>
      </c>
      <c r="AX448" s="30" t="str">
        <f ca="1">IFERROR(__xludf.DUMMYFUNCTION("""COMPUTED_VALUE"""),"Exposición")</f>
        <v>Exposición</v>
      </c>
      <c r="AY448" s="30" t="str">
        <f ca="1">IFERROR(__xludf.DUMMYFUNCTION("""COMPUTED_VALUE"""),"Circulación / Exhibición")</f>
        <v>Circulación / Exhibición</v>
      </c>
      <c r="AZ448" s="30"/>
      <c r="BA448" s="30"/>
      <c r="BB448" s="30"/>
      <c r="BC448" s="30">
        <f ca="1">IFERROR(__xludf.DUMMYFUNCTION("""COMPUTED_VALUE"""),0)</f>
        <v>0</v>
      </c>
      <c r="BD448" s="30"/>
      <c r="BE448" s="30"/>
      <c r="BF448" s="30" t="b">
        <f ca="1">IFERROR(__xludf.DUMMYFUNCTION("""COMPUTED_VALUE"""),FALSE)</f>
        <v>0</v>
      </c>
      <c r="BG448" s="30"/>
      <c r="BH448" s="30"/>
      <c r="BI448" s="30"/>
      <c r="BJ448" s="30"/>
      <c r="BK448" s="30"/>
      <c r="BL448" s="30"/>
      <c r="BM448" s="30" t="str">
        <f ca="1">IFERROR(__xludf.DUMMYFUNCTION("""COMPUTED_VALUE"""),"No")</f>
        <v>No</v>
      </c>
      <c r="BN448" s="30"/>
      <c r="BO448" s="30" t="str">
        <f ca="1">IFERROR(__xludf.DUMMYFUNCTION("""COMPUTED_VALUE"""),"63221f2c")</f>
        <v>63221f2c</v>
      </c>
      <c r="BP448" s="29" t="str">
        <f ca="1">IFERROR(__xludf.DUMMYFUNCTION("""COMPUTED_VALUE"""),"Salamanca")</f>
        <v>Salamanca</v>
      </c>
      <c r="BQ448" s="30" t="str">
        <f ca="1">IFERROR(__xludf.DUMMYFUNCTION("""COMPUTED_VALUE"""),"Urbano")</f>
        <v>Urbano</v>
      </c>
      <c r="BR448" s="30">
        <f ca="1">IFERROR(__xludf.DUMMYFUNCTION("""COMPUTED_VALUE"""),181)</f>
        <v>181</v>
      </c>
      <c r="BS448" s="30" t="str">
        <f ca="1">IFERROR(__xludf.DUMMYFUNCTION("""COMPUTED_VALUE"""),"Salamanca")</f>
        <v>Salamanca</v>
      </c>
      <c r="BT448" s="30"/>
      <c r="BU448" s="30" t="str">
        <f ca="1">IFERROR(__xludf.DUMMYFUNCTION("""COMPUTED_VALUE"""),"Si")</f>
        <v>Si</v>
      </c>
      <c r="BV448" s="30" t="str">
        <f ca="1">IFERROR(__xludf.DUMMYFUNCTION("""COMPUTED_VALUE"""),"Si")</f>
        <v>Si</v>
      </c>
      <c r="BW448" s="30">
        <f ca="1">IFERROR(__xludf.DUMMYFUNCTION("""COMPUTED_VALUE"""),751)</f>
        <v>751</v>
      </c>
      <c r="BX448" s="30"/>
      <c r="BY448" s="30">
        <f ca="1">IFERROR(__xludf.DUMMYFUNCTION("""COMPUTED_VALUE"""),751)</f>
        <v>751</v>
      </c>
      <c r="BZ448" s="30" t="str">
        <f ca="1">IFERROR(__xludf.DUMMYFUNCTION("""COMPUTED_VALUE"""),"Salamanca")</f>
        <v>Salamanca</v>
      </c>
      <c r="CA448" s="30" t="str">
        <f ca="1">IFERROR(__xludf.DUMMYFUNCTION("""COMPUTED_VALUE"""),"No")</f>
        <v>No</v>
      </c>
      <c r="CB448" s="30" t="str">
        <f ca="1">IFERROR(__xludf.DUMMYFUNCTION("""COMPUTED_VALUE"""),"No")</f>
        <v>No</v>
      </c>
      <c r="CC448" s="30" t="str">
        <f ca="1">IFERROR(__xludf.DUMMYFUNCTION("""COMPUTED_VALUE"""),"7adac964")</f>
        <v>7adac964</v>
      </c>
      <c r="CD448" s="29" t="str">
        <f ca="1">IFERROR(__xludf.DUMMYFUNCTION("""COMPUTED_VALUE"""),"Adultos (30 a 59 años)")</f>
        <v>Adultos (30 a 59 años)</v>
      </c>
      <c r="CE448" s="30" t="str">
        <f ca="1">IFERROR(__xludf.DUMMYFUNCTION("""COMPUTED_VALUE"""),"No se cuenta con el dato")</f>
        <v>No se cuenta con el dato</v>
      </c>
      <c r="CF448" s="30" t="str">
        <f ca="1">IFERROR(__xludf.DUMMYFUNCTION("""COMPUTED_VALUE"""),"Jóvenes en riesgo")</f>
        <v>Jóvenes en riesgo</v>
      </c>
      <c r="CG448" s="30">
        <f ca="1">IFERROR(__xludf.DUMMYFUNCTION("""COMPUTED_VALUE"""),5)</f>
        <v>5</v>
      </c>
      <c r="CJ448" s="29"/>
      <c r="CM448" s="30" t="str">
        <f ca="1">IFERROR(__xludf.DUMMYFUNCTION("""COMPUTED_VALUE"""),"Silao de la Victoria")</f>
        <v>Silao de la Victoria</v>
      </c>
      <c r="CN448" s="32" t="e">
        <f ca="1"/>
        <v>#NAME?</v>
      </c>
      <c r="CO448" s="32" t="e">
        <f ca="1"/>
        <v>#NAME?</v>
      </c>
      <c r="CP448" s="32" t="e">
        <f ca="1"/>
        <v>#NAME?</v>
      </c>
      <c r="CQ448" s="32" t="e">
        <f ca="1"/>
        <v>#NAME?</v>
      </c>
      <c r="CR448" s="30" t="e">
        <f ca="1"/>
        <v>#NAME?</v>
      </c>
      <c r="CS448" s="30" t="str">
        <f ca="1">IFERROR(__xludf.DUMMYFUNCTION("""COMPUTED_VALUE"""),"Ninguno (Población General), Ninguno (Población General)")</f>
        <v>Ninguno (Población General), Ninguno (Población General)</v>
      </c>
    </row>
    <row r="449" spans="1:97" ht="13">
      <c r="A449" s="29" t="str">
        <f ca="1">IFERROR(__xludf.DUMMYFUNCTION("""COMPUTED_VALUE"""),"ACT-SCZI57224")</f>
        <v>ACT-SCZI57224</v>
      </c>
      <c r="B449" s="30" t="str">
        <f ca="1">IFERROR(__xludf.DUMMYFUNCTION("""COMPUTED_VALUE"""),"SC-260923-130745")</f>
        <v>SC-260923-130745</v>
      </c>
      <c r="C449" s="62">
        <f ca="1">IFERROR(__xludf.DUMMYFUNCTION("""COMPUTED_VALUE"""),46288.5470486111)</f>
        <v>46288.547048611101</v>
      </c>
      <c r="D449" s="30">
        <f ca="1">IFERROR(__xludf.DUMMYFUNCTION("""COMPUTED_VALUE"""),71)</f>
        <v>71</v>
      </c>
      <c r="E449" s="30" t="str">
        <f ca="1">IFERROR(__xludf.DUMMYFUNCTION("""COMPUTED_VALUE"""),"PB3567")</f>
        <v>PB3567</v>
      </c>
      <c r="F449" s="30" t="str">
        <f ca="1">IFERROR(__xludf.DUMMYFUNCTION("""COMPUTED_VALUE"""),"Formación e Investigación Artística")</f>
        <v>Formación e Investigación Artística</v>
      </c>
      <c r="G449"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49" s="30" t="str">
        <f ca="1">IFERROR(__xludf.DUMMYFUNCTION("""COMPUTED_VALUE"""),"SUBSECRETARÍA DE DESARROLLO COMUNITARIO Y PROMOCIÓN PATRIMONIAL")</f>
        <v>SUBSECRETARÍA DE DESARROLLO COMUNITARIO Y PROMOCIÓN PATRIMONIAL</v>
      </c>
      <c r="I449" s="34" t="str">
        <f ca="1">IFERROR(__xludf.DUMMYFUNCTION("""COMPUTED_VALUE"""),"DIRECCIÓN GENERAL DE FORMACIÓN E INVESTIGACIÓN")</f>
        <v>DIRECCIÓN GENERAL DE FORMACIÓN E INVESTIGACIÓN</v>
      </c>
      <c r="J449" s="30" t="str">
        <f ca="1">IFERROR(__xludf.DUMMYFUNCTION("""COMPUTED_VALUE"""),"Cursos, talleres, diplomados realizados")</f>
        <v>Cursos, talleres, diplomados realizados</v>
      </c>
      <c r="K449" s="30">
        <f ca="1">IFERROR(__xludf.DUMMYFUNCTION("""COMPUTED_VALUE"""),4)</f>
        <v>4</v>
      </c>
      <c r="L449" s="30" t="str">
        <f ca="1">IFERROR(__xludf.DUMMYFUNCTION("""COMPUTED_VALUE"""),"Cultural")</f>
        <v>Cultural</v>
      </c>
      <c r="M449" s="30" t="str">
        <f ca="1">IFERROR(__xludf.DUMMYFUNCTION("""COMPUTED_VALUE"""),"Taller de improvisación Freeform + función escénica SOL")</f>
        <v>Taller de improvisación Freeform + función escénica SOL</v>
      </c>
      <c r="N449" s="30" t="str">
        <f ca="1">IFERROR(__xludf.DUMMYFUNCTION("""COMPUTED_VALUE"""),"Residencia - Taller de la Compañia Máscara de Agua. Taller de improvisación ""Freeform"" y función escenica SOL con una duración de 24 horas llevados a cabo en la modalidad presencial.")</f>
        <v>Residencia - Taller de la Compañia Máscara de Agua. Taller de improvisación "Freeform" y función escenica SOL con una duración de 24 horas llevados a cabo en la modalidad presencial.</v>
      </c>
      <c r="O449" s="30" t="str">
        <f ca="1">IFERROR(__xludf.DUMMYFUNCTION("""COMPUTED_VALUE"""),"Diaria")</f>
        <v>Diaria</v>
      </c>
      <c r="P449" s="33">
        <f ca="1">IFERROR(__xludf.DUMMYFUNCTION("""COMPUTED_VALUE"""),46174)</f>
        <v>46174</v>
      </c>
      <c r="Q449" s="33">
        <f ca="1">IFERROR(__xludf.DUMMYFUNCTION("""COMPUTED_VALUE"""),46180)</f>
        <v>46180</v>
      </c>
      <c r="R449" s="30">
        <f ca="1">IFERROR(__xludf.DUMMYFUNCTION("""COMPUTED_VALUE"""),7)</f>
        <v>7</v>
      </c>
      <c r="S449" s="30" t="str">
        <f ca="1">IFERROR(__xludf.DUMMYFUNCTION("""COMPUTED_VALUE"""),"Artes visuales")</f>
        <v>Artes visuales</v>
      </c>
      <c r="T449" s="30" t="str">
        <f ca="1">IFERROR(__xludf.DUMMYFUNCTION("""COMPUTED_VALUE"""),"Arte urbano")</f>
        <v>Arte urbano</v>
      </c>
      <c r="U449" s="30" t="str">
        <f ca="1">IFERROR(__xludf.DUMMYFUNCTION("""COMPUTED_VALUE"""),"Taller")</f>
        <v>Taller</v>
      </c>
      <c r="V449" s="30" t="str">
        <f ca="1">IFERROR(__xludf.DUMMYFUNCTION("""COMPUTED_VALUE"""),"Ninguna")</f>
        <v>Ninguna</v>
      </c>
      <c r="W449" s="30" t="str">
        <f ca="1">IFERROR(__xludf.DUMMYFUNCTION("""COMPUTED_VALUE"""),"Presencial")</f>
        <v>Presencial</v>
      </c>
      <c r="X449" s="30" t="str">
        <f ca="1">IFERROR(__xludf.DUMMYFUNCTION("""COMPUTED_VALUE"""),"Espacio préstamo a la Secretaría de Cultura")</f>
        <v>Espacio préstamo a la Secretaría de Cultura</v>
      </c>
      <c r="Y449" s="30"/>
      <c r="Z449" s="30"/>
      <c r="AA449" s="30"/>
      <c r="AB449" s="30" t="b">
        <f ca="1">IFERROR(__xludf.DUMMYFUNCTION("""COMPUTED_VALUE"""),FALSE)</f>
        <v>0</v>
      </c>
      <c r="AC449" s="30"/>
      <c r="AD449" s="30" t="b">
        <f ca="1">IFERROR(__xludf.DUMMYFUNCTION("""COMPUTED_VALUE"""),TRUE)</f>
        <v>1</v>
      </c>
      <c r="AE449" s="30">
        <f ca="1">IFERROR(__xludf.DUMMYFUNCTION("""COMPUTED_VALUE"""),1)</f>
        <v>1</v>
      </c>
      <c r="AF449" s="30" t="b">
        <f ca="1">IFERROR(__xludf.DUMMYFUNCTION("""COMPUTED_VALUE"""),FALSE)</f>
        <v>0</v>
      </c>
      <c r="AG449" s="30"/>
      <c r="AH449" s="30" t="str">
        <f ca="1">IFERROR(__xludf.DUMMYFUNCTION("""COMPUTED_VALUE"""),"Sin costo")</f>
        <v>Sin costo</v>
      </c>
      <c r="AI449" s="30"/>
      <c r="AJ449" s="30"/>
      <c r="AK449" s="30"/>
      <c r="AL449" s="30" t="str">
        <f ca="1">IFERROR(__xludf.DUMMYFUNCTION("""COMPUTED_VALUE"""),"claudia.ramirezm@guanajuato.gob.mx")</f>
        <v>claudia.ramirezm@guanajuato.gob.mx</v>
      </c>
      <c r="AM449" s="30" t="str">
        <f ca="1">IFERROR(__xludf.DUMMYFUNCTION("""COMPUTED_VALUE"""),"Mayor inversión en conservación del patrimonio artístico y cultural.")</f>
        <v>Mayor inversión en conservación del patrimonio artístico y cultural.</v>
      </c>
      <c r="AN449" s="30" t="str">
        <f ca="1">IFERROR(__xludf.DUMMYFUNCTION("""COMPUTED_VALUE"""),"2 Igualdad")</f>
        <v>2 Igualdad</v>
      </c>
      <c r="AO449" s="30" t="str">
        <f ca="1">IFERROR(__xludf.DUMMYFUNCTION("""COMPUTED_VALUE"""),"2.2 Fortalecer cohesión social")</f>
        <v>2.2 Fortalecer cohesión social</v>
      </c>
      <c r="AP449" s="30" t="str">
        <f ca="1">IFERROR(__xludf.DUMMYFUNCTION("""COMPUTED_VALUE"""),"2.2 Fortalecer cohesión social")</f>
        <v>2.2 Fortalecer cohesión social</v>
      </c>
      <c r="AQ449" s="30" t="str">
        <f ca="1">IFERROR(__xludf.DUMMYFUNCTION("""COMPUTED_VALUE"""),"2.2.3.2 Promover la participación de grupos prioritarios en actividades culturales")</f>
        <v>2.2.3.2 Promover la participación de grupos prioritarios en actividades culturales</v>
      </c>
      <c r="AR449" s="30" t="str">
        <f ca="1">IFERROR(__xludf.DUMMYFUNCTION("""COMPUTED_VALUE"""),"Inclusión")</f>
        <v>Inclusión</v>
      </c>
      <c r="AS449" s="30" t="str">
        <f ca="1">IFERROR(__xludf.DUMMYFUNCTION("""COMPUTED_VALUE"""),"Ninguno (Población General)")</f>
        <v>Ninguno (Población General)</v>
      </c>
      <c r="AT449" s="30" t="str">
        <f ca="1">IFERROR(__xludf.DUMMYFUNCTION("""COMPUTED_VALUE"""),"Impulso a la educación artística y a la profesionalización del sector cultural")</f>
        <v>Impulso a la educación artística y a la profesionalización del sector cultural</v>
      </c>
      <c r="AU449" s="30" t="str">
        <f ca="1">IFERROR(__xludf.DUMMYFUNCTION("""COMPUTED_VALUE"""),"Impulso a programas de formación y profesionalización para agentes culturales.")</f>
        <v>Impulso a programas de formación y profesionalización para agentes culturales.</v>
      </c>
      <c r="AV449"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49" s="30" t="str">
        <f ca="1">IFERROR(__xludf.DUMMYFUNCTION("""COMPUTED_VALUE"""),"Incrementar un 30% la oferta de formación y profesionalización para agentes culturales.")</f>
        <v>Incrementar un 30% la oferta de formación y profesionalización para agentes culturales.</v>
      </c>
      <c r="AX449" s="30" t="str">
        <f ca="1">IFERROR(__xludf.DUMMYFUNCTION("""COMPUTED_VALUE"""),"Taller")</f>
        <v>Taller</v>
      </c>
      <c r="AY449" s="30" t="str">
        <f ca="1">IFERROR(__xludf.DUMMYFUNCTION("""COMPUTED_VALUE"""),"Formación")</f>
        <v>Formación</v>
      </c>
      <c r="AZ449" s="30" t="str">
        <f ca="1">IFERROR(__xludf.DUMMYFUNCTION("""COMPUTED_VALUE"""),"Profesionalización")</f>
        <v>Profesionalización</v>
      </c>
      <c r="BA449" s="30"/>
      <c r="BB449" s="30">
        <f ca="1">IFERROR(__xludf.DUMMYFUNCTION("""COMPUTED_VALUE"""),5)</f>
        <v>5</v>
      </c>
      <c r="BC449" s="30">
        <f ca="1">IFERROR(__xludf.DUMMYFUNCTION("""COMPUTED_VALUE"""),1)</f>
        <v>1</v>
      </c>
      <c r="BD449" s="30" t="str">
        <f ca="1">IFERROR(__xludf.DUMMYFUNCTION("""COMPUTED_VALUE"""),"Nuevo")</f>
        <v>Nuevo</v>
      </c>
      <c r="BE449" s="30" t="str">
        <f ca="1">IFERROR(__xludf.DUMMYFUNCTION("""COMPUTED_VALUE"""),"Mauricio Cruz Márquez")</f>
        <v>Mauricio Cruz Márquez</v>
      </c>
      <c r="BF449" s="30" t="b">
        <f ca="1">IFERROR(__xludf.DUMMYFUNCTION("""COMPUTED_VALUE"""),TRUE)</f>
        <v>1</v>
      </c>
      <c r="BG449" s="30" t="str">
        <f ca="1">IFERROR(__xludf.DUMMYFUNCTION("""COMPUTED_VALUE"""),"Económico")</f>
        <v>Económico</v>
      </c>
      <c r="BH449" s="30">
        <f ca="1">IFERROR(__xludf.DUMMYFUNCTION("""COMPUTED_VALUE"""),56000)</f>
        <v>56000</v>
      </c>
      <c r="BI449" s="30"/>
      <c r="BJ449" s="30"/>
      <c r="BK449" s="30"/>
      <c r="BL449" s="30"/>
      <c r="BM449" s="30" t="str">
        <f ca="1">IFERROR(__xludf.DUMMYFUNCTION("""COMPUTED_VALUE"""),"No")</f>
        <v>No</v>
      </c>
      <c r="BN449" s="30"/>
      <c r="BO449" s="30" t="str">
        <f ca="1">IFERROR(__xludf.DUMMYFUNCTION("""COMPUTED_VALUE"""),"7748a096")</f>
        <v>7748a096</v>
      </c>
      <c r="BP449" s="29" t="str">
        <f ca="1">IFERROR(__xludf.DUMMYFUNCTION("""COMPUTED_VALUE"""),"Silao de la Victoria")</f>
        <v>Silao de la Victoria</v>
      </c>
      <c r="BQ449" s="30" t="str">
        <f ca="1">IFERROR(__xludf.DUMMYFUNCTION("""COMPUTED_VALUE"""),"Urbano")</f>
        <v>Urbano</v>
      </c>
      <c r="BR449" s="30">
        <f ca="1">IFERROR(__xludf.DUMMYFUNCTION("""COMPUTED_VALUE"""),215)</f>
        <v>215</v>
      </c>
      <c r="BS449" s="30" t="str">
        <f ca="1">IFERROR(__xludf.DUMMYFUNCTION("""COMPUTED_VALUE"""),"Silao")</f>
        <v>Silao</v>
      </c>
      <c r="BT449" s="30"/>
      <c r="BU449" s="30" t="str">
        <f ca="1">IFERROR(__xludf.DUMMYFUNCTION("""COMPUTED_VALUE"""),"Si")</f>
        <v>Si</v>
      </c>
      <c r="BV449" s="30" t="str">
        <f ca="1">IFERROR(__xludf.DUMMYFUNCTION("""COMPUTED_VALUE"""),"Si")</f>
        <v>Si</v>
      </c>
      <c r="BW449" s="30">
        <f ca="1">IFERROR(__xludf.DUMMYFUNCTION("""COMPUTED_VALUE"""),7)</f>
        <v>7</v>
      </c>
      <c r="BX449" s="30"/>
      <c r="BY449" s="30">
        <f ca="1">IFERROR(__xludf.DUMMYFUNCTION("""COMPUTED_VALUE"""),7)</f>
        <v>7</v>
      </c>
      <c r="BZ449" s="30" t="str">
        <f ca="1">IFERROR(__xludf.DUMMYFUNCTION("""COMPUTED_VALUE"""),"Silao")</f>
        <v>Silao</v>
      </c>
      <c r="CA449" s="30" t="str">
        <f ca="1">IFERROR(__xludf.DUMMYFUNCTION("""COMPUTED_VALUE"""),"No")</f>
        <v>No</v>
      </c>
      <c r="CB449" s="30" t="str">
        <f ca="1">IFERROR(__xludf.DUMMYFUNCTION("""COMPUTED_VALUE"""),"No")</f>
        <v>No</v>
      </c>
      <c r="CC449" s="30" t="str">
        <f ca="1">IFERROR(__xludf.DUMMYFUNCTION("""COMPUTED_VALUE"""),"26014eab")</f>
        <v>26014eab</v>
      </c>
      <c r="CD449" s="29" t="str">
        <f ca="1">IFERROR(__xludf.DUMMYFUNCTION("""COMPUTED_VALUE"""),"Niñas y Niños (6 a 12 años)")</f>
        <v>Niñas y Niños (6 a 12 años)</v>
      </c>
      <c r="CE449" s="30" t="str">
        <f ca="1">IFERROR(__xludf.DUMMYFUNCTION("""COMPUTED_VALUE"""),"No se cuenta con el dato")</f>
        <v>No se cuenta con el dato</v>
      </c>
      <c r="CF449" s="30" t="str">
        <f ca="1">IFERROR(__xludf.DUMMYFUNCTION("""COMPUTED_VALUE"""),"Jóvenes en riesgo")</f>
        <v>Jóvenes en riesgo</v>
      </c>
      <c r="CG449" s="30">
        <f ca="1">IFERROR(__xludf.DUMMYFUNCTION("""COMPUTED_VALUE"""),4)</f>
        <v>4</v>
      </c>
      <c r="CJ449" s="29"/>
      <c r="CM449" s="30" t="str">
        <f ca="1">IFERROR(__xludf.DUMMYFUNCTION("""COMPUTED_VALUE"""),"Salamanca")</f>
        <v>Salamanca</v>
      </c>
      <c r="CN449" s="32" t="e">
        <f ca="1"/>
        <v>#NAME?</v>
      </c>
      <c r="CO449" s="32" t="e">
        <f ca="1"/>
        <v>#NAME?</v>
      </c>
      <c r="CP449" s="32" t="e">
        <f ca="1"/>
        <v>#NAME?</v>
      </c>
      <c r="CQ449" s="32" t="e">
        <f ca="1"/>
        <v>#NAME?</v>
      </c>
      <c r="CR449" s="30" t="e">
        <f ca="1"/>
        <v>#NAME?</v>
      </c>
      <c r="CS449" s="30" t="str">
        <f ca="1">IFERROR(__xludf.DUMMYFUNCTION("""COMPUTED_VALUE"""),"Ninguno (Población General)")</f>
        <v>Ninguno (Población General)</v>
      </c>
    </row>
    <row r="450" spans="1:97" ht="13">
      <c r="A450" s="29" t="str">
        <f ca="1">IFERROR(__xludf.DUMMYFUNCTION("""COMPUTED_VALUE"""),"ACT-SCBB41292")</f>
        <v>ACT-SCBB41292</v>
      </c>
      <c r="B450" s="30" t="str">
        <f ca="1">IFERROR(__xludf.DUMMYFUNCTION("""COMPUTED_VALUE"""),"SC-260923-132221")</f>
        <v>SC-260923-132221</v>
      </c>
      <c r="C450" s="62">
        <f ca="1">IFERROR(__xludf.DUMMYFUNCTION("""COMPUTED_VALUE"""),46288.5571875)</f>
        <v>46288.557187500002</v>
      </c>
      <c r="D450" s="30">
        <f ca="1">IFERROR(__xludf.DUMMYFUNCTION("""COMPUTED_VALUE"""),77)</f>
        <v>77</v>
      </c>
      <c r="E450" s="30" t="str">
        <f ca="1">IFERROR(__xludf.DUMMYFUNCTION("""COMPUTED_VALUE"""),"PB3567")</f>
        <v>PB3567</v>
      </c>
      <c r="F450" s="30" t="str">
        <f ca="1">IFERROR(__xludf.DUMMYFUNCTION("""COMPUTED_VALUE"""),"Formación e Investigación Artística")</f>
        <v>Formación e Investigación Artística</v>
      </c>
      <c r="G450" s="30" t="str">
        <f ca="1">IFERROR(__xludf.DUMMYFUNCTION("""COMPUTED_VALUE"""),"Presentaciones artísticas de teatro, música y danza, editoriales, conversatorios, conferencias y charlas")</f>
        <v>Presentaciones artísticas de teatro, música y danza, editoriales, conversatorios, conferencias y charlas</v>
      </c>
      <c r="H450" s="30" t="str">
        <f ca="1">IFERROR(__xludf.DUMMYFUNCTION("""COMPUTED_VALUE"""),"SUBSECRETARÍA DE DESARROLLO COMUNITARIO Y PROMOCIÓN PATRIMONIAL")</f>
        <v>SUBSECRETARÍA DE DESARROLLO COMUNITARIO Y PROMOCIÓN PATRIMONIAL</v>
      </c>
      <c r="I450" s="34" t="str">
        <f ca="1">IFERROR(__xludf.DUMMYFUNCTION("""COMPUTED_VALUE"""),"DIRECCIÓN GENERAL DE FORMACIÓN E INVESTIGACIÓN")</f>
        <v>DIRECCIÓN GENERAL DE FORMACIÓN E INVESTIGACIÓN</v>
      </c>
      <c r="J450" s="30" t="str">
        <f ca="1">IFERROR(__xludf.DUMMYFUNCTION("""COMPUTED_VALUE"""),"Presentaciones realizadas")</f>
        <v>Presentaciones realizadas</v>
      </c>
      <c r="K450" s="30">
        <f ca="1">IFERROR(__xludf.DUMMYFUNCTION("""COMPUTED_VALUE"""),20)</f>
        <v>20</v>
      </c>
      <c r="L450" s="30" t="str">
        <f ca="1">IFERROR(__xludf.DUMMYFUNCTION("""COMPUTED_VALUE"""),"Cultural")</f>
        <v>Cultural</v>
      </c>
      <c r="M450" s="30" t="str">
        <f ca="1">IFERROR(__xludf.DUMMYFUNCTION("""COMPUTED_VALUE"""),"Personal del CEARG")</f>
        <v>Personal del CEARG</v>
      </c>
      <c r="N450" s="30" t="str">
        <f ca="1">IFERROR(__xludf.DUMMYFUNCTION("""COMPUTED_VALUE"""),"Participación en el Encuentro Estatal de Saberes Locales")</f>
        <v>Participación en el Encuentro Estatal de Saberes Locales</v>
      </c>
      <c r="O450" s="30" t="str">
        <f ca="1">IFERROR(__xludf.DUMMYFUNCTION("""COMPUTED_VALUE"""),"Única")</f>
        <v>Única</v>
      </c>
      <c r="P450" s="33">
        <f ca="1">IFERROR(__xludf.DUMMYFUNCTION("""COMPUTED_VALUE"""),46177)</f>
        <v>46177</v>
      </c>
      <c r="Q450" s="33">
        <f ca="1">IFERROR(__xludf.DUMMYFUNCTION("""COMPUTED_VALUE"""),46177)</f>
        <v>46177</v>
      </c>
      <c r="R450" s="30">
        <f ca="1">IFERROR(__xludf.DUMMYFUNCTION("""COMPUTED_VALUE"""),1)</f>
        <v>1</v>
      </c>
      <c r="S450" s="30" t="str">
        <f ca="1">IFERROR(__xludf.DUMMYFUNCTION("""COMPUTED_VALUE"""),"Cultura comunitaria")</f>
        <v>Cultura comunitaria</v>
      </c>
      <c r="T450" s="30" t="str">
        <f ca="1">IFERROR(__xludf.DUMMYFUNCTION("""COMPUTED_VALUE"""),"Gestión cultural")</f>
        <v>Gestión cultural</v>
      </c>
      <c r="U450" s="30" t="str">
        <f ca="1">IFERROR(__xludf.DUMMYFUNCTION("""COMPUTED_VALUE"""),"Divulgación cultural")</f>
        <v>Divulgación cultural</v>
      </c>
      <c r="V450" s="30" t="str">
        <f ca="1">IFERROR(__xludf.DUMMYFUNCTION("""COMPUTED_VALUE"""),"Ninguna")</f>
        <v>Ninguna</v>
      </c>
      <c r="W450" s="30" t="str">
        <f ca="1">IFERROR(__xludf.DUMMYFUNCTION("""COMPUTED_VALUE"""),"Presencial")</f>
        <v>Presencial</v>
      </c>
      <c r="X450" s="30" t="str">
        <f ca="1">IFERROR(__xludf.DUMMYFUNCTION("""COMPUTED_VALUE"""),"Espacio préstamo a la Secretaría de Cultura")</f>
        <v>Espacio préstamo a la Secretaría de Cultura</v>
      </c>
      <c r="Y450" s="30"/>
      <c r="Z450" s="30"/>
      <c r="AA450" s="30"/>
      <c r="AB450" s="30" t="b">
        <f ca="1">IFERROR(__xludf.DUMMYFUNCTION("""COMPUTED_VALUE"""),FALSE)</f>
        <v>0</v>
      </c>
      <c r="AC450" s="30"/>
      <c r="AD450" s="30" t="b">
        <f ca="1">IFERROR(__xludf.DUMMYFUNCTION("""COMPUTED_VALUE"""),FALSE)</f>
        <v>0</v>
      </c>
      <c r="AE450" s="30"/>
      <c r="AF450" s="30" t="b">
        <f ca="1">IFERROR(__xludf.DUMMYFUNCTION("""COMPUTED_VALUE"""),FALSE)</f>
        <v>0</v>
      </c>
      <c r="AG450" s="30"/>
      <c r="AH450" s="30" t="str">
        <f ca="1">IFERROR(__xludf.DUMMYFUNCTION("""COMPUTED_VALUE"""),"Sin costo")</f>
        <v>Sin costo</v>
      </c>
      <c r="AI450" s="30"/>
      <c r="AJ450" s="30"/>
      <c r="AK450" s="30"/>
      <c r="AL450" s="30" t="str">
        <f ca="1">IFERROR(__xludf.DUMMYFUNCTION("""COMPUTED_VALUE"""),"claudia.ramirezm@guanajuato.gob.mx")</f>
        <v>claudia.ramirezm@guanajuato.gob.mx</v>
      </c>
      <c r="AM450" s="30" t="str">
        <f ca="1">IFERROR(__xludf.DUMMYFUNCTION("""COMPUTED_VALUE"""),"Mayor inversión en conservación del patrimonio artístico y cultural.")</f>
        <v>Mayor inversión en conservación del patrimonio artístico y cultural.</v>
      </c>
      <c r="AN450" s="30" t="str">
        <f ca="1">IFERROR(__xludf.DUMMYFUNCTION("""COMPUTED_VALUE"""),"2 Igualdad")</f>
        <v>2 Igualdad</v>
      </c>
      <c r="AO450" s="30" t="str">
        <f ca="1">IFERROR(__xludf.DUMMYFUNCTION("""COMPUTED_VALUE"""),"2.2 Fortalecer cohesión social")</f>
        <v>2.2 Fortalecer cohesión social</v>
      </c>
      <c r="AP450" s="30" t="str">
        <f ca="1">IFERROR(__xludf.DUMMYFUNCTION("""COMPUTED_VALUE"""),"2.2 Fortalecer cohesión social")</f>
        <v>2.2 Fortalecer cohesión social</v>
      </c>
      <c r="AQ450" s="30" t="str">
        <f ca="1">IFERROR(__xludf.DUMMYFUNCTION("""COMPUTED_VALUE"""),"2.2.3.2 Promover la participación de grupos prioritarios en actividades culturales")</f>
        <v>2.2.3.2 Promover la participación de grupos prioritarios en actividades culturales</v>
      </c>
      <c r="AR450" s="30" t="str">
        <f ca="1">IFERROR(__xludf.DUMMYFUNCTION("""COMPUTED_VALUE"""),"Inclusión")</f>
        <v>Inclusión</v>
      </c>
      <c r="AS450" s="30" t="str">
        <f ca="1">IFERROR(__xludf.DUMMYFUNCTION("""COMPUTED_VALUE"""),"Ninguno (Población General)")</f>
        <v>Ninguno (Población General)</v>
      </c>
      <c r="AT450" s="30" t="str">
        <f ca="1">IFERROR(__xludf.DUMMYFUNCTION("""COMPUTED_VALUE"""),"Impulso a la educación artística y a la profesionalización del sector cultural")</f>
        <v>Impulso a la educación artística y a la profesionalización del sector cultural</v>
      </c>
      <c r="AU450" s="30" t="str">
        <f ca="1">IFERROR(__xludf.DUMMYFUNCTION("""COMPUTED_VALUE"""),"Impulso a programas de formación y profesionalización para agentes culturales.")</f>
        <v>Impulso a programas de formación y profesionalización para agentes culturales.</v>
      </c>
      <c r="AV450"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50" s="30" t="str">
        <f ca="1">IFERROR(__xludf.DUMMYFUNCTION("""COMPUTED_VALUE"""),"Incrementar un 30% la oferta de formación y profesionalización para agentes culturales.")</f>
        <v>Incrementar un 30% la oferta de formación y profesionalización para agentes culturales.</v>
      </c>
      <c r="AX450" s="30" t="str">
        <f ca="1">IFERROR(__xludf.DUMMYFUNCTION("""COMPUTED_VALUE"""),"Encuentro cultural")</f>
        <v>Encuentro cultural</v>
      </c>
      <c r="AY450" s="30" t="str">
        <f ca="1">IFERROR(__xludf.DUMMYFUNCTION("""COMPUTED_VALUE"""),"Formación")</f>
        <v>Formación</v>
      </c>
      <c r="AZ450" s="30" t="str">
        <f ca="1">IFERROR(__xludf.DUMMYFUNCTION("""COMPUTED_VALUE"""),"Formación")</f>
        <v>Formación</v>
      </c>
      <c r="BA450" s="30"/>
      <c r="BB450" s="30">
        <f ca="1">IFERROR(__xludf.DUMMYFUNCTION("""COMPUTED_VALUE"""),5)</f>
        <v>5</v>
      </c>
      <c r="BC450" s="30">
        <f ca="1">IFERROR(__xludf.DUMMYFUNCTION("""COMPUTED_VALUE"""),31)</f>
        <v>31</v>
      </c>
      <c r="BD450" s="30"/>
      <c r="BE450" s="30"/>
      <c r="BF450" s="30" t="b">
        <f ca="1">IFERROR(__xludf.DUMMYFUNCTION("""COMPUTED_VALUE"""),FALSE)</f>
        <v>0</v>
      </c>
      <c r="BG450" s="30"/>
      <c r="BH450" s="30"/>
      <c r="BI450" s="30"/>
      <c r="BJ450" s="30"/>
      <c r="BK450" s="30"/>
      <c r="BL450" s="30"/>
      <c r="BM450" s="30" t="str">
        <f ca="1">IFERROR(__xludf.DUMMYFUNCTION("""COMPUTED_VALUE"""),"No")</f>
        <v>No</v>
      </c>
      <c r="BN450" s="30"/>
      <c r="BO450" s="30" t="str">
        <f ca="1">IFERROR(__xludf.DUMMYFUNCTION("""COMPUTED_VALUE"""),"c8770d72")</f>
        <v>c8770d72</v>
      </c>
      <c r="BP450" s="29" t="str">
        <f ca="1">IFERROR(__xludf.DUMMYFUNCTION("""COMPUTED_VALUE"""),"Silao de la Victoria")</f>
        <v>Silao de la Victoria</v>
      </c>
      <c r="BQ450" s="30" t="str">
        <f ca="1">IFERROR(__xludf.DUMMYFUNCTION("""COMPUTED_VALUE"""),"Urbano")</f>
        <v>Urbano</v>
      </c>
      <c r="BR450" s="30"/>
      <c r="BS450" s="30"/>
      <c r="BT450" s="30"/>
      <c r="BU450" s="30" t="str">
        <f ca="1">IFERROR(__xludf.DUMMYFUNCTION("""COMPUTED_VALUE"""),"No")</f>
        <v>No</v>
      </c>
      <c r="BV450" s="30" t="str">
        <f ca="1">IFERROR(__xludf.DUMMYFUNCTION("""COMPUTED_VALUE"""),"No")</f>
        <v>No</v>
      </c>
      <c r="BW450" s="30">
        <f ca="1">IFERROR(__xludf.DUMMYFUNCTION("""COMPUTED_VALUE"""),21)</f>
        <v>21</v>
      </c>
      <c r="BX450" s="30">
        <f ca="1">IFERROR(__xludf.DUMMYFUNCTION("""COMPUTED_VALUE"""),21)</f>
        <v>21</v>
      </c>
      <c r="BY450" s="30">
        <f ca="1">IFERROR(__xludf.DUMMYFUNCTION("""COMPUTED_VALUE"""),0)</f>
        <v>0</v>
      </c>
      <c r="BZ450" s="30"/>
      <c r="CA450" s="30" t="str">
        <f ca="1">IFERROR(__xludf.DUMMYFUNCTION("""COMPUTED_VALUE"""),"No")</f>
        <v>No</v>
      </c>
      <c r="CB450" s="30" t="str">
        <f ca="1">IFERROR(__xludf.DUMMYFUNCTION("""COMPUTED_VALUE"""),"No")</f>
        <v>No</v>
      </c>
      <c r="CC450" s="30" t="str">
        <f ca="1">IFERROR(__xludf.DUMMYFUNCTION("""COMPUTED_VALUE"""),"19946626")</f>
        <v>19946626</v>
      </c>
      <c r="CD450" s="29" t="str">
        <f ca="1">IFERROR(__xludf.DUMMYFUNCTION("""COMPUTED_VALUE"""),"Jóvenes (18 a 29 años)")</f>
        <v>Jóvenes (18 a 29 años)</v>
      </c>
      <c r="CE450" s="30" t="str">
        <f ca="1">IFERROR(__xludf.DUMMYFUNCTION("""COMPUTED_VALUE"""),"No se cuenta con el dato")</f>
        <v>No se cuenta con el dato</v>
      </c>
      <c r="CF450" s="30" t="str">
        <f ca="1">IFERROR(__xludf.DUMMYFUNCTION("""COMPUTED_VALUE"""),"Jóvenes en riesgo")</f>
        <v>Jóvenes en riesgo</v>
      </c>
      <c r="CG450" s="30">
        <f ca="1">IFERROR(__xludf.DUMMYFUNCTION("""COMPUTED_VALUE"""),6)</f>
        <v>6</v>
      </c>
      <c r="CJ450" s="29"/>
      <c r="CM450" s="30" t="str">
        <f ca="1">IFERROR(__xludf.DUMMYFUNCTION("""COMPUTED_VALUE"""),"Silao de la Victoria")</f>
        <v>Silao de la Victoria</v>
      </c>
      <c r="CN450" s="32" t="e">
        <f ca="1"/>
        <v>#NAME?</v>
      </c>
      <c r="CO450" s="32" t="e">
        <f ca="1"/>
        <v>#NAME?</v>
      </c>
      <c r="CP450" s="32" t="e">
        <f ca="1"/>
        <v>#NAME?</v>
      </c>
      <c r="CQ450" s="32" t="e">
        <f ca="1"/>
        <v>#NAME?</v>
      </c>
      <c r="CR450" s="30" t="e">
        <f ca="1"/>
        <v>#NAME?</v>
      </c>
      <c r="CS450"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51" spans="1:97" ht="13">
      <c r="A451" s="29" t="str">
        <f ca="1">IFERROR(__xludf.DUMMYFUNCTION("""COMPUTED_VALUE"""),"ACT-SCXY70009")</f>
        <v>ACT-SCXY70009</v>
      </c>
      <c r="B451" s="30" t="str">
        <f ca="1">IFERROR(__xludf.DUMMYFUNCTION("""COMPUTED_VALUE"""),"SC-260923-131659")</f>
        <v>SC-260923-131659</v>
      </c>
      <c r="C451" s="62">
        <f ca="1">IFERROR(__xludf.DUMMYFUNCTION("""COMPUTED_VALUE"""),46288.5534606481)</f>
        <v>46288.553460648101</v>
      </c>
      <c r="D451" s="30">
        <f ca="1">IFERROR(__xludf.DUMMYFUNCTION("""COMPUTED_VALUE"""),29)</f>
        <v>29</v>
      </c>
      <c r="E451" s="30" t="str">
        <f ca="1">IFERROR(__xludf.DUMMYFUNCTION("""COMPUTED_VALUE"""),"QC4049")</f>
        <v>QC4049</v>
      </c>
      <c r="F451" s="30" t="str">
        <f ca="1">IFERROR(__xludf.DUMMYFUNCTION("""COMPUTED_VALUE"""),"Centro de las Artes de Guanajuato, Claustro Mayor")</f>
        <v>Centro de las Artes de Guanajuato, Claustro Mayor</v>
      </c>
      <c r="G451"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51" s="30" t="str">
        <f ca="1">IFERROR(__xludf.DUMMYFUNCTION("""COMPUTED_VALUE"""),"SUBSECRETARÍA DE DESARROLLO COMUNITARIO Y PROMOCIÓN PATRIMONIAL")</f>
        <v>SUBSECRETARÍA DE DESARROLLO COMUNITARIO Y PROMOCIÓN PATRIMONIAL</v>
      </c>
      <c r="I451" s="34" t="str">
        <f ca="1">IFERROR(__xludf.DUMMYFUNCTION("""COMPUTED_VALUE"""),"DIRECCIÓN GENERAL DE FORMACIÓN E INVESTIGACIÓN")</f>
        <v>DIRECCIÓN GENERAL DE FORMACIÓN E INVESTIGACIÓN</v>
      </c>
      <c r="J451" s="30" t="str">
        <f ca="1">IFERROR(__xludf.DUMMYFUNCTION("""COMPUTED_VALUE"""),"Actividades realizadas")</f>
        <v>Actividades realizadas</v>
      </c>
      <c r="K451" s="30">
        <f ca="1">IFERROR(__xludf.DUMMYFUNCTION("""COMPUTED_VALUE"""),16)</f>
        <v>16</v>
      </c>
      <c r="L451" s="30" t="str">
        <f ca="1">IFERROR(__xludf.DUMMYFUNCTION("""COMPUTED_VALUE"""),"Cultural")</f>
        <v>Cultural</v>
      </c>
      <c r="M451" s="30" t="str">
        <f ca="1">IFERROR(__xludf.DUMMYFUNCTION("""COMPUTED_VALUE"""),"Ciclo Arte, juego y aprendizaje del Patrimonio Vivo (Memorias en juego, Cartografiando ando, libros vivos semillas de inspiración y bien vivir)")</f>
        <v>Ciclo Arte, juego y aprendizaje del Patrimonio Vivo (Memorias en juego, Cartografiando ando, libros vivos semillas de inspiración y bien vivir)</v>
      </c>
      <c r="N451" s="30" t="str">
        <f ca="1">IFERROR(__xludf.DUMMYFUNCTION("""COMPUTED_VALUE"""),"Ciclo Arte, juego y aprendizaje es un espacio lúdico de encuentro de niñas, niños y adolescentes como agentes activos donde se recupera su experiencia y se potencia su relación consigo mismos, con los otrxs y su entorno, su memoria y patrimonio a través d"&amp;"e una serie de talleres que desde diversas disciplinas artísticas detonan la creatividad, el juego, el aprendizaje, y la diversión.")</f>
        <v>Ciclo Arte, juego y aprendizaje es un espacio lúdico de encuentro de niñas, niños y adolescentes como agentes activos donde se recupera su experiencia y se potencia su relación consigo mismos, con los otrxs y su entorno, su memoria y patrimonio a través de una serie de talleres que desde diversas disciplinas artísticas detonan la creatividad, el juego, el aprendizaje, y la diversión.</v>
      </c>
      <c r="O451" s="30" t="str">
        <f ca="1">IFERROR(__xludf.DUMMYFUNCTION("""COMPUTED_VALUE"""),"Diaria")</f>
        <v>Diaria</v>
      </c>
      <c r="P451" s="33">
        <f ca="1">IFERROR(__xludf.DUMMYFUNCTION("""COMPUTED_VALUE"""),46230)</f>
        <v>46230</v>
      </c>
      <c r="Q451" s="33">
        <f ca="1">IFERROR(__xludf.DUMMYFUNCTION("""COMPUTED_VALUE"""),46235)</f>
        <v>46235</v>
      </c>
      <c r="R451" s="30">
        <f ca="1">IFERROR(__xludf.DUMMYFUNCTION("""COMPUTED_VALUE"""),5)</f>
        <v>5</v>
      </c>
      <c r="S451" s="30" t="str">
        <f ca="1">IFERROR(__xludf.DUMMYFUNCTION("""COMPUTED_VALUE"""),"Cultura comunitaria")</f>
        <v>Cultura comunitaria</v>
      </c>
      <c r="T451" s="30" t="str">
        <f ca="1">IFERROR(__xludf.DUMMYFUNCTION("""COMPUTED_VALUE"""),"Gestión cultural")</f>
        <v>Gestión cultural</v>
      </c>
      <c r="U451" s="30" t="str">
        <f ca="1">IFERROR(__xludf.DUMMYFUNCTION("""COMPUTED_VALUE"""),"Taller")</f>
        <v>Taller</v>
      </c>
      <c r="V451" s="30" t="str">
        <f ca="1">IFERROR(__xludf.DUMMYFUNCTION("""COMPUTED_VALUE"""),"Ninguna")</f>
        <v>Ninguna</v>
      </c>
      <c r="W451" s="30" t="str">
        <f ca="1">IFERROR(__xludf.DUMMYFUNCTION("""COMPUTED_VALUE"""),"Presencial")</f>
        <v>Presencial</v>
      </c>
      <c r="X451" s="30" t="str">
        <f ca="1">IFERROR(__xludf.DUMMYFUNCTION("""COMPUTED_VALUE"""),"Espacio préstamo a la Secretaría de Cultura")</f>
        <v>Espacio préstamo a la Secretaría de Cultura</v>
      </c>
      <c r="Y451" s="30"/>
      <c r="Z451" s="30"/>
      <c r="AA451" s="30"/>
      <c r="AB451" s="30" t="b">
        <f ca="1">IFERROR(__xludf.DUMMYFUNCTION("""COMPUTED_VALUE"""),FALSE)</f>
        <v>0</v>
      </c>
      <c r="AC451" s="30"/>
      <c r="AD451" s="30" t="b">
        <f ca="1">IFERROR(__xludf.DUMMYFUNCTION("""COMPUTED_VALUE"""),TRUE)</f>
        <v>1</v>
      </c>
      <c r="AE451" s="30">
        <f ca="1">IFERROR(__xludf.DUMMYFUNCTION("""COMPUTED_VALUE"""),1)</f>
        <v>1</v>
      </c>
      <c r="AF451" s="30" t="b">
        <f ca="1">IFERROR(__xludf.DUMMYFUNCTION("""COMPUTED_VALUE"""),FALSE)</f>
        <v>0</v>
      </c>
      <c r="AG451" s="30"/>
      <c r="AH451" s="30" t="str">
        <f ca="1">IFERROR(__xludf.DUMMYFUNCTION("""COMPUTED_VALUE"""),"Sin costo")</f>
        <v>Sin costo</v>
      </c>
      <c r="AI451" s="30"/>
      <c r="AJ451" s="30"/>
      <c r="AK451" s="30"/>
      <c r="AL451" s="30" t="str">
        <f ca="1">IFERROR(__xludf.DUMMYFUNCTION("""COMPUTED_VALUE"""),"claudia.ramirezm@guanajuato.gob.mx")</f>
        <v>claudia.ramirezm@guanajuato.gob.mx</v>
      </c>
      <c r="AM451" s="30" t="str">
        <f ca="1">IFERROR(__xludf.DUMMYFUNCTION("""COMPUTED_VALUE"""),"Actividades artísticas y culturales en zonas de alta marginación.")</f>
        <v>Actividades artísticas y culturales en zonas de alta marginación.</v>
      </c>
      <c r="AN451" s="30" t="str">
        <f ca="1">IFERROR(__xludf.DUMMYFUNCTION("""COMPUTED_VALUE"""),"1 Tranquilidad")</f>
        <v>1 Tranquilidad</v>
      </c>
      <c r="AO451" s="30" t="str">
        <f ca="1">IFERROR(__xludf.DUMMYFUNCTION("""COMPUTED_VALUE"""),"1.2 Fortalecer prevención del delito")</f>
        <v>1.2 Fortalecer prevención del delito</v>
      </c>
      <c r="AP451" s="30" t="str">
        <f ca="1">IFERROR(__xludf.DUMMYFUNCTION("""COMPUTED_VALUE"""),"1.2.2 Fortalecimiento del tejido social")</f>
        <v>1.2.2 Fortalecimiento del tejido social</v>
      </c>
      <c r="AQ451" s="30" t="str">
        <f ca="1">IFERROR(__xludf.DUMMYFUNCTION("""COMPUTED_VALUE"""),"1.2.3.4 Promover una cultura de paz desde las expresiones artísticas y culturales")</f>
        <v>1.2.3.4 Promover una cultura de paz desde las expresiones artísticas y culturales</v>
      </c>
      <c r="AR451" s="30" t="str">
        <f ca="1">IFERROR(__xludf.DUMMYFUNCTION("""COMPUTED_VALUE"""),"Inclusión")</f>
        <v>Inclusión</v>
      </c>
      <c r="AS451" s="30" t="str">
        <f ca="1">IFERROR(__xludf.DUMMYFUNCTION("""COMPUTED_VALUE"""),"Ninguno (Población General)")</f>
        <v>Ninguno (Población General)</v>
      </c>
      <c r="AT451" s="30" t="str">
        <f ca="1">IFERROR(__xludf.DUMMYFUNCTION("""COMPUTED_VALUE"""),"Impulso a la educación artística y a la profesionalización del sector cultural")</f>
        <v>Impulso a la educación artística y a la profesionalización del sector cultural</v>
      </c>
      <c r="AU451" s="30" t="str">
        <f ca="1">IFERROR(__xludf.DUMMYFUNCTION("""COMPUTED_VALUE"""),"Impulso a programas de formación y profesionalización para agentes culturales.")</f>
        <v>Impulso a programas de formación y profesionalización para agentes culturales.</v>
      </c>
      <c r="AV451"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51" s="30" t="str">
        <f ca="1">IFERROR(__xludf.DUMMYFUNCTION("""COMPUTED_VALUE"""),"Incrementar un 30% la oferta de formación y profesionalización para agentes culturales.")</f>
        <v>Incrementar un 30% la oferta de formación y profesionalización para agentes culturales.</v>
      </c>
      <c r="AX451" s="30" t="str">
        <f ca="1">IFERROR(__xludf.DUMMYFUNCTION("""COMPUTED_VALUE"""),"Taller")</f>
        <v>Taller</v>
      </c>
      <c r="AY451" s="30" t="str">
        <f ca="1">IFERROR(__xludf.DUMMYFUNCTION("""COMPUTED_VALUE"""),"Formación")</f>
        <v>Formación</v>
      </c>
      <c r="AZ451" s="30" t="str">
        <f ca="1">IFERROR(__xludf.DUMMYFUNCTION("""COMPUTED_VALUE"""),"Formación")</f>
        <v>Formación</v>
      </c>
      <c r="BA451" s="30" t="str">
        <f ca="1">IFERROR(__xludf.DUMMYFUNCTION("""COMPUTED_VALUE"""),"Ciclo Arte, juego y aprendizaje es un espacio lúdico de encuentro de niñas, niños y adolescentes como agentes activos donde se recupera su experiencia y se potencia su relación consigo mismos, con los otrxs y su entorno, su memoria y patrimonio a través d"&amp;"e una serie de talleres que desde diversas disciplinas artísticas detonan la creatividad, el juego, el aprendizaje, y la diversión.")</f>
        <v>Ciclo Arte, juego y aprendizaje es un espacio lúdico de encuentro de niñas, niños y adolescentes como agentes activos donde se recupera su experiencia y se potencia su relación consigo mismos, con los otrxs y su entorno, su memoria y patrimonio a través de una serie de talleres que desde diversas disciplinas artísticas detonan la creatividad, el juego, el aprendizaje, y la diversión.</v>
      </c>
      <c r="BB451" s="30">
        <f ca="1">IFERROR(__xludf.DUMMYFUNCTION("""COMPUTED_VALUE"""),5)</f>
        <v>5</v>
      </c>
      <c r="BC451" s="30">
        <f ca="1">IFERROR(__xludf.DUMMYFUNCTION("""COMPUTED_VALUE"""),1)</f>
        <v>1</v>
      </c>
      <c r="BD451" s="30" t="str">
        <f ca="1">IFERROR(__xludf.DUMMYFUNCTION("""COMPUTED_VALUE"""),"Apoyado con anterioridad")</f>
        <v>Apoyado con anterioridad</v>
      </c>
      <c r="BE451" s="30" t="str">
        <f ca="1">IFERROR(__xludf.DUMMYFUNCTION("""COMPUTED_VALUE"""),"Sandra Samara Pérez Gutiérrez")</f>
        <v>Sandra Samara Pérez Gutiérrez</v>
      </c>
      <c r="BF451" s="30" t="b">
        <f ca="1">IFERROR(__xludf.DUMMYFUNCTION("""COMPUTED_VALUE"""),TRUE)</f>
        <v>1</v>
      </c>
      <c r="BG451" s="30" t="str">
        <f ca="1">IFERROR(__xludf.DUMMYFUNCTION("""COMPUTED_VALUE"""),"Económico")</f>
        <v>Económico</v>
      </c>
      <c r="BH451" s="30">
        <f ca="1">IFERROR(__xludf.DUMMYFUNCTION("""COMPUTED_VALUE"""),15000)</f>
        <v>15000</v>
      </c>
      <c r="BI451" s="30"/>
      <c r="BJ451" s="30"/>
      <c r="BK451" s="30"/>
      <c r="BL451" s="30"/>
      <c r="BM451" s="30" t="str">
        <f ca="1">IFERROR(__xludf.DUMMYFUNCTION("""COMPUTED_VALUE"""),"No")</f>
        <v>No</v>
      </c>
      <c r="BN451" s="30"/>
      <c r="BO451" s="30" t="str">
        <f ca="1">IFERROR(__xludf.DUMMYFUNCTION("""COMPUTED_VALUE"""),"958f902c")</f>
        <v>958f902c</v>
      </c>
      <c r="BP451" s="29" t="str">
        <f ca="1">IFERROR(__xludf.DUMMYFUNCTION("""COMPUTED_VALUE"""),"Salamanca")</f>
        <v>Salamanca</v>
      </c>
      <c r="BQ451" s="30" t="str">
        <f ca="1">IFERROR(__xludf.DUMMYFUNCTION("""COMPUTED_VALUE"""),"Urbano")</f>
        <v>Urbano</v>
      </c>
      <c r="BR451" s="30">
        <f ca="1">IFERROR(__xludf.DUMMYFUNCTION("""COMPUTED_VALUE"""),181)</f>
        <v>181</v>
      </c>
      <c r="BS451" s="30" t="str">
        <f ca="1">IFERROR(__xludf.DUMMYFUNCTION("""COMPUTED_VALUE"""),"Salamanca")</f>
        <v>Salamanca</v>
      </c>
      <c r="BT451" s="30"/>
      <c r="BU451" s="30" t="str">
        <f ca="1">IFERROR(__xludf.DUMMYFUNCTION("""COMPUTED_VALUE"""),"Si")</f>
        <v>Si</v>
      </c>
      <c r="BV451" s="30" t="str">
        <f ca="1">IFERROR(__xludf.DUMMYFUNCTION("""COMPUTED_VALUE"""),"Si")</f>
        <v>Si</v>
      </c>
      <c r="BW451" s="30">
        <f ca="1">IFERROR(__xludf.DUMMYFUNCTION("""COMPUTED_VALUE"""),1338)</f>
        <v>1338</v>
      </c>
      <c r="BX451" s="30"/>
      <c r="BY451" s="30">
        <f ca="1">IFERROR(__xludf.DUMMYFUNCTION("""COMPUTED_VALUE"""),1338)</f>
        <v>1338</v>
      </c>
      <c r="BZ451" s="30" t="str">
        <f ca="1">IFERROR(__xludf.DUMMYFUNCTION("""COMPUTED_VALUE"""),"Salamanca")</f>
        <v>Salamanca</v>
      </c>
      <c r="CA451" s="30" t="str">
        <f ca="1">IFERROR(__xludf.DUMMYFUNCTION("""COMPUTED_VALUE"""),"No")</f>
        <v>No</v>
      </c>
      <c r="CB451" s="30" t="str">
        <f ca="1">IFERROR(__xludf.DUMMYFUNCTION("""COMPUTED_VALUE"""),"No")</f>
        <v>No</v>
      </c>
      <c r="CC451" s="30" t="str">
        <f ca="1">IFERROR(__xludf.DUMMYFUNCTION("""COMPUTED_VALUE"""),"ba85e246")</f>
        <v>ba85e246</v>
      </c>
      <c r="CD451" s="29" t="str">
        <f ca="1">IFERROR(__xludf.DUMMYFUNCTION("""COMPUTED_VALUE"""),"Adultos (30 a 59 años)")</f>
        <v>Adultos (30 a 59 años)</v>
      </c>
      <c r="CE451" s="30" t="str">
        <f ca="1">IFERROR(__xludf.DUMMYFUNCTION("""COMPUTED_VALUE"""),"No se cuenta con el dato")</f>
        <v>No se cuenta con el dato</v>
      </c>
      <c r="CF451" s="30" t="str">
        <f ca="1">IFERROR(__xludf.DUMMYFUNCTION("""COMPUTED_VALUE"""),"Jóvenes en riesgo")</f>
        <v>Jóvenes en riesgo</v>
      </c>
      <c r="CG451" s="30">
        <f ca="1">IFERROR(__xludf.DUMMYFUNCTION("""COMPUTED_VALUE"""),5)</f>
        <v>5</v>
      </c>
      <c r="CJ451" s="29"/>
      <c r="CM451" s="30" t="str">
        <f ca="1">IFERROR(__xludf.DUMMYFUNCTION("""COMPUTED_VALUE"""),"Silao de la Victoria")</f>
        <v>Silao de la Victoria</v>
      </c>
      <c r="CN451" s="32" t="e">
        <f ca="1"/>
        <v>#NAME?</v>
      </c>
      <c r="CO451" s="32" t="e">
        <f ca="1"/>
        <v>#NAME?</v>
      </c>
      <c r="CP451" s="32" t="e">
        <f ca="1"/>
        <v>#NAME?</v>
      </c>
      <c r="CQ451" s="32" t="e">
        <f ca="1"/>
        <v>#NAME?</v>
      </c>
      <c r="CR451" s="30" t="e">
        <f ca="1"/>
        <v>#NAME?</v>
      </c>
      <c r="CS451"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52" spans="1:97" ht="13">
      <c r="A452" s="29" t="str">
        <f ca="1">IFERROR(__xludf.DUMMYFUNCTION("""COMPUTED_VALUE"""),"ACT-SCSA27668")</f>
        <v>ACT-SCSA27668</v>
      </c>
      <c r="B452" s="30" t="str">
        <f ca="1">IFERROR(__xludf.DUMMYFUNCTION("""COMPUTED_VALUE"""),"SC-260923-133733")</f>
        <v>SC-260923-133733</v>
      </c>
      <c r="C452" s="62">
        <f ca="1">IFERROR(__xludf.DUMMYFUNCTION("""COMPUTED_VALUE"""),46288.5677430555)</f>
        <v>46288.567743055501</v>
      </c>
      <c r="D452" s="30">
        <f ca="1">IFERROR(__xludf.DUMMYFUNCTION("""COMPUTED_VALUE"""),1)</f>
        <v>1</v>
      </c>
      <c r="E452" s="30" t="str">
        <f ca="1">IFERROR(__xludf.DUMMYFUNCTION("""COMPUTED_VALUE"""),"QC4102")</f>
        <v>QC4102</v>
      </c>
      <c r="F452" s="30" t="str">
        <f ca="1">IFERROR(__xludf.DUMMYFUNCTION("""COMPUTED_VALUE"""),"Fondo Estatal para la Cultura y las Artes")</f>
        <v>Fondo Estatal para la Cultura y las Artes</v>
      </c>
      <c r="G452" s="30" t="str">
        <f ca="1">IFERROR(__xludf.DUMMYFUNCTION("""COMPUTED_VALUE"""),"Capacitación teórico-práctica a personas creadoras, gestoras, promotoras y productoras culturales a través de talleres para fortalecer sus capacidades en la formulación, planeación y evaluación de proyectos culturales y artísticos.")</f>
        <v>Capacitación teórico-práctica a personas creadoras, gestoras, promotoras y productoras culturales a través de talleres para fortalecer sus capacidades en la formulación, planeación y evaluación de proyectos culturales y artísticos.</v>
      </c>
      <c r="H452" s="30" t="str">
        <f ca="1">IFERROR(__xludf.DUMMYFUNCTION("""COMPUTED_VALUE"""),"SUBSECRETARÍA DE DESARROLLO Y PROMOCIÓN ARTÍSTICA Y CULTURAL")</f>
        <v>SUBSECRETARÍA DE DESARROLLO Y PROMOCIÓN ARTÍSTICA Y CULTURAL</v>
      </c>
      <c r="I452" s="34" t="str">
        <f ca="1">IFERROR(__xludf.DUMMYFUNCTION("""COMPUTED_VALUE"""),"SIN ASIGNAR")</f>
        <v>SIN ASIGNAR</v>
      </c>
      <c r="J452" s="30" t="str">
        <f ca="1">IFERROR(__xludf.DUMMYFUNCTION("""COMPUTED_VALUE"""),"Talleres realizados")</f>
        <v>Talleres realizados</v>
      </c>
      <c r="K452" s="30">
        <f ca="1">IFERROR(__xludf.DUMMYFUNCTION("""COMPUTED_VALUE"""),20)</f>
        <v>20</v>
      </c>
      <c r="L452" s="30" t="str">
        <f ca="1">IFERROR(__xludf.DUMMYFUNCTION("""COMPUTED_VALUE"""),"Artística")</f>
        <v>Artística</v>
      </c>
      <c r="M452" s="30" t="str">
        <f ca="1">IFERROR(__xludf.DUMMYFUNCTION("""COMPUTED_VALUE"""),"Taller El cerebro positrónico de Asimov, ciencia ficción para infancias y adolescencias")</f>
        <v>Taller El cerebro positrónico de Asimov, ciencia ficción para infancias y adolescencias</v>
      </c>
      <c r="N452" s="30" t="str">
        <f ca="1">IFERROR(__xludf.DUMMYFUNCTION("""COMPUTED_VALUE"""),"Este taller busca un acercamiento al arte y los procesos creativos para niñas, niños y adolescentes a través de la ilustración")</f>
        <v>Este taller busca un acercamiento al arte y los procesos creativos para niñas, niños y adolescentes a través de la ilustración</v>
      </c>
      <c r="O452" s="30" t="str">
        <f ca="1">IFERROR(__xludf.DUMMYFUNCTION("""COMPUTED_VALUE"""),"Diaria")</f>
        <v>Diaria</v>
      </c>
      <c r="P452" s="33">
        <f ca="1">IFERROR(__xludf.DUMMYFUNCTION("""COMPUTED_VALUE"""),46178)</f>
        <v>46178</v>
      </c>
      <c r="Q452" s="33">
        <f ca="1">IFERROR(__xludf.DUMMYFUNCTION("""COMPUTED_VALUE"""),46197)</f>
        <v>46197</v>
      </c>
      <c r="R452" s="30">
        <f ca="1">IFERROR(__xludf.DUMMYFUNCTION("""COMPUTED_VALUE"""),20)</f>
        <v>20</v>
      </c>
      <c r="S452" s="30" t="str">
        <f ca="1">IFERROR(__xludf.DUMMYFUNCTION("""COMPUTED_VALUE"""),"Artes visuales")</f>
        <v>Artes visuales</v>
      </c>
      <c r="T452" s="30" t="str">
        <f ca="1">IFERROR(__xludf.DUMMYFUNCTION("""COMPUTED_VALUE"""),"Arte urbano")</f>
        <v>Arte urbano</v>
      </c>
      <c r="U452" s="30" t="str">
        <f ca="1">IFERROR(__xludf.DUMMYFUNCTION("""COMPUTED_VALUE"""),"Taller")</f>
        <v>Taller</v>
      </c>
      <c r="V452" s="30" t="str">
        <f ca="1">IFERROR(__xludf.DUMMYFUNCTION("""COMPUTED_VALUE"""),"Ninguna")</f>
        <v>Ninguna</v>
      </c>
      <c r="W452" s="30" t="str">
        <f ca="1">IFERROR(__xludf.DUMMYFUNCTION("""COMPUTED_VALUE"""),"Presencial")</f>
        <v>Presencial</v>
      </c>
      <c r="X452" s="30" t="str">
        <f ca="1">IFERROR(__xludf.DUMMYFUNCTION("""COMPUTED_VALUE"""),"Espacio Público")</f>
        <v>Espacio Público</v>
      </c>
      <c r="Y452" s="30"/>
      <c r="Z452" s="30" t="str">
        <f ca="1">IFERROR(__xludf.DUMMYFUNCTION("""COMPUTED_VALUE"""),"Biblioteca pública municipal Francisco Orozco Muñoz")</f>
        <v>Biblioteca pública municipal Francisco Orozco Muñoz</v>
      </c>
      <c r="AA452" s="30"/>
      <c r="AB452" s="30" t="b">
        <f ca="1">IFERROR(__xludf.DUMMYFUNCTION("""COMPUTED_VALUE"""),FALSE)</f>
        <v>0</v>
      </c>
      <c r="AC452" s="30"/>
      <c r="AD452" s="30" t="b">
        <f ca="1">IFERROR(__xludf.DUMMYFUNCTION("""COMPUTED_VALUE"""),FALSE)</f>
        <v>0</v>
      </c>
      <c r="AE452" s="30"/>
      <c r="AF452" s="30" t="b">
        <f ca="1">IFERROR(__xludf.DUMMYFUNCTION("""COMPUTED_VALUE"""),FALSE)</f>
        <v>0</v>
      </c>
      <c r="AG452" s="30"/>
      <c r="AH452" s="30" t="str">
        <f ca="1">IFERROR(__xludf.DUMMYFUNCTION("""COMPUTED_VALUE"""),"Sin costo")</f>
        <v>Sin costo</v>
      </c>
      <c r="AI452" s="30"/>
      <c r="AJ452" s="30"/>
      <c r="AK452" s="30"/>
      <c r="AL452" s="30" t="str">
        <f ca="1">IFERROR(__xludf.DUMMYFUNCTION("""COMPUTED_VALUE"""),"claudia.ramirezm@guanajuato.gob.mx")</f>
        <v>claudia.ramirezm@guanajuato.gob.mx</v>
      </c>
      <c r="AM452" s="30" t="str">
        <f ca="1">IFERROR(__xludf.DUMMYFUNCTION("""COMPUTED_VALUE"""),"Mayor inversión en conservación del patrimonio artístico y cultural.")</f>
        <v>Mayor inversión en conservación del patrimonio artístico y cultural.</v>
      </c>
      <c r="AN452" s="30" t="str">
        <f ca="1">IFERROR(__xludf.DUMMYFUNCTION("""COMPUTED_VALUE"""),"2 Igualdad")</f>
        <v>2 Igualdad</v>
      </c>
      <c r="AO452" s="30" t="str">
        <f ca="1">IFERROR(__xludf.DUMMYFUNCTION("""COMPUTED_VALUE"""),"2.2 Fortalecer cohesión social")</f>
        <v>2.2 Fortalecer cohesión social</v>
      </c>
      <c r="AP452" s="30" t="str">
        <f ca="1">IFERROR(__xludf.DUMMYFUNCTION("""COMPUTED_VALUE"""),"2.2 Fortalecer cohesión social")</f>
        <v>2.2 Fortalecer cohesión social</v>
      </c>
      <c r="AQ452" s="30" t="str">
        <f ca="1">IFERROR(__xludf.DUMMYFUNCTION("""COMPUTED_VALUE"""),"2.2.3.2 Promover la participación de grupos prioritarios en actividades culturales")</f>
        <v>2.2.3.2 Promover la participación de grupos prioritarios en actividades culturales</v>
      </c>
      <c r="AR452" s="30" t="str">
        <f ca="1">IFERROR(__xludf.DUMMYFUNCTION("""COMPUTED_VALUE"""),"Inclusión")</f>
        <v>Inclusión</v>
      </c>
      <c r="AS452" s="30" t="str">
        <f ca="1">IFERROR(__xludf.DUMMYFUNCTION("""COMPUTED_VALUE"""),"NNA (Niñas, Niños y Adolescentes)")</f>
        <v>NNA (Niñas, Niños y Adolescentes)</v>
      </c>
      <c r="AT452" s="30" t="str">
        <f ca="1">IFERROR(__xludf.DUMMYFUNCTION("""COMPUTED_VALUE"""),"Impulso a la educación artística y a la profesionalización del sector cultural")</f>
        <v>Impulso a la educación artística y a la profesionalización del sector cultural</v>
      </c>
      <c r="AU452" s="30" t="str">
        <f ca="1">IFERROR(__xludf.DUMMYFUNCTION("""COMPUTED_VALUE"""),"Impulso a programas de formación y profesionalización para agentes culturales.")</f>
        <v>Impulso a programas de formación y profesionalización para agentes culturales.</v>
      </c>
      <c r="AV452"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52" s="30" t="str">
        <f ca="1">IFERROR(__xludf.DUMMYFUNCTION("""COMPUTED_VALUE"""),"Incrementar un 30% la oferta de formación y profesionalización para agentes culturales.")</f>
        <v>Incrementar un 30% la oferta de formación y profesionalización para agentes culturales.</v>
      </c>
      <c r="AX452" s="30" t="str">
        <f ca="1">IFERROR(__xludf.DUMMYFUNCTION("""COMPUTED_VALUE"""),"Taller")</f>
        <v>Taller</v>
      </c>
      <c r="AY452" s="30" t="str">
        <f ca="1">IFERROR(__xludf.DUMMYFUNCTION("""COMPUTED_VALUE"""),"Formación")</f>
        <v>Formación</v>
      </c>
      <c r="AZ452" s="30" t="str">
        <f ca="1">IFERROR(__xludf.DUMMYFUNCTION("""COMPUTED_VALUE"""),"Formación")</f>
        <v>Formación</v>
      </c>
      <c r="BA452" s="30"/>
      <c r="BB452" s="30">
        <f ca="1">IFERROR(__xludf.DUMMYFUNCTION("""COMPUTED_VALUE"""),6)</f>
        <v>6</v>
      </c>
      <c r="BC452" s="30">
        <f ca="1">IFERROR(__xludf.DUMMYFUNCTION("""COMPUTED_VALUE"""),1)</f>
        <v>1</v>
      </c>
      <c r="BD452" s="30" t="str">
        <f ca="1">IFERROR(__xludf.DUMMYFUNCTION("""COMPUTED_VALUE"""),"Nuevo")</f>
        <v>Nuevo</v>
      </c>
      <c r="BE452" s="30" t="str">
        <f ca="1">IFERROR(__xludf.DUMMYFUNCTION("""COMPUTED_VALUE"""),"Gerardo García Barrera")</f>
        <v>Gerardo García Barrera</v>
      </c>
      <c r="BF452" s="30" t="b">
        <f ca="1">IFERROR(__xludf.DUMMYFUNCTION("""COMPUTED_VALUE"""),FALSE)</f>
        <v>0</v>
      </c>
      <c r="BG452" s="30"/>
      <c r="BH452" s="30"/>
      <c r="BI452" s="30"/>
      <c r="BJ452" s="30"/>
      <c r="BK452" s="30"/>
      <c r="BL452" s="30"/>
      <c r="BM452" s="30" t="str">
        <f ca="1">IFERROR(__xludf.DUMMYFUNCTION("""COMPUTED_VALUE"""),"No")</f>
        <v>No</v>
      </c>
      <c r="BN452" s="30"/>
      <c r="BO452" s="30" t="str">
        <f ca="1">IFERROR(__xludf.DUMMYFUNCTION("""COMPUTED_VALUE"""),"fd59fbbc")</f>
        <v>fd59fbbc</v>
      </c>
      <c r="BP452" s="29" t="str">
        <f ca="1">IFERROR(__xludf.DUMMYFUNCTION("""COMPUTED_VALUE"""),"Salamanca")</f>
        <v>Salamanca</v>
      </c>
      <c r="BQ452" s="30" t="str">
        <f ca="1">IFERROR(__xludf.DUMMYFUNCTION("""COMPUTED_VALUE"""),"Urbano")</f>
        <v>Urbano</v>
      </c>
      <c r="BR452" s="30">
        <f ca="1">IFERROR(__xludf.DUMMYFUNCTION("""COMPUTED_VALUE"""),181)</f>
        <v>181</v>
      </c>
      <c r="BS452" s="30" t="str">
        <f ca="1">IFERROR(__xludf.DUMMYFUNCTION("""COMPUTED_VALUE"""),"Salamanca")</f>
        <v>Salamanca</v>
      </c>
      <c r="BT452" s="30"/>
      <c r="BU452" s="30" t="str">
        <f ca="1">IFERROR(__xludf.DUMMYFUNCTION("""COMPUTED_VALUE"""),"Si")</f>
        <v>Si</v>
      </c>
      <c r="BV452" s="30" t="str">
        <f ca="1">IFERROR(__xludf.DUMMYFUNCTION("""COMPUTED_VALUE"""),"Si")</f>
        <v>Si</v>
      </c>
      <c r="BW452" s="30">
        <f ca="1">IFERROR(__xludf.DUMMYFUNCTION("""COMPUTED_VALUE"""),445)</f>
        <v>445</v>
      </c>
      <c r="BX452" s="30"/>
      <c r="BY452" s="30">
        <f ca="1">IFERROR(__xludf.DUMMYFUNCTION("""COMPUTED_VALUE"""),445)</f>
        <v>445</v>
      </c>
      <c r="BZ452" s="30" t="str">
        <f ca="1">IFERROR(__xludf.DUMMYFUNCTION("""COMPUTED_VALUE"""),"Salamanca")</f>
        <v>Salamanca</v>
      </c>
      <c r="CA452" s="30" t="str">
        <f ca="1">IFERROR(__xludf.DUMMYFUNCTION("""COMPUTED_VALUE"""),"No")</f>
        <v>No</v>
      </c>
      <c r="CB452" s="30" t="str">
        <f ca="1">IFERROR(__xludf.DUMMYFUNCTION("""COMPUTED_VALUE"""),"No")</f>
        <v>No</v>
      </c>
      <c r="CC452" s="30" t="str">
        <f ca="1">IFERROR(__xludf.DUMMYFUNCTION("""COMPUTED_VALUE"""),"8819c1ef")</f>
        <v>8819c1ef</v>
      </c>
      <c r="CD452" s="29" t="str">
        <f ca="1">IFERROR(__xludf.DUMMYFUNCTION("""COMPUTED_VALUE"""),"Niñas y Niños (6 a 12 años)")</f>
        <v>Niñas y Niños (6 a 12 años)</v>
      </c>
      <c r="CE452" s="30" t="str">
        <f ca="1">IFERROR(__xludf.DUMMYFUNCTION("""COMPUTED_VALUE"""),"No se cuenta con el dato")</f>
        <v>No se cuenta con el dato</v>
      </c>
      <c r="CF452" s="30" t="str">
        <f ca="1">IFERROR(__xludf.DUMMYFUNCTION("""COMPUTED_VALUE"""),"Personas Migrantes")</f>
        <v>Personas Migrantes</v>
      </c>
      <c r="CG452" s="30">
        <f ca="1">IFERROR(__xludf.DUMMYFUNCTION("""COMPUTED_VALUE"""),2)</f>
        <v>2</v>
      </c>
      <c r="CJ452" s="29"/>
      <c r="CM452" s="30" t="str">
        <f ca="1">IFERROR(__xludf.DUMMYFUNCTION("""COMPUTED_VALUE"""),"Salamanca")</f>
        <v>Salamanca</v>
      </c>
      <c r="CN452" s="32" t="e">
        <f ca="1"/>
        <v>#NAME?</v>
      </c>
      <c r="CO452" s="32" t="e">
        <f ca="1"/>
        <v>#NAME?</v>
      </c>
      <c r="CP452" s="32" t="e">
        <f ca="1"/>
        <v>#NAME?</v>
      </c>
      <c r="CQ452" s="32" t="e">
        <f ca="1"/>
        <v>#NAME?</v>
      </c>
      <c r="CR452" s="30" t="e">
        <f ca="1"/>
        <v>#NAME?</v>
      </c>
      <c r="CS452" s="30" t="str">
        <f ca="1">IFERROR(__xludf.DUMMYFUNCTION("""COMPUTED_VALUE"""),"Ninguno (Población General)")</f>
        <v>Ninguno (Población General)</v>
      </c>
    </row>
    <row r="453" spans="1:97" ht="13">
      <c r="A453" s="29" t="str">
        <f ca="1">IFERROR(__xludf.DUMMYFUNCTION("""COMPUTED_VALUE"""),"ACT-SCSL85903")</f>
        <v>ACT-SCSL85903</v>
      </c>
      <c r="B453" s="30" t="str">
        <f ca="1">IFERROR(__xludf.DUMMYFUNCTION("""COMPUTED_VALUE"""),"SC-260923-114444")</f>
        <v>SC-260923-114444</v>
      </c>
      <c r="C453" s="62">
        <f ca="1">IFERROR(__xludf.DUMMYFUNCTION("""COMPUTED_VALUE"""),46288.4893981481)</f>
        <v>46288.4893981481</v>
      </c>
      <c r="D453" s="30">
        <f ca="1">IFERROR(__xludf.DUMMYFUNCTION("""COMPUTED_VALUE"""),92)</f>
        <v>92</v>
      </c>
      <c r="E453" s="30" t="str">
        <f ca="1">IFERROR(__xludf.DUMMYFUNCTION("""COMPUTED_VALUE"""),"PB3572")</f>
        <v>PB3572</v>
      </c>
      <c r="F45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5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53" s="30" t="str">
        <f ca="1">IFERROR(__xludf.DUMMYFUNCTION("""COMPUTED_VALUE"""),"SUBSECRETARÍA DE DESARROLLO Y PROMOCIÓN ARTÍSTICA Y CULTURAL")</f>
        <v>SUBSECRETARÍA DE DESARROLLO Y PROMOCIÓN ARTÍSTICA Y CULTURAL</v>
      </c>
      <c r="I453" s="34" t="str">
        <f ca="1">IFERROR(__xludf.DUMMYFUNCTION("""COMPUTED_VALUE"""),"DIRECCIÓN GENERAL DE MUSEOS, ARTES VISUALES Y EXPOSICIONES")</f>
        <v>DIRECCIÓN GENERAL DE MUSEOS, ARTES VISUALES Y EXPOSICIONES</v>
      </c>
      <c r="J453" s="30" t="str">
        <f ca="1">IFERROR(__xludf.DUMMYFUNCTION("""COMPUTED_VALUE"""),"Número de Actividades realizadas")</f>
        <v>Número de Actividades realizadas</v>
      </c>
      <c r="K453" s="30">
        <f ca="1">IFERROR(__xludf.DUMMYFUNCTION("""COMPUTED_VALUE"""),800)</f>
        <v>800</v>
      </c>
      <c r="L453" s="30" t="str">
        <f ca="1">IFERROR(__xludf.DUMMYFUNCTION("""COMPUTED_VALUE"""),"Cultural")</f>
        <v>Cultural</v>
      </c>
      <c r="M453" s="30" t="str">
        <f ca="1">IFERROR(__xludf.DUMMYFUNCTION("""COMPUTED_VALUE"""),"Visita Libre")</f>
        <v>Visita Libre</v>
      </c>
      <c r="N453" s="30" t="str">
        <f ca="1">IFERROR(__xludf.DUMMYFUNCTION("""COMPUTED_VALUE"""),"Recorrido guiado por el museo")</f>
        <v>Recorrido guiado por el museo</v>
      </c>
      <c r="O453" s="30" t="str">
        <f ca="1">IFERROR(__xludf.DUMMYFUNCTION("""COMPUTED_VALUE"""),"Única")</f>
        <v>Única</v>
      </c>
      <c r="P453" s="33">
        <f ca="1">IFERROR(__xludf.DUMMYFUNCTION("""COMPUTED_VALUE"""),46259)</f>
        <v>46259</v>
      </c>
      <c r="Q453" s="33">
        <f ca="1">IFERROR(__xludf.DUMMYFUNCTION("""COMPUTED_VALUE"""),46259)</f>
        <v>46259</v>
      </c>
      <c r="R453" s="30">
        <f ca="1">IFERROR(__xludf.DUMMYFUNCTION("""COMPUTED_VALUE"""),1)</f>
        <v>1</v>
      </c>
      <c r="S453" s="30" t="str">
        <f ca="1">IFERROR(__xludf.DUMMYFUNCTION("""COMPUTED_VALUE"""),"Cultura comunitaria")</f>
        <v>Cultura comunitaria</v>
      </c>
      <c r="T453" s="30" t="str">
        <f ca="1">IFERROR(__xludf.DUMMYFUNCTION("""COMPUTED_VALUE"""),"Formación comunitaria")</f>
        <v>Formación comunitaria</v>
      </c>
      <c r="U453" s="30" t="str">
        <f ca="1">IFERROR(__xludf.DUMMYFUNCTION("""COMPUTED_VALUE"""),"Visitas guiadas")</f>
        <v>Visitas guiadas</v>
      </c>
      <c r="V453" s="30" t="str">
        <f ca="1">IFERROR(__xludf.DUMMYFUNCTION("""COMPUTED_VALUE"""),"Ninguna")</f>
        <v>Ninguna</v>
      </c>
      <c r="W453" s="30" t="str">
        <f ca="1">IFERROR(__xludf.DUMMYFUNCTION("""COMPUTED_VALUE"""),"Presencial")</f>
        <v>Presencial</v>
      </c>
      <c r="X453" s="30" t="str">
        <f ca="1">IFERROR(__xludf.DUMMYFUNCTION("""COMPUTED_VALUE"""),"Espacio a Cargo de la Secretaría")</f>
        <v>Espacio a Cargo de la Secretaría</v>
      </c>
      <c r="Y453" s="30" t="str">
        <f ca="1">IFERROR(__xludf.DUMMYFUNCTION("""COMPUTED_VALUE"""),"Museo José y Tomas Chavez Morado")</f>
        <v>Museo José y Tomas Chavez Morado</v>
      </c>
      <c r="Z453" s="30"/>
      <c r="AA453" s="30"/>
      <c r="AB453" s="30" t="b">
        <f ca="1">IFERROR(__xludf.DUMMYFUNCTION("""COMPUTED_VALUE"""),FALSE)</f>
        <v>0</v>
      </c>
      <c r="AC453" s="30"/>
      <c r="AD453" s="30" t="b">
        <f ca="1">IFERROR(__xludf.DUMMYFUNCTION("""COMPUTED_VALUE"""),FALSE)</f>
        <v>0</v>
      </c>
      <c r="AE453" s="30"/>
      <c r="AF453" s="30" t="b">
        <f ca="1">IFERROR(__xludf.DUMMYFUNCTION("""COMPUTED_VALUE"""),FALSE)</f>
        <v>0</v>
      </c>
      <c r="AG453" s="30"/>
      <c r="AH453" s="30" t="str">
        <f ca="1">IFERROR(__xludf.DUMMYFUNCTION("""COMPUTED_VALUE"""),"Sin costo")</f>
        <v>Sin costo</v>
      </c>
      <c r="AI453" s="30"/>
      <c r="AJ453" s="30"/>
      <c r="AK453" s="30"/>
      <c r="AL453" s="30" t="str">
        <f ca="1">IFERROR(__xludf.DUMMYFUNCTION("""COMPUTED_VALUE"""),"ccardonav@guanajuato.gob.mx")</f>
        <v>ccardonav@guanajuato.gob.mx</v>
      </c>
      <c r="AM453" s="30" t="str">
        <f ca="1">IFERROR(__xludf.DUMMYFUNCTION("""COMPUTED_VALUE"""),"Arraigo y empoderamiento cultural de comunidades.")</f>
        <v>Arraigo y empoderamiento cultural de comunidades.</v>
      </c>
      <c r="AN453" s="30" t="str">
        <f ca="1">IFERROR(__xludf.DUMMYFUNCTION("""COMPUTED_VALUE"""),"1 Tranquilidad")</f>
        <v>1 Tranquilidad</v>
      </c>
      <c r="AO453" s="30" t="str">
        <f ca="1">IFERROR(__xludf.DUMMYFUNCTION("""COMPUTED_VALUE"""),"1.2 Fortalecer prevención del delito")</f>
        <v>1.2 Fortalecer prevención del delito</v>
      </c>
      <c r="AP453" s="30" t="str">
        <f ca="1">IFERROR(__xludf.DUMMYFUNCTION("""COMPUTED_VALUE"""),"1.2.2 Fortalecimiento del tejido social")</f>
        <v>1.2.2 Fortalecimiento del tejido social</v>
      </c>
      <c r="AQ453" s="30" t="str">
        <f ca="1">IFERROR(__xludf.DUMMYFUNCTION("""COMPUTED_VALUE"""),"1.2.3.4 Promover una cultura de paz desde las expresiones artísticas y culturales")</f>
        <v>1.2.3.4 Promover una cultura de paz desde las expresiones artísticas y culturales</v>
      </c>
      <c r="AR453" s="30" t="str">
        <f ca="1">IFERROR(__xludf.DUMMYFUNCTION("""COMPUTED_VALUE"""),"Cooperación")</f>
        <v>Cooperación</v>
      </c>
      <c r="AS453" s="30"/>
      <c r="AT453" s="30" t="str">
        <f ca="1">IFERROR(__xludf.DUMMYFUNCTION("""COMPUTED_VALUE"""),"Fortalecimiento de la participación ciudadana y la mediación cultural")</f>
        <v>Fortalecimiento de la participación ciudadana y la mediación cultural</v>
      </c>
      <c r="AU453" s="30" t="str">
        <f ca="1">IFERROR(__xludf.DUMMYFUNCTION("""COMPUTED_VALUE"""),"Impulso a la ampliación de la oferta cultural en los territorios.")</f>
        <v>Impulso a la ampliación de la oferta cultural en los territorios.</v>
      </c>
      <c r="AV45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53" s="30" t="str">
        <f ca="1">IFERROR(__xludf.DUMMYFUNCTION("""COMPUTED_VALUE"""),"Incrementar en 25% la oferta cultural realizada en los municipios.")</f>
        <v>Incrementar en 25% la oferta cultural realizada en los municipios.</v>
      </c>
      <c r="AX453" s="30" t="str">
        <f ca="1">IFERROR(__xludf.DUMMYFUNCTION("""COMPUTED_VALUE"""),"Visitas guiadas")</f>
        <v>Visitas guiadas</v>
      </c>
      <c r="AY453" s="30" t="str">
        <f ca="1">IFERROR(__xludf.DUMMYFUNCTION("""COMPUTED_VALUE"""),"Mediación")</f>
        <v>Mediación</v>
      </c>
      <c r="AZ453" s="30"/>
      <c r="BA453" s="30"/>
      <c r="BB453" s="30"/>
      <c r="BC453" s="30">
        <f ca="1">IFERROR(__xludf.DUMMYFUNCTION("""COMPUTED_VALUE"""),0)</f>
        <v>0</v>
      </c>
      <c r="BD453" s="30"/>
      <c r="BE453" s="30"/>
      <c r="BF453" s="30" t="b">
        <f ca="1">IFERROR(__xludf.DUMMYFUNCTION("""COMPUTED_VALUE"""),FALSE)</f>
        <v>0</v>
      </c>
      <c r="BG453" s="30"/>
      <c r="BH453" s="30"/>
      <c r="BI453" s="30"/>
      <c r="BJ453" s="30"/>
      <c r="BK453" s="30"/>
      <c r="BL453" s="30"/>
      <c r="BM453" s="30" t="str">
        <f ca="1">IFERROR(__xludf.DUMMYFUNCTION("""COMPUTED_VALUE"""),"No")</f>
        <v>No</v>
      </c>
      <c r="BN453" s="30"/>
      <c r="BO453" s="30" t="str">
        <f ca="1">IFERROR(__xludf.DUMMYFUNCTION("""COMPUTED_VALUE"""),"38d9c0f6")</f>
        <v>38d9c0f6</v>
      </c>
      <c r="BP453" s="29" t="str">
        <f ca="1">IFERROR(__xludf.DUMMYFUNCTION("""COMPUTED_VALUE"""),"Silao de la Victoria")</f>
        <v>Silao de la Victoria</v>
      </c>
      <c r="BQ453" s="30" t="str">
        <f ca="1">IFERROR(__xludf.DUMMYFUNCTION("""COMPUTED_VALUE"""),"Urbano")</f>
        <v>Urbano</v>
      </c>
      <c r="BR453" s="30">
        <f ca="1">IFERROR(__xludf.DUMMYFUNCTION("""COMPUTED_VALUE"""),215)</f>
        <v>215</v>
      </c>
      <c r="BS453" s="30" t="str">
        <f ca="1">IFERROR(__xludf.DUMMYFUNCTION("""COMPUTED_VALUE"""),"Silao")</f>
        <v>Silao</v>
      </c>
      <c r="BT453" s="30"/>
      <c r="BU453" s="30" t="str">
        <f ca="1">IFERROR(__xludf.DUMMYFUNCTION("""COMPUTED_VALUE"""),"Si")</f>
        <v>Si</v>
      </c>
      <c r="BV453" s="30" t="str">
        <f ca="1">IFERROR(__xludf.DUMMYFUNCTION("""COMPUTED_VALUE"""),"Si")</f>
        <v>Si</v>
      </c>
      <c r="BW453" s="30">
        <f ca="1">IFERROR(__xludf.DUMMYFUNCTION("""COMPUTED_VALUE"""),12)</f>
        <v>12</v>
      </c>
      <c r="BX453" s="30"/>
      <c r="BY453" s="30">
        <f ca="1">IFERROR(__xludf.DUMMYFUNCTION("""COMPUTED_VALUE"""),12)</f>
        <v>12</v>
      </c>
      <c r="BZ453" s="30" t="str">
        <f ca="1">IFERROR(__xludf.DUMMYFUNCTION("""COMPUTED_VALUE"""),"Silao")</f>
        <v>Silao</v>
      </c>
      <c r="CA453" s="30" t="str">
        <f ca="1">IFERROR(__xludf.DUMMYFUNCTION("""COMPUTED_VALUE"""),"No")</f>
        <v>No</v>
      </c>
      <c r="CB453" s="30" t="str">
        <f ca="1">IFERROR(__xludf.DUMMYFUNCTION("""COMPUTED_VALUE"""),"No")</f>
        <v>No</v>
      </c>
      <c r="CC453" s="30" t="str">
        <f ca="1">IFERROR(__xludf.DUMMYFUNCTION("""COMPUTED_VALUE"""),"5b235288")</f>
        <v>5b235288</v>
      </c>
      <c r="CD453" s="29" t="str">
        <f ca="1">IFERROR(__xludf.DUMMYFUNCTION("""COMPUTED_VALUE"""),"Jóvenes (18 a 29 años)")</f>
        <v>Jóvenes (18 a 29 años)</v>
      </c>
      <c r="CE453" s="30" t="str">
        <f ca="1">IFERROR(__xludf.DUMMYFUNCTION("""COMPUTED_VALUE"""),"No se cuenta con el dato")</f>
        <v>No se cuenta con el dato</v>
      </c>
      <c r="CF453" s="30" t="str">
        <f ca="1">IFERROR(__xludf.DUMMYFUNCTION("""COMPUTED_VALUE"""),"Personas Migrantes")</f>
        <v>Personas Migrantes</v>
      </c>
      <c r="CG453" s="30">
        <f ca="1">IFERROR(__xludf.DUMMYFUNCTION("""COMPUTED_VALUE"""),3)</f>
        <v>3</v>
      </c>
      <c r="CJ453" s="29"/>
      <c r="CM453" s="30" t="str">
        <f ca="1">IFERROR(__xludf.DUMMYFUNCTION("""COMPUTED_VALUE"""),"Salamanca")</f>
        <v>Salamanca</v>
      </c>
      <c r="CN453" s="32" t="e">
        <f ca="1"/>
        <v>#NAME?</v>
      </c>
      <c r="CO453" s="32" t="e">
        <f ca="1"/>
        <v>#NAME?</v>
      </c>
      <c r="CP453" s="32" t="e">
        <f ca="1"/>
        <v>#NAME?</v>
      </c>
      <c r="CQ453" s="32" t="e">
        <f ca="1"/>
        <v>#NAME?</v>
      </c>
      <c r="CR453" s="30" t="e">
        <f ca="1"/>
        <v>#NAME?</v>
      </c>
      <c r="CS453" s="30" t="str">
        <f ca="1">IFERROR(__xludf.DUMMYFUNCTION("""COMPUTED_VALUE"""),"Ninguno (Población General)")</f>
        <v>Ninguno (Población General)</v>
      </c>
    </row>
    <row r="454" spans="1:97" ht="13">
      <c r="A454" s="29" t="str">
        <f ca="1">IFERROR(__xludf.DUMMYFUNCTION("""COMPUTED_VALUE"""),"ACT-SCTH89398")</f>
        <v>ACT-SCTH89398</v>
      </c>
      <c r="B454" s="30" t="str">
        <f ca="1">IFERROR(__xludf.DUMMYFUNCTION("""COMPUTED_VALUE"""),"SC-260923-125226")</f>
        <v>SC-260923-125226</v>
      </c>
      <c r="C454" s="62">
        <f ca="1">IFERROR(__xludf.DUMMYFUNCTION("""COMPUTED_VALUE"""),46288.536412037)</f>
        <v>46288.536412037</v>
      </c>
      <c r="D454" s="30">
        <f ca="1">IFERROR(__xludf.DUMMYFUNCTION("""COMPUTED_VALUE"""),31)</f>
        <v>31</v>
      </c>
      <c r="E454" s="30" t="str">
        <f ca="1">IFERROR(__xludf.DUMMYFUNCTION("""COMPUTED_VALUE"""),"QC4049")</f>
        <v>QC4049</v>
      </c>
      <c r="F454" s="30" t="str">
        <f ca="1">IFERROR(__xludf.DUMMYFUNCTION("""COMPUTED_VALUE"""),"Centro de las Artes de Guanajuato, Claustro Mayor")</f>
        <v>Centro de las Artes de Guanajuato, Claustro Mayor</v>
      </c>
      <c r="G454" s="30" t="str">
        <f ca="1">IFERROR(__xludf.DUMMYFUNCTION("""COMPUTED_VALUE"""),"Programa anual expositivo del Centro de las Artes de Guanajuato, Claustro Mayor, con exposiciones temporales de artes plásticas y de los acervos CEARG en Salamanca")</f>
        <v>Programa anual expositivo del Centro de las Artes de Guanajuato, Claustro Mayor, con exposiciones temporales de artes plásticas y de los acervos CEARG en Salamanca</v>
      </c>
      <c r="H454" s="30" t="str">
        <f ca="1">IFERROR(__xludf.DUMMYFUNCTION("""COMPUTED_VALUE"""),"SUBSECRETARÍA DE DESARROLLO COMUNITARIO Y PROMOCIÓN PATRIMONIAL")</f>
        <v>SUBSECRETARÍA DE DESARROLLO COMUNITARIO Y PROMOCIÓN PATRIMONIAL</v>
      </c>
      <c r="I454" s="34" t="str">
        <f ca="1">IFERROR(__xludf.DUMMYFUNCTION("""COMPUTED_VALUE"""),"DIRECCIÓN GENERAL DE FORMACIÓN E INVESTIGACIÓN")</f>
        <v>DIRECCIÓN GENERAL DE FORMACIÓN E INVESTIGACIÓN</v>
      </c>
      <c r="J454" s="30" t="str">
        <f ca="1">IFERROR(__xludf.DUMMYFUNCTION("""COMPUTED_VALUE"""),"Exposiciones realizadas")</f>
        <v>Exposiciones realizadas</v>
      </c>
      <c r="K454" s="30">
        <f ca="1">IFERROR(__xludf.DUMMYFUNCTION("""COMPUTED_VALUE"""),3)</f>
        <v>3</v>
      </c>
      <c r="L454" s="30" t="str">
        <f ca="1">IFERROR(__xludf.DUMMYFUNCTION("""COMPUTED_VALUE"""),"Artística")</f>
        <v>Artística</v>
      </c>
      <c r="M454" s="30" t="str">
        <f ca="1">IFERROR(__xludf.DUMMYFUNCTION("""COMPUTED_VALUE"""),"Exposición ""De lo invisible a lo visible. Cartografía de la memoria histórica afrodescendiente en guanajuato""")</f>
        <v>Exposición "De lo invisible a lo visible. Cartografía de la memoria histórica afrodescendiente en guanajuato"</v>
      </c>
      <c r="N454" s="30" t="str">
        <f ca="1">IFERROR(__xludf.DUMMYFUNCTION("""COMPUTED_VALUE"""),"Rescate de la memoria histórica, la herencia africana y la visibilización de las mujeres afrodescendientes")</f>
        <v>Rescate de la memoria histórica, la herencia africana y la visibilización de las mujeres afrodescendientes</v>
      </c>
      <c r="O454" s="30" t="str">
        <f ca="1">IFERROR(__xludf.DUMMYFUNCTION("""COMPUTED_VALUE"""),"Mensual")</f>
        <v>Mensual</v>
      </c>
      <c r="P454" s="33">
        <f ca="1">IFERROR(__xludf.DUMMYFUNCTION("""COMPUTED_VALUE"""),46144)</f>
        <v>46144</v>
      </c>
      <c r="Q454" s="33">
        <f ca="1">IFERROR(__xludf.DUMMYFUNCTION("""COMPUTED_VALUE"""),46201)</f>
        <v>46201</v>
      </c>
      <c r="R454" s="30">
        <f ca="1">IFERROR(__xludf.DUMMYFUNCTION("""COMPUTED_VALUE"""),1)</f>
        <v>1</v>
      </c>
      <c r="S454" s="30" t="str">
        <f ca="1">IFERROR(__xludf.DUMMYFUNCTION("""COMPUTED_VALUE"""),"Patrimonio cultural")</f>
        <v>Patrimonio cultural</v>
      </c>
      <c r="T454" s="30" t="str">
        <f ca="1">IFERROR(__xludf.DUMMYFUNCTION("""COMPUTED_VALUE"""),"Memoria histórica")</f>
        <v>Memoria histórica</v>
      </c>
      <c r="U454" s="30" t="str">
        <f ca="1">IFERROR(__xludf.DUMMYFUNCTION("""COMPUTED_VALUE"""),"Exposición")</f>
        <v>Exposición</v>
      </c>
      <c r="V454" s="30" t="str">
        <f ca="1">IFERROR(__xludf.DUMMYFUNCTION("""COMPUTED_VALUE"""),"Ninguna")</f>
        <v>Ninguna</v>
      </c>
      <c r="W454" s="30" t="str">
        <f ca="1">IFERROR(__xludf.DUMMYFUNCTION("""COMPUTED_VALUE"""),"Presencial")</f>
        <v>Presencial</v>
      </c>
      <c r="X454" s="30" t="str">
        <f ca="1">IFERROR(__xludf.DUMMYFUNCTION("""COMPUTED_VALUE"""),"Espacio préstamo a la Secretaría de Cultura")</f>
        <v>Espacio préstamo a la Secretaría de Cultura</v>
      </c>
      <c r="Y454" s="30"/>
      <c r="Z454" s="30"/>
      <c r="AA454" s="30"/>
      <c r="AB454" s="30" t="b">
        <f ca="1">IFERROR(__xludf.DUMMYFUNCTION("""COMPUTED_VALUE"""),FALSE)</f>
        <v>0</v>
      </c>
      <c r="AC454" s="30"/>
      <c r="AD454" s="30" t="b">
        <f ca="1">IFERROR(__xludf.DUMMYFUNCTION("""COMPUTED_VALUE"""),TRUE)</f>
        <v>1</v>
      </c>
      <c r="AE454" s="30">
        <f ca="1">IFERROR(__xludf.DUMMYFUNCTION("""COMPUTED_VALUE"""),2)</f>
        <v>2</v>
      </c>
      <c r="AF454" s="30" t="b">
        <f ca="1">IFERROR(__xludf.DUMMYFUNCTION("""COMPUTED_VALUE"""),FALSE)</f>
        <v>0</v>
      </c>
      <c r="AG454" s="30"/>
      <c r="AH454" s="30" t="str">
        <f ca="1">IFERROR(__xludf.DUMMYFUNCTION("""COMPUTED_VALUE"""),"Sin costo")</f>
        <v>Sin costo</v>
      </c>
      <c r="AI454" s="30"/>
      <c r="AJ454" s="30"/>
      <c r="AK454" s="30"/>
      <c r="AL454" s="30" t="str">
        <f ca="1">IFERROR(__xludf.DUMMYFUNCTION("""COMPUTED_VALUE"""),"claudia.ramirezm@guanajuato.gob.mx")</f>
        <v>claudia.ramirezm@guanajuato.gob.mx</v>
      </c>
      <c r="AM454" s="30" t="str">
        <f ca="1">IFERROR(__xludf.DUMMYFUNCTION("""COMPUTED_VALUE"""),"Creación de la Secretaría de Cultura, con una visión social de la política cultural.")</f>
        <v>Creación de la Secretaría de Cultura, con una visión social de la política cultural.</v>
      </c>
      <c r="AN454" s="30" t="str">
        <f ca="1">IFERROR(__xludf.DUMMYFUNCTION("""COMPUTED_VALUE"""),"2 Igualdad")</f>
        <v>2 Igualdad</v>
      </c>
      <c r="AO454" s="30" t="str">
        <f ca="1">IFERROR(__xludf.DUMMYFUNCTION("""COMPUTED_VALUE"""),"2.4 Reducir brechas de desigualdad")</f>
        <v>2.4 Reducir brechas de desigualdad</v>
      </c>
      <c r="AP454" s="30" t="str">
        <f ca="1">IFERROR(__xludf.DUMMYFUNCTION("""COMPUTED_VALUE"""),"2.4.3 Descentralización de la oferta cultural")</f>
        <v>2.4.3 Descentralización de la oferta cultural</v>
      </c>
      <c r="AQ454" s="30" t="str">
        <f ca="1">IFERROR(__xludf.DUMMYFUNCTION("""COMPUTED_VALUE"""),"2.4.3.3 Incidir en el involucramiento de las personas con el ecosistema cultural")</f>
        <v>2.4.3.3 Incidir en el involucramiento de las personas con el ecosistema cultural</v>
      </c>
      <c r="AR454" s="30" t="str">
        <f ca="1">IFERROR(__xludf.DUMMYFUNCTION("""COMPUTED_VALUE"""),"Ninguno")</f>
        <v>Ninguno</v>
      </c>
      <c r="AS454" s="30"/>
      <c r="AT454" s="30" t="str">
        <f ca="1">IFERROR(__xludf.DUMMYFUNCTION("""COMPUTED_VALUE"""),"Fortalecimiento de la participación ciudadana y la mediación cultural")</f>
        <v>Fortalecimiento de la participación ciudadana y la mediación cultural</v>
      </c>
      <c r="AU454" s="30" t="str">
        <f ca="1">IFERROR(__xludf.DUMMYFUNCTION("""COMPUTED_VALUE"""),"Impulso a la ampliación de la oferta cultural en los territorios.")</f>
        <v>Impulso a la ampliación de la oferta cultural en los territorios.</v>
      </c>
      <c r="AV45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54" s="30" t="str">
        <f ca="1">IFERROR(__xludf.DUMMYFUNCTION("""COMPUTED_VALUE"""),"Incrementar en 25% la oferta cultural realizada en los municipios.")</f>
        <v>Incrementar en 25% la oferta cultural realizada en los municipios.</v>
      </c>
      <c r="AX454" s="30" t="str">
        <f ca="1">IFERROR(__xludf.DUMMYFUNCTION("""COMPUTED_VALUE"""),"Exposición")</f>
        <v>Exposición</v>
      </c>
      <c r="AY454" s="30" t="str">
        <f ca="1">IFERROR(__xludf.DUMMYFUNCTION("""COMPUTED_VALUE"""),"Producción")</f>
        <v>Producción</v>
      </c>
      <c r="AZ454" s="30"/>
      <c r="BA454" s="30"/>
      <c r="BB454" s="30">
        <f ca="1">IFERROR(__xludf.DUMMYFUNCTION("""COMPUTED_VALUE"""),11)</f>
        <v>11</v>
      </c>
      <c r="BC454" s="30">
        <f ca="1">IFERROR(__xludf.DUMMYFUNCTION("""COMPUTED_VALUE"""),1)</f>
        <v>1</v>
      </c>
      <c r="BD454" s="30" t="str">
        <f ca="1">IFERROR(__xludf.DUMMYFUNCTION("""COMPUTED_VALUE"""),"Apoyado con anterioridad")</f>
        <v>Apoyado con anterioridad</v>
      </c>
      <c r="BE454" s="30" t="str">
        <f ca="1">IFERROR(__xludf.DUMMYFUNCTION("""COMPUTED_VALUE"""),"Representaciones Arinder S.C.")</f>
        <v>Representaciones Arinder S.C.</v>
      </c>
      <c r="BF454" s="30" t="b">
        <f ca="1">IFERROR(__xludf.DUMMYFUNCTION("""COMPUTED_VALUE"""),FALSE)</f>
        <v>0</v>
      </c>
      <c r="BG454" s="30"/>
      <c r="BH454" s="30">
        <f ca="1">IFERROR(__xludf.DUMMYFUNCTION("""COMPUTED_VALUE"""),40000)</f>
        <v>40000</v>
      </c>
      <c r="BI454" s="30"/>
      <c r="BJ454" s="30"/>
      <c r="BK454" s="30"/>
      <c r="BL454" s="30"/>
      <c r="BM454" s="30" t="str">
        <f ca="1">IFERROR(__xludf.DUMMYFUNCTION("""COMPUTED_VALUE"""),"No")</f>
        <v>No</v>
      </c>
      <c r="BN454" s="30"/>
      <c r="BO454" s="30" t="str">
        <f ca="1">IFERROR(__xludf.DUMMYFUNCTION("""COMPUTED_VALUE"""),"c509d402")</f>
        <v>c509d402</v>
      </c>
      <c r="BP454" s="29" t="str">
        <f ca="1">IFERROR(__xludf.DUMMYFUNCTION("""COMPUTED_VALUE"""),"Silao de la Victoria")</f>
        <v>Silao de la Victoria</v>
      </c>
      <c r="BQ454" s="30" t="str">
        <f ca="1">IFERROR(__xludf.DUMMYFUNCTION("""COMPUTED_VALUE"""),"Urbano")</f>
        <v>Urbano</v>
      </c>
      <c r="BR454" s="30">
        <f ca="1">IFERROR(__xludf.DUMMYFUNCTION("""COMPUTED_VALUE"""),215)</f>
        <v>215</v>
      </c>
      <c r="BS454" s="30" t="str">
        <f ca="1">IFERROR(__xludf.DUMMYFUNCTION("""COMPUTED_VALUE"""),"Silao")</f>
        <v>Silao</v>
      </c>
      <c r="BT454" s="30"/>
      <c r="BU454" s="30" t="str">
        <f ca="1">IFERROR(__xludf.DUMMYFUNCTION("""COMPUTED_VALUE"""),"Si")</f>
        <v>Si</v>
      </c>
      <c r="BV454" s="30" t="str">
        <f ca="1">IFERROR(__xludf.DUMMYFUNCTION("""COMPUTED_VALUE"""),"Si")</f>
        <v>Si</v>
      </c>
      <c r="BW454" s="30">
        <f ca="1">IFERROR(__xludf.DUMMYFUNCTION("""COMPUTED_VALUE"""),11)</f>
        <v>11</v>
      </c>
      <c r="BX454" s="30"/>
      <c r="BY454" s="30">
        <f ca="1">IFERROR(__xludf.DUMMYFUNCTION("""COMPUTED_VALUE"""),11)</f>
        <v>11</v>
      </c>
      <c r="BZ454" s="30" t="str">
        <f ca="1">IFERROR(__xludf.DUMMYFUNCTION("""COMPUTED_VALUE"""),"Silao")</f>
        <v>Silao</v>
      </c>
      <c r="CA454" s="30" t="str">
        <f ca="1">IFERROR(__xludf.DUMMYFUNCTION("""COMPUTED_VALUE"""),"No")</f>
        <v>No</v>
      </c>
      <c r="CB454" s="30" t="str">
        <f ca="1">IFERROR(__xludf.DUMMYFUNCTION("""COMPUTED_VALUE"""),"No")</f>
        <v>No</v>
      </c>
      <c r="CC454" s="30" t="str">
        <f ca="1">IFERROR(__xludf.DUMMYFUNCTION("""COMPUTED_VALUE"""),"8305728d")</f>
        <v>8305728d</v>
      </c>
      <c r="CD454" s="29" t="str">
        <f ca="1">IFERROR(__xludf.DUMMYFUNCTION("""COMPUTED_VALUE"""),"Adultos (30 a 59 años)")</f>
        <v>Adultos (30 a 59 años)</v>
      </c>
      <c r="CE454" s="30" t="str">
        <f ca="1">IFERROR(__xludf.DUMMYFUNCTION("""COMPUTED_VALUE"""),"No se cuenta con el dato")</f>
        <v>No se cuenta con el dato</v>
      </c>
      <c r="CF454" s="30" t="str">
        <f ca="1">IFERROR(__xludf.DUMMYFUNCTION("""COMPUTED_VALUE"""),"Personas Migrantes")</f>
        <v>Personas Migrantes</v>
      </c>
      <c r="CG454" s="30">
        <f ca="1">IFERROR(__xludf.DUMMYFUNCTION("""COMPUTED_VALUE"""),20)</f>
        <v>20</v>
      </c>
      <c r="CJ454" s="29"/>
      <c r="CM454" s="30" t="str">
        <f ca="1">IFERROR(__xludf.DUMMYFUNCTION("""COMPUTED_VALUE"""),"")</f>
        <v/>
      </c>
      <c r="CN454" s="32" t="e">
        <f ca="1"/>
        <v>#NAME?</v>
      </c>
      <c r="CO454" s="32" t="e">
        <f ca="1"/>
        <v>#NAME?</v>
      </c>
      <c r="CP454" s="32" t="e">
        <f ca="1"/>
        <v>#NAME?</v>
      </c>
      <c r="CQ454" s="32" t="e">
        <f ca="1"/>
        <v>#NAME?</v>
      </c>
      <c r="CR454" s="30" t="e">
        <f ca="1"/>
        <v>#NAME?</v>
      </c>
      <c r="CS454" s="30" t="str">
        <f ca="1">IFERROR(__xludf.DUMMYFUNCTION("""COMPUTED_VALUE"""),"Población General")</f>
        <v>Población General</v>
      </c>
    </row>
    <row r="455" spans="1:97" ht="13">
      <c r="A455" s="29" t="str">
        <f ca="1">IFERROR(__xludf.DUMMYFUNCTION("""COMPUTED_VALUE"""),"ACT-SCMO35805")</f>
        <v>ACT-SCMO35805</v>
      </c>
      <c r="B455" s="30" t="str">
        <f ca="1">IFERROR(__xludf.DUMMYFUNCTION("""COMPUTED_VALUE"""),"SC-260923-142115")</f>
        <v>SC-260923-142115</v>
      </c>
      <c r="C455" s="62">
        <f ca="1">IFERROR(__xludf.DUMMYFUNCTION("""COMPUTED_VALUE"""),46288.5980902777)</f>
        <v>46288.598090277701</v>
      </c>
      <c r="D455" s="30">
        <f ca="1">IFERROR(__xludf.DUMMYFUNCTION("""COMPUTED_VALUE"""),94)</f>
        <v>94</v>
      </c>
      <c r="E455" s="30" t="str">
        <f ca="1">IFERROR(__xludf.DUMMYFUNCTION("""COMPUTED_VALUE"""),"PB3572")</f>
        <v>PB3572</v>
      </c>
      <c r="F45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55"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55" s="30" t="str">
        <f ca="1">IFERROR(__xludf.DUMMYFUNCTION("""COMPUTED_VALUE"""),"SUBSECRETARÍA DE DESARROLLO Y PROMOCIÓN ARTÍSTICA Y CULTURAL")</f>
        <v>SUBSECRETARÍA DE DESARROLLO Y PROMOCIÓN ARTÍSTICA Y CULTURAL</v>
      </c>
      <c r="I455" s="34" t="str">
        <f ca="1">IFERROR(__xludf.DUMMYFUNCTION("""COMPUTED_VALUE"""),"DIRECCIÓN GENERAL DE MUSEOS, ARTES VISUALES Y EXPOSICIONES")</f>
        <v>DIRECCIÓN GENERAL DE MUSEOS, ARTES VISUALES Y EXPOSICIONES</v>
      </c>
      <c r="J455" s="30" t="str">
        <f ca="1">IFERROR(__xludf.DUMMYFUNCTION("""COMPUTED_VALUE"""),"Número de Actividades realizadas")</f>
        <v>Número de Actividades realizadas</v>
      </c>
      <c r="K455" s="30">
        <f ca="1">IFERROR(__xludf.DUMMYFUNCTION("""COMPUTED_VALUE"""),12)</f>
        <v>12</v>
      </c>
      <c r="L455" s="30" t="str">
        <f ca="1">IFERROR(__xludf.DUMMYFUNCTION("""COMPUTED_VALUE"""),"Artística")</f>
        <v>Artística</v>
      </c>
      <c r="M455" s="30" t="str">
        <f ca="1">IFERROR(__xludf.DUMMYFUNCTION("""COMPUTED_VALUE"""),"Fanzinarte: Taller de Comic")</f>
        <v>Fanzinarte: Taller de Comic</v>
      </c>
      <c r="N455" s="30" t="str">
        <f ca="1">IFERROR(__xludf.DUMMYFUNCTION("""COMPUTED_VALUE"""),"Taller de dibujo de comic")</f>
        <v>Taller de dibujo de comic</v>
      </c>
      <c r="O455" s="30" t="str">
        <f ca="1">IFERROR(__xludf.DUMMYFUNCTION("""COMPUTED_VALUE"""),"Semanal")</f>
        <v>Semanal</v>
      </c>
      <c r="P455" s="33">
        <f ca="1">IFERROR(__xludf.DUMMYFUNCTION("""COMPUTED_VALUE"""),46267)</f>
        <v>46267</v>
      </c>
      <c r="Q455" s="33">
        <f ca="1">IFERROR(__xludf.DUMMYFUNCTION("""COMPUTED_VALUE"""),46288)</f>
        <v>46288</v>
      </c>
      <c r="R455" s="30">
        <f ca="1">IFERROR(__xludf.DUMMYFUNCTION("""COMPUTED_VALUE"""),4)</f>
        <v>4</v>
      </c>
      <c r="S455" s="30" t="str">
        <f ca="1">IFERROR(__xludf.DUMMYFUNCTION("""COMPUTED_VALUE"""),"Cultura comunitaria")</f>
        <v>Cultura comunitaria</v>
      </c>
      <c r="T455" s="30" t="str">
        <f ca="1">IFERROR(__xludf.DUMMYFUNCTION("""COMPUTED_VALUE"""),"Formación comunitaria")</f>
        <v>Formación comunitaria</v>
      </c>
      <c r="U455" s="30" t="str">
        <f ca="1">IFERROR(__xludf.DUMMYFUNCTION("""COMPUTED_VALUE"""),"Taller")</f>
        <v>Taller</v>
      </c>
      <c r="V455" s="30" t="str">
        <f ca="1">IFERROR(__xludf.DUMMYFUNCTION("""COMPUTED_VALUE"""),"Ninguna")</f>
        <v>Ninguna</v>
      </c>
      <c r="W455" s="30" t="str">
        <f ca="1">IFERROR(__xludf.DUMMYFUNCTION("""COMPUTED_VALUE"""),"Presencial")</f>
        <v>Presencial</v>
      </c>
      <c r="X455" s="30" t="str">
        <f ca="1">IFERROR(__xludf.DUMMYFUNCTION("""COMPUTED_VALUE"""),"Espacio a Cargo de la Secretaría")</f>
        <v>Espacio a Cargo de la Secretaría</v>
      </c>
      <c r="Y455" s="30" t="str">
        <f ca="1">IFERROR(__xludf.DUMMYFUNCTION("""COMPUTED_VALUE"""),"Museo José y Tomas Chavez Morado")</f>
        <v>Museo José y Tomas Chavez Morado</v>
      </c>
      <c r="Z455" s="30"/>
      <c r="AA455" s="30"/>
      <c r="AB455" s="30" t="b">
        <f ca="1">IFERROR(__xludf.DUMMYFUNCTION("""COMPUTED_VALUE"""),FALSE)</f>
        <v>0</v>
      </c>
      <c r="AC455" s="30"/>
      <c r="AD455" s="30" t="b">
        <f ca="1">IFERROR(__xludf.DUMMYFUNCTION("""COMPUTED_VALUE"""),FALSE)</f>
        <v>0</v>
      </c>
      <c r="AE455" s="30"/>
      <c r="AF455" s="30" t="b">
        <f ca="1">IFERROR(__xludf.DUMMYFUNCTION("""COMPUTED_VALUE"""),FALSE)</f>
        <v>0</v>
      </c>
      <c r="AG455" s="30"/>
      <c r="AH455" s="30" t="str">
        <f ca="1">IFERROR(__xludf.DUMMYFUNCTION("""COMPUTED_VALUE"""),"Sin costo")</f>
        <v>Sin costo</v>
      </c>
      <c r="AI455" s="30"/>
      <c r="AJ455" s="30"/>
      <c r="AK455" s="30"/>
      <c r="AL455" s="30" t="str">
        <f ca="1">IFERROR(__xludf.DUMMYFUNCTION("""COMPUTED_VALUE"""),"ccardonav@guanajuato.gob.mx")</f>
        <v>ccardonav@guanajuato.gob.mx</v>
      </c>
      <c r="AM455" s="30" t="str">
        <f ca="1">IFERROR(__xludf.DUMMYFUNCTION("""COMPUTED_VALUE"""),"Arraigo y empoderamiento cultural de comunidades.")</f>
        <v>Arraigo y empoderamiento cultural de comunidades.</v>
      </c>
      <c r="AN455" s="30" t="str">
        <f ca="1">IFERROR(__xludf.DUMMYFUNCTION("""COMPUTED_VALUE"""),"1 Tranquilidad")</f>
        <v>1 Tranquilidad</v>
      </c>
      <c r="AO455" s="30" t="str">
        <f ca="1">IFERROR(__xludf.DUMMYFUNCTION("""COMPUTED_VALUE"""),"1.2 Fortalecer prevención del delito")</f>
        <v>1.2 Fortalecer prevención del delito</v>
      </c>
      <c r="AP455" s="30" t="str">
        <f ca="1">IFERROR(__xludf.DUMMYFUNCTION("""COMPUTED_VALUE"""),"1.2.2 Fortalecimiento del tejido social")</f>
        <v>1.2.2 Fortalecimiento del tejido social</v>
      </c>
      <c r="AQ455" s="30" t="str">
        <f ca="1">IFERROR(__xludf.DUMMYFUNCTION("""COMPUTED_VALUE"""),"1.2.3.4 Promover una cultura de paz desde las expresiones artísticas y culturales")</f>
        <v>1.2.3.4 Promover una cultura de paz desde las expresiones artísticas y culturales</v>
      </c>
      <c r="AR455" s="30" t="str">
        <f ca="1">IFERROR(__xludf.DUMMYFUNCTION("""COMPUTED_VALUE"""),"Cooperación")</f>
        <v>Cooperación</v>
      </c>
      <c r="AS455" s="30"/>
      <c r="AT455" s="30" t="str">
        <f ca="1">IFERROR(__xludf.DUMMYFUNCTION("""COMPUTED_VALUE"""),"Sostenibilidad del trabajo cultural y la economía creativa.")</f>
        <v>Sostenibilidad del trabajo cultural y la economía creativa.</v>
      </c>
      <c r="AU455"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55" s="30" t="str">
        <f ca="1">IFERROR(__xludf.DUMMYFUNCTION("""COMPUTED_VALUE"""),"Diseñar programas de formación y gestión cultural de base comunitaria.")</f>
        <v>Diseñar programas de formación y gestión cultural de base comunitaria.</v>
      </c>
      <c r="AW455"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55" s="30" t="str">
        <f ca="1">IFERROR(__xludf.DUMMYFUNCTION("""COMPUTED_VALUE"""),"Taller")</f>
        <v>Taller</v>
      </c>
      <c r="AY455" s="30" t="str">
        <f ca="1">IFERROR(__xludf.DUMMYFUNCTION("""COMPUTED_VALUE"""),"Formación")</f>
        <v>Formación</v>
      </c>
      <c r="AZ455" s="30" t="str">
        <f ca="1">IFERROR(__xludf.DUMMYFUNCTION("""COMPUTED_VALUE"""),"Formación")</f>
        <v>Formación</v>
      </c>
      <c r="BA455" s="30"/>
      <c r="BB455" s="30"/>
      <c r="BC455" s="30">
        <f ca="1">IFERROR(__xludf.DUMMYFUNCTION("""COMPUTED_VALUE"""),0)</f>
        <v>0</v>
      </c>
      <c r="BD455" s="30"/>
      <c r="BE455" s="30"/>
      <c r="BF455" s="30" t="b">
        <f ca="1">IFERROR(__xludf.DUMMYFUNCTION("""COMPUTED_VALUE"""),FALSE)</f>
        <v>0</v>
      </c>
      <c r="BG455" s="30"/>
      <c r="BH455" s="30"/>
      <c r="BI455" s="30"/>
      <c r="BJ455" s="30"/>
      <c r="BK455" s="30"/>
      <c r="BL455" s="30" t="str">
        <f ca="1">IFERROR(__xludf.DUMMYFUNCTION("""COMPUTED_VALUE"""),"Se contacto a Tallerista")</f>
        <v>Se contacto a Tallerista</v>
      </c>
      <c r="BM455" s="30" t="str">
        <f ca="1">IFERROR(__xludf.DUMMYFUNCTION("""COMPUTED_VALUE"""),"Sí")</f>
        <v>Sí</v>
      </c>
      <c r="BN455" s="30" t="str">
        <f ca="1">IFERROR(__xludf.DUMMYFUNCTION("""COMPUTED_VALUE"""),"Acompañamiento Técnico")</f>
        <v>Acompañamiento Técnico</v>
      </c>
      <c r="BO455" s="30" t="str">
        <f ca="1">IFERROR(__xludf.DUMMYFUNCTION("""COMPUTED_VALUE"""),"d31966bb")</f>
        <v>d31966bb</v>
      </c>
      <c r="BP455" s="29" t="str">
        <f ca="1">IFERROR(__xludf.DUMMYFUNCTION("""COMPUTED_VALUE"""),"Silao de la Victoria")</f>
        <v>Silao de la Victoria</v>
      </c>
      <c r="BQ455" s="30" t="str">
        <f ca="1">IFERROR(__xludf.DUMMYFUNCTION("""COMPUTED_VALUE"""),"Urbano")</f>
        <v>Urbano</v>
      </c>
      <c r="BR455" s="30"/>
      <c r="BS455" s="30"/>
      <c r="BT455" s="30"/>
      <c r="BU455" s="30" t="str">
        <f ca="1">IFERROR(__xludf.DUMMYFUNCTION("""COMPUTED_VALUE"""),"No")</f>
        <v>No</v>
      </c>
      <c r="BV455" s="30" t="str">
        <f ca="1">IFERROR(__xludf.DUMMYFUNCTION("""COMPUTED_VALUE"""),"No")</f>
        <v>No</v>
      </c>
      <c r="BW455" s="30">
        <f ca="1">IFERROR(__xludf.DUMMYFUNCTION("""COMPUTED_VALUE"""),8)</f>
        <v>8</v>
      </c>
      <c r="BX455" s="30"/>
      <c r="BY455" s="30">
        <f ca="1">IFERROR(__xludf.DUMMYFUNCTION("""COMPUTED_VALUE"""),8)</f>
        <v>8</v>
      </c>
      <c r="BZ455" s="30"/>
      <c r="CA455" s="30" t="str">
        <f ca="1">IFERROR(__xludf.DUMMYFUNCTION("""COMPUTED_VALUE"""),"No")</f>
        <v>No</v>
      </c>
      <c r="CB455" s="30" t="str">
        <f ca="1">IFERROR(__xludf.DUMMYFUNCTION("""COMPUTED_VALUE"""),"No")</f>
        <v>No</v>
      </c>
      <c r="CC455" s="30" t="str">
        <f ca="1">IFERROR(__xludf.DUMMYFUNCTION("""COMPUTED_VALUE"""),"32ffbbb1")</f>
        <v>32ffbbb1</v>
      </c>
      <c r="CD455" s="29" t="str">
        <f ca="1">IFERROR(__xludf.DUMMYFUNCTION("""COMPUTED_VALUE"""),"Adultos Mayores (60 años o más)")</f>
        <v>Adultos Mayores (60 años o más)</v>
      </c>
      <c r="CE455" s="30" t="str">
        <f ca="1">IFERROR(__xludf.DUMMYFUNCTION("""COMPUTED_VALUE"""),"No se cuenta con el dato")</f>
        <v>No se cuenta con el dato</v>
      </c>
      <c r="CF455" s="30" t="str">
        <f ca="1">IFERROR(__xludf.DUMMYFUNCTION("""COMPUTED_VALUE"""),"Personas Migrantes")</f>
        <v>Personas Migrantes</v>
      </c>
      <c r="CG455" s="30">
        <f ca="1">IFERROR(__xludf.DUMMYFUNCTION("""COMPUTED_VALUE"""),10)</f>
        <v>10</v>
      </c>
      <c r="CJ455" s="29"/>
      <c r="CM455" s="30" t="str">
        <f ca="1">IFERROR(__xludf.DUMMYFUNCTION("""COMPUTED_VALUE"""),"Silao de la Victoria")</f>
        <v>Silao de la Victoria</v>
      </c>
      <c r="CN455" s="32" t="e">
        <f ca="1"/>
        <v>#NAME?</v>
      </c>
      <c r="CO455" s="32" t="e">
        <f ca="1"/>
        <v>#NAME?</v>
      </c>
      <c r="CP455" s="32" t="e">
        <f ca="1"/>
        <v>#NAME?</v>
      </c>
      <c r="CQ455" s="32" t="e">
        <f ca="1"/>
        <v>#NAME?</v>
      </c>
      <c r="CR455" s="30" t="e">
        <f ca="1"/>
        <v>#NAME?</v>
      </c>
      <c r="CS455"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56" spans="1:97" ht="13">
      <c r="A456" s="29" t="str">
        <f ca="1">IFERROR(__xludf.DUMMYFUNCTION("""COMPUTED_VALUE"""),"ACT-SCZI44962")</f>
        <v>ACT-SCZI44962</v>
      </c>
      <c r="B456" s="30" t="str">
        <f ca="1">IFERROR(__xludf.DUMMYFUNCTION("""COMPUTED_VALUE"""),"SC-260923-152958")</f>
        <v>SC-260923-152958</v>
      </c>
      <c r="C456" s="62">
        <f ca="1">IFERROR(__xludf.DUMMYFUNCTION("""COMPUTED_VALUE"""),46288.6458101851)</f>
        <v>46288.645810185102</v>
      </c>
      <c r="D456" s="30">
        <f ca="1">IFERROR(__xludf.DUMMYFUNCTION("""COMPUTED_VALUE"""),94)</f>
        <v>94</v>
      </c>
      <c r="E456" s="30" t="str">
        <f ca="1">IFERROR(__xludf.DUMMYFUNCTION("""COMPUTED_VALUE"""),"PB3572")</f>
        <v>PB3572</v>
      </c>
      <c r="F45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56"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56" s="30" t="str">
        <f ca="1">IFERROR(__xludf.DUMMYFUNCTION("""COMPUTED_VALUE"""),"SUBSECRETARÍA DE DESARROLLO Y PROMOCIÓN ARTÍSTICA Y CULTURAL")</f>
        <v>SUBSECRETARÍA DE DESARROLLO Y PROMOCIÓN ARTÍSTICA Y CULTURAL</v>
      </c>
      <c r="I456" s="34" t="str">
        <f ca="1">IFERROR(__xludf.DUMMYFUNCTION("""COMPUTED_VALUE"""),"DIRECCIÓN GENERAL DE MUSEOS, ARTES VISUALES Y EXPOSICIONES")</f>
        <v>DIRECCIÓN GENERAL DE MUSEOS, ARTES VISUALES Y EXPOSICIONES</v>
      </c>
      <c r="J456" s="30" t="str">
        <f ca="1">IFERROR(__xludf.DUMMYFUNCTION("""COMPUTED_VALUE"""),"Número de Actividades realizadas")</f>
        <v>Número de Actividades realizadas</v>
      </c>
      <c r="K456" s="30">
        <f ca="1">IFERROR(__xludf.DUMMYFUNCTION("""COMPUTED_VALUE"""),12)</f>
        <v>12</v>
      </c>
      <c r="L456" s="30" t="str">
        <f ca="1">IFERROR(__xludf.DUMMYFUNCTION("""COMPUTED_VALUE"""),"Cultural")</f>
        <v>Cultural</v>
      </c>
      <c r="M456" s="30" t="str">
        <f ca="1">IFERROR(__xludf.DUMMYFUNCTION("""COMPUTED_VALUE"""),"Identiarte: Taller de cartoneria")</f>
        <v>Identiarte: Taller de cartoneria</v>
      </c>
      <c r="N456" s="30" t="str">
        <f ca="1">IFERROR(__xludf.DUMMYFUNCTION("""COMPUTED_VALUE"""),"Taller de cartonería")</f>
        <v>Taller de cartonería</v>
      </c>
      <c r="O456" s="30" t="str">
        <f ca="1">IFERROR(__xludf.DUMMYFUNCTION("""COMPUTED_VALUE"""),"Semanal")</f>
        <v>Semanal</v>
      </c>
      <c r="P456" s="33">
        <f ca="1">IFERROR(__xludf.DUMMYFUNCTION("""COMPUTED_VALUE"""),46268)</f>
        <v>46268</v>
      </c>
      <c r="Q456" s="33">
        <f ca="1">IFERROR(__xludf.DUMMYFUNCTION("""COMPUTED_VALUE"""),46289)</f>
        <v>46289</v>
      </c>
      <c r="R456" s="30">
        <f ca="1">IFERROR(__xludf.DUMMYFUNCTION("""COMPUTED_VALUE"""),4)</f>
        <v>4</v>
      </c>
      <c r="S456" s="30" t="str">
        <f ca="1">IFERROR(__xludf.DUMMYFUNCTION("""COMPUTED_VALUE"""),"Cultura comunitaria")</f>
        <v>Cultura comunitaria</v>
      </c>
      <c r="T456" s="30" t="str">
        <f ca="1">IFERROR(__xludf.DUMMYFUNCTION("""COMPUTED_VALUE"""),"Formación comunitaria")</f>
        <v>Formación comunitaria</v>
      </c>
      <c r="U456" s="30" t="str">
        <f ca="1">IFERROR(__xludf.DUMMYFUNCTION("""COMPUTED_VALUE"""),"Taller")</f>
        <v>Taller</v>
      </c>
      <c r="V456" s="30" t="str">
        <f ca="1">IFERROR(__xludf.DUMMYFUNCTION("""COMPUTED_VALUE"""),"Ninguna")</f>
        <v>Ninguna</v>
      </c>
      <c r="W456" s="30" t="str">
        <f ca="1">IFERROR(__xludf.DUMMYFUNCTION("""COMPUTED_VALUE"""),"Presencial")</f>
        <v>Presencial</v>
      </c>
      <c r="X456" s="30" t="str">
        <f ca="1">IFERROR(__xludf.DUMMYFUNCTION("""COMPUTED_VALUE"""),"Espacio a Cargo de la Secretaría")</f>
        <v>Espacio a Cargo de la Secretaría</v>
      </c>
      <c r="Y456" s="30" t="str">
        <f ca="1">IFERROR(__xludf.DUMMYFUNCTION("""COMPUTED_VALUE"""),"Museo José y Tomas Chavez Morado")</f>
        <v>Museo José y Tomas Chavez Morado</v>
      </c>
      <c r="Z456" s="30"/>
      <c r="AA456" s="30"/>
      <c r="AB456" s="30" t="b">
        <f ca="1">IFERROR(__xludf.DUMMYFUNCTION("""COMPUTED_VALUE"""),FALSE)</f>
        <v>0</v>
      </c>
      <c r="AC456" s="30"/>
      <c r="AD456" s="30" t="b">
        <f ca="1">IFERROR(__xludf.DUMMYFUNCTION("""COMPUTED_VALUE"""),FALSE)</f>
        <v>0</v>
      </c>
      <c r="AE456" s="30"/>
      <c r="AF456" s="30" t="b">
        <f ca="1">IFERROR(__xludf.DUMMYFUNCTION("""COMPUTED_VALUE"""),FALSE)</f>
        <v>0</v>
      </c>
      <c r="AG456" s="30"/>
      <c r="AH456" s="30" t="str">
        <f ca="1">IFERROR(__xludf.DUMMYFUNCTION("""COMPUTED_VALUE"""),"Sin costo")</f>
        <v>Sin costo</v>
      </c>
      <c r="AI456" s="30"/>
      <c r="AJ456" s="30"/>
      <c r="AK456" s="30"/>
      <c r="AL456" s="30" t="str">
        <f ca="1">IFERROR(__xludf.DUMMYFUNCTION("""COMPUTED_VALUE"""),"ccardonav@guanajuato.gob.mx")</f>
        <v>ccardonav@guanajuato.gob.mx</v>
      </c>
      <c r="AM456" s="30" t="str">
        <f ca="1">IFERROR(__xludf.DUMMYFUNCTION("""COMPUTED_VALUE"""),"Arraigo y empoderamiento cultural de comunidades.")</f>
        <v>Arraigo y empoderamiento cultural de comunidades.</v>
      </c>
      <c r="AN456" s="30" t="str">
        <f ca="1">IFERROR(__xludf.DUMMYFUNCTION("""COMPUTED_VALUE"""),"1 Tranquilidad")</f>
        <v>1 Tranquilidad</v>
      </c>
      <c r="AO456" s="30" t="str">
        <f ca="1">IFERROR(__xludf.DUMMYFUNCTION("""COMPUTED_VALUE"""),"1.2 Fortalecer prevención del delito")</f>
        <v>1.2 Fortalecer prevención del delito</v>
      </c>
      <c r="AP456" s="30" t="str">
        <f ca="1">IFERROR(__xludf.DUMMYFUNCTION("""COMPUTED_VALUE"""),"1.2.2 Fortalecimiento del tejido social")</f>
        <v>1.2.2 Fortalecimiento del tejido social</v>
      </c>
      <c r="AQ456" s="30" t="str">
        <f ca="1">IFERROR(__xludf.DUMMYFUNCTION("""COMPUTED_VALUE"""),"1.2.3.4 Promover una cultura de paz desde las expresiones artísticas y culturales")</f>
        <v>1.2.3.4 Promover una cultura de paz desde las expresiones artísticas y culturales</v>
      </c>
      <c r="AR456" s="30" t="str">
        <f ca="1">IFERROR(__xludf.DUMMYFUNCTION("""COMPUTED_VALUE"""),"Cooperación")</f>
        <v>Cooperación</v>
      </c>
      <c r="AS456" s="30"/>
      <c r="AT456" s="30" t="str">
        <f ca="1">IFERROR(__xludf.DUMMYFUNCTION("""COMPUTED_VALUE"""),"Sostenibilidad del trabajo cultural y la economía creativa.")</f>
        <v>Sostenibilidad del trabajo cultural y la economía creativa.</v>
      </c>
      <c r="AU456"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56" s="30" t="str">
        <f ca="1">IFERROR(__xludf.DUMMYFUNCTION("""COMPUTED_VALUE"""),"Diseñar programas de formación y gestión cultural de base comunitaria.")</f>
        <v>Diseñar programas de formación y gestión cultural de base comunitaria.</v>
      </c>
      <c r="AW456"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56" s="30" t="str">
        <f ca="1">IFERROR(__xludf.DUMMYFUNCTION("""COMPUTED_VALUE"""),"Taller")</f>
        <v>Taller</v>
      </c>
      <c r="AY456" s="30" t="str">
        <f ca="1">IFERROR(__xludf.DUMMYFUNCTION("""COMPUTED_VALUE"""),"Formación")</f>
        <v>Formación</v>
      </c>
      <c r="AZ456" s="30" t="str">
        <f ca="1">IFERROR(__xludf.DUMMYFUNCTION("""COMPUTED_VALUE"""),"Formación")</f>
        <v>Formación</v>
      </c>
      <c r="BA456" s="30"/>
      <c r="BB456" s="30"/>
      <c r="BC456" s="30">
        <f ca="1">IFERROR(__xludf.DUMMYFUNCTION("""COMPUTED_VALUE"""),0)</f>
        <v>0</v>
      </c>
      <c r="BD456" s="30"/>
      <c r="BE456" s="30"/>
      <c r="BF456" s="30" t="b">
        <f ca="1">IFERROR(__xludf.DUMMYFUNCTION("""COMPUTED_VALUE"""),FALSE)</f>
        <v>0</v>
      </c>
      <c r="BG456" s="30"/>
      <c r="BH456" s="30"/>
      <c r="BI456" s="30"/>
      <c r="BJ456" s="30"/>
      <c r="BK456" s="30"/>
      <c r="BL456" s="30" t="str">
        <f ca="1">IFERROR(__xludf.DUMMYFUNCTION("""COMPUTED_VALUE"""),"Se contacto a Tallerista")</f>
        <v>Se contacto a Tallerista</v>
      </c>
      <c r="BM456" s="30" t="str">
        <f ca="1">IFERROR(__xludf.DUMMYFUNCTION("""COMPUTED_VALUE"""),"Sí")</f>
        <v>Sí</v>
      </c>
      <c r="BN456" s="30" t="str">
        <f ca="1">IFERROR(__xludf.DUMMYFUNCTION("""COMPUTED_VALUE"""),"Acompañamiento Técnico")</f>
        <v>Acompañamiento Técnico</v>
      </c>
      <c r="BO456" s="30" t="str">
        <f ca="1">IFERROR(__xludf.DUMMYFUNCTION("""COMPUTED_VALUE"""),"6d267520")</f>
        <v>6d267520</v>
      </c>
      <c r="BP456" s="29" t="str">
        <f ca="1">IFERROR(__xludf.DUMMYFUNCTION("""COMPUTED_VALUE"""),"Salamanca")</f>
        <v>Salamanca</v>
      </c>
      <c r="BQ456" s="30" t="str">
        <f ca="1">IFERROR(__xludf.DUMMYFUNCTION("""COMPUTED_VALUE"""),"Urbano")</f>
        <v>Urbano</v>
      </c>
      <c r="BR456" s="30">
        <f ca="1">IFERROR(__xludf.DUMMYFUNCTION("""COMPUTED_VALUE"""),181)</f>
        <v>181</v>
      </c>
      <c r="BS456" s="30" t="str">
        <f ca="1">IFERROR(__xludf.DUMMYFUNCTION("""COMPUTED_VALUE"""),"Salamanca")</f>
        <v>Salamanca</v>
      </c>
      <c r="BT456" s="30"/>
      <c r="BU456" s="30" t="str">
        <f ca="1">IFERROR(__xludf.DUMMYFUNCTION("""COMPUTED_VALUE"""),"Si")</f>
        <v>Si</v>
      </c>
      <c r="BV456" s="30" t="str">
        <f ca="1">IFERROR(__xludf.DUMMYFUNCTION("""COMPUTED_VALUE"""),"Si")</f>
        <v>Si</v>
      </c>
      <c r="BW456" s="30">
        <f ca="1">IFERROR(__xludf.DUMMYFUNCTION("""COMPUTED_VALUE"""),46)</f>
        <v>46</v>
      </c>
      <c r="BX456" s="30">
        <f ca="1">IFERROR(__xludf.DUMMYFUNCTION("""COMPUTED_VALUE"""),1)</f>
        <v>1</v>
      </c>
      <c r="BY456" s="30">
        <f ca="1">IFERROR(__xludf.DUMMYFUNCTION("""COMPUTED_VALUE"""),45)</f>
        <v>45</v>
      </c>
      <c r="BZ456" s="30" t="str">
        <f ca="1">IFERROR(__xludf.DUMMYFUNCTION("""COMPUTED_VALUE"""),"Salamanca")</f>
        <v>Salamanca</v>
      </c>
      <c r="CA456" s="30" t="str">
        <f ca="1">IFERROR(__xludf.DUMMYFUNCTION("""COMPUTED_VALUE"""),"No")</f>
        <v>No</v>
      </c>
      <c r="CB456" s="30" t="str">
        <f ca="1">IFERROR(__xludf.DUMMYFUNCTION("""COMPUTED_VALUE"""),"No")</f>
        <v>No</v>
      </c>
      <c r="CC456" s="30" t="str">
        <f ca="1">IFERROR(__xludf.DUMMYFUNCTION("""COMPUTED_VALUE"""),"b96cb72f")</f>
        <v>b96cb72f</v>
      </c>
      <c r="CD456" s="29" t="str">
        <f ca="1">IFERROR(__xludf.DUMMYFUNCTION("""COMPUTED_VALUE"""),"Niñas y Niños (6 a 12 años)")</f>
        <v>Niñas y Niños (6 a 12 años)</v>
      </c>
      <c r="CE456" s="30" t="str">
        <f ca="1">IFERROR(__xludf.DUMMYFUNCTION("""COMPUTED_VALUE"""),"No se cuenta con el dato")</f>
        <v>No se cuenta con el dato</v>
      </c>
      <c r="CF456" s="30" t="str">
        <f ca="1">IFERROR(__xludf.DUMMYFUNCTION("""COMPUTED_VALUE"""),"Ninguno (Población General)")</f>
        <v>Ninguno (Población General)</v>
      </c>
      <c r="CG456" s="30">
        <f ca="1">IFERROR(__xludf.DUMMYFUNCTION("""COMPUTED_VALUE"""),1)</f>
        <v>1</v>
      </c>
      <c r="CJ456" s="29"/>
      <c r="CM456" s="30" t="str">
        <f ca="1">IFERROR(__xludf.DUMMYFUNCTION("""COMPUTED_VALUE"""),"Silao de la Victoria")</f>
        <v>Silao de la Victoria</v>
      </c>
      <c r="CN456" s="32" t="e">
        <f ca="1"/>
        <v>#NAME?</v>
      </c>
      <c r="CO456" s="32" t="e">
        <f ca="1"/>
        <v>#NAME?</v>
      </c>
      <c r="CP456" s="32" t="e">
        <f ca="1"/>
        <v>#NAME?</v>
      </c>
      <c r="CQ456" s="32" t="e">
        <f ca="1"/>
        <v>#NAME?</v>
      </c>
      <c r="CR456" s="30" t="e">
        <f ca="1"/>
        <v>#NAME?</v>
      </c>
      <c r="CS456" s="30" t="str">
        <f ca="1">IFERROR(__xludf.DUMMYFUNCTION("""COMPUTED_VALUE"""),"Ninguno (Población General), Ninguno (Población General), Ninguno (Población General)")</f>
        <v>Ninguno (Población General), Ninguno (Población General), Ninguno (Población General)</v>
      </c>
    </row>
    <row r="457" spans="1:97" ht="13">
      <c r="A457" s="29" t="str">
        <f ca="1">IFERROR(__xludf.DUMMYFUNCTION("""COMPUTED_VALUE"""),"ACT-SCTJ40380")</f>
        <v>ACT-SCTJ40380</v>
      </c>
      <c r="B457" s="30" t="str">
        <f ca="1">IFERROR(__xludf.DUMMYFUNCTION("""COMPUTED_VALUE"""),"SC-260923-161020")</f>
        <v>SC-260923-161020</v>
      </c>
      <c r="C457" s="62">
        <f ca="1">IFERROR(__xludf.DUMMYFUNCTION("""COMPUTED_VALUE"""),46288.6738425925)</f>
        <v>46288.6738425925</v>
      </c>
      <c r="D457" s="30">
        <f ca="1">IFERROR(__xludf.DUMMYFUNCTION("""COMPUTED_VALUE"""),76)</f>
        <v>76</v>
      </c>
      <c r="E457" s="30" t="str">
        <f ca="1">IFERROR(__xludf.DUMMYFUNCTION("""COMPUTED_VALUE"""),"PB3567")</f>
        <v>PB3567</v>
      </c>
      <c r="F457" s="30" t="str">
        <f ca="1">IFERROR(__xludf.DUMMYFUNCTION("""COMPUTED_VALUE"""),"Formación e Investigación Artística")</f>
        <v>Formación e Investigación Artística</v>
      </c>
      <c r="G457" s="30" t="str">
        <f ca="1">IFERROR(__xludf.DUMMYFUNCTION("""COMPUTED_VALUE"""),"Exposiciones temporales en distintas disciplinas artísticas.")</f>
        <v>Exposiciones temporales en distintas disciplinas artísticas.</v>
      </c>
      <c r="H457" s="30" t="str">
        <f ca="1">IFERROR(__xludf.DUMMYFUNCTION("""COMPUTED_VALUE"""),"SUBSECRETARÍA DE DESARROLLO COMUNITARIO Y PROMOCIÓN PATRIMONIAL")</f>
        <v>SUBSECRETARÍA DE DESARROLLO COMUNITARIO Y PROMOCIÓN PATRIMONIAL</v>
      </c>
      <c r="I457" s="34" t="str">
        <f ca="1">IFERROR(__xludf.DUMMYFUNCTION("""COMPUTED_VALUE"""),"DIRECCIÓN GENERAL DE FORMACIÓN E INVESTIGACIÓN")</f>
        <v>DIRECCIÓN GENERAL DE FORMACIÓN E INVESTIGACIÓN</v>
      </c>
      <c r="J457" s="30" t="str">
        <f ca="1">IFERROR(__xludf.DUMMYFUNCTION("""COMPUTED_VALUE"""),"Exposiciones realizadas")</f>
        <v>Exposiciones realizadas</v>
      </c>
      <c r="K457" s="30">
        <f ca="1">IFERROR(__xludf.DUMMYFUNCTION("""COMPUTED_VALUE"""),3)</f>
        <v>3</v>
      </c>
      <c r="L457" s="30" t="str">
        <f ca="1">IFERROR(__xludf.DUMMYFUNCTION("""COMPUTED_VALUE"""),"Artística")</f>
        <v>Artística</v>
      </c>
      <c r="M457" s="30" t="str">
        <f ca="1">IFERROR(__xludf.DUMMYFUNCTION("""COMPUTED_VALUE"""),"Exposición ""Muñecas. Hilo y tela""")</f>
        <v>Exposición "Muñecas. Hilo y tela"</v>
      </c>
      <c r="N457" s="30" t="str">
        <f ca="1">IFERROR(__xludf.DUMMYFUNCTION("""COMPUTED_VALUE"""),"Muestra de arte popular mexicano que rinde homenaje a la identidad cultural, el legado textil y el papel de las mujeres como guardianas de las tradiciones.")</f>
        <v>Muestra de arte popular mexicano que rinde homenaje a la identidad cultural, el legado textil y el papel de las mujeres como guardianas de las tradiciones.</v>
      </c>
      <c r="O457" s="30" t="str">
        <f ca="1">IFERROR(__xludf.DUMMYFUNCTION("""COMPUTED_VALUE"""),"Única")</f>
        <v>Única</v>
      </c>
      <c r="P457" s="33">
        <f ca="1">IFERROR(__xludf.DUMMYFUNCTION("""COMPUTED_VALUE"""),46195)</f>
        <v>46195</v>
      </c>
      <c r="Q457" s="33">
        <f ca="1">IFERROR(__xludf.DUMMYFUNCTION("""COMPUTED_VALUE"""),46204)</f>
        <v>46204</v>
      </c>
      <c r="R457" s="30">
        <f ca="1">IFERROR(__xludf.DUMMYFUNCTION("""COMPUTED_VALUE"""),0)</f>
        <v>0</v>
      </c>
      <c r="S457" s="30" t="str">
        <f ca="1">IFERROR(__xludf.DUMMYFUNCTION("""COMPUTED_VALUE"""),"Artesanías y arte popular")</f>
        <v>Artesanías y arte popular</v>
      </c>
      <c r="T457" s="30" t="str">
        <f ca="1">IFERROR(__xludf.DUMMYFUNCTION("""COMPUTED_VALUE"""),"Arte popular")</f>
        <v>Arte popular</v>
      </c>
      <c r="U457" s="30" t="str">
        <f ca="1">IFERROR(__xludf.DUMMYFUNCTION("""COMPUTED_VALUE"""),"Exposición")</f>
        <v>Exposición</v>
      </c>
      <c r="V457" s="30" t="str">
        <f ca="1">IFERROR(__xludf.DUMMYFUNCTION("""COMPUTED_VALUE"""),"Ninguna")</f>
        <v>Ninguna</v>
      </c>
      <c r="W457" s="30" t="str">
        <f ca="1">IFERROR(__xludf.DUMMYFUNCTION("""COMPUTED_VALUE"""),"Presencial")</f>
        <v>Presencial</v>
      </c>
      <c r="X457" s="30" t="str">
        <f ca="1">IFERROR(__xludf.DUMMYFUNCTION("""COMPUTED_VALUE"""),"Espacio préstamo a la Secretaría de Cultura")</f>
        <v>Espacio préstamo a la Secretaría de Cultura</v>
      </c>
      <c r="Y457" s="30"/>
      <c r="Z457" s="30"/>
      <c r="AA457" s="30"/>
      <c r="AB457" s="30" t="b">
        <f ca="1">IFERROR(__xludf.DUMMYFUNCTION("""COMPUTED_VALUE"""),FALSE)</f>
        <v>0</v>
      </c>
      <c r="AC457" s="30"/>
      <c r="AD457" s="30" t="b">
        <f ca="1">IFERROR(__xludf.DUMMYFUNCTION("""COMPUTED_VALUE"""),TRUE)</f>
        <v>1</v>
      </c>
      <c r="AE457" s="30">
        <f ca="1">IFERROR(__xludf.DUMMYFUNCTION("""COMPUTED_VALUE"""),1)</f>
        <v>1</v>
      </c>
      <c r="AF457" s="30" t="b">
        <f ca="1">IFERROR(__xludf.DUMMYFUNCTION("""COMPUTED_VALUE"""),FALSE)</f>
        <v>0</v>
      </c>
      <c r="AG457" s="30"/>
      <c r="AH457" s="30" t="str">
        <f ca="1">IFERROR(__xludf.DUMMYFUNCTION("""COMPUTED_VALUE"""),"Sin costo")</f>
        <v>Sin costo</v>
      </c>
      <c r="AI457" s="30"/>
      <c r="AJ457" s="30"/>
      <c r="AK457" s="30"/>
      <c r="AL457" s="30" t="str">
        <f ca="1">IFERROR(__xludf.DUMMYFUNCTION("""COMPUTED_VALUE"""),"claudia.ramirezm@guanajuato.gob.mx")</f>
        <v>claudia.ramirezm@guanajuato.gob.mx</v>
      </c>
      <c r="AM457" s="30" t="str">
        <f ca="1">IFERROR(__xludf.DUMMYFUNCTION("""COMPUTED_VALUE"""),"Creación de la Secretaría de Cultura, con una visión social de la política cultural.")</f>
        <v>Creación de la Secretaría de Cultura, con una visión social de la política cultural.</v>
      </c>
      <c r="AN457" s="30" t="str">
        <f ca="1">IFERROR(__xludf.DUMMYFUNCTION("""COMPUTED_VALUE"""),"2 Igualdad")</f>
        <v>2 Igualdad</v>
      </c>
      <c r="AO457" s="30" t="str">
        <f ca="1">IFERROR(__xludf.DUMMYFUNCTION("""COMPUTED_VALUE"""),"2.4 Reducir brechas de desigualdad")</f>
        <v>2.4 Reducir brechas de desigualdad</v>
      </c>
      <c r="AP457" s="30" t="str">
        <f ca="1">IFERROR(__xludf.DUMMYFUNCTION("""COMPUTED_VALUE"""),"2.4.3 Descentralización de la oferta cultural")</f>
        <v>2.4.3 Descentralización de la oferta cultural</v>
      </c>
      <c r="AQ457" s="30" t="str">
        <f ca="1">IFERROR(__xludf.DUMMYFUNCTION("""COMPUTED_VALUE"""),"2.4.3.3 Incidir en el involucramiento de las personas con el ecosistema cultural")</f>
        <v>2.4.3.3 Incidir en el involucramiento de las personas con el ecosistema cultural</v>
      </c>
      <c r="AR457" s="30" t="str">
        <f ca="1">IFERROR(__xludf.DUMMYFUNCTION("""COMPUTED_VALUE"""),"Ninguno")</f>
        <v>Ninguno</v>
      </c>
      <c r="AS457" s="30"/>
      <c r="AT457" s="30" t="str">
        <f ca="1">IFERROR(__xludf.DUMMYFUNCTION("""COMPUTED_VALUE"""),"Fortalecimiento de la participación ciudadana y la mediación cultural")</f>
        <v>Fortalecimiento de la participación ciudadana y la mediación cultural</v>
      </c>
      <c r="AU457" s="30" t="str">
        <f ca="1">IFERROR(__xludf.DUMMYFUNCTION("""COMPUTED_VALUE"""),"Impulso a la ampliación de la oferta cultural en los territorios.")</f>
        <v>Impulso a la ampliación de la oferta cultural en los territorios.</v>
      </c>
      <c r="AV45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57" s="30" t="str">
        <f ca="1">IFERROR(__xludf.DUMMYFUNCTION("""COMPUTED_VALUE"""),"Incrementar en 25% la oferta cultural realizada en los municipios.")</f>
        <v>Incrementar en 25% la oferta cultural realizada en los municipios.</v>
      </c>
      <c r="AX457" s="30" t="str">
        <f ca="1">IFERROR(__xludf.DUMMYFUNCTION("""COMPUTED_VALUE"""),"Exposición")</f>
        <v>Exposición</v>
      </c>
      <c r="AY457" s="30" t="str">
        <f ca="1">IFERROR(__xludf.DUMMYFUNCTION("""COMPUTED_VALUE"""),"Circulación / Exhibición")</f>
        <v>Circulación / Exhibición</v>
      </c>
      <c r="AZ457" s="30"/>
      <c r="BA457" s="30"/>
      <c r="BB457" s="30"/>
      <c r="BC457" s="30">
        <f ca="1">IFERROR(__xludf.DUMMYFUNCTION("""COMPUTED_VALUE"""),0)</f>
        <v>0</v>
      </c>
      <c r="BD457" s="30"/>
      <c r="BE457" s="30"/>
      <c r="BF457" s="30" t="b">
        <f ca="1">IFERROR(__xludf.DUMMYFUNCTION("""COMPUTED_VALUE"""),FALSE)</f>
        <v>0</v>
      </c>
      <c r="BG457" s="30"/>
      <c r="BH457" s="30"/>
      <c r="BI457" s="30"/>
      <c r="BJ457" s="30"/>
      <c r="BK457" s="30"/>
      <c r="BL457" s="30"/>
      <c r="BM457" s="30" t="str">
        <f ca="1">IFERROR(__xludf.DUMMYFUNCTION("""COMPUTED_VALUE"""),"No")</f>
        <v>No</v>
      </c>
      <c r="BN457" s="30"/>
      <c r="BO457" s="30" t="str">
        <f ca="1">IFERROR(__xludf.DUMMYFUNCTION("""COMPUTED_VALUE"""),"7a623ce2")</f>
        <v>7a623ce2</v>
      </c>
      <c r="BP457" s="29" t="str">
        <f ca="1">IFERROR(__xludf.DUMMYFUNCTION("""COMPUTED_VALUE"""),"Salamanca")</f>
        <v>Salamanca</v>
      </c>
      <c r="BQ457" s="30" t="str">
        <f ca="1">IFERROR(__xludf.DUMMYFUNCTION("""COMPUTED_VALUE"""),"Urbano")</f>
        <v>Urbano</v>
      </c>
      <c r="BR457" s="30">
        <f ca="1">IFERROR(__xludf.DUMMYFUNCTION("""COMPUTED_VALUE"""),181)</f>
        <v>181</v>
      </c>
      <c r="BS457" s="30" t="str">
        <f ca="1">IFERROR(__xludf.DUMMYFUNCTION("""COMPUTED_VALUE"""),"Salamanca")</f>
        <v>Salamanca</v>
      </c>
      <c r="BT457" s="30"/>
      <c r="BU457" s="30" t="str">
        <f ca="1">IFERROR(__xludf.DUMMYFUNCTION("""COMPUTED_VALUE"""),"Si")</f>
        <v>Si</v>
      </c>
      <c r="BV457" s="30" t="str">
        <f ca="1">IFERROR(__xludf.DUMMYFUNCTION("""COMPUTED_VALUE"""),"Si")</f>
        <v>Si</v>
      </c>
      <c r="BW457" s="30">
        <f ca="1">IFERROR(__xludf.DUMMYFUNCTION("""COMPUTED_VALUE"""),50)</f>
        <v>50</v>
      </c>
      <c r="BX457" s="30">
        <f ca="1">IFERROR(__xludf.DUMMYFUNCTION("""COMPUTED_VALUE"""),19)</f>
        <v>19</v>
      </c>
      <c r="BY457" s="30">
        <f ca="1">IFERROR(__xludf.DUMMYFUNCTION("""COMPUTED_VALUE"""),31)</f>
        <v>31</v>
      </c>
      <c r="BZ457" s="30" t="str">
        <f ca="1">IFERROR(__xludf.DUMMYFUNCTION("""COMPUTED_VALUE"""),"Salamanca")</f>
        <v>Salamanca</v>
      </c>
      <c r="CA457" s="30" t="str">
        <f ca="1">IFERROR(__xludf.DUMMYFUNCTION("""COMPUTED_VALUE"""),"No")</f>
        <v>No</v>
      </c>
      <c r="CB457" s="30" t="str">
        <f ca="1">IFERROR(__xludf.DUMMYFUNCTION("""COMPUTED_VALUE"""),"No")</f>
        <v>No</v>
      </c>
      <c r="CC457" s="30" t="str">
        <f ca="1">IFERROR(__xludf.DUMMYFUNCTION("""COMPUTED_VALUE"""),"a9047c22")</f>
        <v>a9047c22</v>
      </c>
      <c r="CD457" s="29" t="str">
        <f ca="1">IFERROR(__xludf.DUMMYFUNCTION("""COMPUTED_VALUE"""),"Adolescentes (13 a 17 años)")</f>
        <v>Adolescentes (13 a 17 años)</v>
      </c>
      <c r="CE457" s="30" t="str">
        <f ca="1">IFERROR(__xludf.DUMMYFUNCTION("""COMPUTED_VALUE"""),"No se cuenta con el dato")</f>
        <v>No se cuenta con el dato</v>
      </c>
      <c r="CF457" s="30" t="str">
        <f ca="1">IFERROR(__xludf.DUMMYFUNCTION("""COMPUTED_VALUE"""),"Ninguno (Población General)")</f>
        <v>Ninguno (Población General)</v>
      </c>
      <c r="CG457" s="30">
        <f ca="1">IFERROR(__xludf.DUMMYFUNCTION("""COMPUTED_VALUE"""),1)</f>
        <v>1</v>
      </c>
      <c r="CJ457" s="29"/>
      <c r="CM457" s="30" t="str">
        <f ca="1">IFERROR(__xludf.DUMMYFUNCTION("""COMPUTED_VALUE"""),"Silao de la Victoria")</f>
        <v>Silao de la Victoria</v>
      </c>
      <c r="CN457" s="32" t="e">
        <f ca="1"/>
        <v>#NAME?</v>
      </c>
      <c r="CO457" s="32" t="e">
        <f ca="1"/>
        <v>#NAME?</v>
      </c>
      <c r="CP457" s="32" t="e">
        <f ca="1"/>
        <v>#NAME?</v>
      </c>
      <c r="CQ457" s="32" t="e">
        <f ca="1"/>
        <v>#NAME?</v>
      </c>
      <c r="CR457" s="30" t="e">
        <f ca="1"/>
        <v>#NAME?</v>
      </c>
      <c r="CS457" s="30" t="str">
        <f ca="1">IFERROR(__xludf.DUMMYFUNCTION("""COMPUTED_VALUE"""),"Ninguno (Población General), Ninguno (Población General)")</f>
        <v>Ninguno (Población General), Ninguno (Población General)</v>
      </c>
    </row>
    <row r="458" spans="1:97" ht="13">
      <c r="A458" s="29" t="str">
        <f ca="1">IFERROR(__xludf.DUMMYFUNCTION("""COMPUTED_VALUE"""),"ACT-SCCR51057")</f>
        <v>ACT-SCCR51057</v>
      </c>
      <c r="B458" s="30" t="str">
        <f ca="1">IFERROR(__xludf.DUMMYFUNCTION("""COMPUTED_VALUE"""),"SC-260923-170347")</f>
        <v>SC-260923-170347</v>
      </c>
      <c r="C458" s="62">
        <f ca="1">IFERROR(__xludf.DUMMYFUNCTION("""COMPUTED_VALUE"""),46288.7109606481)</f>
        <v>46288.710960648103</v>
      </c>
      <c r="D458" s="30">
        <f ca="1">IFERROR(__xludf.DUMMYFUNCTION("""COMPUTED_VALUE"""),76)</f>
        <v>76</v>
      </c>
      <c r="E458" s="30" t="str">
        <f ca="1">IFERROR(__xludf.DUMMYFUNCTION("""COMPUTED_VALUE"""),"PB3567")</f>
        <v>PB3567</v>
      </c>
      <c r="F458" s="30" t="str">
        <f ca="1">IFERROR(__xludf.DUMMYFUNCTION("""COMPUTED_VALUE"""),"Formación e Investigación Artística")</f>
        <v>Formación e Investigación Artística</v>
      </c>
      <c r="G458" s="30" t="str">
        <f ca="1">IFERROR(__xludf.DUMMYFUNCTION("""COMPUTED_VALUE"""),"Exposiciones temporales en distintas disciplinas artísticas.")</f>
        <v>Exposiciones temporales en distintas disciplinas artísticas.</v>
      </c>
      <c r="H458" s="30" t="str">
        <f ca="1">IFERROR(__xludf.DUMMYFUNCTION("""COMPUTED_VALUE"""),"SUBSECRETARÍA DE DESARROLLO COMUNITARIO Y PROMOCIÓN PATRIMONIAL")</f>
        <v>SUBSECRETARÍA DE DESARROLLO COMUNITARIO Y PROMOCIÓN PATRIMONIAL</v>
      </c>
      <c r="I458" s="34" t="str">
        <f ca="1">IFERROR(__xludf.DUMMYFUNCTION("""COMPUTED_VALUE"""),"DIRECCIÓN GENERAL DE FORMACIÓN E INVESTIGACIÓN")</f>
        <v>DIRECCIÓN GENERAL DE FORMACIÓN E INVESTIGACIÓN</v>
      </c>
      <c r="J458" s="30" t="str">
        <f ca="1">IFERROR(__xludf.DUMMYFUNCTION("""COMPUTED_VALUE"""),"Exposiciones realizadas")</f>
        <v>Exposiciones realizadas</v>
      </c>
      <c r="K458" s="30">
        <f ca="1">IFERROR(__xludf.DUMMYFUNCTION("""COMPUTED_VALUE"""),3)</f>
        <v>3</v>
      </c>
      <c r="L458" s="30" t="str">
        <f ca="1">IFERROR(__xludf.DUMMYFUNCTION("""COMPUTED_VALUE"""),"Artística")</f>
        <v>Artística</v>
      </c>
      <c r="M458" s="30" t="str">
        <f ca="1">IFERROR(__xludf.DUMMYFUNCTION("""COMPUTED_VALUE"""),"Inauguración Exposición ""Territorios habitados, PECDA Guanajuato 2025""")</f>
        <v>Inauguración Exposición "Territorios habitados, PECDA Guanajuato 2025"</v>
      </c>
      <c r="N458" s="30" t="str">
        <f ca="1">IFERROR(__xludf.DUMMYFUNCTION("""COMPUTED_VALUE"""),"Una selección de proyectos de las disciplinas de Artes Plásticas y Medios Audiovisuales y Alternativos de los beneficiarios edicion 2025")</f>
        <v>Una selección de proyectos de las disciplinas de Artes Plásticas y Medios Audiovisuales y Alternativos de los beneficiarios edicion 2025</v>
      </c>
      <c r="O458" s="30" t="str">
        <f ca="1">IFERROR(__xludf.DUMMYFUNCTION("""COMPUTED_VALUE"""),"Única")</f>
        <v>Única</v>
      </c>
      <c r="P458" s="33">
        <f ca="1">IFERROR(__xludf.DUMMYFUNCTION("""COMPUTED_VALUE"""),46221)</f>
        <v>46221</v>
      </c>
      <c r="Q458" s="33">
        <f ca="1">IFERROR(__xludf.DUMMYFUNCTION("""COMPUTED_VALUE"""),46221)</f>
        <v>46221</v>
      </c>
      <c r="R458" s="30">
        <f ca="1">IFERROR(__xludf.DUMMYFUNCTION("""COMPUTED_VALUE"""),0)</f>
        <v>0</v>
      </c>
      <c r="S458" s="30" t="str">
        <f ca="1">IFERROR(__xludf.DUMMYFUNCTION("""COMPUTED_VALUE"""),"Multidisciplinario")</f>
        <v>Multidisciplinario</v>
      </c>
      <c r="T458" s="30" t="str">
        <f ca="1">IFERROR(__xludf.DUMMYFUNCTION("""COMPUTED_VALUE"""),"Interdisciplinario")</f>
        <v>Interdisciplinario</v>
      </c>
      <c r="U458" s="30" t="str">
        <f ca="1">IFERROR(__xludf.DUMMYFUNCTION("""COMPUTED_VALUE"""),"Exposición")</f>
        <v>Exposición</v>
      </c>
      <c r="V458" s="30" t="str">
        <f ca="1">IFERROR(__xludf.DUMMYFUNCTION("""COMPUTED_VALUE"""),"Ninguna")</f>
        <v>Ninguna</v>
      </c>
      <c r="W458" s="30" t="str">
        <f ca="1">IFERROR(__xludf.DUMMYFUNCTION("""COMPUTED_VALUE"""),"Presencial")</f>
        <v>Presencial</v>
      </c>
      <c r="X458" s="30" t="str">
        <f ca="1">IFERROR(__xludf.DUMMYFUNCTION("""COMPUTED_VALUE"""),"Espacio préstamo a la Secretaría de Cultura")</f>
        <v>Espacio préstamo a la Secretaría de Cultura</v>
      </c>
      <c r="Y458" s="30"/>
      <c r="Z458" s="30"/>
      <c r="AA458" s="30"/>
      <c r="AB458" s="30" t="b">
        <f ca="1">IFERROR(__xludf.DUMMYFUNCTION("""COMPUTED_VALUE"""),FALSE)</f>
        <v>0</v>
      </c>
      <c r="AC458" s="30"/>
      <c r="AD458" s="30" t="b">
        <f ca="1">IFERROR(__xludf.DUMMYFUNCTION("""COMPUTED_VALUE"""),TRUE)</f>
        <v>1</v>
      </c>
      <c r="AE458" s="30">
        <f ca="1">IFERROR(__xludf.DUMMYFUNCTION("""COMPUTED_VALUE"""),1)</f>
        <v>1</v>
      </c>
      <c r="AF458" s="30" t="b">
        <f ca="1">IFERROR(__xludf.DUMMYFUNCTION("""COMPUTED_VALUE"""),FALSE)</f>
        <v>0</v>
      </c>
      <c r="AG458" s="30"/>
      <c r="AH458" s="30" t="str">
        <f ca="1">IFERROR(__xludf.DUMMYFUNCTION("""COMPUTED_VALUE"""),"Sin costo")</f>
        <v>Sin costo</v>
      </c>
      <c r="AI458" s="30"/>
      <c r="AJ458" s="30"/>
      <c r="AK458" s="30"/>
      <c r="AL458" s="30" t="str">
        <f ca="1">IFERROR(__xludf.DUMMYFUNCTION("""COMPUTED_VALUE"""),"claudia.ramirezm@guanajuato.gob.mx")</f>
        <v>claudia.ramirezm@guanajuato.gob.mx</v>
      </c>
      <c r="AM458" s="30" t="str">
        <f ca="1">IFERROR(__xludf.DUMMYFUNCTION("""COMPUTED_VALUE"""),"Creación de la Secretaría de Cultura, con una visión social de la política cultural.")</f>
        <v>Creación de la Secretaría de Cultura, con una visión social de la política cultural.</v>
      </c>
      <c r="AN458" s="30" t="str">
        <f ca="1">IFERROR(__xludf.DUMMYFUNCTION("""COMPUTED_VALUE"""),"2 Igualdad")</f>
        <v>2 Igualdad</v>
      </c>
      <c r="AO458" s="30" t="str">
        <f ca="1">IFERROR(__xludf.DUMMYFUNCTION("""COMPUTED_VALUE"""),"2.4 Reducir brechas de desigualdad")</f>
        <v>2.4 Reducir brechas de desigualdad</v>
      </c>
      <c r="AP458" s="30" t="str">
        <f ca="1">IFERROR(__xludf.DUMMYFUNCTION("""COMPUTED_VALUE"""),"2.4.3 Descentralización de la oferta cultural")</f>
        <v>2.4.3 Descentralización de la oferta cultural</v>
      </c>
      <c r="AQ458" s="30" t="str">
        <f ca="1">IFERROR(__xludf.DUMMYFUNCTION("""COMPUTED_VALUE"""),"2.4.3.3 Incidir en el involucramiento de las personas con el ecosistema cultural")</f>
        <v>2.4.3.3 Incidir en el involucramiento de las personas con el ecosistema cultural</v>
      </c>
      <c r="AR458" s="30" t="str">
        <f ca="1">IFERROR(__xludf.DUMMYFUNCTION("""COMPUTED_VALUE"""),"Ninguno")</f>
        <v>Ninguno</v>
      </c>
      <c r="AS458" s="30"/>
      <c r="AT458" s="30" t="str">
        <f ca="1">IFERROR(__xludf.DUMMYFUNCTION("""COMPUTED_VALUE"""),"Fortalecimiento de la participación ciudadana y la mediación cultural")</f>
        <v>Fortalecimiento de la participación ciudadana y la mediación cultural</v>
      </c>
      <c r="AU458" s="30" t="str">
        <f ca="1">IFERROR(__xludf.DUMMYFUNCTION("""COMPUTED_VALUE"""),"Impulso a la ampliación de la oferta cultural en los territorios.")</f>
        <v>Impulso a la ampliación de la oferta cultural en los territorios.</v>
      </c>
      <c r="AV45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58" s="30" t="str">
        <f ca="1">IFERROR(__xludf.DUMMYFUNCTION("""COMPUTED_VALUE"""),"Incrementar en 25% la oferta cultural realizada en los municipios.")</f>
        <v>Incrementar en 25% la oferta cultural realizada en los municipios.</v>
      </c>
      <c r="AX458" s="30" t="str">
        <f ca="1">IFERROR(__xludf.DUMMYFUNCTION("""COMPUTED_VALUE"""),"Exposición")</f>
        <v>Exposición</v>
      </c>
      <c r="AY458" s="30" t="str">
        <f ca="1">IFERROR(__xludf.DUMMYFUNCTION("""COMPUTED_VALUE"""),"Creación")</f>
        <v>Creación</v>
      </c>
      <c r="AZ458" s="30"/>
      <c r="BA458" s="30"/>
      <c r="BB458" s="30">
        <f ca="1">IFERROR(__xludf.DUMMYFUNCTION("""COMPUTED_VALUE"""),1)</f>
        <v>1</v>
      </c>
      <c r="BC458" s="30">
        <f ca="1">IFERROR(__xludf.DUMMYFUNCTION("""COMPUTED_VALUE"""),0)</f>
        <v>0</v>
      </c>
      <c r="BD458" s="30"/>
      <c r="BE458" s="30"/>
      <c r="BF458" s="30" t="b">
        <f ca="1">IFERROR(__xludf.DUMMYFUNCTION("""COMPUTED_VALUE"""),FALSE)</f>
        <v>0</v>
      </c>
      <c r="BG458" s="30"/>
      <c r="BH458" s="30"/>
      <c r="BI458" s="30"/>
      <c r="BJ458" s="30"/>
      <c r="BK458" s="30"/>
      <c r="BL458" s="30"/>
      <c r="BM458" s="30" t="str">
        <f ca="1">IFERROR(__xludf.DUMMYFUNCTION("""COMPUTED_VALUE"""),"No")</f>
        <v>No</v>
      </c>
      <c r="BN458" s="30"/>
      <c r="BO458" s="30" t="str">
        <f ca="1">IFERROR(__xludf.DUMMYFUNCTION("""COMPUTED_VALUE"""),"604e73b6")</f>
        <v>604e73b6</v>
      </c>
      <c r="BP458" s="29" t="str">
        <f ca="1">IFERROR(__xludf.DUMMYFUNCTION("""COMPUTED_VALUE"""),"Salamanca")</f>
        <v>Salamanca</v>
      </c>
      <c r="BQ458" s="30" t="str">
        <f ca="1">IFERROR(__xludf.DUMMYFUNCTION("""COMPUTED_VALUE"""),"Urbano")</f>
        <v>Urbano</v>
      </c>
      <c r="BR458" s="30">
        <f ca="1">IFERROR(__xludf.DUMMYFUNCTION("""COMPUTED_VALUE"""),181)</f>
        <v>181</v>
      </c>
      <c r="BS458" s="30" t="str">
        <f ca="1">IFERROR(__xludf.DUMMYFUNCTION("""COMPUTED_VALUE"""),"Salamanca")</f>
        <v>Salamanca</v>
      </c>
      <c r="BT458" s="30"/>
      <c r="BU458" s="30" t="str">
        <f ca="1">IFERROR(__xludf.DUMMYFUNCTION("""COMPUTED_VALUE"""),"Si")</f>
        <v>Si</v>
      </c>
      <c r="BV458" s="30" t="str">
        <f ca="1">IFERROR(__xludf.DUMMYFUNCTION("""COMPUTED_VALUE"""),"Si")</f>
        <v>Si</v>
      </c>
      <c r="BW458" s="30">
        <f ca="1">IFERROR(__xludf.DUMMYFUNCTION("""COMPUTED_VALUE"""),31)</f>
        <v>31</v>
      </c>
      <c r="BX458" s="30"/>
      <c r="BY458" s="30">
        <f ca="1">IFERROR(__xludf.DUMMYFUNCTION("""COMPUTED_VALUE"""),31)</f>
        <v>31</v>
      </c>
      <c r="BZ458" s="30" t="str">
        <f ca="1">IFERROR(__xludf.DUMMYFUNCTION("""COMPUTED_VALUE"""),"Salamanca")</f>
        <v>Salamanca</v>
      </c>
      <c r="CA458" s="30" t="str">
        <f ca="1">IFERROR(__xludf.DUMMYFUNCTION("""COMPUTED_VALUE"""),"No")</f>
        <v>No</v>
      </c>
      <c r="CB458" s="30" t="str">
        <f ca="1">IFERROR(__xludf.DUMMYFUNCTION("""COMPUTED_VALUE"""),"No")</f>
        <v>No</v>
      </c>
      <c r="CC458" s="30" t="str">
        <f ca="1">IFERROR(__xludf.DUMMYFUNCTION("""COMPUTED_VALUE"""),"ccf01025")</f>
        <v>ccf01025</v>
      </c>
      <c r="CD458" s="29" t="str">
        <f ca="1">IFERROR(__xludf.DUMMYFUNCTION("""COMPUTED_VALUE"""),"Jóvenes (18 a 29 años)")</f>
        <v>Jóvenes (18 a 29 años)</v>
      </c>
      <c r="CE458" s="30" t="str">
        <f ca="1">IFERROR(__xludf.DUMMYFUNCTION("""COMPUTED_VALUE"""),"No se cuenta con el dato")</f>
        <v>No se cuenta con el dato</v>
      </c>
      <c r="CF458" s="30" t="str">
        <f ca="1">IFERROR(__xludf.DUMMYFUNCTION("""COMPUTED_VALUE"""),"Ninguno (Población General)")</f>
        <v>Ninguno (Población General)</v>
      </c>
      <c r="CG458" s="30">
        <f ca="1">IFERROR(__xludf.DUMMYFUNCTION("""COMPUTED_VALUE"""),3)</f>
        <v>3</v>
      </c>
      <c r="CJ458" s="29"/>
      <c r="CM458" s="30" t="str">
        <f ca="1">IFERROR(__xludf.DUMMYFUNCTION("""COMPUTED_VALUE"""),"Salamanca")</f>
        <v>Salamanca</v>
      </c>
      <c r="CN458" s="32" t="e">
        <f ca="1"/>
        <v>#NAME?</v>
      </c>
      <c r="CO458" s="32" t="e">
        <f ca="1"/>
        <v>#NAME?</v>
      </c>
      <c r="CP458" s="32" t="e">
        <f ca="1"/>
        <v>#NAME?</v>
      </c>
      <c r="CQ458" s="32" t="e">
        <f ca="1"/>
        <v>#NAME?</v>
      </c>
      <c r="CR458" s="30" t="e">
        <f ca="1"/>
        <v>#NAME?</v>
      </c>
      <c r="CS458" s="30" t="str">
        <f ca="1">IFERROR(__xludf.DUMMYFUNCTION("""COMPUTED_VALUE"""),"NNA (Niñas, Niños y Adolescentes), NNA (Niñas, Niños y Adolescentes), Ninguno (Población General), Ninguno (Población General), NNA (Niñas, Niños y Adolescentes)")</f>
        <v>NNA (Niñas, Niños y Adolescentes), NNA (Niñas, Niños y Adolescentes), Ninguno (Población General), Ninguno (Población General), NNA (Niñas, Niños y Adolescentes)</v>
      </c>
    </row>
    <row r="459" spans="1:97" ht="13">
      <c r="A459" s="29" t="str">
        <f ca="1">IFERROR(__xludf.DUMMYFUNCTION("""COMPUTED_VALUE"""),"ACT-SCDW90018")</f>
        <v>ACT-SCDW90018</v>
      </c>
      <c r="B459" s="30" t="str">
        <f ca="1">IFERROR(__xludf.DUMMYFUNCTION("""COMPUTED_VALUE"""),"SC-260923-154150")</f>
        <v>SC-260923-154150</v>
      </c>
      <c r="C459" s="62">
        <f ca="1">IFERROR(__xludf.DUMMYFUNCTION("""COMPUTED_VALUE"""),46288.6540509259)</f>
        <v>46288.654050925899</v>
      </c>
      <c r="D459" s="30">
        <f ca="1">IFERROR(__xludf.DUMMYFUNCTION("""COMPUTED_VALUE"""),10)</f>
        <v>10</v>
      </c>
      <c r="E459" s="30" t="str">
        <f ca="1">IFERROR(__xludf.DUMMYFUNCTION("""COMPUTED_VALUE"""),"QC4142")</f>
        <v>QC4142</v>
      </c>
      <c r="F459" s="30" t="str">
        <f ca="1">IFERROR(__xludf.DUMMYFUNCTION("""COMPUTED_VALUE"""),"Ventanas al Territorio")</f>
        <v>Ventanas al Territorio</v>
      </c>
      <c r="G459" s="30" t="str">
        <f ca="1">IFERROR(__xludf.DUMMYFUNCTION("""COMPUTED_VALUE"""),"Programa de artes vivas en los 46 municipios, con presentaciones, talleres y procesos creativos de teatro, música, danza, narración oral y arte circense, participan agrupaciones locales, estatales e invitadas, articulada con espacios culturales y acompaña"&amp;"da de mediación y formación comunitaria")</f>
        <v>Programa de artes vivas en los 46 municipios, con presentaciones, talleres y procesos creativos de teatro, música, danza, narración oral y arte circense, participan agrupaciones locales, estatales e invitadas, articulada con espacios culturales y acompañada de mediación y formación comunitaria</v>
      </c>
      <c r="H459" s="30" t="str">
        <f ca="1">IFERROR(__xludf.DUMMYFUNCTION("""COMPUTED_VALUE"""),"SUBSECRETARÍA DE DESARROLLO Y PROMOCIÓN ARTÍSTICA Y CULTURAL")</f>
        <v>SUBSECRETARÍA DE DESARROLLO Y PROMOCIÓN ARTÍSTICA Y CULTURAL</v>
      </c>
      <c r="I459" s="34" t="str">
        <f ca="1">IFERROR(__xludf.DUMMYFUNCTION("""COMPUTED_VALUE"""),"SIN ASIGNAR")</f>
        <v>SIN ASIGNAR</v>
      </c>
      <c r="J459" s="30" t="str">
        <f ca="1">IFERROR(__xludf.DUMMYFUNCTION("""COMPUTED_VALUE"""),"Presentaciones realizadas")</f>
        <v>Presentaciones realizadas</v>
      </c>
      <c r="K459" s="30">
        <f ca="1">IFERROR(__xludf.DUMMYFUNCTION("""COMPUTED_VALUE"""),20)</f>
        <v>20</v>
      </c>
      <c r="L459" s="30" t="str">
        <f ca="1">IFERROR(__xludf.DUMMYFUNCTION("""COMPUTED_VALUE"""),"Artística")</f>
        <v>Artística</v>
      </c>
      <c r="M459" s="30" t="str">
        <f ca="1">IFERROR(__xludf.DUMMYFUNCTION("""COMPUTED_VALUE"""),"Asamblea WAPA - Taller de maquillaje teatral de danza")</f>
        <v>Asamblea WAPA - Taller de maquillaje teatral de danza</v>
      </c>
      <c r="N459" s="30" t="str">
        <f ca="1">IFERROR(__xludf.DUMMYFUNCTION("""COMPUTED_VALUE"""),"Desarrollo de taller de maquillaje teatral de danza en el marco de la 10ma Asamblea WAPA.")</f>
        <v>Desarrollo de taller de maquillaje teatral de danza en el marco de la 10ma Asamblea WAPA.</v>
      </c>
      <c r="O459" s="30" t="str">
        <f ca="1">IFERROR(__xludf.DUMMYFUNCTION("""COMPUTED_VALUE"""),"Única")</f>
        <v>Única</v>
      </c>
      <c r="P459" s="33">
        <f ca="1">IFERROR(__xludf.DUMMYFUNCTION("""COMPUTED_VALUE"""),46109)</f>
        <v>46109</v>
      </c>
      <c r="Q459" s="33">
        <f ca="1">IFERROR(__xludf.DUMMYFUNCTION("""COMPUTED_VALUE"""),46109)</f>
        <v>46109</v>
      </c>
      <c r="R459" s="30">
        <f ca="1">IFERROR(__xludf.DUMMYFUNCTION("""COMPUTED_VALUE"""),1)</f>
        <v>1</v>
      </c>
      <c r="S459" s="30" t="str">
        <f ca="1">IFERROR(__xludf.DUMMYFUNCTION("""COMPUTED_VALUE"""),"Artes visuales")</f>
        <v>Artes visuales</v>
      </c>
      <c r="T459" s="30" t="str">
        <f ca="1">IFERROR(__xludf.DUMMYFUNCTION("""COMPUTED_VALUE"""),"Performance visual")</f>
        <v>Performance visual</v>
      </c>
      <c r="U459" s="30" t="str">
        <f ca="1">IFERROR(__xludf.DUMMYFUNCTION("""COMPUTED_VALUE"""),"Taller")</f>
        <v>Taller</v>
      </c>
      <c r="V459" s="30" t="str">
        <f ca="1">IFERROR(__xludf.DUMMYFUNCTION("""COMPUTED_VALUE"""),"Ninguna")</f>
        <v>Ninguna</v>
      </c>
      <c r="W459" s="30" t="str">
        <f ca="1">IFERROR(__xludf.DUMMYFUNCTION("""COMPUTED_VALUE"""),"Presencial")</f>
        <v>Presencial</v>
      </c>
      <c r="X459" s="30" t="str">
        <f ca="1">IFERROR(__xludf.DUMMYFUNCTION("""COMPUTED_VALUE"""),"Espacio Privado")</f>
        <v>Espacio Privado</v>
      </c>
      <c r="Y459" s="30"/>
      <c r="Z459" s="30" t="str">
        <f ca="1">IFERROR(__xludf.DUMMYFUNCTION("""COMPUTED_VALUE"""),"Centro Cultural Mariel")</f>
        <v>Centro Cultural Mariel</v>
      </c>
      <c r="AA459" s="30"/>
      <c r="AB459" s="30" t="b">
        <f ca="1">IFERROR(__xludf.DUMMYFUNCTION("""COMPUTED_VALUE"""),FALSE)</f>
        <v>0</v>
      </c>
      <c r="AC459" s="30"/>
      <c r="AD459" s="30" t="b">
        <f ca="1">IFERROR(__xludf.DUMMYFUNCTION("""COMPUTED_VALUE"""),TRUE)</f>
        <v>1</v>
      </c>
      <c r="AE459" s="30">
        <f ca="1">IFERROR(__xludf.DUMMYFUNCTION("""COMPUTED_VALUE"""),1)</f>
        <v>1</v>
      </c>
      <c r="AF459" s="30" t="b">
        <f ca="1">IFERROR(__xludf.DUMMYFUNCTION("""COMPUTED_VALUE"""),FALSE)</f>
        <v>0</v>
      </c>
      <c r="AG459" s="30"/>
      <c r="AH459" s="30" t="str">
        <f ca="1">IFERROR(__xludf.DUMMYFUNCTION("""COMPUTED_VALUE"""),"Sin costo")</f>
        <v>Sin costo</v>
      </c>
      <c r="AI459" s="30"/>
      <c r="AJ459" s="30"/>
      <c r="AK459" s="30"/>
      <c r="AL459" s="30" t="str">
        <f ca="1">IFERROR(__xludf.DUMMYFUNCTION("""COMPUTED_VALUE"""),"iysalazarh@guanajuato.gob.mx")</f>
        <v>iysalazarh@guanajuato.gob.mx</v>
      </c>
      <c r="AM459" s="30" t="str">
        <f ca="1">IFERROR(__xludf.DUMMYFUNCTION("""COMPUTED_VALUE"""),"Apoyos para artistas populares.")</f>
        <v>Apoyos para artistas populares.</v>
      </c>
      <c r="AN459" s="30" t="str">
        <f ca="1">IFERROR(__xludf.DUMMYFUNCTION("""COMPUTED_VALUE"""),"5 Prosperidad")</f>
        <v>5 Prosperidad</v>
      </c>
      <c r="AO459" s="30" t="str">
        <f ca="1">IFERROR(__xludf.DUMMYFUNCTION("""COMPUTED_VALUE"""),"5.5 Detonar economía naranja")</f>
        <v>5.5 Detonar economía naranja</v>
      </c>
      <c r="AP459" s="30" t="str">
        <f ca="1">IFERROR(__xludf.DUMMYFUNCTION("""COMPUTED_VALUE"""),"5.5 Detonar economía naranja")</f>
        <v>5.5 Detonar economía naranja</v>
      </c>
      <c r="AQ459" s="30" t="str">
        <f ca="1">IFERROR(__xludf.DUMMYFUNCTION("""COMPUTED_VALUE"""),"5.5 Detonar economía naranja")</f>
        <v>5.5 Detonar economía naranja</v>
      </c>
      <c r="AR459" s="30" t="str">
        <f ca="1">IFERROR(__xludf.DUMMYFUNCTION("""COMPUTED_VALUE"""),"Ninguno")</f>
        <v>Ninguno</v>
      </c>
      <c r="AS459" s="30"/>
      <c r="AT459" s="30" t="str">
        <f ca="1">IFERROR(__xludf.DUMMYFUNCTION("""COMPUTED_VALUE"""),"Fortalecimiento de la participación ciudadana y la mediación cultural")</f>
        <v>Fortalecimiento de la participación ciudadana y la mediación cultural</v>
      </c>
      <c r="AU459" s="30" t="str">
        <f ca="1">IFERROR(__xludf.DUMMYFUNCTION("""COMPUTED_VALUE"""),"Impulso a la ampliación de la oferta cultural en los territorios.")</f>
        <v>Impulso a la ampliación de la oferta cultural en los territorios.</v>
      </c>
      <c r="AV459" s="30" t="str">
        <f ca="1">IFERROR(__xludf.DUMMYFUNCTION("""COMPUTED_VALUE"""),"Impulsar los proyectos culturales itinerantes.")</f>
        <v>Impulsar los proyectos culturales itinerantes.</v>
      </c>
      <c r="AW459" s="30" t="str">
        <f ca="1">IFERROR(__xludf.DUMMYFUNCTION("""COMPUTED_VALUE"""),"Incrementar en 25% la oferta cultural realizada en los municipios.")</f>
        <v>Incrementar en 25% la oferta cultural realizada en los municipios.</v>
      </c>
      <c r="AX459" s="30" t="str">
        <f ca="1">IFERROR(__xludf.DUMMYFUNCTION("""COMPUTED_VALUE"""),"Asamblea WAPA - Taller de maquillaje teatral de danza")</f>
        <v>Asamblea WAPA - Taller de maquillaje teatral de danza</v>
      </c>
      <c r="AY459" s="30" t="str">
        <f ca="1">IFERROR(__xludf.DUMMYFUNCTION("""COMPUTED_VALUE"""),"Formación")</f>
        <v>Formación</v>
      </c>
      <c r="AZ459" s="30" t="str">
        <f ca="1">IFERROR(__xludf.DUMMYFUNCTION("""COMPUTED_VALUE"""),"Formación")</f>
        <v>Formación</v>
      </c>
      <c r="BA459" s="30" t="str">
        <f ca="1">IFERROR(__xludf.DUMMYFUNCTION("""COMPUTED_VALUE"""),"Desarrollo de taller de maquillaje teatral de danza en el marco de la 10ma Asamblea WAPA.")</f>
        <v>Desarrollo de taller de maquillaje teatral de danza en el marco de la 10ma Asamblea WAPA.</v>
      </c>
      <c r="BB459" s="30">
        <f ca="1">IFERROR(__xludf.DUMMYFUNCTION("""COMPUTED_VALUE"""),5)</f>
        <v>5</v>
      </c>
      <c r="BC459" s="30">
        <f ca="1">IFERROR(__xludf.DUMMYFUNCTION("""COMPUTED_VALUE"""),1)</f>
        <v>1</v>
      </c>
      <c r="BD459" s="30" t="str">
        <f ca="1">IFERROR(__xludf.DUMMYFUNCTION("""COMPUTED_VALUE"""),"Nuevo")</f>
        <v>Nuevo</v>
      </c>
      <c r="BE459" s="30"/>
      <c r="BF459" s="30" t="b">
        <f ca="1">IFERROR(__xludf.DUMMYFUNCTION("""COMPUTED_VALUE"""),TRUE)</f>
        <v>1</v>
      </c>
      <c r="BG459" s="30" t="str">
        <f ca="1">IFERROR(__xludf.DUMMYFUNCTION("""COMPUTED_VALUE"""),"Económico")</f>
        <v>Económico</v>
      </c>
      <c r="BH459" s="30"/>
      <c r="BI459" s="30"/>
      <c r="BJ459" s="30"/>
      <c r="BK459" s="30"/>
      <c r="BL459" s="30"/>
      <c r="BM459" s="30" t="str">
        <f ca="1">IFERROR(__xludf.DUMMYFUNCTION("""COMPUTED_VALUE"""),"No")</f>
        <v>No</v>
      </c>
      <c r="BN459" s="30"/>
      <c r="BO459" s="30" t="str">
        <f ca="1">IFERROR(__xludf.DUMMYFUNCTION("""COMPUTED_VALUE"""),"ff8d2997")</f>
        <v>ff8d2997</v>
      </c>
      <c r="BP459" s="29" t="str">
        <f ca="1">IFERROR(__xludf.DUMMYFUNCTION("""COMPUTED_VALUE"""),"Salamanca")</f>
        <v>Salamanca</v>
      </c>
      <c r="BQ459" s="30" t="str">
        <f ca="1">IFERROR(__xludf.DUMMYFUNCTION("""COMPUTED_VALUE"""),"Urbano")</f>
        <v>Urbano</v>
      </c>
      <c r="BR459" s="30">
        <f ca="1">IFERROR(__xludf.DUMMYFUNCTION("""COMPUTED_VALUE"""),181)</f>
        <v>181</v>
      </c>
      <c r="BS459" s="30" t="str">
        <f ca="1">IFERROR(__xludf.DUMMYFUNCTION("""COMPUTED_VALUE"""),"Salamanca")</f>
        <v>Salamanca</v>
      </c>
      <c r="BT459" s="30"/>
      <c r="BU459" s="30" t="str">
        <f ca="1">IFERROR(__xludf.DUMMYFUNCTION("""COMPUTED_VALUE"""),"Si")</f>
        <v>Si</v>
      </c>
      <c r="BV459" s="30" t="str">
        <f ca="1">IFERROR(__xludf.DUMMYFUNCTION("""COMPUTED_VALUE"""),"Si")</f>
        <v>Si</v>
      </c>
      <c r="BW459" s="30">
        <f ca="1">IFERROR(__xludf.DUMMYFUNCTION("""COMPUTED_VALUE"""),61)</f>
        <v>61</v>
      </c>
      <c r="BX459" s="30">
        <f ca="1">IFERROR(__xludf.DUMMYFUNCTION("""COMPUTED_VALUE"""),30)</f>
        <v>30</v>
      </c>
      <c r="BY459" s="30">
        <f ca="1">IFERROR(__xludf.DUMMYFUNCTION("""COMPUTED_VALUE"""),31)</f>
        <v>31</v>
      </c>
      <c r="BZ459" s="30" t="str">
        <f ca="1">IFERROR(__xludf.DUMMYFUNCTION("""COMPUTED_VALUE"""),"Salamanca")</f>
        <v>Salamanca</v>
      </c>
      <c r="CA459" s="30" t="str">
        <f ca="1">IFERROR(__xludf.DUMMYFUNCTION("""COMPUTED_VALUE"""),"No")</f>
        <v>No</v>
      </c>
      <c r="CB459" s="30" t="str">
        <f ca="1">IFERROR(__xludf.DUMMYFUNCTION("""COMPUTED_VALUE"""),"No")</f>
        <v>No</v>
      </c>
      <c r="CC459" s="30" t="str">
        <f ca="1">IFERROR(__xludf.DUMMYFUNCTION("""COMPUTED_VALUE"""),"43192eac")</f>
        <v>43192eac</v>
      </c>
      <c r="CD459" s="29" t="str">
        <f ca="1">IFERROR(__xludf.DUMMYFUNCTION("""COMPUTED_VALUE"""),"Adultos (30 a 59 años)")</f>
        <v>Adultos (30 a 59 años)</v>
      </c>
      <c r="CE459" s="30" t="str">
        <f ca="1">IFERROR(__xludf.DUMMYFUNCTION("""COMPUTED_VALUE"""),"No se cuenta con el dato")</f>
        <v>No se cuenta con el dato</v>
      </c>
      <c r="CF459" s="30" t="str">
        <f ca="1">IFERROR(__xludf.DUMMYFUNCTION("""COMPUTED_VALUE"""),"Ninguno (Población General)")</f>
        <v>Ninguno (Población General)</v>
      </c>
      <c r="CG459" s="30">
        <f ca="1">IFERROR(__xludf.DUMMYFUNCTION("""COMPUTED_VALUE"""),12)</f>
        <v>12</v>
      </c>
      <c r="CJ459" s="29"/>
      <c r="CM459" s="30" t="str">
        <f ca="1">IFERROR(__xludf.DUMMYFUNCTION("""COMPUTED_VALUE"""),"Salamanca")</f>
        <v>Salamanca</v>
      </c>
      <c r="CN459" s="32" t="e">
        <f ca="1"/>
        <v>#NAME?</v>
      </c>
      <c r="CO459" s="32" t="e">
        <f ca="1"/>
        <v>#NAME?</v>
      </c>
      <c r="CP459" s="32" t="e">
        <f ca="1"/>
        <v>#NAME?</v>
      </c>
      <c r="CQ459" s="32" t="e">
        <f ca="1"/>
        <v>#NAME?</v>
      </c>
      <c r="CR459" s="30" t="e">
        <f ca="1"/>
        <v>#NAME?</v>
      </c>
      <c r="CS459" s="30" t="str">
        <f ca="1">IFERROR(__xludf.DUMMYFUNCTION("""COMPUTED_VALUE"""),"Ninguno (Población General), NNA (Niñas, Niños y Adolescentes)")</f>
        <v>Ninguno (Población General), NNA (Niñas, Niños y Adolescentes)</v>
      </c>
    </row>
    <row r="460" spans="1:97" ht="13">
      <c r="A460" s="29" t="str">
        <f ca="1">IFERROR(__xludf.DUMMYFUNCTION("""COMPUTED_VALUE"""),"ACT-SCIB95757")</f>
        <v>ACT-SCIB95757</v>
      </c>
      <c r="B460" s="30" t="str">
        <f ca="1">IFERROR(__xludf.DUMMYFUNCTION("""COMPUTED_VALUE"""),"SC-260923-155158")</f>
        <v>SC-260923-155158</v>
      </c>
      <c r="C460" s="62">
        <f ca="1">IFERROR(__xludf.DUMMYFUNCTION("""COMPUTED_VALUE"""),46288.6610879629)</f>
        <v>46288.661087962901</v>
      </c>
      <c r="D460" s="30">
        <f ca="1">IFERROR(__xludf.DUMMYFUNCTION("""COMPUTED_VALUE"""),92)</f>
        <v>92</v>
      </c>
      <c r="E460" s="30" t="str">
        <f ca="1">IFERROR(__xludf.DUMMYFUNCTION("""COMPUTED_VALUE"""),"PB3572")</f>
        <v>PB3572</v>
      </c>
      <c r="F46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6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60" s="30" t="str">
        <f ca="1">IFERROR(__xludf.DUMMYFUNCTION("""COMPUTED_VALUE"""),"SUBSECRETARÍA DE DESARROLLO Y PROMOCIÓN ARTÍSTICA Y CULTURAL")</f>
        <v>SUBSECRETARÍA DE DESARROLLO Y PROMOCIÓN ARTÍSTICA Y CULTURAL</v>
      </c>
      <c r="I460" s="34" t="str">
        <f ca="1">IFERROR(__xludf.DUMMYFUNCTION("""COMPUTED_VALUE"""),"DIRECCIÓN GENERAL DE MUSEOS, ARTES VISUALES Y EXPOSICIONES")</f>
        <v>DIRECCIÓN GENERAL DE MUSEOS, ARTES VISUALES Y EXPOSICIONES</v>
      </c>
      <c r="J460" s="30" t="str">
        <f ca="1">IFERROR(__xludf.DUMMYFUNCTION("""COMPUTED_VALUE"""),"Número de Actividades realizadas")</f>
        <v>Número de Actividades realizadas</v>
      </c>
      <c r="K460" s="30">
        <f ca="1">IFERROR(__xludf.DUMMYFUNCTION("""COMPUTED_VALUE"""),800)</f>
        <v>800</v>
      </c>
      <c r="L460" s="30" t="str">
        <f ca="1">IFERROR(__xludf.DUMMYFUNCTION("""COMPUTED_VALUE"""),"Cultural")</f>
        <v>Cultural</v>
      </c>
      <c r="M460" s="30" t="str">
        <f ca="1">IFERROR(__xludf.DUMMYFUNCTION("""COMPUTED_VALUE"""),"Circulo de lectura e identidad")</f>
        <v>Circulo de lectura e identidad</v>
      </c>
      <c r="N460" s="30" t="str">
        <f ca="1">IFERROR(__xludf.DUMMYFUNCTION("""COMPUTED_VALUE"""),"Circulo de Lectura")</f>
        <v>Circulo de Lectura</v>
      </c>
      <c r="O460" s="30" t="str">
        <f ca="1">IFERROR(__xludf.DUMMYFUNCTION("""COMPUTED_VALUE"""),"Semanal")</f>
        <v>Semanal</v>
      </c>
      <c r="P460" s="33">
        <f ca="1">IFERROR(__xludf.DUMMYFUNCTION("""COMPUTED_VALUE"""),46268)</f>
        <v>46268</v>
      </c>
      <c r="Q460" s="33">
        <f ca="1">IFERROR(__xludf.DUMMYFUNCTION("""COMPUTED_VALUE"""),46289)</f>
        <v>46289</v>
      </c>
      <c r="R460" s="30">
        <f ca="1">IFERROR(__xludf.DUMMYFUNCTION("""COMPUTED_VALUE"""),4)</f>
        <v>4</v>
      </c>
      <c r="S460" s="30" t="str">
        <f ca="1">IFERROR(__xludf.DUMMYFUNCTION("""COMPUTED_VALUE"""),"Literatura")</f>
        <v>Literatura</v>
      </c>
      <c r="T460" s="30" t="str">
        <f ca="1">IFERROR(__xludf.DUMMYFUNCTION("""COMPUTED_VALUE"""),"Fomento a la lectura")</f>
        <v>Fomento a la lectura</v>
      </c>
      <c r="U460" s="30" t="str">
        <f ca="1">IFERROR(__xludf.DUMMYFUNCTION("""COMPUTED_VALUE"""),"Programación cultural en recinto")</f>
        <v>Programación cultural en recinto</v>
      </c>
      <c r="V460" s="30" t="str">
        <f ca="1">IFERROR(__xludf.DUMMYFUNCTION("""COMPUTED_VALUE"""),"Ninguna")</f>
        <v>Ninguna</v>
      </c>
      <c r="W460" s="30" t="str">
        <f ca="1">IFERROR(__xludf.DUMMYFUNCTION("""COMPUTED_VALUE"""),"Presencial")</f>
        <v>Presencial</v>
      </c>
      <c r="X460" s="30" t="str">
        <f ca="1">IFERROR(__xludf.DUMMYFUNCTION("""COMPUTED_VALUE"""),"Espacio a Cargo de la Secretaría")</f>
        <v>Espacio a Cargo de la Secretaría</v>
      </c>
      <c r="Y460" s="30" t="str">
        <f ca="1">IFERROR(__xludf.DUMMYFUNCTION("""COMPUTED_VALUE"""),"Museo José y Tomas Chavez Morado")</f>
        <v>Museo José y Tomas Chavez Morado</v>
      </c>
      <c r="Z460" s="30"/>
      <c r="AA460" s="30"/>
      <c r="AB460" s="30" t="b">
        <f ca="1">IFERROR(__xludf.DUMMYFUNCTION("""COMPUTED_VALUE"""),FALSE)</f>
        <v>0</v>
      </c>
      <c r="AC460" s="30"/>
      <c r="AD460" s="30" t="b">
        <f ca="1">IFERROR(__xludf.DUMMYFUNCTION("""COMPUTED_VALUE"""),FALSE)</f>
        <v>0</v>
      </c>
      <c r="AE460" s="30"/>
      <c r="AF460" s="30" t="b">
        <f ca="1">IFERROR(__xludf.DUMMYFUNCTION("""COMPUTED_VALUE"""),FALSE)</f>
        <v>0</v>
      </c>
      <c r="AG460" s="30"/>
      <c r="AH460" s="30" t="str">
        <f ca="1">IFERROR(__xludf.DUMMYFUNCTION("""COMPUTED_VALUE"""),"Sin costo")</f>
        <v>Sin costo</v>
      </c>
      <c r="AI460" s="30"/>
      <c r="AJ460" s="30"/>
      <c r="AK460" s="30"/>
      <c r="AL460" s="30" t="str">
        <f ca="1">IFERROR(__xludf.DUMMYFUNCTION("""COMPUTED_VALUE"""),"ccardonav@guanajuato.gob.mx")</f>
        <v>ccardonav@guanajuato.gob.mx</v>
      </c>
      <c r="AM460" s="30" t="str">
        <f ca="1">IFERROR(__xludf.DUMMYFUNCTION("""COMPUTED_VALUE"""),"Leer para crecer.")</f>
        <v>Leer para crecer.</v>
      </c>
      <c r="AN460" s="30" t="str">
        <f ca="1">IFERROR(__xludf.DUMMYFUNCTION("""COMPUTED_VALUE"""),"1 Tranquilidad")</f>
        <v>1 Tranquilidad</v>
      </c>
      <c r="AO460" s="30" t="str">
        <f ca="1">IFERROR(__xludf.DUMMYFUNCTION("""COMPUTED_VALUE"""),"1.2 Fortalecer prevención del delito")</f>
        <v>1.2 Fortalecer prevención del delito</v>
      </c>
      <c r="AP460" s="30" t="str">
        <f ca="1">IFERROR(__xludf.DUMMYFUNCTION("""COMPUTED_VALUE"""),"1.2.2 Fortalecimiento del tejido social")</f>
        <v>1.2.2 Fortalecimiento del tejido social</v>
      </c>
      <c r="AQ460" s="30" t="str">
        <f ca="1">IFERROR(__xludf.DUMMYFUNCTION("""COMPUTED_VALUE"""),"1.2.3.4 Promover una cultura de paz desde las expresiones artísticas y culturales")</f>
        <v>1.2.3.4 Promover una cultura de paz desde las expresiones artísticas y culturales</v>
      </c>
      <c r="AR460" s="30" t="str">
        <f ca="1">IFERROR(__xludf.DUMMYFUNCTION("""COMPUTED_VALUE"""),"Cooperación")</f>
        <v>Cooperación</v>
      </c>
      <c r="AS460" s="30"/>
      <c r="AT460" s="30" t="str">
        <f ca="1">IFERROR(__xludf.DUMMYFUNCTION("""COMPUTED_VALUE"""),"Sostenibilidad del trabajo cultural y la economía creativa.")</f>
        <v>Sostenibilidad del trabajo cultural y la economía creativa.</v>
      </c>
      <c r="AU460"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60" s="30" t="str">
        <f ca="1">IFERROR(__xludf.DUMMYFUNCTION("""COMPUTED_VALUE"""),"Diseñar programas de formación y gestión cultural de base comunitaria.")</f>
        <v>Diseñar programas de formación y gestión cultural de base comunitaria.</v>
      </c>
      <c r="AW460"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60" s="30" t="str">
        <f ca="1">IFERROR(__xludf.DUMMYFUNCTION("""COMPUTED_VALUE"""),"Campaña de difusión cultural")</f>
        <v>Campaña de difusión cultural</v>
      </c>
      <c r="AY460" s="30" t="str">
        <f ca="1">IFERROR(__xludf.DUMMYFUNCTION("""COMPUTED_VALUE"""),"Circulación / Exhibición")</f>
        <v>Circulación / Exhibición</v>
      </c>
      <c r="AZ460" s="30"/>
      <c r="BA460" s="30"/>
      <c r="BB460" s="30"/>
      <c r="BC460" s="30">
        <f ca="1">IFERROR(__xludf.DUMMYFUNCTION("""COMPUTED_VALUE"""),0)</f>
        <v>0</v>
      </c>
      <c r="BD460" s="30"/>
      <c r="BE460" s="30"/>
      <c r="BF460" s="30" t="b">
        <f ca="1">IFERROR(__xludf.DUMMYFUNCTION("""COMPUTED_VALUE"""),FALSE)</f>
        <v>0</v>
      </c>
      <c r="BG460" s="30"/>
      <c r="BH460" s="30"/>
      <c r="BI460" s="30"/>
      <c r="BJ460" s="30"/>
      <c r="BK460" s="30"/>
      <c r="BL460" s="30" t="str">
        <f ca="1">IFERROR(__xludf.DUMMYFUNCTION("""COMPUTED_VALUE"""),"Se contacto a lector")</f>
        <v>Se contacto a lector</v>
      </c>
      <c r="BM460" s="30" t="str">
        <f ca="1">IFERROR(__xludf.DUMMYFUNCTION("""COMPUTED_VALUE"""),"Sí")</f>
        <v>Sí</v>
      </c>
      <c r="BN460" s="30" t="str">
        <f ca="1">IFERROR(__xludf.DUMMYFUNCTION("""COMPUTED_VALUE"""),"Acompañamiento Técnico")</f>
        <v>Acompañamiento Técnico</v>
      </c>
      <c r="BO460" s="30" t="str">
        <f ca="1">IFERROR(__xludf.DUMMYFUNCTION("""COMPUTED_VALUE"""),"4ddc6f27")</f>
        <v>4ddc6f27</v>
      </c>
      <c r="BP460" s="29" t="str">
        <f ca="1">IFERROR(__xludf.DUMMYFUNCTION("""COMPUTED_VALUE"""),"Santa Catarina")</f>
        <v>Santa Catarina</v>
      </c>
      <c r="BQ460" s="30" t="str">
        <f ca="1">IFERROR(__xludf.DUMMYFUNCTION("""COMPUTED_VALUE"""),"Rural")</f>
        <v>Rural</v>
      </c>
      <c r="BR460" s="30">
        <f ca="1">IFERROR(__xludf.DUMMYFUNCTION("""COMPUTED_VALUE"""),209)</f>
        <v>209</v>
      </c>
      <c r="BS460" s="30" t="str">
        <f ca="1">IFERROR(__xludf.DUMMYFUNCTION("""COMPUTED_VALUE"""),"Zona Rural")</f>
        <v>Zona Rural</v>
      </c>
      <c r="BT460" s="30"/>
      <c r="BU460" s="30" t="str">
        <f ca="1">IFERROR(__xludf.DUMMYFUNCTION("""COMPUTED_VALUE"""),"Si")</f>
        <v>Si</v>
      </c>
      <c r="BV460" s="30" t="str">
        <f ca="1">IFERROR(__xludf.DUMMYFUNCTION("""COMPUTED_VALUE"""),"No")</f>
        <v>No</v>
      </c>
      <c r="BW460" s="30">
        <f ca="1">IFERROR(__xludf.DUMMYFUNCTION("""COMPUTED_VALUE"""),252)</f>
        <v>252</v>
      </c>
      <c r="BX460" s="30">
        <f ca="1">IFERROR(__xludf.DUMMYFUNCTION("""COMPUTED_VALUE"""),84)</f>
        <v>84</v>
      </c>
      <c r="BY460" s="30">
        <f ca="1">IFERROR(__xludf.DUMMYFUNCTION("""COMPUTED_VALUE"""),168)</f>
        <v>168</v>
      </c>
      <c r="BZ460" s="30" t="str">
        <f ca="1">IFERROR(__xludf.DUMMYFUNCTION("""COMPUTED_VALUE"""),"Zona Rural")</f>
        <v>Zona Rural</v>
      </c>
      <c r="CA460" s="30" t="str">
        <f ca="1">IFERROR(__xludf.DUMMYFUNCTION("""COMPUTED_VALUE"""),"No")</f>
        <v>No</v>
      </c>
      <c r="CB460" s="30" t="str">
        <f ca="1">IFERROR(__xludf.DUMMYFUNCTION("""COMPUTED_VALUE"""),"No")</f>
        <v>No</v>
      </c>
      <c r="CC460" s="30" t="str">
        <f ca="1">IFERROR(__xludf.DUMMYFUNCTION("""COMPUTED_VALUE"""),"c22ccdcd")</f>
        <v>c22ccdcd</v>
      </c>
      <c r="CD460" s="29" t="str">
        <f ca="1">IFERROR(__xludf.DUMMYFUNCTION("""COMPUTED_VALUE"""),"Adultos Mayores (60 años o más)")</f>
        <v>Adultos Mayores (60 años o más)</v>
      </c>
      <c r="CE460" s="30" t="str">
        <f ca="1">IFERROR(__xludf.DUMMYFUNCTION("""COMPUTED_VALUE"""),"No se cuenta con el dato")</f>
        <v>No se cuenta con el dato</v>
      </c>
      <c r="CF460" s="30" t="str">
        <f ca="1">IFERROR(__xludf.DUMMYFUNCTION("""COMPUTED_VALUE"""),"Ninguno (Población General)")</f>
        <v>Ninguno (Población General)</v>
      </c>
      <c r="CG460" s="30">
        <f ca="1">IFERROR(__xludf.DUMMYFUNCTION("""COMPUTED_VALUE"""),1)</f>
        <v>1</v>
      </c>
      <c r="CJ460" s="29"/>
      <c r="CM460" s="30" t="str">
        <f ca="1">IFERROR(__xludf.DUMMYFUNCTION("""COMPUTED_VALUE"""),"Salamanca")</f>
        <v>Salamanca</v>
      </c>
      <c r="CN460" s="32" t="e">
        <f ca="1"/>
        <v>#NAME?</v>
      </c>
      <c r="CO460" s="32" t="e">
        <f ca="1"/>
        <v>#NAME?</v>
      </c>
      <c r="CP460" s="32" t="e">
        <f ca="1"/>
        <v>#NAME?</v>
      </c>
      <c r="CQ460" s="32" t="e">
        <f ca="1"/>
        <v>#NAME?</v>
      </c>
      <c r="CR460" s="30" t="e">
        <f ca="1"/>
        <v>#NAME?</v>
      </c>
      <c r="CS460" s="30" t="str">
        <f ca="1">IFERROR(__xludf.DUMMYFUNCTION("""COMPUTED_VALUE"""),"Ninguno (Población General), Ninguno (Población General)")</f>
        <v>Ninguno (Población General), Ninguno (Población General)</v>
      </c>
    </row>
    <row r="461" spans="1:97" ht="13">
      <c r="A461" s="29" t="str">
        <f ca="1">IFERROR(__xludf.DUMMYFUNCTION("""COMPUTED_VALUE"""),"ACT-SCNK06395")</f>
        <v>ACT-SCNK06395</v>
      </c>
      <c r="B461" s="30" t="str">
        <f ca="1">IFERROR(__xludf.DUMMYFUNCTION("""COMPUTED_VALUE"""),"SC-260924-105700")</f>
        <v>SC-260924-105700</v>
      </c>
      <c r="C461" s="62">
        <f ca="1">IFERROR(__xludf.DUMMYFUNCTION("""COMPUTED_VALUE"""),46289.45625)</f>
        <v>46289.456250000003</v>
      </c>
      <c r="D461" s="30">
        <f ca="1">IFERROR(__xludf.DUMMYFUNCTION("""COMPUTED_VALUE"""),92)</f>
        <v>92</v>
      </c>
      <c r="E461" s="30" t="str">
        <f ca="1">IFERROR(__xludf.DUMMYFUNCTION("""COMPUTED_VALUE"""),"PB3572")</f>
        <v>PB3572</v>
      </c>
      <c r="F46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6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61" s="30" t="str">
        <f ca="1">IFERROR(__xludf.DUMMYFUNCTION("""COMPUTED_VALUE"""),"SUBSECRETARÍA DE DESARROLLO Y PROMOCIÓN ARTÍSTICA Y CULTURAL")</f>
        <v>SUBSECRETARÍA DE DESARROLLO Y PROMOCIÓN ARTÍSTICA Y CULTURAL</v>
      </c>
      <c r="I461" s="34" t="str">
        <f ca="1">IFERROR(__xludf.DUMMYFUNCTION("""COMPUTED_VALUE"""),"DIRECCIÓN GENERAL DE MUSEOS, ARTES VISUALES Y EXPOSICIONES")</f>
        <v>DIRECCIÓN GENERAL DE MUSEOS, ARTES VISUALES Y EXPOSICIONES</v>
      </c>
      <c r="J461" s="30" t="str">
        <f ca="1">IFERROR(__xludf.DUMMYFUNCTION("""COMPUTED_VALUE"""),"Número de Actividades realizadas")</f>
        <v>Número de Actividades realizadas</v>
      </c>
      <c r="K461" s="30">
        <f ca="1">IFERROR(__xludf.DUMMYFUNCTION("""COMPUTED_VALUE"""),800)</f>
        <v>800</v>
      </c>
      <c r="L461" s="30" t="str">
        <f ca="1">IFERROR(__xludf.DUMMYFUNCTION("""COMPUTED_VALUE"""),"Cultural")</f>
        <v>Cultural</v>
      </c>
      <c r="M461" s="30" t="str">
        <f ca="1">IFERROR(__xludf.DUMMYFUNCTION("""COMPUTED_VALUE"""),"Visita guiada libre")</f>
        <v>Visita guiada libre</v>
      </c>
      <c r="N461" s="30" t="str">
        <f ca="1">IFERROR(__xludf.DUMMYFUNCTION("""COMPUTED_VALUE"""),"Recorrido guiado por el Museo")</f>
        <v>Recorrido guiado por el Museo</v>
      </c>
      <c r="O461" s="30" t="str">
        <f ca="1">IFERROR(__xludf.DUMMYFUNCTION("""COMPUTED_VALUE"""),"Única")</f>
        <v>Única</v>
      </c>
      <c r="P461" s="33">
        <f ca="1">IFERROR(__xludf.DUMMYFUNCTION("""COMPUTED_VALUE"""),46268)</f>
        <v>46268</v>
      </c>
      <c r="Q461" s="33">
        <f ca="1">IFERROR(__xludf.DUMMYFUNCTION("""COMPUTED_VALUE"""),46268)</f>
        <v>46268</v>
      </c>
      <c r="R461" s="30">
        <f ca="1">IFERROR(__xludf.DUMMYFUNCTION("""COMPUTED_VALUE"""),1)</f>
        <v>1</v>
      </c>
      <c r="S461" s="30" t="str">
        <f ca="1">IFERROR(__xludf.DUMMYFUNCTION("""COMPUTED_VALUE"""),"Cultura comunitaria")</f>
        <v>Cultura comunitaria</v>
      </c>
      <c r="T461" s="30" t="str">
        <f ca="1">IFERROR(__xludf.DUMMYFUNCTION("""COMPUTED_VALUE"""),"Formación comunitaria")</f>
        <v>Formación comunitaria</v>
      </c>
      <c r="U461" s="30" t="str">
        <f ca="1">IFERROR(__xludf.DUMMYFUNCTION("""COMPUTED_VALUE"""),"Visitas guiadas")</f>
        <v>Visitas guiadas</v>
      </c>
      <c r="V461" s="30" t="str">
        <f ca="1">IFERROR(__xludf.DUMMYFUNCTION("""COMPUTED_VALUE"""),"Ninguna")</f>
        <v>Ninguna</v>
      </c>
      <c r="W461" s="30" t="str">
        <f ca="1">IFERROR(__xludf.DUMMYFUNCTION("""COMPUTED_VALUE"""),"Presencial")</f>
        <v>Presencial</v>
      </c>
      <c r="X461" s="30" t="str">
        <f ca="1">IFERROR(__xludf.DUMMYFUNCTION("""COMPUTED_VALUE"""),"Espacio a Cargo de la Secretaría")</f>
        <v>Espacio a Cargo de la Secretaría</v>
      </c>
      <c r="Y461" s="30" t="str">
        <f ca="1">IFERROR(__xludf.DUMMYFUNCTION("""COMPUTED_VALUE"""),"Museo José y Tomas Chavez Morado")</f>
        <v>Museo José y Tomas Chavez Morado</v>
      </c>
      <c r="Z461" s="30"/>
      <c r="AA461" s="30"/>
      <c r="AB461" s="30" t="b">
        <f ca="1">IFERROR(__xludf.DUMMYFUNCTION("""COMPUTED_VALUE"""),FALSE)</f>
        <v>0</v>
      </c>
      <c r="AC461" s="30"/>
      <c r="AD461" s="30" t="b">
        <f ca="1">IFERROR(__xludf.DUMMYFUNCTION("""COMPUTED_VALUE"""),FALSE)</f>
        <v>0</v>
      </c>
      <c r="AE461" s="30"/>
      <c r="AF461" s="30" t="b">
        <f ca="1">IFERROR(__xludf.DUMMYFUNCTION("""COMPUTED_VALUE"""),FALSE)</f>
        <v>0</v>
      </c>
      <c r="AG461" s="30"/>
      <c r="AH461" s="30" t="str">
        <f ca="1">IFERROR(__xludf.DUMMYFUNCTION("""COMPUTED_VALUE"""),"Sin costo")</f>
        <v>Sin costo</v>
      </c>
      <c r="AI461" s="30"/>
      <c r="AJ461" s="30"/>
      <c r="AK461" s="30"/>
      <c r="AL461" s="30" t="str">
        <f ca="1">IFERROR(__xludf.DUMMYFUNCTION("""COMPUTED_VALUE"""),"ccardonav@guanajuato.gob.mx")</f>
        <v>ccardonav@guanajuato.gob.mx</v>
      </c>
      <c r="AM461" s="30" t="str">
        <f ca="1">IFERROR(__xludf.DUMMYFUNCTION("""COMPUTED_VALUE"""),"Arraigo y empoderamiento cultural de comunidades.")</f>
        <v>Arraigo y empoderamiento cultural de comunidades.</v>
      </c>
      <c r="AN461" s="30" t="str">
        <f ca="1">IFERROR(__xludf.DUMMYFUNCTION("""COMPUTED_VALUE"""),"1 Tranquilidad")</f>
        <v>1 Tranquilidad</v>
      </c>
      <c r="AO461" s="30" t="str">
        <f ca="1">IFERROR(__xludf.DUMMYFUNCTION("""COMPUTED_VALUE"""),"1.2 Fortalecer prevención del delito")</f>
        <v>1.2 Fortalecer prevención del delito</v>
      </c>
      <c r="AP461" s="30" t="str">
        <f ca="1">IFERROR(__xludf.DUMMYFUNCTION("""COMPUTED_VALUE"""),"1.2.2 Fortalecimiento del tejido social")</f>
        <v>1.2.2 Fortalecimiento del tejido social</v>
      </c>
      <c r="AQ461" s="30" t="str">
        <f ca="1">IFERROR(__xludf.DUMMYFUNCTION("""COMPUTED_VALUE"""),"1.2.3.4 Promover una cultura de paz desde las expresiones artísticas y culturales")</f>
        <v>1.2.3.4 Promover una cultura de paz desde las expresiones artísticas y culturales</v>
      </c>
      <c r="AR461" s="30" t="str">
        <f ca="1">IFERROR(__xludf.DUMMYFUNCTION("""COMPUTED_VALUE"""),"Cooperación")</f>
        <v>Cooperación</v>
      </c>
      <c r="AS461" s="30"/>
      <c r="AT461" s="30" t="str">
        <f ca="1">IFERROR(__xludf.DUMMYFUNCTION("""COMPUTED_VALUE"""),"Fortalecimiento de la participación ciudadana y la mediación cultural")</f>
        <v>Fortalecimiento de la participación ciudadana y la mediación cultural</v>
      </c>
      <c r="AU461" s="30" t="str">
        <f ca="1">IFERROR(__xludf.DUMMYFUNCTION("""COMPUTED_VALUE"""),"Impulso a la ampliación de la oferta cultural en los territorios.")</f>
        <v>Impulso a la ampliación de la oferta cultural en los territorios.</v>
      </c>
      <c r="AV46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61" s="30" t="str">
        <f ca="1">IFERROR(__xludf.DUMMYFUNCTION("""COMPUTED_VALUE"""),"Incrementar en 25% la oferta cultural realizada en los municipios.")</f>
        <v>Incrementar en 25% la oferta cultural realizada en los municipios.</v>
      </c>
      <c r="AX461" s="30" t="str">
        <f ca="1">IFERROR(__xludf.DUMMYFUNCTION("""COMPUTED_VALUE"""),"Visitas guiadas")</f>
        <v>Visitas guiadas</v>
      </c>
      <c r="AY461" s="30" t="str">
        <f ca="1">IFERROR(__xludf.DUMMYFUNCTION("""COMPUTED_VALUE"""),"Mediación")</f>
        <v>Mediación</v>
      </c>
      <c r="AZ461" s="30"/>
      <c r="BA461" s="30"/>
      <c r="BB461" s="30"/>
      <c r="BC461" s="30">
        <f ca="1">IFERROR(__xludf.DUMMYFUNCTION("""COMPUTED_VALUE"""),0)</f>
        <v>0</v>
      </c>
      <c r="BD461" s="30"/>
      <c r="BE461" s="30"/>
      <c r="BF461" s="30" t="b">
        <f ca="1">IFERROR(__xludf.DUMMYFUNCTION("""COMPUTED_VALUE"""),FALSE)</f>
        <v>0</v>
      </c>
      <c r="BG461" s="30"/>
      <c r="BH461" s="30"/>
      <c r="BI461" s="30"/>
      <c r="BJ461" s="30"/>
      <c r="BK461" s="30"/>
      <c r="BL461" s="30"/>
      <c r="BM461" s="30" t="str">
        <f ca="1">IFERROR(__xludf.DUMMYFUNCTION("""COMPUTED_VALUE"""),"No")</f>
        <v>No</v>
      </c>
      <c r="BN461" s="30"/>
      <c r="BO461" s="30" t="str">
        <f ca="1">IFERROR(__xludf.DUMMYFUNCTION("""COMPUTED_VALUE"""),"a7c66982")</f>
        <v>a7c66982</v>
      </c>
      <c r="BP461" s="29" t="str">
        <f ca="1">IFERROR(__xludf.DUMMYFUNCTION("""COMPUTED_VALUE"""),"Purísima del Rincón")</f>
        <v>Purísima del Rincón</v>
      </c>
      <c r="BQ461" s="30" t="str">
        <f ca="1">IFERROR(__xludf.DUMMYFUNCTION("""COMPUTED_VALUE"""),"Urbano")</f>
        <v>Urbano</v>
      </c>
      <c r="BR461" s="30">
        <f ca="1">IFERROR(__xludf.DUMMYFUNCTION("""COMPUTED_VALUE"""),171)</f>
        <v>171</v>
      </c>
      <c r="BS461" s="30" t="str">
        <f ca="1">IFERROR(__xludf.DUMMYFUNCTION("""COMPUTED_VALUE"""),"Purísima")</f>
        <v>Purísima</v>
      </c>
      <c r="BT461" s="30"/>
      <c r="BU461" s="30" t="str">
        <f ca="1">IFERROR(__xludf.DUMMYFUNCTION("""COMPUTED_VALUE"""),"Si")</f>
        <v>Si</v>
      </c>
      <c r="BV461" s="30" t="str">
        <f ca="1">IFERROR(__xludf.DUMMYFUNCTION("""COMPUTED_VALUE"""),"No")</f>
        <v>No</v>
      </c>
      <c r="BW461" s="30">
        <f ca="1">IFERROR(__xludf.DUMMYFUNCTION("""COMPUTED_VALUE"""),42)</f>
        <v>42</v>
      </c>
      <c r="BX461" s="30">
        <f ca="1">IFERROR(__xludf.DUMMYFUNCTION("""COMPUTED_VALUE"""),18)</f>
        <v>18</v>
      </c>
      <c r="BY461" s="30">
        <f ca="1">IFERROR(__xludf.DUMMYFUNCTION("""COMPUTED_VALUE"""),24)</f>
        <v>24</v>
      </c>
      <c r="BZ461" s="30" t="str">
        <f ca="1">IFERROR(__xludf.DUMMYFUNCTION("""COMPUTED_VALUE"""),"Purísima")</f>
        <v>Purísima</v>
      </c>
      <c r="CA461" s="30" t="str">
        <f ca="1">IFERROR(__xludf.DUMMYFUNCTION("""COMPUTED_VALUE"""),"No")</f>
        <v>No</v>
      </c>
      <c r="CB461" s="30" t="str">
        <f ca="1">IFERROR(__xludf.DUMMYFUNCTION("""COMPUTED_VALUE"""),"No")</f>
        <v>No</v>
      </c>
      <c r="CC461" s="30" t="str">
        <f ca="1">IFERROR(__xludf.DUMMYFUNCTION("""COMPUTED_VALUE"""),"7850d14b")</f>
        <v>7850d14b</v>
      </c>
      <c r="CD461" s="29" t="str">
        <f ca="1">IFERROR(__xludf.DUMMYFUNCTION("""COMPUTED_VALUE"""),"Niñas y Niños (6 a 12 años)")</f>
        <v>Niñas y Niños (6 a 12 años)</v>
      </c>
      <c r="CE461" s="30" t="str">
        <f ca="1">IFERROR(__xludf.DUMMYFUNCTION("""COMPUTED_VALUE"""),"No se cuenta con el dato")</f>
        <v>No se cuenta con el dato</v>
      </c>
      <c r="CF461" s="30" t="str">
        <f ca="1">IFERROR(__xludf.DUMMYFUNCTION("""COMPUTED_VALUE"""),"Ninguno (Población General)")</f>
        <v>Ninguno (Población General)</v>
      </c>
      <c r="CG461" s="30">
        <f ca="1">IFERROR(__xludf.DUMMYFUNCTION("""COMPUTED_VALUE"""),15)</f>
        <v>15</v>
      </c>
      <c r="CJ461" s="29"/>
      <c r="CM461" s="30" t="str">
        <f ca="1">IFERROR(__xludf.DUMMYFUNCTION("""COMPUTED_VALUE"""),"Salamanca")</f>
        <v>Salamanca</v>
      </c>
      <c r="CN461" s="32" t="e">
        <f ca="1"/>
        <v>#NAME?</v>
      </c>
      <c r="CO461" s="32" t="e">
        <f ca="1"/>
        <v>#NAME?</v>
      </c>
      <c r="CP461" s="32" t="e">
        <f ca="1"/>
        <v>#NAME?</v>
      </c>
      <c r="CQ461" s="32" t="e">
        <f ca="1"/>
        <v>#NAME?</v>
      </c>
      <c r="CR461" s="30" t="e">
        <f ca="1"/>
        <v>#NAME?</v>
      </c>
      <c r="CS461" s="30" t="str">
        <f ca="1">IFERROR(__xludf.DUMMYFUNCTION("""COMPUTED_VALUE"""),"NNA (Niñas, Niños y Adolescentes), NNA (Niñas, Niños y Adolescentes), NNA (Niñas, Niños y Adolescentes), NNA (Niñas, Niños y Adolescentes)")</f>
        <v>NNA (Niñas, Niños y Adolescentes), NNA (Niñas, Niños y Adolescentes), NNA (Niñas, Niños y Adolescentes), NNA (Niñas, Niños y Adolescentes)</v>
      </c>
    </row>
    <row r="462" spans="1:97" ht="13">
      <c r="A462" s="29" t="str">
        <f ca="1">IFERROR(__xludf.DUMMYFUNCTION("""COMPUTED_VALUE"""),"ACT-SCNZ60763")</f>
        <v>ACT-SCNZ60763</v>
      </c>
      <c r="B462" s="30" t="str">
        <f ca="1">IFERROR(__xludf.DUMMYFUNCTION("""COMPUTED_VALUE"""),"SC-260924-111052")</f>
        <v>SC-260924-111052</v>
      </c>
      <c r="C462" s="62">
        <f ca="1">IFERROR(__xludf.DUMMYFUNCTION("""COMPUTED_VALUE"""),46289.4658796296)</f>
        <v>46289.465879629599</v>
      </c>
      <c r="D462" s="30">
        <f ca="1">IFERROR(__xludf.DUMMYFUNCTION("""COMPUTED_VALUE"""),92)</f>
        <v>92</v>
      </c>
      <c r="E462" s="30" t="str">
        <f ca="1">IFERROR(__xludf.DUMMYFUNCTION("""COMPUTED_VALUE"""),"PB3572")</f>
        <v>PB3572</v>
      </c>
      <c r="F46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6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62" s="30" t="str">
        <f ca="1">IFERROR(__xludf.DUMMYFUNCTION("""COMPUTED_VALUE"""),"SUBSECRETARÍA DE DESARROLLO Y PROMOCIÓN ARTÍSTICA Y CULTURAL")</f>
        <v>SUBSECRETARÍA DE DESARROLLO Y PROMOCIÓN ARTÍSTICA Y CULTURAL</v>
      </c>
      <c r="I462" s="34" t="str">
        <f ca="1">IFERROR(__xludf.DUMMYFUNCTION("""COMPUTED_VALUE"""),"DIRECCIÓN GENERAL DE MUSEOS, ARTES VISUALES Y EXPOSICIONES")</f>
        <v>DIRECCIÓN GENERAL DE MUSEOS, ARTES VISUALES Y EXPOSICIONES</v>
      </c>
      <c r="J462" s="30" t="str">
        <f ca="1">IFERROR(__xludf.DUMMYFUNCTION("""COMPUTED_VALUE"""),"Número de Actividades realizadas")</f>
        <v>Número de Actividades realizadas</v>
      </c>
      <c r="K462" s="30">
        <f ca="1">IFERROR(__xludf.DUMMYFUNCTION("""COMPUTED_VALUE"""),800)</f>
        <v>800</v>
      </c>
      <c r="L462" s="30" t="str">
        <f ca="1">IFERROR(__xludf.DUMMYFUNCTION("""COMPUTED_VALUE"""),"Cultural")</f>
        <v>Cultural</v>
      </c>
      <c r="M462" s="30" t="str">
        <f ca="1">IFERROR(__xludf.DUMMYFUNCTION("""COMPUTED_VALUE"""),"Visita guiada libre")</f>
        <v>Visita guiada libre</v>
      </c>
      <c r="N462" s="30" t="str">
        <f ca="1">IFERROR(__xludf.DUMMYFUNCTION("""COMPUTED_VALUE"""),"Recorrido guiado por el museo")</f>
        <v>Recorrido guiado por el museo</v>
      </c>
      <c r="O462" s="30" t="str">
        <f ca="1">IFERROR(__xludf.DUMMYFUNCTION("""COMPUTED_VALUE"""),"Única")</f>
        <v>Única</v>
      </c>
      <c r="P462" s="33">
        <f ca="1">IFERROR(__xludf.DUMMYFUNCTION("""COMPUTED_VALUE"""),46269)</f>
        <v>46269</v>
      </c>
      <c r="Q462" s="33">
        <f ca="1">IFERROR(__xludf.DUMMYFUNCTION("""COMPUTED_VALUE"""),46269)</f>
        <v>46269</v>
      </c>
      <c r="R462" s="30">
        <f ca="1">IFERROR(__xludf.DUMMYFUNCTION("""COMPUTED_VALUE"""),1)</f>
        <v>1</v>
      </c>
      <c r="S462" s="30" t="str">
        <f ca="1">IFERROR(__xludf.DUMMYFUNCTION("""COMPUTED_VALUE"""),"Cultura comunitaria")</f>
        <v>Cultura comunitaria</v>
      </c>
      <c r="T462" s="30" t="str">
        <f ca="1">IFERROR(__xludf.DUMMYFUNCTION("""COMPUTED_VALUE"""),"Formación comunitaria")</f>
        <v>Formación comunitaria</v>
      </c>
      <c r="U462" s="30" t="str">
        <f ca="1">IFERROR(__xludf.DUMMYFUNCTION("""COMPUTED_VALUE"""),"Visitas guiadas")</f>
        <v>Visitas guiadas</v>
      </c>
      <c r="V462" s="30" t="str">
        <f ca="1">IFERROR(__xludf.DUMMYFUNCTION("""COMPUTED_VALUE"""),"Ninguna")</f>
        <v>Ninguna</v>
      </c>
      <c r="W462" s="30" t="str">
        <f ca="1">IFERROR(__xludf.DUMMYFUNCTION("""COMPUTED_VALUE"""),"Presencial")</f>
        <v>Presencial</v>
      </c>
      <c r="X462" s="30" t="str">
        <f ca="1">IFERROR(__xludf.DUMMYFUNCTION("""COMPUTED_VALUE"""),"Espacio a Cargo de la Secretaría")</f>
        <v>Espacio a Cargo de la Secretaría</v>
      </c>
      <c r="Y462" s="30" t="str">
        <f ca="1">IFERROR(__xludf.DUMMYFUNCTION("""COMPUTED_VALUE"""),"Museo José y Tomas Chavez Morado")</f>
        <v>Museo José y Tomas Chavez Morado</v>
      </c>
      <c r="Z462" s="30"/>
      <c r="AA462" s="30"/>
      <c r="AB462" s="30" t="b">
        <f ca="1">IFERROR(__xludf.DUMMYFUNCTION("""COMPUTED_VALUE"""),FALSE)</f>
        <v>0</v>
      </c>
      <c r="AC462" s="30"/>
      <c r="AD462" s="30" t="b">
        <f ca="1">IFERROR(__xludf.DUMMYFUNCTION("""COMPUTED_VALUE"""),FALSE)</f>
        <v>0</v>
      </c>
      <c r="AE462" s="30"/>
      <c r="AF462" s="30" t="b">
        <f ca="1">IFERROR(__xludf.DUMMYFUNCTION("""COMPUTED_VALUE"""),FALSE)</f>
        <v>0</v>
      </c>
      <c r="AG462" s="30"/>
      <c r="AH462" s="30" t="str">
        <f ca="1">IFERROR(__xludf.DUMMYFUNCTION("""COMPUTED_VALUE"""),"Sin costo")</f>
        <v>Sin costo</v>
      </c>
      <c r="AI462" s="30"/>
      <c r="AJ462" s="30"/>
      <c r="AK462" s="30"/>
      <c r="AL462" s="30" t="str">
        <f ca="1">IFERROR(__xludf.DUMMYFUNCTION("""COMPUTED_VALUE"""),"ccardonav@guanajuato.gob.mx")</f>
        <v>ccardonav@guanajuato.gob.mx</v>
      </c>
      <c r="AM462" s="30" t="str">
        <f ca="1">IFERROR(__xludf.DUMMYFUNCTION("""COMPUTED_VALUE"""),"Arraigo y empoderamiento cultural de comunidades.")</f>
        <v>Arraigo y empoderamiento cultural de comunidades.</v>
      </c>
      <c r="AN462" s="30" t="str">
        <f ca="1">IFERROR(__xludf.DUMMYFUNCTION("""COMPUTED_VALUE"""),"1 Tranquilidad")</f>
        <v>1 Tranquilidad</v>
      </c>
      <c r="AO462" s="30" t="str">
        <f ca="1">IFERROR(__xludf.DUMMYFUNCTION("""COMPUTED_VALUE"""),"1.2 Fortalecer prevención del delito")</f>
        <v>1.2 Fortalecer prevención del delito</v>
      </c>
      <c r="AP462" s="30" t="str">
        <f ca="1">IFERROR(__xludf.DUMMYFUNCTION("""COMPUTED_VALUE"""),"1.2.2 Fortalecimiento del tejido social")</f>
        <v>1.2.2 Fortalecimiento del tejido social</v>
      </c>
      <c r="AQ462" s="30" t="str">
        <f ca="1">IFERROR(__xludf.DUMMYFUNCTION("""COMPUTED_VALUE"""),"1.2.3.4 Promover una cultura de paz desde las expresiones artísticas y culturales")</f>
        <v>1.2.3.4 Promover una cultura de paz desde las expresiones artísticas y culturales</v>
      </c>
      <c r="AR462" s="30" t="str">
        <f ca="1">IFERROR(__xludf.DUMMYFUNCTION("""COMPUTED_VALUE"""),"Cooperación")</f>
        <v>Cooperación</v>
      </c>
      <c r="AS462" s="30"/>
      <c r="AT462" s="30" t="str">
        <f ca="1">IFERROR(__xludf.DUMMYFUNCTION("""COMPUTED_VALUE"""),"Fortalecimiento de la participación ciudadana y la mediación cultural")</f>
        <v>Fortalecimiento de la participación ciudadana y la mediación cultural</v>
      </c>
      <c r="AU462" s="30" t="str">
        <f ca="1">IFERROR(__xludf.DUMMYFUNCTION("""COMPUTED_VALUE"""),"Impulso a la ampliación de la oferta cultural en los territorios.")</f>
        <v>Impulso a la ampliación de la oferta cultural en los territorios.</v>
      </c>
      <c r="AV46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62" s="30" t="str">
        <f ca="1">IFERROR(__xludf.DUMMYFUNCTION("""COMPUTED_VALUE"""),"Incrementar en 25% la oferta cultural realizada en los municipios.")</f>
        <v>Incrementar en 25% la oferta cultural realizada en los municipios.</v>
      </c>
      <c r="AX462" s="30" t="str">
        <f ca="1">IFERROR(__xludf.DUMMYFUNCTION("""COMPUTED_VALUE"""),"Visitas guiadas")</f>
        <v>Visitas guiadas</v>
      </c>
      <c r="AY462" s="30" t="str">
        <f ca="1">IFERROR(__xludf.DUMMYFUNCTION("""COMPUTED_VALUE"""),"Mediación")</f>
        <v>Mediación</v>
      </c>
      <c r="AZ462" s="30"/>
      <c r="BA462" s="30"/>
      <c r="BB462" s="30"/>
      <c r="BC462" s="30">
        <f ca="1">IFERROR(__xludf.DUMMYFUNCTION("""COMPUTED_VALUE"""),0)</f>
        <v>0</v>
      </c>
      <c r="BD462" s="30"/>
      <c r="BE462" s="30"/>
      <c r="BF462" s="30" t="b">
        <f ca="1">IFERROR(__xludf.DUMMYFUNCTION("""COMPUTED_VALUE"""),FALSE)</f>
        <v>0</v>
      </c>
      <c r="BG462" s="30"/>
      <c r="BH462" s="30"/>
      <c r="BI462" s="30"/>
      <c r="BJ462" s="30"/>
      <c r="BK462" s="30"/>
      <c r="BL462" s="30"/>
      <c r="BM462" s="30" t="str">
        <f ca="1">IFERROR(__xludf.DUMMYFUNCTION("""COMPUTED_VALUE"""),"No")</f>
        <v>No</v>
      </c>
      <c r="BN462" s="30"/>
      <c r="BO462" s="30" t="str">
        <f ca="1">IFERROR(__xludf.DUMMYFUNCTION("""COMPUTED_VALUE"""),"df0b0043")</f>
        <v>df0b0043</v>
      </c>
      <c r="BP462" s="29" t="str">
        <f ca="1">IFERROR(__xludf.DUMMYFUNCTION("""COMPUTED_VALUE"""),"Purísima del Rincón")</f>
        <v>Purísima del Rincón</v>
      </c>
      <c r="BQ462" s="30" t="str">
        <f ca="1">IFERROR(__xludf.DUMMYFUNCTION("""COMPUTED_VALUE"""),"Urbano")</f>
        <v>Urbano</v>
      </c>
      <c r="BR462" s="30">
        <f ca="1">IFERROR(__xludf.DUMMYFUNCTION("""COMPUTED_VALUE"""),171)</f>
        <v>171</v>
      </c>
      <c r="BS462" s="30" t="str">
        <f ca="1">IFERROR(__xludf.DUMMYFUNCTION("""COMPUTED_VALUE"""),"Purísima")</f>
        <v>Purísima</v>
      </c>
      <c r="BT462" s="30"/>
      <c r="BU462" s="30" t="str">
        <f ca="1">IFERROR(__xludf.DUMMYFUNCTION("""COMPUTED_VALUE"""),"Si")</f>
        <v>Si</v>
      </c>
      <c r="BV462" s="30" t="str">
        <f ca="1">IFERROR(__xludf.DUMMYFUNCTION("""COMPUTED_VALUE"""),"No")</f>
        <v>No</v>
      </c>
      <c r="BW462" s="30">
        <f ca="1">IFERROR(__xludf.DUMMYFUNCTION("""COMPUTED_VALUE"""),102)</f>
        <v>102</v>
      </c>
      <c r="BX462" s="30"/>
      <c r="BY462" s="30">
        <f ca="1">IFERROR(__xludf.DUMMYFUNCTION("""COMPUTED_VALUE"""),102)</f>
        <v>102</v>
      </c>
      <c r="BZ462" s="30" t="str">
        <f ca="1">IFERROR(__xludf.DUMMYFUNCTION("""COMPUTED_VALUE"""),"Purísima")</f>
        <v>Purísima</v>
      </c>
      <c r="CA462" s="30" t="str">
        <f ca="1">IFERROR(__xludf.DUMMYFUNCTION("""COMPUTED_VALUE"""),"No")</f>
        <v>No</v>
      </c>
      <c r="CB462" s="30" t="str">
        <f ca="1">IFERROR(__xludf.DUMMYFUNCTION("""COMPUTED_VALUE"""),"No")</f>
        <v>No</v>
      </c>
      <c r="CC462" s="30" t="str">
        <f ca="1">IFERROR(__xludf.DUMMYFUNCTION("""COMPUTED_VALUE"""),"78570f92")</f>
        <v>78570f92</v>
      </c>
      <c r="CD462" s="29" t="str">
        <f ca="1">IFERROR(__xludf.DUMMYFUNCTION("""COMPUTED_VALUE"""),"Niñas y Niños (6 a 12 años)")</f>
        <v>Niñas y Niños (6 a 12 años)</v>
      </c>
      <c r="CE462" s="30" t="str">
        <f ca="1">IFERROR(__xludf.DUMMYFUNCTION("""COMPUTED_VALUE"""),"No se cuenta con el dato")</f>
        <v>No se cuenta con el dato</v>
      </c>
      <c r="CF462" s="30" t="str">
        <f ca="1">IFERROR(__xludf.DUMMYFUNCTION("""COMPUTED_VALUE"""),"Ninguno (Población General)")</f>
        <v>Ninguno (Población General)</v>
      </c>
      <c r="CG462" s="30">
        <f ca="1">IFERROR(__xludf.DUMMYFUNCTION("""COMPUTED_VALUE"""),10)</f>
        <v>10</v>
      </c>
      <c r="CJ462" s="29"/>
      <c r="CM462" s="30" t="str">
        <f ca="1">IFERROR(__xludf.DUMMYFUNCTION("""COMPUTED_VALUE"""),"Santa Catarina")</f>
        <v>Santa Catarina</v>
      </c>
      <c r="CN462" s="32" t="e">
        <f ca="1"/>
        <v>#NAME?</v>
      </c>
      <c r="CO462" s="32" t="e">
        <f ca="1"/>
        <v>#NAME?</v>
      </c>
      <c r="CP462" s="32" t="e">
        <f ca="1"/>
        <v>#NAME?</v>
      </c>
      <c r="CQ462" s="32" t="e">
        <f ca="1"/>
        <v>#NAME?</v>
      </c>
      <c r="CR462" s="30" t="e">
        <f ca="1"/>
        <v>#NAME?</v>
      </c>
      <c r="CS462" s="30" t="str">
        <f ca="1">IFERROR(__xludf.DUMMYFUNCTION("""COMPUTED_VALUE"""),"Ninguno (Población General), Ninguno (Población General), Ninguno (Población General), Ninguno (Población General), Ninguno (Población General), Ninguno (Población General)")</f>
        <v>Ninguno (Población General), Ninguno (Población General), Ninguno (Población General), Ninguno (Población General), Ninguno (Población General), Ninguno (Población General)</v>
      </c>
    </row>
    <row r="463" spans="1:97" ht="13">
      <c r="A463" s="29" t="str">
        <f ca="1">IFERROR(__xludf.DUMMYFUNCTION("""COMPUTED_VALUE"""),"ACT-SCJQ99794")</f>
        <v>ACT-SCJQ99794</v>
      </c>
      <c r="B463" s="30" t="str">
        <f ca="1">IFERROR(__xludf.DUMMYFUNCTION("""COMPUTED_VALUE"""),"SC-260924-120302")</f>
        <v>SC-260924-120302</v>
      </c>
      <c r="C463" s="62">
        <f ca="1">IFERROR(__xludf.DUMMYFUNCTION("""COMPUTED_VALUE"""),46289.5021064814)</f>
        <v>46289.502106481399</v>
      </c>
      <c r="D463" s="30">
        <f ca="1">IFERROR(__xludf.DUMMYFUNCTION("""COMPUTED_VALUE"""),75)</f>
        <v>75</v>
      </c>
      <c r="E463" s="30" t="str">
        <f ca="1">IFERROR(__xludf.DUMMYFUNCTION("""COMPUTED_VALUE"""),"PB3567")</f>
        <v>PB3567</v>
      </c>
      <c r="F463" s="30" t="str">
        <f ca="1">IFERROR(__xludf.DUMMYFUNCTION("""COMPUTED_VALUE"""),"Formación e Investigación Artística")</f>
        <v>Formación e Investigación Artística</v>
      </c>
      <c r="G463" s="30" t="str">
        <f ca="1">IFERROR(__xludf.DUMMYFUNCTION("""COMPUTED_VALUE"""),"Cursos, talleres, y diplomados en la disciplina de las artes visuales, digitales y sonoras. Cine y sonorización.")</f>
        <v>Cursos, talleres, y diplomados en la disciplina de las artes visuales, digitales y sonoras. Cine y sonorización.</v>
      </c>
      <c r="H463" s="30" t="str">
        <f ca="1">IFERROR(__xludf.DUMMYFUNCTION("""COMPUTED_VALUE"""),"SUBSECRETARÍA DE DESARROLLO COMUNITARIO Y PROMOCIÓN PATRIMONIAL")</f>
        <v>SUBSECRETARÍA DE DESARROLLO COMUNITARIO Y PROMOCIÓN PATRIMONIAL</v>
      </c>
      <c r="I463" s="34" t="str">
        <f ca="1">IFERROR(__xludf.DUMMYFUNCTION("""COMPUTED_VALUE"""),"DIRECCIÓN GENERAL DE FORMACIÓN E INVESTIGACIÓN")</f>
        <v>DIRECCIÓN GENERAL DE FORMACIÓN E INVESTIGACIÓN</v>
      </c>
      <c r="J463" s="30" t="str">
        <f ca="1">IFERROR(__xludf.DUMMYFUNCTION("""COMPUTED_VALUE"""),"Cursos, talleres, diplomados realizados")</f>
        <v>Cursos, talleres, diplomados realizados</v>
      </c>
      <c r="K463" s="30">
        <f ca="1">IFERROR(__xludf.DUMMYFUNCTION("""COMPUTED_VALUE"""),4)</f>
        <v>4</v>
      </c>
      <c r="L463" s="30" t="str">
        <f ca="1">IFERROR(__xludf.DUMMYFUNCTION("""COMPUTED_VALUE"""),"Artística")</f>
        <v>Artística</v>
      </c>
      <c r="M463" s="30" t="str">
        <f ca="1">IFERROR(__xludf.DUMMYFUNCTION("""COMPUTED_VALUE"""),"Brotes: Talleres artísticos para primera infancia")</f>
        <v>Brotes: Talleres artísticos para primera infancia</v>
      </c>
      <c r="N463" s="30" t="str">
        <f ca="1">IFERROR(__xludf.DUMMYFUNCTION("""COMPUTED_VALUE"""),"Taller inclusivo dirigido a niñas y niños con barreras para el aprendizaje y la participación, realizado en vinculación con personal del CAM, familias y cuidadoras para acompañar de forma integral su desarrollo e integración.")</f>
        <v>Taller inclusivo dirigido a niñas y niños con barreras para el aprendizaje y la participación, realizado en vinculación con personal del CAM, familias y cuidadoras para acompañar de forma integral su desarrollo e integración.</v>
      </c>
      <c r="O463" s="30" t="str">
        <f ca="1">IFERROR(__xludf.DUMMYFUNCTION("""COMPUTED_VALUE"""),"Diaria")</f>
        <v>Diaria</v>
      </c>
      <c r="P463" s="33">
        <f ca="1">IFERROR(__xludf.DUMMYFUNCTION("""COMPUTED_VALUE"""),46167)</f>
        <v>46167</v>
      </c>
      <c r="Q463" s="33">
        <f ca="1">IFERROR(__xludf.DUMMYFUNCTION("""COMPUTED_VALUE"""),46184)</f>
        <v>46184</v>
      </c>
      <c r="R463" s="30">
        <f ca="1">IFERROR(__xludf.DUMMYFUNCTION("""COMPUTED_VALUE"""),17)</f>
        <v>17</v>
      </c>
      <c r="S463" s="30" t="str">
        <f ca="1">IFERROR(__xludf.DUMMYFUNCTION("""COMPUTED_VALUE"""),"Artes visuales")</f>
        <v>Artes visuales</v>
      </c>
      <c r="T463" s="30" t="str">
        <f ca="1">IFERROR(__xludf.DUMMYFUNCTION("""COMPUTED_VALUE"""),"Arte digital")</f>
        <v>Arte digital</v>
      </c>
      <c r="U463" s="30" t="str">
        <f ca="1">IFERROR(__xludf.DUMMYFUNCTION("""COMPUTED_VALUE"""),"Taller")</f>
        <v>Taller</v>
      </c>
      <c r="V463" s="30" t="str">
        <f ca="1">IFERROR(__xludf.DUMMYFUNCTION("""COMPUTED_VALUE"""),"Ninguna")</f>
        <v>Ninguna</v>
      </c>
      <c r="W463" s="30" t="str">
        <f ca="1">IFERROR(__xludf.DUMMYFUNCTION("""COMPUTED_VALUE"""),"Presencial")</f>
        <v>Presencial</v>
      </c>
      <c r="X463" s="30" t="str">
        <f ca="1">IFERROR(__xludf.DUMMYFUNCTION("""COMPUTED_VALUE"""),"Espacio préstamo a la Secretaría de Cultura")</f>
        <v>Espacio préstamo a la Secretaría de Cultura</v>
      </c>
      <c r="Y463" s="30"/>
      <c r="Z463" s="30"/>
      <c r="AA463" s="30"/>
      <c r="AB463" s="30" t="b">
        <f ca="1">IFERROR(__xludf.DUMMYFUNCTION("""COMPUTED_VALUE"""),FALSE)</f>
        <v>0</v>
      </c>
      <c r="AC463" s="30"/>
      <c r="AD463" s="30" t="b">
        <f ca="1">IFERROR(__xludf.DUMMYFUNCTION("""COMPUTED_VALUE"""),FALSE)</f>
        <v>0</v>
      </c>
      <c r="AE463" s="30"/>
      <c r="AF463" s="30" t="b">
        <f ca="1">IFERROR(__xludf.DUMMYFUNCTION("""COMPUTED_VALUE"""),FALSE)</f>
        <v>0</v>
      </c>
      <c r="AG463" s="30"/>
      <c r="AH463" s="30" t="str">
        <f ca="1">IFERROR(__xludf.DUMMYFUNCTION("""COMPUTED_VALUE"""),"Sin costo")</f>
        <v>Sin costo</v>
      </c>
      <c r="AI463" s="30"/>
      <c r="AJ463" s="30"/>
      <c r="AK463" s="30"/>
      <c r="AL463" s="30" t="str">
        <f ca="1">IFERROR(__xludf.DUMMYFUNCTION("""COMPUTED_VALUE"""),"claudia.ramirezm@guanajuato.gob.mx")</f>
        <v>claudia.ramirezm@guanajuato.gob.mx</v>
      </c>
      <c r="AM463" s="30" t="str">
        <f ca="1">IFERROR(__xludf.DUMMYFUNCTION("""COMPUTED_VALUE"""),"Mayor inversión en conservación del patrimonio artístico y cultural.")</f>
        <v>Mayor inversión en conservación del patrimonio artístico y cultural.</v>
      </c>
      <c r="AN463" s="30" t="str">
        <f ca="1">IFERROR(__xludf.DUMMYFUNCTION("""COMPUTED_VALUE"""),"2 Igualdad")</f>
        <v>2 Igualdad</v>
      </c>
      <c r="AO463" s="30" t="str">
        <f ca="1">IFERROR(__xludf.DUMMYFUNCTION("""COMPUTED_VALUE"""),"2.4 Reducir brechas de desigualdad")</f>
        <v>2.4 Reducir brechas de desigualdad</v>
      </c>
      <c r="AP463" s="30" t="str">
        <f ca="1">IFERROR(__xludf.DUMMYFUNCTION("""COMPUTED_VALUE"""),"2.4.3 Descentralización de la oferta cultural")</f>
        <v>2.4.3 Descentralización de la oferta cultural</v>
      </c>
      <c r="AQ463" s="30" t="str">
        <f ca="1">IFERROR(__xludf.DUMMYFUNCTION("""COMPUTED_VALUE"""),"2.4.3.1 Impulsar el desarrollo artístico y cultural entre infancias y juventudes")</f>
        <v>2.4.3.1 Impulsar el desarrollo artístico y cultural entre infancias y juventudes</v>
      </c>
      <c r="AR463" s="30" t="str">
        <f ca="1">IFERROR(__xludf.DUMMYFUNCTION("""COMPUTED_VALUE"""),"Inclusión")</f>
        <v>Inclusión</v>
      </c>
      <c r="AS463" s="30" t="str">
        <f ca="1">IFERROR(__xludf.DUMMYFUNCTION("""COMPUTED_VALUE"""),"NNA (Niñas, Niños y Adolescentes)")</f>
        <v>NNA (Niñas, Niños y Adolescentes)</v>
      </c>
      <c r="AT463" s="30" t="str">
        <f ca="1">IFERROR(__xludf.DUMMYFUNCTION("""COMPUTED_VALUE"""),"Impulso a la educación artística y a la profesionalización del sector cultural")</f>
        <v>Impulso a la educación artística y a la profesionalización del sector cultural</v>
      </c>
      <c r="AU463" s="30" t="str">
        <f ca="1">IFERROR(__xludf.DUMMYFUNCTION("""COMPUTED_VALUE"""),"Impulso a programas de formación y profesionalización para agentes culturales.")</f>
        <v>Impulso a programas de formación y profesionalización para agentes culturales.</v>
      </c>
      <c r="AV463"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63" s="30" t="str">
        <f ca="1">IFERROR(__xludf.DUMMYFUNCTION("""COMPUTED_VALUE"""),"Incrementar un 30% la oferta de formación y profesionalización para agentes culturales.")</f>
        <v>Incrementar un 30% la oferta de formación y profesionalización para agentes culturales.</v>
      </c>
      <c r="AX463" s="30" t="str">
        <f ca="1">IFERROR(__xludf.DUMMYFUNCTION("""COMPUTED_VALUE"""),"Taller")</f>
        <v>Taller</v>
      </c>
      <c r="AY463" s="30" t="str">
        <f ca="1">IFERROR(__xludf.DUMMYFUNCTION("""COMPUTED_VALUE"""),"Formación")</f>
        <v>Formación</v>
      </c>
      <c r="AZ463" s="30" t="str">
        <f ca="1">IFERROR(__xludf.DUMMYFUNCTION("""COMPUTED_VALUE"""),"Formación")</f>
        <v>Formación</v>
      </c>
      <c r="BA463" s="30" t="str">
        <f ca="1">IFERROR(__xludf.DUMMYFUNCTION("""COMPUTED_VALUE"""),"Taller inclusivo dirigido a niñas y niños con barreras para el aprendizaje y la participación, realizado en vinculación con personal del CAM, familias y cuidadoras para acompañar de forma integral su desarrollo e integración.")</f>
        <v>Taller inclusivo dirigido a niñas y niños con barreras para el aprendizaje y la participación, realizado en vinculación con personal del CAM, familias y cuidadoras para acompañar de forma integral su desarrollo e integración.</v>
      </c>
      <c r="BB463" s="30">
        <f ca="1">IFERROR(__xludf.DUMMYFUNCTION("""COMPUTED_VALUE"""),5)</f>
        <v>5</v>
      </c>
      <c r="BC463" s="30">
        <f ca="1">IFERROR(__xludf.DUMMYFUNCTION("""COMPUTED_VALUE"""),1)</f>
        <v>1</v>
      </c>
      <c r="BD463" s="30" t="str">
        <f ca="1">IFERROR(__xludf.DUMMYFUNCTION("""COMPUTED_VALUE"""),"Apoyado con anterioridad")</f>
        <v>Apoyado con anterioridad</v>
      </c>
      <c r="BE463" s="30" t="str">
        <f ca="1">IFERROR(__xludf.DUMMYFUNCTION("""COMPUTED_VALUE"""),"María Yavhé Pérez Lara")</f>
        <v>María Yavhé Pérez Lara</v>
      </c>
      <c r="BF463" s="30" t="b">
        <f ca="1">IFERROR(__xludf.DUMMYFUNCTION("""COMPUTED_VALUE"""),FALSE)</f>
        <v>0</v>
      </c>
      <c r="BG463" s="30"/>
      <c r="BH463" s="30"/>
      <c r="BI463" s="30"/>
      <c r="BJ463" s="30"/>
      <c r="BK463" s="30"/>
      <c r="BL463" s="30"/>
      <c r="BM463" s="30" t="str">
        <f ca="1">IFERROR(__xludf.DUMMYFUNCTION("""COMPUTED_VALUE"""),"No")</f>
        <v>No</v>
      </c>
      <c r="BN463" s="30"/>
      <c r="BO463" s="30" t="str">
        <f ca="1">IFERROR(__xludf.DUMMYFUNCTION("""COMPUTED_VALUE"""),"4c70a290")</f>
        <v>4c70a290</v>
      </c>
      <c r="BP463" s="29" t="str">
        <f ca="1">IFERROR(__xludf.DUMMYFUNCTION("""COMPUTED_VALUE"""),"Abasolo")</f>
        <v>Abasolo</v>
      </c>
      <c r="BQ463" s="30" t="str">
        <f ca="1">IFERROR(__xludf.DUMMYFUNCTION("""COMPUTED_VALUE"""),"Urbano")</f>
        <v>Urbano</v>
      </c>
      <c r="BR463" s="30">
        <f ca="1">IFERROR(__xludf.DUMMYFUNCTION("""COMPUTED_VALUE"""),3)</f>
        <v>3</v>
      </c>
      <c r="BS463" s="30" t="str">
        <f ca="1">IFERROR(__xludf.DUMMYFUNCTION("""COMPUTED_VALUE"""),"Abasolo")</f>
        <v>Abasolo</v>
      </c>
      <c r="BT463" s="30"/>
      <c r="BU463" s="30" t="str">
        <f ca="1">IFERROR(__xludf.DUMMYFUNCTION("""COMPUTED_VALUE"""),"Si")</f>
        <v>Si</v>
      </c>
      <c r="BV463" s="30" t="str">
        <f ca="1">IFERROR(__xludf.DUMMYFUNCTION("""COMPUTED_VALUE"""),"Si")</f>
        <v>Si</v>
      </c>
      <c r="BW463" s="30">
        <f ca="1">IFERROR(__xludf.DUMMYFUNCTION("""COMPUTED_VALUE"""),7)</f>
        <v>7</v>
      </c>
      <c r="BX463" s="30"/>
      <c r="BY463" s="30">
        <f ca="1">IFERROR(__xludf.DUMMYFUNCTION("""COMPUTED_VALUE"""),7)</f>
        <v>7</v>
      </c>
      <c r="BZ463" s="30" t="str">
        <f ca="1">IFERROR(__xludf.DUMMYFUNCTION("""COMPUTED_VALUE"""),"Abasolo")</f>
        <v>Abasolo</v>
      </c>
      <c r="CA463" s="30" t="str">
        <f ca="1">IFERROR(__xludf.DUMMYFUNCTION("""COMPUTED_VALUE"""),"No")</f>
        <v>No</v>
      </c>
      <c r="CB463" s="30" t="str">
        <f ca="1">IFERROR(__xludf.DUMMYFUNCTION("""COMPUTED_VALUE"""),"No")</f>
        <v>No</v>
      </c>
      <c r="CC463" s="30" t="str">
        <f ca="1">IFERROR(__xludf.DUMMYFUNCTION("""COMPUTED_VALUE"""),"6b10d152")</f>
        <v>6b10d152</v>
      </c>
      <c r="CD463" s="29" t="str">
        <f ca="1">IFERROR(__xludf.DUMMYFUNCTION("""COMPUTED_VALUE"""),"Jóvenes (18 a 29 años)")</f>
        <v>Jóvenes (18 a 29 años)</v>
      </c>
      <c r="CE463" s="30" t="str">
        <f ca="1">IFERROR(__xludf.DUMMYFUNCTION("""COMPUTED_VALUE"""),"No se cuenta con el dato")</f>
        <v>No se cuenta con el dato</v>
      </c>
      <c r="CF463" s="30" t="str">
        <f ca="1">IFERROR(__xludf.DUMMYFUNCTION("""COMPUTED_VALUE"""),"Ninguno (Población General)")</f>
        <v>Ninguno (Población General)</v>
      </c>
      <c r="CG463" s="30">
        <f ca="1">IFERROR(__xludf.DUMMYFUNCTION("""COMPUTED_VALUE"""),23)</f>
        <v>23</v>
      </c>
      <c r="CJ463" s="29"/>
      <c r="CM463" s="30" t="str">
        <f ca="1">IFERROR(__xludf.DUMMYFUNCTION("""COMPUTED_VALUE"""),"Purísima del Rincón")</f>
        <v>Purísima del Rincón</v>
      </c>
      <c r="CN463" s="32" t="e">
        <f ca="1"/>
        <v>#NAME?</v>
      </c>
      <c r="CO463" s="32" t="e">
        <f ca="1"/>
        <v>#NAME?</v>
      </c>
      <c r="CP463" s="32" t="e">
        <f ca="1"/>
        <v>#NAME?</v>
      </c>
      <c r="CQ463" s="32" t="e">
        <f ca="1"/>
        <v>#NAME?</v>
      </c>
      <c r="CR463" s="30" t="e">
        <f ca="1"/>
        <v>#NAME?</v>
      </c>
      <c r="CS463"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64" spans="1:97" ht="13">
      <c r="A464" s="29" t="str">
        <f ca="1">IFERROR(__xludf.DUMMYFUNCTION("""COMPUTED_VALUE"""),"ACT-SCFZ57344")</f>
        <v>ACT-SCFZ57344</v>
      </c>
      <c r="B464" s="30" t="str">
        <f ca="1">IFERROR(__xludf.DUMMYFUNCTION("""COMPUTED_VALUE"""),"SC-260924-135144")</f>
        <v>SC-260924-135144</v>
      </c>
      <c r="C464" s="62">
        <f ca="1">IFERROR(__xludf.DUMMYFUNCTION("""COMPUTED_VALUE"""),46289.5775925925)</f>
        <v>46289.577592592497</v>
      </c>
      <c r="D464" s="30">
        <f ca="1">IFERROR(__xludf.DUMMYFUNCTION("""COMPUTED_VALUE"""),77)</f>
        <v>77</v>
      </c>
      <c r="E464" s="30" t="str">
        <f ca="1">IFERROR(__xludf.DUMMYFUNCTION("""COMPUTED_VALUE"""),"PB3567")</f>
        <v>PB3567</v>
      </c>
      <c r="F464" s="30" t="str">
        <f ca="1">IFERROR(__xludf.DUMMYFUNCTION("""COMPUTED_VALUE"""),"Formación e Investigación Artística")</f>
        <v>Formación e Investigación Artística</v>
      </c>
      <c r="G464" s="30" t="str">
        <f ca="1">IFERROR(__xludf.DUMMYFUNCTION("""COMPUTED_VALUE"""),"Presentaciones artísticas de teatro, música y danza, editoriales, conversatorios, conferencias y charlas")</f>
        <v>Presentaciones artísticas de teatro, música y danza, editoriales, conversatorios, conferencias y charlas</v>
      </c>
      <c r="H464" s="30" t="str">
        <f ca="1">IFERROR(__xludf.DUMMYFUNCTION("""COMPUTED_VALUE"""),"SUBSECRETARÍA DE DESARROLLO COMUNITARIO Y PROMOCIÓN PATRIMONIAL")</f>
        <v>SUBSECRETARÍA DE DESARROLLO COMUNITARIO Y PROMOCIÓN PATRIMONIAL</v>
      </c>
      <c r="I464" s="34" t="str">
        <f ca="1">IFERROR(__xludf.DUMMYFUNCTION("""COMPUTED_VALUE"""),"DIRECCIÓN GENERAL DE FORMACIÓN E INVESTIGACIÓN")</f>
        <v>DIRECCIÓN GENERAL DE FORMACIÓN E INVESTIGACIÓN</v>
      </c>
      <c r="J464" s="30" t="str">
        <f ca="1">IFERROR(__xludf.DUMMYFUNCTION("""COMPUTED_VALUE"""),"Presentaciones realizadas")</f>
        <v>Presentaciones realizadas</v>
      </c>
      <c r="K464" s="30">
        <f ca="1">IFERROR(__xludf.DUMMYFUNCTION("""COMPUTED_VALUE"""),20)</f>
        <v>20</v>
      </c>
      <c r="L464" s="30" t="str">
        <f ca="1">IFERROR(__xludf.DUMMYFUNCTION("""COMPUTED_VALUE"""),"Cultural")</f>
        <v>Cultural</v>
      </c>
      <c r="M464" s="30" t="str">
        <f ca="1">IFERROR(__xludf.DUMMYFUNCTION("""COMPUTED_VALUE"""),"Grupo de la danza el torito de Romita.")</f>
        <v>Grupo de la danza el torito de Romita.</v>
      </c>
      <c r="N464" s="30" t="str">
        <f ca="1">IFERROR(__xludf.DUMMYFUNCTION("""COMPUTED_VALUE"""),"Participación del grupo de Danza el Torito de Romita en el Encuentro Estatal de Saberes Locales.")</f>
        <v>Participación del grupo de Danza el Torito de Romita en el Encuentro Estatal de Saberes Locales.</v>
      </c>
      <c r="O464" s="30" t="str">
        <f ca="1">IFERROR(__xludf.DUMMYFUNCTION("""COMPUTED_VALUE"""),"Única")</f>
        <v>Única</v>
      </c>
      <c r="P464" s="33">
        <f ca="1">IFERROR(__xludf.DUMMYFUNCTION("""COMPUTED_VALUE"""),46177)</f>
        <v>46177</v>
      </c>
      <c r="Q464" s="33">
        <f ca="1">IFERROR(__xludf.DUMMYFUNCTION("""COMPUTED_VALUE"""),46177)</f>
        <v>46177</v>
      </c>
      <c r="R464" s="30">
        <f ca="1">IFERROR(__xludf.DUMMYFUNCTION("""COMPUTED_VALUE"""),1)</f>
        <v>1</v>
      </c>
      <c r="S464" s="30" t="str">
        <f ca="1">IFERROR(__xludf.DUMMYFUNCTION("""COMPUTED_VALUE"""),"Artes escénicas")</f>
        <v>Artes escénicas</v>
      </c>
      <c r="T464" s="30" t="str">
        <f ca="1">IFERROR(__xludf.DUMMYFUNCTION("""COMPUTED_VALUE"""),"Danza tradicional")</f>
        <v>Danza tradicional</v>
      </c>
      <c r="U464" s="30" t="str">
        <f ca="1">IFERROR(__xludf.DUMMYFUNCTION("""COMPUTED_VALUE"""),"Encuentro cultural")</f>
        <v>Encuentro cultural</v>
      </c>
      <c r="V464" s="30" t="str">
        <f ca="1">IFERROR(__xludf.DUMMYFUNCTION("""COMPUTED_VALUE"""),"Ninguna")</f>
        <v>Ninguna</v>
      </c>
      <c r="W464" s="30" t="str">
        <f ca="1">IFERROR(__xludf.DUMMYFUNCTION("""COMPUTED_VALUE"""),"Presencial")</f>
        <v>Presencial</v>
      </c>
      <c r="X464" s="30" t="str">
        <f ca="1">IFERROR(__xludf.DUMMYFUNCTION("""COMPUTED_VALUE"""),"Espacio préstamo a la Secretaría de Cultura")</f>
        <v>Espacio préstamo a la Secretaría de Cultura</v>
      </c>
      <c r="Y464" s="30"/>
      <c r="Z464" s="30"/>
      <c r="AA464" s="30"/>
      <c r="AB464" s="30" t="b">
        <f ca="1">IFERROR(__xludf.DUMMYFUNCTION("""COMPUTED_VALUE"""),FALSE)</f>
        <v>0</v>
      </c>
      <c r="AC464" s="30"/>
      <c r="AD464" s="30" t="b">
        <f ca="1">IFERROR(__xludf.DUMMYFUNCTION("""COMPUTED_VALUE"""),TRUE)</f>
        <v>1</v>
      </c>
      <c r="AE464" s="30">
        <f ca="1">IFERROR(__xludf.DUMMYFUNCTION("""COMPUTED_VALUE"""),1)</f>
        <v>1</v>
      </c>
      <c r="AF464" s="30" t="b">
        <f ca="1">IFERROR(__xludf.DUMMYFUNCTION("""COMPUTED_VALUE"""),FALSE)</f>
        <v>0</v>
      </c>
      <c r="AG464" s="30"/>
      <c r="AH464" s="30" t="str">
        <f ca="1">IFERROR(__xludf.DUMMYFUNCTION("""COMPUTED_VALUE"""),"Sin costo")</f>
        <v>Sin costo</v>
      </c>
      <c r="AI464" s="30"/>
      <c r="AJ464" s="30"/>
      <c r="AK464" s="30"/>
      <c r="AL464" s="30" t="str">
        <f ca="1">IFERROR(__xludf.DUMMYFUNCTION("""COMPUTED_VALUE"""),"claudia.ramirezm@guanajuato.gob.mx")</f>
        <v>claudia.ramirezm@guanajuato.gob.mx</v>
      </c>
      <c r="AM464" s="30" t="str">
        <f ca="1">IFERROR(__xludf.DUMMYFUNCTION("""COMPUTED_VALUE"""),"Actividades artísticas y culturales en zonas de alta marginación.")</f>
        <v>Actividades artísticas y culturales en zonas de alta marginación.</v>
      </c>
      <c r="AN464" s="30" t="str">
        <f ca="1">IFERROR(__xludf.DUMMYFUNCTION("""COMPUTED_VALUE"""),"1 Tranquilidad")</f>
        <v>1 Tranquilidad</v>
      </c>
      <c r="AO464" s="30" t="str">
        <f ca="1">IFERROR(__xludf.DUMMYFUNCTION("""COMPUTED_VALUE"""),"1.2 Fortalecer prevención del delito")</f>
        <v>1.2 Fortalecer prevención del delito</v>
      </c>
      <c r="AP464" s="30" t="str">
        <f ca="1">IFERROR(__xludf.DUMMYFUNCTION("""COMPUTED_VALUE"""),"1.2.2 Fortalecimiento del tejido social")</f>
        <v>1.2.2 Fortalecimiento del tejido social</v>
      </c>
      <c r="AQ464" s="30" t="str">
        <f ca="1">IFERROR(__xludf.DUMMYFUNCTION("""COMPUTED_VALUE"""),"1.2.3.4 Promover una cultura de paz desde las expresiones artísticas y culturales")</f>
        <v>1.2.3.4 Promover una cultura de paz desde las expresiones artísticas y culturales</v>
      </c>
      <c r="AR464" s="30" t="str">
        <f ca="1">IFERROR(__xludf.DUMMYFUNCTION("""COMPUTED_VALUE"""),"Inclusión")</f>
        <v>Inclusión</v>
      </c>
      <c r="AS464" s="30" t="str">
        <f ca="1">IFERROR(__xludf.DUMMYFUNCTION("""COMPUTED_VALUE"""),"Ninguno (Población General)")</f>
        <v>Ninguno (Población General)</v>
      </c>
      <c r="AT464" s="30" t="str">
        <f ca="1">IFERROR(__xludf.DUMMYFUNCTION("""COMPUTED_VALUE"""),"Fortalecimiento de la participación ciudadana y la mediación cultural")</f>
        <v>Fortalecimiento de la participación ciudadana y la mediación cultural</v>
      </c>
      <c r="AU464" s="30" t="str">
        <f ca="1">IFERROR(__xludf.DUMMYFUNCTION("""COMPUTED_VALUE"""),"Impulso a la ampliación de la oferta cultural en los territorios.")</f>
        <v>Impulso a la ampliación de la oferta cultural en los territorios.</v>
      </c>
      <c r="AV464" s="30" t="str">
        <f ca="1">IFERROR(__xludf.DUMMYFUNCTION("""COMPUTED_VALUE"""),"Impulsar los proyectos culturales itinerantes.")</f>
        <v>Impulsar los proyectos culturales itinerantes.</v>
      </c>
      <c r="AW464" s="30" t="str">
        <f ca="1">IFERROR(__xludf.DUMMYFUNCTION("""COMPUTED_VALUE"""),"Incrementar en 25% la oferta cultural realizada en los municipios.")</f>
        <v>Incrementar en 25% la oferta cultural realizada en los municipios.</v>
      </c>
      <c r="AX464" s="30" t="str">
        <f ca="1">IFERROR(__xludf.DUMMYFUNCTION("""COMPUTED_VALUE"""),"Encuentro cultural")</f>
        <v>Encuentro cultural</v>
      </c>
      <c r="AY464" s="30" t="str">
        <f ca="1">IFERROR(__xludf.DUMMYFUNCTION("""COMPUTED_VALUE"""),"Formación")</f>
        <v>Formación</v>
      </c>
      <c r="AZ464" s="30" t="str">
        <f ca="1">IFERROR(__xludf.DUMMYFUNCTION("""COMPUTED_VALUE"""),"Formación")</f>
        <v>Formación</v>
      </c>
      <c r="BA464" s="30" t="str">
        <f ca="1">IFERROR(__xludf.DUMMYFUNCTION("""COMPUTED_VALUE"""),"Participación del grupo de Danza el Torito de Romita en el Encuentro Estatal de Saberes Locales.")</f>
        <v>Participación del grupo de Danza el Torito de Romita en el Encuentro Estatal de Saberes Locales.</v>
      </c>
      <c r="BB464" s="30">
        <f ca="1">IFERROR(__xludf.DUMMYFUNCTION("""COMPUTED_VALUE"""),5)</f>
        <v>5</v>
      </c>
      <c r="BC464" s="30">
        <f ca="1">IFERROR(__xludf.DUMMYFUNCTION("""COMPUTED_VALUE"""),31)</f>
        <v>31</v>
      </c>
      <c r="BD464" s="30" t="str">
        <f ca="1">IFERROR(__xludf.DUMMYFUNCTION("""COMPUTED_VALUE"""),"Apoyado con anterioridad")</f>
        <v>Apoyado con anterioridad</v>
      </c>
      <c r="BE464" s="30" t="str">
        <f ca="1">IFERROR(__xludf.DUMMYFUNCTION("""COMPUTED_VALUE"""),"Grupo de la danza el torito de Romita")</f>
        <v>Grupo de la danza el torito de Romita</v>
      </c>
      <c r="BF464" s="30" t="b">
        <f ca="1">IFERROR(__xludf.DUMMYFUNCTION("""COMPUTED_VALUE"""),TRUE)</f>
        <v>1</v>
      </c>
      <c r="BG464" s="30" t="str">
        <f ca="1">IFERROR(__xludf.DUMMYFUNCTION("""COMPUTED_VALUE"""),"Económico")</f>
        <v>Económico</v>
      </c>
      <c r="BH464" s="30">
        <f ca="1">IFERROR(__xludf.DUMMYFUNCTION("""COMPUTED_VALUE"""),100000)</f>
        <v>100000</v>
      </c>
      <c r="BI464" s="30"/>
      <c r="BJ464" s="30"/>
      <c r="BK464" s="30"/>
      <c r="BL464" s="30"/>
      <c r="BM464" s="30" t="str">
        <f ca="1">IFERROR(__xludf.DUMMYFUNCTION("""COMPUTED_VALUE"""),"No")</f>
        <v>No</v>
      </c>
      <c r="BN464" s="30"/>
      <c r="BO464" s="30" t="str">
        <f ca="1">IFERROR(__xludf.DUMMYFUNCTION("""COMPUTED_VALUE"""),"d1b08e3b")</f>
        <v>d1b08e3b</v>
      </c>
      <c r="BP464" s="29" t="str">
        <f ca="1">IFERROR(__xludf.DUMMYFUNCTION("""COMPUTED_VALUE"""),"Abasolo")</f>
        <v>Abasolo</v>
      </c>
      <c r="BQ464" s="30" t="str">
        <f ca="1">IFERROR(__xludf.DUMMYFUNCTION("""COMPUTED_VALUE"""),"Urbano")</f>
        <v>Urbano</v>
      </c>
      <c r="BR464" s="30">
        <f ca="1">IFERROR(__xludf.DUMMYFUNCTION("""COMPUTED_VALUE"""),3)</f>
        <v>3</v>
      </c>
      <c r="BS464" s="30" t="str">
        <f ca="1">IFERROR(__xludf.DUMMYFUNCTION("""COMPUTED_VALUE"""),"Abasolo")</f>
        <v>Abasolo</v>
      </c>
      <c r="BT464" s="30"/>
      <c r="BU464" s="30" t="str">
        <f ca="1">IFERROR(__xludf.DUMMYFUNCTION("""COMPUTED_VALUE"""),"Si")</f>
        <v>Si</v>
      </c>
      <c r="BV464" s="30" t="str">
        <f ca="1">IFERROR(__xludf.DUMMYFUNCTION("""COMPUTED_VALUE"""),"Si")</f>
        <v>Si</v>
      </c>
      <c r="BW464" s="30">
        <f ca="1">IFERROR(__xludf.DUMMYFUNCTION("""COMPUTED_VALUE"""),11)</f>
        <v>11</v>
      </c>
      <c r="BX464" s="30"/>
      <c r="BY464" s="30">
        <f ca="1">IFERROR(__xludf.DUMMYFUNCTION("""COMPUTED_VALUE"""),11)</f>
        <v>11</v>
      </c>
      <c r="BZ464" s="30" t="str">
        <f ca="1">IFERROR(__xludf.DUMMYFUNCTION("""COMPUTED_VALUE"""),"Abasolo")</f>
        <v>Abasolo</v>
      </c>
      <c r="CA464" s="30" t="str">
        <f ca="1">IFERROR(__xludf.DUMMYFUNCTION("""COMPUTED_VALUE"""),"No")</f>
        <v>No</v>
      </c>
      <c r="CB464" s="30" t="str">
        <f ca="1">IFERROR(__xludf.DUMMYFUNCTION("""COMPUTED_VALUE"""),"No")</f>
        <v>No</v>
      </c>
      <c r="CC464" s="30" t="str">
        <f ca="1">IFERROR(__xludf.DUMMYFUNCTION("""COMPUTED_VALUE"""),"423ade8c")</f>
        <v>423ade8c</v>
      </c>
      <c r="CD464" s="29" t="str">
        <f ca="1">IFERROR(__xludf.DUMMYFUNCTION("""COMPUTED_VALUE"""),"Adultos (30 a 59 años)")</f>
        <v>Adultos (30 a 59 años)</v>
      </c>
      <c r="CE464" s="30" t="str">
        <f ca="1">IFERROR(__xludf.DUMMYFUNCTION("""COMPUTED_VALUE"""),"No se cuenta con el dato")</f>
        <v>No se cuenta con el dato</v>
      </c>
      <c r="CF464" s="30" t="str">
        <f ca="1">IFERROR(__xludf.DUMMYFUNCTION("""COMPUTED_VALUE"""),"Ninguno (Población General)")</f>
        <v>Ninguno (Población General)</v>
      </c>
      <c r="CG464" s="30">
        <f ca="1">IFERROR(__xludf.DUMMYFUNCTION("""COMPUTED_VALUE"""),15)</f>
        <v>15</v>
      </c>
      <c r="CJ464" s="29"/>
      <c r="CM464" s="30" t="str">
        <f ca="1">IFERROR(__xludf.DUMMYFUNCTION("""COMPUTED_VALUE"""),"Purísima del Rincón")</f>
        <v>Purísima del Rincón</v>
      </c>
      <c r="CN464" s="32" t="e">
        <f ca="1"/>
        <v>#NAME?</v>
      </c>
      <c r="CO464" s="32" t="e">
        <f ca="1"/>
        <v>#NAME?</v>
      </c>
      <c r="CP464" s="32" t="e">
        <f ca="1"/>
        <v>#NAME?</v>
      </c>
      <c r="CQ464" s="32" t="e">
        <f ca="1"/>
        <v>#NAME?</v>
      </c>
      <c r="CR464" s="30" t="e">
        <f ca="1"/>
        <v>#NAME?</v>
      </c>
      <c r="CS464" s="30" t="str">
        <f ca="1">IFERROR(__xludf.DUMMYFUNCTION("""COMPUTED_VALUE"""),"Ninguno (Población General), Ninguno (Población General)")</f>
        <v>Ninguno (Población General), Ninguno (Población General)</v>
      </c>
    </row>
    <row r="465" spans="1:97" ht="13">
      <c r="A465" s="29" t="str">
        <f ca="1">IFERROR(__xludf.DUMMYFUNCTION("""COMPUTED_VALUE"""),"ACT-SCBF91981")</f>
        <v>ACT-SCBF91981</v>
      </c>
      <c r="B465" s="30" t="str">
        <f ca="1">IFERROR(__xludf.DUMMYFUNCTION("""COMPUTED_VALUE"""),"SC-260924-152334")</f>
        <v>SC-260924-152334</v>
      </c>
      <c r="C465" s="62">
        <f ca="1">IFERROR(__xludf.DUMMYFUNCTION("""COMPUTED_VALUE"""),46289.6413657407)</f>
        <v>46289.641365740703</v>
      </c>
      <c r="D465" s="30">
        <f ca="1">IFERROR(__xludf.DUMMYFUNCTION("""COMPUTED_VALUE"""),77)</f>
        <v>77</v>
      </c>
      <c r="E465" s="30" t="str">
        <f ca="1">IFERROR(__xludf.DUMMYFUNCTION("""COMPUTED_VALUE"""),"PB3567")</f>
        <v>PB3567</v>
      </c>
      <c r="F465" s="30" t="str">
        <f ca="1">IFERROR(__xludf.DUMMYFUNCTION("""COMPUTED_VALUE"""),"Formación e Investigación Artística")</f>
        <v>Formación e Investigación Artística</v>
      </c>
      <c r="G465" s="30" t="str">
        <f ca="1">IFERROR(__xludf.DUMMYFUNCTION("""COMPUTED_VALUE"""),"Presentaciones artísticas de teatro, música y danza, editoriales, conversatorios, conferencias y charlas")</f>
        <v>Presentaciones artísticas de teatro, música y danza, editoriales, conversatorios, conferencias y charlas</v>
      </c>
      <c r="H465" s="30" t="str">
        <f ca="1">IFERROR(__xludf.DUMMYFUNCTION("""COMPUTED_VALUE"""),"SUBSECRETARÍA DE DESARROLLO COMUNITARIO Y PROMOCIÓN PATRIMONIAL")</f>
        <v>SUBSECRETARÍA DE DESARROLLO COMUNITARIO Y PROMOCIÓN PATRIMONIAL</v>
      </c>
      <c r="I465" s="34" t="str">
        <f ca="1">IFERROR(__xludf.DUMMYFUNCTION("""COMPUTED_VALUE"""),"DIRECCIÓN GENERAL DE FORMACIÓN E INVESTIGACIÓN")</f>
        <v>DIRECCIÓN GENERAL DE FORMACIÓN E INVESTIGACIÓN</v>
      </c>
      <c r="J465" s="30" t="str">
        <f ca="1">IFERROR(__xludf.DUMMYFUNCTION("""COMPUTED_VALUE"""),"Presentaciones realizadas")</f>
        <v>Presentaciones realizadas</v>
      </c>
      <c r="K465" s="30">
        <f ca="1">IFERROR(__xludf.DUMMYFUNCTION("""COMPUTED_VALUE"""),20)</f>
        <v>20</v>
      </c>
      <c r="L465" s="30" t="str">
        <f ca="1">IFERROR(__xludf.DUMMYFUNCTION("""COMPUTED_VALUE"""),"Cultural")</f>
        <v>Cultural</v>
      </c>
      <c r="M465" s="30" t="str">
        <f ca="1">IFERROR(__xludf.DUMMYFUNCTION("""COMPUTED_VALUE"""),"Personal del CEARG 2do turno")</f>
        <v>Personal del CEARG 2do turno</v>
      </c>
      <c r="N465" s="30" t="str">
        <f ca="1">IFERROR(__xludf.DUMMYFUNCTION("""COMPUTED_VALUE"""),"Participación en el Encuentro Estatal de Saberes Locales")</f>
        <v>Participación en el Encuentro Estatal de Saberes Locales</v>
      </c>
      <c r="O465" s="30" t="str">
        <f ca="1">IFERROR(__xludf.DUMMYFUNCTION("""COMPUTED_VALUE"""),"Única")</f>
        <v>Única</v>
      </c>
      <c r="P465" s="33">
        <f ca="1">IFERROR(__xludf.DUMMYFUNCTION("""COMPUTED_VALUE"""),46177)</f>
        <v>46177</v>
      </c>
      <c r="Q465" s="33">
        <f ca="1">IFERROR(__xludf.DUMMYFUNCTION("""COMPUTED_VALUE"""),46177)</f>
        <v>46177</v>
      </c>
      <c r="R465" s="30">
        <f ca="1">IFERROR(__xludf.DUMMYFUNCTION("""COMPUTED_VALUE"""),1)</f>
        <v>1</v>
      </c>
      <c r="S465" s="30" t="str">
        <f ca="1">IFERROR(__xludf.DUMMYFUNCTION("""COMPUTED_VALUE"""),"Cultura comunitaria")</f>
        <v>Cultura comunitaria</v>
      </c>
      <c r="T465" s="30" t="str">
        <f ca="1">IFERROR(__xludf.DUMMYFUNCTION("""COMPUTED_VALUE"""),"Gestión cultural")</f>
        <v>Gestión cultural</v>
      </c>
      <c r="U465" s="30" t="str">
        <f ca="1">IFERROR(__xludf.DUMMYFUNCTION("""COMPUTED_VALUE"""),"Divulgación cultural")</f>
        <v>Divulgación cultural</v>
      </c>
      <c r="V465" s="30" t="str">
        <f ca="1">IFERROR(__xludf.DUMMYFUNCTION("""COMPUTED_VALUE"""),"Ninguna")</f>
        <v>Ninguna</v>
      </c>
      <c r="W465" s="30" t="str">
        <f ca="1">IFERROR(__xludf.DUMMYFUNCTION("""COMPUTED_VALUE"""),"Presencial")</f>
        <v>Presencial</v>
      </c>
      <c r="X465" s="30" t="str">
        <f ca="1">IFERROR(__xludf.DUMMYFUNCTION("""COMPUTED_VALUE"""),"Espacio préstamo a la Secretaría de Cultura")</f>
        <v>Espacio préstamo a la Secretaría de Cultura</v>
      </c>
      <c r="Y465" s="30"/>
      <c r="Z465" s="30"/>
      <c r="AA465" s="30"/>
      <c r="AB465" s="30" t="b">
        <f ca="1">IFERROR(__xludf.DUMMYFUNCTION("""COMPUTED_VALUE"""),FALSE)</f>
        <v>0</v>
      </c>
      <c r="AC465" s="30"/>
      <c r="AD465" s="30" t="b">
        <f ca="1">IFERROR(__xludf.DUMMYFUNCTION("""COMPUTED_VALUE"""),FALSE)</f>
        <v>0</v>
      </c>
      <c r="AE465" s="30"/>
      <c r="AF465" s="30" t="b">
        <f ca="1">IFERROR(__xludf.DUMMYFUNCTION("""COMPUTED_VALUE"""),FALSE)</f>
        <v>0</v>
      </c>
      <c r="AG465" s="30"/>
      <c r="AH465" s="30" t="str">
        <f ca="1">IFERROR(__xludf.DUMMYFUNCTION("""COMPUTED_VALUE"""),"Sin costo")</f>
        <v>Sin costo</v>
      </c>
      <c r="AI465" s="30"/>
      <c r="AJ465" s="30"/>
      <c r="AK465" s="30"/>
      <c r="AL465" s="30" t="str">
        <f ca="1">IFERROR(__xludf.DUMMYFUNCTION("""COMPUTED_VALUE"""),"claudia.ramirezm@guanajuato.gob.mx")</f>
        <v>claudia.ramirezm@guanajuato.gob.mx</v>
      </c>
      <c r="AM465" s="30" t="str">
        <f ca="1">IFERROR(__xludf.DUMMYFUNCTION("""COMPUTED_VALUE"""),"Actividades artísticas y culturales en zonas de alta marginación.")</f>
        <v>Actividades artísticas y culturales en zonas de alta marginación.</v>
      </c>
      <c r="AN465" s="30" t="str">
        <f ca="1">IFERROR(__xludf.DUMMYFUNCTION("""COMPUTED_VALUE"""),"2 Igualdad")</f>
        <v>2 Igualdad</v>
      </c>
      <c r="AO465" s="30" t="str">
        <f ca="1">IFERROR(__xludf.DUMMYFUNCTION("""COMPUTED_VALUE"""),"2.2 Fortalecer cohesión social")</f>
        <v>2.2 Fortalecer cohesión social</v>
      </c>
      <c r="AP465" s="30" t="str">
        <f ca="1">IFERROR(__xludf.DUMMYFUNCTION("""COMPUTED_VALUE"""),"2.2 Fortalecer cohesión social")</f>
        <v>2.2 Fortalecer cohesión social</v>
      </c>
      <c r="AQ465" s="30" t="str">
        <f ca="1">IFERROR(__xludf.DUMMYFUNCTION("""COMPUTED_VALUE"""),"2.2.3.2 Promover la participación de grupos prioritarios en actividades culturales")</f>
        <v>2.2.3.2 Promover la participación de grupos prioritarios en actividades culturales</v>
      </c>
      <c r="AR465" s="30" t="str">
        <f ca="1">IFERROR(__xludf.DUMMYFUNCTION("""COMPUTED_VALUE"""),"Inclusión")</f>
        <v>Inclusión</v>
      </c>
      <c r="AS465" s="30" t="str">
        <f ca="1">IFERROR(__xludf.DUMMYFUNCTION("""COMPUTED_VALUE"""),"Ninguno (Población General)")</f>
        <v>Ninguno (Población General)</v>
      </c>
      <c r="AT465" s="30" t="str">
        <f ca="1">IFERROR(__xludf.DUMMYFUNCTION("""COMPUTED_VALUE"""),"Impulso a la educación artística y a la profesionalización del sector cultural")</f>
        <v>Impulso a la educación artística y a la profesionalización del sector cultural</v>
      </c>
      <c r="AU465" s="30" t="str">
        <f ca="1">IFERROR(__xludf.DUMMYFUNCTION("""COMPUTED_VALUE"""),"Impulso a programas de formación y profesionalización para agentes culturales.")</f>
        <v>Impulso a programas de formación y profesionalización para agentes culturales.</v>
      </c>
      <c r="AV465"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65" s="30" t="str">
        <f ca="1">IFERROR(__xludf.DUMMYFUNCTION("""COMPUTED_VALUE"""),"Incrementar un 30% la oferta de formación y profesionalización para agentes culturales.")</f>
        <v>Incrementar un 30% la oferta de formación y profesionalización para agentes culturales.</v>
      </c>
      <c r="AX465" s="30" t="str">
        <f ca="1">IFERROR(__xludf.DUMMYFUNCTION("""COMPUTED_VALUE"""),"Encuentro cultural")</f>
        <v>Encuentro cultural</v>
      </c>
      <c r="AY465" s="30" t="str">
        <f ca="1">IFERROR(__xludf.DUMMYFUNCTION("""COMPUTED_VALUE"""),"Formación")</f>
        <v>Formación</v>
      </c>
      <c r="AZ465" s="30" t="str">
        <f ca="1">IFERROR(__xludf.DUMMYFUNCTION("""COMPUTED_VALUE"""),"Formación")</f>
        <v>Formación</v>
      </c>
      <c r="BA465" s="30"/>
      <c r="BB465" s="30">
        <f ca="1">IFERROR(__xludf.DUMMYFUNCTION("""COMPUTED_VALUE"""),5)</f>
        <v>5</v>
      </c>
      <c r="BC465" s="30">
        <f ca="1">IFERROR(__xludf.DUMMYFUNCTION("""COMPUTED_VALUE"""),31)</f>
        <v>31</v>
      </c>
      <c r="BD465" s="30"/>
      <c r="BE465" s="30"/>
      <c r="BF465" s="30" t="b">
        <f ca="1">IFERROR(__xludf.DUMMYFUNCTION("""COMPUTED_VALUE"""),FALSE)</f>
        <v>0</v>
      </c>
      <c r="BG465" s="30"/>
      <c r="BH465" s="30"/>
      <c r="BI465" s="30"/>
      <c r="BJ465" s="30"/>
      <c r="BK465" s="30"/>
      <c r="BL465" s="30"/>
      <c r="BM465" s="30" t="str">
        <f ca="1">IFERROR(__xludf.DUMMYFUNCTION("""COMPUTED_VALUE"""),"No")</f>
        <v>No</v>
      </c>
      <c r="BN465" s="30"/>
      <c r="BO465" s="30" t="str">
        <f ca="1">IFERROR(__xludf.DUMMYFUNCTION("""COMPUTED_VALUE"""),"dcf185cd")</f>
        <v>dcf185cd</v>
      </c>
      <c r="BP465" s="29" t="str">
        <f ca="1">IFERROR(__xludf.DUMMYFUNCTION("""COMPUTED_VALUE"""),"San Luis de la Paz")</f>
        <v>San Luis de la Paz</v>
      </c>
      <c r="BQ465" s="30" t="str">
        <f ca="1">IFERROR(__xludf.DUMMYFUNCTION("""COMPUTED_VALUE"""),"Urbano")</f>
        <v>Urbano</v>
      </c>
      <c r="BR465" s="30">
        <f ca="1">IFERROR(__xludf.DUMMYFUNCTION("""COMPUTED_VALUE"""),201)</f>
        <v>201</v>
      </c>
      <c r="BS465" s="30" t="str">
        <f ca="1">IFERROR(__xludf.DUMMYFUNCTION("""COMPUTED_VALUE"""),"San Luis de la Paz")</f>
        <v>San Luis de la Paz</v>
      </c>
      <c r="BT465" s="30"/>
      <c r="BU465" s="30" t="str">
        <f ca="1">IFERROR(__xludf.DUMMYFUNCTION("""COMPUTED_VALUE"""),"Si")</f>
        <v>Si</v>
      </c>
      <c r="BV465" s="30" t="str">
        <f ca="1">IFERROR(__xludf.DUMMYFUNCTION("""COMPUTED_VALUE"""),"Si")</f>
        <v>Si</v>
      </c>
      <c r="BW465" s="30">
        <f ca="1">IFERROR(__xludf.DUMMYFUNCTION("""COMPUTED_VALUE"""),25)</f>
        <v>25</v>
      </c>
      <c r="BX465" s="30"/>
      <c r="BY465" s="30">
        <f ca="1">IFERROR(__xludf.DUMMYFUNCTION("""COMPUTED_VALUE"""),25)</f>
        <v>25</v>
      </c>
      <c r="BZ465" s="30" t="str">
        <f ca="1">IFERROR(__xludf.DUMMYFUNCTION("""COMPUTED_VALUE"""),"San Luis de la Paz")</f>
        <v>San Luis de la Paz</v>
      </c>
      <c r="CA465" s="30" t="str">
        <f ca="1">IFERROR(__xludf.DUMMYFUNCTION("""COMPUTED_VALUE"""),"No")</f>
        <v>No</v>
      </c>
      <c r="CB465" s="30" t="str">
        <f ca="1">IFERROR(__xludf.DUMMYFUNCTION("""COMPUTED_VALUE"""),"No")</f>
        <v>No</v>
      </c>
      <c r="CC465" s="30" t="str">
        <f ca="1">IFERROR(__xludf.DUMMYFUNCTION("""COMPUTED_VALUE"""),"64ba51e4")</f>
        <v>64ba51e4</v>
      </c>
      <c r="CD465" s="29" t="str">
        <f ca="1">IFERROR(__xludf.DUMMYFUNCTION("""COMPUTED_VALUE"""),"Jóvenes (18 a 29 años)")</f>
        <v>Jóvenes (18 a 29 años)</v>
      </c>
      <c r="CE465" s="30" t="str">
        <f ca="1">IFERROR(__xludf.DUMMYFUNCTION("""COMPUTED_VALUE"""),"No se cuenta con el dato")</f>
        <v>No se cuenta con el dato</v>
      </c>
      <c r="CF465" s="30" t="str">
        <f ca="1">IFERROR(__xludf.DUMMYFUNCTION("""COMPUTED_VALUE"""),"Ninguno (Población General)")</f>
        <v>Ninguno (Población General)</v>
      </c>
      <c r="CG465" s="30">
        <f ca="1">IFERROR(__xludf.DUMMYFUNCTION("""COMPUTED_VALUE"""),31)</f>
        <v>31</v>
      </c>
      <c r="CJ465" s="29"/>
      <c r="CM465" s="30" t="str">
        <f ca="1">IFERROR(__xludf.DUMMYFUNCTION("""COMPUTED_VALUE"""),"Abasolo")</f>
        <v>Abasolo</v>
      </c>
      <c r="CN465" s="32" t="e">
        <f ca="1"/>
        <v>#NAME?</v>
      </c>
      <c r="CO465" s="32" t="e">
        <f ca="1"/>
        <v>#NAME?</v>
      </c>
      <c r="CP465" s="32" t="e">
        <f ca="1"/>
        <v>#NAME?</v>
      </c>
      <c r="CQ465" s="32" t="e">
        <f ca="1"/>
        <v>#NAME?</v>
      </c>
      <c r="CR465" s="30" t="e">
        <f ca="1"/>
        <v>#NAME?</v>
      </c>
      <c r="CS465" s="30" t="str">
        <f ca="1">IFERROR(__xludf.DUMMYFUNCTION("""COMPUTED_VALUE"""),"Ninguno (Población General), Ninguno (Población General)")</f>
        <v>Ninguno (Población General), Ninguno (Población General)</v>
      </c>
    </row>
    <row r="466" spans="1:97" ht="13">
      <c r="A466" s="29" t="str">
        <f ca="1">IFERROR(__xludf.DUMMYFUNCTION("""COMPUTED_VALUE"""),"ACT-SCKT28647")</f>
        <v>ACT-SCKT28647</v>
      </c>
      <c r="B466" s="30" t="str">
        <f ca="1">IFERROR(__xludf.DUMMYFUNCTION("""COMPUTED_VALUE"""),"SC-260924-163515")</f>
        <v>SC-260924-163515</v>
      </c>
      <c r="C466" s="62">
        <f ca="1">IFERROR(__xludf.DUMMYFUNCTION("""COMPUTED_VALUE"""),46289.6911458333)</f>
        <v>46289.691145833298</v>
      </c>
      <c r="D466" s="30">
        <f ca="1">IFERROR(__xludf.DUMMYFUNCTION("""COMPUTED_VALUE"""),77)</f>
        <v>77</v>
      </c>
      <c r="E466" s="30" t="str">
        <f ca="1">IFERROR(__xludf.DUMMYFUNCTION("""COMPUTED_VALUE"""),"PB3567")</f>
        <v>PB3567</v>
      </c>
      <c r="F466" s="30" t="str">
        <f ca="1">IFERROR(__xludf.DUMMYFUNCTION("""COMPUTED_VALUE"""),"Formación e Investigación Artística")</f>
        <v>Formación e Investigación Artística</v>
      </c>
      <c r="G466" s="30" t="str">
        <f ca="1">IFERROR(__xludf.DUMMYFUNCTION("""COMPUTED_VALUE"""),"Presentaciones artísticas de teatro, música y danza, editoriales, conversatorios, conferencias y charlas")</f>
        <v>Presentaciones artísticas de teatro, música y danza, editoriales, conversatorios, conferencias y charlas</v>
      </c>
      <c r="H466" s="30" t="str">
        <f ca="1">IFERROR(__xludf.DUMMYFUNCTION("""COMPUTED_VALUE"""),"SUBSECRETARÍA DE DESARROLLO COMUNITARIO Y PROMOCIÓN PATRIMONIAL")</f>
        <v>SUBSECRETARÍA DE DESARROLLO COMUNITARIO Y PROMOCIÓN PATRIMONIAL</v>
      </c>
      <c r="I466" s="34" t="str">
        <f ca="1">IFERROR(__xludf.DUMMYFUNCTION("""COMPUTED_VALUE"""),"DIRECCIÓN GENERAL DE FORMACIÓN E INVESTIGACIÓN")</f>
        <v>DIRECCIÓN GENERAL DE FORMACIÓN E INVESTIGACIÓN</v>
      </c>
      <c r="J466" s="30" t="str">
        <f ca="1">IFERROR(__xludf.DUMMYFUNCTION("""COMPUTED_VALUE"""),"Presentaciones realizadas")</f>
        <v>Presentaciones realizadas</v>
      </c>
      <c r="K466" s="30">
        <f ca="1">IFERROR(__xludf.DUMMYFUNCTION("""COMPUTED_VALUE"""),20)</f>
        <v>20</v>
      </c>
      <c r="L466" s="30" t="str">
        <f ca="1">IFERROR(__xludf.DUMMYFUNCTION("""COMPUTED_VALUE"""),"Cultural")</f>
        <v>Cultural</v>
      </c>
      <c r="M466" s="30" t="str">
        <f ca="1">IFERROR(__xludf.DUMMYFUNCTION("""COMPUTED_VALUE"""),"Agrupación de la Judea chiquita de Purísima del Rincón")</f>
        <v>Agrupación de la Judea chiquita de Purísima del Rincón</v>
      </c>
      <c r="N466" s="30" t="str">
        <f ca="1">IFERROR(__xludf.DUMMYFUNCTION("""COMPUTED_VALUE"""),"Participación de Agrupación de la Judea chiquita de Purísima del Rincón en el Encuentro Estatal de Saberes Locales.")</f>
        <v>Participación de Agrupación de la Judea chiquita de Purísima del Rincón en el Encuentro Estatal de Saberes Locales.</v>
      </c>
      <c r="O466" s="30" t="str">
        <f ca="1">IFERROR(__xludf.DUMMYFUNCTION("""COMPUTED_VALUE"""),"Única")</f>
        <v>Única</v>
      </c>
      <c r="P466" s="33">
        <f ca="1">IFERROR(__xludf.DUMMYFUNCTION("""COMPUTED_VALUE"""),46177)</f>
        <v>46177</v>
      </c>
      <c r="Q466" s="33">
        <f ca="1">IFERROR(__xludf.DUMMYFUNCTION("""COMPUTED_VALUE"""),46177)</f>
        <v>46177</v>
      </c>
      <c r="R466" s="30">
        <f ca="1">IFERROR(__xludf.DUMMYFUNCTION("""COMPUTED_VALUE"""),1)</f>
        <v>1</v>
      </c>
      <c r="S466" s="30" t="str">
        <f ca="1">IFERROR(__xludf.DUMMYFUNCTION("""COMPUTED_VALUE"""),"Artes escénicas")</f>
        <v>Artes escénicas</v>
      </c>
      <c r="T466" s="30" t="str">
        <f ca="1">IFERROR(__xludf.DUMMYFUNCTION("""COMPUTED_VALUE"""),"Danza tradicional")</f>
        <v>Danza tradicional</v>
      </c>
      <c r="U466" s="30" t="str">
        <f ca="1">IFERROR(__xludf.DUMMYFUNCTION("""COMPUTED_VALUE"""),"Encuentro cultural")</f>
        <v>Encuentro cultural</v>
      </c>
      <c r="V466" s="30" t="str">
        <f ca="1">IFERROR(__xludf.DUMMYFUNCTION("""COMPUTED_VALUE"""),"Ninguna")</f>
        <v>Ninguna</v>
      </c>
      <c r="W466" s="30" t="str">
        <f ca="1">IFERROR(__xludf.DUMMYFUNCTION("""COMPUTED_VALUE"""),"Presencial")</f>
        <v>Presencial</v>
      </c>
      <c r="X466" s="30" t="str">
        <f ca="1">IFERROR(__xludf.DUMMYFUNCTION("""COMPUTED_VALUE"""),"Espacio préstamo a la Secretaría de Cultura")</f>
        <v>Espacio préstamo a la Secretaría de Cultura</v>
      </c>
      <c r="Y466" s="30"/>
      <c r="Z466" s="30"/>
      <c r="AA466" s="30"/>
      <c r="AB466" s="30" t="b">
        <f ca="1">IFERROR(__xludf.DUMMYFUNCTION("""COMPUTED_VALUE"""),FALSE)</f>
        <v>0</v>
      </c>
      <c r="AC466" s="30"/>
      <c r="AD466" s="30" t="b">
        <f ca="1">IFERROR(__xludf.DUMMYFUNCTION("""COMPUTED_VALUE"""),TRUE)</f>
        <v>1</v>
      </c>
      <c r="AE466" s="30">
        <f ca="1">IFERROR(__xludf.DUMMYFUNCTION("""COMPUTED_VALUE"""),1)</f>
        <v>1</v>
      </c>
      <c r="AF466" s="30" t="b">
        <f ca="1">IFERROR(__xludf.DUMMYFUNCTION("""COMPUTED_VALUE"""),FALSE)</f>
        <v>0</v>
      </c>
      <c r="AG466" s="30"/>
      <c r="AH466" s="30" t="str">
        <f ca="1">IFERROR(__xludf.DUMMYFUNCTION("""COMPUTED_VALUE"""),"Sin costo")</f>
        <v>Sin costo</v>
      </c>
      <c r="AI466" s="30"/>
      <c r="AJ466" s="30"/>
      <c r="AK466" s="30"/>
      <c r="AL466" s="30" t="str">
        <f ca="1">IFERROR(__xludf.DUMMYFUNCTION("""COMPUTED_VALUE"""),"claudia.ramirezm@guanajuato.gob.mx")</f>
        <v>claudia.ramirezm@guanajuato.gob.mx</v>
      </c>
      <c r="AM466" s="30" t="str">
        <f ca="1">IFERROR(__xludf.DUMMYFUNCTION("""COMPUTED_VALUE"""),"Actividades artísticas y culturales en zonas de alta marginación.")</f>
        <v>Actividades artísticas y culturales en zonas de alta marginación.</v>
      </c>
      <c r="AN466" s="30" t="str">
        <f ca="1">IFERROR(__xludf.DUMMYFUNCTION("""COMPUTED_VALUE"""),"1 Tranquilidad")</f>
        <v>1 Tranquilidad</v>
      </c>
      <c r="AO466" s="30" t="str">
        <f ca="1">IFERROR(__xludf.DUMMYFUNCTION("""COMPUTED_VALUE"""),"1.2 Fortalecer prevención del delito")</f>
        <v>1.2 Fortalecer prevención del delito</v>
      </c>
      <c r="AP466" s="30" t="str">
        <f ca="1">IFERROR(__xludf.DUMMYFUNCTION("""COMPUTED_VALUE"""),"1.2.2 Fortalecimiento del tejido social")</f>
        <v>1.2.2 Fortalecimiento del tejido social</v>
      </c>
      <c r="AQ466" s="30" t="str">
        <f ca="1">IFERROR(__xludf.DUMMYFUNCTION("""COMPUTED_VALUE"""),"1.2.3.4 Promover una cultura de paz desde las expresiones artísticas y culturales")</f>
        <v>1.2.3.4 Promover una cultura de paz desde las expresiones artísticas y culturales</v>
      </c>
      <c r="AR466" s="30" t="str">
        <f ca="1">IFERROR(__xludf.DUMMYFUNCTION("""COMPUTED_VALUE"""),"Inclusión")</f>
        <v>Inclusión</v>
      </c>
      <c r="AS466" s="30" t="str">
        <f ca="1">IFERROR(__xludf.DUMMYFUNCTION("""COMPUTED_VALUE"""),"Ninguno (Población General)")</f>
        <v>Ninguno (Población General)</v>
      </c>
      <c r="AT466" s="30" t="str">
        <f ca="1">IFERROR(__xludf.DUMMYFUNCTION("""COMPUTED_VALUE"""),"Impulso a la educación artística y a la profesionalización del sector cultural")</f>
        <v>Impulso a la educación artística y a la profesionalización del sector cultural</v>
      </c>
      <c r="AU466" s="30" t="str">
        <f ca="1">IFERROR(__xludf.DUMMYFUNCTION("""COMPUTED_VALUE"""),"Impulso a programas de formación y profesionalización para agentes culturales.")</f>
        <v>Impulso a programas de formación y profesionalización para agentes culturales.</v>
      </c>
      <c r="AV466"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66" s="30" t="str">
        <f ca="1">IFERROR(__xludf.DUMMYFUNCTION("""COMPUTED_VALUE"""),"Incrementar un 30% la oferta de formación y profesionalización para agentes culturales.")</f>
        <v>Incrementar un 30% la oferta de formación y profesionalización para agentes culturales.</v>
      </c>
      <c r="AX466" s="30" t="str">
        <f ca="1">IFERROR(__xludf.DUMMYFUNCTION("""COMPUTED_VALUE"""),"Encuentro cultural")</f>
        <v>Encuentro cultural</v>
      </c>
      <c r="AY466" s="30" t="str">
        <f ca="1">IFERROR(__xludf.DUMMYFUNCTION("""COMPUTED_VALUE"""),"Formación")</f>
        <v>Formación</v>
      </c>
      <c r="AZ466" s="30" t="str">
        <f ca="1">IFERROR(__xludf.DUMMYFUNCTION("""COMPUTED_VALUE"""),"Formación")</f>
        <v>Formación</v>
      </c>
      <c r="BA466" s="30" t="str">
        <f ca="1">IFERROR(__xludf.DUMMYFUNCTION("""COMPUTED_VALUE"""),"Participación de Agrupación de la Judea chiquita de Purísima del Rincón en el Encuentro Estatal de Saberes Locales.")</f>
        <v>Participación de Agrupación de la Judea chiquita de Purísima del Rincón en el Encuentro Estatal de Saberes Locales.</v>
      </c>
      <c r="BB466" s="30">
        <f ca="1">IFERROR(__xludf.DUMMYFUNCTION("""COMPUTED_VALUE"""),5)</f>
        <v>5</v>
      </c>
      <c r="BC466" s="30">
        <f ca="1">IFERROR(__xludf.DUMMYFUNCTION("""COMPUTED_VALUE"""),30)</f>
        <v>30</v>
      </c>
      <c r="BD466" s="30" t="str">
        <f ca="1">IFERROR(__xludf.DUMMYFUNCTION("""COMPUTED_VALUE"""),"Apoyado con anterioridad")</f>
        <v>Apoyado con anterioridad</v>
      </c>
      <c r="BE466" s="30" t="str">
        <f ca="1">IFERROR(__xludf.DUMMYFUNCTION("""COMPUTED_VALUE"""),"Kayka Producciones S.C.")</f>
        <v>Kayka Producciones S.C.</v>
      </c>
      <c r="BF466" s="30" t="b">
        <f ca="1">IFERROR(__xludf.DUMMYFUNCTION("""COMPUTED_VALUE"""),TRUE)</f>
        <v>1</v>
      </c>
      <c r="BG466" s="30" t="str">
        <f ca="1">IFERROR(__xludf.DUMMYFUNCTION("""COMPUTED_VALUE"""),"Económico")</f>
        <v>Económico</v>
      </c>
      <c r="BH466" s="30">
        <f ca="1">IFERROR(__xludf.DUMMYFUNCTION("""COMPUTED_VALUE"""),100000)</f>
        <v>100000</v>
      </c>
      <c r="BI466" s="30"/>
      <c r="BJ466" s="30"/>
      <c r="BK466" s="30"/>
      <c r="BL466" s="30"/>
      <c r="BM466" s="30" t="str">
        <f ca="1">IFERROR(__xludf.DUMMYFUNCTION("""COMPUTED_VALUE"""),"No")</f>
        <v>No</v>
      </c>
      <c r="BN466" s="30"/>
      <c r="BO466" s="30" t="str">
        <f ca="1">IFERROR(__xludf.DUMMYFUNCTION("""COMPUTED_VALUE"""),"6e2bd820")</f>
        <v>6e2bd820</v>
      </c>
      <c r="BP466" s="29" t="str">
        <f ca="1">IFERROR(__xludf.DUMMYFUNCTION("""COMPUTED_VALUE"""),"Abasolo")</f>
        <v>Abasolo</v>
      </c>
      <c r="BQ466" s="30" t="str">
        <f ca="1">IFERROR(__xludf.DUMMYFUNCTION("""COMPUTED_VALUE"""),"Urbano")</f>
        <v>Urbano</v>
      </c>
      <c r="BR466" s="30"/>
      <c r="BS466" s="30"/>
      <c r="BT466" s="30"/>
      <c r="BU466" s="30" t="str">
        <f ca="1">IFERROR(__xludf.DUMMYFUNCTION("""COMPUTED_VALUE"""),"No")</f>
        <v>No</v>
      </c>
      <c r="BV466" s="30" t="str">
        <f ca="1">IFERROR(__xludf.DUMMYFUNCTION("""COMPUTED_VALUE"""),"No")</f>
        <v>No</v>
      </c>
      <c r="BW466" s="30">
        <f ca="1">IFERROR(__xludf.DUMMYFUNCTION("""COMPUTED_VALUE"""),14)</f>
        <v>14</v>
      </c>
      <c r="BX466" s="30">
        <f ca="1">IFERROR(__xludf.DUMMYFUNCTION("""COMPUTED_VALUE"""),14)</f>
        <v>14</v>
      </c>
      <c r="BY466" s="30">
        <f ca="1">IFERROR(__xludf.DUMMYFUNCTION("""COMPUTED_VALUE"""),0)</f>
        <v>0</v>
      </c>
      <c r="BZ466" s="30"/>
      <c r="CA466" s="30" t="str">
        <f ca="1">IFERROR(__xludf.DUMMYFUNCTION("""COMPUTED_VALUE"""),"No")</f>
        <v>No</v>
      </c>
      <c r="CB466" s="30" t="str">
        <f ca="1">IFERROR(__xludf.DUMMYFUNCTION("""COMPUTED_VALUE"""),"No")</f>
        <v>No</v>
      </c>
      <c r="CC466" s="30" t="str">
        <f ca="1">IFERROR(__xludf.DUMMYFUNCTION("""COMPUTED_VALUE"""),"531bc052")</f>
        <v>531bc052</v>
      </c>
      <c r="CD466" s="29" t="str">
        <f ca="1">IFERROR(__xludf.DUMMYFUNCTION("""COMPUTED_VALUE"""),"Adultos (30 a 59 años)")</f>
        <v>Adultos (30 a 59 años)</v>
      </c>
      <c r="CE466" s="30" t="str">
        <f ca="1">IFERROR(__xludf.DUMMYFUNCTION("""COMPUTED_VALUE"""),"No se cuenta con el dato")</f>
        <v>No se cuenta con el dato</v>
      </c>
      <c r="CF466" s="30" t="str">
        <f ca="1">IFERROR(__xludf.DUMMYFUNCTION("""COMPUTED_VALUE"""),"Ninguno (Población General)")</f>
        <v>Ninguno (Población General)</v>
      </c>
      <c r="CG466" s="30">
        <f ca="1">IFERROR(__xludf.DUMMYFUNCTION("""COMPUTED_VALUE"""),20)</f>
        <v>20</v>
      </c>
      <c r="CJ466" s="29"/>
      <c r="CM466" s="30" t="str">
        <f ca="1">IFERROR(__xludf.DUMMYFUNCTION("""COMPUTED_VALUE"""),"Abasolo")</f>
        <v>Abasolo</v>
      </c>
      <c r="CN466" s="32" t="e">
        <f ca="1"/>
        <v>#NAME?</v>
      </c>
      <c r="CO466" s="32" t="e">
        <f ca="1"/>
        <v>#NAME?</v>
      </c>
      <c r="CP466" s="32" t="e">
        <f ca="1"/>
        <v>#NAME?</v>
      </c>
      <c r="CQ466" s="32" t="e">
        <f ca="1"/>
        <v>#NAME?</v>
      </c>
      <c r="CR466" s="30" t="e">
        <f ca="1"/>
        <v>#NAME?</v>
      </c>
      <c r="CS466"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67" spans="1:97" ht="13">
      <c r="A467" s="29" t="str">
        <f ca="1">IFERROR(__xludf.DUMMYFUNCTION("""COMPUTED_VALUE"""),"ACT-SCWH81648")</f>
        <v>ACT-SCWH81648</v>
      </c>
      <c r="B467" s="30" t="str">
        <f ca="1">IFERROR(__xludf.DUMMYFUNCTION("""COMPUTED_VALUE"""),"SC-260924-161325")</f>
        <v>SC-260924-161325</v>
      </c>
      <c r="C467" s="62">
        <f ca="1">IFERROR(__xludf.DUMMYFUNCTION("""COMPUTED_VALUE"""),46289.6759837962)</f>
        <v>46289.675983796202</v>
      </c>
      <c r="D467" s="30">
        <f ca="1">IFERROR(__xludf.DUMMYFUNCTION("""COMPUTED_VALUE"""),80)</f>
        <v>80</v>
      </c>
      <c r="E467" s="30" t="str">
        <f ca="1">IFERROR(__xludf.DUMMYFUNCTION("""COMPUTED_VALUE"""),"PB3568")</f>
        <v>PB3568</v>
      </c>
      <c r="F467" s="30" t="str">
        <f ca="1">IFERROR(__xludf.DUMMYFUNCTION("""COMPUTED_VALUE"""),"Coordinación de Cultura y Arte Popular")</f>
        <v>Coordinación de Cultura y Arte Popular</v>
      </c>
      <c r="G467" s="30" t="str">
        <f ca="1">IFERROR(__xludf.DUMMYFUNCTION("""COMPUTED_VALUE"""),"Concursos realizados que promuevan a los creadores, artesanos y portadores de saberes con apoyos")</f>
        <v>Concursos realizados que promuevan a los creadores, artesanos y portadores de saberes con apoyos</v>
      </c>
      <c r="H467" s="30" t="str">
        <f ca="1">IFERROR(__xludf.DUMMYFUNCTION("""COMPUTED_VALUE"""),"SUBSECRETARÍA DE DESARROLLO COMUNITARIO Y PROMOCIÓN PATRIMONIAL")</f>
        <v>SUBSECRETARÍA DE DESARROLLO COMUNITARIO Y PROMOCIÓN PATRIMONIAL</v>
      </c>
      <c r="I467" s="34" t="str">
        <f ca="1">IFERROR(__xludf.DUMMYFUNCTION("""COMPUTED_VALUE"""),"DIRECCIÓN GENERAL DE FORMACIÓN E INVESTIGACIÓN")</f>
        <v>DIRECCIÓN GENERAL DE FORMACIÓN E INVESTIGACIÓN</v>
      </c>
      <c r="J467" s="30" t="str">
        <f ca="1">IFERROR(__xludf.DUMMYFUNCTION("""COMPUTED_VALUE"""),"Concursos realizados")</f>
        <v>Concursos realizados</v>
      </c>
      <c r="K467" s="30">
        <f ca="1">IFERROR(__xludf.DUMMYFUNCTION("""COMPUTED_VALUE"""),12)</f>
        <v>12</v>
      </c>
      <c r="L467" s="30" t="str">
        <f ca="1">IFERROR(__xludf.DUMMYFUNCTION("""COMPUTED_VALUE"""),"Artística")</f>
        <v>Artística</v>
      </c>
      <c r="M467" s="30" t="str">
        <f ca="1">IFERROR(__xludf.DUMMYFUNCTION("""COMPUTED_VALUE"""),"XXV Concurso - Muestra. La Cocina del Noreste")</f>
        <v>XXV Concurso - Muestra. La Cocina del Noreste</v>
      </c>
      <c r="N467" s="30" t="str">
        <f ca="1">IFERROR(__xludf.DUMMYFUNCTION("""COMPUTED_VALUE"""),"Festival gastronómico busca fortalecer las tradiciones culinarias y los sistemas alimentarios tradicionales de la región noreste del estado")</f>
        <v>Festival gastronómico busca fortalecer las tradiciones culinarias y los sistemas alimentarios tradicionales de la región noreste del estado</v>
      </c>
      <c r="O467" s="30" t="str">
        <f ca="1">IFERROR(__xludf.DUMMYFUNCTION("""COMPUTED_VALUE"""),"Única")</f>
        <v>Única</v>
      </c>
      <c r="P467" s="33">
        <f ca="1">IFERROR(__xludf.DUMMYFUNCTION("""COMPUTED_VALUE"""),46290)</f>
        <v>46290</v>
      </c>
      <c r="Q467" s="33">
        <f ca="1">IFERROR(__xludf.DUMMYFUNCTION("""COMPUTED_VALUE"""),46290)</f>
        <v>46290</v>
      </c>
      <c r="R467" s="30">
        <f ca="1">IFERROR(__xludf.DUMMYFUNCTION("""COMPUTED_VALUE"""),0)</f>
        <v>0</v>
      </c>
      <c r="S467" s="30" t="str">
        <f ca="1">IFERROR(__xludf.DUMMYFUNCTION("""COMPUTED_VALUE"""),"Artesanías y arte popular")</f>
        <v>Artesanías y arte popular</v>
      </c>
      <c r="T467" s="30" t="str">
        <f ca="1">IFERROR(__xludf.DUMMYFUNCTION("""COMPUTED_VALUE"""),"Arte popular")</f>
        <v>Arte popular</v>
      </c>
      <c r="U467" s="30" t="str">
        <f ca="1">IFERROR(__xludf.DUMMYFUNCTION("""COMPUTED_VALUE"""),"Convocatoria pública")</f>
        <v>Convocatoria pública</v>
      </c>
      <c r="V467" s="30" t="str">
        <f ca="1">IFERROR(__xludf.DUMMYFUNCTION("""COMPUTED_VALUE"""),"Entrega de estímulos")</f>
        <v>Entrega de estímulos</v>
      </c>
      <c r="W467" s="30" t="str">
        <f ca="1">IFERROR(__xludf.DUMMYFUNCTION("""COMPUTED_VALUE"""),"Presencial")</f>
        <v>Presencial</v>
      </c>
      <c r="X467" s="30" t="str">
        <f ca="1">IFERROR(__xludf.DUMMYFUNCTION("""COMPUTED_VALUE"""),"Espacio Público")</f>
        <v>Espacio Público</v>
      </c>
      <c r="Y467" s="30"/>
      <c r="Z467" s="30" t="str">
        <f ca="1">IFERROR(__xludf.DUMMYFUNCTION("""COMPUTED_VALUE"""),"Canchas deportivas de la comunidad de San José del Chilar")</f>
        <v>Canchas deportivas de la comunidad de San José del Chilar</v>
      </c>
      <c r="AA467" s="30"/>
      <c r="AB467" s="30" t="b">
        <f ca="1">IFERROR(__xludf.DUMMYFUNCTION("""COMPUTED_VALUE"""),FALSE)</f>
        <v>0</v>
      </c>
      <c r="AC467" s="30"/>
      <c r="AD467" s="30" t="b">
        <f ca="1">IFERROR(__xludf.DUMMYFUNCTION("""COMPUTED_VALUE"""),FALSE)</f>
        <v>0</v>
      </c>
      <c r="AE467" s="30"/>
      <c r="AF467" s="30" t="b">
        <f ca="1">IFERROR(__xludf.DUMMYFUNCTION("""COMPUTED_VALUE"""),FALSE)</f>
        <v>0</v>
      </c>
      <c r="AG467" s="30"/>
      <c r="AH467" s="30" t="str">
        <f ca="1">IFERROR(__xludf.DUMMYFUNCTION("""COMPUTED_VALUE"""),"Sin costo")</f>
        <v>Sin costo</v>
      </c>
      <c r="AI467" s="30"/>
      <c r="AJ467" s="30"/>
      <c r="AK467" s="30"/>
      <c r="AL467" s="30" t="str">
        <f ca="1">IFERROR(__xludf.DUMMYFUNCTION("""COMPUTED_VALUE"""),"claudia.ramirezm@guanajuato.gob.mx")</f>
        <v>claudia.ramirezm@guanajuato.gob.mx</v>
      </c>
      <c r="AM467" s="30" t="str">
        <f ca="1">IFERROR(__xludf.DUMMYFUNCTION("""COMPUTED_VALUE"""),"Fortalecer la vinculación y el trabajo con casas de cultura y centros culturales municipales.")</f>
        <v>Fortalecer la vinculación y el trabajo con casas de cultura y centros culturales municipales.</v>
      </c>
      <c r="AN467" s="30" t="str">
        <f ca="1">IFERROR(__xludf.DUMMYFUNCTION("""COMPUTED_VALUE"""),"2 Igualdad")</f>
        <v>2 Igualdad</v>
      </c>
      <c r="AO467" s="30" t="str">
        <f ca="1">IFERROR(__xludf.DUMMYFUNCTION("""COMPUTED_VALUE"""),"2.4 Reducir brechas de desigualdad")</f>
        <v>2.4 Reducir brechas de desigualdad</v>
      </c>
      <c r="AP467" s="30" t="str">
        <f ca="1">IFERROR(__xludf.DUMMYFUNCTION("""COMPUTED_VALUE"""),"2.4.3 Descentralización de la oferta cultural")</f>
        <v>2.4.3 Descentralización de la oferta cultural</v>
      </c>
      <c r="AQ467" s="30" t="str">
        <f ca="1">IFERROR(__xludf.DUMMYFUNCTION("""COMPUTED_VALUE"""),"2.4.3.3 Incidir en el involucramiento de las personas con el ecosistema cultural")</f>
        <v>2.4.3.3 Incidir en el involucramiento de las personas con el ecosistema cultural</v>
      </c>
      <c r="AR467" s="30" t="str">
        <f ca="1">IFERROR(__xludf.DUMMYFUNCTION("""COMPUTED_VALUE"""),"Ninguno")</f>
        <v>Ninguno</v>
      </c>
      <c r="AS467" s="30"/>
      <c r="AT467" s="30" t="str">
        <f ca="1">IFERROR(__xludf.DUMMYFUNCTION("""COMPUTED_VALUE"""),"Fortalecimiento de la participación ciudadana y la mediación cultural")</f>
        <v>Fortalecimiento de la participación ciudadana y la mediación cultural</v>
      </c>
      <c r="AU467" s="30" t="str">
        <f ca="1">IFERROR(__xludf.DUMMYFUNCTION("""COMPUTED_VALUE"""),"Impulso a la ampliación de la oferta cultural en los territorios.")</f>
        <v>Impulso a la ampliación de la oferta cultural en los territorios.</v>
      </c>
      <c r="AV46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67" s="30" t="str">
        <f ca="1">IFERROR(__xludf.DUMMYFUNCTION("""COMPUTED_VALUE"""),"Incrementar en 25% la oferta cultural realizada en los municipios.")</f>
        <v>Incrementar en 25% la oferta cultural realizada en los municipios.</v>
      </c>
      <c r="AX467" s="30" t="str">
        <f ca="1">IFERROR(__xludf.DUMMYFUNCTION("""COMPUTED_VALUE"""),"Convocatoria pública")</f>
        <v>Convocatoria pública</v>
      </c>
      <c r="AY467" s="30" t="str">
        <f ca="1">IFERROR(__xludf.DUMMYFUNCTION("""COMPUTED_VALUE"""),"Circulación / Exhibición")</f>
        <v>Circulación / Exhibición</v>
      </c>
      <c r="AZ467" s="30"/>
      <c r="BA467" s="30"/>
      <c r="BB467" s="30"/>
      <c r="BC467" s="30">
        <f ca="1">IFERROR(__xludf.DUMMYFUNCTION("""COMPUTED_VALUE"""),0)</f>
        <v>0</v>
      </c>
      <c r="BD467" s="30" t="str">
        <f ca="1">IFERROR(__xludf.DUMMYFUNCTION("""COMPUTED_VALUE"""),"Nuevo")</f>
        <v>Nuevo</v>
      </c>
      <c r="BE467" s="30"/>
      <c r="BF467" s="30" t="b">
        <f ca="1">IFERROR(__xludf.DUMMYFUNCTION("""COMPUTED_VALUE"""),TRUE)</f>
        <v>1</v>
      </c>
      <c r="BG467" s="30" t="str">
        <f ca="1">IFERROR(__xludf.DUMMYFUNCTION("""COMPUTED_VALUE"""),"Económico")</f>
        <v>Económico</v>
      </c>
      <c r="BH467" s="30">
        <f ca="1">IFERROR(__xludf.DUMMYFUNCTION("""COMPUTED_VALUE"""),25000)</f>
        <v>25000</v>
      </c>
      <c r="BI467" s="30"/>
      <c r="BJ467" s="30"/>
      <c r="BK467" s="30"/>
      <c r="BL467" s="30" t="str">
        <f ca="1">IFERROR(__xludf.DUMMYFUNCTION("""COMPUTED_VALUE"""),"Acuerdo especial de colaboración con el Municipio de Santa Catarina")</f>
        <v>Acuerdo especial de colaboración con el Municipio de Santa Catarina</v>
      </c>
      <c r="BM467" s="30" t="str">
        <f ca="1">IFERROR(__xludf.DUMMYFUNCTION("""COMPUTED_VALUE"""),"Sí")</f>
        <v>Sí</v>
      </c>
      <c r="BN467" s="30" t="str">
        <f ca="1">IFERROR(__xludf.DUMMYFUNCTION("""COMPUTED_VALUE"""),"Gestión de recursos económicos")</f>
        <v>Gestión de recursos económicos</v>
      </c>
      <c r="BO467" s="30" t="str">
        <f ca="1">IFERROR(__xludf.DUMMYFUNCTION("""COMPUTED_VALUE"""),"df899876")</f>
        <v>df899876</v>
      </c>
      <c r="BP467" s="29" t="str">
        <f ca="1">IFERROR(__xludf.DUMMYFUNCTION("""COMPUTED_VALUE"""),"Silao de la Victoria")</f>
        <v>Silao de la Victoria</v>
      </c>
      <c r="BQ467" s="30" t="str">
        <f ca="1">IFERROR(__xludf.DUMMYFUNCTION("""COMPUTED_VALUE"""),"Urbano")</f>
        <v>Urbano</v>
      </c>
      <c r="BR467" s="30"/>
      <c r="BS467" s="30"/>
      <c r="BT467" s="30"/>
      <c r="BU467" s="30" t="str">
        <f ca="1">IFERROR(__xludf.DUMMYFUNCTION("""COMPUTED_VALUE"""),"No")</f>
        <v>No</v>
      </c>
      <c r="BV467" s="30" t="str">
        <f ca="1">IFERROR(__xludf.DUMMYFUNCTION("""COMPUTED_VALUE"""),"No")</f>
        <v>No</v>
      </c>
      <c r="BW467" s="30">
        <f ca="1">IFERROR(__xludf.DUMMYFUNCTION("""COMPUTED_VALUE"""),11)</f>
        <v>11</v>
      </c>
      <c r="BX467" s="30">
        <f ca="1">IFERROR(__xludf.DUMMYFUNCTION("""COMPUTED_VALUE"""),11)</f>
        <v>11</v>
      </c>
      <c r="BY467" s="30">
        <f ca="1">IFERROR(__xludf.DUMMYFUNCTION("""COMPUTED_VALUE"""),0)</f>
        <v>0</v>
      </c>
      <c r="BZ467" s="30"/>
      <c r="CA467" s="30" t="str">
        <f ca="1">IFERROR(__xludf.DUMMYFUNCTION("""COMPUTED_VALUE"""),"No")</f>
        <v>No</v>
      </c>
      <c r="CB467" s="30" t="str">
        <f ca="1">IFERROR(__xludf.DUMMYFUNCTION("""COMPUTED_VALUE"""),"No")</f>
        <v>No</v>
      </c>
      <c r="CC467" s="30" t="str">
        <f ca="1">IFERROR(__xludf.DUMMYFUNCTION("""COMPUTED_VALUE"""),"981ed3a4")</f>
        <v>981ed3a4</v>
      </c>
      <c r="CD467" s="29" t="str">
        <f ca="1">IFERROR(__xludf.DUMMYFUNCTION("""COMPUTED_VALUE"""),"Jóvenes (18 a 29 años)")</f>
        <v>Jóvenes (18 a 29 años)</v>
      </c>
      <c r="CE467" s="30" t="str">
        <f ca="1">IFERROR(__xludf.DUMMYFUNCTION("""COMPUTED_VALUE"""),"No se cuenta con el dato")</f>
        <v>No se cuenta con el dato</v>
      </c>
      <c r="CF467" s="30" t="str">
        <f ca="1">IFERROR(__xludf.DUMMYFUNCTION("""COMPUTED_VALUE"""),"Ninguno (Población General)")</f>
        <v>Ninguno (Población General)</v>
      </c>
      <c r="CG467" s="30">
        <f ca="1">IFERROR(__xludf.DUMMYFUNCTION("""COMPUTED_VALUE"""),24)</f>
        <v>24</v>
      </c>
      <c r="CJ467" s="29"/>
      <c r="CM467" s="30" t="str">
        <f ca="1">IFERROR(__xludf.DUMMYFUNCTION("""COMPUTED_VALUE"""),"San Luis de la Paz")</f>
        <v>San Luis de la Paz</v>
      </c>
      <c r="CN467" s="32" t="e">
        <f ca="1"/>
        <v>#NAME?</v>
      </c>
      <c r="CO467" s="32" t="e">
        <f ca="1"/>
        <v>#NAME?</v>
      </c>
      <c r="CP467" s="32" t="e">
        <f ca="1"/>
        <v>#NAME?</v>
      </c>
      <c r="CQ467" s="32" t="e">
        <f ca="1"/>
        <v>#NAME?</v>
      </c>
      <c r="CR467" s="30" t="e">
        <f ca="1"/>
        <v>#NAME?</v>
      </c>
      <c r="CS467" s="30" t="str">
        <f ca="1">IFERROR(__xludf.DUMMYFUNCTION("""COMPUTED_VALUE"""),"Ninguno (Población General), Ninguno (Población General), Comunidades Indígenas, Ninguno (Población General), Ninguno (Población General), Ninguno (Población General)")</f>
        <v>Ninguno (Población General), Ninguno (Población General), Comunidades Indígenas, Ninguno (Población General), Ninguno (Población General), Ninguno (Población General)</v>
      </c>
    </row>
    <row r="468" spans="1:97" ht="13">
      <c r="A468" s="29" t="str">
        <f ca="1">IFERROR(__xludf.DUMMYFUNCTION("""COMPUTED_VALUE"""),"ACT-SCES26665")</f>
        <v>ACT-SCES26665</v>
      </c>
      <c r="B468" s="30" t="str">
        <f ca="1">IFERROR(__xludf.DUMMYFUNCTION("""COMPUTED_VALUE"""),"SC-260925-093024")</f>
        <v>SC-260925-093024</v>
      </c>
      <c r="C468" s="62">
        <f ca="1">IFERROR(__xludf.DUMMYFUNCTION("""COMPUTED_VALUE"""),46290.3961111111)</f>
        <v>46290.396111111098</v>
      </c>
      <c r="D468" s="30">
        <f ca="1">IFERROR(__xludf.DUMMYFUNCTION("""COMPUTED_VALUE"""),80)</f>
        <v>80</v>
      </c>
      <c r="E468" s="30" t="str">
        <f ca="1">IFERROR(__xludf.DUMMYFUNCTION("""COMPUTED_VALUE"""),"PB3568")</f>
        <v>PB3568</v>
      </c>
      <c r="F468" s="30" t="str">
        <f ca="1">IFERROR(__xludf.DUMMYFUNCTION("""COMPUTED_VALUE"""),"Coordinación de Cultura y Arte Popular")</f>
        <v>Coordinación de Cultura y Arte Popular</v>
      </c>
      <c r="G468" s="30" t="str">
        <f ca="1">IFERROR(__xludf.DUMMYFUNCTION("""COMPUTED_VALUE"""),"Concursos realizados que promuevan a los creadores, artesanos y portadores de saberes con apoyos")</f>
        <v>Concursos realizados que promuevan a los creadores, artesanos y portadores de saberes con apoyos</v>
      </c>
      <c r="H468" s="30" t="str">
        <f ca="1">IFERROR(__xludf.DUMMYFUNCTION("""COMPUTED_VALUE"""),"SUBSECRETARÍA DE DESARROLLO COMUNITARIO Y PROMOCIÓN PATRIMONIAL")</f>
        <v>SUBSECRETARÍA DE DESARROLLO COMUNITARIO Y PROMOCIÓN PATRIMONIAL</v>
      </c>
      <c r="I468" s="34" t="str">
        <f ca="1">IFERROR(__xludf.DUMMYFUNCTION("""COMPUTED_VALUE"""),"DIRECCIÓN GENERAL DE FORMACIÓN E INVESTIGACIÓN")</f>
        <v>DIRECCIÓN GENERAL DE FORMACIÓN E INVESTIGACIÓN</v>
      </c>
      <c r="J468" s="30" t="str">
        <f ca="1">IFERROR(__xludf.DUMMYFUNCTION("""COMPUTED_VALUE"""),"Concursos realizados")</f>
        <v>Concursos realizados</v>
      </c>
      <c r="K468" s="30">
        <f ca="1">IFERROR(__xludf.DUMMYFUNCTION("""COMPUTED_VALUE"""),12)</f>
        <v>12</v>
      </c>
      <c r="L468" s="30" t="str">
        <f ca="1">IFERROR(__xludf.DUMMYFUNCTION("""COMPUTED_VALUE"""),"Artística")</f>
        <v>Artística</v>
      </c>
      <c r="M468" s="30" t="str">
        <f ca="1">IFERROR(__xludf.DUMMYFUNCTION("""COMPUTED_VALUE"""),"Concurso-Exposición Máscaras de La Judea")</f>
        <v>Concurso-Exposición Máscaras de La Judea</v>
      </c>
      <c r="N468" s="30" t="str">
        <f ca="1">IFERROR(__xludf.DUMMYFUNCTION("""COMPUTED_VALUE"""),"Concurso de arte popular para premiar y exhibir piezas talladas en madera, (máscaras de Judea tradicional).")</f>
        <v>Concurso de arte popular para premiar y exhibir piezas talladas en madera, (máscaras de Judea tradicional).</v>
      </c>
      <c r="O468" s="30" t="str">
        <f ca="1">IFERROR(__xludf.DUMMYFUNCTION("""COMPUTED_VALUE"""),"Única")</f>
        <v>Única</v>
      </c>
      <c r="P468" s="33">
        <f ca="1">IFERROR(__xludf.DUMMYFUNCTION("""COMPUTED_VALUE"""),46137)</f>
        <v>46137</v>
      </c>
      <c r="Q468" s="33">
        <f ca="1">IFERROR(__xludf.DUMMYFUNCTION("""COMPUTED_VALUE"""),46137)</f>
        <v>46137</v>
      </c>
      <c r="R468" s="30">
        <f ca="1">IFERROR(__xludf.DUMMYFUNCTION("""COMPUTED_VALUE"""),0)</f>
        <v>0</v>
      </c>
      <c r="S468" s="30" t="str">
        <f ca="1">IFERROR(__xludf.DUMMYFUNCTION("""COMPUTED_VALUE"""),"Artesanías y arte popular")</f>
        <v>Artesanías y arte popular</v>
      </c>
      <c r="T468" s="30" t="str">
        <f ca="1">IFERROR(__xludf.DUMMYFUNCTION("""COMPUTED_VALUE"""),"Arte popular")</f>
        <v>Arte popular</v>
      </c>
      <c r="U468" s="30" t="str">
        <f ca="1">IFERROR(__xludf.DUMMYFUNCTION("""COMPUTED_VALUE"""),"Convocatoria pública")</f>
        <v>Convocatoria pública</v>
      </c>
      <c r="V468" s="30" t="str">
        <f ca="1">IFERROR(__xludf.DUMMYFUNCTION("""COMPUTED_VALUE"""),"Entrega de estímulos")</f>
        <v>Entrega de estímulos</v>
      </c>
      <c r="W468" s="30" t="str">
        <f ca="1">IFERROR(__xludf.DUMMYFUNCTION("""COMPUTED_VALUE"""),"Presencial")</f>
        <v>Presencial</v>
      </c>
      <c r="X468" s="30" t="str">
        <f ca="1">IFERROR(__xludf.DUMMYFUNCTION("""COMPUTED_VALUE"""),"Otros Espacios Culturales")</f>
        <v>Otros Espacios Culturales</v>
      </c>
      <c r="Y468" s="30" t="str">
        <f ca="1">IFERROR(__xludf.DUMMYFUNCTION("""COMPUTED_VALUE"""),"Casa de cultura")</f>
        <v>Casa de cultura</v>
      </c>
      <c r="Z468" s="30"/>
      <c r="AA468" s="30"/>
      <c r="AB468" s="30" t="b">
        <f ca="1">IFERROR(__xludf.DUMMYFUNCTION("""COMPUTED_VALUE"""),FALSE)</f>
        <v>0</v>
      </c>
      <c r="AC468" s="30"/>
      <c r="AD468" s="30" t="b">
        <f ca="1">IFERROR(__xludf.DUMMYFUNCTION("""COMPUTED_VALUE"""),FALSE)</f>
        <v>0</v>
      </c>
      <c r="AE468" s="30"/>
      <c r="AF468" s="30" t="b">
        <f ca="1">IFERROR(__xludf.DUMMYFUNCTION("""COMPUTED_VALUE"""),FALSE)</f>
        <v>0</v>
      </c>
      <c r="AG468" s="30"/>
      <c r="AH468" s="30" t="str">
        <f ca="1">IFERROR(__xludf.DUMMYFUNCTION("""COMPUTED_VALUE"""),"Sin costo")</f>
        <v>Sin costo</v>
      </c>
      <c r="AI468" s="30"/>
      <c r="AJ468" s="30"/>
      <c r="AK468" s="30"/>
      <c r="AL468" s="30" t="str">
        <f ca="1">IFERROR(__xludf.DUMMYFUNCTION("""COMPUTED_VALUE"""),"claudia.ramirezm@guanajuato.gob.mx")</f>
        <v>claudia.ramirezm@guanajuato.gob.mx</v>
      </c>
      <c r="AM468" s="30" t="str">
        <f ca="1">IFERROR(__xludf.DUMMYFUNCTION("""COMPUTED_VALUE"""),"Apoyos para artistas populares.")</f>
        <v>Apoyos para artistas populares.</v>
      </c>
      <c r="AN468" s="30" t="str">
        <f ca="1">IFERROR(__xludf.DUMMYFUNCTION("""COMPUTED_VALUE"""),"2 Igualdad")</f>
        <v>2 Igualdad</v>
      </c>
      <c r="AO468" s="30" t="str">
        <f ca="1">IFERROR(__xludf.DUMMYFUNCTION("""COMPUTED_VALUE"""),"2.4 Reducir brechas de desigualdad")</f>
        <v>2.4 Reducir brechas de desigualdad</v>
      </c>
      <c r="AP468" s="30" t="str">
        <f ca="1">IFERROR(__xludf.DUMMYFUNCTION("""COMPUTED_VALUE"""),"2.4.3 Descentralización de la oferta cultural")</f>
        <v>2.4.3 Descentralización de la oferta cultural</v>
      </c>
      <c r="AQ468" s="30" t="str">
        <f ca="1">IFERROR(__xludf.DUMMYFUNCTION("""COMPUTED_VALUE"""),"2.4.3.3 Incidir en el involucramiento de las personas con el ecosistema cultural")</f>
        <v>2.4.3.3 Incidir en el involucramiento de las personas con el ecosistema cultural</v>
      </c>
      <c r="AR468" s="30" t="str">
        <f ca="1">IFERROR(__xludf.DUMMYFUNCTION("""COMPUTED_VALUE"""),"Ninguno")</f>
        <v>Ninguno</v>
      </c>
      <c r="AS468" s="30"/>
      <c r="AT468" s="30" t="str">
        <f ca="1">IFERROR(__xludf.DUMMYFUNCTION("""COMPUTED_VALUE"""),"Fortalecimiento de la participación ciudadana y la mediación cultural")</f>
        <v>Fortalecimiento de la participación ciudadana y la mediación cultural</v>
      </c>
      <c r="AU468" s="30" t="str">
        <f ca="1">IFERROR(__xludf.DUMMYFUNCTION("""COMPUTED_VALUE"""),"Impulso a la ampliación de la oferta cultural en los territorios.")</f>
        <v>Impulso a la ampliación de la oferta cultural en los territorios.</v>
      </c>
      <c r="AV46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68" s="30" t="str">
        <f ca="1">IFERROR(__xludf.DUMMYFUNCTION("""COMPUTED_VALUE"""),"Incrementar en 25% la oferta cultural realizada en los municipios.")</f>
        <v>Incrementar en 25% la oferta cultural realizada en los municipios.</v>
      </c>
      <c r="AX468" s="30" t="str">
        <f ca="1">IFERROR(__xludf.DUMMYFUNCTION("""COMPUTED_VALUE"""),"Convocatoria pública")</f>
        <v>Convocatoria pública</v>
      </c>
      <c r="AY468" s="30" t="str">
        <f ca="1">IFERROR(__xludf.DUMMYFUNCTION("""COMPUTED_VALUE"""),"Creación")</f>
        <v>Creación</v>
      </c>
      <c r="AZ468" s="30"/>
      <c r="BA468" s="30"/>
      <c r="BB468" s="30">
        <f ca="1">IFERROR(__xludf.DUMMYFUNCTION("""COMPUTED_VALUE"""),1)</f>
        <v>1</v>
      </c>
      <c r="BC468" s="30">
        <f ca="1">IFERROR(__xludf.DUMMYFUNCTION("""COMPUTED_VALUE"""),24)</f>
        <v>24</v>
      </c>
      <c r="BD468" s="30" t="str">
        <f ca="1">IFERROR(__xludf.DUMMYFUNCTION("""COMPUTED_VALUE"""),"Nuevo")</f>
        <v>Nuevo</v>
      </c>
      <c r="BE468" s="30"/>
      <c r="BF468" s="30" t="b">
        <f ca="1">IFERROR(__xludf.DUMMYFUNCTION("""COMPUTED_VALUE"""),TRUE)</f>
        <v>1</v>
      </c>
      <c r="BG468" s="30" t="str">
        <f ca="1">IFERROR(__xludf.DUMMYFUNCTION("""COMPUTED_VALUE"""),"Económico")</f>
        <v>Económico</v>
      </c>
      <c r="BH468" s="30">
        <f ca="1">IFERROR(__xludf.DUMMYFUNCTION("""COMPUTED_VALUE"""),15000)</f>
        <v>15000</v>
      </c>
      <c r="BI468" s="30"/>
      <c r="BJ468" s="30"/>
      <c r="BK468" s="30"/>
      <c r="BL468" s="30" t="str">
        <f ca="1">IFERROR(__xludf.DUMMYFUNCTION("""COMPUTED_VALUE"""),"Convenio especial de colaboración con el municipio de Purísima del Rincón")</f>
        <v>Convenio especial de colaboración con el municipio de Purísima del Rincón</v>
      </c>
      <c r="BM468" s="30" t="str">
        <f ca="1">IFERROR(__xludf.DUMMYFUNCTION("""COMPUTED_VALUE"""),"Sí")</f>
        <v>Sí</v>
      </c>
      <c r="BN468" s="30" t="str">
        <f ca="1">IFERROR(__xludf.DUMMYFUNCTION("""COMPUTED_VALUE"""),"Gestión de recursos económicos")</f>
        <v>Gestión de recursos económicos</v>
      </c>
      <c r="BO468" s="30" t="str">
        <f ca="1">IFERROR(__xludf.DUMMYFUNCTION("""COMPUTED_VALUE"""),"5113460d")</f>
        <v>5113460d</v>
      </c>
      <c r="BP468" s="29" t="str">
        <f ca="1">IFERROR(__xludf.DUMMYFUNCTION("""COMPUTED_VALUE"""),"Silao de la Victoria")</f>
        <v>Silao de la Victoria</v>
      </c>
      <c r="BQ468" s="30" t="str">
        <f ca="1">IFERROR(__xludf.DUMMYFUNCTION("""COMPUTED_VALUE"""),"Urbano")</f>
        <v>Urbano</v>
      </c>
      <c r="BR468" s="30"/>
      <c r="BS468" s="30"/>
      <c r="BT468" s="30"/>
      <c r="BU468" s="30" t="str">
        <f ca="1">IFERROR(__xludf.DUMMYFUNCTION("""COMPUTED_VALUE"""),"No")</f>
        <v>No</v>
      </c>
      <c r="BV468" s="30" t="str">
        <f ca="1">IFERROR(__xludf.DUMMYFUNCTION("""COMPUTED_VALUE"""),"No")</f>
        <v>No</v>
      </c>
      <c r="BW468" s="30">
        <f ca="1">IFERROR(__xludf.DUMMYFUNCTION("""COMPUTED_VALUE"""),6)</f>
        <v>6</v>
      </c>
      <c r="BX468" s="30"/>
      <c r="BY468" s="30">
        <f ca="1">IFERROR(__xludf.DUMMYFUNCTION("""COMPUTED_VALUE"""),6)</f>
        <v>6</v>
      </c>
      <c r="BZ468" s="30"/>
      <c r="CA468" s="30" t="str">
        <f ca="1">IFERROR(__xludf.DUMMYFUNCTION("""COMPUTED_VALUE"""),"No")</f>
        <v>No</v>
      </c>
      <c r="CB468" s="30" t="str">
        <f ca="1">IFERROR(__xludf.DUMMYFUNCTION("""COMPUTED_VALUE"""),"No")</f>
        <v>No</v>
      </c>
      <c r="CC468" s="30" t="str">
        <f ca="1">IFERROR(__xludf.DUMMYFUNCTION("""COMPUTED_VALUE"""),"defb1a9c")</f>
        <v>defb1a9c</v>
      </c>
      <c r="CD468" s="29" t="str">
        <f ca="1">IFERROR(__xludf.DUMMYFUNCTION("""COMPUTED_VALUE"""),"Adultos (30 a 59 años)")</f>
        <v>Adultos (30 a 59 años)</v>
      </c>
      <c r="CE468" s="30" t="str">
        <f ca="1">IFERROR(__xludf.DUMMYFUNCTION("""COMPUTED_VALUE"""),"No se cuenta con el dato")</f>
        <v>No se cuenta con el dato</v>
      </c>
      <c r="CF468" s="30" t="str">
        <f ca="1">IFERROR(__xludf.DUMMYFUNCTION("""COMPUTED_VALUE"""),"Ninguno (Población General)")</f>
        <v>Ninguno (Población General)</v>
      </c>
      <c r="CG468" s="30">
        <f ca="1">IFERROR(__xludf.DUMMYFUNCTION("""COMPUTED_VALUE"""),10)</f>
        <v>10</v>
      </c>
      <c r="CJ468" s="29"/>
      <c r="CM468" s="30" t="str">
        <f ca="1">IFERROR(__xludf.DUMMYFUNCTION("""COMPUTED_VALUE"""),"Abasolo, Jerécuaro")</f>
        <v>Abasolo, Jerécuaro</v>
      </c>
      <c r="CN468" s="32" t="e">
        <f ca="1"/>
        <v>#NAME?</v>
      </c>
      <c r="CO468" s="32" t="e">
        <f ca="1"/>
        <v>#NAME?</v>
      </c>
      <c r="CP468" s="32" t="e">
        <f ca="1"/>
        <v>#NAME?</v>
      </c>
      <c r="CQ468" s="32" t="e">
        <f ca="1"/>
        <v>#NAME?</v>
      </c>
      <c r="CR468" s="30" t="e">
        <f ca="1"/>
        <v>#NAME?</v>
      </c>
      <c r="CS468" s="30" t="str">
        <f ca="1">IFERROR(__xludf.DUMMYFUNCTION("""COMPUTED_VALUE"""),"NNA (Niñas, Niños y Adolescentes), NNA (Niñas, Niños y Adolescentes)")</f>
        <v>NNA (Niñas, Niños y Adolescentes), NNA (Niñas, Niños y Adolescentes)</v>
      </c>
    </row>
    <row r="469" spans="1:97" ht="13">
      <c r="A469" s="29" t="str">
        <f ca="1">IFERROR(__xludf.DUMMYFUNCTION("""COMPUTED_VALUE"""),"ACT-SCRG36310")</f>
        <v>ACT-SCRG36310</v>
      </c>
      <c r="B469" s="30" t="str">
        <f ca="1">IFERROR(__xludf.DUMMYFUNCTION("""COMPUTED_VALUE"""),"SC-260925-102322")</f>
        <v>SC-260925-102322</v>
      </c>
      <c r="C469" s="62">
        <f ca="1">IFERROR(__xludf.DUMMYFUNCTION("""COMPUTED_VALUE"""),46290.4328935185)</f>
        <v>46290.432893518497</v>
      </c>
      <c r="D469" s="30">
        <f ca="1">IFERROR(__xludf.DUMMYFUNCTION("""COMPUTED_VALUE"""),82)</f>
        <v>82</v>
      </c>
      <c r="E469" s="30" t="str">
        <f ca="1">IFERROR(__xludf.DUMMYFUNCTION("""COMPUTED_VALUE"""),"PB3568")</f>
        <v>PB3568</v>
      </c>
      <c r="F469" s="30" t="str">
        <f ca="1">IFERROR(__xludf.DUMMYFUNCTION("""COMPUTED_VALUE"""),"Coordinación de Cultura y Arte Popular")</f>
        <v>Coordinación de Cultura y Arte Popular</v>
      </c>
      <c r="G469" s="30" t="str">
        <f ca="1">IFERROR(__xludf.DUMMYFUNCTION("""COMPUTED_VALUE"""),"Exposiciones muestra de arte popular")</f>
        <v>Exposiciones muestra de arte popular</v>
      </c>
      <c r="H469" s="30" t="str">
        <f ca="1">IFERROR(__xludf.DUMMYFUNCTION("""COMPUTED_VALUE"""),"SUBSECRETARÍA DE DESARROLLO COMUNITARIO Y PROMOCIÓN PATRIMONIAL")</f>
        <v>SUBSECRETARÍA DE DESARROLLO COMUNITARIO Y PROMOCIÓN PATRIMONIAL</v>
      </c>
      <c r="I469" s="34" t="str">
        <f ca="1">IFERROR(__xludf.DUMMYFUNCTION("""COMPUTED_VALUE"""),"DIRECCIÓN GENERAL DE FORMACIÓN E INVESTIGACIÓN")</f>
        <v>DIRECCIÓN GENERAL DE FORMACIÓN E INVESTIGACIÓN</v>
      </c>
      <c r="J469" s="30" t="str">
        <f ca="1">IFERROR(__xludf.DUMMYFUNCTION("""COMPUTED_VALUE"""),"Exposiciones muestra realizadas")</f>
        <v>Exposiciones muestra realizadas</v>
      </c>
      <c r="K469" s="30">
        <f ca="1">IFERROR(__xludf.DUMMYFUNCTION("""COMPUTED_VALUE"""),4)</f>
        <v>4</v>
      </c>
      <c r="L469" s="30" t="str">
        <f ca="1">IFERROR(__xludf.DUMMYFUNCTION("""COMPUTED_VALUE"""),"Artística")</f>
        <v>Artística</v>
      </c>
      <c r="M469" s="30" t="str">
        <f ca="1">IFERROR(__xludf.DUMMYFUNCTION("""COMPUTED_VALUE"""),"Concurso exposición ""Mascaras de la Judea""")</f>
        <v>Concurso exposición "Mascaras de la Judea"</v>
      </c>
      <c r="N469" s="30" t="str">
        <f ca="1">IFERROR(__xludf.DUMMYFUNCTION("""COMPUTED_VALUE"""),"Exposición de mascaras de la Judea")</f>
        <v>Exposición de mascaras de la Judea</v>
      </c>
      <c r="O469" s="30" t="str">
        <f ca="1">IFERROR(__xludf.DUMMYFUNCTION("""COMPUTED_VALUE"""),"Única")</f>
        <v>Única</v>
      </c>
      <c r="P469" s="33">
        <f ca="1">IFERROR(__xludf.DUMMYFUNCTION("""COMPUTED_VALUE"""),46290)</f>
        <v>46290</v>
      </c>
      <c r="Q469" s="33">
        <f ca="1">IFERROR(__xludf.DUMMYFUNCTION("""COMPUTED_VALUE"""),46290)</f>
        <v>46290</v>
      </c>
      <c r="R469" s="30">
        <f ca="1">IFERROR(__xludf.DUMMYFUNCTION("""COMPUTED_VALUE"""),0)</f>
        <v>0</v>
      </c>
      <c r="S469" s="30" t="str">
        <f ca="1">IFERROR(__xludf.DUMMYFUNCTION("""COMPUTED_VALUE"""),"Artesanías y arte popular")</f>
        <v>Artesanías y arte popular</v>
      </c>
      <c r="T469" s="30" t="str">
        <f ca="1">IFERROR(__xludf.DUMMYFUNCTION("""COMPUTED_VALUE"""),"Arte popular")</f>
        <v>Arte popular</v>
      </c>
      <c r="U469" s="30" t="str">
        <f ca="1">IFERROR(__xludf.DUMMYFUNCTION("""COMPUTED_VALUE"""),"Exposición")</f>
        <v>Exposición</v>
      </c>
      <c r="V469" s="30" t="str">
        <f ca="1">IFERROR(__xludf.DUMMYFUNCTION("""COMPUTED_VALUE"""),"Ninguna")</f>
        <v>Ninguna</v>
      </c>
      <c r="W469" s="30" t="str">
        <f ca="1">IFERROR(__xludf.DUMMYFUNCTION("""COMPUTED_VALUE"""),"Presencial")</f>
        <v>Presencial</v>
      </c>
      <c r="X469" s="30" t="str">
        <f ca="1">IFERROR(__xludf.DUMMYFUNCTION("""COMPUTED_VALUE"""),"Otros Espacios Culturales")</f>
        <v>Otros Espacios Culturales</v>
      </c>
      <c r="Y469" s="30" t="str">
        <f ca="1">IFERROR(__xludf.DUMMYFUNCTION("""COMPUTED_VALUE"""),"Casa de cultura")</f>
        <v>Casa de cultura</v>
      </c>
      <c r="Z469" s="30"/>
      <c r="AA469" s="30"/>
      <c r="AB469" s="30" t="b">
        <f ca="1">IFERROR(__xludf.DUMMYFUNCTION("""COMPUTED_VALUE"""),FALSE)</f>
        <v>0</v>
      </c>
      <c r="AC469" s="30"/>
      <c r="AD469" s="30" t="b">
        <f ca="1">IFERROR(__xludf.DUMMYFUNCTION("""COMPUTED_VALUE"""),FALSE)</f>
        <v>0</v>
      </c>
      <c r="AE469" s="30"/>
      <c r="AF469" s="30" t="b">
        <f ca="1">IFERROR(__xludf.DUMMYFUNCTION("""COMPUTED_VALUE"""),FALSE)</f>
        <v>0</v>
      </c>
      <c r="AG469" s="30"/>
      <c r="AH469" s="30" t="str">
        <f ca="1">IFERROR(__xludf.DUMMYFUNCTION("""COMPUTED_VALUE"""),"Sin costo")</f>
        <v>Sin costo</v>
      </c>
      <c r="AI469" s="30"/>
      <c r="AJ469" s="30"/>
      <c r="AK469" s="30"/>
      <c r="AL469" s="30" t="str">
        <f ca="1">IFERROR(__xludf.DUMMYFUNCTION("""COMPUTED_VALUE"""),"claudia.ramirezm@guanajuato.gob.mx")</f>
        <v>claudia.ramirezm@guanajuato.gob.mx</v>
      </c>
      <c r="AM469" s="30" t="str">
        <f ca="1">IFERROR(__xludf.DUMMYFUNCTION("""COMPUTED_VALUE"""),"Fortalecer la vinculación y el trabajo con casas de cultura y centros culturales municipales.")</f>
        <v>Fortalecer la vinculación y el trabajo con casas de cultura y centros culturales municipales.</v>
      </c>
      <c r="AN469" s="30" t="str">
        <f ca="1">IFERROR(__xludf.DUMMYFUNCTION("""COMPUTED_VALUE"""),"2 Igualdad")</f>
        <v>2 Igualdad</v>
      </c>
      <c r="AO469" s="30" t="str">
        <f ca="1">IFERROR(__xludf.DUMMYFUNCTION("""COMPUTED_VALUE"""),"2.4 Reducir brechas de desigualdad")</f>
        <v>2.4 Reducir brechas de desigualdad</v>
      </c>
      <c r="AP469" s="30" t="str">
        <f ca="1">IFERROR(__xludf.DUMMYFUNCTION("""COMPUTED_VALUE"""),"2.4.3 Descentralización de la oferta cultural")</f>
        <v>2.4.3 Descentralización de la oferta cultural</v>
      </c>
      <c r="AQ469" s="30" t="str">
        <f ca="1">IFERROR(__xludf.DUMMYFUNCTION("""COMPUTED_VALUE"""),"2.4.3.3 Incidir en el involucramiento de las personas con el ecosistema cultural")</f>
        <v>2.4.3.3 Incidir en el involucramiento de las personas con el ecosistema cultural</v>
      </c>
      <c r="AR469" s="30" t="str">
        <f ca="1">IFERROR(__xludf.DUMMYFUNCTION("""COMPUTED_VALUE"""),"Ninguno")</f>
        <v>Ninguno</v>
      </c>
      <c r="AS469" s="30"/>
      <c r="AT469" s="30" t="str">
        <f ca="1">IFERROR(__xludf.DUMMYFUNCTION("""COMPUTED_VALUE"""),"Fortalecimiento de la participación ciudadana y la mediación cultural")</f>
        <v>Fortalecimiento de la participación ciudadana y la mediación cultural</v>
      </c>
      <c r="AU469" s="30" t="str">
        <f ca="1">IFERROR(__xludf.DUMMYFUNCTION("""COMPUTED_VALUE"""),"Impulso a la ampliación de la oferta cultural en los territorios.")</f>
        <v>Impulso a la ampliación de la oferta cultural en los territorios.</v>
      </c>
      <c r="AV46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69" s="30" t="str">
        <f ca="1">IFERROR(__xludf.DUMMYFUNCTION("""COMPUTED_VALUE"""),"Incrementar en 25% la oferta cultural realizada en los municipios.")</f>
        <v>Incrementar en 25% la oferta cultural realizada en los municipios.</v>
      </c>
      <c r="AX469" s="30" t="str">
        <f ca="1">IFERROR(__xludf.DUMMYFUNCTION("""COMPUTED_VALUE"""),"Exposición")</f>
        <v>Exposición</v>
      </c>
      <c r="AY469" s="30" t="str">
        <f ca="1">IFERROR(__xludf.DUMMYFUNCTION("""COMPUTED_VALUE"""),"Circulación / Exhibición")</f>
        <v>Circulación / Exhibición</v>
      </c>
      <c r="AZ469" s="30"/>
      <c r="BA469" s="30"/>
      <c r="BB469" s="30"/>
      <c r="BC469" s="30">
        <f ca="1">IFERROR(__xludf.DUMMYFUNCTION("""COMPUTED_VALUE"""),0)</f>
        <v>0</v>
      </c>
      <c r="BD469" s="30"/>
      <c r="BE469" s="30"/>
      <c r="BF469" s="30" t="b">
        <f ca="1">IFERROR(__xludf.DUMMYFUNCTION("""COMPUTED_VALUE"""),FALSE)</f>
        <v>0</v>
      </c>
      <c r="BG469" s="30"/>
      <c r="BH469" s="30"/>
      <c r="BI469" s="30"/>
      <c r="BJ469" s="30"/>
      <c r="BK469" s="30"/>
      <c r="BL469" s="30" t="str">
        <f ca="1">IFERROR(__xludf.DUMMYFUNCTION("""COMPUTED_VALUE"""),"Acuerdo especial de colaboración con el municipio de Purisima del Rincon")</f>
        <v>Acuerdo especial de colaboración con el municipio de Purisima del Rincon</v>
      </c>
      <c r="BM469" s="30" t="str">
        <f ca="1">IFERROR(__xludf.DUMMYFUNCTION("""COMPUTED_VALUE"""),"Sí")</f>
        <v>Sí</v>
      </c>
      <c r="BN469" s="30" t="str">
        <f ca="1">IFERROR(__xludf.DUMMYFUNCTION("""COMPUTED_VALUE"""),"Acompañamiento Técnico")</f>
        <v>Acompañamiento Técnico</v>
      </c>
      <c r="BO469" s="30" t="str">
        <f ca="1">IFERROR(__xludf.DUMMYFUNCTION("""COMPUTED_VALUE"""),"4e2e3d36")</f>
        <v>4e2e3d36</v>
      </c>
      <c r="BP469" s="29" t="str">
        <f ca="1">IFERROR(__xludf.DUMMYFUNCTION("""COMPUTED_VALUE"""),"Silao de la Victoria")</f>
        <v>Silao de la Victoria</v>
      </c>
      <c r="BQ469" s="30" t="str">
        <f ca="1">IFERROR(__xludf.DUMMYFUNCTION("""COMPUTED_VALUE"""),"Urbano")</f>
        <v>Urbano</v>
      </c>
      <c r="BR469" s="30"/>
      <c r="BS469" s="30"/>
      <c r="BT469" s="30"/>
      <c r="BU469" s="30" t="str">
        <f ca="1">IFERROR(__xludf.DUMMYFUNCTION("""COMPUTED_VALUE"""),"No")</f>
        <v>No</v>
      </c>
      <c r="BV469" s="30" t="str">
        <f ca="1">IFERROR(__xludf.DUMMYFUNCTION("""COMPUTED_VALUE"""),"No")</f>
        <v>No</v>
      </c>
      <c r="BW469" s="30">
        <f ca="1">IFERROR(__xludf.DUMMYFUNCTION("""COMPUTED_VALUE"""),31)</f>
        <v>31</v>
      </c>
      <c r="BX469" s="30"/>
      <c r="BY469" s="30">
        <f ca="1">IFERROR(__xludf.DUMMYFUNCTION("""COMPUTED_VALUE"""),31)</f>
        <v>31</v>
      </c>
      <c r="BZ469" s="30"/>
      <c r="CA469" s="30" t="str">
        <f ca="1">IFERROR(__xludf.DUMMYFUNCTION("""COMPUTED_VALUE"""),"No")</f>
        <v>No</v>
      </c>
      <c r="CB469" s="30" t="str">
        <f ca="1">IFERROR(__xludf.DUMMYFUNCTION("""COMPUTED_VALUE"""),"No")</f>
        <v>No</v>
      </c>
      <c r="CC469" s="30" t="str">
        <f ca="1">IFERROR(__xludf.DUMMYFUNCTION("""COMPUTED_VALUE"""),"96a5b6a8")</f>
        <v>96a5b6a8</v>
      </c>
      <c r="CD469" s="29" t="str">
        <f ca="1">IFERROR(__xludf.DUMMYFUNCTION("""COMPUTED_VALUE"""),"Jóvenes (18 a 29 años)")</f>
        <v>Jóvenes (18 a 29 años)</v>
      </c>
      <c r="CE469" s="30" t="str">
        <f ca="1">IFERROR(__xludf.DUMMYFUNCTION("""COMPUTED_VALUE"""),"No se cuenta con el dato")</f>
        <v>No se cuenta con el dato</v>
      </c>
      <c r="CF469" s="30" t="str">
        <f ca="1">IFERROR(__xludf.DUMMYFUNCTION("""COMPUTED_VALUE"""),"Ninguno (Población General)")</f>
        <v>Ninguno (Población General)</v>
      </c>
      <c r="CG469" s="30">
        <f ca="1">IFERROR(__xludf.DUMMYFUNCTION("""COMPUTED_VALUE"""),23)</f>
        <v>23</v>
      </c>
      <c r="CJ469" s="29"/>
      <c r="CM469" s="30" t="str">
        <f ca="1">IFERROR(__xludf.DUMMYFUNCTION("""COMPUTED_VALUE"""),"Silao de la Victoria")</f>
        <v>Silao de la Victoria</v>
      </c>
      <c r="CN469" s="32" t="e">
        <f ca="1"/>
        <v>#NAME?</v>
      </c>
      <c r="CO469" s="32" t="e">
        <f ca="1"/>
        <v>#NAME?</v>
      </c>
      <c r="CP469" s="32" t="e">
        <f ca="1"/>
        <v>#NAME?</v>
      </c>
      <c r="CQ469" s="32" t="e">
        <f ca="1"/>
        <v>#NAME?</v>
      </c>
      <c r="CR469" s="30" t="e">
        <f ca="1"/>
        <v>#NAME?</v>
      </c>
      <c r="CS469" s="30" t="str">
        <f ca="1">IFERROR(__xludf.DUMMYFUNCTION("""COMPUTED_VALUE"""),"Ninguno (Población General), Ninguno (Población General), Ninguno (Población General)")</f>
        <v>Ninguno (Población General), Ninguno (Población General), Ninguno (Población General)</v>
      </c>
    </row>
    <row r="470" spans="1:97" ht="13">
      <c r="A470" s="29" t="str">
        <f ca="1">IFERROR(__xludf.DUMMYFUNCTION("""COMPUTED_VALUE"""),"ACT-SCPI11207")</f>
        <v>ACT-SCPI11207</v>
      </c>
      <c r="B470" s="30" t="str">
        <f ca="1">IFERROR(__xludf.DUMMYFUNCTION("""COMPUTED_VALUE"""),"SC-260925-112659")</f>
        <v>SC-260925-112659</v>
      </c>
      <c r="C470" s="62">
        <f ca="1">IFERROR(__xludf.DUMMYFUNCTION("""COMPUTED_VALUE"""),46290.4770717592)</f>
        <v>46290.477071759196</v>
      </c>
      <c r="D470" s="30">
        <f ca="1">IFERROR(__xludf.DUMMYFUNCTION("""COMPUTED_VALUE"""),80)</f>
        <v>80</v>
      </c>
      <c r="E470" s="30" t="str">
        <f ca="1">IFERROR(__xludf.DUMMYFUNCTION("""COMPUTED_VALUE"""),"PB3568")</f>
        <v>PB3568</v>
      </c>
      <c r="F470" s="30" t="str">
        <f ca="1">IFERROR(__xludf.DUMMYFUNCTION("""COMPUTED_VALUE"""),"Coordinación de Cultura y Arte Popular")</f>
        <v>Coordinación de Cultura y Arte Popular</v>
      </c>
      <c r="G470" s="30" t="str">
        <f ca="1">IFERROR(__xludf.DUMMYFUNCTION("""COMPUTED_VALUE"""),"Concursos realizados que promuevan a los creadores, artesanos y portadores de saberes con apoyos")</f>
        <v>Concursos realizados que promuevan a los creadores, artesanos y portadores de saberes con apoyos</v>
      </c>
      <c r="H470" s="30" t="str">
        <f ca="1">IFERROR(__xludf.DUMMYFUNCTION("""COMPUTED_VALUE"""),"SUBSECRETARÍA DE DESARROLLO COMUNITARIO Y PROMOCIÓN PATRIMONIAL")</f>
        <v>SUBSECRETARÍA DE DESARROLLO COMUNITARIO Y PROMOCIÓN PATRIMONIAL</v>
      </c>
      <c r="I470" s="34" t="str">
        <f ca="1">IFERROR(__xludf.DUMMYFUNCTION("""COMPUTED_VALUE"""),"DIRECCIÓN GENERAL DE FORMACIÓN E INVESTIGACIÓN")</f>
        <v>DIRECCIÓN GENERAL DE FORMACIÓN E INVESTIGACIÓN</v>
      </c>
      <c r="J470" s="30" t="str">
        <f ca="1">IFERROR(__xludf.DUMMYFUNCTION("""COMPUTED_VALUE"""),"Concursos realizados")</f>
        <v>Concursos realizados</v>
      </c>
      <c r="K470" s="30">
        <f ca="1">IFERROR(__xludf.DUMMYFUNCTION("""COMPUTED_VALUE"""),12)</f>
        <v>12</v>
      </c>
      <c r="L470" s="30" t="str">
        <f ca="1">IFERROR(__xludf.DUMMYFUNCTION("""COMPUTED_VALUE"""),"Artística")</f>
        <v>Artística</v>
      </c>
      <c r="M470" s="30" t="str">
        <f ca="1">IFERROR(__xludf.DUMMYFUNCTION("""COMPUTED_VALUE"""),"XVI Concurso- Exposición de Coloquio, pastorela y torito: Las máscaras")</f>
        <v>XVI Concurso- Exposición de Coloquio, pastorela y torito: Las máscaras</v>
      </c>
      <c r="N470" s="30" t="str">
        <f ca="1">IFERROR(__xludf.DUMMYFUNCTION("""COMPUTED_VALUE"""),"muestra de los trabajos participantes del XVI Concurso • Exposición de Coloquio, Pastorela y Torito: Las Máscaras")</f>
        <v>muestra de los trabajos participantes del XVI Concurso • Exposición de Coloquio, Pastorela y Torito: Las Máscaras</v>
      </c>
      <c r="O470" s="30" t="str">
        <f ca="1">IFERROR(__xludf.DUMMYFUNCTION("""COMPUTED_VALUE"""),"Única")</f>
        <v>Única</v>
      </c>
      <c r="P470" s="33">
        <f ca="1">IFERROR(__xludf.DUMMYFUNCTION("""COMPUTED_VALUE"""),46228)</f>
        <v>46228</v>
      </c>
      <c r="Q470" s="33">
        <f ca="1">IFERROR(__xludf.DUMMYFUNCTION("""COMPUTED_VALUE"""),46228)</f>
        <v>46228</v>
      </c>
      <c r="R470" s="30">
        <f ca="1">IFERROR(__xludf.DUMMYFUNCTION("""COMPUTED_VALUE"""),0)</f>
        <v>0</v>
      </c>
      <c r="S470" s="30" t="str">
        <f ca="1">IFERROR(__xludf.DUMMYFUNCTION("""COMPUTED_VALUE"""),"Artesanías y arte popular")</f>
        <v>Artesanías y arte popular</v>
      </c>
      <c r="T470" s="30" t="str">
        <f ca="1">IFERROR(__xludf.DUMMYFUNCTION("""COMPUTED_VALUE"""),"Arte popular")</f>
        <v>Arte popular</v>
      </c>
      <c r="U470" s="30" t="str">
        <f ca="1">IFERROR(__xludf.DUMMYFUNCTION("""COMPUTED_VALUE"""),"Convocatoria pública")</f>
        <v>Convocatoria pública</v>
      </c>
      <c r="V470" s="30" t="str">
        <f ca="1">IFERROR(__xludf.DUMMYFUNCTION("""COMPUTED_VALUE"""),"Entrega de estímulos")</f>
        <v>Entrega de estímulos</v>
      </c>
      <c r="W470" s="30" t="str">
        <f ca="1">IFERROR(__xludf.DUMMYFUNCTION("""COMPUTED_VALUE"""),"Presencial")</f>
        <v>Presencial</v>
      </c>
      <c r="X470" s="30" t="str">
        <f ca="1">IFERROR(__xludf.DUMMYFUNCTION("""COMPUTED_VALUE"""),"Sitio Patrimonial")</f>
        <v>Sitio Patrimonial</v>
      </c>
      <c r="Y470" s="30" t="str">
        <f ca="1">IFERROR(__xludf.DUMMYFUNCTION("""COMPUTED_VALUE"""),"Zona Arqueológica Peralta")</f>
        <v>Zona Arqueológica Peralta</v>
      </c>
      <c r="Z470" s="30"/>
      <c r="AA470" s="30"/>
      <c r="AB470" s="30" t="b">
        <f ca="1">IFERROR(__xludf.DUMMYFUNCTION("""COMPUTED_VALUE"""),FALSE)</f>
        <v>0</v>
      </c>
      <c r="AC470" s="30"/>
      <c r="AD470" s="30" t="b">
        <f ca="1">IFERROR(__xludf.DUMMYFUNCTION("""COMPUTED_VALUE"""),FALSE)</f>
        <v>0</v>
      </c>
      <c r="AE470" s="30"/>
      <c r="AF470" s="30" t="b">
        <f ca="1">IFERROR(__xludf.DUMMYFUNCTION("""COMPUTED_VALUE"""),FALSE)</f>
        <v>0</v>
      </c>
      <c r="AG470" s="30"/>
      <c r="AH470" s="30" t="str">
        <f ca="1">IFERROR(__xludf.DUMMYFUNCTION("""COMPUTED_VALUE"""),"Sin costo")</f>
        <v>Sin costo</v>
      </c>
      <c r="AI470" s="30"/>
      <c r="AJ470" s="30"/>
      <c r="AK470" s="30"/>
      <c r="AL470" s="30" t="str">
        <f ca="1">IFERROR(__xludf.DUMMYFUNCTION("""COMPUTED_VALUE"""),"claudia.ramirezm@guanajuato.gob.mx")</f>
        <v>claudia.ramirezm@guanajuato.gob.mx</v>
      </c>
      <c r="AM470" s="30" t="str">
        <f ca="1">IFERROR(__xludf.DUMMYFUNCTION("""COMPUTED_VALUE"""),"Apoyos para artistas populares.")</f>
        <v>Apoyos para artistas populares.</v>
      </c>
      <c r="AN470" s="30" t="str">
        <f ca="1">IFERROR(__xludf.DUMMYFUNCTION("""COMPUTED_VALUE"""),"2 Igualdad")</f>
        <v>2 Igualdad</v>
      </c>
      <c r="AO470" s="30" t="str">
        <f ca="1">IFERROR(__xludf.DUMMYFUNCTION("""COMPUTED_VALUE"""),"2.4 Reducir brechas de desigualdad")</f>
        <v>2.4 Reducir brechas de desigualdad</v>
      </c>
      <c r="AP470" s="30" t="str">
        <f ca="1">IFERROR(__xludf.DUMMYFUNCTION("""COMPUTED_VALUE"""),"2.4.3 Descentralización de la oferta cultural")</f>
        <v>2.4.3 Descentralización de la oferta cultural</v>
      </c>
      <c r="AQ470" s="30" t="str">
        <f ca="1">IFERROR(__xludf.DUMMYFUNCTION("""COMPUTED_VALUE"""),"2.4.3.3 Incidir en el involucramiento de las personas con el ecosistema cultural")</f>
        <v>2.4.3.3 Incidir en el involucramiento de las personas con el ecosistema cultural</v>
      </c>
      <c r="AR470" s="30" t="str">
        <f ca="1">IFERROR(__xludf.DUMMYFUNCTION("""COMPUTED_VALUE"""),"Ninguno")</f>
        <v>Ninguno</v>
      </c>
      <c r="AS470" s="30"/>
      <c r="AT470" s="30" t="str">
        <f ca="1">IFERROR(__xludf.DUMMYFUNCTION("""COMPUTED_VALUE"""),"Fortalecimiento de la participación ciudadana y la mediación cultural")</f>
        <v>Fortalecimiento de la participación ciudadana y la mediación cultural</v>
      </c>
      <c r="AU470" s="30" t="str">
        <f ca="1">IFERROR(__xludf.DUMMYFUNCTION("""COMPUTED_VALUE"""),"Impulso a la ampliación de la oferta cultural en los territorios.")</f>
        <v>Impulso a la ampliación de la oferta cultural en los territorios.</v>
      </c>
      <c r="AV47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70" s="30" t="str">
        <f ca="1">IFERROR(__xludf.DUMMYFUNCTION("""COMPUTED_VALUE"""),"Incrementar en 25% la oferta cultural realizada en los municipios.")</f>
        <v>Incrementar en 25% la oferta cultural realizada en los municipios.</v>
      </c>
      <c r="AX470" s="30" t="str">
        <f ca="1">IFERROR(__xludf.DUMMYFUNCTION("""COMPUTED_VALUE"""),"Convocatoria pública")</f>
        <v>Convocatoria pública</v>
      </c>
      <c r="AY470" s="30" t="str">
        <f ca="1">IFERROR(__xludf.DUMMYFUNCTION("""COMPUTED_VALUE"""),"Creación")</f>
        <v>Creación</v>
      </c>
      <c r="AZ470" s="30"/>
      <c r="BA470" s="30"/>
      <c r="BB470" s="30">
        <f ca="1">IFERROR(__xludf.DUMMYFUNCTION("""COMPUTED_VALUE"""),1)</f>
        <v>1</v>
      </c>
      <c r="BC470" s="30">
        <f ca="1">IFERROR(__xludf.DUMMYFUNCTION("""COMPUTED_VALUE"""),7)</f>
        <v>7</v>
      </c>
      <c r="BD470" s="30" t="str">
        <f ca="1">IFERROR(__xludf.DUMMYFUNCTION("""COMPUTED_VALUE"""),"Nuevo")</f>
        <v>Nuevo</v>
      </c>
      <c r="BE470" s="30"/>
      <c r="BF470" s="30" t="b">
        <f ca="1">IFERROR(__xludf.DUMMYFUNCTION("""COMPUTED_VALUE"""),TRUE)</f>
        <v>1</v>
      </c>
      <c r="BG470" s="30" t="str">
        <f ca="1">IFERROR(__xludf.DUMMYFUNCTION("""COMPUTED_VALUE"""),"Económico")</f>
        <v>Económico</v>
      </c>
      <c r="BH470" s="30">
        <f ca="1">IFERROR(__xludf.DUMMYFUNCTION("""COMPUTED_VALUE"""),15000)</f>
        <v>15000</v>
      </c>
      <c r="BI470" s="30"/>
      <c r="BJ470" s="30"/>
      <c r="BK470" s="30"/>
      <c r="BL470" s="30" t="str">
        <f ca="1">IFERROR(__xludf.DUMMYFUNCTION("""COMPUTED_VALUE"""),"Acuerdo especial de colaboración con el municipio de Abasolo")</f>
        <v>Acuerdo especial de colaboración con el municipio de Abasolo</v>
      </c>
      <c r="BM470" s="30" t="str">
        <f ca="1">IFERROR(__xludf.DUMMYFUNCTION("""COMPUTED_VALUE"""),"Sí")</f>
        <v>Sí</v>
      </c>
      <c r="BN470" s="30" t="str">
        <f ca="1">IFERROR(__xludf.DUMMYFUNCTION("""COMPUTED_VALUE"""),"Gestión de recursos económicos")</f>
        <v>Gestión de recursos económicos</v>
      </c>
      <c r="BO470" s="30" t="str">
        <f ca="1">IFERROR(__xludf.DUMMYFUNCTION("""COMPUTED_VALUE"""),"d96cbb89")</f>
        <v>d96cbb89</v>
      </c>
      <c r="BP470" s="29" t="str">
        <f ca="1">IFERROR(__xludf.DUMMYFUNCTION("""COMPUTED_VALUE"""),"Silao de la Victoria")</f>
        <v>Silao de la Victoria</v>
      </c>
      <c r="BQ470" s="30" t="str">
        <f ca="1">IFERROR(__xludf.DUMMYFUNCTION("""COMPUTED_VALUE"""),"Urbano")</f>
        <v>Urbano</v>
      </c>
      <c r="BR470" s="30"/>
      <c r="BS470" s="30"/>
      <c r="BT470" s="30"/>
      <c r="BU470" s="30" t="str">
        <f ca="1">IFERROR(__xludf.DUMMYFUNCTION("""COMPUTED_VALUE"""),"No")</f>
        <v>No</v>
      </c>
      <c r="BV470" s="30" t="str">
        <f ca="1">IFERROR(__xludf.DUMMYFUNCTION("""COMPUTED_VALUE"""),"No")</f>
        <v>No</v>
      </c>
      <c r="BW470" s="30">
        <f ca="1">IFERROR(__xludf.DUMMYFUNCTION("""COMPUTED_VALUE"""),2)</f>
        <v>2</v>
      </c>
      <c r="BX470" s="30"/>
      <c r="BY470" s="30">
        <f ca="1">IFERROR(__xludf.DUMMYFUNCTION("""COMPUTED_VALUE"""),2)</f>
        <v>2</v>
      </c>
      <c r="BZ470" s="30"/>
      <c r="CA470" s="30" t="str">
        <f ca="1">IFERROR(__xludf.DUMMYFUNCTION("""COMPUTED_VALUE"""),"No")</f>
        <v>No</v>
      </c>
      <c r="CB470" s="30" t="str">
        <f ca="1">IFERROR(__xludf.DUMMYFUNCTION("""COMPUTED_VALUE"""),"No")</f>
        <v>No</v>
      </c>
      <c r="CC470" s="30" t="str">
        <f ca="1">IFERROR(__xludf.DUMMYFUNCTION("""COMPUTED_VALUE"""),"9d5d1d27")</f>
        <v>9d5d1d27</v>
      </c>
      <c r="CD470" s="29" t="str">
        <f ca="1">IFERROR(__xludf.DUMMYFUNCTION("""COMPUTED_VALUE"""),"Jóvenes (18 a 29 años)")</f>
        <v>Jóvenes (18 a 29 años)</v>
      </c>
      <c r="CE470" s="30" t="str">
        <f ca="1">IFERROR(__xludf.DUMMYFUNCTION("""COMPUTED_VALUE"""),"No se cuenta con el dato")</f>
        <v>No se cuenta con el dato</v>
      </c>
      <c r="CF470" s="30" t="str">
        <f ca="1">IFERROR(__xludf.DUMMYFUNCTION("""COMPUTED_VALUE"""),"Ninguno (Población General)")</f>
        <v>Ninguno (Población General)</v>
      </c>
      <c r="CG470" s="30">
        <f ca="1">IFERROR(__xludf.DUMMYFUNCTION("""COMPUTED_VALUE"""),18)</f>
        <v>18</v>
      </c>
      <c r="CJ470" s="29"/>
      <c r="CM470" s="30" t="str">
        <f ca="1">IFERROR(__xludf.DUMMYFUNCTION("""COMPUTED_VALUE"""),"Silao de la Victoria")</f>
        <v>Silao de la Victoria</v>
      </c>
      <c r="CN470" s="32" t="e">
        <f ca="1"/>
        <v>#NAME?</v>
      </c>
      <c r="CO470" s="32" t="e">
        <f ca="1"/>
        <v>#NAME?</v>
      </c>
      <c r="CP470" s="32" t="e">
        <f ca="1"/>
        <v>#NAME?</v>
      </c>
      <c r="CQ470" s="32" t="e">
        <f ca="1"/>
        <v>#NAME?</v>
      </c>
      <c r="CR470" s="30" t="e">
        <f ca="1"/>
        <v>#NAME?</v>
      </c>
      <c r="CS470" s="30" t="str">
        <f ca="1">IFERROR(__xludf.DUMMYFUNCTION("""COMPUTED_VALUE"""),"Ninguno (Población General), Ninguno (Población General), Ninguno (Población General)")</f>
        <v>Ninguno (Población General), Ninguno (Población General), Ninguno (Población General)</v>
      </c>
    </row>
    <row r="471" spans="1:97" ht="13">
      <c r="A471" s="29" t="str">
        <f ca="1">IFERROR(__xludf.DUMMYFUNCTION("""COMPUTED_VALUE"""),"ACT-SCFU79713")</f>
        <v>ACT-SCFU79713</v>
      </c>
      <c r="B471" s="30" t="str">
        <f ca="1">IFERROR(__xludf.DUMMYFUNCTION("""COMPUTED_VALUE"""),"SC-260925-121824")</f>
        <v>SC-260925-121824</v>
      </c>
      <c r="C471" s="62">
        <f ca="1">IFERROR(__xludf.DUMMYFUNCTION("""COMPUTED_VALUE"""),46290.5127777777)</f>
        <v>46290.512777777702</v>
      </c>
      <c r="D471" s="30">
        <f ca="1">IFERROR(__xludf.DUMMYFUNCTION("""COMPUTED_VALUE"""),81)</f>
        <v>81</v>
      </c>
      <c r="E471" s="30" t="str">
        <f ca="1">IFERROR(__xludf.DUMMYFUNCTION("""COMPUTED_VALUE"""),"PB3568")</f>
        <v>PB3568</v>
      </c>
      <c r="F471" s="30" t="str">
        <f ca="1">IFERROR(__xludf.DUMMYFUNCTION("""COMPUTED_VALUE"""),"Coordinación de Cultura y Arte Popular")</f>
        <v>Coordinación de Cultura y Arte Popular</v>
      </c>
      <c r="G471" s="30" t="str">
        <f ca="1">IFERROR(__xludf.DUMMYFUNCTION("""COMPUTED_VALUE"""),"Curso o taller de apoyo a los creadores y artesanos de arte popular")</f>
        <v>Curso o taller de apoyo a los creadores y artesanos de arte popular</v>
      </c>
      <c r="H471" s="30" t="str">
        <f ca="1">IFERROR(__xludf.DUMMYFUNCTION("""COMPUTED_VALUE"""),"SUBSECRETARÍA DE DESARROLLO COMUNITARIO Y PROMOCIÓN PATRIMONIAL")</f>
        <v>SUBSECRETARÍA DE DESARROLLO COMUNITARIO Y PROMOCIÓN PATRIMONIAL</v>
      </c>
      <c r="I471" s="34" t="str">
        <f ca="1">IFERROR(__xludf.DUMMYFUNCTION("""COMPUTED_VALUE"""),"DIRECCIÓN GENERAL DE FORMACIÓN E INVESTIGACIÓN")</f>
        <v>DIRECCIÓN GENERAL DE FORMACIÓN E INVESTIGACIÓN</v>
      </c>
      <c r="J471" s="30" t="str">
        <f ca="1">IFERROR(__xludf.DUMMYFUNCTION("""COMPUTED_VALUE"""),"Curso o taller realizado")</f>
        <v>Curso o taller realizado</v>
      </c>
      <c r="K471" s="30">
        <f ca="1">IFERROR(__xludf.DUMMYFUNCTION("""COMPUTED_VALUE"""),2)</f>
        <v>2</v>
      </c>
      <c r="L471" s="30" t="str">
        <f ca="1">IFERROR(__xludf.DUMMYFUNCTION("""COMPUTED_VALUE"""),"Artística")</f>
        <v>Artística</v>
      </c>
      <c r="M471" s="30" t="str">
        <f ca="1">IFERROR(__xludf.DUMMYFUNCTION("""COMPUTED_VALUE"""),"Taller Pastorela y Torito: creación de máscaras tradicionales de patol")</f>
        <v>Taller Pastorela y Torito: creación de máscaras tradicionales de patol</v>
      </c>
      <c r="N471" s="30" t="str">
        <f ca="1">IFERROR(__xludf.DUMMYFUNCTION("""COMPUTED_VALUE"""),"generar un espacio de aprendizaje y reflexión sobre la importancia de las máscaras tradicionales como elemento de identidad cultural, permitiendo que las personas participantes desarrollen habilidades creativas y artesanales mediante la elaboración de una"&amp;" pieza inspirada en las máscaras tradicionales de Pastorela y Torito.")</f>
        <v>generar un espacio de aprendizaje y reflexión sobre la importancia de las máscaras tradicionales como elemento de identidad cultural, permitiendo que las personas participantes desarrollen habilidades creativas y artesanales mediante la elaboración de una pieza inspirada en las máscaras tradicionales de Pastorela y Torito.</v>
      </c>
      <c r="O471" s="30" t="str">
        <f ca="1">IFERROR(__xludf.DUMMYFUNCTION("""COMPUTED_VALUE"""),"Semanal")</f>
        <v>Semanal</v>
      </c>
      <c r="P471" s="33">
        <f ca="1">IFERROR(__xludf.DUMMYFUNCTION("""COMPUTED_VALUE"""),46207)</f>
        <v>46207</v>
      </c>
      <c r="Q471" s="33">
        <f ca="1">IFERROR(__xludf.DUMMYFUNCTION("""COMPUTED_VALUE"""),46221)</f>
        <v>46221</v>
      </c>
      <c r="R471" s="30">
        <f ca="1">IFERROR(__xludf.DUMMYFUNCTION("""COMPUTED_VALUE"""),5)</f>
        <v>5</v>
      </c>
      <c r="S471" s="30" t="str">
        <f ca="1">IFERROR(__xludf.DUMMYFUNCTION("""COMPUTED_VALUE"""),"Artesanías y arte popular")</f>
        <v>Artesanías y arte popular</v>
      </c>
      <c r="T471" s="30" t="str">
        <f ca="1">IFERROR(__xludf.DUMMYFUNCTION("""COMPUTED_VALUE"""),"Arte popular")</f>
        <v>Arte popular</v>
      </c>
      <c r="U471" s="30" t="str">
        <f ca="1">IFERROR(__xludf.DUMMYFUNCTION("""COMPUTED_VALUE"""),"Taller")</f>
        <v>Taller</v>
      </c>
      <c r="V471" s="30" t="str">
        <f ca="1">IFERROR(__xludf.DUMMYFUNCTION("""COMPUTED_VALUE"""),"Ninguna")</f>
        <v>Ninguna</v>
      </c>
      <c r="W471" s="30" t="str">
        <f ca="1">IFERROR(__xludf.DUMMYFUNCTION("""COMPUTED_VALUE"""),"Presencial")</f>
        <v>Presencial</v>
      </c>
      <c r="X471" s="30" t="str">
        <f ca="1">IFERROR(__xludf.DUMMYFUNCTION("""COMPUTED_VALUE"""),"Otros Espacios Culturales")</f>
        <v>Otros Espacios Culturales</v>
      </c>
      <c r="Y471" s="30" t="str">
        <f ca="1">IFERROR(__xludf.DUMMYFUNCTION("""COMPUTED_VALUE"""),"Casa de cultura")</f>
        <v>Casa de cultura</v>
      </c>
      <c r="Z471" s="30"/>
      <c r="AA471" s="30"/>
      <c r="AB471" s="30" t="b">
        <f ca="1">IFERROR(__xludf.DUMMYFUNCTION("""COMPUTED_VALUE"""),FALSE)</f>
        <v>0</v>
      </c>
      <c r="AC471" s="30"/>
      <c r="AD471" s="30" t="b">
        <f ca="1">IFERROR(__xludf.DUMMYFUNCTION("""COMPUTED_VALUE"""),TRUE)</f>
        <v>1</v>
      </c>
      <c r="AE471" s="30">
        <f ca="1">IFERROR(__xludf.DUMMYFUNCTION("""COMPUTED_VALUE"""),1)</f>
        <v>1</v>
      </c>
      <c r="AF471" s="30" t="b">
        <f ca="1">IFERROR(__xludf.DUMMYFUNCTION("""COMPUTED_VALUE"""),FALSE)</f>
        <v>0</v>
      </c>
      <c r="AG471" s="30"/>
      <c r="AH471" s="30" t="str">
        <f ca="1">IFERROR(__xludf.DUMMYFUNCTION("""COMPUTED_VALUE"""),"Sin costo")</f>
        <v>Sin costo</v>
      </c>
      <c r="AI471" s="30"/>
      <c r="AJ471" s="30"/>
      <c r="AK471" s="30"/>
      <c r="AL471" s="30" t="str">
        <f ca="1">IFERROR(__xludf.DUMMYFUNCTION("""COMPUTED_VALUE"""),"claudia.ramirezm@guanajuato.gob.mx")</f>
        <v>claudia.ramirezm@guanajuato.gob.mx</v>
      </c>
      <c r="AM471" s="30" t="str">
        <f ca="1">IFERROR(__xludf.DUMMYFUNCTION("""COMPUTED_VALUE"""),"Apoyos para artistas populares.")</f>
        <v>Apoyos para artistas populares.</v>
      </c>
      <c r="AN471" s="30" t="str">
        <f ca="1">IFERROR(__xludf.DUMMYFUNCTION("""COMPUTED_VALUE"""),"2 Igualdad")</f>
        <v>2 Igualdad</v>
      </c>
      <c r="AO471" s="30" t="str">
        <f ca="1">IFERROR(__xludf.DUMMYFUNCTION("""COMPUTED_VALUE"""),"2.4 Reducir brechas de desigualdad")</f>
        <v>2.4 Reducir brechas de desigualdad</v>
      </c>
      <c r="AP471" s="30" t="str">
        <f ca="1">IFERROR(__xludf.DUMMYFUNCTION("""COMPUTED_VALUE"""),"2.4.3 Descentralización de la oferta cultural")</f>
        <v>2.4.3 Descentralización de la oferta cultural</v>
      </c>
      <c r="AQ471" s="30" t="str">
        <f ca="1">IFERROR(__xludf.DUMMYFUNCTION("""COMPUTED_VALUE"""),"2.4.3.3 Incidir en el involucramiento de las personas con el ecosistema cultural")</f>
        <v>2.4.3.3 Incidir en el involucramiento de las personas con el ecosistema cultural</v>
      </c>
      <c r="AR471" s="30" t="str">
        <f ca="1">IFERROR(__xludf.DUMMYFUNCTION("""COMPUTED_VALUE"""),"Ninguno")</f>
        <v>Ninguno</v>
      </c>
      <c r="AS471" s="30"/>
      <c r="AT471" s="30" t="str">
        <f ca="1">IFERROR(__xludf.DUMMYFUNCTION("""COMPUTED_VALUE"""),"Fortalecimiento de la participación ciudadana y la mediación cultural")</f>
        <v>Fortalecimiento de la participación ciudadana y la mediación cultural</v>
      </c>
      <c r="AU471" s="30" t="str">
        <f ca="1">IFERROR(__xludf.DUMMYFUNCTION("""COMPUTED_VALUE"""),"Impulso a la ampliación de la oferta cultural en los territorios.")</f>
        <v>Impulso a la ampliación de la oferta cultural en los territorios.</v>
      </c>
      <c r="AV47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71" s="30" t="str">
        <f ca="1">IFERROR(__xludf.DUMMYFUNCTION("""COMPUTED_VALUE"""),"Incrementar en 25% la oferta cultural realizada en los municipios.")</f>
        <v>Incrementar en 25% la oferta cultural realizada en los municipios.</v>
      </c>
      <c r="AX471" s="30" t="str">
        <f ca="1">IFERROR(__xludf.DUMMYFUNCTION("""COMPUTED_VALUE"""),"Taller")</f>
        <v>Taller</v>
      </c>
      <c r="AY471" s="30" t="str">
        <f ca="1">IFERROR(__xludf.DUMMYFUNCTION("""COMPUTED_VALUE"""),"Producción")</f>
        <v>Producción</v>
      </c>
      <c r="AZ471" s="30"/>
      <c r="BA471" s="30"/>
      <c r="BB471" s="30">
        <f ca="1">IFERROR(__xludf.DUMMYFUNCTION("""COMPUTED_VALUE"""),11)</f>
        <v>11</v>
      </c>
      <c r="BC471" s="30">
        <f ca="1">IFERROR(__xludf.DUMMYFUNCTION("""COMPUTED_VALUE"""),1)</f>
        <v>1</v>
      </c>
      <c r="BD471" s="30" t="str">
        <f ca="1">IFERROR(__xludf.DUMMYFUNCTION("""COMPUTED_VALUE"""),"Nuevo")</f>
        <v>Nuevo</v>
      </c>
      <c r="BE471" s="30"/>
      <c r="BF471" s="30" t="b">
        <f ca="1">IFERROR(__xludf.DUMMYFUNCTION("""COMPUTED_VALUE"""),TRUE)</f>
        <v>1</v>
      </c>
      <c r="BG471" s="30" t="str">
        <f ca="1">IFERROR(__xludf.DUMMYFUNCTION("""COMPUTED_VALUE"""),"Económico")</f>
        <v>Económico</v>
      </c>
      <c r="BH471" s="30">
        <f ca="1">IFERROR(__xludf.DUMMYFUNCTION("""COMPUTED_VALUE"""),21476)</f>
        <v>21476</v>
      </c>
      <c r="BI471" s="30"/>
      <c r="BJ471" s="30"/>
      <c r="BK471" s="30"/>
      <c r="BL471" s="30"/>
      <c r="BM471" s="30" t="str">
        <f ca="1">IFERROR(__xludf.DUMMYFUNCTION("""COMPUTED_VALUE"""),"No")</f>
        <v>No</v>
      </c>
      <c r="BN471" s="30"/>
      <c r="BO471" s="30" t="str">
        <f ca="1">IFERROR(__xludf.DUMMYFUNCTION("""COMPUTED_VALUE"""),"c214a740")</f>
        <v>c214a740</v>
      </c>
      <c r="BP471" s="29" t="str">
        <f ca="1">IFERROR(__xludf.DUMMYFUNCTION("""COMPUTED_VALUE"""),"Silao de la Victoria")</f>
        <v>Silao de la Victoria</v>
      </c>
      <c r="BQ471" s="30" t="str">
        <f ca="1">IFERROR(__xludf.DUMMYFUNCTION("""COMPUTED_VALUE"""),"Urbano")</f>
        <v>Urbano</v>
      </c>
      <c r="BR471" s="30"/>
      <c r="BS471" s="30"/>
      <c r="BT471" s="30"/>
      <c r="BU471" s="30" t="str">
        <f ca="1">IFERROR(__xludf.DUMMYFUNCTION("""COMPUTED_VALUE"""),"No")</f>
        <v>No</v>
      </c>
      <c r="BV471" s="30" t="str">
        <f ca="1">IFERROR(__xludf.DUMMYFUNCTION("""COMPUTED_VALUE"""),"No")</f>
        <v>No</v>
      </c>
      <c r="BW471" s="30">
        <f ca="1">IFERROR(__xludf.DUMMYFUNCTION("""COMPUTED_VALUE"""),2)</f>
        <v>2</v>
      </c>
      <c r="BX471" s="30"/>
      <c r="BY471" s="30">
        <f ca="1">IFERROR(__xludf.DUMMYFUNCTION("""COMPUTED_VALUE"""),2)</f>
        <v>2</v>
      </c>
      <c r="BZ471" s="30"/>
      <c r="CA471" s="30" t="str">
        <f ca="1">IFERROR(__xludf.DUMMYFUNCTION("""COMPUTED_VALUE"""),"No")</f>
        <v>No</v>
      </c>
      <c r="CB471" s="30" t="str">
        <f ca="1">IFERROR(__xludf.DUMMYFUNCTION("""COMPUTED_VALUE"""),"No")</f>
        <v>No</v>
      </c>
      <c r="CC471" s="30" t="str">
        <f ca="1">IFERROR(__xludf.DUMMYFUNCTION("""COMPUTED_VALUE"""),"cc69df7c")</f>
        <v>cc69df7c</v>
      </c>
      <c r="CD471" s="29" t="str">
        <f ca="1">IFERROR(__xludf.DUMMYFUNCTION("""COMPUTED_VALUE"""),"Niñas y Niños (6 a 12 años)")</f>
        <v>Niñas y Niños (6 a 12 años)</v>
      </c>
      <c r="CE471" s="30" t="str">
        <f ca="1">IFERROR(__xludf.DUMMYFUNCTION("""COMPUTED_VALUE"""),"No se cuenta con el dato")</f>
        <v>No se cuenta con el dato</v>
      </c>
      <c r="CF471" s="30" t="str">
        <f ca="1">IFERROR(__xludf.DUMMYFUNCTION("""COMPUTED_VALUE"""),"Ninguno (Población General)")</f>
        <v>Ninguno (Población General)</v>
      </c>
      <c r="CG471" s="30">
        <f ca="1">IFERROR(__xludf.DUMMYFUNCTION("""COMPUTED_VALUE"""),7)</f>
        <v>7</v>
      </c>
      <c r="CJ471" s="29"/>
      <c r="CM471" s="30" t="str">
        <f ca="1">IFERROR(__xludf.DUMMYFUNCTION("""COMPUTED_VALUE"""),"Silao de la Victoria")</f>
        <v>Silao de la Victoria</v>
      </c>
      <c r="CN471" s="32" t="e">
        <f ca="1"/>
        <v>#NAME?</v>
      </c>
      <c r="CO471" s="32" t="e">
        <f ca="1"/>
        <v>#NAME?</v>
      </c>
      <c r="CP471" s="32" t="e">
        <f ca="1"/>
        <v>#NAME?</v>
      </c>
      <c r="CQ471" s="32" t="e">
        <f ca="1"/>
        <v>#NAME?</v>
      </c>
      <c r="CR471" s="30" t="e">
        <f ca="1"/>
        <v>#NAME?</v>
      </c>
      <c r="CS471"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72" spans="1:97" ht="13">
      <c r="A472" s="29" t="str">
        <f ca="1">IFERROR(__xludf.DUMMYFUNCTION("""COMPUTED_VALUE"""),"ACT-SCPP90088")</f>
        <v>ACT-SCPP90088</v>
      </c>
      <c r="B472" s="30" t="str">
        <f ca="1">IFERROR(__xludf.DUMMYFUNCTION("""COMPUTED_VALUE"""),"SC-260925-140256")</f>
        <v>SC-260925-140256</v>
      </c>
      <c r="C472" s="62">
        <f ca="1">IFERROR(__xludf.DUMMYFUNCTION("""COMPUTED_VALUE"""),46290.5853703703)</f>
        <v>46290.585370370303</v>
      </c>
      <c r="D472" s="30">
        <f ca="1">IFERROR(__xludf.DUMMYFUNCTION("""COMPUTED_VALUE"""),80)</f>
        <v>80</v>
      </c>
      <c r="E472" s="30" t="str">
        <f ca="1">IFERROR(__xludf.DUMMYFUNCTION("""COMPUTED_VALUE"""),"PB3568")</f>
        <v>PB3568</v>
      </c>
      <c r="F472" s="30" t="str">
        <f ca="1">IFERROR(__xludf.DUMMYFUNCTION("""COMPUTED_VALUE"""),"Coordinación de Cultura y Arte Popular")</f>
        <v>Coordinación de Cultura y Arte Popular</v>
      </c>
      <c r="G472" s="30" t="str">
        <f ca="1">IFERROR(__xludf.DUMMYFUNCTION("""COMPUTED_VALUE"""),"Concursos realizados que promuevan a los creadores, artesanos y portadores de saberes con apoyos")</f>
        <v>Concursos realizados que promuevan a los creadores, artesanos y portadores de saberes con apoyos</v>
      </c>
      <c r="H472" s="30" t="str">
        <f ca="1">IFERROR(__xludf.DUMMYFUNCTION("""COMPUTED_VALUE"""),"SUBSECRETARÍA DE DESARROLLO COMUNITARIO Y PROMOCIÓN PATRIMONIAL")</f>
        <v>SUBSECRETARÍA DE DESARROLLO COMUNITARIO Y PROMOCIÓN PATRIMONIAL</v>
      </c>
      <c r="I472" s="34" t="str">
        <f ca="1">IFERROR(__xludf.DUMMYFUNCTION("""COMPUTED_VALUE"""),"DIRECCIÓN GENERAL DE FORMACIÓN E INVESTIGACIÓN")</f>
        <v>DIRECCIÓN GENERAL DE FORMACIÓN E INVESTIGACIÓN</v>
      </c>
      <c r="J472" s="30" t="str">
        <f ca="1">IFERROR(__xludf.DUMMYFUNCTION("""COMPUTED_VALUE"""),"Concursos realizados")</f>
        <v>Concursos realizados</v>
      </c>
      <c r="K472" s="30">
        <f ca="1">IFERROR(__xludf.DUMMYFUNCTION("""COMPUTED_VALUE"""),12)</f>
        <v>12</v>
      </c>
      <c r="L472" s="30" t="str">
        <f ca="1">IFERROR(__xludf.DUMMYFUNCTION("""COMPUTED_VALUE"""),"Artística")</f>
        <v>Artística</v>
      </c>
      <c r="M472" s="30" t="str">
        <f ca="1">IFERROR(__xludf.DUMMYFUNCTION("""COMPUTED_VALUE"""),"XXIX Concurso-Muestra-Venta Dulces Regionales 2026")</f>
        <v>XXIX Concurso-Muestra-Venta Dulces Regionales 2026</v>
      </c>
      <c r="N472" s="30" t="str">
        <f ca="1">IFERROR(__xludf.DUMMYFUNCTION("""COMPUTED_VALUE"""),"Muestra y venta de dulces tradicionales de la región")</f>
        <v>Muestra y venta de dulces tradicionales de la región</v>
      </c>
      <c r="O472" s="30" t="str">
        <f ca="1">IFERROR(__xludf.DUMMYFUNCTION("""COMPUTED_VALUE"""),"Única")</f>
        <v>Única</v>
      </c>
      <c r="P472" s="33">
        <f ca="1">IFERROR(__xludf.DUMMYFUNCTION("""COMPUTED_VALUE"""),46256)</f>
        <v>46256</v>
      </c>
      <c r="Q472" s="33">
        <f ca="1">IFERROR(__xludf.DUMMYFUNCTION("""COMPUTED_VALUE"""),46256)</f>
        <v>46256</v>
      </c>
      <c r="R472" s="30">
        <f ca="1">IFERROR(__xludf.DUMMYFUNCTION("""COMPUTED_VALUE"""),0)</f>
        <v>0</v>
      </c>
      <c r="S472" s="30" t="str">
        <f ca="1">IFERROR(__xludf.DUMMYFUNCTION("""COMPUTED_VALUE"""),"Artesanías y arte popular")</f>
        <v>Artesanías y arte popular</v>
      </c>
      <c r="T472" s="30" t="str">
        <f ca="1">IFERROR(__xludf.DUMMYFUNCTION("""COMPUTED_VALUE"""),"Arte popular")</f>
        <v>Arte popular</v>
      </c>
      <c r="U472" s="30" t="str">
        <f ca="1">IFERROR(__xludf.DUMMYFUNCTION("""COMPUTED_VALUE"""),"Convocatoria pública")</f>
        <v>Convocatoria pública</v>
      </c>
      <c r="V472" s="30" t="str">
        <f ca="1">IFERROR(__xludf.DUMMYFUNCTION("""COMPUTED_VALUE"""),"Entrega de estímulos")</f>
        <v>Entrega de estímulos</v>
      </c>
      <c r="W472" s="30" t="str">
        <f ca="1">IFERROR(__xludf.DUMMYFUNCTION("""COMPUTED_VALUE"""),"Presencial")</f>
        <v>Presencial</v>
      </c>
      <c r="X472" s="30" t="str">
        <f ca="1">IFERROR(__xludf.DUMMYFUNCTION("""COMPUTED_VALUE"""),"Espacio Público")</f>
        <v>Espacio Público</v>
      </c>
      <c r="Y472" s="30"/>
      <c r="Z472" s="30" t="str">
        <f ca="1">IFERROR(__xludf.DUMMYFUNCTION("""COMPUTED_VALUE"""),"Explanada Matamoros en el municipio de San Luis de la Paz, Guanajuato")</f>
        <v>Explanada Matamoros en el municipio de San Luis de la Paz, Guanajuato</v>
      </c>
      <c r="AA472" s="30"/>
      <c r="AB472" s="30" t="b">
        <f ca="1">IFERROR(__xludf.DUMMYFUNCTION("""COMPUTED_VALUE"""),FALSE)</f>
        <v>0</v>
      </c>
      <c r="AC472" s="30"/>
      <c r="AD472" s="30" t="b">
        <f ca="1">IFERROR(__xludf.DUMMYFUNCTION("""COMPUTED_VALUE"""),FALSE)</f>
        <v>0</v>
      </c>
      <c r="AE472" s="30"/>
      <c r="AF472" s="30" t="b">
        <f ca="1">IFERROR(__xludf.DUMMYFUNCTION("""COMPUTED_VALUE"""),FALSE)</f>
        <v>0</v>
      </c>
      <c r="AG472" s="30"/>
      <c r="AH472" s="30" t="str">
        <f ca="1">IFERROR(__xludf.DUMMYFUNCTION("""COMPUTED_VALUE"""),"Sin costo")</f>
        <v>Sin costo</v>
      </c>
      <c r="AI472" s="30"/>
      <c r="AJ472" s="30"/>
      <c r="AK472" s="30"/>
      <c r="AL472" s="30" t="str">
        <f ca="1">IFERROR(__xludf.DUMMYFUNCTION("""COMPUTED_VALUE"""),"claudia.ramirezm@guanajuato.gob.mx")</f>
        <v>claudia.ramirezm@guanajuato.gob.mx</v>
      </c>
      <c r="AM472" s="30" t="str">
        <f ca="1">IFERROR(__xludf.DUMMYFUNCTION("""COMPUTED_VALUE"""),"Apoyos para artistas populares.")</f>
        <v>Apoyos para artistas populares.</v>
      </c>
      <c r="AN472" s="30" t="str">
        <f ca="1">IFERROR(__xludf.DUMMYFUNCTION("""COMPUTED_VALUE"""),"2 Igualdad")</f>
        <v>2 Igualdad</v>
      </c>
      <c r="AO472" s="30" t="str">
        <f ca="1">IFERROR(__xludf.DUMMYFUNCTION("""COMPUTED_VALUE"""),"2.4 Reducir brechas de desigualdad")</f>
        <v>2.4 Reducir brechas de desigualdad</v>
      </c>
      <c r="AP472" s="30" t="str">
        <f ca="1">IFERROR(__xludf.DUMMYFUNCTION("""COMPUTED_VALUE"""),"2.4.3 Descentralización de la oferta cultural")</f>
        <v>2.4.3 Descentralización de la oferta cultural</v>
      </c>
      <c r="AQ472" s="30" t="str">
        <f ca="1">IFERROR(__xludf.DUMMYFUNCTION("""COMPUTED_VALUE"""),"2.4.3.3 Incidir en el involucramiento de las personas con el ecosistema cultural")</f>
        <v>2.4.3.3 Incidir en el involucramiento de las personas con el ecosistema cultural</v>
      </c>
      <c r="AR472" s="30" t="str">
        <f ca="1">IFERROR(__xludf.DUMMYFUNCTION("""COMPUTED_VALUE"""),"Ninguno")</f>
        <v>Ninguno</v>
      </c>
      <c r="AS472" s="30"/>
      <c r="AT472" s="30" t="str">
        <f ca="1">IFERROR(__xludf.DUMMYFUNCTION("""COMPUTED_VALUE"""),"Fortalecimiento de la participación ciudadana y la mediación cultural")</f>
        <v>Fortalecimiento de la participación ciudadana y la mediación cultural</v>
      </c>
      <c r="AU472" s="30" t="str">
        <f ca="1">IFERROR(__xludf.DUMMYFUNCTION("""COMPUTED_VALUE"""),"Impulso a la ampliación de la oferta cultural en los territorios.")</f>
        <v>Impulso a la ampliación de la oferta cultural en los territorios.</v>
      </c>
      <c r="AV47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72" s="30" t="str">
        <f ca="1">IFERROR(__xludf.DUMMYFUNCTION("""COMPUTED_VALUE"""),"Incrementar en 25% la oferta cultural realizada en los municipios.")</f>
        <v>Incrementar en 25% la oferta cultural realizada en los municipios.</v>
      </c>
      <c r="AX472" s="30" t="str">
        <f ca="1">IFERROR(__xludf.DUMMYFUNCTION("""COMPUTED_VALUE"""),"Convocatoria pública")</f>
        <v>Convocatoria pública</v>
      </c>
      <c r="AY472" s="30" t="str">
        <f ca="1">IFERROR(__xludf.DUMMYFUNCTION("""COMPUTED_VALUE"""),"Circulación / Exhibición")</f>
        <v>Circulación / Exhibición</v>
      </c>
      <c r="AZ472" s="30"/>
      <c r="BA472" s="30"/>
      <c r="BB472" s="30"/>
      <c r="BC472" s="30">
        <f ca="1">IFERROR(__xludf.DUMMYFUNCTION("""COMPUTED_VALUE"""),0)</f>
        <v>0</v>
      </c>
      <c r="BD472" s="30"/>
      <c r="BE472" s="30"/>
      <c r="BF472" s="30" t="b">
        <f ca="1">IFERROR(__xludf.DUMMYFUNCTION("""COMPUTED_VALUE"""),TRUE)</f>
        <v>1</v>
      </c>
      <c r="BG472" s="30" t="str">
        <f ca="1">IFERROR(__xludf.DUMMYFUNCTION("""COMPUTED_VALUE"""),"Económico")</f>
        <v>Económico</v>
      </c>
      <c r="BH472" s="30">
        <f ca="1">IFERROR(__xludf.DUMMYFUNCTION("""COMPUTED_VALUE"""),15000)</f>
        <v>15000</v>
      </c>
      <c r="BI472" s="30"/>
      <c r="BJ472" s="30"/>
      <c r="BK472" s="30"/>
      <c r="BL472" s="30" t="str">
        <f ca="1">IFERROR(__xludf.DUMMYFUNCTION("""COMPUTED_VALUE"""),"Acuerdo especial de colaboración con el Municipio de San Luis de la Paz")</f>
        <v>Acuerdo especial de colaboración con el Municipio de San Luis de la Paz</v>
      </c>
      <c r="BM472" s="30" t="str">
        <f ca="1">IFERROR(__xludf.DUMMYFUNCTION("""COMPUTED_VALUE"""),"Sí")</f>
        <v>Sí</v>
      </c>
      <c r="BN472" s="30" t="str">
        <f ca="1">IFERROR(__xludf.DUMMYFUNCTION("""COMPUTED_VALUE"""),"Gestión de recursos económicos")</f>
        <v>Gestión de recursos económicos</v>
      </c>
      <c r="BO472" s="30" t="str">
        <f ca="1">IFERROR(__xludf.DUMMYFUNCTION("""COMPUTED_VALUE"""),"c8ec9d9b")</f>
        <v>c8ec9d9b</v>
      </c>
      <c r="BP472" s="29" t="str">
        <f ca="1">IFERROR(__xludf.DUMMYFUNCTION("""COMPUTED_VALUE"""),"Salamanca")</f>
        <v>Salamanca</v>
      </c>
      <c r="BQ472" s="30" t="str">
        <f ca="1">IFERROR(__xludf.DUMMYFUNCTION("""COMPUTED_VALUE"""),"Urbano")</f>
        <v>Urbano</v>
      </c>
      <c r="BR472" s="30">
        <f ca="1">IFERROR(__xludf.DUMMYFUNCTION("""COMPUTED_VALUE"""),181)</f>
        <v>181</v>
      </c>
      <c r="BS472" s="30" t="str">
        <f ca="1">IFERROR(__xludf.DUMMYFUNCTION("""COMPUTED_VALUE"""),"Salamanca")</f>
        <v>Salamanca</v>
      </c>
      <c r="BT472" s="30"/>
      <c r="BU472" s="30" t="str">
        <f ca="1">IFERROR(__xludf.DUMMYFUNCTION("""COMPUTED_VALUE"""),"Si")</f>
        <v>Si</v>
      </c>
      <c r="BV472" s="30" t="str">
        <f ca="1">IFERROR(__xludf.DUMMYFUNCTION("""COMPUTED_VALUE"""),"Si")</f>
        <v>Si</v>
      </c>
      <c r="BW472" s="30">
        <f ca="1">IFERROR(__xludf.DUMMYFUNCTION("""COMPUTED_VALUE"""),12)</f>
        <v>12</v>
      </c>
      <c r="BX472" s="30">
        <f ca="1">IFERROR(__xludf.DUMMYFUNCTION("""COMPUTED_VALUE"""),1)</f>
        <v>1</v>
      </c>
      <c r="BY472" s="30">
        <f ca="1">IFERROR(__xludf.DUMMYFUNCTION("""COMPUTED_VALUE"""),11)</f>
        <v>11</v>
      </c>
      <c r="BZ472" s="30" t="str">
        <f ca="1">IFERROR(__xludf.DUMMYFUNCTION("""COMPUTED_VALUE"""),"Salamanca")</f>
        <v>Salamanca</v>
      </c>
      <c r="CA472" s="30" t="str">
        <f ca="1">IFERROR(__xludf.DUMMYFUNCTION("""COMPUTED_VALUE"""),"No")</f>
        <v>No</v>
      </c>
      <c r="CB472" s="30" t="str">
        <f ca="1">IFERROR(__xludf.DUMMYFUNCTION("""COMPUTED_VALUE"""),"No")</f>
        <v>No</v>
      </c>
      <c r="CC472" s="30" t="str">
        <f ca="1">IFERROR(__xludf.DUMMYFUNCTION("""COMPUTED_VALUE"""),"6ca174e7")</f>
        <v>6ca174e7</v>
      </c>
      <c r="CD472" s="29" t="str">
        <f ca="1">IFERROR(__xludf.DUMMYFUNCTION("""COMPUTED_VALUE"""),"Niñas y Niños (6 a 12 años)")</f>
        <v>Niñas y Niños (6 a 12 años)</v>
      </c>
      <c r="CE472" s="30" t="str">
        <f ca="1">IFERROR(__xludf.DUMMYFUNCTION("""COMPUTED_VALUE"""),"No se cuenta con el dato")</f>
        <v>No se cuenta con el dato</v>
      </c>
      <c r="CF472" s="30" t="str">
        <f ca="1">IFERROR(__xludf.DUMMYFUNCTION("""COMPUTED_VALUE"""),"Ninguno (Población General)")</f>
        <v>Ninguno (Población General)</v>
      </c>
      <c r="CG472" s="30">
        <f ca="1">IFERROR(__xludf.DUMMYFUNCTION("""COMPUTED_VALUE"""),5)</f>
        <v>5</v>
      </c>
      <c r="CJ472" s="29"/>
      <c r="CM472" s="30" t="str">
        <f ca="1">IFERROR(__xludf.DUMMYFUNCTION("""COMPUTED_VALUE"""),"Silao de la Victoria")</f>
        <v>Silao de la Victoria</v>
      </c>
      <c r="CN472" s="32" t="e">
        <f ca="1"/>
        <v>#NAME?</v>
      </c>
      <c r="CO472" s="32" t="e">
        <f ca="1"/>
        <v>#NAME?</v>
      </c>
      <c r="CP472" s="32" t="e">
        <f ca="1"/>
        <v>#NAME?</v>
      </c>
      <c r="CQ472" s="32" t="e">
        <f ca="1"/>
        <v>#NAME?</v>
      </c>
      <c r="CR472" s="30" t="e">
        <f ca="1"/>
        <v>#NAME?</v>
      </c>
      <c r="CS472" s="30" t="str">
        <f ca="1">IFERROR(__xludf.DUMMYFUNCTION("""COMPUTED_VALUE"""),"Ninguno (Población General)")</f>
        <v>Ninguno (Población General)</v>
      </c>
    </row>
    <row r="473" spans="1:97" ht="13">
      <c r="A473" s="29" t="str">
        <f ca="1">IFERROR(__xludf.DUMMYFUNCTION("""COMPUTED_VALUE"""),"ACT-SCOG94069")</f>
        <v>ACT-SCOG94069</v>
      </c>
      <c r="B473" s="30" t="str">
        <f ca="1">IFERROR(__xludf.DUMMYFUNCTION("""COMPUTED_VALUE"""),"SC-261001-011225")</f>
        <v>SC-261001-011225</v>
      </c>
      <c r="C473" s="62">
        <f ca="1">IFERROR(__xludf.DUMMYFUNCTION("""COMPUTED_VALUE"""),46296.0502893518)</f>
        <v>46296.050289351799</v>
      </c>
      <c r="D473" s="30">
        <f ca="1">IFERROR(__xludf.DUMMYFUNCTION("""COMPUTED_VALUE"""),24)</f>
        <v>24</v>
      </c>
      <c r="E473" s="30" t="str">
        <f ca="1">IFERROR(__xludf.DUMMYFUNCTION("""COMPUTED_VALUE"""),"QC4047")</f>
        <v>QC4047</v>
      </c>
      <c r="F473" s="30" t="str">
        <f ca="1">IFERROR(__xludf.DUMMYFUNCTION("""COMPUTED_VALUE"""),"Vientos Musicales para la Gente")</f>
        <v>Vientos Musicales para la Gente</v>
      </c>
      <c r="G473" s="30" t="str">
        <f ca="1">IFERROR(__xludf.DUMMYFUNCTION("""COMPUTED_VALUE"""),"Capacitación a alumnado en el método multinivel en Bandas Sinfónicas, Orquestas Sinfónicas y Camerata")</f>
        <v>Capacitación a alumnado en el método multinivel en Bandas Sinfónicas, Orquestas Sinfónicas y Camerata</v>
      </c>
      <c r="H473" s="30" t="str">
        <f ca="1">IFERROR(__xludf.DUMMYFUNCTION("""COMPUTED_VALUE"""),"SUBSECRETARÍA DE DESARROLLO COMUNITARIO Y PROMOCIÓN PATRIMONIAL")</f>
        <v>SUBSECRETARÍA DE DESARROLLO COMUNITARIO Y PROMOCIÓN PATRIMONIAL</v>
      </c>
      <c r="I473" s="34" t="str">
        <f ca="1">IFERROR(__xludf.DUMMYFUNCTION("""COMPUTED_VALUE"""),"DIRECCIÓN GENERAL DE FORMACIÓN E INVESTIGACIÓN")</f>
        <v>DIRECCIÓN GENERAL DE FORMACIÓN E INVESTIGACIÓN</v>
      </c>
      <c r="J473" s="30" t="str">
        <f ca="1">IFERROR(__xludf.DUMMYFUNCTION("""COMPUTED_VALUE"""),"Personas capacitadas")</f>
        <v>Personas capacitadas</v>
      </c>
      <c r="K473" s="30">
        <f ca="1">IFERROR(__xludf.DUMMYFUNCTION("""COMPUTED_VALUE"""),1240)</f>
        <v>1240</v>
      </c>
      <c r="L473" s="30" t="str">
        <f ca="1">IFERROR(__xludf.DUMMYFUNCTION("""COMPUTED_VALUE"""),"Cultural")</f>
        <v>Cultural</v>
      </c>
      <c r="M473" s="30" t="str">
        <f ca="1">IFERROR(__xludf.DUMMYFUNCTION("""COMPUTED_VALUE"""),"Formación musical a NNAJ de Bandas, Orquestas y Camerata del Programa Vientos Musicales para la Gente")</f>
        <v>Formación musical a NNAJ de Bandas, Orquestas y Camerata del Programa Vientos Musicales para la Gente</v>
      </c>
      <c r="N473" s="30" t="str">
        <f ca="1">IFERROR(__xludf.DUMMYFUNCTION("""COMPUTED_VALUE"""),"Capacitación a alumnado en el método multinivel de Bandas Sinfónicas, Orquestas Sinfónicas y Camerata")</f>
        <v>Capacitación a alumnado en el método multinivel de Bandas Sinfónicas, Orquestas Sinfónicas y Camerata</v>
      </c>
      <c r="O473" s="30" t="str">
        <f ca="1">IFERROR(__xludf.DUMMYFUNCTION("""COMPUTED_VALUE"""),"Otras")</f>
        <v>Otras</v>
      </c>
      <c r="P473" s="33">
        <f ca="1">IFERROR(__xludf.DUMMYFUNCTION("""COMPUTED_VALUE"""),46101)</f>
        <v>46101</v>
      </c>
      <c r="Q473" s="33">
        <f ca="1">IFERROR(__xludf.DUMMYFUNCTION("""COMPUTED_VALUE"""),46203)</f>
        <v>46203</v>
      </c>
      <c r="R473" s="30">
        <f ca="1">IFERROR(__xludf.DUMMYFUNCTION("""COMPUTED_VALUE"""),1020)</f>
        <v>1020</v>
      </c>
      <c r="S473" s="30" t="str">
        <f ca="1">IFERROR(__xludf.DUMMYFUNCTION("""COMPUTED_VALUE"""),"Música")</f>
        <v>Música</v>
      </c>
      <c r="T473" s="30" t="str">
        <f ca="1">IFERROR(__xludf.DUMMYFUNCTION("""COMPUTED_VALUE"""),"Formación musical, instrumental o coral")</f>
        <v>Formación musical, instrumental o coral</v>
      </c>
      <c r="U473" s="30" t="str">
        <f ca="1">IFERROR(__xludf.DUMMYFUNCTION("""COMPUTED_VALUE"""),"Capacitación")</f>
        <v>Capacitación</v>
      </c>
      <c r="V473" s="30" t="str">
        <f ca="1">IFERROR(__xludf.DUMMYFUNCTION("""COMPUTED_VALUE"""),"Ninguna")</f>
        <v>Ninguna</v>
      </c>
      <c r="W473" s="30" t="str">
        <f ca="1">IFERROR(__xludf.DUMMYFUNCTION("""COMPUTED_VALUE"""),"Presencial")</f>
        <v>Presencial</v>
      </c>
      <c r="X473" s="30" t="str">
        <f ca="1">IFERROR(__xludf.DUMMYFUNCTION("""COMPUTED_VALUE"""),"Otros Espacios Culturales")</f>
        <v>Otros Espacios Culturales</v>
      </c>
      <c r="Y473" s="30" t="str">
        <f ca="1">IFERROR(__xludf.DUMMYFUNCTION("""COMPUTED_VALUE"""),"Casa de cultura")</f>
        <v>Casa de cultura</v>
      </c>
      <c r="Z473" s="30"/>
      <c r="AA473" s="30"/>
      <c r="AB473" s="30" t="b">
        <f ca="1">IFERROR(__xludf.DUMMYFUNCTION("""COMPUTED_VALUE"""),FALSE)</f>
        <v>0</v>
      </c>
      <c r="AC473" s="30"/>
      <c r="AD473" s="30" t="b">
        <f ca="1">IFERROR(__xludf.DUMMYFUNCTION("""COMPUTED_VALUE"""),TRUE)</f>
        <v>1</v>
      </c>
      <c r="AE473" s="30">
        <f ca="1">IFERROR(__xludf.DUMMYFUNCTION("""COMPUTED_VALUE"""),37)</f>
        <v>37</v>
      </c>
      <c r="AF473" s="30" t="b">
        <f ca="1">IFERROR(__xludf.DUMMYFUNCTION("""COMPUTED_VALUE"""),FALSE)</f>
        <v>0</v>
      </c>
      <c r="AG473" s="30"/>
      <c r="AH473" s="30" t="str">
        <f ca="1">IFERROR(__xludf.DUMMYFUNCTION("""COMPUTED_VALUE"""),"Sin costo")</f>
        <v>Sin costo</v>
      </c>
      <c r="AI473" s="30"/>
      <c r="AJ473" s="30"/>
      <c r="AK473" s="30"/>
      <c r="AL473" s="30" t="str">
        <f ca="1">IFERROR(__xludf.DUMMYFUNCTION("""COMPUTED_VALUE"""),"adriana.escamilla.vm@gmail.com")</f>
        <v>adriana.escamilla.vm@gmail.com</v>
      </c>
      <c r="AM473" s="30" t="str">
        <f ca="1">IFERROR(__xludf.DUMMYFUNCTION("""COMPUTED_VALUE"""),"Educación: Arte, cultura, activación física y deporte de calidad en todas las escuelas.")</f>
        <v>Educación: Arte, cultura, activación física y deporte de calidad en todas las escuelas.</v>
      </c>
      <c r="AN473" s="30" t="str">
        <f ca="1">IFERROR(__xludf.DUMMYFUNCTION("""COMPUTED_VALUE"""),"4 Vocación")</f>
        <v>4 Vocación</v>
      </c>
      <c r="AO473" s="30" t="str">
        <f ca="1">IFERROR(__xludf.DUMMYFUNCTION("""COMPUTED_VALUE"""),"4.4 Reforzar competencias lectoras y lógico matemáticas")</f>
        <v>4.4 Reforzar competencias lectoras y lógico matemáticas</v>
      </c>
      <c r="AP473" s="30" t="str">
        <f ca="1">IFERROR(__xludf.DUMMYFUNCTION("""COMPUTED_VALUE"""),"4.4.1 Competencias y habilidades")</f>
        <v>4.4.1 Competencias y habilidades</v>
      </c>
      <c r="AQ473" s="30" t="str">
        <f ca="1">IFERROR(__xludf.DUMMYFUNCTION("""COMPUTED_VALUE"""),"4.4.1 Competencias y habilidades")</f>
        <v>4.4.1 Competencias y habilidades</v>
      </c>
      <c r="AR473" s="30" t="str">
        <f ca="1">IFERROR(__xludf.DUMMYFUNCTION("""COMPUTED_VALUE"""),"Inclusión")</f>
        <v>Inclusión</v>
      </c>
      <c r="AS473" s="30" t="str">
        <f ca="1">IFERROR(__xludf.DUMMYFUNCTION("""COMPUTED_VALUE"""),"NNA (Niñas, Niños y Adolescentes)")</f>
        <v>NNA (Niñas, Niños y Adolescentes)</v>
      </c>
      <c r="AT473" s="30" t="str">
        <f ca="1">IFERROR(__xludf.DUMMYFUNCTION("""COMPUTED_VALUE"""),"Impulso a la educación artística y a la profesionalización del sector cultural")</f>
        <v>Impulso a la educación artística y a la profesionalización del sector cultural</v>
      </c>
      <c r="AU473" s="30" t="str">
        <f ca="1">IFERROR(__xludf.DUMMYFUNCTION("""COMPUTED_VALUE"""),"Impulso a programas de formación y profesionalización para agentes culturales.")</f>
        <v>Impulso a programas de formación y profesionalización para agentes culturales.</v>
      </c>
      <c r="AV473"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73" s="30" t="str">
        <f ca="1">IFERROR(__xludf.DUMMYFUNCTION("""COMPUTED_VALUE"""),"Incrementar un 30% la oferta de formación y profesionalización para agentes culturales.")</f>
        <v>Incrementar un 30% la oferta de formación y profesionalización para agentes culturales.</v>
      </c>
      <c r="AX473" s="30" t="str">
        <f ca="1">IFERROR(__xludf.DUMMYFUNCTION("""COMPUTED_VALUE"""),"Capacitación")</f>
        <v>Capacitación</v>
      </c>
      <c r="AY473" s="30" t="str">
        <f ca="1">IFERROR(__xludf.DUMMYFUNCTION("""COMPUTED_VALUE"""),"Formación")</f>
        <v>Formación</v>
      </c>
      <c r="AZ473" s="30" t="str">
        <f ca="1">IFERROR(__xludf.DUMMYFUNCTION("""COMPUTED_VALUE"""),"Formación")</f>
        <v>Formación</v>
      </c>
      <c r="BA473" s="30" t="str">
        <f ca="1">IFERROR(__xludf.DUMMYFUNCTION("""COMPUTED_VALUE"""),"Capacitación a alumnado en el método multinivel de Bandas Sinfónicas, Orquestas Sinfónicas y Camerata")</f>
        <v>Capacitación a alumnado en el método multinivel de Bandas Sinfónicas, Orquestas Sinfónicas y Camerata</v>
      </c>
      <c r="BB473" s="30"/>
      <c r="BC473" s="30">
        <f ca="1">IFERROR(__xludf.DUMMYFUNCTION("""COMPUTED_VALUE"""),0)</f>
        <v>0</v>
      </c>
      <c r="BD473" s="30"/>
      <c r="BE473" s="30"/>
      <c r="BF473" s="30" t="b">
        <f ca="1">IFERROR(__xludf.DUMMYFUNCTION("""COMPUTED_VALUE"""),TRUE)</f>
        <v>1</v>
      </c>
      <c r="BG473" s="30" t="str">
        <f ca="1">IFERROR(__xludf.DUMMYFUNCTION("""COMPUTED_VALUE"""),"Capacitación técnica")</f>
        <v>Capacitación técnica</v>
      </c>
      <c r="BH473" s="30"/>
      <c r="BI473" s="30"/>
      <c r="BJ473" s="30"/>
      <c r="BK473" s="30"/>
      <c r="BL473" s="30" t="str">
        <f ca="1">IFERROR(__xludf.DUMMYFUNCTION("""COMPUTED_VALUE"""),"Convenio de colaboración con las Instancias Culturales Municipales para el préstamo de espacios y el resguardo de instrumentos musicales del Programa")</f>
        <v>Convenio de colaboración con las Instancias Culturales Municipales para el préstamo de espacios y el resguardo de instrumentos musicales del Programa</v>
      </c>
      <c r="BM473" s="30" t="str">
        <f ca="1">IFERROR(__xludf.DUMMYFUNCTION("""COMPUTED_VALUE"""),"Sí")</f>
        <v>Sí</v>
      </c>
      <c r="BN473" s="30" t="str">
        <f ca="1">IFERROR(__xludf.DUMMYFUNCTION("""COMPUTED_VALUE"""),"Gestión de recursos materiales")</f>
        <v>Gestión de recursos materiales</v>
      </c>
      <c r="BO473" s="30" t="str">
        <f ca="1">IFERROR(__xludf.DUMMYFUNCTION("""COMPUTED_VALUE"""),"846f01d3")</f>
        <v>846f01d3</v>
      </c>
      <c r="BP473" s="29" t="str">
        <f ca="1">IFERROR(__xludf.DUMMYFUNCTION("""COMPUTED_VALUE"""),"Salamanca")</f>
        <v>Salamanca</v>
      </c>
      <c r="BQ473" s="30" t="str">
        <f ca="1">IFERROR(__xludf.DUMMYFUNCTION("""COMPUTED_VALUE"""),"Urbano")</f>
        <v>Urbano</v>
      </c>
      <c r="BR473" s="30">
        <f ca="1">IFERROR(__xludf.DUMMYFUNCTION("""COMPUTED_VALUE"""),181)</f>
        <v>181</v>
      </c>
      <c r="BS473" s="30" t="str">
        <f ca="1">IFERROR(__xludf.DUMMYFUNCTION("""COMPUTED_VALUE"""),"Salamanca")</f>
        <v>Salamanca</v>
      </c>
      <c r="BT473" s="30"/>
      <c r="BU473" s="30" t="str">
        <f ca="1">IFERROR(__xludf.DUMMYFUNCTION("""COMPUTED_VALUE"""),"Si")</f>
        <v>Si</v>
      </c>
      <c r="BV473" s="30" t="str">
        <f ca="1">IFERROR(__xludf.DUMMYFUNCTION("""COMPUTED_VALUE"""),"Si")</f>
        <v>Si</v>
      </c>
      <c r="BW473" s="30">
        <f ca="1">IFERROR(__xludf.DUMMYFUNCTION("""COMPUTED_VALUE"""),19)</f>
        <v>19</v>
      </c>
      <c r="BX473" s="30">
        <f ca="1">IFERROR(__xludf.DUMMYFUNCTION("""COMPUTED_VALUE"""),1)</f>
        <v>1</v>
      </c>
      <c r="BY473" s="30">
        <f ca="1">IFERROR(__xludf.DUMMYFUNCTION("""COMPUTED_VALUE"""),18)</f>
        <v>18</v>
      </c>
      <c r="BZ473" s="30" t="str">
        <f ca="1">IFERROR(__xludf.DUMMYFUNCTION("""COMPUTED_VALUE"""),"Salamanca")</f>
        <v>Salamanca</v>
      </c>
      <c r="CA473" s="30" t="str">
        <f ca="1">IFERROR(__xludf.DUMMYFUNCTION("""COMPUTED_VALUE"""),"No")</f>
        <v>No</v>
      </c>
      <c r="CB473" s="30" t="str">
        <f ca="1">IFERROR(__xludf.DUMMYFUNCTION("""COMPUTED_VALUE"""),"No")</f>
        <v>No</v>
      </c>
      <c r="CC473" s="30" t="str">
        <f ca="1">IFERROR(__xludf.DUMMYFUNCTION("""COMPUTED_VALUE"""),"623d7ef2")</f>
        <v>623d7ef2</v>
      </c>
      <c r="CD473" s="29" t="str">
        <f ca="1">IFERROR(__xludf.DUMMYFUNCTION("""COMPUTED_VALUE"""),"Adultos (30 a 59 años)")</f>
        <v>Adultos (30 a 59 años)</v>
      </c>
      <c r="CE473" s="30" t="str">
        <f ca="1">IFERROR(__xludf.DUMMYFUNCTION("""COMPUTED_VALUE"""),"No se cuenta con el dato")</f>
        <v>No se cuenta con el dato</v>
      </c>
      <c r="CF473" s="30" t="str">
        <f ca="1">IFERROR(__xludf.DUMMYFUNCTION("""COMPUTED_VALUE"""),"Ninguno (Población General)")</f>
        <v>Ninguno (Población General)</v>
      </c>
      <c r="CG473" s="30">
        <f ca="1">IFERROR(__xludf.DUMMYFUNCTION("""COMPUTED_VALUE"""),2)</f>
        <v>2</v>
      </c>
      <c r="CJ473" s="29"/>
      <c r="CM473" s="30" t="str">
        <f ca="1">IFERROR(__xludf.DUMMYFUNCTION("""COMPUTED_VALUE"""),"Silao de la Victoria")</f>
        <v>Silao de la Victoria</v>
      </c>
      <c r="CN473" s="32" t="e">
        <f ca="1"/>
        <v>#NAME?</v>
      </c>
      <c r="CO473" s="32" t="e">
        <f ca="1"/>
        <v>#NAME?</v>
      </c>
      <c r="CP473" s="32" t="e">
        <f ca="1"/>
        <v>#NAME?</v>
      </c>
      <c r="CQ473" s="32" t="e">
        <f ca="1"/>
        <v>#NAME?</v>
      </c>
      <c r="CR473" s="30" t="e">
        <f ca="1"/>
        <v>#NAME?</v>
      </c>
      <c r="CS473" s="30" t="str">
        <f ca="1">IFERROR(__xludf.DUMMYFUNCTION("""COMPUTED_VALUE"""),"Ninguno (Población General), Ninguno (Población General)")</f>
        <v>Ninguno (Población General), Ninguno (Población General)</v>
      </c>
    </row>
    <row r="474" spans="1:97" ht="13">
      <c r="A474" s="29" t="str">
        <f ca="1">IFERROR(__xludf.DUMMYFUNCTION("""COMPUTED_VALUE"""),"ACT-SCJS30123")</f>
        <v>ACT-SCJS30123</v>
      </c>
      <c r="B474" s="30" t="str">
        <f ca="1">IFERROR(__xludf.DUMMYFUNCTION("""COMPUTED_VALUE"""),"SC-261002-122050")</f>
        <v>SC-261002-122050</v>
      </c>
      <c r="C474" s="62">
        <f ca="1">IFERROR(__xludf.DUMMYFUNCTION("""COMPUTED_VALUE"""),46297.5144675925)</f>
        <v>46297.514467592497</v>
      </c>
      <c r="D474" s="30">
        <f ca="1">IFERROR(__xludf.DUMMYFUNCTION("""COMPUTED_VALUE"""),94)</f>
        <v>94</v>
      </c>
      <c r="E474" s="30" t="str">
        <f ca="1">IFERROR(__xludf.DUMMYFUNCTION("""COMPUTED_VALUE"""),"PB3572")</f>
        <v>PB3572</v>
      </c>
      <c r="F47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74" s="30" t="str">
        <f ca="1">IFERROR(__xludf.DUMMYFUNCTION("""COMPUTED_VALUE"""),"Creación de actividades para poblaciones especificas como mujeres, niños y niñas, adultos mayores y discapacidad en los Museos adscritos a la Secretaria de Cultura")</f>
        <v>Creación de actividades para poblaciones especificas como mujeres, niños y niñas, adultos mayores y discapacidad en los Museos adscritos a la Secretaria de Cultura</v>
      </c>
      <c r="H474" s="30" t="str">
        <f ca="1">IFERROR(__xludf.DUMMYFUNCTION("""COMPUTED_VALUE"""),"SUBSECRETARÍA DE DESARROLLO Y PROMOCIÓN ARTÍSTICA Y CULTURAL")</f>
        <v>SUBSECRETARÍA DE DESARROLLO Y PROMOCIÓN ARTÍSTICA Y CULTURAL</v>
      </c>
      <c r="I474" s="34" t="str">
        <f ca="1">IFERROR(__xludf.DUMMYFUNCTION("""COMPUTED_VALUE"""),"DIRECCIÓN GENERAL DE MUSEOS, ARTES VISUALES Y EXPOSICIONES")</f>
        <v>DIRECCIÓN GENERAL DE MUSEOS, ARTES VISUALES Y EXPOSICIONES</v>
      </c>
      <c r="J474" s="30" t="str">
        <f ca="1">IFERROR(__xludf.DUMMYFUNCTION("""COMPUTED_VALUE"""),"Número de Actividades realizadas")</f>
        <v>Número de Actividades realizadas</v>
      </c>
      <c r="K474" s="30">
        <f ca="1">IFERROR(__xludf.DUMMYFUNCTION("""COMPUTED_VALUE"""),12)</f>
        <v>12</v>
      </c>
      <c r="L474" s="30" t="str">
        <f ca="1">IFERROR(__xludf.DUMMYFUNCTION("""COMPUTED_VALUE"""),"Artística")</f>
        <v>Artística</v>
      </c>
      <c r="M474" s="30" t="str">
        <f ca="1">IFERROR(__xludf.DUMMYFUNCTION("""COMPUTED_VALUE"""),"Crearte: Taller de acuarela")</f>
        <v>Crearte: Taller de acuarela</v>
      </c>
      <c r="N474" s="30" t="str">
        <f ca="1">IFERROR(__xludf.DUMMYFUNCTION("""COMPUTED_VALUE"""),"Taller de acuarela")</f>
        <v>Taller de acuarela</v>
      </c>
      <c r="O474" s="30" t="str">
        <f ca="1">IFERROR(__xludf.DUMMYFUNCTION("""COMPUTED_VALUE"""),"Semanal")</f>
        <v>Semanal</v>
      </c>
      <c r="P474" s="33">
        <f ca="1">IFERROR(__xludf.DUMMYFUNCTION("""COMPUTED_VALUE"""),46270)</f>
        <v>46270</v>
      </c>
      <c r="Q474" s="33">
        <f ca="1">IFERROR(__xludf.DUMMYFUNCTION("""COMPUTED_VALUE"""),46291)</f>
        <v>46291</v>
      </c>
      <c r="R474" s="30">
        <f ca="1">IFERROR(__xludf.DUMMYFUNCTION("""COMPUTED_VALUE"""),4)</f>
        <v>4</v>
      </c>
      <c r="S474" s="30" t="str">
        <f ca="1">IFERROR(__xludf.DUMMYFUNCTION("""COMPUTED_VALUE"""),"Cultura comunitaria")</f>
        <v>Cultura comunitaria</v>
      </c>
      <c r="T474" s="30" t="str">
        <f ca="1">IFERROR(__xludf.DUMMYFUNCTION("""COMPUTED_VALUE"""),"Formación comunitaria")</f>
        <v>Formación comunitaria</v>
      </c>
      <c r="U474" s="30" t="str">
        <f ca="1">IFERROR(__xludf.DUMMYFUNCTION("""COMPUTED_VALUE"""),"Taller")</f>
        <v>Taller</v>
      </c>
      <c r="V474" s="30" t="str">
        <f ca="1">IFERROR(__xludf.DUMMYFUNCTION("""COMPUTED_VALUE"""),"Ninguna")</f>
        <v>Ninguna</v>
      </c>
      <c r="W474" s="30" t="str">
        <f ca="1">IFERROR(__xludf.DUMMYFUNCTION("""COMPUTED_VALUE"""),"Presencial")</f>
        <v>Presencial</v>
      </c>
      <c r="X474" s="30" t="str">
        <f ca="1">IFERROR(__xludf.DUMMYFUNCTION("""COMPUTED_VALUE"""),"Espacio a Cargo de la Secretaría")</f>
        <v>Espacio a Cargo de la Secretaría</v>
      </c>
      <c r="Y474" s="30" t="str">
        <f ca="1">IFERROR(__xludf.DUMMYFUNCTION("""COMPUTED_VALUE"""),"Museo José y Tomas Chavez Morado")</f>
        <v>Museo José y Tomas Chavez Morado</v>
      </c>
      <c r="Z474" s="30"/>
      <c r="AA474" s="30"/>
      <c r="AB474" s="30" t="b">
        <f ca="1">IFERROR(__xludf.DUMMYFUNCTION("""COMPUTED_VALUE"""),FALSE)</f>
        <v>0</v>
      </c>
      <c r="AC474" s="30"/>
      <c r="AD474" s="30" t="b">
        <f ca="1">IFERROR(__xludf.DUMMYFUNCTION("""COMPUTED_VALUE"""),FALSE)</f>
        <v>0</v>
      </c>
      <c r="AE474" s="30"/>
      <c r="AF474" s="30" t="b">
        <f ca="1">IFERROR(__xludf.DUMMYFUNCTION("""COMPUTED_VALUE"""),FALSE)</f>
        <v>0</v>
      </c>
      <c r="AG474" s="30"/>
      <c r="AH474" s="30" t="str">
        <f ca="1">IFERROR(__xludf.DUMMYFUNCTION("""COMPUTED_VALUE"""),"Sin costo")</f>
        <v>Sin costo</v>
      </c>
      <c r="AI474" s="30"/>
      <c r="AJ474" s="30"/>
      <c r="AK474" s="30"/>
      <c r="AL474" s="30" t="str">
        <f ca="1">IFERROR(__xludf.DUMMYFUNCTION("""COMPUTED_VALUE"""),"ccardonav@guanajuato.gob.mx")</f>
        <v>ccardonav@guanajuato.gob.mx</v>
      </c>
      <c r="AM474" s="30" t="str">
        <f ca="1">IFERROR(__xludf.DUMMYFUNCTION("""COMPUTED_VALUE"""),"Arraigo y empoderamiento cultural de comunidades.")</f>
        <v>Arraigo y empoderamiento cultural de comunidades.</v>
      </c>
      <c r="AN474" s="30" t="str">
        <f ca="1">IFERROR(__xludf.DUMMYFUNCTION("""COMPUTED_VALUE"""),"1 Tranquilidad")</f>
        <v>1 Tranquilidad</v>
      </c>
      <c r="AO474" s="30" t="str">
        <f ca="1">IFERROR(__xludf.DUMMYFUNCTION("""COMPUTED_VALUE"""),"1.2 Fortalecer prevención del delito")</f>
        <v>1.2 Fortalecer prevención del delito</v>
      </c>
      <c r="AP474" s="30" t="str">
        <f ca="1">IFERROR(__xludf.DUMMYFUNCTION("""COMPUTED_VALUE"""),"1.2.2 Fortalecimiento del tejido social")</f>
        <v>1.2.2 Fortalecimiento del tejido social</v>
      </c>
      <c r="AQ474" s="30" t="str">
        <f ca="1">IFERROR(__xludf.DUMMYFUNCTION("""COMPUTED_VALUE"""),"1.2.3.4 Promover una cultura de paz desde las expresiones artísticas y culturales")</f>
        <v>1.2.3.4 Promover una cultura de paz desde las expresiones artísticas y culturales</v>
      </c>
      <c r="AR474" s="30" t="str">
        <f ca="1">IFERROR(__xludf.DUMMYFUNCTION("""COMPUTED_VALUE"""),"Cooperación")</f>
        <v>Cooperación</v>
      </c>
      <c r="AS474" s="30"/>
      <c r="AT474" s="30" t="str">
        <f ca="1">IFERROR(__xludf.DUMMYFUNCTION("""COMPUTED_VALUE"""),"Sostenibilidad del trabajo cultural y la economía creativa.")</f>
        <v>Sostenibilidad del trabajo cultural y la economía creativa.</v>
      </c>
      <c r="AU474"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74" s="30" t="str">
        <f ca="1">IFERROR(__xludf.DUMMYFUNCTION("""COMPUTED_VALUE"""),"Diseñar programas de formación y gestión cultural de base comunitaria.")</f>
        <v>Diseñar programas de formación y gestión cultural de base comunitaria.</v>
      </c>
      <c r="AW474"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74" s="30" t="str">
        <f ca="1">IFERROR(__xludf.DUMMYFUNCTION("""COMPUTED_VALUE"""),"Taller")</f>
        <v>Taller</v>
      </c>
      <c r="AY474" s="30" t="str">
        <f ca="1">IFERROR(__xludf.DUMMYFUNCTION("""COMPUTED_VALUE"""),"Formación")</f>
        <v>Formación</v>
      </c>
      <c r="AZ474" s="30" t="str">
        <f ca="1">IFERROR(__xludf.DUMMYFUNCTION("""COMPUTED_VALUE"""),"Formación")</f>
        <v>Formación</v>
      </c>
      <c r="BA474" s="30"/>
      <c r="BB474" s="30"/>
      <c r="BC474" s="30">
        <f ca="1">IFERROR(__xludf.DUMMYFUNCTION("""COMPUTED_VALUE"""),0)</f>
        <v>0</v>
      </c>
      <c r="BD474" s="30"/>
      <c r="BE474" s="30"/>
      <c r="BF474" s="30" t="b">
        <f ca="1">IFERROR(__xludf.DUMMYFUNCTION("""COMPUTED_VALUE"""),FALSE)</f>
        <v>0</v>
      </c>
      <c r="BG474" s="30"/>
      <c r="BH474" s="30"/>
      <c r="BI474" s="30"/>
      <c r="BJ474" s="30"/>
      <c r="BK474" s="30"/>
      <c r="BL474" s="30" t="str">
        <f ca="1">IFERROR(__xludf.DUMMYFUNCTION("""COMPUTED_VALUE"""),"Se contacto a Tallerista")</f>
        <v>Se contacto a Tallerista</v>
      </c>
      <c r="BM474" s="30" t="str">
        <f ca="1">IFERROR(__xludf.DUMMYFUNCTION("""COMPUTED_VALUE"""),"Sí")</f>
        <v>Sí</v>
      </c>
      <c r="BN474" s="30" t="str">
        <f ca="1">IFERROR(__xludf.DUMMYFUNCTION("""COMPUTED_VALUE"""),"Acompañamiento Técnico")</f>
        <v>Acompañamiento Técnico</v>
      </c>
      <c r="BO474" s="30" t="str">
        <f ca="1">IFERROR(__xludf.DUMMYFUNCTION("""COMPUTED_VALUE"""),"494ba882")</f>
        <v>494ba882</v>
      </c>
      <c r="BP474" s="29" t="str">
        <f ca="1">IFERROR(__xludf.DUMMYFUNCTION("""COMPUTED_VALUE"""),"Salamanca")</f>
        <v>Salamanca</v>
      </c>
      <c r="BQ474" s="30" t="str">
        <f ca="1">IFERROR(__xludf.DUMMYFUNCTION("""COMPUTED_VALUE"""),"Urbano")</f>
        <v>Urbano</v>
      </c>
      <c r="BR474" s="30">
        <f ca="1">IFERROR(__xludf.DUMMYFUNCTION("""COMPUTED_VALUE"""),181)</f>
        <v>181</v>
      </c>
      <c r="BS474" s="30" t="str">
        <f ca="1">IFERROR(__xludf.DUMMYFUNCTION("""COMPUTED_VALUE"""),"Salamanca")</f>
        <v>Salamanca</v>
      </c>
      <c r="BT474" s="30"/>
      <c r="BU474" s="30" t="str">
        <f ca="1">IFERROR(__xludf.DUMMYFUNCTION("""COMPUTED_VALUE"""),"Si")</f>
        <v>Si</v>
      </c>
      <c r="BV474" s="30" t="str">
        <f ca="1">IFERROR(__xludf.DUMMYFUNCTION("""COMPUTED_VALUE"""),"Si")</f>
        <v>Si</v>
      </c>
      <c r="BW474" s="30">
        <f ca="1">IFERROR(__xludf.DUMMYFUNCTION("""COMPUTED_VALUE"""),23)</f>
        <v>23</v>
      </c>
      <c r="BX474" s="30">
        <f ca="1">IFERROR(__xludf.DUMMYFUNCTION("""COMPUTED_VALUE"""),1)</f>
        <v>1</v>
      </c>
      <c r="BY474" s="30">
        <f ca="1">IFERROR(__xludf.DUMMYFUNCTION("""COMPUTED_VALUE"""),22)</f>
        <v>22</v>
      </c>
      <c r="BZ474" s="30" t="str">
        <f ca="1">IFERROR(__xludf.DUMMYFUNCTION("""COMPUTED_VALUE"""),"Salamanca")</f>
        <v>Salamanca</v>
      </c>
      <c r="CA474" s="30" t="str">
        <f ca="1">IFERROR(__xludf.DUMMYFUNCTION("""COMPUTED_VALUE"""),"No")</f>
        <v>No</v>
      </c>
      <c r="CB474" s="30" t="str">
        <f ca="1">IFERROR(__xludf.DUMMYFUNCTION("""COMPUTED_VALUE"""),"No")</f>
        <v>No</v>
      </c>
      <c r="CC474" s="30" t="str">
        <f ca="1">IFERROR(__xludf.DUMMYFUNCTION("""COMPUTED_VALUE"""),"f5a1d386")</f>
        <v>f5a1d386</v>
      </c>
      <c r="CD474" s="29" t="str">
        <f ca="1">IFERROR(__xludf.DUMMYFUNCTION("""COMPUTED_VALUE"""),"Niñas y Niños (6 a 12 años)")</f>
        <v>Niñas y Niños (6 a 12 años)</v>
      </c>
      <c r="CE474" s="30" t="str">
        <f ca="1">IFERROR(__xludf.DUMMYFUNCTION("""COMPUTED_VALUE"""),"No se cuenta con el dato")</f>
        <v>No se cuenta con el dato</v>
      </c>
      <c r="CF474" s="30" t="str">
        <f ca="1">IFERROR(__xludf.DUMMYFUNCTION("""COMPUTED_VALUE"""),"Ninguno (Población General)")</f>
        <v>Ninguno (Población General)</v>
      </c>
      <c r="CG474" s="30">
        <f ca="1">IFERROR(__xludf.DUMMYFUNCTION("""COMPUTED_VALUE"""),8)</f>
        <v>8</v>
      </c>
      <c r="CJ474" s="29"/>
      <c r="CM474" s="30" t="str">
        <f ca="1">IFERROR(__xludf.DUMMYFUNCTION("""COMPUTED_VALUE"""),"Salamanca")</f>
        <v>Salamanca</v>
      </c>
      <c r="CN474" s="32" t="e">
        <f ca="1"/>
        <v>#NAME?</v>
      </c>
      <c r="CO474" s="32" t="e">
        <f ca="1"/>
        <v>#NAME?</v>
      </c>
      <c r="CP474" s="32" t="e">
        <f ca="1"/>
        <v>#NAME?</v>
      </c>
      <c r="CQ474" s="32" t="e">
        <f ca="1"/>
        <v>#NAME?</v>
      </c>
      <c r="CR474" s="30" t="e">
        <f ca="1"/>
        <v>#NAME?</v>
      </c>
      <c r="CS474"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75" spans="1:97" ht="13">
      <c r="A475" s="29" t="str">
        <f ca="1">IFERROR(__xludf.DUMMYFUNCTION("""COMPUTED_VALUE"""),"ACT-SCCN32873")</f>
        <v>ACT-SCCN32873</v>
      </c>
      <c r="B475" s="30" t="str">
        <f ca="1">IFERROR(__xludf.DUMMYFUNCTION("""COMPUTED_VALUE"""),"SC-261002-123646")</f>
        <v>SC-261002-123646</v>
      </c>
      <c r="C475" s="62">
        <f ca="1">IFERROR(__xludf.DUMMYFUNCTION("""COMPUTED_VALUE"""),46297.5255324074)</f>
        <v>46297.525532407402</v>
      </c>
      <c r="D475" s="30">
        <f ca="1">IFERROR(__xludf.DUMMYFUNCTION("""COMPUTED_VALUE"""),92)</f>
        <v>92</v>
      </c>
      <c r="E475" s="30" t="str">
        <f ca="1">IFERROR(__xludf.DUMMYFUNCTION("""COMPUTED_VALUE"""),"PB3572")</f>
        <v>PB3572</v>
      </c>
      <c r="F47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7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75" s="30" t="str">
        <f ca="1">IFERROR(__xludf.DUMMYFUNCTION("""COMPUTED_VALUE"""),"SUBSECRETARÍA DE DESARROLLO Y PROMOCIÓN ARTÍSTICA Y CULTURAL")</f>
        <v>SUBSECRETARÍA DE DESARROLLO Y PROMOCIÓN ARTÍSTICA Y CULTURAL</v>
      </c>
      <c r="I475" s="34" t="str">
        <f ca="1">IFERROR(__xludf.DUMMYFUNCTION("""COMPUTED_VALUE"""),"DIRECCIÓN GENERAL DE MUSEOS, ARTES VISUALES Y EXPOSICIONES")</f>
        <v>DIRECCIÓN GENERAL DE MUSEOS, ARTES VISUALES Y EXPOSICIONES</v>
      </c>
      <c r="J475" s="30" t="str">
        <f ca="1">IFERROR(__xludf.DUMMYFUNCTION("""COMPUTED_VALUE"""),"Número de Actividades realizadas")</f>
        <v>Número de Actividades realizadas</v>
      </c>
      <c r="K475" s="30">
        <f ca="1">IFERROR(__xludf.DUMMYFUNCTION("""COMPUTED_VALUE"""),800)</f>
        <v>800</v>
      </c>
      <c r="L475" s="30" t="str">
        <f ca="1">IFERROR(__xludf.DUMMYFUNCTION("""COMPUTED_VALUE"""),"Cultural")</f>
        <v>Cultural</v>
      </c>
      <c r="M475" s="30" t="str">
        <f ca="1">IFERROR(__xludf.DUMMYFUNCTION("""COMPUTED_VALUE"""),"Visita Libre")</f>
        <v>Visita Libre</v>
      </c>
      <c r="N475" s="30" t="str">
        <f ca="1">IFERROR(__xludf.DUMMYFUNCTION("""COMPUTED_VALUE"""),"Recorrido guiado por el museo")</f>
        <v>Recorrido guiado por el museo</v>
      </c>
      <c r="O475" s="30" t="str">
        <f ca="1">IFERROR(__xludf.DUMMYFUNCTION("""COMPUTED_VALUE"""),"Única")</f>
        <v>Única</v>
      </c>
      <c r="P475" s="33">
        <f ca="1">IFERROR(__xludf.DUMMYFUNCTION("""COMPUTED_VALUE"""),46271)</f>
        <v>46271</v>
      </c>
      <c r="Q475" s="33">
        <f ca="1">IFERROR(__xludf.DUMMYFUNCTION("""COMPUTED_VALUE"""),46271)</f>
        <v>46271</v>
      </c>
      <c r="R475" s="30">
        <f ca="1">IFERROR(__xludf.DUMMYFUNCTION("""COMPUTED_VALUE"""),1)</f>
        <v>1</v>
      </c>
      <c r="S475" s="30" t="str">
        <f ca="1">IFERROR(__xludf.DUMMYFUNCTION("""COMPUTED_VALUE"""),"Cultura comunitaria")</f>
        <v>Cultura comunitaria</v>
      </c>
      <c r="T475" s="30" t="str">
        <f ca="1">IFERROR(__xludf.DUMMYFUNCTION("""COMPUTED_VALUE"""),"Formación comunitaria")</f>
        <v>Formación comunitaria</v>
      </c>
      <c r="U475" s="30" t="str">
        <f ca="1">IFERROR(__xludf.DUMMYFUNCTION("""COMPUTED_VALUE"""),"Visitas guiadas")</f>
        <v>Visitas guiadas</v>
      </c>
      <c r="V475" s="30" t="str">
        <f ca="1">IFERROR(__xludf.DUMMYFUNCTION("""COMPUTED_VALUE"""),"Ninguna")</f>
        <v>Ninguna</v>
      </c>
      <c r="W475" s="30" t="str">
        <f ca="1">IFERROR(__xludf.DUMMYFUNCTION("""COMPUTED_VALUE"""),"Presencial")</f>
        <v>Presencial</v>
      </c>
      <c r="X475" s="30" t="str">
        <f ca="1">IFERROR(__xludf.DUMMYFUNCTION("""COMPUTED_VALUE"""),"Espacio a Cargo de la Secretaría")</f>
        <v>Espacio a Cargo de la Secretaría</v>
      </c>
      <c r="Y475" s="30" t="str">
        <f ca="1">IFERROR(__xludf.DUMMYFUNCTION("""COMPUTED_VALUE"""),"Museo José y Tomas Chavez Morado")</f>
        <v>Museo José y Tomas Chavez Morado</v>
      </c>
      <c r="Z475" s="30"/>
      <c r="AA475" s="30"/>
      <c r="AB475" s="30" t="b">
        <f ca="1">IFERROR(__xludf.DUMMYFUNCTION("""COMPUTED_VALUE"""),FALSE)</f>
        <v>0</v>
      </c>
      <c r="AC475" s="30"/>
      <c r="AD475" s="30" t="b">
        <f ca="1">IFERROR(__xludf.DUMMYFUNCTION("""COMPUTED_VALUE"""),FALSE)</f>
        <v>0</v>
      </c>
      <c r="AE475" s="30"/>
      <c r="AF475" s="30" t="b">
        <f ca="1">IFERROR(__xludf.DUMMYFUNCTION("""COMPUTED_VALUE"""),FALSE)</f>
        <v>0</v>
      </c>
      <c r="AG475" s="30"/>
      <c r="AH475" s="30" t="str">
        <f ca="1">IFERROR(__xludf.DUMMYFUNCTION("""COMPUTED_VALUE"""),"Sin costo")</f>
        <v>Sin costo</v>
      </c>
      <c r="AI475" s="30"/>
      <c r="AJ475" s="30"/>
      <c r="AK475" s="30"/>
      <c r="AL475" s="30" t="str">
        <f ca="1">IFERROR(__xludf.DUMMYFUNCTION("""COMPUTED_VALUE"""),"ccardonav@guanajuato.gob.mx")</f>
        <v>ccardonav@guanajuato.gob.mx</v>
      </c>
      <c r="AM475" s="30" t="str">
        <f ca="1">IFERROR(__xludf.DUMMYFUNCTION("""COMPUTED_VALUE"""),"Arraigo y empoderamiento cultural de comunidades.")</f>
        <v>Arraigo y empoderamiento cultural de comunidades.</v>
      </c>
      <c r="AN475" s="30" t="str">
        <f ca="1">IFERROR(__xludf.DUMMYFUNCTION("""COMPUTED_VALUE"""),"1 Tranquilidad")</f>
        <v>1 Tranquilidad</v>
      </c>
      <c r="AO475" s="30" t="str">
        <f ca="1">IFERROR(__xludf.DUMMYFUNCTION("""COMPUTED_VALUE"""),"1.2 Fortalecer prevención del delito")</f>
        <v>1.2 Fortalecer prevención del delito</v>
      </c>
      <c r="AP475" s="30" t="str">
        <f ca="1">IFERROR(__xludf.DUMMYFUNCTION("""COMPUTED_VALUE"""),"1.2.2 Fortalecimiento del tejido social")</f>
        <v>1.2.2 Fortalecimiento del tejido social</v>
      </c>
      <c r="AQ475" s="30" t="str">
        <f ca="1">IFERROR(__xludf.DUMMYFUNCTION("""COMPUTED_VALUE"""),"1.2.3.4 Promover una cultura de paz desde las expresiones artísticas y culturales")</f>
        <v>1.2.3.4 Promover una cultura de paz desde las expresiones artísticas y culturales</v>
      </c>
      <c r="AR475" s="30" t="str">
        <f ca="1">IFERROR(__xludf.DUMMYFUNCTION("""COMPUTED_VALUE"""),"Cooperación")</f>
        <v>Cooperación</v>
      </c>
      <c r="AS475" s="30"/>
      <c r="AT475" s="30" t="str">
        <f ca="1">IFERROR(__xludf.DUMMYFUNCTION("""COMPUTED_VALUE"""),"Fortalecimiento de la participación ciudadana y la mediación cultural")</f>
        <v>Fortalecimiento de la participación ciudadana y la mediación cultural</v>
      </c>
      <c r="AU475" s="30" t="str">
        <f ca="1">IFERROR(__xludf.DUMMYFUNCTION("""COMPUTED_VALUE"""),"Impulso a la ampliación de la oferta cultural en los territorios.")</f>
        <v>Impulso a la ampliación de la oferta cultural en los territorios.</v>
      </c>
      <c r="AV47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75" s="30" t="str">
        <f ca="1">IFERROR(__xludf.DUMMYFUNCTION("""COMPUTED_VALUE"""),"Incrementar en 25% la oferta cultural realizada en los municipios.")</f>
        <v>Incrementar en 25% la oferta cultural realizada en los municipios.</v>
      </c>
      <c r="AX475" s="30" t="str">
        <f ca="1">IFERROR(__xludf.DUMMYFUNCTION("""COMPUTED_VALUE"""),"Visitas guiadas")</f>
        <v>Visitas guiadas</v>
      </c>
      <c r="AY475" s="30" t="str">
        <f ca="1">IFERROR(__xludf.DUMMYFUNCTION("""COMPUTED_VALUE"""),"Mediación")</f>
        <v>Mediación</v>
      </c>
      <c r="AZ475" s="30"/>
      <c r="BA475" s="30"/>
      <c r="BB475" s="30"/>
      <c r="BC475" s="30">
        <f ca="1">IFERROR(__xludf.DUMMYFUNCTION("""COMPUTED_VALUE"""),0)</f>
        <v>0</v>
      </c>
      <c r="BD475" s="30"/>
      <c r="BE475" s="30"/>
      <c r="BF475" s="30" t="b">
        <f ca="1">IFERROR(__xludf.DUMMYFUNCTION("""COMPUTED_VALUE"""),FALSE)</f>
        <v>0</v>
      </c>
      <c r="BG475" s="30"/>
      <c r="BH475" s="30"/>
      <c r="BI475" s="30"/>
      <c r="BJ475" s="30"/>
      <c r="BK475" s="30"/>
      <c r="BL475" s="30"/>
      <c r="BM475" s="30" t="str">
        <f ca="1">IFERROR(__xludf.DUMMYFUNCTION("""COMPUTED_VALUE"""),"No")</f>
        <v>No</v>
      </c>
      <c r="BN475" s="30"/>
      <c r="BO475" s="30" t="str">
        <f ca="1">IFERROR(__xludf.DUMMYFUNCTION("""COMPUTED_VALUE"""),"4b6be4d9")</f>
        <v>4b6be4d9</v>
      </c>
      <c r="BP475" s="29" t="str">
        <f ca="1">IFERROR(__xludf.DUMMYFUNCTION("""COMPUTED_VALUE"""),"Salamanca")</f>
        <v>Salamanca</v>
      </c>
      <c r="BQ475" s="30" t="str">
        <f ca="1">IFERROR(__xludf.DUMMYFUNCTION("""COMPUTED_VALUE"""),"Urbano")</f>
        <v>Urbano</v>
      </c>
      <c r="BR475" s="30">
        <f ca="1">IFERROR(__xludf.DUMMYFUNCTION("""COMPUTED_VALUE"""),181)</f>
        <v>181</v>
      </c>
      <c r="BS475" s="30" t="str">
        <f ca="1">IFERROR(__xludf.DUMMYFUNCTION("""COMPUTED_VALUE"""),"Salamanca")</f>
        <v>Salamanca</v>
      </c>
      <c r="BT475" s="30"/>
      <c r="BU475" s="30" t="str">
        <f ca="1">IFERROR(__xludf.DUMMYFUNCTION("""COMPUTED_VALUE"""),"Si")</f>
        <v>Si</v>
      </c>
      <c r="BV475" s="30" t="str">
        <f ca="1">IFERROR(__xludf.DUMMYFUNCTION("""COMPUTED_VALUE"""),"Si")</f>
        <v>Si</v>
      </c>
      <c r="BW475" s="30">
        <f ca="1">IFERROR(__xludf.DUMMYFUNCTION("""COMPUTED_VALUE"""),9)</f>
        <v>9</v>
      </c>
      <c r="BX475" s="30">
        <f ca="1">IFERROR(__xludf.DUMMYFUNCTION("""COMPUTED_VALUE"""),1)</f>
        <v>1</v>
      </c>
      <c r="BY475" s="30">
        <f ca="1">IFERROR(__xludf.DUMMYFUNCTION("""COMPUTED_VALUE"""),8)</f>
        <v>8</v>
      </c>
      <c r="BZ475" s="30" t="str">
        <f ca="1">IFERROR(__xludf.DUMMYFUNCTION("""COMPUTED_VALUE"""),"Salamanca")</f>
        <v>Salamanca</v>
      </c>
      <c r="CA475" s="30" t="str">
        <f ca="1">IFERROR(__xludf.DUMMYFUNCTION("""COMPUTED_VALUE"""),"No")</f>
        <v>No</v>
      </c>
      <c r="CB475" s="30" t="str">
        <f ca="1">IFERROR(__xludf.DUMMYFUNCTION("""COMPUTED_VALUE"""),"No")</f>
        <v>No</v>
      </c>
      <c r="CC475" s="30" t="str">
        <f ca="1">IFERROR(__xludf.DUMMYFUNCTION("""COMPUTED_VALUE"""),"07f6eaff")</f>
        <v>07f6eaff</v>
      </c>
      <c r="CD475" s="29" t="str">
        <f ca="1">IFERROR(__xludf.DUMMYFUNCTION("""COMPUTED_VALUE"""),"Adultos (30 a 59 años)")</f>
        <v>Adultos (30 a 59 años)</v>
      </c>
      <c r="CE475" s="30" t="str">
        <f ca="1">IFERROR(__xludf.DUMMYFUNCTION("""COMPUTED_VALUE"""),"No se cuenta con el dato")</f>
        <v>No se cuenta con el dato</v>
      </c>
      <c r="CF475" s="30" t="str">
        <f ca="1">IFERROR(__xludf.DUMMYFUNCTION("""COMPUTED_VALUE"""),"Ninguno (Población General)")</f>
        <v>Ninguno (Población General)</v>
      </c>
      <c r="CG475" s="30">
        <f ca="1">IFERROR(__xludf.DUMMYFUNCTION("""COMPUTED_VALUE"""),2)</f>
        <v>2</v>
      </c>
      <c r="CJ475" s="29"/>
      <c r="CM475" s="30" t="str">
        <f ca="1">IFERROR(__xludf.DUMMYFUNCTION("""COMPUTED_VALUE"""),"Salamanca")</f>
        <v>Salamanca</v>
      </c>
      <c r="CN475" s="32" t="e">
        <f ca="1"/>
        <v>#NAME?</v>
      </c>
      <c r="CO475" s="32" t="e">
        <f ca="1"/>
        <v>#NAME?</v>
      </c>
      <c r="CP475" s="32" t="e">
        <f ca="1"/>
        <v>#NAME?</v>
      </c>
      <c r="CQ475" s="32" t="e">
        <f ca="1"/>
        <v>#NAME?</v>
      </c>
      <c r="CR475" s="30" t="e">
        <f ca="1"/>
        <v>#NAME?</v>
      </c>
      <c r="CS475" s="30" t="str">
        <f ca="1">IFERROR(__xludf.DUMMYFUNCTION("""COMPUTED_VALUE"""),"Ninguno (Población General), Ninguno (Población General), Ninguno (Población General), Ninguno (Población General), Ninguno (Población General), Ninguno (Población General)")</f>
        <v>Ninguno (Población General), Ninguno (Población General), Ninguno (Población General), Ninguno (Población General), Ninguno (Población General), Ninguno (Población General)</v>
      </c>
    </row>
    <row r="476" spans="1:97" ht="13">
      <c r="A476" s="29" t="str">
        <f ca="1">IFERROR(__xludf.DUMMYFUNCTION("""COMPUTED_VALUE"""),"ACT-SCTP98926")</f>
        <v>ACT-SCTP98926</v>
      </c>
      <c r="B476" s="30" t="str">
        <f ca="1">IFERROR(__xludf.DUMMYFUNCTION("""COMPUTED_VALUE"""),"SC-261002-124532")</f>
        <v>SC-261002-124532</v>
      </c>
      <c r="C476" s="62">
        <f ca="1">IFERROR(__xludf.DUMMYFUNCTION("""COMPUTED_VALUE"""),46297.5316203703)</f>
        <v>46297.531620370297</v>
      </c>
      <c r="D476" s="30">
        <f ca="1">IFERROR(__xludf.DUMMYFUNCTION("""COMPUTED_VALUE"""),92)</f>
        <v>92</v>
      </c>
      <c r="E476" s="30" t="str">
        <f ca="1">IFERROR(__xludf.DUMMYFUNCTION("""COMPUTED_VALUE"""),"PB3572")</f>
        <v>PB3572</v>
      </c>
      <c r="F47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7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76" s="30" t="str">
        <f ca="1">IFERROR(__xludf.DUMMYFUNCTION("""COMPUTED_VALUE"""),"SUBSECRETARÍA DE DESARROLLO Y PROMOCIÓN ARTÍSTICA Y CULTURAL")</f>
        <v>SUBSECRETARÍA DE DESARROLLO Y PROMOCIÓN ARTÍSTICA Y CULTURAL</v>
      </c>
      <c r="I476" s="34" t="str">
        <f ca="1">IFERROR(__xludf.DUMMYFUNCTION("""COMPUTED_VALUE"""),"DIRECCIÓN GENERAL DE MUSEOS, ARTES VISUALES Y EXPOSICIONES")</f>
        <v>DIRECCIÓN GENERAL DE MUSEOS, ARTES VISUALES Y EXPOSICIONES</v>
      </c>
      <c r="J476" s="30" t="str">
        <f ca="1">IFERROR(__xludf.DUMMYFUNCTION("""COMPUTED_VALUE"""),"Número de Actividades realizadas")</f>
        <v>Número de Actividades realizadas</v>
      </c>
      <c r="K476" s="30">
        <f ca="1">IFERROR(__xludf.DUMMYFUNCTION("""COMPUTED_VALUE"""),800)</f>
        <v>800</v>
      </c>
      <c r="L476" s="30" t="str">
        <f ca="1">IFERROR(__xludf.DUMMYFUNCTION("""COMPUTED_VALUE"""),"Cultural")</f>
        <v>Cultural</v>
      </c>
      <c r="M476" s="30" t="str">
        <f ca="1">IFERROR(__xludf.DUMMYFUNCTION("""COMPUTED_VALUE"""),"Circulo de lectura e identidad")</f>
        <v>Circulo de lectura e identidad</v>
      </c>
      <c r="N476" s="30" t="str">
        <f ca="1">IFERROR(__xludf.DUMMYFUNCTION("""COMPUTED_VALUE"""),"Circulo de lectura")</f>
        <v>Circulo de lectura</v>
      </c>
      <c r="O476" s="30" t="str">
        <f ca="1">IFERROR(__xludf.DUMMYFUNCTION("""COMPUTED_VALUE"""),"Única")</f>
        <v>Única</v>
      </c>
      <c r="P476" s="33">
        <f ca="1">IFERROR(__xludf.DUMMYFUNCTION("""COMPUTED_VALUE"""),46273)</f>
        <v>46273</v>
      </c>
      <c r="Q476" s="33">
        <f ca="1">IFERROR(__xludf.DUMMYFUNCTION("""COMPUTED_VALUE"""),46273)</f>
        <v>46273</v>
      </c>
      <c r="R476" s="30">
        <f ca="1">IFERROR(__xludf.DUMMYFUNCTION("""COMPUTED_VALUE"""),1)</f>
        <v>1</v>
      </c>
      <c r="S476" s="30" t="str">
        <f ca="1">IFERROR(__xludf.DUMMYFUNCTION("""COMPUTED_VALUE"""),"Literatura")</f>
        <v>Literatura</v>
      </c>
      <c r="T476" s="30" t="str">
        <f ca="1">IFERROR(__xludf.DUMMYFUNCTION("""COMPUTED_VALUE"""),"Fomento a la lectura")</f>
        <v>Fomento a la lectura</v>
      </c>
      <c r="U476" s="30" t="str">
        <f ca="1">IFERROR(__xludf.DUMMYFUNCTION("""COMPUTED_VALUE"""),"Programación cultural en recinto")</f>
        <v>Programación cultural en recinto</v>
      </c>
      <c r="V476" s="30" t="str">
        <f ca="1">IFERROR(__xludf.DUMMYFUNCTION("""COMPUTED_VALUE"""),"Ninguna")</f>
        <v>Ninguna</v>
      </c>
      <c r="W476" s="30" t="str">
        <f ca="1">IFERROR(__xludf.DUMMYFUNCTION("""COMPUTED_VALUE"""),"Presencial")</f>
        <v>Presencial</v>
      </c>
      <c r="X476" s="30" t="str">
        <f ca="1">IFERROR(__xludf.DUMMYFUNCTION("""COMPUTED_VALUE"""),"Espacio a Cargo de la Secretaría")</f>
        <v>Espacio a Cargo de la Secretaría</v>
      </c>
      <c r="Y476" s="30" t="str">
        <f ca="1">IFERROR(__xludf.DUMMYFUNCTION("""COMPUTED_VALUE"""),"Museo José y Tomas Chavez Morado")</f>
        <v>Museo José y Tomas Chavez Morado</v>
      </c>
      <c r="Z476" s="30"/>
      <c r="AA476" s="30"/>
      <c r="AB476" s="30" t="b">
        <f ca="1">IFERROR(__xludf.DUMMYFUNCTION("""COMPUTED_VALUE"""),FALSE)</f>
        <v>0</v>
      </c>
      <c r="AC476" s="30"/>
      <c r="AD476" s="30" t="b">
        <f ca="1">IFERROR(__xludf.DUMMYFUNCTION("""COMPUTED_VALUE"""),FALSE)</f>
        <v>0</v>
      </c>
      <c r="AE476" s="30"/>
      <c r="AF476" s="30" t="b">
        <f ca="1">IFERROR(__xludf.DUMMYFUNCTION("""COMPUTED_VALUE"""),FALSE)</f>
        <v>0</v>
      </c>
      <c r="AG476" s="30"/>
      <c r="AH476" s="30" t="str">
        <f ca="1">IFERROR(__xludf.DUMMYFUNCTION("""COMPUTED_VALUE"""),"Sin costo")</f>
        <v>Sin costo</v>
      </c>
      <c r="AI476" s="30"/>
      <c r="AJ476" s="30"/>
      <c r="AK476" s="30"/>
      <c r="AL476" s="30" t="str">
        <f ca="1">IFERROR(__xludf.DUMMYFUNCTION("""COMPUTED_VALUE"""),"ccardonav@guanajuato.gob.mx")</f>
        <v>ccardonav@guanajuato.gob.mx</v>
      </c>
      <c r="AM476" s="30" t="str">
        <f ca="1">IFERROR(__xludf.DUMMYFUNCTION("""COMPUTED_VALUE"""),"Leer para crecer.")</f>
        <v>Leer para crecer.</v>
      </c>
      <c r="AN476" s="30" t="str">
        <f ca="1">IFERROR(__xludf.DUMMYFUNCTION("""COMPUTED_VALUE"""),"1 Tranquilidad")</f>
        <v>1 Tranquilidad</v>
      </c>
      <c r="AO476" s="30" t="str">
        <f ca="1">IFERROR(__xludf.DUMMYFUNCTION("""COMPUTED_VALUE"""),"1.2 Fortalecer prevención del delito")</f>
        <v>1.2 Fortalecer prevención del delito</v>
      </c>
      <c r="AP476" s="30" t="str">
        <f ca="1">IFERROR(__xludf.DUMMYFUNCTION("""COMPUTED_VALUE"""),"1.2.2 Fortalecimiento del tejido social")</f>
        <v>1.2.2 Fortalecimiento del tejido social</v>
      </c>
      <c r="AQ476" s="30" t="str">
        <f ca="1">IFERROR(__xludf.DUMMYFUNCTION("""COMPUTED_VALUE"""),"1.2.3.4 Promover una cultura de paz desde las expresiones artísticas y culturales")</f>
        <v>1.2.3.4 Promover una cultura de paz desde las expresiones artísticas y culturales</v>
      </c>
      <c r="AR476" s="30" t="str">
        <f ca="1">IFERROR(__xludf.DUMMYFUNCTION("""COMPUTED_VALUE"""),"Inclusión")</f>
        <v>Inclusión</v>
      </c>
      <c r="AS476" s="30" t="str">
        <f ca="1">IFERROR(__xludf.DUMMYFUNCTION("""COMPUTED_VALUE"""),"Ninguno (Población General)")</f>
        <v>Ninguno (Población General)</v>
      </c>
      <c r="AT476" s="30" t="str">
        <f ca="1">IFERROR(__xludf.DUMMYFUNCTION("""COMPUTED_VALUE"""),"Sostenibilidad del trabajo cultural y la economía creativa.")</f>
        <v>Sostenibilidad del trabajo cultural y la economía creativa.</v>
      </c>
      <c r="AU476" s="30" t="str">
        <f ca="1">IFERROR(__xludf.DUMMYFUNCTION("""COMPUTED_VALUE"""),"Consolidación de los mecanismos de gobernanza para el uso de los espacios cultuales y zonas patrimoniales.")</f>
        <v>Consolidación de los mecanismos de gobernanza para el uso de los espacios cultuales y zonas patrimoniales.</v>
      </c>
      <c r="AV476" s="30" t="str">
        <f ca="1">IFERROR(__xludf.DUMMYFUNCTION("""COMPUTED_VALUE"""),"Diseñar programas de formación y gestión cultural de base comunitaria.")</f>
        <v>Diseñar programas de formación y gestión cultural de base comunitaria.</v>
      </c>
      <c r="AW476" s="30" t="str">
        <f ca="1">IFERROR(__xludf.DUMMYFUNCTION("""COMPUTED_VALUE"""),"Incrementar un 30% la participación de grupos, colectivos y comunidades en procesos de memoria, investigación, divulgación y difusión del patrimonio material e inmaterial")</f>
        <v>Incrementar un 30% la participación de grupos, colectivos y comunidades en procesos de memoria, investigación, divulgación y difusión del patrimonio material e inmaterial</v>
      </c>
      <c r="AX476" s="30" t="str">
        <f ca="1">IFERROR(__xludf.DUMMYFUNCTION("""COMPUTED_VALUE"""),"Campaña de difusión cultural")</f>
        <v>Campaña de difusión cultural</v>
      </c>
      <c r="AY476" s="30" t="str">
        <f ca="1">IFERROR(__xludf.DUMMYFUNCTION("""COMPUTED_VALUE"""),"Mediación")</f>
        <v>Mediación</v>
      </c>
      <c r="AZ476" s="30"/>
      <c r="BA476" s="30"/>
      <c r="BB476" s="30"/>
      <c r="BC476" s="30">
        <f ca="1">IFERROR(__xludf.DUMMYFUNCTION("""COMPUTED_VALUE"""),0)</f>
        <v>0</v>
      </c>
      <c r="BD476" s="30"/>
      <c r="BE476" s="30"/>
      <c r="BF476" s="30" t="b">
        <f ca="1">IFERROR(__xludf.DUMMYFUNCTION("""COMPUTED_VALUE"""),FALSE)</f>
        <v>0</v>
      </c>
      <c r="BG476" s="30"/>
      <c r="BH476" s="30"/>
      <c r="BI476" s="30"/>
      <c r="BJ476" s="30"/>
      <c r="BK476" s="30"/>
      <c r="BL476" s="30"/>
      <c r="BM476" s="30" t="str">
        <f ca="1">IFERROR(__xludf.DUMMYFUNCTION("""COMPUTED_VALUE"""),"No")</f>
        <v>No</v>
      </c>
      <c r="BN476" s="30"/>
      <c r="BO476" s="30" t="str">
        <f ca="1">IFERROR(__xludf.DUMMYFUNCTION("""COMPUTED_VALUE"""),"5c708b2b")</f>
        <v>5c708b2b</v>
      </c>
      <c r="BP476" s="29" t="str">
        <f ca="1">IFERROR(__xludf.DUMMYFUNCTION("""COMPUTED_VALUE"""),"Salamanca")</f>
        <v>Salamanca</v>
      </c>
      <c r="BQ476" s="30" t="str">
        <f ca="1">IFERROR(__xludf.DUMMYFUNCTION("""COMPUTED_VALUE"""),"Urbano")</f>
        <v>Urbano</v>
      </c>
      <c r="BR476" s="30">
        <f ca="1">IFERROR(__xludf.DUMMYFUNCTION("""COMPUTED_VALUE"""),181)</f>
        <v>181</v>
      </c>
      <c r="BS476" s="30" t="str">
        <f ca="1">IFERROR(__xludf.DUMMYFUNCTION("""COMPUTED_VALUE"""),"Salamanca")</f>
        <v>Salamanca</v>
      </c>
      <c r="BT476" s="30"/>
      <c r="BU476" s="30" t="str">
        <f ca="1">IFERROR(__xludf.DUMMYFUNCTION("""COMPUTED_VALUE"""),"Si")</f>
        <v>Si</v>
      </c>
      <c r="BV476" s="30" t="str">
        <f ca="1">IFERROR(__xludf.DUMMYFUNCTION("""COMPUTED_VALUE"""),"Si")</f>
        <v>Si</v>
      </c>
      <c r="BW476" s="30">
        <f ca="1">IFERROR(__xludf.DUMMYFUNCTION("""COMPUTED_VALUE"""),9)</f>
        <v>9</v>
      </c>
      <c r="BX476" s="30">
        <f ca="1">IFERROR(__xludf.DUMMYFUNCTION("""COMPUTED_VALUE"""),8)</f>
        <v>8</v>
      </c>
      <c r="BY476" s="30">
        <f ca="1">IFERROR(__xludf.DUMMYFUNCTION("""COMPUTED_VALUE"""),1)</f>
        <v>1</v>
      </c>
      <c r="BZ476" s="30" t="str">
        <f ca="1">IFERROR(__xludf.DUMMYFUNCTION("""COMPUTED_VALUE"""),"Salamanca")</f>
        <v>Salamanca</v>
      </c>
      <c r="CA476" s="30" t="str">
        <f ca="1">IFERROR(__xludf.DUMMYFUNCTION("""COMPUTED_VALUE"""),"No")</f>
        <v>No</v>
      </c>
      <c r="CB476" s="30" t="str">
        <f ca="1">IFERROR(__xludf.DUMMYFUNCTION("""COMPUTED_VALUE"""),"No")</f>
        <v>No</v>
      </c>
      <c r="CC476" s="30" t="str">
        <f ca="1">IFERROR(__xludf.DUMMYFUNCTION("""COMPUTED_VALUE"""),"69e72ba5")</f>
        <v>69e72ba5</v>
      </c>
      <c r="CD476" s="29" t="str">
        <f ca="1">IFERROR(__xludf.DUMMYFUNCTION("""COMPUTED_VALUE"""),"Niñas y Niños (6 a 12 años)")</f>
        <v>Niñas y Niños (6 a 12 años)</v>
      </c>
      <c r="CE476" s="30" t="str">
        <f ca="1">IFERROR(__xludf.DUMMYFUNCTION("""COMPUTED_VALUE"""),"No se cuenta con el dato")</f>
        <v>No se cuenta con el dato</v>
      </c>
      <c r="CF476" s="30" t="str">
        <f ca="1">IFERROR(__xludf.DUMMYFUNCTION("""COMPUTED_VALUE"""),"Ninguno (Población General)")</f>
        <v>Ninguno (Población General)</v>
      </c>
      <c r="CG476" s="30">
        <f ca="1">IFERROR(__xludf.DUMMYFUNCTION("""COMPUTED_VALUE"""),30)</f>
        <v>30</v>
      </c>
      <c r="CJ476" s="29"/>
      <c r="CM476" s="30" t="str">
        <f ca="1">IFERROR(__xludf.DUMMYFUNCTION("""COMPUTED_VALUE"""),"Salamanca")</f>
        <v>Salamanca</v>
      </c>
      <c r="CN476" s="32" t="e">
        <f ca="1"/>
        <v>#NAME?</v>
      </c>
      <c r="CO476" s="32" t="e">
        <f ca="1"/>
        <v>#NAME?</v>
      </c>
      <c r="CP476" s="32" t="e">
        <f ca="1"/>
        <v>#NAME?</v>
      </c>
      <c r="CQ476" s="32" t="e">
        <f ca="1"/>
        <v>#NAME?</v>
      </c>
      <c r="CR476" s="30" t="e">
        <f ca="1"/>
        <v>#NAME?</v>
      </c>
      <c r="CS476"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77" spans="1:97" ht="13">
      <c r="A477" s="29" t="str">
        <f ca="1">IFERROR(__xludf.DUMMYFUNCTION("""COMPUTED_VALUE"""),"ACT-SCQP92821")</f>
        <v>ACT-SCQP92821</v>
      </c>
      <c r="B477" s="30" t="str">
        <f ca="1">IFERROR(__xludf.DUMMYFUNCTION("""COMPUTED_VALUE"""),"SC-261002-125257")</f>
        <v>SC-261002-125257</v>
      </c>
      <c r="C477" s="62">
        <f ca="1">IFERROR(__xludf.DUMMYFUNCTION("""COMPUTED_VALUE"""),46297.5367708333)</f>
        <v>46297.5367708333</v>
      </c>
      <c r="D477" s="30">
        <f ca="1">IFERROR(__xludf.DUMMYFUNCTION("""COMPUTED_VALUE"""),92)</f>
        <v>92</v>
      </c>
      <c r="E477" s="30" t="str">
        <f ca="1">IFERROR(__xludf.DUMMYFUNCTION("""COMPUTED_VALUE"""),"PB3572")</f>
        <v>PB3572</v>
      </c>
      <c r="F47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7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77" s="30" t="str">
        <f ca="1">IFERROR(__xludf.DUMMYFUNCTION("""COMPUTED_VALUE"""),"SUBSECRETARÍA DE DESARROLLO Y PROMOCIÓN ARTÍSTICA Y CULTURAL")</f>
        <v>SUBSECRETARÍA DE DESARROLLO Y PROMOCIÓN ARTÍSTICA Y CULTURAL</v>
      </c>
      <c r="I477" s="34" t="str">
        <f ca="1">IFERROR(__xludf.DUMMYFUNCTION("""COMPUTED_VALUE"""),"DIRECCIÓN GENERAL DE MUSEOS, ARTES VISUALES Y EXPOSICIONES")</f>
        <v>DIRECCIÓN GENERAL DE MUSEOS, ARTES VISUALES Y EXPOSICIONES</v>
      </c>
      <c r="J477" s="30" t="str">
        <f ca="1">IFERROR(__xludf.DUMMYFUNCTION("""COMPUTED_VALUE"""),"Número de Actividades realizadas")</f>
        <v>Número de Actividades realizadas</v>
      </c>
      <c r="K477" s="30">
        <f ca="1">IFERROR(__xludf.DUMMYFUNCTION("""COMPUTED_VALUE"""),800)</f>
        <v>800</v>
      </c>
      <c r="L477" s="30" t="str">
        <f ca="1">IFERROR(__xludf.DUMMYFUNCTION("""COMPUTED_VALUE"""),"Cultural")</f>
        <v>Cultural</v>
      </c>
      <c r="M477" s="30" t="str">
        <f ca="1">IFERROR(__xludf.DUMMYFUNCTION("""COMPUTED_VALUE"""),"Visita guiada libre.")</f>
        <v>Visita guiada libre.</v>
      </c>
      <c r="N477" s="30" t="str">
        <f ca="1">IFERROR(__xludf.DUMMYFUNCTION("""COMPUTED_VALUE"""),"Recorrido guiado por el museo")</f>
        <v>Recorrido guiado por el museo</v>
      </c>
      <c r="O477" s="30" t="str">
        <f ca="1">IFERROR(__xludf.DUMMYFUNCTION("""COMPUTED_VALUE"""),"Única")</f>
        <v>Única</v>
      </c>
      <c r="P477" s="33">
        <f ca="1">IFERROR(__xludf.DUMMYFUNCTION("""COMPUTED_VALUE"""),46273)</f>
        <v>46273</v>
      </c>
      <c r="Q477" s="33">
        <f ca="1">IFERROR(__xludf.DUMMYFUNCTION("""COMPUTED_VALUE"""),46273)</f>
        <v>46273</v>
      </c>
      <c r="R477" s="30">
        <f ca="1">IFERROR(__xludf.DUMMYFUNCTION("""COMPUTED_VALUE"""),1)</f>
        <v>1</v>
      </c>
      <c r="S477" s="30" t="str">
        <f ca="1">IFERROR(__xludf.DUMMYFUNCTION("""COMPUTED_VALUE"""),"Cultura comunitaria")</f>
        <v>Cultura comunitaria</v>
      </c>
      <c r="T477" s="30" t="str">
        <f ca="1">IFERROR(__xludf.DUMMYFUNCTION("""COMPUTED_VALUE"""),"Formación comunitaria")</f>
        <v>Formación comunitaria</v>
      </c>
      <c r="U477" s="30" t="str">
        <f ca="1">IFERROR(__xludf.DUMMYFUNCTION("""COMPUTED_VALUE"""),"Visitas guiadas")</f>
        <v>Visitas guiadas</v>
      </c>
      <c r="V477" s="30" t="str">
        <f ca="1">IFERROR(__xludf.DUMMYFUNCTION("""COMPUTED_VALUE"""),"Ninguna")</f>
        <v>Ninguna</v>
      </c>
      <c r="W477" s="30" t="str">
        <f ca="1">IFERROR(__xludf.DUMMYFUNCTION("""COMPUTED_VALUE"""),"Presencial")</f>
        <v>Presencial</v>
      </c>
      <c r="X477" s="30" t="str">
        <f ca="1">IFERROR(__xludf.DUMMYFUNCTION("""COMPUTED_VALUE"""),"Espacio a Cargo de la Secretaría")</f>
        <v>Espacio a Cargo de la Secretaría</v>
      </c>
      <c r="Y477" s="30" t="str">
        <f ca="1">IFERROR(__xludf.DUMMYFUNCTION("""COMPUTED_VALUE"""),"Museo José y Tomas Chavez Morado")</f>
        <v>Museo José y Tomas Chavez Morado</v>
      </c>
      <c r="Z477" s="30"/>
      <c r="AA477" s="30"/>
      <c r="AB477" s="30" t="b">
        <f ca="1">IFERROR(__xludf.DUMMYFUNCTION("""COMPUTED_VALUE"""),FALSE)</f>
        <v>0</v>
      </c>
      <c r="AC477" s="30"/>
      <c r="AD477" s="30" t="b">
        <f ca="1">IFERROR(__xludf.DUMMYFUNCTION("""COMPUTED_VALUE"""),FALSE)</f>
        <v>0</v>
      </c>
      <c r="AE477" s="30"/>
      <c r="AF477" s="30" t="b">
        <f ca="1">IFERROR(__xludf.DUMMYFUNCTION("""COMPUTED_VALUE"""),FALSE)</f>
        <v>0</v>
      </c>
      <c r="AG477" s="30"/>
      <c r="AH477" s="30" t="str">
        <f ca="1">IFERROR(__xludf.DUMMYFUNCTION("""COMPUTED_VALUE"""),"Sin costo")</f>
        <v>Sin costo</v>
      </c>
      <c r="AI477" s="30"/>
      <c r="AJ477" s="30"/>
      <c r="AK477" s="30"/>
      <c r="AL477" s="30" t="str">
        <f ca="1">IFERROR(__xludf.DUMMYFUNCTION("""COMPUTED_VALUE"""),"ccardonav@guanajuato.gob.mx")</f>
        <v>ccardonav@guanajuato.gob.mx</v>
      </c>
      <c r="AM477" s="30" t="str">
        <f ca="1">IFERROR(__xludf.DUMMYFUNCTION("""COMPUTED_VALUE"""),"Arraigo y empoderamiento cultural de comunidades.")</f>
        <v>Arraigo y empoderamiento cultural de comunidades.</v>
      </c>
      <c r="AN477" s="30" t="str">
        <f ca="1">IFERROR(__xludf.DUMMYFUNCTION("""COMPUTED_VALUE"""),"1 Tranquilidad")</f>
        <v>1 Tranquilidad</v>
      </c>
      <c r="AO477" s="30" t="str">
        <f ca="1">IFERROR(__xludf.DUMMYFUNCTION("""COMPUTED_VALUE"""),"1.2 Fortalecer prevención del delito")</f>
        <v>1.2 Fortalecer prevención del delito</v>
      </c>
      <c r="AP477" s="30" t="str">
        <f ca="1">IFERROR(__xludf.DUMMYFUNCTION("""COMPUTED_VALUE"""),"1.2.2 Fortalecimiento del tejido social")</f>
        <v>1.2.2 Fortalecimiento del tejido social</v>
      </c>
      <c r="AQ477" s="30" t="str">
        <f ca="1">IFERROR(__xludf.DUMMYFUNCTION("""COMPUTED_VALUE"""),"1.2.3.4 Promover una cultura de paz desde las expresiones artísticas y culturales")</f>
        <v>1.2.3.4 Promover una cultura de paz desde las expresiones artísticas y culturales</v>
      </c>
      <c r="AR477" s="30" t="str">
        <f ca="1">IFERROR(__xludf.DUMMYFUNCTION("""COMPUTED_VALUE"""),"Cooperación")</f>
        <v>Cooperación</v>
      </c>
      <c r="AS477" s="30"/>
      <c r="AT477" s="30" t="str">
        <f ca="1">IFERROR(__xludf.DUMMYFUNCTION("""COMPUTED_VALUE"""),"Fortalecimiento de la participación ciudadana y la mediación cultural")</f>
        <v>Fortalecimiento de la participación ciudadana y la mediación cultural</v>
      </c>
      <c r="AU477" s="30" t="str">
        <f ca="1">IFERROR(__xludf.DUMMYFUNCTION("""COMPUTED_VALUE"""),"Impulso a la ampliación de la oferta cultural en los territorios.")</f>
        <v>Impulso a la ampliación de la oferta cultural en los territorios.</v>
      </c>
      <c r="AV47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77" s="30" t="str">
        <f ca="1">IFERROR(__xludf.DUMMYFUNCTION("""COMPUTED_VALUE"""),"Incrementar en 25% la oferta cultural realizada en los municipios.")</f>
        <v>Incrementar en 25% la oferta cultural realizada en los municipios.</v>
      </c>
      <c r="AX477" s="30" t="str">
        <f ca="1">IFERROR(__xludf.DUMMYFUNCTION("""COMPUTED_VALUE"""),"Visitas guiadas")</f>
        <v>Visitas guiadas</v>
      </c>
      <c r="AY477" s="30" t="str">
        <f ca="1">IFERROR(__xludf.DUMMYFUNCTION("""COMPUTED_VALUE"""),"Mediación")</f>
        <v>Mediación</v>
      </c>
      <c r="AZ477" s="30"/>
      <c r="BA477" s="30"/>
      <c r="BB477" s="30"/>
      <c r="BC477" s="30">
        <f ca="1">IFERROR(__xludf.DUMMYFUNCTION("""COMPUTED_VALUE"""),0)</f>
        <v>0</v>
      </c>
      <c r="BD477" s="30"/>
      <c r="BE477" s="30"/>
      <c r="BF477" s="30" t="b">
        <f ca="1">IFERROR(__xludf.DUMMYFUNCTION("""COMPUTED_VALUE"""),FALSE)</f>
        <v>0</v>
      </c>
      <c r="BG477" s="30"/>
      <c r="BH477" s="30"/>
      <c r="BI477" s="30"/>
      <c r="BJ477" s="30"/>
      <c r="BK477" s="30"/>
      <c r="BL477" s="30"/>
      <c r="BM477" s="30" t="str">
        <f ca="1">IFERROR(__xludf.DUMMYFUNCTION("""COMPUTED_VALUE"""),"No")</f>
        <v>No</v>
      </c>
      <c r="BN477" s="30"/>
      <c r="BO477" s="30" t="str">
        <f ca="1">IFERROR(__xludf.DUMMYFUNCTION("""COMPUTED_VALUE"""),"0843d5be")</f>
        <v>0843d5be</v>
      </c>
      <c r="BP477" s="29" t="str">
        <f ca="1">IFERROR(__xludf.DUMMYFUNCTION("""COMPUTED_VALUE"""),"Salamanca")</f>
        <v>Salamanca</v>
      </c>
      <c r="BQ477" s="30" t="str">
        <f ca="1">IFERROR(__xludf.DUMMYFUNCTION("""COMPUTED_VALUE"""),"Urbano")</f>
        <v>Urbano</v>
      </c>
      <c r="BR477" s="30">
        <f ca="1">IFERROR(__xludf.DUMMYFUNCTION("""COMPUTED_VALUE"""),181)</f>
        <v>181</v>
      </c>
      <c r="BS477" s="30" t="str">
        <f ca="1">IFERROR(__xludf.DUMMYFUNCTION("""COMPUTED_VALUE"""),"Salamanca")</f>
        <v>Salamanca</v>
      </c>
      <c r="BT477" s="30"/>
      <c r="BU477" s="30" t="str">
        <f ca="1">IFERROR(__xludf.DUMMYFUNCTION("""COMPUTED_VALUE"""),"Si")</f>
        <v>Si</v>
      </c>
      <c r="BV477" s="30" t="str">
        <f ca="1">IFERROR(__xludf.DUMMYFUNCTION("""COMPUTED_VALUE"""),"Si")</f>
        <v>Si</v>
      </c>
      <c r="BW477" s="30">
        <f ca="1">IFERROR(__xludf.DUMMYFUNCTION("""COMPUTED_VALUE"""),29)</f>
        <v>29</v>
      </c>
      <c r="BX477" s="30">
        <f ca="1">IFERROR(__xludf.DUMMYFUNCTION("""COMPUTED_VALUE"""),2)</f>
        <v>2</v>
      </c>
      <c r="BY477" s="30">
        <f ca="1">IFERROR(__xludf.DUMMYFUNCTION("""COMPUTED_VALUE"""),27)</f>
        <v>27</v>
      </c>
      <c r="BZ477" s="30" t="str">
        <f ca="1">IFERROR(__xludf.DUMMYFUNCTION("""COMPUTED_VALUE"""),"Salamanca")</f>
        <v>Salamanca</v>
      </c>
      <c r="CA477" s="30" t="str">
        <f ca="1">IFERROR(__xludf.DUMMYFUNCTION("""COMPUTED_VALUE"""),"No")</f>
        <v>No</v>
      </c>
      <c r="CB477" s="30" t="str">
        <f ca="1">IFERROR(__xludf.DUMMYFUNCTION("""COMPUTED_VALUE"""),"No")</f>
        <v>No</v>
      </c>
      <c r="CC477" s="30" t="str">
        <f ca="1">IFERROR(__xludf.DUMMYFUNCTION("""COMPUTED_VALUE"""),"d613d91a")</f>
        <v>d613d91a</v>
      </c>
      <c r="CD477" s="29" t="str">
        <f ca="1">IFERROR(__xludf.DUMMYFUNCTION("""COMPUTED_VALUE"""),"Adolescentes (13 a 17 años)")</f>
        <v>Adolescentes (13 a 17 años)</v>
      </c>
      <c r="CE477" s="30" t="str">
        <f ca="1">IFERROR(__xludf.DUMMYFUNCTION("""COMPUTED_VALUE"""),"Dato global")</f>
        <v>Dato global</v>
      </c>
      <c r="CF477" s="30" t="str">
        <f ca="1">IFERROR(__xludf.DUMMYFUNCTION("""COMPUTED_VALUE"""),"Ninguno (Población General)")</f>
        <v>Ninguno (Población General)</v>
      </c>
      <c r="CG477" s="30">
        <f ca="1">IFERROR(__xludf.DUMMYFUNCTION("""COMPUTED_VALUE"""),15)</f>
        <v>15</v>
      </c>
      <c r="CJ477" s="29"/>
      <c r="CM477" s="30" t="str">
        <f ca="1">IFERROR(__xludf.DUMMYFUNCTION("""COMPUTED_VALUE"""),"Salamanca")</f>
        <v>Salamanca</v>
      </c>
      <c r="CN477" s="32" t="e">
        <f ca="1"/>
        <v>#NAME?</v>
      </c>
      <c r="CO477" s="32" t="e">
        <f ca="1"/>
        <v>#NAME?</v>
      </c>
      <c r="CP477" s="32" t="e">
        <f ca="1"/>
        <v>#NAME?</v>
      </c>
      <c r="CQ477" s="32" t="e">
        <f ca="1"/>
        <v>#NAME?</v>
      </c>
      <c r="CR477" s="30" t="e">
        <f ca="1"/>
        <v>#NAME?</v>
      </c>
      <c r="CS477"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78" spans="1:97" ht="13">
      <c r="A478" s="29" t="str">
        <f ca="1">IFERROR(__xludf.DUMMYFUNCTION("""COMPUTED_VALUE"""),"ACT-SCYX71100")</f>
        <v>ACT-SCYX71100</v>
      </c>
      <c r="B478" s="30" t="str">
        <f ca="1">IFERROR(__xludf.DUMMYFUNCTION("""COMPUTED_VALUE"""),"SC-261002-125721")</f>
        <v>SC-261002-125721</v>
      </c>
      <c r="C478" s="62">
        <f ca="1">IFERROR(__xludf.DUMMYFUNCTION("""COMPUTED_VALUE"""),46297.5398263888)</f>
        <v>46297.539826388798</v>
      </c>
      <c r="D478" s="30">
        <f ca="1">IFERROR(__xludf.DUMMYFUNCTION("""COMPUTED_VALUE"""),92)</f>
        <v>92</v>
      </c>
      <c r="E478" s="30" t="str">
        <f ca="1">IFERROR(__xludf.DUMMYFUNCTION("""COMPUTED_VALUE"""),"PB3572")</f>
        <v>PB3572</v>
      </c>
      <c r="F47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7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78" s="30" t="str">
        <f ca="1">IFERROR(__xludf.DUMMYFUNCTION("""COMPUTED_VALUE"""),"SUBSECRETARÍA DE DESARROLLO Y PROMOCIÓN ARTÍSTICA Y CULTURAL")</f>
        <v>SUBSECRETARÍA DE DESARROLLO Y PROMOCIÓN ARTÍSTICA Y CULTURAL</v>
      </c>
      <c r="I478" s="34" t="str">
        <f ca="1">IFERROR(__xludf.DUMMYFUNCTION("""COMPUTED_VALUE"""),"DIRECCIÓN GENERAL DE MUSEOS, ARTES VISUALES Y EXPOSICIONES")</f>
        <v>DIRECCIÓN GENERAL DE MUSEOS, ARTES VISUALES Y EXPOSICIONES</v>
      </c>
      <c r="J478" s="30" t="str">
        <f ca="1">IFERROR(__xludf.DUMMYFUNCTION("""COMPUTED_VALUE"""),"Número de Actividades realizadas")</f>
        <v>Número de Actividades realizadas</v>
      </c>
      <c r="K478" s="30">
        <f ca="1">IFERROR(__xludf.DUMMYFUNCTION("""COMPUTED_VALUE"""),800)</f>
        <v>800</v>
      </c>
      <c r="L478" s="30" t="str">
        <f ca="1">IFERROR(__xludf.DUMMYFUNCTION("""COMPUTED_VALUE"""),"Cultural")</f>
        <v>Cultural</v>
      </c>
      <c r="M478" s="30" t="str">
        <f ca="1">IFERROR(__xludf.DUMMYFUNCTION("""COMPUTED_VALUE"""),"Visita Libre")</f>
        <v>Visita Libre</v>
      </c>
      <c r="N478" s="30" t="str">
        <f ca="1">IFERROR(__xludf.DUMMYFUNCTION("""COMPUTED_VALUE"""),"Recorrido guiado por el museo")</f>
        <v>Recorrido guiado por el museo</v>
      </c>
      <c r="O478" s="30" t="str">
        <f ca="1">IFERROR(__xludf.DUMMYFUNCTION("""COMPUTED_VALUE"""),"Única")</f>
        <v>Única</v>
      </c>
      <c r="P478" s="33">
        <f ca="1">IFERROR(__xludf.DUMMYFUNCTION("""COMPUTED_VALUE"""),46274)</f>
        <v>46274</v>
      </c>
      <c r="Q478" s="33">
        <f ca="1">IFERROR(__xludf.DUMMYFUNCTION("""COMPUTED_VALUE"""),46274)</f>
        <v>46274</v>
      </c>
      <c r="R478" s="30">
        <f ca="1">IFERROR(__xludf.DUMMYFUNCTION("""COMPUTED_VALUE"""),1)</f>
        <v>1</v>
      </c>
      <c r="S478" s="30" t="str">
        <f ca="1">IFERROR(__xludf.DUMMYFUNCTION("""COMPUTED_VALUE"""),"Cultura comunitaria")</f>
        <v>Cultura comunitaria</v>
      </c>
      <c r="T478" s="30" t="str">
        <f ca="1">IFERROR(__xludf.DUMMYFUNCTION("""COMPUTED_VALUE"""),"Formación comunitaria")</f>
        <v>Formación comunitaria</v>
      </c>
      <c r="U478" s="30" t="str">
        <f ca="1">IFERROR(__xludf.DUMMYFUNCTION("""COMPUTED_VALUE"""),"Visitas guiadas")</f>
        <v>Visitas guiadas</v>
      </c>
      <c r="V478" s="30" t="str">
        <f ca="1">IFERROR(__xludf.DUMMYFUNCTION("""COMPUTED_VALUE"""),"Ninguna")</f>
        <v>Ninguna</v>
      </c>
      <c r="W478" s="30" t="str">
        <f ca="1">IFERROR(__xludf.DUMMYFUNCTION("""COMPUTED_VALUE"""),"Presencial")</f>
        <v>Presencial</v>
      </c>
      <c r="X478" s="30" t="str">
        <f ca="1">IFERROR(__xludf.DUMMYFUNCTION("""COMPUTED_VALUE"""),"Espacio a Cargo de la Secretaría")</f>
        <v>Espacio a Cargo de la Secretaría</v>
      </c>
      <c r="Y478" s="30" t="str">
        <f ca="1">IFERROR(__xludf.DUMMYFUNCTION("""COMPUTED_VALUE"""),"Museo José y Tomas Chavez Morado")</f>
        <v>Museo José y Tomas Chavez Morado</v>
      </c>
      <c r="Z478" s="30"/>
      <c r="AA478" s="30"/>
      <c r="AB478" s="30" t="b">
        <f ca="1">IFERROR(__xludf.DUMMYFUNCTION("""COMPUTED_VALUE"""),FALSE)</f>
        <v>0</v>
      </c>
      <c r="AC478" s="30"/>
      <c r="AD478" s="30" t="b">
        <f ca="1">IFERROR(__xludf.DUMMYFUNCTION("""COMPUTED_VALUE"""),FALSE)</f>
        <v>0</v>
      </c>
      <c r="AE478" s="30"/>
      <c r="AF478" s="30" t="b">
        <f ca="1">IFERROR(__xludf.DUMMYFUNCTION("""COMPUTED_VALUE"""),FALSE)</f>
        <v>0</v>
      </c>
      <c r="AG478" s="30"/>
      <c r="AH478" s="30" t="str">
        <f ca="1">IFERROR(__xludf.DUMMYFUNCTION("""COMPUTED_VALUE"""),"Sin costo")</f>
        <v>Sin costo</v>
      </c>
      <c r="AI478" s="30"/>
      <c r="AJ478" s="30"/>
      <c r="AK478" s="30"/>
      <c r="AL478" s="30" t="str">
        <f ca="1">IFERROR(__xludf.DUMMYFUNCTION("""COMPUTED_VALUE"""),"ccardonav@guanajuato.gob.mx")</f>
        <v>ccardonav@guanajuato.gob.mx</v>
      </c>
      <c r="AM478" s="30" t="str">
        <f ca="1">IFERROR(__xludf.DUMMYFUNCTION("""COMPUTED_VALUE"""),"Arraigo y empoderamiento cultural de comunidades.")</f>
        <v>Arraigo y empoderamiento cultural de comunidades.</v>
      </c>
      <c r="AN478" s="30" t="str">
        <f ca="1">IFERROR(__xludf.DUMMYFUNCTION("""COMPUTED_VALUE"""),"1 Tranquilidad")</f>
        <v>1 Tranquilidad</v>
      </c>
      <c r="AO478" s="30" t="str">
        <f ca="1">IFERROR(__xludf.DUMMYFUNCTION("""COMPUTED_VALUE"""),"1.2 Fortalecer prevención del delito")</f>
        <v>1.2 Fortalecer prevención del delito</v>
      </c>
      <c r="AP478" s="30" t="str">
        <f ca="1">IFERROR(__xludf.DUMMYFUNCTION("""COMPUTED_VALUE"""),"1.2.2 Fortalecimiento del tejido social")</f>
        <v>1.2.2 Fortalecimiento del tejido social</v>
      </c>
      <c r="AQ478" s="30" t="str">
        <f ca="1">IFERROR(__xludf.DUMMYFUNCTION("""COMPUTED_VALUE"""),"1.2.3.4 Promover una cultura de paz desde las expresiones artísticas y culturales")</f>
        <v>1.2.3.4 Promover una cultura de paz desde las expresiones artísticas y culturales</v>
      </c>
      <c r="AR478" s="30" t="str">
        <f ca="1">IFERROR(__xludf.DUMMYFUNCTION("""COMPUTED_VALUE"""),"Cooperación")</f>
        <v>Cooperación</v>
      </c>
      <c r="AS478" s="30"/>
      <c r="AT478" s="30" t="str">
        <f ca="1">IFERROR(__xludf.DUMMYFUNCTION("""COMPUTED_VALUE"""),"Fortalecimiento de la participación ciudadana y la mediación cultural")</f>
        <v>Fortalecimiento de la participación ciudadana y la mediación cultural</v>
      </c>
      <c r="AU478" s="30" t="str">
        <f ca="1">IFERROR(__xludf.DUMMYFUNCTION("""COMPUTED_VALUE"""),"Impulso a la ampliación de la oferta cultural en los territorios.")</f>
        <v>Impulso a la ampliación de la oferta cultural en los territorios.</v>
      </c>
      <c r="AV47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78" s="30" t="str">
        <f ca="1">IFERROR(__xludf.DUMMYFUNCTION("""COMPUTED_VALUE"""),"Incrementar en 25% la oferta cultural realizada en los municipios.")</f>
        <v>Incrementar en 25% la oferta cultural realizada en los municipios.</v>
      </c>
      <c r="AX478" s="30" t="str">
        <f ca="1">IFERROR(__xludf.DUMMYFUNCTION("""COMPUTED_VALUE"""),"Visitas guiadas")</f>
        <v>Visitas guiadas</v>
      </c>
      <c r="AY478" s="30" t="str">
        <f ca="1">IFERROR(__xludf.DUMMYFUNCTION("""COMPUTED_VALUE"""),"Mediación")</f>
        <v>Mediación</v>
      </c>
      <c r="AZ478" s="30"/>
      <c r="BA478" s="30"/>
      <c r="BB478" s="30"/>
      <c r="BC478" s="30">
        <f ca="1">IFERROR(__xludf.DUMMYFUNCTION("""COMPUTED_VALUE"""),0)</f>
        <v>0</v>
      </c>
      <c r="BD478" s="30"/>
      <c r="BE478" s="30"/>
      <c r="BF478" s="30" t="b">
        <f ca="1">IFERROR(__xludf.DUMMYFUNCTION("""COMPUTED_VALUE"""),FALSE)</f>
        <v>0</v>
      </c>
      <c r="BG478" s="30"/>
      <c r="BH478" s="30"/>
      <c r="BI478" s="30"/>
      <c r="BJ478" s="30"/>
      <c r="BK478" s="30"/>
      <c r="BL478" s="30"/>
      <c r="BM478" s="30" t="str">
        <f ca="1">IFERROR(__xludf.DUMMYFUNCTION("""COMPUTED_VALUE"""),"No")</f>
        <v>No</v>
      </c>
      <c r="BN478" s="30"/>
      <c r="BO478" s="30" t="str">
        <f ca="1">IFERROR(__xludf.DUMMYFUNCTION("""COMPUTED_VALUE"""),"dd94e26e")</f>
        <v>dd94e26e</v>
      </c>
      <c r="BP478" s="29" t="str">
        <f ca="1">IFERROR(__xludf.DUMMYFUNCTION("""COMPUTED_VALUE"""),"Salamanca")</f>
        <v>Salamanca</v>
      </c>
      <c r="BQ478" s="30" t="str">
        <f ca="1">IFERROR(__xludf.DUMMYFUNCTION("""COMPUTED_VALUE"""),"Urbano")</f>
        <v>Urbano</v>
      </c>
      <c r="BR478" s="30">
        <f ca="1">IFERROR(__xludf.DUMMYFUNCTION("""COMPUTED_VALUE"""),181)</f>
        <v>181</v>
      </c>
      <c r="BS478" s="30" t="str">
        <f ca="1">IFERROR(__xludf.DUMMYFUNCTION("""COMPUTED_VALUE"""),"Salamanca")</f>
        <v>Salamanca</v>
      </c>
      <c r="BT478" s="30"/>
      <c r="BU478" s="30" t="str">
        <f ca="1">IFERROR(__xludf.DUMMYFUNCTION("""COMPUTED_VALUE"""),"Si")</f>
        <v>Si</v>
      </c>
      <c r="BV478" s="30" t="str">
        <f ca="1">IFERROR(__xludf.DUMMYFUNCTION("""COMPUTED_VALUE"""),"Si")</f>
        <v>Si</v>
      </c>
      <c r="BW478" s="30">
        <f ca="1">IFERROR(__xludf.DUMMYFUNCTION("""COMPUTED_VALUE"""),72)</f>
        <v>72</v>
      </c>
      <c r="BX478" s="30">
        <f ca="1">IFERROR(__xludf.DUMMYFUNCTION("""COMPUTED_VALUE"""),2)</f>
        <v>2</v>
      </c>
      <c r="BY478" s="30">
        <f ca="1">IFERROR(__xludf.DUMMYFUNCTION("""COMPUTED_VALUE"""),70)</f>
        <v>70</v>
      </c>
      <c r="BZ478" s="30" t="str">
        <f ca="1">IFERROR(__xludf.DUMMYFUNCTION("""COMPUTED_VALUE"""),"Salamanca")</f>
        <v>Salamanca</v>
      </c>
      <c r="CA478" s="30" t="str">
        <f ca="1">IFERROR(__xludf.DUMMYFUNCTION("""COMPUTED_VALUE"""),"No")</f>
        <v>No</v>
      </c>
      <c r="CB478" s="30" t="str">
        <f ca="1">IFERROR(__xludf.DUMMYFUNCTION("""COMPUTED_VALUE"""),"No")</f>
        <v>No</v>
      </c>
      <c r="CC478" s="30" t="str">
        <f ca="1">IFERROR(__xludf.DUMMYFUNCTION("""COMPUTED_VALUE"""),"56caf5a6")</f>
        <v>56caf5a6</v>
      </c>
      <c r="CD478" s="29" t="str">
        <f ca="1">IFERROR(__xludf.DUMMYFUNCTION("""COMPUTED_VALUE"""),"Jóvenes (18 a 29 años)")</f>
        <v>Jóvenes (18 a 29 años)</v>
      </c>
      <c r="CE478" s="30" t="str">
        <f ca="1">IFERROR(__xludf.DUMMYFUNCTION("""COMPUTED_VALUE"""),"No se cuenta con el dato")</f>
        <v>No se cuenta con el dato</v>
      </c>
      <c r="CF478" s="30" t="str">
        <f ca="1">IFERROR(__xludf.DUMMYFUNCTION("""COMPUTED_VALUE"""),"Ninguno (Población General)")</f>
        <v>Ninguno (Población General)</v>
      </c>
      <c r="CG478" s="30">
        <f ca="1">IFERROR(__xludf.DUMMYFUNCTION("""COMPUTED_VALUE"""),10)</f>
        <v>10</v>
      </c>
      <c r="CJ478" s="29"/>
      <c r="CM478" s="30" t="str">
        <f ca="1">IFERROR(__xludf.DUMMYFUNCTION("""COMPUTED_VALUE"""),"Salamanca")</f>
        <v>Salamanca</v>
      </c>
      <c r="CN478" s="32" t="e">
        <f ca="1"/>
        <v>#NAME?</v>
      </c>
      <c r="CO478" s="32" t="e">
        <f ca="1"/>
        <v>#NAME?</v>
      </c>
      <c r="CP478" s="32" t="e">
        <f ca="1"/>
        <v>#NAME?</v>
      </c>
      <c r="CQ478" s="32" t="e">
        <f ca="1"/>
        <v>#NAME?</v>
      </c>
      <c r="CR478" s="30" t="e">
        <f ca="1"/>
        <v>#NAME?</v>
      </c>
      <c r="CS478"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479" spans="1:97" ht="13">
      <c r="A479" s="29" t="str">
        <f ca="1">IFERROR(__xludf.DUMMYFUNCTION("""COMPUTED_VALUE"""),"ACT-SCMB16984")</f>
        <v>ACT-SCMB16984</v>
      </c>
      <c r="B479" s="30" t="str">
        <f ca="1">IFERROR(__xludf.DUMMYFUNCTION("""COMPUTED_VALUE"""),"SC-261002-115909")</f>
        <v>SC-261002-115909</v>
      </c>
      <c r="C479" s="62">
        <f ca="1">IFERROR(__xludf.DUMMYFUNCTION("""COMPUTED_VALUE"""),46297.4994097222)</f>
        <v>46297.499409722201</v>
      </c>
      <c r="D479" s="30">
        <f ca="1">IFERROR(__xludf.DUMMYFUNCTION("""COMPUTED_VALUE"""),71)</f>
        <v>71</v>
      </c>
      <c r="E479" s="30" t="str">
        <f ca="1">IFERROR(__xludf.DUMMYFUNCTION("""COMPUTED_VALUE"""),"PB3567")</f>
        <v>PB3567</v>
      </c>
      <c r="F479" s="30" t="str">
        <f ca="1">IFERROR(__xludf.DUMMYFUNCTION("""COMPUTED_VALUE"""),"Formación e Investigación Artística")</f>
        <v>Formación e Investigación Artística</v>
      </c>
      <c r="G479"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79" s="30" t="str">
        <f ca="1">IFERROR(__xludf.DUMMYFUNCTION("""COMPUTED_VALUE"""),"SUBSECRETARÍA DE DESARROLLO COMUNITARIO Y PROMOCIÓN PATRIMONIAL")</f>
        <v>SUBSECRETARÍA DE DESARROLLO COMUNITARIO Y PROMOCIÓN PATRIMONIAL</v>
      </c>
      <c r="I479" s="34" t="str">
        <f ca="1">IFERROR(__xludf.DUMMYFUNCTION("""COMPUTED_VALUE"""),"DIRECCIÓN GENERAL DE FORMACIÓN E INVESTIGACIÓN")</f>
        <v>DIRECCIÓN GENERAL DE FORMACIÓN E INVESTIGACIÓN</v>
      </c>
      <c r="J479" s="30" t="str">
        <f ca="1">IFERROR(__xludf.DUMMYFUNCTION("""COMPUTED_VALUE"""),"Cursos, talleres, diplomados realizados")</f>
        <v>Cursos, talleres, diplomados realizados</v>
      </c>
      <c r="K479" s="30">
        <f ca="1">IFERROR(__xludf.DUMMYFUNCTION("""COMPUTED_VALUE"""),4)</f>
        <v>4</v>
      </c>
      <c r="L479" s="30" t="str">
        <f ca="1">IFERROR(__xludf.DUMMYFUNCTION("""COMPUTED_VALUE"""),"Artística")</f>
        <v>Artística</v>
      </c>
      <c r="M479" s="30" t="str">
        <f ca="1">IFERROR(__xludf.DUMMYFUNCTION("""COMPUTED_VALUE"""),"Laboratorio Creativo:  Alas para volar: creación y montaje escénico en artes escénicas y multidisciplinarias")</f>
        <v>Laboratorio Creativo:  Alas para volar: creación y montaje escénico en artes escénicas y multidisciplinarias</v>
      </c>
      <c r="N479" s="30" t="str">
        <f ca="1">IFERROR(__xludf.DUMMYFUNCTION("""COMPUTED_VALUE"""),"generar un espacio  para explorar, experimentar y desarrollar  la creación colectiva.En forma alternada se abarcaron los siguientes temas: La danza y la expresión corporal; El ritmo y la improvisación;La danza y el espacio escénico;Relación del cuerpo y e"&amp;"l objeto; Mi guion escénico (estimular mi propia voz y la de mi comunidad). A la par de la formación académica se trazaron posibles escenas que conformarán el producto final.")</f>
        <v>generar un espacio  para explorar, experimentar y desarrollar  la creación colectiva.En forma alternada se abarcaron los siguientes temas: La danza y la expresión corporal; El ritmo y la improvisación;La danza y el espacio escénico;Relación del cuerpo y el objeto; Mi guion escénico (estimular mi propia voz y la de mi comunidad). A la par de la formación académica se trazaron posibles escenas que conformarán el producto final.</v>
      </c>
      <c r="O479" s="30" t="str">
        <f ca="1">IFERROR(__xludf.DUMMYFUNCTION("""COMPUTED_VALUE"""),"Diaria")</f>
        <v>Diaria</v>
      </c>
      <c r="P479" s="33">
        <f ca="1">IFERROR(__xludf.DUMMYFUNCTION("""COMPUTED_VALUE"""),46207)</f>
        <v>46207</v>
      </c>
      <c r="Q479" s="33">
        <f ca="1">IFERROR(__xludf.DUMMYFUNCTION("""COMPUTED_VALUE"""),46249)</f>
        <v>46249</v>
      </c>
      <c r="R479" s="30">
        <f ca="1">IFERROR(__xludf.DUMMYFUNCTION("""COMPUTED_VALUE"""),1)</f>
        <v>1</v>
      </c>
      <c r="S479" s="30" t="str">
        <f ca="1">IFERROR(__xludf.DUMMYFUNCTION("""COMPUTED_VALUE"""),"Artes escénicas")</f>
        <v>Artes escénicas</v>
      </c>
      <c r="T479" s="30" t="str">
        <f ca="1">IFERROR(__xludf.DUMMYFUNCTION("""COMPUTED_VALUE"""),"Danza contemporánea")</f>
        <v>Danza contemporánea</v>
      </c>
      <c r="U479" s="30" t="str">
        <f ca="1">IFERROR(__xludf.DUMMYFUNCTION("""COMPUTED_VALUE"""),"Taller")</f>
        <v>Taller</v>
      </c>
      <c r="V479" s="30" t="str">
        <f ca="1">IFERROR(__xludf.DUMMYFUNCTION("""COMPUTED_VALUE"""),"Ninguna")</f>
        <v>Ninguna</v>
      </c>
      <c r="W479" s="30" t="str">
        <f ca="1">IFERROR(__xludf.DUMMYFUNCTION("""COMPUTED_VALUE"""),"Presencial")</f>
        <v>Presencial</v>
      </c>
      <c r="X479" s="30" t="str">
        <f ca="1">IFERROR(__xludf.DUMMYFUNCTION("""COMPUTED_VALUE"""),"Espacio préstamo a la Secretaría de Cultura")</f>
        <v>Espacio préstamo a la Secretaría de Cultura</v>
      </c>
      <c r="Y479" s="30"/>
      <c r="Z479" s="30"/>
      <c r="AA479" s="30"/>
      <c r="AB479" s="30" t="b">
        <f ca="1">IFERROR(__xludf.DUMMYFUNCTION("""COMPUTED_VALUE"""),FALSE)</f>
        <v>0</v>
      </c>
      <c r="AC479" s="30"/>
      <c r="AD479" s="30" t="b">
        <f ca="1">IFERROR(__xludf.DUMMYFUNCTION("""COMPUTED_VALUE"""),TRUE)</f>
        <v>1</v>
      </c>
      <c r="AE479" s="30">
        <f ca="1">IFERROR(__xludf.DUMMYFUNCTION("""COMPUTED_VALUE"""),1)</f>
        <v>1</v>
      </c>
      <c r="AF479" s="30" t="b">
        <f ca="1">IFERROR(__xludf.DUMMYFUNCTION("""COMPUTED_VALUE"""),FALSE)</f>
        <v>0</v>
      </c>
      <c r="AG479" s="30"/>
      <c r="AH479" s="30" t="str">
        <f ca="1">IFERROR(__xludf.DUMMYFUNCTION("""COMPUTED_VALUE"""),"Sin costo")</f>
        <v>Sin costo</v>
      </c>
      <c r="AI479" s="30"/>
      <c r="AJ479" s="30"/>
      <c r="AK479" s="30"/>
      <c r="AL479" s="30" t="str">
        <f ca="1">IFERROR(__xludf.DUMMYFUNCTION("""COMPUTED_VALUE"""),"claudia.ramirezm@guanajuato.gob.mx")</f>
        <v>claudia.ramirezm@guanajuato.gob.mx</v>
      </c>
      <c r="AM479" s="30" t="str">
        <f ca="1">IFERROR(__xludf.DUMMYFUNCTION("""COMPUTED_VALUE"""),"Mayor inversión en conservación del patrimonio artístico y cultural.")</f>
        <v>Mayor inversión en conservación del patrimonio artístico y cultural.</v>
      </c>
      <c r="AN479" s="30" t="str">
        <f ca="1">IFERROR(__xludf.DUMMYFUNCTION("""COMPUTED_VALUE"""),"2 Igualdad")</f>
        <v>2 Igualdad</v>
      </c>
      <c r="AO479" s="30" t="str">
        <f ca="1">IFERROR(__xludf.DUMMYFUNCTION("""COMPUTED_VALUE"""),"2.2 Fortalecer cohesión social")</f>
        <v>2.2 Fortalecer cohesión social</v>
      </c>
      <c r="AP479" s="30" t="str">
        <f ca="1">IFERROR(__xludf.DUMMYFUNCTION("""COMPUTED_VALUE"""),"2.2 Fortalecer cohesión social")</f>
        <v>2.2 Fortalecer cohesión social</v>
      </c>
      <c r="AQ479" s="30" t="str">
        <f ca="1">IFERROR(__xludf.DUMMYFUNCTION("""COMPUTED_VALUE"""),"2.2.3.2 Promover la participación de grupos prioritarios en actividades culturales")</f>
        <v>2.2.3.2 Promover la participación de grupos prioritarios en actividades culturales</v>
      </c>
      <c r="AR479" s="30" t="str">
        <f ca="1">IFERROR(__xludf.DUMMYFUNCTION("""COMPUTED_VALUE"""),"Inclusión")</f>
        <v>Inclusión</v>
      </c>
      <c r="AS479" s="30" t="str">
        <f ca="1">IFERROR(__xludf.DUMMYFUNCTION("""COMPUTED_VALUE"""),"Ninguno (Población General)")</f>
        <v>Ninguno (Población General)</v>
      </c>
      <c r="AT479" s="30" t="str">
        <f ca="1">IFERROR(__xludf.DUMMYFUNCTION("""COMPUTED_VALUE"""),"Impulso a la educación artística y a la profesionalización del sector cultural")</f>
        <v>Impulso a la educación artística y a la profesionalización del sector cultural</v>
      </c>
      <c r="AU479" s="30" t="str">
        <f ca="1">IFERROR(__xludf.DUMMYFUNCTION("""COMPUTED_VALUE"""),"Impulso a programas de formación y profesionalización para agentes culturales.")</f>
        <v>Impulso a programas de formación y profesionalización para agentes culturales.</v>
      </c>
      <c r="AV479"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79" s="30" t="str">
        <f ca="1">IFERROR(__xludf.DUMMYFUNCTION("""COMPUTED_VALUE"""),"Incrementar un 30% la oferta de formación y profesionalización para agentes culturales.")</f>
        <v>Incrementar un 30% la oferta de formación y profesionalización para agentes culturales.</v>
      </c>
      <c r="AX479" s="30" t="str">
        <f ca="1">IFERROR(__xludf.DUMMYFUNCTION("""COMPUTED_VALUE"""),"Taller")</f>
        <v>Taller</v>
      </c>
      <c r="AY479" s="30" t="str">
        <f ca="1">IFERROR(__xludf.DUMMYFUNCTION("""COMPUTED_VALUE"""),"Formación")</f>
        <v>Formación</v>
      </c>
      <c r="AZ479" s="30" t="str">
        <f ca="1">IFERROR(__xludf.DUMMYFUNCTION("""COMPUTED_VALUE"""),"Formación")</f>
        <v>Formación</v>
      </c>
      <c r="BA479" s="30"/>
      <c r="BB479" s="30">
        <f ca="1">IFERROR(__xludf.DUMMYFUNCTION("""COMPUTED_VALUE"""),5)</f>
        <v>5</v>
      </c>
      <c r="BC479" s="30">
        <f ca="1">IFERROR(__xludf.DUMMYFUNCTION("""COMPUTED_VALUE"""),1)</f>
        <v>1</v>
      </c>
      <c r="BD479" s="30" t="str">
        <f ca="1">IFERROR(__xludf.DUMMYFUNCTION("""COMPUTED_VALUE"""),"Nuevo")</f>
        <v>Nuevo</v>
      </c>
      <c r="BE479" s="30" t="str">
        <f ca="1">IFERROR(__xludf.DUMMYFUNCTION("""COMPUTED_VALUE"""),"Cynthya Lorena Sepulveda")</f>
        <v>Cynthya Lorena Sepulveda</v>
      </c>
      <c r="BF479" s="30" t="b">
        <f ca="1">IFERROR(__xludf.DUMMYFUNCTION("""COMPUTED_VALUE"""),TRUE)</f>
        <v>1</v>
      </c>
      <c r="BG479" s="30" t="str">
        <f ca="1">IFERROR(__xludf.DUMMYFUNCTION("""COMPUTED_VALUE"""),"Económico")</f>
        <v>Económico</v>
      </c>
      <c r="BH479" s="30">
        <f ca="1">IFERROR(__xludf.DUMMYFUNCTION("""COMPUTED_VALUE"""),46655.17)</f>
        <v>46655.17</v>
      </c>
      <c r="BI479" s="30"/>
      <c r="BJ479" s="30"/>
      <c r="BK479" s="30"/>
      <c r="BL479" s="30"/>
      <c r="BM479" s="30" t="str">
        <f ca="1">IFERROR(__xludf.DUMMYFUNCTION("""COMPUTED_VALUE"""),"No")</f>
        <v>No</v>
      </c>
      <c r="BN479" s="30"/>
      <c r="BO479" s="30" t="str">
        <f ca="1">IFERROR(__xludf.DUMMYFUNCTION("""COMPUTED_VALUE"""),"9e260de4")</f>
        <v>9e260de4</v>
      </c>
      <c r="BP479" s="29" t="str">
        <f ca="1">IFERROR(__xludf.DUMMYFUNCTION("""COMPUTED_VALUE"""),"Villagrán")</f>
        <v>Villagrán</v>
      </c>
      <c r="BQ479" s="30" t="str">
        <f ca="1">IFERROR(__xludf.DUMMYFUNCTION("""COMPUTED_VALUE"""),"Urbano")</f>
        <v>Urbano</v>
      </c>
      <c r="BR479" s="30">
        <f ca="1">IFERROR(__xludf.DUMMYFUNCTION("""COMPUTED_VALUE"""),232)</f>
        <v>232</v>
      </c>
      <c r="BS479" s="30" t="str">
        <f ca="1">IFERROR(__xludf.DUMMYFUNCTION("""COMPUTED_VALUE"""),"Villagrán")</f>
        <v>Villagrán</v>
      </c>
      <c r="BT479" s="30"/>
      <c r="BU479" s="30" t="str">
        <f ca="1">IFERROR(__xludf.DUMMYFUNCTION("""COMPUTED_VALUE"""),"Si")</f>
        <v>Si</v>
      </c>
      <c r="BV479" s="30" t="str">
        <f ca="1">IFERROR(__xludf.DUMMYFUNCTION("""COMPUTED_VALUE"""),"Si")</f>
        <v>Si</v>
      </c>
      <c r="BW479" s="30">
        <f ca="1">IFERROR(__xludf.DUMMYFUNCTION("""COMPUTED_VALUE"""),40)</f>
        <v>40</v>
      </c>
      <c r="BX479" s="30">
        <f ca="1">IFERROR(__xludf.DUMMYFUNCTION("""COMPUTED_VALUE"""),4)</f>
        <v>4</v>
      </c>
      <c r="BY479" s="30">
        <f ca="1">IFERROR(__xludf.DUMMYFUNCTION("""COMPUTED_VALUE"""),36)</f>
        <v>36</v>
      </c>
      <c r="BZ479" s="30" t="str">
        <f ca="1">IFERROR(__xludf.DUMMYFUNCTION("""COMPUTED_VALUE"""),"Villagrán")</f>
        <v>Villagrán</v>
      </c>
      <c r="CA479" s="30" t="str">
        <f ca="1">IFERROR(__xludf.DUMMYFUNCTION("""COMPUTED_VALUE"""),"No")</f>
        <v>No</v>
      </c>
      <c r="CB479" s="30" t="str">
        <f ca="1">IFERROR(__xludf.DUMMYFUNCTION("""COMPUTED_VALUE"""),"No")</f>
        <v>No</v>
      </c>
      <c r="CC479" s="30" t="str">
        <f ca="1">IFERROR(__xludf.DUMMYFUNCTION("""COMPUTED_VALUE"""),"eeb045d8")</f>
        <v>eeb045d8</v>
      </c>
      <c r="CD479" s="29" t="str">
        <f ca="1">IFERROR(__xludf.DUMMYFUNCTION("""COMPUTED_VALUE"""),"Niñas y Niños (6 a 12 años)")</f>
        <v>Niñas y Niños (6 a 12 años)</v>
      </c>
      <c r="CE479" s="30" t="str">
        <f ca="1">IFERROR(__xludf.DUMMYFUNCTION("""COMPUTED_VALUE"""),"No se cuenta con el dato")</f>
        <v>No se cuenta con el dato</v>
      </c>
      <c r="CF479" s="30" t="str">
        <f ca="1">IFERROR(__xludf.DUMMYFUNCTION("""COMPUTED_VALUE"""),"Ninguno (Población General)")</f>
        <v>Ninguno (Población General)</v>
      </c>
      <c r="CG479" s="30">
        <f ca="1">IFERROR(__xludf.DUMMYFUNCTION("""COMPUTED_VALUE"""),5)</f>
        <v>5</v>
      </c>
      <c r="CJ479" s="29"/>
      <c r="CM479" s="30" t="str">
        <f ca="1">IFERROR(__xludf.DUMMYFUNCTION("""COMPUTED_VALUE"""),"Salamanca")</f>
        <v>Salamanca</v>
      </c>
      <c r="CN479" s="32" t="e">
        <f ca="1"/>
        <v>#NAME?</v>
      </c>
      <c r="CO479" s="32" t="e">
        <f ca="1"/>
        <v>#NAME?</v>
      </c>
      <c r="CP479" s="32" t="e">
        <f ca="1"/>
        <v>#NAME?</v>
      </c>
      <c r="CQ479" s="32" t="e">
        <f ca="1"/>
        <v>#NAME?</v>
      </c>
      <c r="CR479" s="30" t="e">
        <f ca="1"/>
        <v>#NAME?</v>
      </c>
      <c r="CS479"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480" spans="1:97" ht="13">
      <c r="A480" s="29" t="str">
        <f ca="1">IFERROR(__xludf.DUMMYFUNCTION("""COMPUTED_VALUE"""),"ACT-SCIR74848")</f>
        <v>ACT-SCIR74848</v>
      </c>
      <c r="B480" s="30" t="str">
        <f ca="1">IFERROR(__xludf.DUMMYFUNCTION("""COMPUTED_VALUE"""),"SC-261002-132858")</f>
        <v>SC-261002-132858</v>
      </c>
      <c r="C480" s="62">
        <f ca="1">IFERROR(__xludf.DUMMYFUNCTION("""COMPUTED_VALUE"""),46297.5617824074)</f>
        <v>46297.5617824074</v>
      </c>
      <c r="D480" s="30">
        <f ca="1">IFERROR(__xludf.DUMMYFUNCTION("""COMPUTED_VALUE"""),30)</f>
        <v>30</v>
      </c>
      <c r="E480" s="30" t="str">
        <f ca="1">IFERROR(__xludf.DUMMYFUNCTION("""COMPUTED_VALUE"""),"QC4049")</f>
        <v>QC4049</v>
      </c>
      <c r="F480" s="30" t="str">
        <f ca="1">IFERROR(__xludf.DUMMYFUNCTION("""COMPUTED_VALUE"""),"Centro de las Artes de Guanajuato, Claustro Mayor")</f>
        <v>Centro de las Artes de Guanajuato, Claustro Mayor</v>
      </c>
      <c r="G480" s="30" t="str">
        <f ca="1">IFERROR(__xludf.DUMMYFUNCTION("""COMPUTED_VALUE"""),"Programa artístico del Centro de las Artes de Guanajuato en el Claustro Mayor, consistente en presentaciones de danza, teatro y música en Salamanca")</f>
        <v>Programa artístico del Centro de las Artes de Guanajuato en el Claustro Mayor, consistente en presentaciones de danza, teatro y música en Salamanca</v>
      </c>
      <c r="H480" s="30" t="str">
        <f ca="1">IFERROR(__xludf.DUMMYFUNCTION("""COMPUTED_VALUE"""),"SUBSECRETARÍA DE DESARROLLO COMUNITARIO Y PROMOCIÓN PATRIMONIAL")</f>
        <v>SUBSECRETARÍA DE DESARROLLO COMUNITARIO Y PROMOCIÓN PATRIMONIAL</v>
      </c>
      <c r="I480" s="34" t="str">
        <f ca="1">IFERROR(__xludf.DUMMYFUNCTION("""COMPUTED_VALUE"""),"DIRECCIÓN GENERAL DE FORMACIÓN E INVESTIGACIÓN")</f>
        <v>DIRECCIÓN GENERAL DE FORMACIÓN E INVESTIGACIÓN</v>
      </c>
      <c r="J480" s="30" t="str">
        <f ca="1">IFERROR(__xludf.DUMMYFUNCTION("""COMPUTED_VALUE"""),"Eventos realizados")</f>
        <v>Eventos realizados</v>
      </c>
      <c r="K480" s="30">
        <f ca="1">IFERROR(__xludf.DUMMYFUNCTION("""COMPUTED_VALUE"""),4)</f>
        <v>4</v>
      </c>
      <c r="L480" s="30" t="str">
        <f ca="1">IFERROR(__xludf.DUMMYFUNCTION("""COMPUTED_VALUE"""),"Artística")</f>
        <v>Artística</v>
      </c>
      <c r="M480" s="30" t="str">
        <f ca="1">IFERROR(__xludf.DUMMYFUNCTION("""COMPUTED_VALUE"""),"Diplomado en danza contemporánea: Ejes de Creación escénica y multidisciplinaria")</f>
        <v>Diplomado en danza contemporánea: Ejes de Creación escénica y multidisciplinaria</v>
      </c>
      <c r="N480" s="30" t="str">
        <f ca="1">IFERROR(__xludf.DUMMYFUNCTION("""COMPUTED_VALUE"""),"Las personas participantes, en base a los conceptos aprendidos,  presentaron sus ejercicios individuales, haciendo equipos colaborativos, abordando las diversas ideas y temáticas que ellos mismos propusieron.")</f>
        <v>Las personas participantes, en base a los conceptos aprendidos,  presentaron sus ejercicios individuales, haciendo equipos colaborativos, abordando las diversas ideas y temáticas que ellos mismos propusieron.</v>
      </c>
      <c r="O480" s="30" t="str">
        <f ca="1">IFERROR(__xludf.DUMMYFUNCTION("""COMPUTED_VALUE"""),"Diaria")</f>
        <v>Diaria</v>
      </c>
      <c r="P480" s="33">
        <f ca="1">IFERROR(__xludf.DUMMYFUNCTION("""COMPUTED_VALUE"""),46134)</f>
        <v>46134</v>
      </c>
      <c r="Q480" s="33">
        <f ca="1">IFERROR(__xludf.DUMMYFUNCTION("""COMPUTED_VALUE"""),46256)</f>
        <v>46256</v>
      </c>
      <c r="R480" s="30">
        <f ca="1">IFERROR(__xludf.DUMMYFUNCTION("""COMPUTED_VALUE"""),100)</f>
        <v>100</v>
      </c>
      <c r="S480" s="30" t="str">
        <f ca="1">IFERROR(__xludf.DUMMYFUNCTION("""COMPUTED_VALUE"""),"Artes escénicas")</f>
        <v>Artes escénicas</v>
      </c>
      <c r="T480" s="30" t="str">
        <f ca="1">IFERROR(__xludf.DUMMYFUNCTION("""COMPUTED_VALUE"""),"Danza contemporánea")</f>
        <v>Danza contemporánea</v>
      </c>
      <c r="U480" s="30" t="str">
        <f ca="1">IFERROR(__xludf.DUMMYFUNCTION("""COMPUTED_VALUE"""),"Diplomado")</f>
        <v>Diplomado</v>
      </c>
      <c r="V480" s="30" t="str">
        <f ca="1">IFERROR(__xludf.DUMMYFUNCTION("""COMPUTED_VALUE"""),"Ninguna")</f>
        <v>Ninguna</v>
      </c>
      <c r="W480" s="30" t="str">
        <f ca="1">IFERROR(__xludf.DUMMYFUNCTION("""COMPUTED_VALUE"""),"Híbrido")</f>
        <v>Híbrido</v>
      </c>
      <c r="X480" s="30" t="str">
        <f ca="1">IFERROR(__xludf.DUMMYFUNCTION("""COMPUTED_VALUE"""),"Espacio préstamo a la Secretaría de Cultura")</f>
        <v>Espacio préstamo a la Secretaría de Cultura</v>
      </c>
      <c r="Y480" s="30"/>
      <c r="Z480" s="30"/>
      <c r="AA480" s="30"/>
      <c r="AB480" s="30" t="b">
        <f ca="1">IFERROR(__xludf.DUMMYFUNCTION("""COMPUTED_VALUE"""),FALSE)</f>
        <v>0</v>
      </c>
      <c r="AC480" s="30"/>
      <c r="AD480" s="30" t="b">
        <f ca="1">IFERROR(__xludf.DUMMYFUNCTION("""COMPUTED_VALUE"""),TRUE)</f>
        <v>1</v>
      </c>
      <c r="AE480" s="30">
        <f ca="1">IFERROR(__xludf.DUMMYFUNCTION("""COMPUTED_VALUE"""),1)</f>
        <v>1</v>
      </c>
      <c r="AF480" s="30" t="b">
        <f ca="1">IFERROR(__xludf.DUMMYFUNCTION("""COMPUTED_VALUE"""),FALSE)</f>
        <v>0</v>
      </c>
      <c r="AG480" s="30"/>
      <c r="AH480" s="30" t="str">
        <f ca="1">IFERROR(__xludf.DUMMYFUNCTION("""COMPUTED_VALUE"""),"Sin costo")</f>
        <v>Sin costo</v>
      </c>
      <c r="AI480" s="30"/>
      <c r="AJ480" s="30"/>
      <c r="AK480" s="30"/>
      <c r="AL480" s="30" t="str">
        <f ca="1">IFERROR(__xludf.DUMMYFUNCTION("""COMPUTED_VALUE"""),"claudia.ramirezm@guanajuato.gob.mx")</f>
        <v>claudia.ramirezm@guanajuato.gob.mx</v>
      </c>
      <c r="AM480" s="30" t="str">
        <f ca="1">IFERROR(__xludf.DUMMYFUNCTION("""COMPUTED_VALUE"""),"Mayor inversión en conservación del patrimonio artístico y cultural.")</f>
        <v>Mayor inversión en conservación del patrimonio artístico y cultural.</v>
      </c>
      <c r="AN480" s="30" t="str">
        <f ca="1">IFERROR(__xludf.DUMMYFUNCTION("""COMPUTED_VALUE"""),"2 Igualdad")</f>
        <v>2 Igualdad</v>
      </c>
      <c r="AO480" s="30" t="str">
        <f ca="1">IFERROR(__xludf.DUMMYFUNCTION("""COMPUTED_VALUE"""),"2.2 Fortalecer cohesión social")</f>
        <v>2.2 Fortalecer cohesión social</v>
      </c>
      <c r="AP480" s="30" t="str">
        <f ca="1">IFERROR(__xludf.DUMMYFUNCTION("""COMPUTED_VALUE"""),"2.2 Fortalecer cohesión social")</f>
        <v>2.2 Fortalecer cohesión social</v>
      </c>
      <c r="AQ480" s="30" t="str">
        <f ca="1">IFERROR(__xludf.DUMMYFUNCTION("""COMPUTED_VALUE"""),"2.2.3.2 Promover la participación de grupos prioritarios en actividades culturales")</f>
        <v>2.2.3.2 Promover la participación de grupos prioritarios en actividades culturales</v>
      </c>
      <c r="AR480" s="30" t="str">
        <f ca="1">IFERROR(__xludf.DUMMYFUNCTION("""COMPUTED_VALUE"""),"Inclusión")</f>
        <v>Inclusión</v>
      </c>
      <c r="AS480" s="30" t="str">
        <f ca="1">IFERROR(__xludf.DUMMYFUNCTION("""COMPUTED_VALUE"""),"Ninguno (Población General)")</f>
        <v>Ninguno (Población General)</v>
      </c>
      <c r="AT480" s="30" t="str">
        <f ca="1">IFERROR(__xludf.DUMMYFUNCTION("""COMPUTED_VALUE"""),"Impulso a la educación artística y a la profesionalización del sector cultural")</f>
        <v>Impulso a la educación artística y a la profesionalización del sector cultural</v>
      </c>
      <c r="AU480" s="30" t="str">
        <f ca="1">IFERROR(__xludf.DUMMYFUNCTION("""COMPUTED_VALUE"""),"Impulso a programas de formación y profesionalización para agentes culturales.")</f>
        <v>Impulso a programas de formación y profesionalización para agentes culturales.</v>
      </c>
      <c r="AV480"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0" s="30" t="str">
        <f ca="1">IFERROR(__xludf.DUMMYFUNCTION("""COMPUTED_VALUE"""),"Incrementar un 30% la oferta de formación y profesionalización para agentes culturales.")</f>
        <v>Incrementar un 30% la oferta de formación y profesionalización para agentes culturales.</v>
      </c>
      <c r="AX480" s="30" t="str">
        <f ca="1">IFERROR(__xludf.DUMMYFUNCTION("""COMPUTED_VALUE"""),"Diplomado")</f>
        <v>Diplomado</v>
      </c>
      <c r="AY480" s="30" t="str">
        <f ca="1">IFERROR(__xludf.DUMMYFUNCTION("""COMPUTED_VALUE"""),"Formación")</f>
        <v>Formación</v>
      </c>
      <c r="AZ480" s="30" t="str">
        <f ca="1">IFERROR(__xludf.DUMMYFUNCTION("""COMPUTED_VALUE"""),"Formación")</f>
        <v>Formación</v>
      </c>
      <c r="BA480" s="30"/>
      <c r="BB480" s="30">
        <f ca="1">IFERROR(__xludf.DUMMYFUNCTION("""COMPUTED_VALUE"""),5)</f>
        <v>5</v>
      </c>
      <c r="BC480" s="30">
        <f ca="1">IFERROR(__xludf.DUMMYFUNCTION("""COMPUTED_VALUE"""),1)</f>
        <v>1</v>
      </c>
      <c r="BD480" s="30" t="str">
        <f ca="1">IFERROR(__xludf.DUMMYFUNCTION("""COMPUTED_VALUE"""),"Nuevo")</f>
        <v>Nuevo</v>
      </c>
      <c r="BE480" s="30" t="str">
        <f ca="1">IFERROR(__xludf.DUMMYFUNCTION("""COMPUTED_VALUE"""),"Johnny Millán Cazares")</f>
        <v>Johnny Millán Cazares</v>
      </c>
      <c r="BF480" s="30" t="b">
        <f ca="1">IFERROR(__xludf.DUMMYFUNCTION("""COMPUTED_VALUE"""),TRUE)</f>
        <v>1</v>
      </c>
      <c r="BG480" s="30" t="str">
        <f ca="1">IFERROR(__xludf.DUMMYFUNCTION("""COMPUTED_VALUE"""),"Económico")</f>
        <v>Económico</v>
      </c>
      <c r="BH480" s="30">
        <f ca="1">IFERROR(__xludf.DUMMYFUNCTION("""COMPUTED_VALUE"""),135000)</f>
        <v>135000</v>
      </c>
      <c r="BI480" s="30"/>
      <c r="BJ480" s="30"/>
      <c r="BK480" s="30"/>
      <c r="BL480" s="30"/>
      <c r="BM480" s="30" t="str">
        <f ca="1">IFERROR(__xludf.DUMMYFUNCTION("""COMPUTED_VALUE"""),"No")</f>
        <v>No</v>
      </c>
      <c r="BN480" s="30"/>
      <c r="BO480" s="30" t="str">
        <f ca="1">IFERROR(__xludf.DUMMYFUNCTION("""COMPUTED_VALUE"""),"fe7dd62d")</f>
        <v>fe7dd62d</v>
      </c>
      <c r="BP480" s="29" t="str">
        <f ca="1">IFERROR(__xludf.DUMMYFUNCTION("""COMPUTED_VALUE"""),"Salamanca")</f>
        <v>Salamanca</v>
      </c>
      <c r="BQ480" s="30" t="str">
        <f ca="1">IFERROR(__xludf.DUMMYFUNCTION("""COMPUTED_VALUE"""),"Urbano")</f>
        <v>Urbano</v>
      </c>
      <c r="BR480" s="30">
        <f ca="1">IFERROR(__xludf.DUMMYFUNCTION("""COMPUTED_VALUE"""),181)</f>
        <v>181</v>
      </c>
      <c r="BS480" s="30" t="str">
        <f ca="1">IFERROR(__xludf.DUMMYFUNCTION("""COMPUTED_VALUE"""),"Salamanca")</f>
        <v>Salamanca</v>
      </c>
      <c r="BT480" s="30"/>
      <c r="BU480" s="30" t="str">
        <f ca="1">IFERROR(__xludf.DUMMYFUNCTION("""COMPUTED_VALUE"""),"Si")</f>
        <v>Si</v>
      </c>
      <c r="BV480" s="30" t="str">
        <f ca="1">IFERROR(__xludf.DUMMYFUNCTION("""COMPUTED_VALUE"""),"Si")</f>
        <v>Si</v>
      </c>
      <c r="BW480" s="30">
        <f ca="1">IFERROR(__xludf.DUMMYFUNCTION("""COMPUTED_VALUE"""),84)</f>
        <v>84</v>
      </c>
      <c r="BX480" s="30">
        <f ca="1">IFERROR(__xludf.DUMMYFUNCTION("""COMPUTED_VALUE"""),4)</f>
        <v>4</v>
      </c>
      <c r="BY480" s="30">
        <f ca="1">IFERROR(__xludf.DUMMYFUNCTION("""COMPUTED_VALUE"""),80)</f>
        <v>80</v>
      </c>
      <c r="BZ480" s="30" t="str">
        <f ca="1">IFERROR(__xludf.DUMMYFUNCTION("""COMPUTED_VALUE"""),"Salamanca")</f>
        <v>Salamanca</v>
      </c>
      <c r="CA480" s="30" t="str">
        <f ca="1">IFERROR(__xludf.DUMMYFUNCTION("""COMPUTED_VALUE"""),"No")</f>
        <v>No</v>
      </c>
      <c r="CB480" s="30" t="str">
        <f ca="1">IFERROR(__xludf.DUMMYFUNCTION("""COMPUTED_VALUE"""),"No")</f>
        <v>No</v>
      </c>
      <c r="CC480" s="30" t="str">
        <f ca="1">IFERROR(__xludf.DUMMYFUNCTION("""COMPUTED_VALUE"""),"04306c12")</f>
        <v>04306c12</v>
      </c>
      <c r="CD480" s="29" t="str">
        <f ca="1">IFERROR(__xludf.DUMMYFUNCTION("""COMPUTED_VALUE"""),"Adultos (30 a 59 años)")</f>
        <v>Adultos (30 a 59 años)</v>
      </c>
      <c r="CE480" s="30" t="str">
        <f ca="1">IFERROR(__xludf.DUMMYFUNCTION("""COMPUTED_VALUE"""),"No se cuenta con el dato")</f>
        <v>No se cuenta con el dato</v>
      </c>
      <c r="CF480" s="30" t="str">
        <f ca="1">IFERROR(__xludf.DUMMYFUNCTION("""COMPUTED_VALUE"""),"Ninguno (Población General)")</f>
        <v>Ninguno (Población General)</v>
      </c>
      <c r="CG480" s="30">
        <f ca="1">IFERROR(__xludf.DUMMYFUNCTION("""COMPUTED_VALUE"""),4)</f>
        <v>4</v>
      </c>
      <c r="CJ480" s="29"/>
      <c r="CM480" s="30" t="str">
        <f ca="1">IFERROR(__xludf.DUMMYFUNCTION("""COMPUTED_VALUE"""),"Salamanca")</f>
        <v>Salamanca</v>
      </c>
      <c r="CN480" s="32" t="e">
        <f ca="1"/>
        <v>#NAME?</v>
      </c>
      <c r="CO480" s="32" t="e">
        <f ca="1"/>
        <v>#NAME?</v>
      </c>
      <c r="CP480" s="32" t="e">
        <f ca="1"/>
        <v>#NAME?</v>
      </c>
      <c r="CQ480" s="32" t="e">
        <f ca="1"/>
        <v>#NAME?</v>
      </c>
      <c r="CR480" s="30" t="e">
        <f ca="1"/>
        <v>#NAME?</v>
      </c>
      <c r="CS480" s="30" t="str">
        <f ca="1">IFERROR(__xludf.DUMMYFUNCTION("""COMPUTED_VALUE"""),"NNA (Niñas, Niños y Adolescentes), NNA (Niñas, Niños y Adolescentes), Ninguno (Población General), Ninguno (Población General), Ninguno (Población General), Ninguno (Población General)")</f>
        <v>NNA (Niñas, Niños y Adolescentes), NNA (Niñas, Niños y Adolescentes), Ninguno (Población General), Ninguno (Población General), Ninguno (Población General), Ninguno (Población General)</v>
      </c>
    </row>
    <row r="481" spans="1:97" ht="13">
      <c r="A481" s="29" t="str">
        <f ca="1">IFERROR(__xludf.DUMMYFUNCTION("""COMPUTED_VALUE"""),"ACT-SCKE58665")</f>
        <v>ACT-SCKE58665</v>
      </c>
      <c r="B481" s="30" t="str">
        <f ca="1">IFERROR(__xludf.DUMMYFUNCTION("""COMPUTED_VALUE"""),"SC-261002-135422")</f>
        <v>SC-261002-135422</v>
      </c>
      <c r="C481" s="62">
        <f ca="1">IFERROR(__xludf.DUMMYFUNCTION("""COMPUTED_VALUE"""),46297.5794212962)</f>
        <v>46297.579421296199</v>
      </c>
      <c r="D481" s="30">
        <f ca="1">IFERROR(__xludf.DUMMYFUNCTION("""COMPUTED_VALUE"""),30)</f>
        <v>30</v>
      </c>
      <c r="E481" s="30" t="str">
        <f ca="1">IFERROR(__xludf.DUMMYFUNCTION("""COMPUTED_VALUE"""),"QC4049")</f>
        <v>QC4049</v>
      </c>
      <c r="F481" s="30" t="str">
        <f ca="1">IFERROR(__xludf.DUMMYFUNCTION("""COMPUTED_VALUE"""),"Centro de las Artes de Guanajuato, Claustro Mayor")</f>
        <v>Centro de las Artes de Guanajuato, Claustro Mayor</v>
      </c>
      <c r="G481" s="30" t="str">
        <f ca="1">IFERROR(__xludf.DUMMYFUNCTION("""COMPUTED_VALUE"""),"Programa artístico del Centro de las Artes de Guanajuato en el Claustro Mayor, consistente en presentaciones de danza, teatro y música en Salamanca")</f>
        <v>Programa artístico del Centro de las Artes de Guanajuato en el Claustro Mayor, consistente en presentaciones de danza, teatro y música en Salamanca</v>
      </c>
      <c r="H481" s="30" t="str">
        <f ca="1">IFERROR(__xludf.DUMMYFUNCTION("""COMPUTED_VALUE"""),"SUBSECRETARÍA DE DESARROLLO COMUNITARIO Y PROMOCIÓN PATRIMONIAL")</f>
        <v>SUBSECRETARÍA DE DESARROLLO COMUNITARIO Y PROMOCIÓN PATRIMONIAL</v>
      </c>
      <c r="I481" s="34" t="str">
        <f ca="1">IFERROR(__xludf.DUMMYFUNCTION("""COMPUTED_VALUE"""),"DIRECCIÓN GENERAL DE FORMACIÓN E INVESTIGACIÓN")</f>
        <v>DIRECCIÓN GENERAL DE FORMACIÓN E INVESTIGACIÓN</v>
      </c>
      <c r="J481" s="30" t="str">
        <f ca="1">IFERROR(__xludf.DUMMYFUNCTION("""COMPUTED_VALUE"""),"Eventos realizados")</f>
        <v>Eventos realizados</v>
      </c>
      <c r="K481" s="30">
        <f ca="1">IFERROR(__xludf.DUMMYFUNCTION("""COMPUTED_VALUE"""),4)</f>
        <v>4</v>
      </c>
      <c r="L481" s="30" t="str">
        <f ca="1">IFERROR(__xludf.DUMMYFUNCTION("""COMPUTED_VALUE"""),"Artística")</f>
        <v>Artística</v>
      </c>
      <c r="M481" s="30" t="str">
        <f ca="1">IFERROR(__xludf.DUMMYFUNCTION("""COMPUTED_VALUE"""),"Diplomado en danza clásica El Callejón: Programa de formación dancística y creación escénica")</f>
        <v>Diplomado en danza clásica El Callejón: Programa de formación dancística y creación escénica</v>
      </c>
      <c r="N481" s="30" t="str">
        <f ca="1">IFERROR(__xludf.DUMMYFUNCTION("""COMPUTED_VALUE"""),"Fortalecimiento técnico y bases del lenguaje escénico. Se dedicó el tiempo para  la preparación física, interpretación y montaje coreográfico de la obra  El Callejón.")</f>
        <v>Fortalecimiento técnico y bases del lenguaje escénico. Se dedicó el tiempo para  la preparación física, interpretación y montaje coreográfico de la obra  El Callejón.</v>
      </c>
      <c r="O481" s="30" t="str">
        <f ca="1">IFERROR(__xludf.DUMMYFUNCTION("""COMPUTED_VALUE"""),"Diaria")</f>
        <v>Diaria</v>
      </c>
      <c r="P481" s="33">
        <f ca="1">IFERROR(__xludf.DUMMYFUNCTION("""COMPUTED_VALUE"""),46178)</f>
        <v>46178</v>
      </c>
      <c r="Q481" s="33">
        <f ca="1">IFERROR(__xludf.DUMMYFUNCTION("""COMPUTED_VALUE"""),46263)</f>
        <v>46263</v>
      </c>
      <c r="R481" s="30">
        <f ca="1">IFERROR(__xludf.DUMMYFUNCTION("""COMPUTED_VALUE"""),85)</f>
        <v>85</v>
      </c>
      <c r="S481" s="30" t="str">
        <f ca="1">IFERROR(__xludf.DUMMYFUNCTION("""COMPUTED_VALUE"""),"Artes escénicas")</f>
        <v>Artes escénicas</v>
      </c>
      <c r="T481" s="30" t="str">
        <f ca="1">IFERROR(__xludf.DUMMYFUNCTION("""COMPUTED_VALUE"""),"Danza tradicional")</f>
        <v>Danza tradicional</v>
      </c>
      <c r="U481" s="30" t="str">
        <f ca="1">IFERROR(__xludf.DUMMYFUNCTION("""COMPUTED_VALUE"""),"Diplomado")</f>
        <v>Diplomado</v>
      </c>
      <c r="V481" s="30" t="str">
        <f ca="1">IFERROR(__xludf.DUMMYFUNCTION("""COMPUTED_VALUE"""),"Ninguna")</f>
        <v>Ninguna</v>
      </c>
      <c r="W481" s="30" t="str">
        <f ca="1">IFERROR(__xludf.DUMMYFUNCTION("""COMPUTED_VALUE"""),"Presencial")</f>
        <v>Presencial</v>
      </c>
      <c r="X481" s="30" t="str">
        <f ca="1">IFERROR(__xludf.DUMMYFUNCTION("""COMPUTED_VALUE"""),"Espacio préstamo a la Secretaría de Cultura")</f>
        <v>Espacio préstamo a la Secretaría de Cultura</v>
      </c>
      <c r="Y481" s="30"/>
      <c r="Z481" s="30"/>
      <c r="AA481" s="30"/>
      <c r="AB481" s="30" t="b">
        <f ca="1">IFERROR(__xludf.DUMMYFUNCTION("""COMPUTED_VALUE"""),FALSE)</f>
        <v>0</v>
      </c>
      <c r="AC481" s="30"/>
      <c r="AD481" s="30" t="b">
        <f ca="1">IFERROR(__xludf.DUMMYFUNCTION("""COMPUTED_VALUE"""),TRUE)</f>
        <v>1</v>
      </c>
      <c r="AE481" s="30">
        <f ca="1">IFERROR(__xludf.DUMMYFUNCTION("""COMPUTED_VALUE"""),1)</f>
        <v>1</v>
      </c>
      <c r="AF481" s="30" t="b">
        <f ca="1">IFERROR(__xludf.DUMMYFUNCTION("""COMPUTED_VALUE"""),FALSE)</f>
        <v>0</v>
      </c>
      <c r="AG481" s="30"/>
      <c r="AH481" s="30" t="str">
        <f ca="1">IFERROR(__xludf.DUMMYFUNCTION("""COMPUTED_VALUE"""),"Sin costo")</f>
        <v>Sin costo</v>
      </c>
      <c r="AI481" s="30"/>
      <c r="AJ481" s="30"/>
      <c r="AK481" s="30"/>
      <c r="AL481" s="30" t="str">
        <f ca="1">IFERROR(__xludf.DUMMYFUNCTION("""COMPUTED_VALUE"""),"claudia.ramirezm@guanajuato.gob.mx")</f>
        <v>claudia.ramirezm@guanajuato.gob.mx</v>
      </c>
      <c r="AM481" s="30" t="str">
        <f ca="1">IFERROR(__xludf.DUMMYFUNCTION("""COMPUTED_VALUE"""),"Mayor inversión en conservación del patrimonio artístico y cultural.")</f>
        <v>Mayor inversión en conservación del patrimonio artístico y cultural.</v>
      </c>
      <c r="AN481" s="30" t="str">
        <f ca="1">IFERROR(__xludf.DUMMYFUNCTION("""COMPUTED_VALUE"""),"2 Igualdad")</f>
        <v>2 Igualdad</v>
      </c>
      <c r="AO481" s="30" t="str">
        <f ca="1">IFERROR(__xludf.DUMMYFUNCTION("""COMPUTED_VALUE"""),"2.2 Fortalecer cohesión social")</f>
        <v>2.2 Fortalecer cohesión social</v>
      </c>
      <c r="AP481" s="30" t="str">
        <f ca="1">IFERROR(__xludf.DUMMYFUNCTION("""COMPUTED_VALUE"""),"2.2 Fortalecer cohesión social")</f>
        <v>2.2 Fortalecer cohesión social</v>
      </c>
      <c r="AQ481" s="30" t="str">
        <f ca="1">IFERROR(__xludf.DUMMYFUNCTION("""COMPUTED_VALUE"""),"2.2.3.2 Promover la participación de grupos prioritarios en actividades culturales")</f>
        <v>2.2.3.2 Promover la participación de grupos prioritarios en actividades culturales</v>
      </c>
      <c r="AR481" s="30" t="str">
        <f ca="1">IFERROR(__xludf.DUMMYFUNCTION("""COMPUTED_VALUE"""),"Inclusión")</f>
        <v>Inclusión</v>
      </c>
      <c r="AS481" s="30" t="str">
        <f ca="1">IFERROR(__xludf.DUMMYFUNCTION("""COMPUTED_VALUE"""),"Ninguno (Población General)")</f>
        <v>Ninguno (Población General)</v>
      </c>
      <c r="AT481" s="30" t="str">
        <f ca="1">IFERROR(__xludf.DUMMYFUNCTION("""COMPUTED_VALUE"""),"Impulso a la educación artística y a la profesionalización del sector cultural")</f>
        <v>Impulso a la educación artística y a la profesionalización del sector cultural</v>
      </c>
      <c r="AU481" s="30" t="str">
        <f ca="1">IFERROR(__xludf.DUMMYFUNCTION("""COMPUTED_VALUE"""),"Impulso a programas de formación y profesionalización para agentes culturales.")</f>
        <v>Impulso a programas de formación y profesionalización para agentes culturales.</v>
      </c>
      <c r="AV481"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1" s="30" t="str">
        <f ca="1">IFERROR(__xludf.DUMMYFUNCTION("""COMPUTED_VALUE"""),"Incrementar un 30% la oferta de formación y profesionalización para agentes culturales.")</f>
        <v>Incrementar un 30% la oferta de formación y profesionalización para agentes culturales.</v>
      </c>
      <c r="AX481" s="30" t="str">
        <f ca="1">IFERROR(__xludf.DUMMYFUNCTION("""COMPUTED_VALUE"""),"Diplomado")</f>
        <v>Diplomado</v>
      </c>
      <c r="AY481" s="30" t="str">
        <f ca="1">IFERROR(__xludf.DUMMYFUNCTION("""COMPUTED_VALUE"""),"Formación")</f>
        <v>Formación</v>
      </c>
      <c r="AZ481" s="30" t="str">
        <f ca="1">IFERROR(__xludf.DUMMYFUNCTION("""COMPUTED_VALUE"""),"Formación")</f>
        <v>Formación</v>
      </c>
      <c r="BA481" s="30"/>
      <c r="BB481" s="30">
        <f ca="1">IFERROR(__xludf.DUMMYFUNCTION("""COMPUTED_VALUE"""),5)</f>
        <v>5</v>
      </c>
      <c r="BC481" s="30">
        <f ca="1">IFERROR(__xludf.DUMMYFUNCTION("""COMPUTED_VALUE"""),1)</f>
        <v>1</v>
      </c>
      <c r="BD481" s="30" t="str">
        <f ca="1">IFERROR(__xludf.DUMMYFUNCTION("""COMPUTED_VALUE"""),"Apoyado con anterioridad")</f>
        <v>Apoyado con anterioridad</v>
      </c>
      <c r="BE481" s="30" t="str">
        <f ca="1">IFERROR(__xludf.DUMMYFUNCTION("""COMPUTED_VALUE"""),"Ricardo Baéz lópez")</f>
        <v>Ricardo Baéz lópez</v>
      </c>
      <c r="BF481" s="30" t="b">
        <f ca="1">IFERROR(__xludf.DUMMYFUNCTION("""COMPUTED_VALUE"""),TRUE)</f>
        <v>1</v>
      </c>
      <c r="BG481" s="30" t="str">
        <f ca="1">IFERROR(__xludf.DUMMYFUNCTION("""COMPUTED_VALUE"""),"Económico")</f>
        <v>Económico</v>
      </c>
      <c r="BH481" s="30">
        <f ca="1">IFERROR(__xludf.DUMMYFUNCTION("""COMPUTED_VALUE"""),117543.1)</f>
        <v>117543.1</v>
      </c>
      <c r="BI481" s="30"/>
      <c r="BJ481" s="30"/>
      <c r="BK481" s="30"/>
      <c r="BL481" s="30"/>
      <c r="BM481" s="30" t="str">
        <f ca="1">IFERROR(__xludf.DUMMYFUNCTION("""COMPUTED_VALUE"""),"No")</f>
        <v>No</v>
      </c>
      <c r="BN481" s="30"/>
      <c r="BO481" s="30" t="str">
        <f ca="1">IFERROR(__xludf.DUMMYFUNCTION("""COMPUTED_VALUE"""),"632790eb")</f>
        <v>632790eb</v>
      </c>
      <c r="BP481" s="29" t="str">
        <f ca="1">IFERROR(__xludf.DUMMYFUNCTION("""COMPUTED_VALUE"""),"Salamanca")</f>
        <v>Salamanca</v>
      </c>
      <c r="BQ481" s="30" t="str">
        <f ca="1">IFERROR(__xludf.DUMMYFUNCTION("""COMPUTED_VALUE"""),"Urbano")</f>
        <v>Urbano</v>
      </c>
      <c r="BR481" s="30">
        <f ca="1">IFERROR(__xludf.DUMMYFUNCTION("""COMPUTED_VALUE"""),181)</f>
        <v>181</v>
      </c>
      <c r="BS481" s="30" t="str">
        <f ca="1">IFERROR(__xludf.DUMMYFUNCTION("""COMPUTED_VALUE"""),"Salamanca")</f>
        <v>Salamanca</v>
      </c>
      <c r="BT481" s="30"/>
      <c r="BU481" s="30" t="str">
        <f ca="1">IFERROR(__xludf.DUMMYFUNCTION("""COMPUTED_VALUE"""),"Si")</f>
        <v>Si</v>
      </c>
      <c r="BV481" s="30" t="str">
        <f ca="1">IFERROR(__xludf.DUMMYFUNCTION("""COMPUTED_VALUE"""),"Si")</f>
        <v>Si</v>
      </c>
      <c r="BW481" s="30">
        <f ca="1">IFERROR(__xludf.DUMMYFUNCTION("""COMPUTED_VALUE"""),44)</f>
        <v>44</v>
      </c>
      <c r="BX481" s="30">
        <f ca="1">IFERROR(__xludf.DUMMYFUNCTION("""COMPUTED_VALUE"""),4)</f>
        <v>4</v>
      </c>
      <c r="BY481" s="30">
        <f ca="1">IFERROR(__xludf.DUMMYFUNCTION("""COMPUTED_VALUE"""),40)</f>
        <v>40</v>
      </c>
      <c r="BZ481" s="30" t="str">
        <f ca="1">IFERROR(__xludf.DUMMYFUNCTION("""COMPUTED_VALUE"""),"Salamanca")</f>
        <v>Salamanca</v>
      </c>
      <c r="CA481" s="30" t="str">
        <f ca="1">IFERROR(__xludf.DUMMYFUNCTION("""COMPUTED_VALUE"""),"No")</f>
        <v>No</v>
      </c>
      <c r="CB481" s="30" t="str">
        <f ca="1">IFERROR(__xludf.DUMMYFUNCTION("""COMPUTED_VALUE"""),"No")</f>
        <v>No</v>
      </c>
      <c r="CC481" s="30" t="str">
        <f ca="1">IFERROR(__xludf.DUMMYFUNCTION("""COMPUTED_VALUE"""),"ae493417")</f>
        <v>ae493417</v>
      </c>
      <c r="CD481" s="29" t="str">
        <f ca="1">IFERROR(__xludf.DUMMYFUNCTION("""COMPUTED_VALUE"""),"Niñas y Niños (6 a 12 años)")</f>
        <v>Niñas y Niños (6 a 12 años)</v>
      </c>
      <c r="CE481" s="30" t="str">
        <f ca="1">IFERROR(__xludf.DUMMYFUNCTION("""COMPUTED_VALUE"""),"No se cuenta con el dato")</f>
        <v>No se cuenta con el dato</v>
      </c>
      <c r="CF481" s="30" t="str">
        <f ca="1">IFERROR(__xludf.DUMMYFUNCTION("""COMPUTED_VALUE"""),"Ninguno (Población General)")</f>
        <v>Ninguno (Población General)</v>
      </c>
      <c r="CG481" s="30">
        <f ca="1">IFERROR(__xludf.DUMMYFUNCTION("""COMPUTED_VALUE"""),0)</f>
        <v>0</v>
      </c>
      <c r="CJ481" s="29"/>
      <c r="CM481" s="30" t="str">
        <f ca="1">IFERROR(__xludf.DUMMYFUNCTION("""COMPUTED_VALUE"""),"Villagrán")</f>
        <v>Villagrán</v>
      </c>
      <c r="CN481" s="32" t="e">
        <f ca="1"/>
        <v>#NAME?</v>
      </c>
      <c r="CO481" s="32" t="e">
        <f ca="1"/>
        <v>#NAME?</v>
      </c>
      <c r="CP481" s="32" t="e">
        <f ca="1"/>
        <v>#NAME?</v>
      </c>
      <c r="CQ481" s="32" t="e">
        <f ca="1"/>
        <v>#NAME?</v>
      </c>
      <c r="CR481" s="30" t="e">
        <f ca="1"/>
        <v>#NAME?</v>
      </c>
      <c r="CS481" s="30" t="str">
        <f ca="1">IFERROR(__xludf.DUMMYFUNCTION("""COMPUTED_VALUE"""),"NNA (Niñas, Niños y Adolescentes), NNA (Niñas, Niños y Adolescentes), NNA (Niñas, Niños y Adolescentes), NNA (Niñas, Niños y Adolescentes)")</f>
        <v>NNA (Niñas, Niños y Adolescentes), NNA (Niñas, Niños y Adolescentes), NNA (Niñas, Niños y Adolescentes), NNA (Niñas, Niños y Adolescentes)</v>
      </c>
    </row>
    <row r="482" spans="1:97" ht="13">
      <c r="A482" s="29" t="str">
        <f ca="1">IFERROR(__xludf.DUMMYFUNCTION("""COMPUTED_VALUE"""),"ACT-SCRP83395")</f>
        <v>ACT-SCRP83395</v>
      </c>
      <c r="B482" s="30" t="str">
        <f ca="1">IFERROR(__xludf.DUMMYFUNCTION("""COMPUTED_VALUE"""),"SC-261002-143443")</f>
        <v>SC-261002-143443</v>
      </c>
      <c r="C482" s="62">
        <f ca="1">IFERROR(__xludf.DUMMYFUNCTION("""COMPUTED_VALUE"""),46297.6074421296)</f>
        <v>46297.6074421296</v>
      </c>
      <c r="D482" s="30">
        <f ca="1">IFERROR(__xludf.DUMMYFUNCTION("""COMPUTED_VALUE"""),29)</f>
        <v>29</v>
      </c>
      <c r="E482" s="30" t="str">
        <f ca="1">IFERROR(__xludf.DUMMYFUNCTION("""COMPUTED_VALUE"""),"QC4049")</f>
        <v>QC4049</v>
      </c>
      <c r="F482" s="30" t="str">
        <f ca="1">IFERROR(__xludf.DUMMYFUNCTION("""COMPUTED_VALUE"""),"Centro de las Artes de Guanajuato, Claustro Mayor")</f>
        <v>Centro de las Artes de Guanajuato, Claustro Mayor</v>
      </c>
      <c r="G482"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82" s="30" t="str">
        <f ca="1">IFERROR(__xludf.DUMMYFUNCTION("""COMPUTED_VALUE"""),"SUBSECRETARÍA DE DESARROLLO COMUNITARIO Y PROMOCIÓN PATRIMONIAL")</f>
        <v>SUBSECRETARÍA DE DESARROLLO COMUNITARIO Y PROMOCIÓN PATRIMONIAL</v>
      </c>
      <c r="I482" s="34" t="str">
        <f ca="1">IFERROR(__xludf.DUMMYFUNCTION("""COMPUTED_VALUE"""),"DIRECCIÓN GENERAL DE FORMACIÓN E INVESTIGACIÓN")</f>
        <v>DIRECCIÓN GENERAL DE FORMACIÓN E INVESTIGACIÓN</v>
      </c>
      <c r="J482" s="30" t="str">
        <f ca="1">IFERROR(__xludf.DUMMYFUNCTION("""COMPUTED_VALUE"""),"Actividades realizadas")</f>
        <v>Actividades realizadas</v>
      </c>
      <c r="K482" s="30">
        <f ca="1">IFERROR(__xludf.DUMMYFUNCTION("""COMPUTED_VALUE"""),16)</f>
        <v>16</v>
      </c>
      <c r="L482" s="30" t="str">
        <f ca="1">IFERROR(__xludf.DUMMYFUNCTION("""COMPUTED_VALUE"""),"Artística")</f>
        <v>Artística</v>
      </c>
      <c r="M482" s="30" t="str">
        <f ca="1">IFERROR(__xludf.DUMMYFUNCTION("""COMPUTED_VALUE"""),"Residencia Bioarte y  Taller de Arte Biologico para la creación de nuevas narrativas")</f>
        <v>Residencia Bioarte y  Taller de Arte Biologico para la creación de nuevas narrativas</v>
      </c>
      <c r="N482" s="30" t="str">
        <f ca="1">IFERROR(__xludf.DUMMYFUNCTION("""COMPUTED_VALUE"""),"La residencia y el taller de arte biológico  combina biología, tecnología y percepción ambiental, que como resultado tendrá la generación de una Instalación colectiva que convoca a reflexionar sobre los organismos invisibles que habitan los espacio"&amp;"s culturales, proponiendo una relación más consciente con los ecosistemas microscópicos del entorno.")</f>
        <v>La residencia y el taller de arte biológico  combina biología, tecnología y percepción ambiental, que como resultado tendrá la generación de una Instalación colectiva que convoca a reflexionar sobre los organismos invisibles que habitan los espacios culturales, proponiendo una relación más consciente con los ecosistemas microscópicos del entorno.</v>
      </c>
      <c r="O482" s="30" t="str">
        <f ca="1">IFERROR(__xludf.DUMMYFUNCTION("""COMPUTED_VALUE"""),"Diaria")</f>
        <v>Diaria</v>
      </c>
      <c r="P482" s="33">
        <f ca="1">IFERROR(__xludf.DUMMYFUNCTION("""COMPUTED_VALUE"""),46200)</f>
        <v>46200</v>
      </c>
      <c r="Q482" s="33">
        <f ca="1">IFERROR(__xludf.DUMMYFUNCTION("""COMPUTED_VALUE"""),46243)</f>
        <v>46243</v>
      </c>
      <c r="R482" s="30">
        <f ca="1">IFERROR(__xludf.DUMMYFUNCTION("""COMPUTED_VALUE"""),31)</f>
        <v>31</v>
      </c>
      <c r="S482" s="30" t="str">
        <f ca="1">IFERROR(__xludf.DUMMYFUNCTION("""COMPUTED_VALUE"""),"Cultura comunitaria")</f>
        <v>Cultura comunitaria</v>
      </c>
      <c r="T482" s="30" t="str">
        <f ca="1">IFERROR(__xludf.DUMMYFUNCTION("""COMPUTED_VALUE"""),"Formación comunitaria")</f>
        <v>Formación comunitaria</v>
      </c>
      <c r="U482" s="30" t="str">
        <f ca="1">IFERROR(__xludf.DUMMYFUNCTION("""COMPUTED_VALUE"""),"Residencia artística")</f>
        <v>Residencia artística</v>
      </c>
      <c r="V482" s="30" t="str">
        <f ca="1">IFERROR(__xludf.DUMMYFUNCTION("""COMPUTED_VALUE"""),"Ninguna")</f>
        <v>Ninguna</v>
      </c>
      <c r="W482" s="30" t="str">
        <f ca="1">IFERROR(__xludf.DUMMYFUNCTION("""COMPUTED_VALUE"""),"Presencial")</f>
        <v>Presencial</v>
      </c>
      <c r="X482" s="30" t="str">
        <f ca="1">IFERROR(__xludf.DUMMYFUNCTION("""COMPUTED_VALUE"""),"Espacio préstamo a la Secretaría de Cultura")</f>
        <v>Espacio préstamo a la Secretaría de Cultura</v>
      </c>
      <c r="Y482" s="30"/>
      <c r="Z482" s="30"/>
      <c r="AA482" s="30"/>
      <c r="AB482" s="30" t="b">
        <f ca="1">IFERROR(__xludf.DUMMYFUNCTION("""COMPUTED_VALUE"""),FALSE)</f>
        <v>0</v>
      </c>
      <c r="AC482" s="30"/>
      <c r="AD482" s="30" t="b">
        <f ca="1">IFERROR(__xludf.DUMMYFUNCTION("""COMPUTED_VALUE"""),TRUE)</f>
        <v>1</v>
      </c>
      <c r="AE482" s="30">
        <f ca="1">IFERROR(__xludf.DUMMYFUNCTION("""COMPUTED_VALUE"""),1)</f>
        <v>1</v>
      </c>
      <c r="AF482" s="30" t="b">
        <f ca="1">IFERROR(__xludf.DUMMYFUNCTION("""COMPUTED_VALUE"""),FALSE)</f>
        <v>0</v>
      </c>
      <c r="AG482" s="30"/>
      <c r="AH482" s="30" t="str">
        <f ca="1">IFERROR(__xludf.DUMMYFUNCTION("""COMPUTED_VALUE"""),"Sin costo")</f>
        <v>Sin costo</v>
      </c>
      <c r="AI482" s="30"/>
      <c r="AJ482" s="30"/>
      <c r="AK482" s="30"/>
      <c r="AL482" s="30" t="str">
        <f ca="1">IFERROR(__xludf.DUMMYFUNCTION("""COMPUTED_VALUE"""),"claudia.ramirezm@guanajuato.gob.mx")</f>
        <v>claudia.ramirezm@guanajuato.gob.mx</v>
      </c>
      <c r="AM482" s="30" t="str">
        <f ca="1">IFERROR(__xludf.DUMMYFUNCTION("""COMPUTED_VALUE"""),"Mayor inversión en conservación del patrimonio artístico y cultural.")</f>
        <v>Mayor inversión en conservación del patrimonio artístico y cultural.</v>
      </c>
      <c r="AN482" s="30" t="str">
        <f ca="1">IFERROR(__xludf.DUMMYFUNCTION("""COMPUTED_VALUE"""),"2 Igualdad")</f>
        <v>2 Igualdad</v>
      </c>
      <c r="AO482" s="30" t="str">
        <f ca="1">IFERROR(__xludf.DUMMYFUNCTION("""COMPUTED_VALUE"""),"2.2 Fortalecer cohesión social")</f>
        <v>2.2 Fortalecer cohesión social</v>
      </c>
      <c r="AP482" s="30" t="str">
        <f ca="1">IFERROR(__xludf.DUMMYFUNCTION("""COMPUTED_VALUE"""),"2.2 Fortalecer cohesión social")</f>
        <v>2.2 Fortalecer cohesión social</v>
      </c>
      <c r="AQ482" s="30" t="str">
        <f ca="1">IFERROR(__xludf.DUMMYFUNCTION("""COMPUTED_VALUE"""),"2.2.3.2 Promover la participación de grupos prioritarios en actividades culturales")</f>
        <v>2.2.3.2 Promover la participación de grupos prioritarios en actividades culturales</v>
      </c>
      <c r="AR482" s="30" t="str">
        <f ca="1">IFERROR(__xludf.DUMMYFUNCTION("""COMPUTED_VALUE"""),"Inclusión")</f>
        <v>Inclusión</v>
      </c>
      <c r="AS482" s="30" t="str">
        <f ca="1">IFERROR(__xludf.DUMMYFUNCTION("""COMPUTED_VALUE"""),"Ninguno (Población General)")</f>
        <v>Ninguno (Población General)</v>
      </c>
      <c r="AT482" s="30" t="str">
        <f ca="1">IFERROR(__xludf.DUMMYFUNCTION("""COMPUTED_VALUE"""),"Impulso a la educación artística y a la profesionalización del sector cultural")</f>
        <v>Impulso a la educación artística y a la profesionalización del sector cultural</v>
      </c>
      <c r="AU482" s="30" t="str">
        <f ca="1">IFERROR(__xludf.DUMMYFUNCTION("""COMPUTED_VALUE"""),"Impulso a programas de formación y profesionalización para agentes culturales.")</f>
        <v>Impulso a programas de formación y profesionalización para agentes culturales.</v>
      </c>
      <c r="AV482"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2" s="30" t="str">
        <f ca="1">IFERROR(__xludf.DUMMYFUNCTION("""COMPUTED_VALUE"""),"Incrementar un 30% la oferta de formación y profesionalización para agentes culturales.")</f>
        <v>Incrementar un 30% la oferta de formación y profesionalización para agentes culturales.</v>
      </c>
      <c r="AX482" s="30" t="str">
        <f ca="1">IFERROR(__xludf.DUMMYFUNCTION("""COMPUTED_VALUE"""),"Residencia artística")</f>
        <v>Residencia artística</v>
      </c>
      <c r="AY482" s="30" t="str">
        <f ca="1">IFERROR(__xludf.DUMMYFUNCTION("""COMPUTED_VALUE"""),"Formación")</f>
        <v>Formación</v>
      </c>
      <c r="AZ482" s="30" t="str">
        <f ca="1">IFERROR(__xludf.DUMMYFUNCTION("""COMPUTED_VALUE"""),"Formación")</f>
        <v>Formación</v>
      </c>
      <c r="BA482" s="30"/>
      <c r="BB482" s="30">
        <f ca="1">IFERROR(__xludf.DUMMYFUNCTION("""COMPUTED_VALUE"""),5)</f>
        <v>5</v>
      </c>
      <c r="BC482" s="30">
        <f ca="1">IFERROR(__xludf.DUMMYFUNCTION("""COMPUTED_VALUE"""),1)</f>
        <v>1</v>
      </c>
      <c r="BD482" s="30" t="str">
        <f ca="1">IFERROR(__xludf.DUMMYFUNCTION("""COMPUTED_VALUE"""),"Nuevo")</f>
        <v>Nuevo</v>
      </c>
      <c r="BE482" s="30" t="str">
        <f ca="1">IFERROR(__xludf.DUMMYFUNCTION("""COMPUTED_VALUE"""),"Anna Korotkova")</f>
        <v>Anna Korotkova</v>
      </c>
      <c r="BF482" s="30" t="b">
        <f ca="1">IFERROR(__xludf.DUMMYFUNCTION("""COMPUTED_VALUE"""),TRUE)</f>
        <v>1</v>
      </c>
      <c r="BG482" s="30" t="str">
        <f ca="1">IFERROR(__xludf.DUMMYFUNCTION("""COMPUTED_VALUE"""),"Económico")</f>
        <v>Económico</v>
      </c>
      <c r="BH482" s="30">
        <f ca="1">IFERROR(__xludf.DUMMYFUNCTION("""COMPUTED_VALUE"""),53540)</f>
        <v>53540</v>
      </c>
      <c r="BI482" s="30"/>
      <c r="BJ482" s="30"/>
      <c r="BK482" s="30"/>
      <c r="BL482" s="30"/>
      <c r="BM482" s="30" t="str">
        <f ca="1">IFERROR(__xludf.DUMMYFUNCTION("""COMPUTED_VALUE"""),"No")</f>
        <v>No</v>
      </c>
      <c r="BN482" s="30"/>
      <c r="BO482" s="30" t="str">
        <f ca="1">IFERROR(__xludf.DUMMYFUNCTION("""COMPUTED_VALUE"""),"6a75d402")</f>
        <v>6a75d402</v>
      </c>
      <c r="BP482" s="29" t="str">
        <f ca="1">IFERROR(__xludf.DUMMYFUNCTION("""COMPUTED_VALUE"""),"Salamanca")</f>
        <v>Salamanca</v>
      </c>
      <c r="BQ482" s="30" t="str">
        <f ca="1">IFERROR(__xludf.DUMMYFUNCTION("""COMPUTED_VALUE"""),"Urbano")</f>
        <v>Urbano</v>
      </c>
      <c r="BR482" s="30">
        <f ca="1">IFERROR(__xludf.DUMMYFUNCTION("""COMPUTED_VALUE"""),181)</f>
        <v>181</v>
      </c>
      <c r="BS482" s="30" t="str">
        <f ca="1">IFERROR(__xludf.DUMMYFUNCTION("""COMPUTED_VALUE"""),"Salamanca")</f>
        <v>Salamanca</v>
      </c>
      <c r="BT482" s="30"/>
      <c r="BU482" s="30" t="str">
        <f ca="1">IFERROR(__xludf.DUMMYFUNCTION("""COMPUTED_VALUE"""),"Si")</f>
        <v>Si</v>
      </c>
      <c r="BV482" s="30" t="str">
        <f ca="1">IFERROR(__xludf.DUMMYFUNCTION("""COMPUTED_VALUE"""),"Si")</f>
        <v>Si</v>
      </c>
      <c r="BW482" s="30">
        <f ca="1">IFERROR(__xludf.DUMMYFUNCTION("""COMPUTED_VALUE"""),44)</f>
        <v>44</v>
      </c>
      <c r="BX482" s="30">
        <f ca="1">IFERROR(__xludf.DUMMYFUNCTION("""COMPUTED_VALUE"""),4)</f>
        <v>4</v>
      </c>
      <c r="BY482" s="30">
        <f ca="1">IFERROR(__xludf.DUMMYFUNCTION("""COMPUTED_VALUE"""),40)</f>
        <v>40</v>
      </c>
      <c r="BZ482" s="30" t="str">
        <f ca="1">IFERROR(__xludf.DUMMYFUNCTION("""COMPUTED_VALUE"""),"Salamanca")</f>
        <v>Salamanca</v>
      </c>
      <c r="CA482" s="30" t="str">
        <f ca="1">IFERROR(__xludf.DUMMYFUNCTION("""COMPUTED_VALUE"""),"No")</f>
        <v>No</v>
      </c>
      <c r="CB482" s="30" t="str">
        <f ca="1">IFERROR(__xludf.DUMMYFUNCTION("""COMPUTED_VALUE"""),"No")</f>
        <v>No</v>
      </c>
      <c r="CC482" s="30" t="str">
        <f ca="1">IFERROR(__xludf.DUMMYFUNCTION("""COMPUTED_VALUE"""),"f2bc2c24")</f>
        <v>f2bc2c24</v>
      </c>
      <c r="CD482" s="29" t="str">
        <f ca="1">IFERROR(__xludf.DUMMYFUNCTION("""COMPUTED_VALUE"""),"Primera Infancia (0 a 5 años)")</f>
        <v>Primera Infancia (0 a 5 años)</v>
      </c>
      <c r="CE482" s="30" t="str">
        <f ca="1">IFERROR(__xludf.DUMMYFUNCTION("""COMPUTED_VALUE"""),"No se cuenta con el dato")</f>
        <v>No se cuenta con el dato</v>
      </c>
      <c r="CF482" s="30" t="str">
        <f ca="1">IFERROR(__xludf.DUMMYFUNCTION("""COMPUTED_VALUE"""),"Ninguno (Población General)")</f>
        <v>Ninguno (Población General)</v>
      </c>
      <c r="CG482" s="30">
        <f ca="1">IFERROR(__xludf.DUMMYFUNCTION("""COMPUTED_VALUE"""),0)</f>
        <v>0</v>
      </c>
      <c r="CJ482" s="29"/>
      <c r="CM482" s="30" t="str">
        <f ca="1">IFERROR(__xludf.DUMMYFUNCTION("""COMPUTED_VALUE"""),"")</f>
        <v/>
      </c>
      <c r="CN482" s="32" t="e">
        <f ca="1"/>
        <v>#NAME?</v>
      </c>
      <c r="CO482" s="32" t="e">
        <f ca="1"/>
        <v>#NAME?</v>
      </c>
      <c r="CP482" s="32" t="e">
        <f ca="1"/>
        <v>#NAME?</v>
      </c>
      <c r="CQ482" s="32" t="e">
        <f ca="1"/>
        <v>#NAME?</v>
      </c>
      <c r="CR482" s="30" t="e">
        <f ca="1"/>
        <v>#NAME?</v>
      </c>
      <c r="CS482" s="30" t="str">
        <f ca="1">IFERROR(__xludf.DUMMYFUNCTION("""COMPUTED_VALUE"""),"Población General")</f>
        <v>Población General</v>
      </c>
    </row>
    <row r="483" spans="1:97" ht="13">
      <c r="A483" s="29" t="str">
        <f ca="1">IFERROR(__xludf.DUMMYFUNCTION("""COMPUTED_VALUE"""),"ACT-SCAD32283")</f>
        <v>ACT-SCAD32283</v>
      </c>
      <c r="B483" s="30" t="str">
        <f ca="1">IFERROR(__xludf.DUMMYFUNCTION("""COMPUTED_VALUE"""),"SC-261002-162001")</f>
        <v>SC-261002-162001</v>
      </c>
      <c r="C483" s="62">
        <f ca="1">IFERROR(__xludf.DUMMYFUNCTION("""COMPUTED_VALUE"""),46297.6805671296)</f>
        <v>46297.680567129602</v>
      </c>
      <c r="D483" s="30">
        <f ca="1">IFERROR(__xludf.DUMMYFUNCTION("""COMPUTED_VALUE"""),29)</f>
        <v>29</v>
      </c>
      <c r="E483" s="30" t="str">
        <f ca="1">IFERROR(__xludf.DUMMYFUNCTION("""COMPUTED_VALUE"""),"QC4049")</f>
        <v>QC4049</v>
      </c>
      <c r="F483" s="30" t="str">
        <f ca="1">IFERROR(__xludf.DUMMYFUNCTION("""COMPUTED_VALUE"""),"Centro de las Artes de Guanajuato, Claustro Mayor")</f>
        <v>Centro de las Artes de Guanajuato, Claustro Mayor</v>
      </c>
      <c r="G483"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83" s="30" t="str">
        <f ca="1">IFERROR(__xludf.DUMMYFUNCTION("""COMPUTED_VALUE"""),"SUBSECRETARÍA DE DESARROLLO COMUNITARIO Y PROMOCIÓN PATRIMONIAL")</f>
        <v>SUBSECRETARÍA DE DESARROLLO COMUNITARIO Y PROMOCIÓN PATRIMONIAL</v>
      </c>
      <c r="I483" s="34" t="str">
        <f ca="1">IFERROR(__xludf.DUMMYFUNCTION("""COMPUTED_VALUE"""),"DIRECCIÓN GENERAL DE FORMACIÓN E INVESTIGACIÓN")</f>
        <v>DIRECCIÓN GENERAL DE FORMACIÓN E INVESTIGACIÓN</v>
      </c>
      <c r="J483" s="30" t="str">
        <f ca="1">IFERROR(__xludf.DUMMYFUNCTION("""COMPUTED_VALUE"""),"Actividades realizadas")</f>
        <v>Actividades realizadas</v>
      </c>
      <c r="K483" s="30">
        <f ca="1">IFERROR(__xludf.DUMMYFUNCTION("""COMPUTED_VALUE"""),16)</f>
        <v>16</v>
      </c>
      <c r="L483" s="30" t="str">
        <f ca="1">IFERROR(__xludf.DUMMYFUNCTION("""COMPUTED_VALUE"""),"Artística")</f>
        <v>Artística</v>
      </c>
      <c r="M483" s="30" t="str">
        <f ca="1">IFERROR(__xludf.DUMMYFUNCTION("""COMPUTED_VALUE"""),"Gigantes de tinta, la comparsa de la muerte. Taller de mojiganga contemporánea desde la gráfica")</f>
        <v>Gigantes de tinta, la comparsa de la muerte. Taller de mojiganga contemporánea desde la gráfica</v>
      </c>
      <c r="N483" s="30" t="str">
        <f ca="1">IFERROR(__xludf.DUMMYFUNCTION("""COMPUTED_VALUE"""),"Contexto histórico y actual de la mojiganga en susptualización e idea para desarrollar mojigangas con el tema de la tradición de día de muertos en Guanajuato, México. Estructuras para mojiganga Mojiganga a escala menor (Práctica de procesos de estampación"&amp;" gráfica y cartonería)(Impresor/instructor Joaquín Eduardo Ruíz Rosiles) Estampado en papel y textil dirigido a artistas populares. Procesos de impresión en papeles de diversos gramajes y materiales Impresión de estampas en formato bidimensional Impresión"&amp;" orientada hacia la tridimensionalidad")</f>
        <v>Contexto histórico y actual de la mojiganga en susptualización e idea para desarrollar mojigangas con el tema de la tradición de día de muertos en Guanajuato, México. Estructuras para mojiganga Mojiganga a escala menor (Práctica de procesos de estampación gráfica y cartonería)(Impresor/instructor Joaquín Eduardo Ruíz Rosiles) Estampado en papel y textil dirigido a artistas populares. Procesos de impresión en papeles de diversos gramajes y materiales Impresión de estampas en formato bidimensional Impresión orientada hacia la tridimensionalidad</v>
      </c>
      <c r="O483" s="30" t="str">
        <f ca="1">IFERROR(__xludf.DUMMYFUNCTION("""COMPUTED_VALUE"""),"Diaria")</f>
        <v>Diaria</v>
      </c>
      <c r="P483" s="33">
        <f ca="1">IFERROR(__xludf.DUMMYFUNCTION("""COMPUTED_VALUE"""),46205)</f>
        <v>46205</v>
      </c>
      <c r="Q483" s="33">
        <f ca="1">IFERROR(__xludf.DUMMYFUNCTION("""COMPUTED_VALUE"""),46257)</f>
        <v>46257</v>
      </c>
      <c r="R483" s="30">
        <f ca="1">IFERROR(__xludf.DUMMYFUNCTION("""COMPUTED_VALUE"""),51)</f>
        <v>51</v>
      </c>
      <c r="S483" s="30" t="str">
        <f ca="1">IFERROR(__xludf.DUMMYFUNCTION("""COMPUTED_VALUE"""),"Economía creativa")</f>
        <v>Economía creativa</v>
      </c>
      <c r="T483" s="30" t="str">
        <f ca="1">IFERROR(__xludf.DUMMYFUNCTION("""COMPUTED_VALUE"""),"Diseño gráfico")</f>
        <v>Diseño gráfico</v>
      </c>
      <c r="U483" s="30" t="str">
        <f ca="1">IFERROR(__xludf.DUMMYFUNCTION("""COMPUTED_VALUE"""),"Taller")</f>
        <v>Taller</v>
      </c>
      <c r="V483" s="30" t="str">
        <f ca="1">IFERROR(__xludf.DUMMYFUNCTION("""COMPUTED_VALUE"""),"Ninguna")</f>
        <v>Ninguna</v>
      </c>
      <c r="W483" s="30" t="str">
        <f ca="1">IFERROR(__xludf.DUMMYFUNCTION("""COMPUTED_VALUE"""),"Presencial")</f>
        <v>Presencial</v>
      </c>
      <c r="X483" s="30" t="str">
        <f ca="1">IFERROR(__xludf.DUMMYFUNCTION("""COMPUTED_VALUE"""),"Espacio préstamo a la Secretaría de Cultura")</f>
        <v>Espacio préstamo a la Secretaría de Cultura</v>
      </c>
      <c r="Y483" s="30"/>
      <c r="Z483" s="30"/>
      <c r="AA483" s="30"/>
      <c r="AB483" s="30" t="b">
        <f ca="1">IFERROR(__xludf.DUMMYFUNCTION("""COMPUTED_VALUE"""),FALSE)</f>
        <v>0</v>
      </c>
      <c r="AC483" s="30"/>
      <c r="AD483" s="30" t="b">
        <f ca="1">IFERROR(__xludf.DUMMYFUNCTION("""COMPUTED_VALUE"""),TRUE)</f>
        <v>1</v>
      </c>
      <c r="AE483" s="30">
        <f ca="1">IFERROR(__xludf.DUMMYFUNCTION("""COMPUTED_VALUE"""),1)</f>
        <v>1</v>
      </c>
      <c r="AF483" s="30" t="b">
        <f ca="1">IFERROR(__xludf.DUMMYFUNCTION("""COMPUTED_VALUE"""),FALSE)</f>
        <v>0</v>
      </c>
      <c r="AG483" s="30"/>
      <c r="AH483" s="30" t="str">
        <f ca="1">IFERROR(__xludf.DUMMYFUNCTION("""COMPUTED_VALUE"""),"Sin costo")</f>
        <v>Sin costo</v>
      </c>
      <c r="AI483" s="30"/>
      <c r="AJ483" s="30"/>
      <c r="AK483" s="30"/>
      <c r="AL483" s="30" t="str">
        <f ca="1">IFERROR(__xludf.DUMMYFUNCTION("""COMPUTED_VALUE"""),"claudia.ramirezm@guanajuato.gob.mx")</f>
        <v>claudia.ramirezm@guanajuato.gob.mx</v>
      </c>
      <c r="AM483" s="30" t="str">
        <f ca="1">IFERROR(__xludf.DUMMYFUNCTION("""COMPUTED_VALUE"""),"Mayor inversión en conservación del patrimonio artístico y cultural.")</f>
        <v>Mayor inversión en conservación del patrimonio artístico y cultural.</v>
      </c>
      <c r="AN483" s="30" t="str">
        <f ca="1">IFERROR(__xludf.DUMMYFUNCTION("""COMPUTED_VALUE"""),"2 Igualdad")</f>
        <v>2 Igualdad</v>
      </c>
      <c r="AO483" s="30" t="str">
        <f ca="1">IFERROR(__xludf.DUMMYFUNCTION("""COMPUTED_VALUE"""),"2.2 Fortalecer cohesión social")</f>
        <v>2.2 Fortalecer cohesión social</v>
      </c>
      <c r="AP483" s="30" t="str">
        <f ca="1">IFERROR(__xludf.DUMMYFUNCTION("""COMPUTED_VALUE"""),"2.2 Fortalecer cohesión social")</f>
        <v>2.2 Fortalecer cohesión social</v>
      </c>
      <c r="AQ483" s="30" t="str">
        <f ca="1">IFERROR(__xludf.DUMMYFUNCTION("""COMPUTED_VALUE"""),"2.2.3.2 Promover la participación de grupos prioritarios en actividades culturales")</f>
        <v>2.2.3.2 Promover la participación de grupos prioritarios en actividades culturales</v>
      </c>
      <c r="AR483" s="30" t="str">
        <f ca="1">IFERROR(__xludf.DUMMYFUNCTION("""COMPUTED_VALUE"""),"Inclusión")</f>
        <v>Inclusión</v>
      </c>
      <c r="AS483" s="30" t="str">
        <f ca="1">IFERROR(__xludf.DUMMYFUNCTION("""COMPUTED_VALUE"""),"Ninguno (Población General)")</f>
        <v>Ninguno (Población General)</v>
      </c>
      <c r="AT483" s="30" t="str">
        <f ca="1">IFERROR(__xludf.DUMMYFUNCTION("""COMPUTED_VALUE"""),"Impulso a la educación artística y a la profesionalización del sector cultural")</f>
        <v>Impulso a la educación artística y a la profesionalización del sector cultural</v>
      </c>
      <c r="AU483" s="30" t="str">
        <f ca="1">IFERROR(__xludf.DUMMYFUNCTION("""COMPUTED_VALUE"""),"Impulso a programas de formación y profesionalización para agentes culturales.")</f>
        <v>Impulso a programas de formación y profesionalización para agentes culturales.</v>
      </c>
      <c r="AV483"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3" s="30" t="str">
        <f ca="1">IFERROR(__xludf.DUMMYFUNCTION("""COMPUTED_VALUE"""),"Incrementar un 30% la oferta de formación y profesionalización para agentes culturales.")</f>
        <v>Incrementar un 30% la oferta de formación y profesionalización para agentes culturales.</v>
      </c>
      <c r="AX483" s="30" t="str">
        <f ca="1">IFERROR(__xludf.DUMMYFUNCTION("""COMPUTED_VALUE"""),"Taller")</f>
        <v>Taller</v>
      </c>
      <c r="AY483" s="30" t="str">
        <f ca="1">IFERROR(__xludf.DUMMYFUNCTION("""COMPUTED_VALUE"""),"Formación")</f>
        <v>Formación</v>
      </c>
      <c r="AZ483" s="30" t="str">
        <f ca="1">IFERROR(__xludf.DUMMYFUNCTION("""COMPUTED_VALUE"""),"Formación")</f>
        <v>Formación</v>
      </c>
      <c r="BA483" s="30"/>
      <c r="BB483" s="30">
        <f ca="1">IFERROR(__xludf.DUMMYFUNCTION("""COMPUTED_VALUE"""),5)</f>
        <v>5</v>
      </c>
      <c r="BC483" s="30">
        <f ca="1">IFERROR(__xludf.DUMMYFUNCTION("""COMPUTED_VALUE"""),2)</f>
        <v>2</v>
      </c>
      <c r="BD483" s="30" t="str">
        <f ca="1">IFERROR(__xludf.DUMMYFUNCTION("""COMPUTED_VALUE"""),"Nuevo")</f>
        <v>Nuevo</v>
      </c>
      <c r="BE483" s="30" t="str">
        <f ca="1">IFERROR(__xludf.DUMMYFUNCTION("""COMPUTED_VALUE"""),"Juan Hernández, Joaquín Ruíz Rosiles")</f>
        <v>Juan Hernández, Joaquín Ruíz Rosiles</v>
      </c>
      <c r="BF483" s="30" t="b">
        <f ca="1">IFERROR(__xludf.DUMMYFUNCTION("""COMPUTED_VALUE"""),TRUE)</f>
        <v>1</v>
      </c>
      <c r="BG483" s="30" t="str">
        <f ca="1">IFERROR(__xludf.DUMMYFUNCTION("""COMPUTED_VALUE"""),"Económico")</f>
        <v>Económico</v>
      </c>
      <c r="BH483" s="30">
        <f ca="1">IFERROR(__xludf.DUMMYFUNCTION("""COMPUTED_VALUE"""),56172.42)</f>
        <v>56172.42</v>
      </c>
      <c r="BI483" s="30"/>
      <c r="BJ483" s="30"/>
      <c r="BK483" s="30"/>
      <c r="BL483" s="30"/>
      <c r="BM483" s="30" t="str">
        <f ca="1">IFERROR(__xludf.DUMMYFUNCTION("""COMPUTED_VALUE"""),"No")</f>
        <v>No</v>
      </c>
      <c r="BN483" s="30"/>
      <c r="BO483" s="30" t="str">
        <f ca="1">IFERROR(__xludf.DUMMYFUNCTION("""COMPUTED_VALUE"""),"9e20f945")</f>
        <v>9e20f945</v>
      </c>
      <c r="BP483" s="29" t="str">
        <f ca="1">IFERROR(__xludf.DUMMYFUNCTION("""COMPUTED_VALUE"""),"Salamanca")</f>
        <v>Salamanca</v>
      </c>
      <c r="BQ483" s="30" t="str">
        <f ca="1">IFERROR(__xludf.DUMMYFUNCTION("""COMPUTED_VALUE"""),"Urbano")</f>
        <v>Urbano</v>
      </c>
      <c r="BR483" s="30">
        <f ca="1">IFERROR(__xludf.DUMMYFUNCTION("""COMPUTED_VALUE"""),181)</f>
        <v>181</v>
      </c>
      <c r="BS483" s="30" t="str">
        <f ca="1">IFERROR(__xludf.DUMMYFUNCTION("""COMPUTED_VALUE"""),"Salamanca")</f>
        <v>Salamanca</v>
      </c>
      <c r="BT483" s="30"/>
      <c r="BU483" s="30" t="str">
        <f ca="1">IFERROR(__xludf.DUMMYFUNCTION("""COMPUTED_VALUE"""),"Si")</f>
        <v>Si</v>
      </c>
      <c r="BV483" s="30" t="str">
        <f ca="1">IFERROR(__xludf.DUMMYFUNCTION("""COMPUTED_VALUE"""),"Si")</f>
        <v>Si</v>
      </c>
      <c r="BW483" s="30">
        <f ca="1">IFERROR(__xludf.DUMMYFUNCTION("""COMPUTED_VALUE"""),44)</f>
        <v>44</v>
      </c>
      <c r="BX483" s="30">
        <f ca="1">IFERROR(__xludf.DUMMYFUNCTION("""COMPUTED_VALUE"""),4)</f>
        <v>4</v>
      </c>
      <c r="BY483" s="30">
        <f ca="1">IFERROR(__xludf.DUMMYFUNCTION("""COMPUTED_VALUE"""),40)</f>
        <v>40</v>
      </c>
      <c r="BZ483" s="30" t="str">
        <f ca="1">IFERROR(__xludf.DUMMYFUNCTION("""COMPUTED_VALUE"""),"Salamanca")</f>
        <v>Salamanca</v>
      </c>
      <c r="CA483" s="30" t="str">
        <f ca="1">IFERROR(__xludf.DUMMYFUNCTION("""COMPUTED_VALUE"""),"No")</f>
        <v>No</v>
      </c>
      <c r="CB483" s="30" t="str">
        <f ca="1">IFERROR(__xludf.DUMMYFUNCTION("""COMPUTED_VALUE"""),"No")</f>
        <v>No</v>
      </c>
      <c r="CC483" s="30" t="str">
        <f ca="1">IFERROR(__xludf.DUMMYFUNCTION("""COMPUTED_VALUE"""),"999903d1")</f>
        <v>999903d1</v>
      </c>
      <c r="CD483" s="29" t="str">
        <f ca="1">IFERROR(__xludf.DUMMYFUNCTION("""COMPUTED_VALUE"""),"Adultos Mayores (60 años o más)")</f>
        <v>Adultos Mayores (60 años o más)</v>
      </c>
      <c r="CE483" s="30" t="str">
        <f ca="1">IFERROR(__xludf.DUMMYFUNCTION("""COMPUTED_VALUE"""),"No se cuenta con el dato")</f>
        <v>No se cuenta con el dato</v>
      </c>
      <c r="CF483" s="30" t="str">
        <f ca="1">IFERROR(__xludf.DUMMYFUNCTION("""COMPUTED_VALUE"""),"Ninguno (Población General)")</f>
        <v>Ninguno (Población General)</v>
      </c>
      <c r="CG483" s="30">
        <f ca="1">IFERROR(__xludf.DUMMYFUNCTION("""COMPUTED_VALUE"""),35)</f>
        <v>35</v>
      </c>
      <c r="CJ483" s="29"/>
      <c r="CM483" s="30" t="str">
        <f ca="1">IFERROR(__xludf.DUMMYFUNCTION("""COMPUTED_VALUE"""),"Salamanca")</f>
        <v>Salamanca</v>
      </c>
      <c r="CN483" s="32" t="e">
        <f ca="1"/>
        <v>#NAME?</v>
      </c>
      <c r="CO483" s="32" t="e">
        <f ca="1"/>
        <v>#NAME?</v>
      </c>
      <c r="CP483" s="32" t="e">
        <f ca="1"/>
        <v>#NAME?</v>
      </c>
      <c r="CQ483" s="32" t="e">
        <f ca="1"/>
        <v>#NAME?</v>
      </c>
      <c r="CR483" s="30" t="e">
        <f ca="1"/>
        <v>#NAME?</v>
      </c>
      <c r="CS483" s="30" t="str">
        <f ca="1">IFERROR(__xludf.DUMMYFUNCTION("""COMPUTED_VALUE"""),"Ninguno (Población General), Ninguno (Población General)")</f>
        <v>Ninguno (Población General), Ninguno (Población General)</v>
      </c>
    </row>
    <row r="484" spans="1:97" ht="13">
      <c r="A484" s="29" t="str">
        <f ca="1">IFERROR(__xludf.DUMMYFUNCTION("""COMPUTED_VALUE"""),"ACT-SCWP52765")</f>
        <v>ACT-SCWP52765</v>
      </c>
      <c r="B484" s="30" t="str">
        <f ca="1">IFERROR(__xludf.DUMMYFUNCTION("""COMPUTED_VALUE"""),"SC-261005-093047")</f>
        <v>SC-261005-093047</v>
      </c>
      <c r="C484" s="62">
        <f ca="1">IFERROR(__xludf.DUMMYFUNCTION("""COMPUTED_VALUE"""),46300.3963773148)</f>
        <v>46300.396377314799</v>
      </c>
      <c r="D484" s="30">
        <f ca="1">IFERROR(__xludf.DUMMYFUNCTION("""COMPUTED_VALUE"""),29)</f>
        <v>29</v>
      </c>
      <c r="E484" s="30" t="str">
        <f ca="1">IFERROR(__xludf.DUMMYFUNCTION("""COMPUTED_VALUE"""),"QC4049")</f>
        <v>QC4049</v>
      </c>
      <c r="F484" s="30" t="str">
        <f ca="1">IFERROR(__xludf.DUMMYFUNCTION("""COMPUTED_VALUE"""),"Centro de las Artes de Guanajuato, Claustro Mayor")</f>
        <v>Centro de las Artes de Guanajuato, Claustro Mayor</v>
      </c>
      <c r="G484"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84" s="30" t="str">
        <f ca="1">IFERROR(__xludf.DUMMYFUNCTION("""COMPUTED_VALUE"""),"SUBSECRETARÍA DE DESARROLLO COMUNITARIO Y PROMOCIÓN PATRIMONIAL")</f>
        <v>SUBSECRETARÍA DE DESARROLLO COMUNITARIO Y PROMOCIÓN PATRIMONIAL</v>
      </c>
      <c r="I484" s="34" t="str">
        <f ca="1">IFERROR(__xludf.DUMMYFUNCTION("""COMPUTED_VALUE"""),"DIRECCIÓN GENERAL DE FORMACIÓN E INVESTIGACIÓN")</f>
        <v>DIRECCIÓN GENERAL DE FORMACIÓN E INVESTIGACIÓN</v>
      </c>
      <c r="J484" s="30" t="str">
        <f ca="1">IFERROR(__xludf.DUMMYFUNCTION("""COMPUTED_VALUE"""),"Actividades realizadas")</f>
        <v>Actividades realizadas</v>
      </c>
      <c r="K484" s="30">
        <f ca="1">IFERROR(__xludf.DUMMYFUNCTION("""COMPUTED_VALUE"""),16)</f>
        <v>16</v>
      </c>
      <c r="L484" s="30" t="str">
        <f ca="1">IFERROR(__xludf.DUMMYFUNCTION("""COMPUTED_VALUE"""),"Cultural")</f>
        <v>Cultural</v>
      </c>
      <c r="M484" s="30" t="str">
        <f ca="1">IFERROR(__xludf.DUMMYFUNCTION("""COMPUTED_VALUE"""),"Taller el periodismo cultural y las nuevas tendencias de la economía creativa")</f>
        <v>Taller el periodismo cultural y las nuevas tendencias de la economía creativa</v>
      </c>
      <c r="N484" s="30" t="str">
        <f ca="1">IFERROR(__xludf.DUMMYFUNCTION("""COMPUTED_VALUE"""),"El periodismo cultural y la economía creativa en Guanajuato, convergen en espacios de formación crítica y foros de desarrollo económico tiene como objetivo formar profesionales que comuniquen el valor de las artes y conecten al público con creadores local"&amp;"es.")</f>
        <v>El periodismo cultural y la economía creativa en Guanajuato, convergen en espacios de formación crítica y foros de desarrollo económico tiene como objetivo formar profesionales que comuniquen el valor de las artes y conecten al público con creadores locales.</v>
      </c>
      <c r="O484" s="30" t="str">
        <f ca="1">IFERROR(__xludf.DUMMYFUNCTION("""COMPUTED_VALUE"""),"Diaria")</f>
        <v>Diaria</v>
      </c>
      <c r="P484" s="33">
        <f ca="1">IFERROR(__xludf.DUMMYFUNCTION("""COMPUTED_VALUE"""),46207)</f>
        <v>46207</v>
      </c>
      <c r="Q484" s="33">
        <f ca="1">IFERROR(__xludf.DUMMYFUNCTION("""COMPUTED_VALUE"""),46244)</f>
        <v>46244</v>
      </c>
      <c r="R484" s="30">
        <f ca="1">IFERROR(__xludf.DUMMYFUNCTION("""COMPUTED_VALUE"""),37)</f>
        <v>37</v>
      </c>
      <c r="S484" s="30" t="str">
        <f ca="1">IFERROR(__xludf.DUMMYFUNCTION("""COMPUTED_VALUE"""),"Artes visuales")</f>
        <v>Artes visuales</v>
      </c>
      <c r="T484" s="30" t="str">
        <f ca="1">IFERROR(__xludf.DUMMYFUNCTION("""COMPUTED_VALUE"""),"Arte digital")</f>
        <v>Arte digital</v>
      </c>
      <c r="U484" s="30" t="str">
        <f ca="1">IFERROR(__xludf.DUMMYFUNCTION("""COMPUTED_VALUE"""),"Taller")</f>
        <v>Taller</v>
      </c>
      <c r="V484" s="30" t="str">
        <f ca="1">IFERROR(__xludf.DUMMYFUNCTION("""COMPUTED_VALUE"""),"Ninguna")</f>
        <v>Ninguna</v>
      </c>
      <c r="W484" s="30" t="str">
        <f ca="1">IFERROR(__xludf.DUMMYFUNCTION("""COMPUTED_VALUE"""),"Híbrido")</f>
        <v>Híbrido</v>
      </c>
      <c r="X484" s="30" t="str">
        <f ca="1">IFERROR(__xludf.DUMMYFUNCTION("""COMPUTED_VALUE"""),"Espacio préstamo a la Secretaría de Cultura")</f>
        <v>Espacio préstamo a la Secretaría de Cultura</v>
      </c>
      <c r="Y484" s="30"/>
      <c r="Z484" s="30"/>
      <c r="AA484" s="30"/>
      <c r="AB484" s="30" t="b">
        <f ca="1">IFERROR(__xludf.DUMMYFUNCTION("""COMPUTED_VALUE"""),FALSE)</f>
        <v>0</v>
      </c>
      <c r="AC484" s="30"/>
      <c r="AD484" s="30" t="b">
        <f ca="1">IFERROR(__xludf.DUMMYFUNCTION("""COMPUTED_VALUE"""),FALSE)</f>
        <v>0</v>
      </c>
      <c r="AE484" s="30"/>
      <c r="AF484" s="30" t="b">
        <f ca="1">IFERROR(__xludf.DUMMYFUNCTION("""COMPUTED_VALUE"""),FALSE)</f>
        <v>0</v>
      </c>
      <c r="AG484" s="30"/>
      <c r="AH484" s="30" t="str">
        <f ca="1">IFERROR(__xludf.DUMMYFUNCTION("""COMPUTED_VALUE"""),"Sin costo")</f>
        <v>Sin costo</v>
      </c>
      <c r="AI484" s="30"/>
      <c r="AJ484" s="30"/>
      <c r="AK484" s="30"/>
      <c r="AL484" s="30" t="str">
        <f ca="1">IFERROR(__xludf.DUMMYFUNCTION("""COMPUTED_VALUE"""),"claudia.ramirezm@guanajuato.gob.mx")</f>
        <v>claudia.ramirezm@guanajuato.gob.mx</v>
      </c>
      <c r="AM484" s="30" t="str">
        <f ca="1">IFERROR(__xludf.DUMMYFUNCTION("""COMPUTED_VALUE"""),"Actividades artísticas y culturales en zonas de alta marginación.")</f>
        <v>Actividades artísticas y culturales en zonas de alta marginación.</v>
      </c>
      <c r="AN484" s="30" t="str">
        <f ca="1">IFERROR(__xludf.DUMMYFUNCTION("""COMPUTED_VALUE"""),"1 Tranquilidad")</f>
        <v>1 Tranquilidad</v>
      </c>
      <c r="AO484" s="30" t="str">
        <f ca="1">IFERROR(__xludf.DUMMYFUNCTION("""COMPUTED_VALUE"""),"1.2 Fortalecer prevención del delito")</f>
        <v>1.2 Fortalecer prevención del delito</v>
      </c>
      <c r="AP484" s="30" t="str">
        <f ca="1">IFERROR(__xludf.DUMMYFUNCTION("""COMPUTED_VALUE"""),"1.2.2 Fortalecimiento del tejido social")</f>
        <v>1.2.2 Fortalecimiento del tejido social</v>
      </c>
      <c r="AQ484" s="30" t="str">
        <f ca="1">IFERROR(__xludf.DUMMYFUNCTION("""COMPUTED_VALUE"""),"1.2.3.4 Promover una cultura de paz desde las expresiones artísticas y culturales")</f>
        <v>1.2.3.4 Promover una cultura de paz desde las expresiones artísticas y culturales</v>
      </c>
      <c r="AR484" s="30" t="str">
        <f ca="1">IFERROR(__xludf.DUMMYFUNCTION("""COMPUTED_VALUE"""),"Inclusión")</f>
        <v>Inclusión</v>
      </c>
      <c r="AS484" s="30" t="str">
        <f ca="1">IFERROR(__xludf.DUMMYFUNCTION("""COMPUTED_VALUE"""),"Ninguno (Población General)")</f>
        <v>Ninguno (Población General)</v>
      </c>
      <c r="AT484" s="30" t="str">
        <f ca="1">IFERROR(__xludf.DUMMYFUNCTION("""COMPUTED_VALUE"""),"Impulso a la educación artística y a la profesionalización del sector cultural")</f>
        <v>Impulso a la educación artística y a la profesionalización del sector cultural</v>
      </c>
      <c r="AU484" s="30" t="str">
        <f ca="1">IFERROR(__xludf.DUMMYFUNCTION("""COMPUTED_VALUE"""),"Impulso a programas de formación y profesionalización para agentes culturales.")</f>
        <v>Impulso a programas de formación y profesionalización para agentes culturales.</v>
      </c>
      <c r="AV484"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4" s="30" t="str">
        <f ca="1">IFERROR(__xludf.DUMMYFUNCTION("""COMPUTED_VALUE"""),"Incrementar un 30% la oferta de formación y profesionalización para agentes culturales.")</f>
        <v>Incrementar un 30% la oferta de formación y profesionalización para agentes culturales.</v>
      </c>
      <c r="AX484" s="30" t="str">
        <f ca="1">IFERROR(__xludf.DUMMYFUNCTION("""COMPUTED_VALUE"""),"Taller")</f>
        <v>Taller</v>
      </c>
      <c r="AY484" s="30" t="str">
        <f ca="1">IFERROR(__xludf.DUMMYFUNCTION("""COMPUTED_VALUE"""),"Formación")</f>
        <v>Formación</v>
      </c>
      <c r="AZ484" s="30" t="str">
        <f ca="1">IFERROR(__xludf.DUMMYFUNCTION("""COMPUTED_VALUE"""),"Formación")</f>
        <v>Formación</v>
      </c>
      <c r="BA484" s="30" t="str">
        <f ca="1">IFERROR(__xludf.DUMMYFUNCTION("""COMPUTED_VALUE"""),"El periodismo cultural y la economía creativa en Guanajuato, convergen en espacios de formación crítica y foros de desarrollo económico tiene como objetivo formar profesionales que comuniquen el valor de las artes y conecten al público con creadores local"&amp;"es.")</f>
        <v>El periodismo cultural y la economía creativa en Guanajuato, convergen en espacios de formación crítica y foros de desarrollo económico tiene como objetivo formar profesionales que comuniquen el valor de las artes y conecten al público con creadores locales.</v>
      </c>
      <c r="BB484" s="30">
        <f ca="1">IFERROR(__xludf.DUMMYFUNCTION("""COMPUTED_VALUE"""),5)</f>
        <v>5</v>
      </c>
      <c r="BC484" s="30">
        <f ca="1">IFERROR(__xludf.DUMMYFUNCTION("""COMPUTED_VALUE"""),2)</f>
        <v>2</v>
      </c>
      <c r="BD484" s="30" t="str">
        <f ca="1">IFERROR(__xludf.DUMMYFUNCTION("""COMPUTED_VALUE"""),"Apoyado con anterioridad")</f>
        <v>Apoyado con anterioridad</v>
      </c>
      <c r="BE484" s="30" t="str">
        <f ca="1">IFERROR(__xludf.DUMMYFUNCTION("""COMPUTED_VALUE"""),"Juan Armando Moreno Rodriguez,Alan Mc Lane Alejos")</f>
        <v>Juan Armando Moreno Rodriguez,Alan Mc Lane Alejos</v>
      </c>
      <c r="BF484" s="30" t="b">
        <f ca="1">IFERROR(__xludf.DUMMYFUNCTION("""COMPUTED_VALUE"""),FALSE)</f>
        <v>0</v>
      </c>
      <c r="BG484" s="30"/>
      <c r="BH484" s="30"/>
      <c r="BI484" s="30"/>
      <c r="BJ484" s="30"/>
      <c r="BK484" s="30"/>
      <c r="BL484" s="30"/>
      <c r="BM484" s="30" t="str">
        <f ca="1">IFERROR(__xludf.DUMMYFUNCTION("""COMPUTED_VALUE"""),"No")</f>
        <v>No</v>
      </c>
      <c r="BN484" s="30"/>
      <c r="BO484" s="30" t="str">
        <f ca="1">IFERROR(__xludf.DUMMYFUNCTION("""COMPUTED_VALUE"""),"d7fec039")</f>
        <v>d7fec039</v>
      </c>
      <c r="BP484" s="29" t="str">
        <f ca="1">IFERROR(__xludf.DUMMYFUNCTION("""COMPUTED_VALUE"""),"Guanajuato")</f>
        <v>Guanajuato</v>
      </c>
      <c r="BQ484" s="30" t="str">
        <f ca="1">IFERROR(__xludf.DUMMYFUNCTION("""COMPUTED_VALUE"""),"Urbano")</f>
        <v>Urbano</v>
      </c>
      <c r="BR484" s="30"/>
      <c r="BS484" s="30"/>
      <c r="BT484" s="30"/>
      <c r="BU484" s="30" t="str">
        <f ca="1">IFERROR(__xludf.DUMMYFUNCTION("""COMPUTED_VALUE"""),"No")</f>
        <v>No</v>
      </c>
      <c r="BV484" s="30" t="str">
        <f ca="1">IFERROR(__xludf.DUMMYFUNCTION("""COMPUTED_VALUE"""),"No")</f>
        <v>No</v>
      </c>
      <c r="BW484" s="30">
        <f ca="1">IFERROR(__xludf.DUMMYFUNCTION("""COMPUTED_VALUE"""),3)</f>
        <v>3</v>
      </c>
      <c r="BX484" s="30"/>
      <c r="BY484" s="30">
        <f ca="1">IFERROR(__xludf.DUMMYFUNCTION("""COMPUTED_VALUE"""),3)</f>
        <v>3</v>
      </c>
      <c r="BZ484" s="30"/>
      <c r="CA484" s="30" t="str">
        <f ca="1">IFERROR(__xludf.DUMMYFUNCTION("""COMPUTED_VALUE"""),"No")</f>
        <v>No</v>
      </c>
      <c r="CB484" s="30" t="str">
        <f ca="1">IFERROR(__xludf.DUMMYFUNCTION("""COMPUTED_VALUE"""),"No")</f>
        <v>No</v>
      </c>
      <c r="CC484" s="30" t="str">
        <f ca="1">IFERROR(__xludf.DUMMYFUNCTION("""COMPUTED_VALUE"""),"1bba98a7")</f>
        <v>1bba98a7</v>
      </c>
      <c r="CD484" s="29" t="str">
        <f ca="1">IFERROR(__xludf.DUMMYFUNCTION("""COMPUTED_VALUE"""),"Adultos (30 a 59 años)")</f>
        <v>Adultos (30 a 59 años)</v>
      </c>
      <c r="CE484" s="30" t="str">
        <f ca="1">IFERROR(__xludf.DUMMYFUNCTION("""COMPUTED_VALUE"""),"No se cuenta con el dato")</f>
        <v>No se cuenta con el dato</v>
      </c>
      <c r="CF484" s="30" t="str">
        <f ca="1">IFERROR(__xludf.DUMMYFUNCTION("""COMPUTED_VALUE"""),"Ninguno (Población General)")</f>
        <v>Ninguno (Población General)</v>
      </c>
      <c r="CG484" s="30">
        <f ca="1">IFERROR(__xludf.DUMMYFUNCTION("""COMPUTED_VALUE"""),42)</f>
        <v>42</v>
      </c>
      <c r="CJ484" s="29"/>
      <c r="CM484" s="30" t="str">
        <f ca="1">IFERROR(__xludf.DUMMYFUNCTION("""COMPUTED_VALUE"""),"Salamanca")</f>
        <v>Salamanca</v>
      </c>
      <c r="CN484" s="32" t="e">
        <f ca="1"/>
        <v>#NAME?</v>
      </c>
      <c r="CO484" s="32" t="e">
        <f ca="1"/>
        <v>#NAME?</v>
      </c>
      <c r="CP484" s="32" t="e">
        <f ca="1"/>
        <v>#NAME?</v>
      </c>
      <c r="CQ484" s="32" t="e">
        <f ca="1"/>
        <v>#NAME?</v>
      </c>
      <c r="CR484" s="30" t="e">
        <f ca="1"/>
        <v>#NAME?</v>
      </c>
      <c r="CS484" s="30" t="str">
        <f ca="1">IFERROR(__xludf.DUMMYFUNCTION("""COMPUTED_VALUE"""),"NNA (Niñas, Niños y Adolescentes), NNA (Niñas, Niños y Adolescentes)")</f>
        <v>NNA (Niñas, Niños y Adolescentes), NNA (Niñas, Niños y Adolescentes)</v>
      </c>
    </row>
    <row r="485" spans="1:97" ht="13">
      <c r="A485" s="29" t="str">
        <f ca="1">IFERROR(__xludf.DUMMYFUNCTION("""COMPUTED_VALUE"""),"ACT-SCAA07550")</f>
        <v>ACT-SCAA07550</v>
      </c>
      <c r="B485" s="30" t="str">
        <f ca="1">IFERROR(__xludf.DUMMYFUNCTION("""COMPUTED_VALUE"""),"SC-261005-100246")</f>
        <v>SC-261005-100246</v>
      </c>
      <c r="C485" s="62">
        <f ca="1">IFERROR(__xludf.DUMMYFUNCTION("""COMPUTED_VALUE"""),46300.4185879629)</f>
        <v>46300.4185879629</v>
      </c>
      <c r="D485" s="30">
        <f ca="1">IFERROR(__xludf.DUMMYFUNCTION("""COMPUTED_VALUE"""),29)</f>
        <v>29</v>
      </c>
      <c r="E485" s="30" t="str">
        <f ca="1">IFERROR(__xludf.DUMMYFUNCTION("""COMPUTED_VALUE"""),"QC4049")</f>
        <v>QC4049</v>
      </c>
      <c r="F485" s="30" t="str">
        <f ca="1">IFERROR(__xludf.DUMMYFUNCTION("""COMPUTED_VALUE"""),"Centro de las Artes de Guanajuato, Claustro Mayor")</f>
        <v>Centro de las Artes de Guanajuato, Claustro Mayor</v>
      </c>
      <c r="G485"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85" s="30" t="str">
        <f ca="1">IFERROR(__xludf.DUMMYFUNCTION("""COMPUTED_VALUE"""),"SUBSECRETARÍA DE DESARROLLO COMUNITARIO Y PROMOCIÓN PATRIMONIAL")</f>
        <v>SUBSECRETARÍA DE DESARROLLO COMUNITARIO Y PROMOCIÓN PATRIMONIAL</v>
      </c>
      <c r="I485" s="34" t="str">
        <f ca="1">IFERROR(__xludf.DUMMYFUNCTION("""COMPUTED_VALUE"""),"DIRECCIÓN GENERAL DE FORMACIÓN E INVESTIGACIÓN")</f>
        <v>DIRECCIÓN GENERAL DE FORMACIÓN E INVESTIGACIÓN</v>
      </c>
      <c r="J485" s="30" t="str">
        <f ca="1">IFERROR(__xludf.DUMMYFUNCTION("""COMPUTED_VALUE"""),"Actividades realizadas")</f>
        <v>Actividades realizadas</v>
      </c>
      <c r="K485" s="30">
        <f ca="1">IFERROR(__xludf.DUMMYFUNCTION("""COMPUTED_VALUE"""),16)</f>
        <v>16</v>
      </c>
      <c r="L485" s="30" t="str">
        <f ca="1">IFERROR(__xludf.DUMMYFUNCTION("""COMPUTED_VALUE"""),"Cultural")</f>
        <v>Cultural</v>
      </c>
      <c r="M485" s="30" t="str">
        <f ca="1">IFERROR(__xludf.DUMMYFUNCTION("""COMPUTED_VALUE"""),"Performance audiovisual Dr. Zoppa")</f>
        <v>Performance audiovisual Dr. Zoppa</v>
      </c>
      <c r="N485" s="30" t="str">
        <f ca="1">IFERROR(__xludf.DUMMYFUNCTION("""COMPUTED_VALUE"""),"Performance audiovisual con el CMMAS")</f>
        <v>Performance audiovisual con el CMMAS</v>
      </c>
      <c r="O485" s="30" t="str">
        <f ca="1">IFERROR(__xludf.DUMMYFUNCTION("""COMPUTED_VALUE"""),"Diaria")</f>
        <v>Diaria</v>
      </c>
      <c r="P485" s="33">
        <f ca="1">IFERROR(__xludf.DUMMYFUNCTION("""COMPUTED_VALUE"""),46248)</f>
        <v>46248</v>
      </c>
      <c r="Q485" s="33">
        <f ca="1">IFERROR(__xludf.DUMMYFUNCTION("""COMPUTED_VALUE"""),46249)</f>
        <v>46249</v>
      </c>
      <c r="R485" s="30">
        <f ca="1">IFERROR(__xludf.DUMMYFUNCTION("""COMPUTED_VALUE"""),2)</f>
        <v>2</v>
      </c>
      <c r="S485" s="30" t="str">
        <f ca="1">IFERROR(__xludf.DUMMYFUNCTION("""COMPUTED_VALUE"""),"Artes visuales")</f>
        <v>Artes visuales</v>
      </c>
      <c r="T485" s="30" t="str">
        <f ca="1">IFERROR(__xludf.DUMMYFUNCTION("""COMPUTED_VALUE"""),"Arte digital")</f>
        <v>Arte digital</v>
      </c>
      <c r="U485" s="30" t="str">
        <f ca="1">IFERROR(__xludf.DUMMYFUNCTION("""COMPUTED_VALUE"""),"Taller")</f>
        <v>Taller</v>
      </c>
      <c r="V485" s="30" t="str">
        <f ca="1">IFERROR(__xludf.DUMMYFUNCTION("""COMPUTED_VALUE"""),"Ninguna")</f>
        <v>Ninguna</v>
      </c>
      <c r="W485" s="30" t="str">
        <f ca="1">IFERROR(__xludf.DUMMYFUNCTION("""COMPUTED_VALUE"""),"Presencial")</f>
        <v>Presencial</v>
      </c>
      <c r="X485" s="30" t="str">
        <f ca="1">IFERROR(__xludf.DUMMYFUNCTION("""COMPUTED_VALUE"""),"Espacio préstamo a la Secretaría de Cultura")</f>
        <v>Espacio préstamo a la Secretaría de Cultura</v>
      </c>
      <c r="Y485" s="30"/>
      <c r="Z485" s="30"/>
      <c r="AA485" s="30"/>
      <c r="AB485" s="30" t="b">
        <f ca="1">IFERROR(__xludf.DUMMYFUNCTION("""COMPUTED_VALUE"""),FALSE)</f>
        <v>0</v>
      </c>
      <c r="AC485" s="30"/>
      <c r="AD485" s="30" t="b">
        <f ca="1">IFERROR(__xludf.DUMMYFUNCTION("""COMPUTED_VALUE"""),FALSE)</f>
        <v>0</v>
      </c>
      <c r="AE485" s="30"/>
      <c r="AF485" s="30" t="b">
        <f ca="1">IFERROR(__xludf.DUMMYFUNCTION("""COMPUTED_VALUE"""),FALSE)</f>
        <v>0</v>
      </c>
      <c r="AG485" s="30"/>
      <c r="AH485" s="30" t="str">
        <f ca="1">IFERROR(__xludf.DUMMYFUNCTION("""COMPUTED_VALUE"""),"Sin costo")</f>
        <v>Sin costo</v>
      </c>
      <c r="AI485" s="30"/>
      <c r="AJ485" s="30"/>
      <c r="AK485" s="30"/>
      <c r="AL485" s="30" t="str">
        <f ca="1">IFERROR(__xludf.DUMMYFUNCTION("""COMPUTED_VALUE"""),"claudia.ramirezm@guanajuato.gob.mx")</f>
        <v>claudia.ramirezm@guanajuato.gob.mx</v>
      </c>
      <c r="AM485" s="30" t="str">
        <f ca="1">IFERROR(__xludf.DUMMYFUNCTION("""COMPUTED_VALUE"""),"Actividades artísticas y culturales en zonas de alta marginación.")</f>
        <v>Actividades artísticas y culturales en zonas de alta marginación.</v>
      </c>
      <c r="AN485" s="30" t="str">
        <f ca="1">IFERROR(__xludf.DUMMYFUNCTION("""COMPUTED_VALUE"""),"2 Igualdad")</f>
        <v>2 Igualdad</v>
      </c>
      <c r="AO485" s="30" t="str">
        <f ca="1">IFERROR(__xludf.DUMMYFUNCTION("""COMPUTED_VALUE"""),"2.2 Fortalecer cohesión social")</f>
        <v>2.2 Fortalecer cohesión social</v>
      </c>
      <c r="AP485" s="30" t="str">
        <f ca="1">IFERROR(__xludf.DUMMYFUNCTION("""COMPUTED_VALUE"""),"2.2 Fortalecer cohesión social")</f>
        <v>2.2 Fortalecer cohesión social</v>
      </c>
      <c r="AQ485" s="30" t="str">
        <f ca="1">IFERROR(__xludf.DUMMYFUNCTION("""COMPUTED_VALUE"""),"2.2.3.2 Promover la participación de grupos prioritarios en actividades culturales")</f>
        <v>2.2.3.2 Promover la participación de grupos prioritarios en actividades culturales</v>
      </c>
      <c r="AR485" s="30" t="str">
        <f ca="1">IFERROR(__xludf.DUMMYFUNCTION("""COMPUTED_VALUE"""),"Inclusión")</f>
        <v>Inclusión</v>
      </c>
      <c r="AS485" s="30" t="str">
        <f ca="1">IFERROR(__xludf.DUMMYFUNCTION("""COMPUTED_VALUE"""),"Ninguno (Población General)")</f>
        <v>Ninguno (Población General)</v>
      </c>
      <c r="AT485" s="30" t="str">
        <f ca="1">IFERROR(__xludf.DUMMYFUNCTION("""COMPUTED_VALUE"""),"Impulso a la educación artística y a la profesionalización del sector cultural")</f>
        <v>Impulso a la educación artística y a la profesionalización del sector cultural</v>
      </c>
      <c r="AU485" s="30" t="str">
        <f ca="1">IFERROR(__xludf.DUMMYFUNCTION("""COMPUTED_VALUE"""),"Impulso a programas de formación y profesionalización para agentes culturales.")</f>
        <v>Impulso a programas de formación y profesionalización para agentes culturales.</v>
      </c>
      <c r="AV485"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5" s="30" t="str">
        <f ca="1">IFERROR(__xludf.DUMMYFUNCTION("""COMPUTED_VALUE"""),"Incrementar un 30% la oferta de formación y profesionalización para agentes culturales.")</f>
        <v>Incrementar un 30% la oferta de formación y profesionalización para agentes culturales.</v>
      </c>
      <c r="AX485" s="30" t="str">
        <f ca="1">IFERROR(__xludf.DUMMYFUNCTION("""COMPUTED_VALUE"""),"Taller")</f>
        <v>Taller</v>
      </c>
      <c r="AY485" s="30" t="str">
        <f ca="1">IFERROR(__xludf.DUMMYFUNCTION("""COMPUTED_VALUE"""),"Formación")</f>
        <v>Formación</v>
      </c>
      <c r="AZ485" s="30" t="str">
        <f ca="1">IFERROR(__xludf.DUMMYFUNCTION("""COMPUTED_VALUE"""),"Formación")</f>
        <v>Formación</v>
      </c>
      <c r="BA485" s="30" t="str">
        <f ca="1">IFERROR(__xludf.DUMMYFUNCTION("""COMPUTED_VALUE"""),"Performance audiovisual con el CMMAS")</f>
        <v>Performance audiovisual con el CMMAS</v>
      </c>
      <c r="BB485" s="30">
        <f ca="1">IFERROR(__xludf.DUMMYFUNCTION("""COMPUTED_VALUE"""),5)</f>
        <v>5</v>
      </c>
      <c r="BC485" s="30">
        <f ca="1">IFERROR(__xludf.DUMMYFUNCTION("""COMPUTED_VALUE"""),2)</f>
        <v>2</v>
      </c>
      <c r="BD485" s="30" t="str">
        <f ca="1">IFERROR(__xludf.DUMMYFUNCTION("""COMPUTED_VALUE"""),"Apoyado con anterioridad")</f>
        <v>Apoyado con anterioridad</v>
      </c>
      <c r="BE485" s="30" t="str">
        <f ca="1">IFERROR(__xludf.DUMMYFUNCTION("""COMPUTED_VALUE"""),"Juan Armando Moreno Rodriguez,Francisco Colasanto")</f>
        <v>Juan Armando Moreno Rodriguez,Francisco Colasanto</v>
      </c>
      <c r="BF485" s="30" t="b">
        <f ca="1">IFERROR(__xludf.DUMMYFUNCTION("""COMPUTED_VALUE"""),FALSE)</f>
        <v>0</v>
      </c>
      <c r="BG485" s="30"/>
      <c r="BH485" s="30"/>
      <c r="BI485" s="30"/>
      <c r="BJ485" s="30"/>
      <c r="BK485" s="30"/>
      <c r="BL485" s="30"/>
      <c r="BM485" s="30" t="str">
        <f ca="1">IFERROR(__xludf.DUMMYFUNCTION("""COMPUTED_VALUE"""),"No")</f>
        <v>No</v>
      </c>
      <c r="BN485" s="30"/>
      <c r="BO485" s="30" t="str">
        <f ca="1">IFERROR(__xludf.DUMMYFUNCTION("""COMPUTED_VALUE"""),"c19b57df")</f>
        <v>c19b57df</v>
      </c>
      <c r="BP485" s="29" t="str">
        <f ca="1">IFERROR(__xludf.DUMMYFUNCTION("""COMPUTED_VALUE"""),"Guanajuato")</f>
        <v>Guanajuato</v>
      </c>
      <c r="BQ485" s="30" t="str">
        <f ca="1">IFERROR(__xludf.DUMMYFUNCTION("""COMPUTED_VALUE"""),"Urbano")</f>
        <v>Urbano</v>
      </c>
      <c r="BR485" s="30"/>
      <c r="BS485" s="30"/>
      <c r="BT485" s="30"/>
      <c r="BU485" s="30" t="str">
        <f ca="1">IFERROR(__xludf.DUMMYFUNCTION("""COMPUTED_VALUE"""),"No")</f>
        <v>No</v>
      </c>
      <c r="BV485" s="30" t="str">
        <f ca="1">IFERROR(__xludf.DUMMYFUNCTION("""COMPUTED_VALUE"""),"No")</f>
        <v>No</v>
      </c>
      <c r="BW485" s="30">
        <f ca="1">IFERROR(__xludf.DUMMYFUNCTION("""COMPUTED_VALUE"""),2)</f>
        <v>2</v>
      </c>
      <c r="BX485" s="30"/>
      <c r="BY485" s="30">
        <f ca="1">IFERROR(__xludf.DUMMYFUNCTION("""COMPUTED_VALUE"""),2)</f>
        <v>2</v>
      </c>
      <c r="BZ485" s="30"/>
      <c r="CA485" s="30" t="str">
        <f ca="1">IFERROR(__xludf.DUMMYFUNCTION("""COMPUTED_VALUE"""),"No")</f>
        <v>No</v>
      </c>
      <c r="CB485" s="30" t="str">
        <f ca="1">IFERROR(__xludf.DUMMYFUNCTION("""COMPUTED_VALUE"""),"No")</f>
        <v>No</v>
      </c>
      <c r="CC485" s="30" t="str">
        <f ca="1">IFERROR(__xludf.DUMMYFUNCTION("""COMPUTED_VALUE"""),"da6b1ff1")</f>
        <v>da6b1ff1</v>
      </c>
      <c r="CD485" s="29" t="str">
        <f ca="1">IFERROR(__xludf.DUMMYFUNCTION("""COMPUTED_VALUE"""),"Jóvenes (18 a 29 años)")</f>
        <v>Jóvenes (18 a 29 años)</v>
      </c>
      <c r="CE485" s="30" t="str">
        <f ca="1">IFERROR(__xludf.DUMMYFUNCTION("""COMPUTED_VALUE"""),"No se cuenta con el dato")</f>
        <v>No se cuenta con el dato</v>
      </c>
      <c r="CF485" s="30" t="str">
        <f ca="1">IFERROR(__xludf.DUMMYFUNCTION("""COMPUTED_VALUE"""),"Ninguno (Población General)")</f>
        <v>Ninguno (Población General)</v>
      </c>
      <c r="CG485" s="30">
        <f ca="1">IFERROR(__xludf.DUMMYFUNCTION("""COMPUTED_VALUE"""),10)</f>
        <v>10</v>
      </c>
      <c r="CJ485" s="29"/>
      <c r="CM485" s="30" t="str">
        <f ca="1">IFERROR(__xludf.DUMMYFUNCTION("""COMPUTED_VALUE"""),"Salamanca")</f>
        <v>Salamanca</v>
      </c>
      <c r="CN485" s="32" t="e">
        <f ca="1"/>
        <v>#NAME?</v>
      </c>
      <c r="CO485" s="32" t="e">
        <f ca="1"/>
        <v>#NAME?</v>
      </c>
      <c r="CP485" s="32" t="e">
        <f ca="1"/>
        <v>#NAME?</v>
      </c>
      <c r="CQ485" s="32" t="e">
        <f ca="1"/>
        <v>#NAME?</v>
      </c>
      <c r="CR485" s="30" t="e">
        <f ca="1"/>
        <v>#NAME?</v>
      </c>
      <c r="CS485" s="30" t="str">
        <f ca="1">IFERROR(__xludf.DUMMYFUNCTION("""COMPUTED_VALUE"""),"NNA (Niñas, Niños y Adolescentes), NNA (Niñas, Niños y Adolescentes), Comunidad LGBTIQ+")</f>
        <v>NNA (Niñas, Niños y Adolescentes), NNA (Niñas, Niños y Adolescentes), Comunidad LGBTIQ+</v>
      </c>
    </row>
    <row r="486" spans="1:97" ht="13">
      <c r="A486" s="29" t="str">
        <f ca="1">IFERROR(__xludf.DUMMYFUNCTION("""COMPUTED_VALUE"""),"ACT-SCSC67260")</f>
        <v>ACT-SCSC67260</v>
      </c>
      <c r="B486" s="30" t="str">
        <f ca="1">IFERROR(__xludf.DUMMYFUNCTION("""COMPUTED_VALUE"""),"SC-261005-102811")</f>
        <v>SC-261005-102811</v>
      </c>
      <c r="C486" s="62">
        <f ca="1">IFERROR(__xludf.DUMMYFUNCTION("""COMPUTED_VALUE"""),46300.4362384259)</f>
        <v>46300.4362384259</v>
      </c>
      <c r="D486" s="30">
        <f ca="1">IFERROR(__xludf.DUMMYFUNCTION("""COMPUTED_VALUE"""),29)</f>
        <v>29</v>
      </c>
      <c r="E486" s="30" t="str">
        <f ca="1">IFERROR(__xludf.DUMMYFUNCTION("""COMPUTED_VALUE"""),"QC4049")</f>
        <v>QC4049</v>
      </c>
      <c r="F486" s="30" t="str">
        <f ca="1">IFERROR(__xludf.DUMMYFUNCTION("""COMPUTED_VALUE"""),"Centro de las Artes de Guanajuato, Claustro Mayor")</f>
        <v>Centro de las Artes de Guanajuato, Claustro Mayor</v>
      </c>
      <c r="G486"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486" s="30" t="str">
        <f ca="1">IFERROR(__xludf.DUMMYFUNCTION("""COMPUTED_VALUE"""),"SUBSECRETARÍA DE DESARROLLO COMUNITARIO Y PROMOCIÓN PATRIMONIAL")</f>
        <v>SUBSECRETARÍA DE DESARROLLO COMUNITARIO Y PROMOCIÓN PATRIMONIAL</v>
      </c>
      <c r="I486" s="34" t="str">
        <f ca="1">IFERROR(__xludf.DUMMYFUNCTION("""COMPUTED_VALUE"""),"DIRECCIÓN GENERAL DE FORMACIÓN E INVESTIGACIÓN")</f>
        <v>DIRECCIÓN GENERAL DE FORMACIÓN E INVESTIGACIÓN</v>
      </c>
      <c r="J486" s="30" t="str">
        <f ca="1">IFERROR(__xludf.DUMMYFUNCTION("""COMPUTED_VALUE"""),"Actividades realizadas")</f>
        <v>Actividades realizadas</v>
      </c>
      <c r="K486" s="30">
        <f ca="1">IFERROR(__xludf.DUMMYFUNCTION("""COMPUTED_VALUE"""),16)</f>
        <v>16</v>
      </c>
      <c r="L486" s="30" t="str">
        <f ca="1">IFERROR(__xludf.DUMMYFUNCTION("""COMPUTED_VALUE"""),"Cultural")</f>
        <v>Cultural</v>
      </c>
      <c r="M486" s="30" t="str">
        <f ca="1">IFERROR(__xludf.DUMMYFUNCTION("""COMPUTED_VALUE"""),"Laboratorio Audiovisual para NNA")</f>
        <v>Laboratorio Audiovisual para NNA</v>
      </c>
      <c r="N486" s="30" t="str">
        <f ca="1">IFERROR(__xludf.DUMMYFUNCTION("""COMPUTED_VALUE"""),"Laboratorio de exploración identitaria a través de pedagogías lúdicas y animación audiovisual:Este es un espacio dirigido a niñas, niños y adolescentes, consiste en el desarrollo de un laboratorio en el que se explorarán los contextos comunitarios"&amp;" barriales desde las diversas miradas, percepciones e intereses, para comprender y reafirmar experiencias de apreciación sobre el proceso de lo que se encuentra detrás de los cortometrajes que se estarán exhibiendo y percibiendo, así como de las posib"&amp;"ilidades y de captar y crear a partir de los lenguajes comunes.")</f>
        <v>Laboratorio de exploración identitaria a través de pedagogías lúdicas y animación audiovisual:Este es un espacio dirigido a niñas, niños y adolescentes, consiste en el desarrollo de un laboratorio en el que se explorarán los contextos comunitarios barriales desde las diversas miradas, percepciones e intereses, para comprender y reafirmar experiencias de apreciación sobre el proceso de lo que se encuentra detrás de los cortometrajes que se estarán exhibiendo y percibiendo, así como de las posibilidades y de captar y crear a partir de los lenguajes comunes.</v>
      </c>
      <c r="O486" s="30" t="str">
        <f ca="1">IFERROR(__xludf.DUMMYFUNCTION("""COMPUTED_VALUE"""),"Diaria")</f>
        <v>Diaria</v>
      </c>
      <c r="P486" s="33">
        <f ca="1">IFERROR(__xludf.DUMMYFUNCTION("""COMPUTED_VALUE"""),46261)</f>
        <v>46261</v>
      </c>
      <c r="Q486" s="33">
        <f ca="1">IFERROR(__xludf.DUMMYFUNCTION("""COMPUTED_VALUE"""),46264)</f>
        <v>46264</v>
      </c>
      <c r="R486" s="30">
        <f ca="1">IFERROR(__xludf.DUMMYFUNCTION("""COMPUTED_VALUE"""),4)</f>
        <v>4</v>
      </c>
      <c r="S486" s="30" t="str">
        <f ca="1">IFERROR(__xludf.DUMMYFUNCTION("""COMPUTED_VALUE"""),"Cinematografía y medios audiovisuales")</f>
        <v>Cinematografía y medios audiovisuales</v>
      </c>
      <c r="T486" s="30" t="str">
        <f ca="1">IFERROR(__xludf.DUMMYFUNCTION("""COMPUTED_VALUE"""),"Nuevos medios")</f>
        <v>Nuevos medios</v>
      </c>
      <c r="U486" s="30" t="str">
        <f ca="1">IFERROR(__xludf.DUMMYFUNCTION("""COMPUTED_VALUE"""),"Taller")</f>
        <v>Taller</v>
      </c>
      <c r="V486" s="30" t="str">
        <f ca="1">IFERROR(__xludf.DUMMYFUNCTION("""COMPUTED_VALUE"""),"Ninguna")</f>
        <v>Ninguna</v>
      </c>
      <c r="W486" s="30" t="str">
        <f ca="1">IFERROR(__xludf.DUMMYFUNCTION("""COMPUTED_VALUE"""),"Presencial")</f>
        <v>Presencial</v>
      </c>
      <c r="X486" s="30" t="str">
        <f ca="1">IFERROR(__xludf.DUMMYFUNCTION("""COMPUTED_VALUE"""),"Espacio Público")</f>
        <v>Espacio Público</v>
      </c>
      <c r="Y486" s="30"/>
      <c r="Z486" s="30" t="str">
        <f ca="1">IFERROR(__xludf.DUMMYFUNCTION("""COMPUTED_VALUE"""),"Centro Nuevo Comienzo El Rehilete")</f>
        <v>Centro Nuevo Comienzo El Rehilete</v>
      </c>
      <c r="AA486" s="30"/>
      <c r="AB486" s="30" t="b">
        <f ca="1">IFERROR(__xludf.DUMMYFUNCTION("""COMPUTED_VALUE"""),FALSE)</f>
        <v>0</v>
      </c>
      <c r="AC486" s="30"/>
      <c r="AD486" s="30" t="b">
        <f ca="1">IFERROR(__xludf.DUMMYFUNCTION("""COMPUTED_VALUE"""),FALSE)</f>
        <v>0</v>
      </c>
      <c r="AE486" s="30"/>
      <c r="AF486" s="30" t="b">
        <f ca="1">IFERROR(__xludf.DUMMYFUNCTION("""COMPUTED_VALUE"""),FALSE)</f>
        <v>0</v>
      </c>
      <c r="AG486" s="30"/>
      <c r="AH486" s="30" t="str">
        <f ca="1">IFERROR(__xludf.DUMMYFUNCTION("""COMPUTED_VALUE"""),"Sin costo")</f>
        <v>Sin costo</v>
      </c>
      <c r="AI486" s="30"/>
      <c r="AJ486" s="30"/>
      <c r="AK486" s="30"/>
      <c r="AL486" s="30" t="str">
        <f ca="1">IFERROR(__xludf.DUMMYFUNCTION("""COMPUTED_VALUE"""),"claudia.ramirezm@guanajuato.gob.mx")</f>
        <v>claudia.ramirezm@guanajuato.gob.mx</v>
      </c>
      <c r="AM486" s="30" t="str">
        <f ca="1">IFERROR(__xludf.DUMMYFUNCTION("""COMPUTED_VALUE"""),"Actividades artísticas y culturales en zonas de alta marginación.")</f>
        <v>Actividades artísticas y culturales en zonas de alta marginación.</v>
      </c>
      <c r="AN486" s="30" t="str">
        <f ca="1">IFERROR(__xludf.DUMMYFUNCTION("""COMPUTED_VALUE"""),"1 Tranquilidad")</f>
        <v>1 Tranquilidad</v>
      </c>
      <c r="AO486" s="30" t="str">
        <f ca="1">IFERROR(__xludf.DUMMYFUNCTION("""COMPUTED_VALUE"""),"1.2 Fortalecer prevención del delito")</f>
        <v>1.2 Fortalecer prevención del delito</v>
      </c>
      <c r="AP486" s="30" t="str">
        <f ca="1">IFERROR(__xludf.DUMMYFUNCTION("""COMPUTED_VALUE"""),"1.2.2 Fortalecimiento del tejido social")</f>
        <v>1.2.2 Fortalecimiento del tejido social</v>
      </c>
      <c r="AQ486" s="30" t="str">
        <f ca="1">IFERROR(__xludf.DUMMYFUNCTION("""COMPUTED_VALUE"""),"1.2.3.4 Promover una cultura de paz desde las expresiones artísticas y culturales")</f>
        <v>1.2.3.4 Promover una cultura de paz desde las expresiones artísticas y culturales</v>
      </c>
      <c r="AR486" s="30" t="str">
        <f ca="1">IFERROR(__xludf.DUMMYFUNCTION("""COMPUTED_VALUE"""),"Inclusión")</f>
        <v>Inclusión</v>
      </c>
      <c r="AS486" s="30" t="str">
        <f ca="1">IFERROR(__xludf.DUMMYFUNCTION("""COMPUTED_VALUE"""),"NNA (Niñas, Niños y Adolescentes)")</f>
        <v>NNA (Niñas, Niños y Adolescentes)</v>
      </c>
      <c r="AT486" s="30" t="str">
        <f ca="1">IFERROR(__xludf.DUMMYFUNCTION("""COMPUTED_VALUE"""),"Impulso a la educación artística y a la profesionalización del sector cultural")</f>
        <v>Impulso a la educación artística y a la profesionalización del sector cultural</v>
      </c>
      <c r="AU486" s="30" t="str">
        <f ca="1">IFERROR(__xludf.DUMMYFUNCTION("""COMPUTED_VALUE"""),"Impulso a programas de formación y profesionalización para agentes culturales.")</f>
        <v>Impulso a programas de formación y profesionalización para agentes culturales.</v>
      </c>
      <c r="AV486"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6" s="30" t="str">
        <f ca="1">IFERROR(__xludf.DUMMYFUNCTION("""COMPUTED_VALUE"""),"Incrementar un 30% la oferta de formación y profesionalización para agentes culturales.")</f>
        <v>Incrementar un 30% la oferta de formación y profesionalización para agentes culturales.</v>
      </c>
      <c r="AX486" s="30" t="str">
        <f ca="1">IFERROR(__xludf.DUMMYFUNCTION("""COMPUTED_VALUE"""),"Taller")</f>
        <v>Taller</v>
      </c>
      <c r="AY486" s="30" t="str">
        <f ca="1">IFERROR(__xludf.DUMMYFUNCTION("""COMPUTED_VALUE"""),"Formación")</f>
        <v>Formación</v>
      </c>
      <c r="AZ486" s="30" t="str">
        <f ca="1">IFERROR(__xludf.DUMMYFUNCTION("""COMPUTED_VALUE"""),"Formación")</f>
        <v>Formación</v>
      </c>
      <c r="BA486" s="30" t="str">
        <f ca="1">IFERROR(__xludf.DUMMYFUNCTION("""COMPUTED_VALUE"""),"Laboratorio de exploración identitaria a través de pedagogías lúdicas y animación audiovisual:Este es un espacio dirigido a niñas, niños y adolescentes, consiste en el desarrollo de un laboratorio en el que se explorarán los contextos comunitarios"&amp;" barriales desde las diversas miradas, percepciones e intereses, para comprender y reafirmar experiencias de apreciación sobre el proceso de lo que se encuentra detrás de los cortometrajes que se estarán exhibiendo y percibiendo, así como de las posib"&amp;"ilidades y de captar y crear a partir de los lenguajes comunes.")</f>
        <v>Laboratorio de exploración identitaria a través de pedagogías lúdicas y animación audiovisual:Este es un espacio dirigido a niñas, niños y adolescentes, consiste en el desarrollo de un laboratorio en el que se explorarán los contextos comunitarios barriales desde las diversas miradas, percepciones e intereses, para comprender y reafirmar experiencias de apreciación sobre el proceso de lo que se encuentra detrás de los cortometrajes que se estarán exhibiendo y percibiendo, así como de las posibilidades y de captar y crear a partir de los lenguajes comunes.</v>
      </c>
      <c r="BB486" s="30">
        <f ca="1">IFERROR(__xludf.DUMMYFUNCTION("""COMPUTED_VALUE"""),5)</f>
        <v>5</v>
      </c>
      <c r="BC486" s="30">
        <f ca="1">IFERROR(__xludf.DUMMYFUNCTION("""COMPUTED_VALUE"""),4)</f>
        <v>4</v>
      </c>
      <c r="BD486" s="30" t="str">
        <f ca="1">IFERROR(__xludf.DUMMYFUNCTION("""COMPUTED_VALUE"""),"Apoyado con anterioridad")</f>
        <v>Apoyado con anterioridad</v>
      </c>
      <c r="BE486" s="30" t="str">
        <f ca="1">IFERROR(__xludf.DUMMYFUNCTION("""COMPUTED_VALUE"""),"Victor Manuel Arcienega Trujillo,Annette Sánchez Quesada,Nataly López Escareño,Daniel Arellano Ruiz")</f>
        <v>Victor Manuel Arcienega Trujillo,Annette Sánchez Quesada,Nataly López Escareño,Daniel Arellano Ruiz</v>
      </c>
      <c r="BF486" s="30" t="b">
        <f ca="1">IFERROR(__xludf.DUMMYFUNCTION("""COMPUTED_VALUE"""),FALSE)</f>
        <v>0</v>
      </c>
      <c r="BG486" s="30"/>
      <c r="BH486" s="30"/>
      <c r="BI486" s="30"/>
      <c r="BJ486" s="30"/>
      <c r="BK486" s="30"/>
      <c r="BL486" s="30"/>
      <c r="BM486" s="30" t="str">
        <f ca="1">IFERROR(__xludf.DUMMYFUNCTION("""COMPUTED_VALUE"""),"No")</f>
        <v>No</v>
      </c>
      <c r="BN486" s="30"/>
      <c r="BO486" s="30" t="str">
        <f ca="1">IFERROR(__xludf.DUMMYFUNCTION("""COMPUTED_VALUE"""),"3faec726")</f>
        <v>3faec726</v>
      </c>
      <c r="BP486" s="29" t="str">
        <f ca="1">IFERROR(__xludf.DUMMYFUNCTION("""COMPUTED_VALUE"""),"Guanajuato")</f>
        <v>Guanajuato</v>
      </c>
      <c r="BQ486" s="30" t="str">
        <f ca="1">IFERROR(__xludf.DUMMYFUNCTION("""COMPUTED_VALUE"""),"Urbano")</f>
        <v>Urbano</v>
      </c>
      <c r="BR486" s="30"/>
      <c r="BS486" s="30"/>
      <c r="BT486" s="30"/>
      <c r="BU486" s="30" t="str">
        <f ca="1">IFERROR(__xludf.DUMMYFUNCTION("""COMPUTED_VALUE"""),"No")</f>
        <v>No</v>
      </c>
      <c r="BV486" s="30" t="str">
        <f ca="1">IFERROR(__xludf.DUMMYFUNCTION("""COMPUTED_VALUE"""),"No")</f>
        <v>No</v>
      </c>
      <c r="BW486" s="30">
        <f ca="1">IFERROR(__xludf.DUMMYFUNCTION("""COMPUTED_VALUE"""),3)</f>
        <v>3</v>
      </c>
      <c r="BX486" s="30"/>
      <c r="BY486" s="30">
        <f ca="1">IFERROR(__xludf.DUMMYFUNCTION("""COMPUTED_VALUE"""),3)</f>
        <v>3</v>
      </c>
      <c r="BZ486" s="30"/>
      <c r="CA486" s="30" t="str">
        <f ca="1">IFERROR(__xludf.DUMMYFUNCTION("""COMPUTED_VALUE"""),"No")</f>
        <v>No</v>
      </c>
      <c r="CB486" s="30" t="str">
        <f ca="1">IFERROR(__xludf.DUMMYFUNCTION("""COMPUTED_VALUE"""),"No")</f>
        <v>No</v>
      </c>
      <c r="CC486" s="30" t="str">
        <f ca="1">IFERROR(__xludf.DUMMYFUNCTION("""COMPUTED_VALUE"""),"e0041416")</f>
        <v>e0041416</v>
      </c>
      <c r="CD486" s="29" t="str">
        <f ca="1">IFERROR(__xludf.DUMMYFUNCTION("""COMPUTED_VALUE"""),"Adultos Mayores (60 años o más)")</f>
        <v>Adultos Mayores (60 años o más)</v>
      </c>
      <c r="CE486" s="30" t="str">
        <f ca="1">IFERROR(__xludf.DUMMYFUNCTION("""COMPUTED_VALUE"""),"No se cuenta con el dato")</f>
        <v>No se cuenta con el dato</v>
      </c>
      <c r="CF486" s="30" t="str">
        <f ca="1">IFERROR(__xludf.DUMMYFUNCTION("""COMPUTED_VALUE"""),"Ninguno (Población General)")</f>
        <v>Ninguno (Población General)</v>
      </c>
      <c r="CG486" s="30">
        <f ca="1">IFERROR(__xludf.DUMMYFUNCTION("""COMPUTED_VALUE"""),59)</f>
        <v>59</v>
      </c>
      <c r="CJ486" s="29"/>
      <c r="CM486" s="30" t="str">
        <f ca="1">IFERROR(__xludf.DUMMYFUNCTION("""COMPUTED_VALUE"""),"Salamanca")</f>
        <v>Salamanca</v>
      </c>
      <c r="CN486" s="32" t="e">
        <f ca="1"/>
        <v>#NAME?</v>
      </c>
      <c r="CO486" s="32" t="e">
        <f ca="1"/>
        <v>#NAME?</v>
      </c>
      <c r="CP486" s="32" t="e">
        <f ca="1"/>
        <v>#NAME?</v>
      </c>
      <c r="CQ486" s="32" t="e">
        <f ca="1"/>
        <v>#NAME?</v>
      </c>
      <c r="CR486" s="30" t="e">
        <f ca="1"/>
        <v>#NAME?</v>
      </c>
      <c r="CS486" s="30" t="str">
        <f ca="1">IFERROR(__xludf.DUMMYFUNCTION("""COMPUTED_VALUE"""),"NNA (Niñas, Niños y Adolescentes), NNA (Niñas, Niños y Adolescentes)")</f>
        <v>NNA (Niñas, Niños y Adolescentes), NNA (Niñas, Niños y Adolescentes)</v>
      </c>
    </row>
    <row r="487" spans="1:97" ht="13">
      <c r="A487" s="29" t="str">
        <f ca="1">IFERROR(__xludf.DUMMYFUNCTION("""COMPUTED_VALUE"""),"ACT-SCLG64192")</f>
        <v>ACT-SCLG64192</v>
      </c>
      <c r="B487" s="30" t="str">
        <f ca="1">IFERROR(__xludf.DUMMYFUNCTION("""COMPUTED_VALUE"""),"SC-261005-110556")</f>
        <v>SC-261005-110556</v>
      </c>
      <c r="C487" s="62">
        <f ca="1">IFERROR(__xludf.DUMMYFUNCTION("""COMPUTED_VALUE"""),46300.4624537037)</f>
        <v>46300.462453703702</v>
      </c>
      <c r="D487" s="30">
        <f ca="1">IFERROR(__xludf.DUMMYFUNCTION("""COMPUTED_VALUE"""),83)</f>
        <v>83</v>
      </c>
      <c r="E487" s="30" t="str">
        <f ca="1">IFERROR(__xludf.DUMMYFUNCTION("""COMPUTED_VALUE"""),"PB3574")</f>
        <v>PB3574</v>
      </c>
      <c r="F487" s="30" t="str">
        <f ca="1">IFERROR(__xludf.DUMMYFUNCTION("""COMPUTED_VALUE"""),"Operación del Sistema Estatal de Espacios Escénicos y Artes Vivas")</f>
        <v>Operación del Sistema Estatal de Espacios Escénicos y Artes Vivas</v>
      </c>
      <c r="G487" s="30" t="str">
        <f ca="1">IFERROR(__xludf.DUMMYFUNCTION("""COMPUTED_VALUE"""),"Actividades de artes vivas y eventos culturales en el estado de Guanajuato.")</f>
        <v>Actividades de artes vivas y eventos culturales en el estado de Guanajuato.</v>
      </c>
      <c r="H487" s="30" t="str">
        <f ca="1">IFERROR(__xludf.DUMMYFUNCTION("""COMPUTED_VALUE"""),"SUBSECRETARÍA DE DESARROLLO Y PROMOCIÓN ARTÍSTICA Y CULTURAL")</f>
        <v>SUBSECRETARÍA DE DESARROLLO Y PROMOCIÓN ARTÍSTICA Y CULTURAL</v>
      </c>
      <c r="I487" s="34" t="str">
        <f ca="1">IFERROR(__xludf.DUMMYFUNCTION("""COMPUTED_VALUE"""),"DIRECCIÓN GENERAL DE PRODUCCIÓN ARTÍSTICA")</f>
        <v>DIRECCIÓN GENERAL DE PRODUCCIÓN ARTÍSTICA</v>
      </c>
      <c r="J487" s="30" t="str">
        <f ca="1">IFERROR(__xludf.DUMMYFUNCTION("""COMPUTED_VALUE"""),"Actividades realizadas")</f>
        <v>Actividades realizadas</v>
      </c>
      <c r="K487" s="30">
        <f ca="1">IFERROR(__xludf.DUMMYFUNCTION("""COMPUTED_VALUE"""),46)</f>
        <v>46</v>
      </c>
      <c r="L487" s="30" t="str">
        <f ca="1">IFERROR(__xludf.DUMMYFUNCTION("""COMPUTED_VALUE"""),"Artística")</f>
        <v>Artística</v>
      </c>
      <c r="M487" s="30" t="str">
        <f ca="1">IFERROR(__xludf.DUMMYFUNCTION("""COMPUTED_VALUE"""),"Presentación artística de teatro")</f>
        <v>Presentación artística de teatro</v>
      </c>
      <c r="N487" s="30" t="str">
        <f ca="1">IFERROR(__xludf.DUMMYFUNCTION("""COMPUTED_VALUE"""),"Presentación artística de grupo de teatro de la casa de cultura")</f>
        <v>Presentación artística de grupo de teatro de la casa de cultura</v>
      </c>
      <c r="O487" s="30" t="str">
        <f ca="1">IFERROR(__xludf.DUMMYFUNCTION("""COMPUTED_VALUE"""),"Única")</f>
        <v>Única</v>
      </c>
      <c r="P487" s="33">
        <f ca="1">IFERROR(__xludf.DUMMYFUNCTION("""COMPUTED_VALUE"""),46032)</f>
        <v>46032</v>
      </c>
      <c r="Q487" s="33">
        <f ca="1">IFERROR(__xludf.DUMMYFUNCTION("""COMPUTED_VALUE"""),46032)</f>
        <v>46032</v>
      </c>
      <c r="R487" s="30">
        <f ca="1">IFERROR(__xludf.DUMMYFUNCTION("""COMPUTED_VALUE"""),1)</f>
        <v>1</v>
      </c>
      <c r="S487" s="30" t="str">
        <f ca="1">IFERROR(__xludf.DUMMYFUNCTION("""COMPUTED_VALUE"""),"Artes escénicas")</f>
        <v>Artes escénicas</v>
      </c>
      <c r="T487" s="30" t="str">
        <f ca="1">IFERROR(__xludf.DUMMYFUNCTION("""COMPUTED_VALUE"""),"Teatro")</f>
        <v>Teatro</v>
      </c>
      <c r="U487" s="30" t="str">
        <f ca="1">IFERROR(__xludf.DUMMYFUNCTION("""COMPUTED_VALUE"""),"Producción artística")</f>
        <v>Producción artística</v>
      </c>
      <c r="V487" s="30" t="str">
        <f ca="1">IFERROR(__xludf.DUMMYFUNCTION("""COMPUTED_VALUE"""),"Ninguna")</f>
        <v>Ninguna</v>
      </c>
      <c r="W487" s="30" t="str">
        <f ca="1">IFERROR(__xludf.DUMMYFUNCTION("""COMPUTED_VALUE"""),"Presencial")</f>
        <v>Presencial</v>
      </c>
      <c r="X487" s="30" t="str">
        <f ca="1">IFERROR(__xludf.DUMMYFUNCTION("""COMPUTED_VALUE"""),"Espacio a Cargo de la Secretaría")</f>
        <v>Espacio a Cargo de la Secretaría</v>
      </c>
      <c r="Y487" s="30" t="str">
        <f ca="1">IFERROR(__xludf.DUMMYFUNCTION("""COMPUTED_VALUE"""),"Teatro de la Ciudad de Purísima")</f>
        <v>Teatro de la Ciudad de Purísima</v>
      </c>
      <c r="Z487" s="30"/>
      <c r="AA487" s="30"/>
      <c r="AB487" s="30" t="b">
        <f ca="1">IFERROR(__xludf.DUMMYFUNCTION("""COMPUTED_VALUE"""),FALSE)</f>
        <v>0</v>
      </c>
      <c r="AC487" s="30"/>
      <c r="AD487" s="30" t="b">
        <f ca="1">IFERROR(__xludf.DUMMYFUNCTION("""COMPUTED_VALUE"""),FALSE)</f>
        <v>0</v>
      </c>
      <c r="AE487" s="30"/>
      <c r="AF487" s="30" t="b">
        <f ca="1">IFERROR(__xludf.DUMMYFUNCTION("""COMPUTED_VALUE"""),FALSE)</f>
        <v>0</v>
      </c>
      <c r="AG487" s="30"/>
      <c r="AH487" s="30" t="str">
        <f ca="1">IFERROR(__xludf.DUMMYFUNCTION("""COMPUTED_VALUE"""),"Sin costo")</f>
        <v>Sin costo</v>
      </c>
      <c r="AI487" s="30"/>
      <c r="AJ487" s="30"/>
      <c r="AK487" s="30"/>
      <c r="AL487" s="30" t="str">
        <f ca="1">IFERROR(__xludf.DUMMYFUNCTION("""COMPUTED_VALUE"""),"machagoya@guanajuato.gob.mx")</f>
        <v>machagoya@guanajuato.gob.mx</v>
      </c>
      <c r="AM487" s="30" t="str">
        <f ca="1">IFERROR(__xludf.DUMMYFUNCTION("""COMPUTED_VALUE"""),"Fortalecer la vinculación y el trabajo con casas de cultura y centros culturales municipales.")</f>
        <v>Fortalecer la vinculación y el trabajo con casas de cultura y centros culturales municipales.</v>
      </c>
      <c r="AN487" s="30" t="str">
        <f ca="1">IFERROR(__xludf.DUMMYFUNCTION("""COMPUTED_VALUE"""),"1 Tranquilidad")</f>
        <v>1 Tranquilidad</v>
      </c>
      <c r="AO487" s="30" t="str">
        <f ca="1">IFERROR(__xludf.DUMMYFUNCTION("""COMPUTED_VALUE"""),"1.2 Fortalecer prevención del delito")</f>
        <v>1.2 Fortalecer prevención del delito</v>
      </c>
      <c r="AP487" s="30" t="str">
        <f ca="1">IFERROR(__xludf.DUMMYFUNCTION("""COMPUTED_VALUE"""),"1.2.2 Fortalecimiento del tejido social")</f>
        <v>1.2.2 Fortalecimiento del tejido social</v>
      </c>
      <c r="AQ487" s="30" t="str">
        <f ca="1">IFERROR(__xludf.DUMMYFUNCTION("""COMPUTED_VALUE"""),"1.2.3.4 Promover una cultura de paz desde las expresiones artísticas y culturales")</f>
        <v>1.2.3.4 Promover una cultura de paz desde las expresiones artísticas y culturales</v>
      </c>
      <c r="AR487" s="30" t="str">
        <f ca="1">IFERROR(__xludf.DUMMYFUNCTION("""COMPUTED_VALUE"""),"Cooperación")</f>
        <v>Cooperación</v>
      </c>
      <c r="AS487" s="30"/>
      <c r="AT487" s="30" t="str">
        <f ca="1">IFERROR(__xludf.DUMMYFUNCTION("""COMPUTED_VALUE"""),"Fortalecimiento de la participación ciudadana y la mediación cultural")</f>
        <v>Fortalecimiento de la participación ciudadana y la mediación cultural</v>
      </c>
      <c r="AU487" s="30" t="str">
        <f ca="1">IFERROR(__xludf.DUMMYFUNCTION("""COMPUTED_VALUE"""),"Impulso a la ampliación de la oferta cultural en los territorios.")</f>
        <v>Impulso a la ampliación de la oferta cultural en los territorios.</v>
      </c>
      <c r="AV487" s="30" t="str">
        <f ca="1">IFERROR(__xludf.DUMMYFUNCTION("""COMPUTED_VALUE"""),"Impulsar los proyectos culturales itinerantes.")</f>
        <v>Impulsar los proyectos culturales itinerantes.</v>
      </c>
      <c r="AW487" s="30" t="str">
        <f ca="1">IFERROR(__xludf.DUMMYFUNCTION("""COMPUTED_VALUE"""),"Incrementar en 25% la oferta cultural realizada en los municipios.")</f>
        <v>Incrementar en 25% la oferta cultural realizada en los municipios.</v>
      </c>
      <c r="AX487" s="30" t="str">
        <f ca="1">IFERROR(__xludf.DUMMYFUNCTION("""COMPUTED_VALUE"""),"Programa formativo modular")</f>
        <v>Programa formativo modular</v>
      </c>
      <c r="AY487" s="30" t="str">
        <f ca="1">IFERROR(__xludf.DUMMYFUNCTION("""COMPUTED_VALUE"""),"Formación")</f>
        <v>Formación</v>
      </c>
      <c r="AZ487" s="30" t="str">
        <f ca="1">IFERROR(__xludf.DUMMYFUNCTION("""COMPUTED_VALUE"""),"Formación")</f>
        <v>Formación</v>
      </c>
      <c r="BA487" s="30"/>
      <c r="BB487" s="30">
        <f ca="1">IFERROR(__xludf.DUMMYFUNCTION("""COMPUTED_VALUE"""),7)</f>
        <v>7</v>
      </c>
      <c r="BC487" s="30">
        <f ca="1">IFERROR(__xludf.DUMMYFUNCTION("""COMPUTED_VALUE"""),36)</f>
        <v>36</v>
      </c>
      <c r="BD487" s="30" t="str">
        <f ca="1">IFERROR(__xludf.DUMMYFUNCTION("""COMPUTED_VALUE"""),"Nuevo")</f>
        <v>Nuevo</v>
      </c>
      <c r="BE487" s="30"/>
      <c r="BF487" s="30" t="b">
        <f ca="1">IFERROR(__xludf.DUMMYFUNCTION("""COMPUTED_VALUE"""),FALSE)</f>
        <v>0</v>
      </c>
      <c r="BG487" s="30"/>
      <c r="BH487" s="30"/>
      <c r="BI487" s="30"/>
      <c r="BJ487" s="30"/>
      <c r="BK487" s="30"/>
      <c r="BL487" s="30"/>
      <c r="BM487" s="30" t="str">
        <f ca="1">IFERROR(__xludf.DUMMYFUNCTION("""COMPUTED_VALUE"""),"No")</f>
        <v>No</v>
      </c>
      <c r="BN487" s="30"/>
      <c r="BO487" s="30" t="str">
        <f ca="1">IFERROR(__xludf.DUMMYFUNCTION("""COMPUTED_VALUE"""),"41df3d77")</f>
        <v>41df3d77</v>
      </c>
      <c r="BP487" s="29" t="str">
        <f ca="1">IFERROR(__xludf.DUMMYFUNCTION("""COMPUTED_VALUE"""),"Guanajuato")</f>
        <v>Guanajuato</v>
      </c>
      <c r="BQ487" s="30" t="str">
        <f ca="1">IFERROR(__xludf.DUMMYFUNCTION("""COMPUTED_VALUE"""),"Urbano")</f>
        <v>Urbano</v>
      </c>
      <c r="BR487" s="30"/>
      <c r="BS487" s="30"/>
      <c r="BT487" s="30"/>
      <c r="BU487" s="30" t="str">
        <f ca="1">IFERROR(__xludf.DUMMYFUNCTION("""COMPUTED_VALUE"""),"No")</f>
        <v>No</v>
      </c>
      <c r="BV487" s="30" t="str">
        <f ca="1">IFERROR(__xludf.DUMMYFUNCTION("""COMPUTED_VALUE"""),"No")</f>
        <v>No</v>
      </c>
      <c r="BW487" s="30">
        <f ca="1">IFERROR(__xludf.DUMMYFUNCTION("""COMPUTED_VALUE"""),5)</f>
        <v>5</v>
      </c>
      <c r="BX487" s="30"/>
      <c r="BY487" s="30">
        <f ca="1">IFERROR(__xludf.DUMMYFUNCTION("""COMPUTED_VALUE"""),5)</f>
        <v>5</v>
      </c>
      <c r="BZ487" s="30"/>
      <c r="CA487" s="30" t="str">
        <f ca="1">IFERROR(__xludf.DUMMYFUNCTION("""COMPUTED_VALUE"""),"No")</f>
        <v>No</v>
      </c>
      <c r="CB487" s="30" t="str">
        <f ca="1">IFERROR(__xludf.DUMMYFUNCTION("""COMPUTED_VALUE"""),"No")</f>
        <v>No</v>
      </c>
      <c r="CC487" s="30" t="str">
        <f ca="1">IFERROR(__xludf.DUMMYFUNCTION("""COMPUTED_VALUE"""),"2dcd43f1")</f>
        <v>2dcd43f1</v>
      </c>
      <c r="CD487" s="29" t="str">
        <f ca="1">IFERROR(__xludf.DUMMYFUNCTION("""COMPUTED_VALUE"""),"Adultos (30 a 59 años)")</f>
        <v>Adultos (30 a 59 años)</v>
      </c>
      <c r="CE487" s="30" t="str">
        <f ca="1">IFERROR(__xludf.DUMMYFUNCTION("""COMPUTED_VALUE"""),"No se cuenta con el dato")</f>
        <v>No se cuenta con el dato</v>
      </c>
      <c r="CF487" s="30" t="str">
        <f ca="1">IFERROR(__xludf.DUMMYFUNCTION("""COMPUTED_VALUE"""),"Ninguno (Población General)")</f>
        <v>Ninguno (Población General)</v>
      </c>
      <c r="CG487" s="30">
        <f ca="1">IFERROR(__xludf.DUMMYFUNCTION("""COMPUTED_VALUE"""),50)</f>
        <v>50</v>
      </c>
      <c r="CJ487" s="29"/>
      <c r="CM487" s="30" t="str">
        <f ca="1">IFERROR(__xludf.DUMMYFUNCTION("""COMPUTED_VALUE"""),"Guanajuato")</f>
        <v>Guanajuato</v>
      </c>
      <c r="CN487" s="32" t="e">
        <f ca="1"/>
        <v>#NAME?</v>
      </c>
      <c r="CO487" s="32" t="e">
        <f ca="1"/>
        <v>#NAME?</v>
      </c>
      <c r="CP487" s="32" t="e">
        <f ca="1"/>
        <v>#NAME?</v>
      </c>
      <c r="CQ487" s="32" t="e">
        <f ca="1"/>
        <v>#NAME?</v>
      </c>
      <c r="CR487" s="30" t="e">
        <f ca="1"/>
        <v>#NAME?</v>
      </c>
      <c r="CS487" s="30" t="str">
        <f ca="1">IFERROR(__xludf.DUMMYFUNCTION("""COMPUTED_VALUE"""),"Ninguno (Población General)")</f>
        <v>Ninguno (Población General)</v>
      </c>
    </row>
    <row r="488" spans="1:97" ht="13">
      <c r="A488" s="29" t="str">
        <f ca="1">IFERROR(__xludf.DUMMYFUNCTION("""COMPUTED_VALUE"""),"ACT-SCGR50284")</f>
        <v>ACT-SCGR50284</v>
      </c>
      <c r="B488" s="30" t="str">
        <f ca="1">IFERROR(__xludf.DUMMYFUNCTION("""COMPUTED_VALUE"""),"SC-261005-125414")</f>
        <v>SC-261005-125414</v>
      </c>
      <c r="C488" s="62">
        <f ca="1">IFERROR(__xludf.DUMMYFUNCTION("""COMPUTED_VALUE"""),46300.537662037)</f>
        <v>46300.537662037001</v>
      </c>
      <c r="D488" s="30">
        <f ca="1">IFERROR(__xludf.DUMMYFUNCTION("""COMPUTED_VALUE"""),71)</f>
        <v>71</v>
      </c>
      <c r="E488" s="30" t="str">
        <f ca="1">IFERROR(__xludf.DUMMYFUNCTION("""COMPUTED_VALUE"""),"PB3567")</f>
        <v>PB3567</v>
      </c>
      <c r="F488" s="30" t="str">
        <f ca="1">IFERROR(__xludf.DUMMYFUNCTION("""COMPUTED_VALUE"""),"Formación e Investigación Artística")</f>
        <v>Formación e Investigación Artística</v>
      </c>
      <c r="G488"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88" s="30" t="str">
        <f ca="1">IFERROR(__xludf.DUMMYFUNCTION("""COMPUTED_VALUE"""),"SUBSECRETARÍA DE DESARROLLO COMUNITARIO Y PROMOCIÓN PATRIMONIAL")</f>
        <v>SUBSECRETARÍA DE DESARROLLO COMUNITARIO Y PROMOCIÓN PATRIMONIAL</v>
      </c>
      <c r="I488" s="34" t="str">
        <f ca="1">IFERROR(__xludf.DUMMYFUNCTION("""COMPUTED_VALUE"""),"DIRECCIÓN GENERAL DE FORMACIÓN E INVESTIGACIÓN")</f>
        <v>DIRECCIÓN GENERAL DE FORMACIÓN E INVESTIGACIÓN</v>
      </c>
      <c r="J488" s="30" t="str">
        <f ca="1">IFERROR(__xludf.DUMMYFUNCTION("""COMPUTED_VALUE"""),"Cursos, talleres, diplomados realizados")</f>
        <v>Cursos, talleres, diplomados realizados</v>
      </c>
      <c r="K488" s="30">
        <f ca="1">IFERROR(__xludf.DUMMYFUNCTION("""COMPUTED_VALUE"""),4)</f>
        <v>4</v>
      </c>
      <c r="L488" s="30" t="str">
        <f ca="1">IFERROR(__xludf.DUMMYFUNCTION("""COMPUTED_VALUE"""),"Artística")</f>
        <v>Artística</v>
      </c>
      <c r="M488" s="30" t="str">
        <f ca="1">IFERROR(__xludf.DUMMYFUNCTION("""COMPUTED_VALUE"""),"Curso de verano infantil, taller de artes visuales para infancias")</f>
        <v>Curso de verano infantil, taller de artes visuales para infancias</v>
      </c>
      <c r="N488" s="30" t="str">
        <f ca="1">IFERROR(__xludf.DUMMYFUNCTION("""COMPUTED_VALUE"""),"Taller que acerca a niñas y niños a las artes escénicas a través del teatro")</f>
        <v>Taller que acerca a niñas y niños a las artes escénicas a través del teatro</v>
      </c>
      <c r="O488" s="30" t="str">
        <f ca="1">IFERROR(__xludf.DUMMYFUNCTION("""COMPUTED_VALUE"""),"Diaria")</f>
        <v>Diaria</v>
      </c>
      <c r="P488" s="33">
        <f ca="1">IFERROR(__xludf.DUMMYFUNCTION("""COMPUTED_VALUE"""),46237)</f>
        <v>46237</v>
      </c>
      <c r="Q488" s="33">
        <f ca="1">IFERROR(__xludf.DUMMYFUNCTION("""COMPUTED_VALUE"""),46248)</f>
        <v>46248</v>
      </c>
      <c r="R488" s="30">
        <f ca="1">IFERROR(__xludf.DUMMYFUNCTION("""COMPUTED_VALUE"""),11)</f>
        <v>11</v>
      </c>
      <c r="S488" s="30" t="str">
        <f ca="1">IFERROR(__xludf.DUMMYFUNCTION("""COMPUTED_VALUE"""),"Artesanías y arte popular")</f>
        <v>Artesanías y arte popular</v>
      </c>
      <c r="T488" s="30" t="str">
        <f ca="1">IFERROR(__xludf.DUMMYFUNCTION("""COMPUTED_VALUE"""),"Arte popular")</f>
        <v>Arte popular</v>
      </c>
      <c r="U488" s="30" t="str">
        <f ca="1">IFERROR(__xludf.DUMMYFUNCTION("""COMPUTED_VALUE"""),"Curso")</f>
        <v>Curso</v>
      </c>
      <c r="V488" s="30" t="str">
        <f ca="1">IFERROR(__xludf.DUMMYFUNCTION("""COMPUTED_VALUE"""),"Ninguna")</f>
        <v>Ninguna</v>
      </c>
      <c r="W488" s="30" t="str">
        <f ca="1">IFERROR(__xludf.DUMMYFUNCTION("""COMPUTED_VALUE"""),"Presencial")</f>
        <v>Presencial</v>
      </c>
      <c r="X488" s="30" t="str">
        <f ca="1">IFERROR(__xludf.DUMMYFUNCTION("""COMPUTED_VALUE"""),"Espacio préstamo a la Secretaría de Cultura")</f>
        <v>Espacio préstamo a la Secretaría de Cultura</v>
      </c>
      <c r="Y488" s="30" t="str">
        <f ca="1">IFERROR(__xludf.DUMMYFUNCTION("""COMPUTED_VALUE"""),"CEARG")</f>
        <v>CEARG</v>
      </c>
      <c r="Z488" s="30"/>
      <c r="AA488" s="30"/>
      <c r="AB488" s="30" t="b">
        <f ca="1">IFERROR(__xludf.DUMMYFUNCTION("""COMPUTED_VALUE"""),FALSE)</f>
        <v>0</v>
      </c>
      <c r="AC488" s="30"/>
      <c r="AD488" s="30" t="b">
        <f ca="1">IFERROR(__xludf.DUMMYFUNCTION("""COMPUTED_VALUE"""),TRUE)</f>
        <v>1</v>
      </c>
      <c r="AE488" s="30">
        <f ca="1">IFERROR(__xludf.DUMMYFUNCTION("""COMPUTED_VALUE"""),4)</f>
        <v>4</v>
      </c>
      <c r="AF488" s="30" t="b">
        <f ca="1">IFERROR(__xludf.DUMMYFUNCTION("""COMPUTED_VALUE"""),FALSE)</f>
        <v>0</v>
      </c>
      <c r="AG488" s="30"/>
      <c r="AH488" s="30" t="str">
        <f ca="1">IFERROR(__xludf.DUMMYFUNCTION("""COMPUTED_VALUE"""),"Sin costo")</f>
        <v>Sin costo</v>
      </c>
      <c r="AI488" s="30"/>
      <c r="AJ488" s="30"/>
      <c r="AK488" s="30"/>
      <c r="AL488" s="30" t="str">
        <f ca="1">IFERROR(__xludf.DUMMYFUNCTION("""COMPUTED_VALUE"""),"claudia.ramirezm@guanajuato.gob.mx")</f>
        <v>claudia.ramirezm@guanajuato.gob.mx</v>
      </c>
      <c r="AM488" s="30" t="str">
        <f ca="1">IFERROR(__xludf.DUMMYFUNCTION("""COMPUTED_VALUE"""),"Mayor inversión en conservación del patrimonio artístico y cultural.")</f>
        <v>Mayor inversión en conservación del patrimonio artístico y cultural.</v>
      </c>
      <c r="AN488" s="30" t="str">
        <f ca="1">IFERROR(__xludf.DUMMYFUNCTION("""COMPUTED_VALUE"""),"2 Igualdad")</f>
        <v>2 Igualdad</v>
      </c>
      <c r="AO488" s="30" t="str">
        <f ca="1">IFERROR(__xludf.DUMMYFUNCTION("""COMPUTED_VALUE"""),"2.2 Fortalecer cohesión social")</f>
        <v>2.2 Fortalecer cohesión social</v>
      </c>
      <c r="AP488" s="30" t="str">
        <f ca="1">IFERROR(__xludf.DUMMYFUNCTION("""COMPUTED_VALUE"""),"2.2 Fortalecer cohesión social")</f>
        <v>2.2 Fortalecer cohesión social</v>
      </c>
      <c r="AQ488" s="30" t="str">
        <f ca="1">IFERROR(__xludf.DUMMYFUNCTION("""COMPUTED_VALUE"""),"2.2.3.2 Promover la participación de grupos prioritarios en actividades culturales")</f>
        <v>2.2.3.2 Promover la participación de grupos prioritarios en actividades culturales</v>
      </c>
      <c r="AR488" s="30" t="str">
        <f ca="1">IFERROR(__xludf.DUMMYFUNCTION("""COMPUTED_VALUE"""),"Inclusión")</f>
        <v>Inclusión</v>
      </c>
      <c r="AS488" s="30" t="str">
        <f ca="1">IFERROR(__xludf.DUMMYFUNCTION("""COMPUTED_VALUE"""),"Ninguno (Población General)")</f>
        <v>Ninguno (Población General)</v>
      </c>
      <c r="AT488" s="30" t="str">
        <f ca="1">IFERROR(__xludf.DUMMYFUNCTION("""COMPUTED_VALUE"""),"Impulso a la educación artística y a la profesionalización del sector cultural")</f>
        <v>Impulso a la educación artística y a la profesionalización del sector cultural</v>
      </c>
      <c r="AU488" s="30" t="str">
        <f ca="1">IFERROR(__xludf.DUMMYFUNCTION("""COMPUTED_VALUE"""),"Impulso a programas de formación y profesionalización para agentes culturales.")</f>
        <v>Impulso a programas de formación y profesionalización para agentes culturales.</v>
      </c>
      <c r="AV488"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8" s="30" t="str">
        <f ca="1">IFERROR(__xludf.DUMMYFUNCTION("""COMPUTED_VALUE"""),"Incrementar un 30% la oferta de formación y profesionalización para agentes culturales.")</f>
        <v>Incrementar un 30% la oferta de formación y profesionalización para agentes culturales.</v>
      </c>
      <c r="AX488" s="30" t="str">
        <f ca="1">IFERROR(__xludf.DUMMYFUNCTION("""COMPUTED_VALUE"""),"Curso")</f>
        <v>Curso</v>
      </c>
      <c r="AY488" s="30" t="str">
        <f ca="1">IFERROR(__xludf.DUMMYFUNCTION("""COMPUTED_VALUE"""),"Formación")</f>
        <v>Formación</v>
      </c>
      <c r="AZ488" s="30" t="str">
        <f ca="1">IFERROR(__xludf.DUMMYFUNCTION("""COMPUTED_VALUE"""),"Formación")</f>
        <v>Formación</v>
      </c>
      <c r="BA488" s="30"/>
      <c r="BB488" s="30">
        <f ca="1">IFERROR(__xludf.DUMMYFUNCTION("""COMPUTED_VALUE"""),5)</f>
        <v>5</v>
      </c>
      <c r="BC488" s="30">
        <f ca="1">IFERROR(__xludf.DUMMYFUNCTION("""COMPUTED_VALUE"""),4)</f>
        <v>4</v>
      </c>
      <c r="BD488" s="30" t="str">
        <f ca="1">IFERROR(__xludf.DUMMYFUNCTION("""COMPUTED_VALUE"""),"Nuevo")</f>
        <v>Nuevo</v>
      </c>
      <c r="BE488" s="30" t="str">
        <f ca="1">IFERROR(__xludf.DUMMYFUNCTION("""COMPUTED_VALUE"""),"Cristina Medina Lara, Leticia Hurtado López, Christian Alfredo González Pérez.")</f>
        <v>Cristina Medina Lara, Leticia Hurtado López, Christian Alfredo González Pérez.</v>
      </c>
      <c r="BF488" s="30" t="b">
        <f ca="1">IFERROR(__xludf.DUMMYFUNCTION("""COMPUTED_VALUE"""),TRUE)</f>
        <v>1</v>
      </c>
      <c r="BG488" s="30" t="str">
        <f ca="1">IFERROR(__xludf.DUMMYFUNCTION("""COMPUTED_VALUE"""),"Económico")</f>
        <v>Económico</v>
      </c>
      <c r="BH488" s="30">
        <f ca="1">IFERROR(__xludf.DUMMYFUNCTION("""COMPUTED_VALUE"""),100000)</f>
        <v>100000</v>
      </c>
      <c r="BI488" s="30"/>
      <c r="BJ488" s="30"/>
      <c r="BK488" s="30"/>
      <c r="BL488" s="30"/>
      <c r="BM488" s="30" t="str">
        <f ca="1">IFERROR(__xludf.DUMMYFUNCTION("""COMPUTED_VALUE"""),"No")</f>
        <v>No</v>
      </c>
      <c r="BN488" s="30"/>
      <c r="BO488" s="30" t="str">
        <f ca="1">IFERROR(__xludf.DUMMYFUNCTION("""COMPUTED_VALUE"""),"583eb682")</f>
        <v>583eb682</v>
      </c>
      <c r="BP488" s="29" t="str">
        <f ca="1">IFERROR(__xludf.DUMMYFUNCTION("""COMPUTED_VALUE"""),"Guanajuato")</f>
        <v>Guanajuato</v>
      </c>
      <c r="BQ488" s="30" t="str">
        <f ca="1">IFERROR(__xludf.DUMMYFUNCTION("""COMPUTED_VALUE"""),"Urbano")</f>
        <v>Urbano</v>
      </c>
      <c r="BR488" s="30"/>
      <c r="BS488" s="30"/>
      <c r="BT488" s="30"/>
      <c r="BU488" s="30" t="str">
        <f ca="1">IFERROR(__xludf.DUMMYFUNCTION("""COMPUTED_VALUE"""),"No")</f>
        <v>No</v>
      </c>
      <c r="BV488" s="30" t="str">
        <f ca="1">IFERROR(__xludf.DUMMYFUNCTION("""COMPUTED_VALUE"""),"No")</f>
        <v>No</v>
      </c>
      <c r="BW488" s="30">
        <f ca="1">IFERROR(__xludf.DUMMYFUNCTION("""COMPUTED_VALUE"""),4)</f>
        <v>4</v>
      </c>
      <c r="BX488" s="30">
        <f ca="1">IFERROR(__xludf.DUMMYFUNCTION("""COMPUTED_VALUE"""),0)</f>
        <v>0</v>
      </c>
      <c r="BY488" s="30">
        <f ca="1">IFERROR(__xludf.DUMMYFUNCTION("""COMPUTED_VALUE"""),4)</f>
        <v>4</v>
      </c>
      <c r="BZ488" s="30"/>
      <c r="CA488" s="30" t="str">
        <f ca="1">IFERROR(__xludf.DUMMYFUNCTION("""COMPUTED_VALUE"""),"No")</f>
        <v>No</v>
      </c>
      <c r="CB488" s="30" t="str">
        <f ca="1">IFERROR(__xludf.DUMMYFUNCTION("""COMPUTED_VALUE"""),"No")</f>
        <v>No</v>
      </c>
      <c r="CC488" s="30" t="str">
        <f ca="1">IFERROR(__xludf.DUMMYFUNCTION("""COMPUTED_VALUE"""),"2bfd4872")</f>
        <v>2bfd4872</v>
      </c>
      <c r="CD488" s="29" t="str">
        <f ca="1">IFERROR(__xludf.DUMMYFUNCTION("""COMPUTED_VALUE"""),"Jóvenes (18 a 29 años)")</f>
        <v>Jóvenes (18 a 29 años)</v>
      </c>
      <c r="CE488" s="30" t="str">
        <f ca="1">IFERROR(__xludf.DUMMYFUNCTION("""COMPUTED_VALUE"""),"No se cuenta con el dato")</f>
        <v>No se cuenta con el dato</v>
      </c>
      <c r="CF488" s="30" t="str">
        <f ca="1">IFERROR(__xludf.DUMMYFUNCTION("""COMPUTED_VALUE"""),"Ninguno (Población General)")</f>
        <v>Ninguno (Población General)</v>
      </c>
      <c r="CG488" s="30">
        <f ca="1">IFERROR(__xludf.DUMMYFUNCTION("""COMPUTED_VALUE"""),21)</f>
        <v>21</v>
      </c>
      <c r="CJ488" s="29"/>
      <c r="CM488" s="30" t="str">
        <f ca="1">IFERROR(__xludf.DUMMYFUNCTION("""COMPUTED_VALUE"""),"Guanajuato")</f>
        <v>Guanajuato</v>
      </c>
      <c r="CN488" s="32" t="e">
        <f ca="1"/>
        <v>#NAME?</v>
      </c>
      <c r="CO488" s="32" t="e">
        <f ca="1"/>
        <v>#NAME?</v>
      </c>
      <c r="CP488" s="32" t="e">
        <f ca="1"/>
        <v>#NAME?</v>
      </c>
      <c r="CQ488" s="32" t="e">
        <f ca="1"/>
        <v>#NAME?</v>
      </c>
      <c r="CR488" s="30" t="e">
        <f ca="1"/>
        <v>#NAME?</v>
      </c>
      <c r="CS488" s="30" t="str">
        <f ca="1">IFERROR(__xludf.DUMMYFUNCTION("""COMPUTED_VALUE"""),"Ninguno (Población General)")</f>
        <v>Ninguno (Población General)</v>
      </c>
    </row>
    <row r="489" spans="1:97" ht="13">
      <c r="A489" s="29" t="str">
        <f ca="1">IFERROR(__xludf.DUMMYFUNCTION("""COMPUTED_VALUE"""),"ACT-SCRK04291")</f>
        <v>ACT-SCRK04291</v>
      </c>
      <c r="B489" s="30" t="str">
        <f ca="1">IFERROR(__xludf.DUMMYFUNCTION("""COMPUTED_VALUE"""),"SC-261005-133026")</f>
        <v>SC-261005-133026</v>
      </c>
      <c r="C489" s="62">
        <f ca="1">IFERROR(__xludf.DUMMYFUNCTION("""COMPUTED_VALUE"""),46300.5628009259)</f>
        <v>46300.562800925902</v>
      </c>
      <c r="D489" s="30">
        <f ca="1">IFERROR(__xludf.DUMMYFUNCTION("""COMPUTED_VALUE"""),71)</f>
        <v>71</v>
      </c>
      <c r="E489" s="30" t="str">
        <f ca="1">IFERROR(__xludf.DUMMYFUNCTION("""COMPUTED_VALUE"""),"PB3567")</f>
        <v>PB3567</v>
      </c>
      <c r="F489" s="30" t="str">
        <f ca="1">IFERROR(__xludf.DUMMYFUNCTION("""COMPUTED_VALUE"""),"Formación e Investigación Artística")</f>
        <v>Formación e Investigación Artística</v>
      </c>
      <c r="G489"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89" s="30" t="str">
        <f ca="1">IFERROR(__xludf.DUMMYFUNCTION("""COMPUTED_VALUE"""),"SUBSECRETARÍA DE DESARROLLO COMUNITARIO Y PROMOCIÓN PATRIMONIAL")</f>
        <v>SUBSECRETARÍA DE DESARROLLO COMUNITARIO Y PROMOCIÓN PATRIMONIAL</v>
      </c>
      <c r="I489" s="34" t="str">
        <f ca="1">IFERROR(__xludf.DUMMYFUNCTION("""COMPUTED_VALUE"""),"DIRECCIÓN GENERAL DE FORMACIÓN E INVESTIGACIÓN")</f>
        <v>DIRECCIÓN GENERAL DE FORMACIÓN E INVESTIGACIÓN</v>
      </c>
      <c r="J489" s="30" t="str">
        <f ca="1">IFERROR(__xludf.DUMMYFUNCTION("""COMPUTED_VALUE"""),"Cursos, talleres, diplomados realizados")</f>
        <v>Cursos, talleres, diplomados realizados</v>
      </c>
      <c r="K489" s="30">
        <f ca="1">IFERROR(__xludf.DUMMYFUNCTION("""COMPUTED_VALUE"""),4)</f>
        <v>4</v>
      </c>
      <c r="L489" s="30" t="str">
        <f ca="1">IFERROR(__xludf.DUMMYFUNCTION("""COMPUTED_VALUE"""),"Artística")</f>
        <v>Artística</v>
      </c>
      <c r="M489" s="30" t="str">
        <f ca="1">IFERROR(__xludf.DUMMYFUNCTION("""COMPUTED_VALUE"""),"Curso de verano infantil, taller de artes visuales para infancias")</f>
        <v>Curso de verano infantil, taller de artes visuales para infancias</v>
      </c>
      <c r="N489" s="30" t="str">
        <f ca="1">IFERROR(__xludf.DUMMYFUNCTION("""COMPUTED_VALUE"""),"Taller que acerca a niñas y niños a las artes escénicas a través del teatro")</f>
        <v>Taller que acerca a niñas y niños a las artes escénicas a través del teatro</v>
      </c>
      <c r="O489" s="30" t="str">
        <f ca="1">IFERROR(__xludf.DUMMYFUNCTION("""COMPUTED_VALUE"""),"Diaria")</f>
        <v>Diaria</v>
      </c>
      <c r="P489" s="33">
        <f ca="1">IFERROR(__xludf.DUMMYFUNCTION("""COMPUTED_VALUE"""),46237)</f>
        <v>46237</v>
      </c>
      <c r="Q489" s="33">
        <f ca="1">IFERROR(__xludf.DUMMYFUNCTION("""COMPUTED_VALUE"""),46248)</f>
        <v>46248</v>
      </c>
      <c r="R489" s="30">
        <f ca="1">IFERROR(__xludf.DUMMYFUNCTION("""COMPUTED_VALUE"""),10)</f>
        <v>10</v>
      </c>
      <c r="S489" s="30" t="str">
        <f ca="1">IFERROR(__xludf.DUMMYFUNCTION("""COMPUTED_VALUE"""),"Artes escénicas")</f>
        <v>Artes escénicas</v>
      </c>
      <c r="T489" s="30" t="str">
        <f ca="1">IFERROR(__xludf.DUMMYFUNCTION("""COMPUTED_VALUE"""),"Teatro")</f>
        <v>Teatro</v>
      </c>
      <c r="U489" s="30" t="str">
        <f ca="1">IFERROR(__xludf.DUMMYFUNCTION("""COMPUTED_VALUE"""),"Curso")</f>
        <v>Curso</v>
      </c>
      <c r="V489" s="30" t="str">
        <f ca="1">IFERROR(__xludf.DUMMYFUNCTION("""COMPUTED_VALUE"""),"Ninguna")</f>
        <v>Ninguna</v>
      </c>
      <c r="W489" s="30" t="str">
        <f ca="1">IFERROR(__xludf.DUMMYFUNCTION("""COMPUTED_VALUE"""),"Presencial")</f>
        <v>Presencial</v>
      </c>
      <c r="X489" s="30" t="str">
        <f ca="1">IFERROR(__xludf.DUMMYFUNCTION("""COMPUTED_VALUE"""),"Espacio préstamo a la Secretaría de Cultura")</f>
        <v>Espacio préstamo a la Secretaría de Cultura</v>
      </c>
      <c r="Y489" s="30"/>
      <c r="Z489" s="30"/>
      <c r="AA489" s="30"/>
      <c r="AB489" s="30" t="b">
        <f ca="1">IFERROR(__xludf.DUMMYFUNCTION("""COMPUTED_VALUE"""),FALSE)</f>
        <v>0</v>
      </c>
      <c r="AC489" s="30"/>
      <c r="AD489" s="30" t="b">
        <f ca="1">IFERROR(__xludf.DUMMYFUNCTION("""COMPUTED_VALUE"""),TRUE)</f>
        <v>1</v>
      </c>
      <c r="AE489" s="30">
        <f ca="1">IFERROR(__xludf.DUMMYFUNCTION("""COMPUTED_VALUE"""),4)</f>
        <v>4</v>
      </c>
      <c r="AF489" s="30" t="b">
        <f ca="1">IFERROR(__xludf.DUMMYFUNCTION("""COMPUTED_VALUE"""),FALSE)</f>
        <v>0</v>
      </c>
      <c r="AG489" s="30"/>
      <c r="AH489" s="30" t="str">
        <f ca="1">IFERROR(__xludf.DUMMYFUNCTION("""COMPUTED_VALUE"""),"Sin costo")</f>
        <v>Sin costo</v>
      </c>
      <c r="AI489" s="30"/>
      <c r="AJ489" s="30"/>
      <c r="AK489" s="30"/>
      <c r="AL489" s="30" t="str">
        <f ca="1">IFERROR(__xludf.DUMMYFUNCTION("""COMPUTED_VALUE"""),"claudia.ramirezm@guanajuato.gob.mx")</f>
        <v>claudia.ramirezm@guanajuato.gob.mx</v>
      </c>
      <c r="AM489" s="30" t="str">
        <f ca="1">IFERROR(__xludf.DUMMYFUNCTION("""COMPUTED_VALUE"""),"Mayor inversión en conservación del patrimonio artístico y cultural.")</f>
        <v>Mayor inversión en conservación del patrimonio artístico y cultural.</v>
      </c>
      <c r="AN489" s="30" t="str">
        <f ca="1">IFERROR(__xludf.DUMMYFUNCTION("""COMPUTED_VALUE"""),"2 Igualdad")</f>
        <v>2 Igualdad</v>
      </c>
      <c r="AO489" s="30" t="str">
        <f ca="1">IFERROR(__xludf.DUMMYFUNCTION("""COMPUTED_VALUE"""),"2.2 Fortalecer cohesión social")</f>
        <v>2.2 Fortalecer cohesión social</v>
      </c>
      <c r="AP489" s="30" t="str">
        <f ca="1">IFERROR(__xludf.DUMMYFUNCTION("""COMPUTED_VALUE"""),"2.2 Fortalecer cohesión social")</f>
        <v>2.2 Fortalecer cohesión social</v>
      </c>
      <c r="AQ489" s="30" t="str">
        <f ca="1">IFERROR(__xludf.DUMMYFUNCTION("""COMPUTED_VALUE"""),"2.2.3.2 Promover la participación de grupos prioritarios en actividades culturales")</f>
        <v>2.2.3.2 Promover la participación de grupos prioritarios en actividades culturales</v>
      </c>
      <c r="AR489" s="30" t="str">
        <f ca="1">IFERROR(__xludf.DUMMYFUNCTION("""COMPUTED_VALUE"""),"Inclusión")</f>
        <v>Inclusión</v>
      </c>
      <c r="AS489" s="30" t="str">
        <f ca="1">IFERROR(__xludf.DUMMYFUNCTION("""COMPUTED_VALUE"""),"NNA (Niñas, Niños y Adolescentes)")</f>
        <v>NNA (Niñas, Niños y Adolescentes)</v>
      </c>
      <c r="AT489" s="30" t="str">
        <f ca="1">IFERROR(__xludf.DUMMYFUNCTION("""COMPUTED_VALUE"""),"Impulso a la educación artística y a la profesionalización del sector cultural")</f>
        <v>Impulso a la educación artística y a la profesionalización del sector cultural</v>
      </c>
      <c r="AU489" s="30" t="str">
        <f ca="1">IFERROR(__xludf.DUMMYFUNCTION("""COMPUTED_VALUE"""),"Impulso a programas de formación y profesionalización para agentes culturales.")</f>
        <v>Impulso a programas de formación y profesionalización para agentes culturales.</v>
      </c>
      <c r="AV489"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89" s="30" t="str">
        <f ca="1">IFERROR(__xludf.DUMMYFUNCTION("""COMPUTED_VALUE"""),"Incrementar un 30% la oferta de formación y profesionalización para agentes culturales.")</f>
        <v>Incrementar un 30% la oferta de formación y profesionalización para agentes culturales.</v>
      </c>
      <c r="AX489" s="30" t="str">
        <f ca="1">IFERROR(__xludf.DUMMYFUNCTION("""COMPUTED_VALUE"""),"Curso")</f>
        <v>Curso</v>
      </c>
      <c r="AY489" s="30" t="str">
        <f ca="1">IFERROR(__xludf.DUMMYFUNCTION("""COMPUTED_VALUE"""),"Formación")</f>
        <v>Formación</v>
      </c>
      <c r="AZ489" s="30" t="str">
        <f ca="1">IFERROR(__xludf.DUMMYFUNCTION("""COMPUTED_VALUE"""),"Formación")</f>
        <v>Formación</v>
      </c>
      <c r="BA489" s="30"/>
      <c r="BB489" s="30">
        <f ca="1">IFERROR(__xludf.DUMMYFUNCTION("""COMPUTED_VALUE"""),5)</f>
        <v>5</v>
      </c>
      <c r="BC489" s="30">
        <f ca="1">IFERROR(__xludf.DUMMYFUNCTION("""COMPUTED_VALUE"""),4)</f>
        <v>4</v>
      </c>
      <c r="BD489" s="30" t="str">
        <f ca="1">IFERROR(__xludf.DUMMYFUNCTION("""COMPUTED_VALUE"""),"Nuevo")</f>
        <v>Nuevo</v>
      </c>
      <c r="BE489" s="30" t="str">
        <f ca="1">IFERROR(__xludf.DUMMYFUNCTION("""COMPUTED_VALUE"""),"Cristina Medina Lara, Leticia Hurtado López, Christian Alfredo González Pérez, Sara Zepeda Muñoz")</f>
        <v>Cristina Medina Lara, Leticia Hurtado López, Christian Alfredo González Pérez, Sara Zepeda Muñoz</v>
      </c>
      <c r="BF489" s="30" t="b">
        <f ca="1">IFERROR(__xludf.DUMMYFUNCTION("""COMPUTED_VALUE"""),TRUE)</f>
        <v>1</v>
      </c>
      <c r="BG489" s="30" t="str">
        <f ca="1">IFERROR(__xludf.DUMMYFUNCTION("""COMPUTED_VALUE"""),"Económico")</f>
        <v>Económico</v>
      </c>
      <c r="BH489" s="30">
        <f ca="1">IFERROR(__xludf.DUMMYFUNCTION("""COMPUTED_VALUE"""),100000)</f>
        <v>100000</v>
      </c>
      <c r="BI489" s="30"/>
      <c r="BJ489" s="30"/>
      <c r="BK489" s="30"/>
      <c r="BL489" s="30"/>
      <c r="BM489" s="30" t="str">
        <f ca="1">IFERROR(__xludf.DUMMYFUNCTION("""COMPUTED_VALUE"""),"No")</f>
        <v>No</v>
      </c>
      <c r="BN489" s="30"/>
      <c r="BO489" s="30" t="str">
        <f ca="1">IFERROR(__xludf.DUMMYFUNCTION("""COMPUTED_VALUE"""),"f4111343")</f>
        <v>f4111343</v>
      </c>
      <c r="BP489" s="29" t="str">
        <f ca="1">IFERROR(__xludf.DUMMYFUNCTION("""COMPUTED_VALUE"""),"Guanajuato")</f>
        <v>Guanajuato</v>
      </c>
      <c r="BQ489" s="30" t="str">
        <f ca="1">IFERROR(__xludf.DUMMYFUNCTION("""COMPUTED_VALUE"""),"Urbano")</f>
        <v>Urbano</v>
      </c>
      <c r="BR489" s="30"/>
      <c r="BS489" s="30"/>
      <c r="BT489" s="30"/>
      <c r="BU489" s="30" t="str">
        <f ca="1">IFERROR(__xludf.DUMMYFUNCTION("""COMPUTED_VALUE"""),"No")</f>
        <v>No</v>
      </c>
      <c r="BV489" s="30" t="str">
        <f ca="1">IFERROR(__xludf.DUMMYFUNCTION("""COMPUTED_VALUE"""),"No")</f>
        <v>No</v>
      </c>
      <c r="BW489" s="30">
        <f ca="1">IFERROR(__xludf.DUMMYFUNCTION("""COMPUTED_VALUE"""),3)</f>
        <v>3</v>
      </c>
      <c r="BX489" s="30"/>
      <c r="BY489" s="30">
        <f ca="1">IFERROR(__xludf.DUMMYFUNCTION("""COMPUTED_VALUE"""),3)</f>
        <v>3</v>
      </c>
      <c r="BZ489" s="30"/>
      <c r="CA489" s="30" t="str">
        <f ca="1">IFERROR(__xludf.DUMMYFUNCTION("""COMPUTED_VALUE"""),"No")</f>
        <v>No</v>
      </c>
      <c r="CB489" s="30" t="str">
        <f ca="1">IFERROR(__xludf.DUMMYFUNCTION("""COMPUTED_VALUE"""),"No")</f>
        <v>No</v>
      </c>
      <c r="CC489" s="30" t="str">
        <f ca="1">IFERROR(__xludf.DUMMYFUNCTION("""COMPUTED_VALUE"""),"bf6d10cc")</f>
        <v>bf6d10cc</v>
      </c>
      <c r="CD489" s="29" t="str">
        <f ca="1">IFERROR(__xludf.DUMMYFUNCTION("""COMPUTED_VALUE"""),"Jóvenes (18 a 29 años)")</f>
        <v>Jóvenes (18 a 29 años)</v>
      </c>
      <c r="CE489" s="30" t="str">
        <f ca="1">IFERROR(__xludf.DUMMYFUNCTION("""COMPUTED_VALUE"""),"No se cuenta con el dato")</f>
        <v>No se cuenta con el dato</v>
      </c>
      <c r="CF489" s="30" t="str">
        <f ca="1">IFERROR(__xludf.DUMMYFUNCTION("""COMPUTED_VALUE"""),"Ninguno (Población General)")</f>
        <v>Ninguno (Población General)</v>
      </c>
      <c r="CG489" s="30">
        <f ca="1">IFERROR(__xludf.DUMMYFUNCTION("""COMPUTED_VALUE"""),15)</f>
        <v>15</v>
      </c>
      <c r="CJ489" s="29"/>
      <c r="CM489" s="30" t="str">
        <f ca="1">IFERROR(__xludf.DUMMYFUNCTION("""COMPUTED_VALUE"""),"Guanajuato")</f>
        <v>Guanajuato</v>
      </c>
      <c r="CN489" s="32" t="e">
        <f ca="1"/>
        <v>#NAME?</v>
      </c>
      <c r="CO489" s="32" t="e">
        <f ca="1"/>
        <v>#NAME?</v>
      </c>
      <c r="CP489" s="32" t="e">
        <f ca="1"/>
        <v>#NAME?</v>
      </c>
      <c r="CQ489" s="32" t="e">
        <f ca="1"/>
        <v>#NAME?</v>
      </c>
      <c r="CR489" s="30" t="e">
        <f ca="1"/>
        <v>#NAME?</v>
      </c>
      <c r="CS489" s="30" t="str">
        <f ca="1">IFERROR(__xludf.DUMMYFUNCTION("""COMPUTED_VALUE"""),"Ninguno (Población General)")</f>
        <v>Ninguno (Población General)</v>
      </c>
    </row>
    <row r="490" spans="1:97" ht="13">
      <c r="A490" s="29" t="str">
        <f ca="1">IFERROR(__xludf.DUMMYFUNCTION("""COMPUTED_VALUE"""),"ACT-SCBB74452")</f>
        <v>ACT-SCBB74452</v>
      </c>
      <c r="B490" s="30" t="str">
        <f ca="1">IFERROR(__xludf.DUMMYFUNCTION("""COMPUTED_VALUE"""),"SC-261005-133904")</f>
        <v>SC-261005-133904</v>
      </c>
      <c r="C490" s="62">
        <f ca="1">IFERROR(__xludf.DUMMYFUNCTION("""COMPUTED_VALUE"""),46300.5687962963)</f>
        <v>46300.568796296298</v>
      </c>
      <c r="D490" s="30">
        <f ca="1">IFERROR(__xludf.DUMMYFUNCTION("""COMPUTED_VALUE"""),71)</f>
        <v>71</v>
      </c>
      <c r="E490" s="30" t="str">
        <f ca="1">IFERROR(__xludf.DUMMYFUNCTION("""COMPUTED_VALUE"""),"PB3567")</f>
        <v>PB3567</v>
      </c>
      <c r="F490" s="30" t="str">
        <f ca="1">IFERROR(__xludf.DUMMYFUNCTION("""COMPUTED_VALUE"""),"Formación e Investigación Artística")</f>
        <v>Formación e Investigación Artística</v>
      </c>
      <c r="G490"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90" s="30" t="str">
        <f ca="1">IFERROR(__xludf.DUMMYFUNCTION("""COMPUTED_VALUE"""),"SUBSECRETARÍA DE DESARROLLO COMUNITARIO Y PROMOCIÓN PATRIMONIAL")</f>
        <v>SUBSECRETARÍA DE DESARROLLO COMUNITARIO Y PROMOCIÓN PATRIMONIAL</v>
      </c>
      <c r="I490" s="34" t="str">
        <f ca="1">IFERROR(__xludf.DUMMYFUNCTION("""COMPUTED_VALUE"""),"DIRECCIÓN GENERAL DE FORMACIÓN E INVESTIGACIÓN")</f>
        <v>DIRECCIÓN GENERAL DE FORMACIÓN E INVESTIGACIÓN</v>
      </c>
      <c r="J490" s="30" t="str">
        <f ca="1">IFERROR(__xludf.DUMMYFUNCTION("""COMPUTED_VALUE"""),"Cursos, talleres, diplomados realizados")</f>
        <v>Cursos, talleres, diplomados realizados</v>
      </c>
      <c r="K490" s="30">
        <f ca="1">IFERROR(__xludf.DUMMYFUNCTION("""COMPUTED_VALUE"""),4)</f>
        <v>4</v>
      </c>
      <c r="L490" s="30" t="str">
        <f ca="1">IFERROR(__xludf.DUMMYFUNCTION("""COMPUTED_VALUE"""),"Artística")</f>
        <v>Artística</v>
      </c>
      <c r="M490" s="30" t="str">
        <f ca="1">IFERROR(__xludf.DUMMYFUNCTION("""COMPUTED_VALUE"""),"Curso de verano infantil, taller de artes visuales para infancias")</f>
        <v>Curso de verano infantil, taller de artes visuales para infancias</v>
      </c>
      <c r="N490" s="30" t="str">
        <f ca="1">IFERROR(__xludf.DUMMYFUNCTION("""COMPUTED_VALUE"""),"Taller que acerca a niñas y niños a las artes escénicas a través del teatro")</f>
        <v>Taller que acerca a niñas y niños a las artes escénicas a través del teatro</v>
      </c>
      <c r="O490" s="30" t="str">
        <f ca="1">IFERROR(__xludf.DUMMYFUNCTION("""COMPUTED_VALUE"""),"Diaria")</f>
        <v>Diaria</v>
      </c>
      <c r="P490" s="33">
        <f ca="1">IFERROR(__xludf.DUMMYFUNCTION("""COMPUTED_VALUE"""),46237)</f>
        <v>46237</v>
      </c>
      <c r="Q490" s="33">
        <f ca="1">IFERROR(__xludf.DUMMYFUNCTION("""COMPUTED_VALUE"""),46248)</f>
        <v>46248</v>
      </c>
      <c r="R490" s="30">
        <f ca="1">IFERROR(__xludf.DUMMYFUNCTION("""COMPUTED_VALUE"""),10)</f>
        <v>10</v>
      </c>
      <c r="S490" s="30" t="str">
        <f ca="1">IFERROR(__xludf.DUMMYFUNCTION("""COMPUTED_VALUE"""),"Artes escénicas")</f>
        <v>Artes escénicas</v>
      </c>
      <c r="T490" s="30" t="str">
        <f ca="1">IFERROR(__xludf.DUMMYFUNCTION("""COMPUTED_VALUE"""),"Teatro")</f>
        <v>Teatro</v>
      </c>
      <c r="U490" s="30" t="str">
        <f ca="1">IFERROR(__xludf.DUMMYFUNCTION("""COMPUTED_VALUE"""),"Curso")</f>
        <v>Curso</v>
      </c>
      <c r="V490" s="30" t="str">
        <f ca="1">IFERROR(__xludf.DUMMYFUNCTION("""COMPUTED_VALUE"""),"Ninguna")</f>
        <v>Ninguna</v>
      </c>
      <c r="W490" s="30" t="str">
        <f ca="1">IFERROR(__xludf.DUMMYFUNCTION("""COMPUTED_VALUE"""),"Presencial")</f>
        <v>Presencial</v>
      </c>
      <c r="X490" s="30" t="str">
        <f ca="1">IFERROR(__xludf.DUMMYFUNCTION("""COMPUTED_VALUE"""),"Espacio préstamo a la Secretaría de Cultura")</f>
        <v>Espacio préstamo a la Secretaría de Cultura</v>
      </c>
      <c r="Y490" s="30"/>
      <c r="Z490" s="30"/>
      <c r="AA490" s="30"/>
      <c r="AB490" s="30" t="b">
        <f ca="1">IFERROR(__xludf.DUMMYFUNCTION("""COMPUTED_VALUE"""),FALSE)</f>
        <v>0</v>
      </c>
      <c r="AC490" s="30"/>
      <c r="AD490" s="30" t="b">
        <f ca="1">IFERROR(__xludf.DUMMYFUNCTION("""COMPUTED_VALUE"""),TRUE)</f>
        <v>1</v>
      </c>
      <c r="AE490" s="30">
        <f ca="1">IFERROR(__xludf.DUMMYFUNCTION("""COMPUTED_VALUE"""),4)</f>
        <v>4</v>
      </c>
      <c r="AF490" s="30" t="b">
        <f ca="1">IFERROR(__xludf.DUMMYFUNCTION("""COMPUTED_VALUE"""),FALSE)</f>
        <v>0</v>
      </c>
      <c r="AG490" s="30"/>
      <c r="AH490" s="30" t="str">
        <f ca="1">IFERROR(__xludf.DUMMYFUNCTION("""COMPUTED_VALUE"""),"Sin costo")</f>
        <v>Sin costo</v>
      </c>
      <c r="AI490" s="30"/>
      <c r="AJ490" s="30"/>
      <c r="AK490" s="30"/>
      <c r="AL490" s="30" t="str">
        <f ca="1">IFERROR(__xludf.DUMMYFUNCTION("""COMPUTED_VALUE"""),"claudia.ramirezm@guanajuato.gob.mx")</f>
        <v>claudia.ramirezm@guanajuato.gob.mx</v>
      </c>
      <c r="AM490" s="30" t="str">
        <f ca="1">IFERROR(__xludf.DUMMYFUNCTION("""COMPUTED_VALUE"""),"Mayor inversión en conservación del patrimonio artístico y cultural.")</f>
        <v>Mayor inversión en conservación del patrimonio artístico y cultural.</v>
      </c>
      <c r="AN490" s="30" t="str">
        <f ca="1">IFERROR(__xludf.DUMMYFUNCTION("""COMPUTED_VALUE"""),"2 Igualdad")</f>
        <v>2 Igualdad</v>
      </c>
      <c r="AO490" s="30" t="str">
        <f ca="1">IFERROR(__xludf.DUMMYFUNCTION("""COMPUTED_VALUE"""),"2.2 Fortalecer cohesión social")</f>
        <v>2.2 Fortalecer cohesión social</v>
      </c>
      <c r="AP490" s="30" t="str">
        <f ca="1">IFERROR(__xludf.DUMMYFUNCTION("""COMPUTED_VALUE"""),"2.2 Fortalecer cohesión social")</f>
        <v>2.2 Fortalecer cohesión social</v>
      </c>
      <c r="AQ490" s="30" t="str">
        <f ca="1">IFERROR(__xludf.DUMMYFUNCTION("""COMPUTED_VALUE"""),"2.2.3.2 Promover la participación de grupos prioritarios en actividades culturales")</f>
        <v>2.2.3.2 Promover la participación de grupos prioritarios en actividades culturales</v>
      </c>
      <c r="AR490" s="30" t="str">
        <f ca="1">IFERROR(__xludf.DUMMYFUNCTION("""COMPUTED_VALUE"""),"Inclusión")</f>
        <v>Inclusión</v>
      </c>
      <c r="AS490" s="30" t="str">
        <f ca="1">IFERROR(__xludf.DUMMYFUNCTION("""COMPUTED_VALUE"""),"NNA (Niñas, Niños y Adolescentes)")</f>
        <v>NNA (Niñas, Niños y Adolescentes)</v>
      </c>
      <c r="AT490" s="30" t="str">
        <f ca="1">IFERROR(__xludf.DUMMYFUNCTION("""COMPUTED_VALUE"""),"Impulso a la educación artística y a la profesionalización del sector cultural")</f>
        <v>Impulso a la educación artística y a la profesionalización del sector cultural</v>
      </c>
      <c r="AU490" s="30" t="str">
        <f ca="1">IFERROR(__xludf.DUMMYFUNCTION("""COMPUTED_VALUE"""),"Impulso a programas de formación y profesionalización para agentes culturales.")</f>
        <v>Impulso a programas de formación y profesionalización para agentes culturales.</v>
      </c>
      <c r="AV490"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90" s="30" t="str">
        <f ca="1">IFERROR(__xludf.DUMMYFUNCTION("""COMPUTED_VALUE"""),"Incrementar un 30% la oferta de formación y profesionalización para agentes culturales.")</f>
        <v>Incrementar un 30% la oferta de formación y profesionalización para agentes culturales.</v>
      </c>
      <c r="AX490" s="30" t="str">
        <f ca="1">IFERROR(__xludf.DUMMYFUNCTION("""COMPUTED_VALUE"""),"Curso")</f>
        <v>Curso</v>
      </c>
      <c r="AY490" s="30" t="str">
        <f ca="1">IFERROR(__xludf.DUMMYFUNCTION("""COMPUTED_VALUE"""),"Formación")</f>
        <v>Formación</v>
      </c>
      <c r="AZ490" s="30" t="str">
        <f ca="1">IFERROR(__xludf.DUMMYFUNCTION("""COMPUTED_VALUE"""),"Formación")</f>
        <v>Formación</v>
      </c>
      <c r="BA490" s="30"/>
      <c r="BB490" s="30">
        <f ca="1">IFERROR(__xludf.DUMMYFUNCTION("""COMPUTED_VALUE"""),5)</f>
        <v>5</v>
      </c>
      <c r="BC490" s="30">
        <f ca="1">IFERROR(__xludf.DUMMYFUNCTION("""COMPUTED_VALUE"""),4)</f>
        <v>4</v>
      </c>
      <c r="BD490" s="30" t="str">
        <f ca="1">IFERROR(__xludf.DUMMYFUNCTION("""COMPUTED_VALUE"""),"Nuevo")</f>
        <v>Nuevo</v>
      </c>
      <c r="BE490" s="30" t="str">
        <f ca="1">IFERROR(__xludf.DUMMYFUNCTION("""COMPUTED_VALUE"""),"Cristina Medina Lara, Leticia Hurtado López, Cristian Alfredo González, Sara Zepeda Muñoz")</f>
        <v>Cristina Medina Lara, Leticia Hurtado López, Cristian Alfredo González, Sara Zepeda Muñoz</v>
      </c>
      <c r="BF490" s="30" t="b">
        <f ca="1">IFERROR(__xludf.DUMMYFUNCTION("""COMPUTED_VALUE"""),TRUE)</f>
        <v>1</v>
      </c>
      <c r="BG490" s="30" t="str">
        <f ca="1">IFERROR(__xludf.DUMMYFUNCTION("""COMPUTED_VALUE"""),"Económico")</f>
        <v>Económico</v>
      </c>
      <c r="BH490" s="30">
        <f ca="1">IFERROR(__xludf.DUMMYFUNCTION("""COMPUTED_VALUE"""),100000)</f>
        <v>100000</v>
      </c>
      <c r="BI490" s="30"/>
      <c r="BJ490" s="30"/>
      <c r="BK490" s="30"/>
      <c r="BL490" s="30"/>
      <c r="BM490" s="30" t="str">
        <f ca="1">IFERROR(__xludf.DUMMYFUNCTION("""COMPUTED_VALUE"""),"No")</f>
        <v>No</v>
      </c>
      <c r="BN490" s="30"/>
      <c r="BO490" s="30" t="str">
        <f ca="1">IFERROR(__xludf.DUMMYFUNCTION("""COMPUTED_VALUE"""),"4944eaa8")</f>
        <v>4944eaa8</v>
      </c>
      <c r="BP490" s="29" t="str">
        <f ca="1">IFERROR(__xludf.DUMMYFUNCTION("""COMPUTED_VALUE"""),"Guanajuato")</f>
        <v>Guanajuato</v>
      </c>
      <c r="BQ490" s="30" t="str">
        <f ca="1">IFERROR(__xludf.DUMMYFUNCTION("""COMPUTED_VALUE"""),"Urbano")</f>
        <v>Urbano</v>
      </c>
      <c r="BR490" s="30"/>
      <c r="BS490" s="30"/>
      <c r="BT490" s="30"/>
      <c r="BU490" s="30" t="str">
        <f ca="1">IFERROR(__xludf.DUMMYFUNCTION("""COMPUTED_VALUE"""),"No")</f>
        <v>No</v>
      </c>
      <c r="BV490" s="30" t="str">
        <f ca="1">IFERROR(__xludf.DUMMYFUNCTION("""COMPUTED_VALUE"""),"No")</f>
        <v>No</v>
      </c>
      <c r="BW490" s="30">
        <f ca="1">IFERROR(__xludf.DUMMYFUNCTION("""COMPUTED_VALUE"""),2)</f>
        <v>2</v>
      </c>
      <c r="BX490" s="30"/>
      <c r="BY490" s="30">
        <f ca="1">IFERROR(__xludf.DUMMYFUNCTION("""COMPUTED_VALUE"""),2)</f>
        <v>2</v>
      </c>
      <c r="BZ490" s="30"/>
      <c r="CA490" s="30" t="str">
        <f ca="1">IFERROR(__xludf.DUMMYFUNCTION("""COMPUTED_VALUE"""),"No")</f>
        <v>No</v>
      </c>
      <c r="CB490" s="30" t="str">
        <f ca="1">IFERROR(__xludf.DUMMYFUNCTION("""COMPUTED_VALUE"""),"No")</f>
        <v>No</v>
      </c>
      <c r="CC490" s="30" t="str">
        <f ca="1">IFERROR(__xludf.DUMMYFUNCTION("""COMPUTED_VALUE"""),"e2415800")</f>
        <v>e2415800</v>
      </c>
      <c r="CD490" s="29" t="str">
        <f ca="1">IFERROR(__xludf.DUMMYFUNCTION("""COMPUTED_VALUE"""),"Jóvenes (18 a 29 años)")</f>
        <v>Jóvenes (18 a 29 años)</v>
      </c>
      <c r="CE490" s="30" t="str">
        <f ca="1">IFERROR(__xludf.DUMMYFUNCTION("""COMPUTED_VALUE"""),"No se cuenta con el dato")</f>
        <v>No se cuenta con el dato</v>
      </c>
      <c r="CF490" s="30" t="str">
        <f ca="1">IFERROR(__xludf.DUMMYFUNCTION("""COMPUTED_VALUE"""),"Ninguno (Población General)")</f>
        <v>Ninguno (Población General)</v>
      </c>
      <c r="CG490" s="30">
        <f ca="1">IFERROR(__xludf.DUMMYFUNCTION("""COMPUTED_VALUE"""),46)</f>
        <v>46</v>
      </c>
      <c r="CJ490" s="29"/>
      <c r="CM490" s="30" t="str">
        <f ca="1">IFERROR(__xludf.DUMMYFUNCTION("""COMPUTED_VALUE"""),"Guanajuato")</f>
        <v>Guanajuato</v>
      </c>
      <c r="CN490" s="32" t="e">
        <f ca="1"/>
        <v>#NAME?</v>
      </c>
      <c r="CO490" s="32" t="e">
        <f ca="1"/>
        <v>#NAME?</v>
      </c>
      <c r="CP490" s="32" t="e">
        <f ca="1"/>
        <v>#NAME?</v>
      </c>
      <c r="CQ490" s="32" t="e">
        <f ca="1"/>
        <v>#NAME?</v>
      </c>
      <c r="CR490" s="30" t="e">
        <f ca="1"/>
        <v>#NAME?</v>
      </c>
      <c r="CS490" s="30" t="str">
        <f ca="1">IFERROR(__xludf.DUMMYFUNCTION("""COMPUTED_VALUE"""),"Ninguno (Población General)")</f>
        <v>Ninguno (Población General)</v>
      </c>
    </row>
    <row r="491" spans="1:97" ht="13">
      <c r="A491" s="29" t="str">
        <f ca="1">IFERROR(__xludf.DUMMYFUNCTION("""COMPUTED_VALUE"""),"ACT-SCQZ71776")</f>
        <v>ACT-SCQZ71776</v>
      </c>
      <c r="B491" s="30" t="str">
        <f ca="1">IFERROR(__xludf.DUMMYFUNCTION("""COMPUTED_VALUE"""),"SC-261005-141308")</f>
        <v>SC-261005-141308</v>
      </c>
      <c r="C491" s="62">
        <f ca="1">IFERROR(__xludf.DUMMYFUNCTION("""COMPUTED_VALUE"""),46300.5924537037)</f>
        <v>46300.592453703699</v>
      </c>
      <c r="D491" s="30">
        <f ca="1">IFERROR(__xludf.DUMMYFUNCTION("""COMPUTED_VALUE"""),71)</f>
        <v>71</v>
      </c>
      <c r="E491" s="30" t="str">
        <f ca="1">IFERROR(__xludf.DUMMYFUNCTION("""COMPUTED_VALUE"""),"PB3567")</f>
        <v>PB3567</v>
      </c>
      <c r="F491" s="30" t="str">
        <f ca="1">IFERROR(__xludf.DUMMYFUNCTION("""COMPUTED_VALUE"""),"Formación e Investigación Artística")</f>
        <v>Formación e Investigación Artística</v>
      </c>
      <c r="G491"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491" s="30" t="str">
        <f ca="1">IFERROR(__xludf.DUMMYFUNCTION("""COMPUTED_VALUE"""),"SUBSECRETARÍA DE DESARROLLO COMUNITARIO Y PROMOCIÓN PATRIMONIAL")</f>
        <v>SUBSECRETARÍA DE DESARROLLO COMUNITARIO Y PROMOCIÓN PATRIMONIAL</v>
      </c>
      <c r="I491" s="34" t="str">
        <f ca="1">IFERROR(__xludf.DUMMYFUNCTION("""COMPUTED_VALUE"""),"DIRECCIÓN GENERAL DE FORMACIÓN E INVESTIGACIÓN")</f>
        <v>DIRECCIÓN GENERAL DE FORMACIÓN E INVESTIGACIÓN</v>
      </c>
      <c r="J491" s="30" t="str">
        <f ca="1">IFERROR(__xludf.DUMMYFUNCTION("""COMPUTED_VALUE"""),"Cursos, talleres, diplomados realizados")</f>
        <v>Cursos, talleres, diplomados realizados</v>
      </c>
      <c r="K491" s="30">
        <f ca="1">IFERROR(__xludf.DUMMYFUNCTION("""COMPUTED_VALUE"""),4)</f>
        <v>4</v>
      </c>
      <c r="L491" s="30" t="str">
        <f ca="1">IFERROR(__xludf.DUMMYFUNCTION("""COMPUTED_VALUE"""),"Artística")</f>
        <v>Artística</v>
      </c>
      <c r="M491" s="30" t="str">
        <f ca="1">IFERROR(__xludf.DUMMYFUNCTION("""COMPUTED_VALUE"""),"Curso de verano infantil, taller de artes visuales para infancias")</f>
        <v>Curso de verano infantil, taller de artes visuales para infancias</v>
      </c>
      <c r="N491" s="30" t="str">
        <f ca="1">IFERROR(__xludf.DUMMYFUNCTION("""COMPUTED_VALUE"""),"Taller que acerca a niñas y niños a las artes escénicas a través del teatro")</f>
        <v>Taller que acerca a niñas y niños a las artes escénicas a través del teatro</v>
      </c>
      <c r="O491" s="30" t="str">
        <f ca="1">IFERROR(__xludf.DUMMYFUNCTION("""COMPUTED_VALUE"""),"Diaria")</f>
        <v>Diaria</v>
      </c>
      <c r="P491" s="33">
        <f ca="1">IFERROR(__xludf.DUMMYFUNCTION("""COMPUTED_VALUE"""),46237)</f>
        <v>46237</v>
      </c>
      <c r="Q491" s="33">
        <f ca="1">IFERROR(__xludf.DUMMYFUNCTION("""COMPUTED_VALUE"""),46248)</f>
        <v>46248</v>
      </c>
      <c r="R491" s="30">
        <f ca="1">IFERROR(__xludf.DUMMYFUNCTION("""COMPUTED_VALUE"""),10)</f>
        <v>10</v>
      </c>
      <c r="S491" s="30" t="str">
        <f ca="1">IFERROR(__xludf.DUMMYFUNCTION("""COMPUTED_VALUE"""),"Artes escénicas")</f>
        <v>Artes escénicas</v>
      </c>
      <c r="T491" s="30" t="str">
        <f ca="1">IFERROR(__xludf.DUMMYFUNCTION("""COMPUTED_VALUE"""),"Teatro")</f>
        <v>Teatro</v>
      </c>
      <c r="U491" s="30" t="str">
        <f ca="1">IFERROR(__xludf.DUMMYFUNCTION("""COMPUTED_VALUE"""),"Curso")</f>
        <v>Curso</v>
      </c>
      <c r="V491" s="30" t="str">
        <f ca="1">IFERROR(__xludf.DUMMYFUNCTION("""COMPUTED_VALUE"""),"Ninguna")</f>
        <v>Ninguna</v>
      </c>
      <c r="W491" s="30" t="str">
        <f ca="1">IFERROR(__xludf.DUMMYFUNCTION("""COMPUTED_VALUE"""),"Presencial")</f>
        <v>Presencial</v>
      </c>
      <c r="X491" s="30" t="str">
        <f ca="1">IFERROR(__xludf.DUMMYFUNCTION("""COMPUTED_VALUE"""),"Espacio préstamo a la Secretaría de Cultura")</f>
        <v>Espacio préstamo a la Secretaría de Cultura</v>
      </c>
      <c r="Y491" s="30"/>
      <c r="Z491" s="30"/>
      <c r="AA491" s="30"/>
      <c r="AB491" s="30" t="b">
        <f ca="1">IFERROR(__xludf.DUMMYFUNCTION("""COMPUTED_VALUE"""),FALSE)</f>
        <v>0</v>
      </c>
      <c r="AC491" s="30"/>
      <c r="AD491" s="30" t="b">
        <f ca="1">IFERROR(__xludf.DUMMYFUNCTION("""COMPUTED_VALUE"""),TRUE)</f>
        <v>1</v>
      </c>
      <c r="AE491" s="30">
        <f ca="1">IFERROR(__xludf.DUMMYFUNCTION("""COMPUTED_VALUE"""),4)</f>
        <v>4</v>
      </c>
      <c r="AF491" s="30" t="b">
        <f ca="1">IFERROR(__xludf.DUMMYFUNCTION("""COMPUTED_VALUE"""),FALSE)</f>
        <v>0</v>
      </c>
      <c r="AG491" s="30"/>
      <c r="AH491" s="30" t="str">
        <f ca="1">IFERROR(__xludf.DUMMYFUNCTION("""COMPUTED_VALUE"""),"Sin costo")</f>
        <v>Sin costo</v>
      </c>
      <c r="AI491" s="30"/>
      <c r="AJ491" s="30"/>
      <c r="AK491" s="30"/>
      <c r="AL491" s="30" t="str">
        <f ca="1">IFERROR(__xludf.DUMMYFUNCTION("""COMPUTED_VALUE"""),"claudia.ramirezm@guanajuato.gob.mx")</f>
        <v>claudia.ramirezm@guanajuato.gob.mx</v>
      </c>
      <c r="AM491" s="30" t="str">
        <f ca="1">IFERROR(__xludf.DUMMYFUNCTION("""COMPUTED_VALUE"""),"Mayor inversión en conservación del patrimonio artístico y cultural.")</f>
        <v>Mayor inversión en conservación del patrimonio artístico y cultural.</v>
      </c>
      <c r="AN491" s="30" t="str">
        <f ca="1">IFERROR(__xludf.DUMMYFUNCTION("""COMPUTED_VALUE"""),"2 Igualdad")</f>
        <v>2 Igualdad</v>
      </c>
      <c r="AO491" s="30" t="str">
        <f ca="1">IFERROR(__xludf.DUMMYFUNCTION("""COMPUTED_VALUE"""),"2.2 Fortalecer cohesión social")</f>
        <v>2.2 Fortalecer cohesión social</v>
      </c>
      <c r="AP491" s="30" t="str">
        <f ca="1">IFERROR(__xludf.DUMMYFUNCTION("""COMPUTED_VALUE"""),"2.2 Fortalecer cohesión social")</f>
        <v>2.2 Fortalecer cohesión social</v>
      </c>
      <c r="AQ491" s="30" t="str">
        <f ca="1">IFERROR(__xludf.DUMMYFUNCTION("""COMPUTED_VALUE"""),"2.2.3.2 Promover la participación de grupos prioritarios en actividades culturales")</f>
        <v>2.2.3.2 Promover la participación de grupos prioritarios en actividades culturales</v>
      </c>
      <c r="AR491" s="30" t="str">
        <f ca="1">IFERROR(__xludf.DUMMYFUNCTION("""COMPUTED_VALUE"""),"Inclusión")</f>
        <v>Inclusión</v>
      </c>
      <c r="AS491" s="30" t="str">
        <f ca="1">IFERROR(__xludf.DUMMYFUNCTION("""COMPUTED_VALUE"""),"NNA (Niñas, Niños y Adolescentes)")</f>
        <v>NNA (Niñas, Niños y Adolescentes)</v>
      </c>
      <c r="AT491" s="30" t="str">
        <f ca="1">IFERROR(__xludf.DUMMYFUNCTION("""COMPUTED_VALUE"""),"Impulso a la educación artística y a la profesionalización del sector cultural")</f>
        <v>Impulso a la educación artística y a la profesionalización del sector cultural</v>
      </c>
      <c r="AU491" s="30" t="str">
        <f ca="1">IFERROR(__xludf.DUMMYFUNCTION("""COMPUTED_VALUE"""),"Impulso a programas de formación y profesionalización para agentes culturales.")</f>
        <v>Impulso a programas de formación y profesionalización para agentes culturales.</v>
      </c>
      <c r="AV491"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491" s="30" t="str">
        <f ca="1">IFERROR(__xludf.DUMMYFUNCTION("""COMPUTED_VALUE"""),"Incrementar un 30% la oferta de formación y profesionalización para agentes culturales.")</f>
        <v>Incrementar un 30% la oferta de formación y profesionalización para agentes culturales.</v>
      </c>
      <c r="AX491" s="30" t="str">
        <f ca="1">IFERROR(__xludf.DUMMYFUNCTION("""COMPUTED_VALUE"""),"Curso")</f>
        <v>Curso</v>
      </c>
      <c r="AY491" s="30" t="str">
        <f ca="1">IFERROR(__xludf.DUMMYFUNCTION("""COMPUTED_VALUE"""),"Formación")</f>
        <v>Formación</v>
      </c>
      <c r="AZ491" s="30" t="str">
        <f ca="1">IFERROR(__xludf.DUMMYFUNCTION("""COMPUTED_VALUE"""),"Formación")</f>
        <v>Formación</v>
      </c>
      <c r="BA491" s="30"/>
      <c r="BB491" s="30">
        <f ca="1">IFERROR(__xludf.DUMMYFUNCTION("""COMPUTED_VALUE"""),5)</f>
        <v>5</v>
      </c>
      <c r="BC491" s="30">
        <f ca="1">IFERROR(__xludf.DUMMYFUNCTION("""COMPUTED_VALUE"""),4)</f>
        <v>4</v>
      </c>
      <c r="BD491" s="30" t="str">
        <f ca="1">IFERROR(__xludf.DUMMYFUNCTION("""COMPUTED_VALUE"""),"Nuevo")</f>
        <v>Nuevo</v>
      </c>
      <c r="BE491" s="30" t="str">
        <f ca="1">IFERROR(__xludf.DUMMYFUNCTION("""COMPUTED_VALUE"""),"Cristina Medina Lara, Leticia Hurtado López, Christian Alfredo González Pérez, Sara Zepeda Muñoz")</f>
        <v>Cristina Medina Lara, Leticia Hurtado López, Christian Alfredo González Pérez, Sara Zepeda Muñoz</v>
      </c>
      <c r="BF491" s="30" t="b">
        <f ca="1">IFERROR(__xludf.DUMMYFUNCTION("""COMPUTED_VALUE"""),TRUE)</f>
        <v>1</v>
      </c>
      <c r="BG491" s="30" t="str">
        <f ca="1">IFERROR(__xludf.DUMMYFUNCTION("""COMPUTED_VALUE"""),"Económico")</f>
        <v>Económico</v>
      </c>
      <c r="BH491" s="30">
        <f ca="1">IFERROR(__xludf.DUMMYFUNCTION("""COMPUTED_VALUE"""),100000)</f>
        <v>100000</v>
      </c>
      <c r="BI491" s="30"/>
      <c r="BJ491" s="30"/>
      <c r="BK491" s="30"/>
      <c r="BL491" s="30"/>
      <c r="BM491" s="30" t="str">
        <f ca="1">IFERROR(__xludf.DUMMYFUNCTION("""COMPUTED_VALUE"""),"No")</f>
        <v>No</v>
      </c>
      <c r="BN491" s="30"/>
      <c r="BO491" s="30" t="str">
        <f ca="1">IFERROR(__xludf.DUMMYFUNCTION("""COMPUTED_VALUE"""),"a58f3d82")</f>
        <v>a58f3d82</v>
      </c>
      <c r="BP491" s="29" t="str">
        <f ca="1">IFERROR(__xludf.DUMMYFUNCTION("""COMPUTED_VALUE"""),"Guanajuato")</f>
        <v>Guanajuato</v>
      </c>
      <c r="BQ491" s="30" t="str">
        <f ca="1">IFERROR(__xludf.DUMMYFUNCTION("""COMPUTED_VALUE"""),"Urbano")</f>
        <v>Urbano</v>
      </c>
      <c r="BR491" s="30"/>
      <c r="BS491" s="30"/>
      <c r="BT491" s="30"/>
      <c r="BU491" s="30" t="str">
        <f ca="1">IFERROR(__xludf.DUMMYFUNCTION("""COMPUTED_VALUE"""),"No")</f>
        <v>No</v>
      </c>
      <c r="BV491" s="30" t="str">
        <f ca="1">IFERROR(__xludf.DUMMYFUNCTION("""COMPUTED_VALUE"""),"No")</f>
        <v>No</v>
      </c>
      <c r="BW491" s="30">
        <f ca="1">IFERROR(__xludf.DUMMYFUNCTION("""COMPUTED_VALUE"""),2)</f>
        <v>2</v>
      </c>
      <c r="BX491" s="30"/>
      <c r="BY491" s="30">
        <f ca="1">IFERROR(__xludf.DUMMYFUNCTION("""COMPUTED_VALUE"""),2)</f>
        <v>2</v>
      </c>
      <c r="BZ491" s="30"/>
      <c r="CA491" s="30" t="str">
        <f ca="1">IFERROR(__xludf.DUMMYFUNCTION("""COMPUTED_VALUE"""),"No")</f>
        <v>No</v>
      </c>
      <c r="CB491" s="30" t="str">
        <f ca="1">IFERROR(__xludf.DUMMYFUNCTION("""COMPUTED_VALUE"""),"No")</f>
        <v>No</v>
      </c>
      <c r="CC491" s="30" t="str">
        <f ca="1">IFERROR(__xludf.DUMMYFUNCTION("""COMPUTED_VALUE"""),"ba138f49")</f>
        <v>ba138f49</v>
      </c>
      <c r="CD491" s="29" t="str">
        <f ca="1">IFERROR(__xludf.DUMMYFUNCTION("""COMPUTED_VALUE"""),"Jóvenes (18 a 29 años)")</f>
        <v>Jóvenes (18 a 29 años)</v>
      </c>
      <c r="CE491" s="30" t="str">
        <f ca="1">IFERROR(__xludf.DUMMYFUNCTION("""COMPUTED_VALUE"""),"No se cuenta con el dato")</f>
        <v>No se cuenta con el dato</v>
      </c>
      <c r="CF491" s="30" t="str">
        <f ca="1">IFERROR(__xludf.DUMMYFUNCTION("""COMPUTED_VALUE"""),"Ninguno (Población General)")</f>
        <v>Ninguno (Población General)</v>
      </c>
      <c r="CG491" s="30">
        <f ca="1">IFERROR(__xludf.DUMMYFUNCTION("""COMPUTED_VALUE"""),14)</f>
        <v>14</v>
      </c>
      <c r="CJ491" s="29"/>
      <c r="CM491" s="30" t="str">
        <f ca="1">IFERROR(__xludf.DUMMYFUNCTION("""COMPUTED_VALUE"""),"Guanajuato")</f>
        <v>Guanajuato</v>
      </c>
      <c r="CN491" s="32" t="e">
        <f ca="1"/>
        <v>#NAME?</v>
      </c>
      <c r="CO491" s="32" t="e">
        <f ca="1"/>
        <v>#NAME?</v>
      </c>
      <c r="CP491" s="32" t="e">
        <f ca="1"/>
        <v>#NAME?</v>
      </c>
      <c r="CQ491" s="32" t="e">
        <f ca="1"/>
        <v>#NAME?</v>
      </c>
      <c r="CR491" s="30" t="e">
        <f ca="1"/>
        <v>#NAME?</v>
      </c>
      <c r="CS491" s="30" t="str">
        <f ca="1">IFERROR(__xludf.DUMMYFUNCTION("""COMPUTED_VALUE"""),"Ninguno (Población General)")</f>
        <v>Ninguno (Población General)</v>
      </c>
    </row>
    <row r="492" spans="1:97" ht="13">
      <c r="A492" s="29" t="str">
        <f ca="1">IFERROR(__xludf.DUMMYFUNCTION("""COMPUTED_VALUE"""),"ACT-SCXI88562")</f>
        <v>ACT-SCXI88562</v>
      </c>
      <c r="B492" s="30" t="str">
        <f ca="1">IFERROR(__xludf.DUMMYFUNCTION("""COMPUTED_VALUE"""),"SC-261005-143526")</f>
        <v>SC-261005-143526</v>
      </c>
      <c r="C492" s="62">
        <f ca="1">IFERROR(__xludf.DUMMYFUNCTION("""COMPUTED_VALUE"""),46300.6079398148)</f>
        <v>46300.607939814799</v>
      </c>
      <c r="D492" s="30">
        <f ca="1">IFERROR(__xludf.DUMMYFUNCTION("""COMPUTED_VALUE"""),92)</f>
        <v>92</v>
      </c>
      <c r="E492" s="30" t="str">
        <f ca="1">IFERROR(__xludf.DUMMYFUNCTION("""COMPUTED_VALUE"""),"PB3572")</f>
        <v>PB3572</v>
      </c>
      <c r="F49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2" s="30" t="str">
        <f ca="1">IFERROR(__xludf.DUMMYFUNCTION("""COMPUTED_VALUE"""),"SUBSECRETARÍA DE DESARROLLO Y PROMOCIÓN ARTÍSTICA Y CULTURAL")</f>
        <v>SUBSECRETARÍA DE DESARROLLO Y PROMOCIÓN ARTÍSTICA Y CULTURAL</v>
      </c>
      <c r="I492" s="34" t="str">
        <f ca="1">IFERROR(__xludf.DUMMYFUNCTION("""COMPUTED_VALUE"""),"DIRECCIÓN GENERAL DE MUSEOS, ARTES VISUALES Y EXPOSICIONES")</f>
        <v>DIRECCIÓN GENERAL DE MUSEOS, ARTES VISUALES Y EXPOSICIONES</v>
      </c>
      <c r="J492" s="30" t="str">
        <f ca="1">IFERROR(__xludf.DUMMYFUNCTION("""COMPUTED_VALUE"""),"Número de Actividades realizadas")</f>
        <v>Número de Actividades realizadas</v>
      </c>
      <c r="K492" s="30">
        <f ca="1">IFERROR(__xludf.DUMMYFUNCTION("""COMPUTED_VALUE"""),800)</f>
        <v>800</v>
      </c>
      <c r="L492" s="30" t="str">
        <f ca="1">IFERROR(__xludf.DUMMYFUNCTION("""COMPUTED_VALUE"""),"Cultural")</f>
        <v>Cultural</v>
      </c>
      <c r="M492" s="30" t="str">
        <f ca="1">IFERROR(__xludf.DUMMYFUNCTION("""COMPUTED_VALUE"""),"Visita guiada libre")</f>
        <v>Visita guiada libre</v>
      </c>
      <c r="N492" s="30" t="str">
        <f ca="1">IFERROR(__xludf.DUMMYFUNCTION("""COMPUTED_VALUE"""),"Recorrido guiado por el museo")</f>
        <v>Recorrido guiado por el museo</v>
      </c>
      <c r="O492" s="30" t="str">
        <f ca="1">IFERROR(__xludf.DUMMYFUNCTION("""COMPUTED_VALUE"""),"Única")</f>
        <v>Única</v>
      </c>
      <c r="P492" s="33">
        <f ca="1">IFERROR(__xludf.DUMMYFUNCTION("""COMPUTED_VALUE"""),46240)</f>
        <v>46240</v>
      </c>
      <c r="Q492" s="33">
        <f ca="1">IFERROR(__xludf.DUMMYFUNCTION("""COMPUTED_VALUE"""),46240)</f>
        <v>46240</v>
      </c>
      <c r="R492" s="30">
        <f ca="1">IFERROR(__xludf.DUMMYFUNCTION("""COMPUTED_VALUE"""),1)</f>
        <v>1</v>
      </c>
      <c r="S492" s="30" t="str">
        <f ca="1">IFERROR(__xludf.DUMMYFUNCTION("""COMPUTED_VALUE"""),"Cultura comunitaria")</f>
        <v>Cultura comunitaria</v>
      </c>
      <c r="T492" s="30" t="str">
        <f ca="1">IFERROR(__xludf.DUMMYFUNCTION("""COMPUTED_VALUE"""),"Formación comunitaria")</f>
        <v>Formación comunitaria</v>
      </c>
      <c r="U492" s="30" t="str">
        <f ca="1">IFERROR(__xludf.DUMMYFUNCTION("""COMPUTED_VALUE"""),"Visitas guiadas")</f>
        <v>Visitas guiadas</v>
      </c>
      <c r="V492" s="30" t="str">
        <f ca="1">IFERROR(__xludf.DUMMYFUNCTION("""COMPUTED_VALUE"""),"Ninguna")</f>
        <v>Ninguna</v>
      </c>
      <c r="W492" s="30" t="str">
        <f ca="1">IFERROR(__xludf.DUMMYFUNCTION("""COMPUTED_VALUE"""),"Presencial")</f>
        <v>Presencial</v>
      </c>
      <c r="X492" s="30" t="str">
        <f ca="1">IFERROR(__xludf.DUMMYFUNCTION("""COMPUTED_VALUE"""),"Espacio a Cargo de la Secretaría")</f>
        <v>Espacio a Cargo de la Secretaría</v>
      </c>
      <c r="Y492" s="30" t="str">
        <f ca="1">IFERROR(__xludf.DUMMYFUNCTION("""COMPUTED_VALUE"""),"Museo de Arte-Olga Costa-José Chávez Morado")</f>
        <v>Museo de Arte-Olga Costa-José Chávez Morado</v>
      </c>
      <c r="Z492" s="30"/>
      <c r="AA492" s="30"/>
      <c r="AB492" s="30" t="b">
        <f ca="1">IFERROR(__xludf.DUMMYFUNCTION("""COMPUTED_VALUE"""),FALSE)</f>
        <v>0</v>
      </c>
      <c r="AC492" s="30"/>
      <c r="AD492" s="30" t="b">
        <f ca="1">IFERROR(__xludf.DUMMYFUNCTION("""COMPUTED_VALUE"""),FALSE)</f>
        <v>0</v>
      </c>
      <c r="AE492" s="30"/>
      <c r="AF492" s="30" t="b">
        <f ca="1">IFERROR(__xludf.DUMMYFUNCTION("""COMPUTED_VALUE"""),FALSE)</f>
        <v>0</v>
      </c>
      <c r="AG492" s="30"/>
      <c r="AH492" s="30" t="str">
        <f ca="1">IFERROR(__xludf.DUMMYFUNCTION("""COMPUTED_VALUE"""),"Sin costo")</f>
        <v>Sin costo</v>
      </c>
      <c r="AI492" s="30"/>
      <c r="AJ492" s="30"/>
      <c r="AK492" s="30"/>
      <c r="AL492" s="30" t="str">
        <f ca="1">IFERROR(__xludf.DUMMYFUNCTION("""COMPUTED_VALUE"""),"ccardonav@guanajuato.gob.mx")</f>
        <v>ccardonav@guanajuato.gob.mx</v>
      </c>
      <c r="AM492" s="30" t="str">
        <f ca="1">IFERROR(__xludf.DUMMYFUNCTION("""COMPUTED_VALUE"""),"Arraigo y empoderamiento cultural de comunidades.")</f>
        <v>Arraigo y empoderamiento cultural de comunidades.</v>
      </c>
      <c r="AN492" s="30" t="str">
        <f ca="1">IFERROR(__xludf.DUMMYFUNCTION("""COMPUTED_VALUE"""),"1 Tranquilidad")</f>
        <v>1 Tranquilidad</v>
      </c>
      <c r="AO492" s="30" t="str">
        <f ca="1">IFERROR(__xludf.DUMMYFUNCTION("""COMPUTED_VALUE"""),"1.2 Fortalecer prevención del delito")</f>
        <v>1.2 Fortalecer prevención del delito</v>
      </c>
      <c r="AP492" s="30" t="str">
        <f ca="1">IFERROR(__xludf.DUMMYFUNCTION("""COMPUTED_VALUE"""),"1.2.2 Fortalecimiento del tejido social")</f>
        <v>1.2.2 Fortalecimiento del tejido social</v>
      </c>
      <c r="AQ492" s="30" t="str">
        <f ca="1">IFERROR(__xludf.DUMMYFUNCTION("""COMPUTED_VALUE"""),"1.2.3.4 Promover una cultura de paz desde las expresiones artísticas y culturales")</f>
        <v>1.2.3.4 Promover una cultura de paz desde las expresiones artísticas y culturales</v>
      </c>
      <c r="AR492" s="30" t="str">
        <f ca="1">IFERROR(__xludf.DUMMYFUNCTION("""COMPUTED_VALUE"""),"Cooperación")</f>
        <v>Cooperación</v>
      </c>
      <c r="AS492" s="30"/>
      <c r="AT492" s="30" t="str">
        <f ca="1">IFERROR(__xludf.DUMMYFUNCTION("""COMPUTED_VALUE"""),"Fortalecimiento de la participación ciudadana y la mediación cultural")</f>
        <v>Fortalecimiento de la participación ciudadana y la mediación cultural</v>
      </c>
      <c r="AU492" s="30" t="str">
        <f ca="1">IFERROR(__xludf.DUMMYFUNCTION("""COMPUTED_VALUE"""),"Impulso a la ampliación de la oferta cultural en los territorios.")</f>
        <v>Impulso a la ampliación de la oferta cultural en los territorios.</v>
      </c>
      <c r="AV49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2" s="30" t="str">
        <f ca="1">IFERROR(__xludf.DUMMYFUNCTION("""COMPUTED_VALUE"""),"Incrementar en 25% la oferta cultural realizada en los municipios.")</f>
        <v>Incrementar en 25% la oferta cultural realizada en los municipios.</v>
      </c>
      <c r="AX492" s="30" t="str">
        <f ca="1">IFERROR(__xludf.DUMMYFUNCTION("""COMPUTED_VALUE"""),"Visitas guiadas")</f>
        <v>Visitas guiadas</v>
      </c>
      <c r="AY492" s="30" t="str">
        <f ca="1">IFERROR(__xludf.DUMMYFUNCTION("""COMPUTED_VALUE"""),"Formación")</f>
        <v>Formación</v>
      </c>
      <c r="AZ492" s="30"/>
      <c r="BA492" s="30"/>
      <c r="BB492" s="30"/>
      <c r="BC492" s="30">
        <f ca="1">IFERROR(__xludf.DUMMYFUNCTION("""COMPUTED_VALUE"""),0)</f>
        <v>0</v>
      </c>
      <c r="BD492" s="30"/>
      <c r="BE492" s="30"/>
      <c r="BF492" s="30" t="b">
        <f ca="1">IFERROR(__xludf.DUMMYFUNCTION("""COMPUTED_VALUE"""),FALSE)</f>
        <v>0</v>
      </c>
      <c r="BG492" s="30"/>
      <c r="BH492" s="30"/>
      <c r="BI492" s="30"/>
      <c r="BJ492" s="30"/>
      <c r="BK492" s="30"/>
      <c r="BL492" s="30"/>
      <c r="BM492" s="30" t="str">
        <f ca="1">IFERROR(__xludf.DUMMYFUNCTION("""COMPUTED_VALUE"""),"No")</f>
        <v>No</v>
      </c>
      <c r="BN492" s="30"/>
      <c r="BO492" s="30" t="str">
        <f ca="1">IFERROR(__xludf.DUMMYFUNCTION("""COMPUTED_VALUE"""),"f8502c10")</f>
        <v>f8502c10</v>
      </c>
      <c r="BP492" s="29" t="str">
        <f ca="1">IFERROR(__xludf.DUMMYFUNCTION("""COMPUTED_VALUE"""),"Guanajuato")</f>
        <v>Guanajuato</v>
      </c>
      <c r="BQ492" s="30" t="str">
        <f ca="1">IFERROR(__xludf.DUMMYFUNCTION("""COMPUTED_VALUE"""),"Urbano")</f>
        <v>Urbano</v>
      </c>
      <c r="BR492" s="30"/>
      <c r="BS492" s="30"/>
      <c r="BT492" s="30"/>
      <c r="BU492" s="30" t="str">
        <f ca="1">IFERROR(__xludf.DUMMYFUNCTION("""COMPUTED_VALUE"""),"No")</f>
        <v>No</v>
      </c>
      <c r="BV492" s="30" t="str">
        <f ca="1">IFERROR(__xludf.DUMMYFUNCTION("""COMPUTED_VALUE"""),"No")</f>
        <v>No</v>
      </c>
      <c r="BW492" s="30">
        <f ca="1">IFERROR(__xludf.DUMMYFUNCTION("""COMPUTED_VALUE"""),6)</f>
        <v>6</v>
      </c>
      <c r="BX492" s="30"/>
      <c r="BY492" s="30">
        <f ca="1">IFERROR(__xludf.DUMMYFUNCTION("""COMPUTED_VALUE"""),6)</f>
        <v>6</v>
      </c>
      <c r="BZ492" s="30"/>
      <c r="CA492" s="30" t="str">
        <f ca="1">IFERROR(__xludf.DUMMYFUNCTION("""COMPUTED_VALUE"""),"No")</f>
        <v>No</v>
      </c>
      <c r="CB492" s="30" t="str">
        <f ca="1">IFERROR(__xludf.DUMMYFUNCTION("""COMPUTED_VALUE"""),"No")</f>
        <v>No</v>
      </c>
      <c r="CC492" s="30" t="str">
        <f ca="1">IFERROR(__xludf.DUMMYFUNCTION("""COMPUTED_VALUE"""),"edef4038")</f>
        <v>edef4038</v>
      </c>
      <c r="CD492" s="29" t="str">
        <f ca="1">IFERROR(__xludf.DUMMYFUNCTION("""COMPUTED_VALUE"""),"Jóvenes (18 a 29 años)")</f>
        <v>Jóvenes (18 a 29 años)</v>
      </c>
      <c r="CE492" s="30" t="str">
        <f ca="1">IFERROR(__xludf.DUMMYFUNCTION("""COMPUTED_VALUE"""),"Dato global")</f>
        <v>Dato global</v>
      </c>
      <c r="CF492" s="30" t="str">
        <f ca="1">IFERROR(__xludf.DUMMYFUNCTION("""COMPUTED_VALUE"""),"Ninguno (Población General)")</f>
        <v>Ninguno (Población General)</v>
      </c>
      <c r="CG492" s="30">
        <f ca="1">IFERROR(__xludf.DUMMYFUNCTION("""COMPUTED_VALUE"""),41)</f>
        <v>41</v>
      </c>
      <c r="CJ492" s="29"/>
      <c r="CM492" s="30" t="str">
        <f ca="1">IFERROR(__xludf.DUMMYFUNCTION("""COMPUTED_VALUE"""),"Guanajuato")</f>
        <v>Guanajuato</v>
      </c>
      <c r="CN492" s="32" t="e">
        <f ca="1"/>
        <v>#NAME?</v>
      </c>
      <c r="CO492" s="32" t="e">
        <f ca="1"/>
        <v>#NAME?</v>
      </c>
      <c r="CP492" s="32" t="e">
        <f ca="1"/>
        <v>#NAME?</v>
      </c>
      <c r="CQ492" s="32" t="e">
        <f ca="1"/>
        <v>#NAME?</v>
      </c>
      <c r="CR492" s="30" t="e">
        <f ca="1"/>
        <v>#NAME?</v>
      </c>
      <c r="CS492" s="30" t="str">
        <f ca="1">IFERROR(__xludf.DUMMYFUNCTION("""COMPUTED_VALUE"""),"Ninguno (Población General)")</f>
        <v>Ninguno (Población General)</v>
      </c>
    </row>
    <row r="493" spans="1:97" ht="13">
      <c r="A493" s="29" t="str">
        <f ca="1">IFERROR(__xludf.DUMMYFUNCTION("""COMPUTED_VALUE"""),"ACT-SCYA08501")</f>
        <v>ACT-SCYA08501</v>
      </c>
      <c r="B493" s="30" t="str">
        <f ca="1">IFERROR(__xludf.DUMMYFUNCTION("""COMPUTED_VALUE"""),"SC-261005-144258")</f>
        <v>SC-261005-144258</v>
      </c>
      <c r="C493" s="62">
        <f ca="1">IFERROR(__xludf.DUMMYFUNCTION("""COMPUTED_VALUE"""),46300.6131712962)</f>
        <v>46300.613171296201</v>
      </c>
      <c r="D493" s="30">
        <f ca="1">IFERROR(__xludf.DUMMYFUNCTION("""COMPUTED_VALUE"""),92)</f>
        <v>92</v>
      </c>
      <c r="E493" s="30" t="str">
        <f ca="1">IFERROR(__xludf.DUMMYFUNCTION("""COMPUTED_VALUE"""),"PB3572")</f>
        <v>PB3572</v>
      </c>
      <c r="F49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3" s="30" t="str">
        <f ca="1">IFERROR(__xludf.DUMMYFUNCTION("""COMPUTED_VALUE"""),"SUBSECRETARÍA DE DESARROLLO Y PROMOCIÓN ARTÍSTICA Y CULTURAL")</f>
        <v>SUBSECRETARÍA DE DESARROLLO Y PROMOCIÓN ARTÍSTICA Y CULTURAL</v>
      </c>
      <c r="I493" s="34" t="str">
        <f ca="1">IFERROR(__xludf.DUMMYFUNCTION("""COMPUTED_VALUE"""),"DIRECCIÓN GENERAL DE MUSEOS, ARTES VISUALES Y EXPOSICIONES")</f>
        <v>DIRECCIÓN GENERAL DE MUSEOS, ARTES VISUALES Y EXPOSICIONES</v>
      </c>
      <c r="J493" s="30" t="str">
        <f ca="1">IFERROR(__xludf.DUMMYFUNCTION("""COMPUTED_VALUE"""),"Número de Actividades realizadas")</f>
        <v>Número de Actividades realizadas</v>
      </c>
      <c r="K493" s="30">
        <f ca="1">IFERROR(__xludf.DUMMYFUNCTION("""COMPUTED_VALUE"""),800)</f>
        <v>800</v>
      </c>
      <c r="L493" s="30" t="str">
        <f ca="1">IFERROR(__xludf.DUMMYFUNCTION("""COMPUTED_VALUE"""),"Cultural")</f>
        <v>Cultural</v>
      </c>
      <c r="M493" s="30" t="str">
        <f ca="1">IFERROR(__xludf.DUMMYFUNCTION("""COMPUTED_VALUE"""),"Visita guiada libre")</f>
        <v>Visita guiada libre</v>
      </c>
      <c r="N493" s="30" t="str">
        <f ca="1">IFERROR(__xludf.DUMMYFUNCTION("""COMPUTED_VALUE"""),"Recorrido guiado por el museo")</f>
        <v>Recorrido guiado por el museo</v>
      </c>
      <c r="O493" s="30" t="str">
        <f ca="1">IFERROR(__xludf.DUMMYFUNCTION("""COMPUTED_VALUE"""),"Única")</f>
        <v>Única</v>
      </c>
      <c r="P493" s="33">
        <f ca="1">IFERROR(__xludf.DUMMYFUNCTION("""COMPUTED_VALUE"""),46241)</f>
        <v>46241</v>
      </c>
      <c r="Q493" s="33">
        <f ca="1">IFERROR(__xludf.DUMMYFUNCTION("""COMPUTED_VALUE"""),46241)</f>
        <v>46241</v>
      </c>
      <c r="R493" s="30">
        <f ca="1">IFERROR(__xludf.DUMMYFUNCTION("""COMPUTED_VALUE"""),1)</f>
        <v>1</v>
      </c>
      <c r="S493" s="30" t="str">
        <f ca="1">IFERROR(__xludf.DUMMYFUNCTION("""COMPUTED_VALUE"""),"Cultura comunitaria")</f>
        <v>Cultura comunitaria</v>
      </c>
      <c r="T493" s="30" t="str">
        <f ca="1">IFERROR(__xludf.DUMMYFUNCTION("""COMPUTED_VALUE"""),"Formación comunitaria")</f>
        <v>Formación comunitaria</v>
      </c>
      <c r="U493" s="30" t="str">
        <f ca="1">IFERROR(__xludf.DUMMYFUNCTION("""COMPUTED_VALUE"""),"Visitas guiadas")</f>
        <v>Visitas guiadas</v>
      </c>
      <c r="V493" s="30" t="str">
        <f ca="1">IFERROR(__xludf.DUMMYFUNCTION("""COMPUTED_VALUE"""),"Ninguna")</f>
        <v>Ninguna</v>
      </c>
      <c r="W493" s="30" t="str">
        <f ca="1">IFERROR(__xludf.DUMMYFUNCTION("""COMPUTED_VALUE"""),"Presencial")</f>
        <v>Presencial</v>
      </c>
      <c r="X493" s="30" t="str">
        <f ca="1">IFERROR(__xludf.DUMMYFUNCTION("""COMPUTED_VALUE"""),"Espacio a Cargo de la Secretaría")</f>
        <v>Espacio a Cargo de la Secretaría</v>
      </c>
      <c r="Y493" s="30" t="str">
        <f ca="1">IFERROR(__xludf.DUMMYFUNCTION("""COMPUTED_VALUE"""),"Museo de Arte-Olga Costa-José Chávez Morado")</f>
        <v>Museo de Arte-Olga Costa-José Chávez Morado</v>
      </c>
      <c r="Z493" s="30"/>
      <c r="AA493" s="30"/>
      <c r="AB493" s="30" t="b">
        <f ca="1">IFERROR(__xludf.DUMMYFUNCTION("""COMPUTED_VALUE"""),FALSE)</f>
        <v>0</v>
      </c>
      <c r="AC493" s="30"/>
      <c r="AD493" s="30" t="b">
        <f ca="1">IFERROR(__xludf.DUMMYFUNCTION("""COMPUTED_VALUE"""),FALSE)</f>
        <v>0</v>
      </c>
      <c r="AE493" s="30"/>
      <c r="AF493" s="30" t="b">
        <f ca="1">IFERROR(__xludf.DUMMYFUNCTION("""COMPUTED_VALUE"""),FALSE)</f>
        <v>0</v>
      </c>
      <c r="AG493" s="30"/>
      <c r="AH493" s="30" t="str">
        <f ca="1">IFERROR(__xludf.DUMMYFUNCTION("""COMPUTED_VALUE"""),"Sin costo")</f>
        <v>Sin costo</v>
      </c>
      <c r="AI493" s="30"/>
      <c r="AJ493" s="30"/>
      <c r="AK493" s="30"/>
      <c r="AL493" s="30" t="str">
        <f ca="1">IFERROR(__xludf.DUMMYFUNCTION("""COMPUTED_VALUE"""),"ccardonav@guanajuato.gob.mx")</f>
        <v>ccardonav@guanajuato.gob.mx</v>
      </c>
      <c r="AM493" s="30" t="str">
        <f ca="1">IFERROR(__xludf.DUMMYFUNCTION("""COMPUTED_VALUE"""),"Arraigo y empoderamiento cultural de comunidades.")</f>
        <v>Arraigo y empoderamiento cultural de comunidades.</v>
      </c>
      <c r="AN493" s="30" t="str">
        <f ca="1">IFERROR(__xludf.DUMMYFUNCTION("""COMPUTED_VALUE"""),"1 Tranquilidad")</f>
        <v>1 Tranquilidad</v>
      </c>
      <c r="AO493" s="30" t="str">
        <f ca="1">IFERROR(__xludf.DUMMYFUNCTION("""COMPUTED_VALUE"""),"1.2 Fortalecer prevención del delito")</f>
        <v>1.2 Fortalecer prevención del delito</v>
      </c>
      <c r="AP493" s="30" t="str">
        <f ca="1">IFERROR(__xludf.DUMMYFUNCTION("""COMPUTED_VALUE"""),"1.2.2 Fortalecimiento del tejido social")</f>
        <v>1.2.2 Fortalecimiento del tejido social</v>
      </c>
      <c r="AQ493" s="30" t="str">
        <f ca="1">IFERROR(__xludf.DUMMYFUNCTION("""COMPUTED_VALUE"""),"1.2.3.4 Promover una cultura de paz desde las expresiones artísticas y culturales")</f>
        <v>1.2.3.4 Promover una cultura de paz desde las expresiones artísticas y culturales</v>
      </c>
      <c r="AR493" s="30" t="str">
        <f ca="1">IFERROR(__xludf.DUMMYFUNCTION("""COMPUTED_VALUE"""),"Cooperación")</f>
        <v>Cooperación</v>
      </c>
      <c r="AS493" s="30"/>
      <c r="AT493" s="30" t="str">
        <f ca="1">IFERROR(__xludf.DUMMYFUNCTION("""COMPUTED_VALUE"""),"Fortalecimiento de la participación ciudadana y la mediación cultural")</f>
        <v>Fortalecimiento de la participación ciudadana y la mediación cultural</v>
      </c>
      <c r="AU493" s="30" t="str">
        <f ca="1">IFERROR(__xludf.DUMMYFUNCTION("""COMPUTED_VALUE"""),"Impulso a la ampliación de la oferta cultural en los territorios.")</f>
        <v>Impulso a la ampliación de la oferta cultural en los territorios.</v>
      </c>
      <c r="AV49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3" s="30" t="str">
        <f ca="1">IFERROR(__xludf.DUMMYFUNCTION("""COMPUTED_VALUE"""),"Incrementar en 25% la oferta cultural realizada en los municipios.")</f>
        <v>Incrementar en 25% la oferta cultural realizada en los municipios.</v>
      </c>
      <c r="AX493" s="30" t="str">
        <f ca="1">IFERROR(__xludf.DUMMYFUNCTION("""COMPUTED_VALUE"""),"Visitas guiadas")</f>
        <v>Visitas guiadas</v>
      </c>
      <c r="AY493" s="30" t="str">
        <f ca="1">IFERROR(__xludf.DUMMYFUNCTION("""COMPUTED_VALUE"""),"Formación")</f>
        <v>Formación</v>
      </c>
      <c r="AZ493" s="30"/>
      <c r="BA493" s="30"/>
      <c r="BB493" s="30"/>
      <c r="BC493" s="30">
        <f ca="1">IFERROR(__xludf.DUMMYFUNCTION("""COMPUTED_VALUE"""),0)</f>
        <v>0</v>
      </c>
      <c r="BD493" s="30"/>
      <c r="BE493" s="30"/>
      <c r="BF493" s="30" t="b">
        <f ca="1">IFERROR(__xludf.DUMMYFUNCTION("""COMPUTED_VALUE"""),FALSE)</f>
        <v>0</v>
      </c>
      <c r="BG493" s="30"/>
      <c r="BH493" s="30"/>
      <c r="BI493" s="30"/>
      <c r="BJ493" s="30"/>
      <c r="BK493" s="30"/>
      <c r="BL493" s="30"/>
      <c r="BM493" s="30" t="str">
        <f ca="1">IFERROR(__xludf.DUMMYFUNCTION("""COMPUTED_VALUE"""),"No")</f>
        <v>No</v>
      </c>
      <c r="BN493" s="30"/>
      <c r="BO493" s="30" t="str">
        <f ca="1">IFERROR(__xludf.DUMMYFUNCTION("""COMPUTED_VALUE"""),"ca5f428f")</f>
        <v>ca5f428f</v>
      </c>
      <c r="BP493" s="29" t="str">
        <f ca="1">IFERROR(__xludf.DUMMYFUNCTION("""COMPUTED_VALUE"""),"Guanajuato")</f>
        <v>Guanajuato</v>
      </c>
      <c r="BQ493" s="30" t="str">
        <f ca="1">IFERROR(__xludf.DUMMYFUNCTION("""COMPUTED_VALUE"""),"Urbano")</f>
        <v>Urbano</v>
      </c>
      <c r="BR493" s="30"/>
      <c r="BS493" s="30"/>
      <c r="BT493" s="30"/>
      <c r="BU493" s="30" t="str">
        <f ca="1">IFERROR(__xludf.DUMMYFUNCTION("""COMPUTED_VALUE"""),"No")</f>
        <v>No</v>
      </c>
      <c r="BV493" s="30" t="str">
        <f ca="1">IFERROR(__xludf.DUMMYFUNCTION("""COMPUTED_VALUE"""),"No")</f>
        <v>No</v>
      </c>
      <c r="BW493" s="30">
        <f ca="1">IFERROR(__xludf.DUMMYFUNCTION("""COMPUTED_VALUE"""),9)</f>
        <v>9</v>
      </c>
      <c r="BX493" s="30"/>
      <c r="BY493" s="30">
        <f ca="1">IFERROR(__xludf.DUMMYFUNCTION("""COMPUTED_VALUE"""),9)</f>
        <v>9</v>
      </c>
      <c r="BZ493" s="30"/>
      <c r="CA493" s="30" t="str">
        <f ca="1">IFERROR(__xludf.DUMMYFUNCTION("""COMPUTED_VALUE"""),"No")</f>
        <v>No</v>
      </c>
      <c r="CB493" s="30" t="str">
        <f ca="1">IFERROR(__xludf.DUMMYFUNCTION("""COMPUTED_VALUE"""),"No")</f>
        <v>No</v>
      </c>
      <c r="CC493" s="30" t="str">
        <f ca="1">IFERROR(__xludf.DUMMYFUNCTION("""COMPUTED_VALUE"""),"4993509f")</f>
        <v>4993509f</v>
      </c>
      <c r="CD493" s="29" t="str">
        <f ca="1">IFERROR(__xludf.DUMMYFUNCTION("""COMPUTED_VALUE"""),"Adolescentes (13 a 17 años)")</f>
        <v>Adolescentes (13 a 17 años)</v>
      </c>
      <c r="CE493" s="30" t="str">
        <f ca="1">IFERROR(__xludf.DUMMYFUNCTION("""COMPUTED_VALUE"""),"No se cuenta con el dato")</f>
        <v>No se cuenta con el dato</v>
      </c>
      <c r="CF493" s="30" t="str">
        <f ca="1">IFERROR(__xludf.DUMMYFUNCTION("""COMPUTED_VALUE"""),"Ninguno (Población General)")</f>
        <v>Ninguno (Población General)</v>
      </c>
      <c r="CG493" s="30">
        <f ca="1">IFERROR(__xludf.DUMMYFUNCTION("""COMPUTED_VALUE"""),50)</f>
        <v>50</v>
      </c>
      <c r="CJ493" s="29"/>
      <c r="CM493" s="30" t="str">
        <f ca="1">IFERROR(__xludf.DUMMYFUNCTION("""COMPUTED_VALUE"""),"Guanajuato")</f>
        <v>Guanajuato</v>
      </c>
      <c r="CN493" s="32" t="e">
        <f ca="1"/>
        <v>#NAME?</v>
      </c>
      <c r="CO493" s="32" t="e">
        <f ca="1"/>
        <v>#NAME?</v>
      </c>
      <c r="CP493" s="32" t="e">
        <f ca="1"/>
        <v>#NAME?</v>
      </c>
      <c r="CQ493" s="32" t="e">
        <f ca="1"/>
        <v>#NAME?</v>
      </c>
      <c r="CR493" s="30" t="e">
        <f ca="1"/>
        <v>#NAME?</v>
      </c>
      <c r="CS493" s="30" t="str">
        <f ca="1">IFERROR(__xludf.DUMMYFUNCTION("""COMPUTED_VALUE"""),"Ninguno (Población General)")</f>
        <v>Ninguno (Población General)</v>
      </c>
    </row>
    <row r="494" spans="1:97" ht="13">
      <c r="A494" s="29" t="str">
        <f ca="1">IFERROR(__xludf.DUMMYFUNCTION("""COMPUTED_VALUE"""),"ACT-SCSN82816")</f>
        <v>ACT-SCSN82816</v>
      </c>
      <c r="B494" s="30" t="str">
        <f ca="1">IFERROR(__xludf.DUMMYFUNCTION("""COMPUTED_VALUE"""),"SC-261005-144545")</f>
        <v>SC-261005-144545</v>
      </c>
      <c r="C494" s="62">
        <f ca="1">IFERROR(__xludf.DUMMYFUNCTION("""COMPUTED_VALUE"""),46300.6151041666)</f>
        <v>46300.615104166602</v>
      </c>
      <c r="D494" s="30">
        <f ca="1">IFERROR(__xludf.DUMMYFUNCTION("""COMPUTED_VALUE"""),92)</f>
        <v>92</v>
      </c>
      <c r="E494" s="30" t="str">
        <f ca="1">IFERROR(__xludf.DUMMYFUNCTION("""COMPUTED_VALUE"""),"PB3572")</f>
        <v>PB3572</v>
      </c>
      <c r="F49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4" s="30" t="str">
        <f ca="1">IFERROR(__xludf.DUMMYFUNCTION("""COMPUTED_VALUE"""),"SUBSECRETARÍA DE DESARROLLO Y PROMOCIÓN ARTÍSTICA Y CULTURAL")</f>
        <v>SUBSECRETARÍA DE DESARROLLO Y PROMOCIÓN ARTÍSTICA Y CULTURAL</v>
      </c>
      <c r="I494" s="34" t="str">
        <f ca="1">IFERROR(__xludf.DUMMYFUNCTION("""COMPUTED_VALUE"""),"DIRECCIÓN GENERAL DE MUSEOS, ARTES VISUALES Y EXPOSICIONES")</f>
        <v>DIRECCIÓN GENERAL DE MUSEOS, ARTES VISUALES Y EXPOSICIONES</v>
      </c>
      <c r="J494" s="30" t="str">
        <f ca="1">IFERROR(__xludf.DUMMYFUNCTION("""COMPUTED_VALUE"""),"Número de Actividades realizadas")</f>
        <v>Número de Actividades realizadas</v>
      </c>
      <c r="K494" s="30">
        <f ca="1">IFERROR(__xludf.DUMMYFUNCTION("""COMPUTED_VALUE"""),800)</f>
        <v>800</v>
      </c>
      <c r="L494" s="30" t="str">
        <f ca="1">IFERROR(__xludf.DUMMYFUNCTION("""COMPUTED_VALUE"""),"Cultural")</f>
        <v>Cultural</v>
      </c>
      <c r="M494" s="30" t="str">
        <f ca="1">IFERROR(__xludf.DUMMYFUNCTION("""COMPUTED_VALUE"""),"Visita guiada libre")</f>
        <v>Visita guiada libre</v>
      </c>
      <c r="N494" s="30" t="str">
        <f ca="1">IFERROR(__xludf.DUMMYFUNCTION("""COMPUTED_VALUE"""),"Recorrido guiado por el museo")</f>
        <v>Recorrido guiado por el museo</v>
      </c>
      <c r="O494" s="30" t="str">
        <f ca="1">IFERROR(__xludf.DUMMYFUNCTION("""COMPUTED_VALUE"""),"Única")</f>
        <v>Única</v>
      </c>
      <c r="P494" s="33">
        <f ca="1">IFERROR(__xludf.DUMMYFUNCTION("""COMPUTED_VALUE"""),46242)</f>
        <v>46242</v>
      </c>
      <c r="Q494" s="33">
        <f ca="1">IFERROR(__xludf.DUMMYFUNCTION("""COMPUTED_VALUE"""),46242)</f>
        <v>46242</v>
      </c>
      <c r="R494" s="30">
        <f ca="1">IFERROR(__xludf.DUMMYFUNCTION("""COMPUTED_VALUE"""),1)</f>
        <v>1</v>
      </c>
      <c r="S494" s="30" t="str">
        <f ca="1">IFERROR(__xludf.DUMMYFUNCTION("""COMPUTED_VALUE"""),"Cultura comunitaria")</f>
        <v>Cultura comunitaria</v>
      </c>
      <c r="T494" s="30" t="str">
        <f ca="1">IFERROR(__xludf.DUMMYFUNCTION("""COMPUTED_VALUE"""),"Formación comunitaria")</f>
        <v>Formación comunitaria</v>
      </c>
      <c r="U494" s="30" t="str">
        <f ca="1">IFERROR(__xludf.DUMMYFUNCTION("""COMPUTED_VALUE"""),"Visitas guiadas")</f>
        <v>Visitas guiadas</v>
      </c>
      <c r="V494" s="30" t="str">
        <f ca="1">IFERROR(__xludf.DUMMYFUNCTION("""COMPUTED_VALUE"""),"Ninguna")</f>
        <v>Ninguna</v>
      </c>
      <c r="W494" s="30" t="str">
        <f ca="1">IFERROR(__xludf.DUMMYFUNCTION("""COMPUTED_VALUE"""),"Presencial")</f>
        <v>Presencial</v>
      </c>
      <c r="X494" s="30" t="str">
        <f ca="1">IFERROR(__xludf.DUMMYFUNCTION("""COMPUTED_VALUE"""),"Espacio a Cargo de la Secretaría")</f>
        <v>Espacio a Cargo de la Secretaría</v>
      </c>
      <c r="Y494" s="30" t="str">
        <f ca="1">IFERROR(__xludf.DUMMYFUNCTION("""COMPUTED_VALUE"""),"Museo de Arte-Olga Costa-José Chávez Morado")</f>
        <v>Museo de Arte-Olga Costa-José Chávez Morado</v>
      </c>
      <c r="Z494" s="30"/>
      <c r="AA494" s="30"/>
      <c r="AB494" s="30" t="b">
        <f ca="1">IFERROR(__xludf.DUMMYFUNCTION("""COMPUTED_VALUE"""),FALSE)</f>
        <v>0</v>
      </c>
      <c r="AC494" s="30"/>
      <c r="AD494" s="30" t="b">
        <f ca="1">IFERROR(__xludf.DUMMYFUNCTION("""COMPUTED_VALUE"""),FALSE)</f>
        <v>0</v>
      </c>
      <c r="AE494" s="30"/>
      <c r="AF494" s="30" t="b">
        <f ca="1">IFERROR(__xludf.DUMMYFUNCTION("""COMPUTED_VALUE"""),FALSE)</f>
        <v>0</v>
      </c>
      <c r="AG494" s="30"/>
      <c r="AH494" s="30" t="str">
        <f ca="1">IFERROR(__xludf.DUMMYFUNCTION("""COMPUTED_VALUE"""),"Sin costo")</f>
        <v>Sin costo</v>
      </c>
      <c r="AI494" s="30"/>
      <c r="AJ494" s="30"/>
      <c r="AK494" s="30"/>
      <c r="AL494" s="30" t="str">
        <f ca="1">IFERROR(__xludf.DUMMYFUNCTION("""COMPUTED_VALUE"""),"ccardonav@guanajuato.gob.mx")</f>
        <v>ccardonav@guanajuato.gob.mx</v>
      </c>
      <c r="AM494" s="30" t="str">
        <f ca="1">IFERROR(__xludf.DUMMYFUNCTION("""COMPUTED_VALUE"""),"Arraigo y empoderamiento cultural de comunidades.")</f>
        <v>Arraigo y empoderamiento cultural de comunidades.</v>
      </c>
      <c r="AN494" s="30" t="str">
        <f ca="1">IFERROR(__xludf.DUMMYFUNCTION("""COMPUTED_VALUE"""),"1 Tranquilidad")</f>
        <v>1 Tranquilidad</v>
      </c>
      <c r="AO494" s="30" t="str">
        <f ca="1">IFERROR(__xludf.DUMMYFUNCTION("""COMPUTED_VALUE"""),"1.2 Fortalecer prevención del delito")</f>
        <v>1.2 Fortalecer prevención del delito</v>
      </c>
      <c r="AP494" s="30" t="str">
        <f ca="1">IFERROR(__xludf.DUMMYFUNCTION("""COMPUTED_VALUE"""),"1.2.2 Fortalecimiento del tejido social")</f>
        <v>1.2.2 Fortalecimiento del tejido social</v>
      </c>
      <c r="AQ494" s="30" t="str">
        <f ca="1">IFERROR(__xludf.DUMMYFUNCTION("""COMPUTED_VALUE"""),"1.2.3.4 Promover una cultura de paz desde las expresiones artísticas y culturales")</f>
        <v>1.2.3.4 Promover una cultura de paz desde las expresiones artísticas y culturales</v>
      </c>
      <c r="AR494" s="30" t="str">
        <f ca="1">IFERROR(__xludf.DUMMYFUNCTION("""COMPUTED_VALUE"""),"Cooperación")</f>
        <v>Cooperación</v>
      </c>
      <c r="AS494" s="30"/>
      <c r="AT494" s="30" t="str">
        <f ca="1">IFERROR(__xludf.DUMMYFUNCTION("""COMPUTED_VALUE"""),"Fortalecimiento de la participación ciudadana y la mediación cultural")</f>
        <v>Fortalecimiento de la participación ciudadana y la mediación cultural</v>
      </c>
      <c r="AU494" s="30" t="str">
        <f ca="1">IFERROR(__xludf.DUMMYFUNCTION("""COMPUTED_VALUE"""),"Impulso a la ampliación de la oferta cultural en los territorios.")</f>
        <v>Impulso a la ampliación de la oferta cultural en los territorios.</v>
      </c>
      <c r="AV49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4" s="30" t="str">
        <f ca="1">IFERROR(__xludf.DUMMYFUNCTION("""COMPUTED_VALUE"""),"Incrementar en 25% la oferta cultural realizada en los municipios.")</f>
        <v>Incrementar en 25% la oferta cultural realizada en los municipios.</v>
      </c>
      <c r="AX494" s="30" t="str">
        <f ca="1">IFERROR(__xludf.DUMMYFUNCTION("""COMPUTED_VALUE"""),"Visitas guiadas")</f>
        <v>Visitas guiadas</v>
      </c>
      <c r="AY494" s="30" t="str">
        <f ca="1">IFERROR(__xludf.DUMMYFUNCTION("""COMPUTED_VALUE"""),"Formación")</f>
        <v>Formación</v>
      </c>
      <c r="AZ494" s="30" t="str">
        <f ca="1">IFERROR(__xludf.DUMMYFUNCTION("""COMPUTED_VALUE"""),"Formación")</f>
        <v>Formación</v>
      </c>
      <c r="BA494" s="30"/>
      <c r="BB494" s="30"/>
      <c r="BC494" s="30">
        <f ca="1">IFERROR(__xludf.DUMMYFUNCTION("""COMPUTED_VALUE"""),0)</f>
        <v>0</v>
      </c>
      <c r="BD494" s="30"/>
      <c r="BE494" s="30"/>
      <c r="BF494" s="30" t="b">
        <f ca="1">IFERROR(__xludf.DUMMYFUNCTION("""COMPUTED_VALUE"""),FALSE)</f>
        <v>0</v>
      </c>
      <c r="BG494" s="30"/>
      <c r="BH494" s="30"/>
      <c r="BI494" s="30"/>
      <c r="BJ494" s="30"/>
      <c r="BK494" s="30"/>
      <c r="BL494" s="30"/>
      <c r="BM494" s="30" t="str">
        <f ca="1">IFERROR(__xludf.DUMMYFUNCTION("""COMPUTED_VALUE"""),"No")</f>
        <v>No</v>
      </c>
      <c r="BN494" s="30"/>
      <c r="BO494" s="30" t="str">
        <f ca="1">IFERROR(__xludf.DUMMYFUNCTION("""COMPUTED_VALUE"""),"5b886de6")</f>
        <v>5b886de6</v>
      </c>
      <c r="BP494" s="29" t="str">
        <f ca="1">IFERROR(__xludf.DUMMYFUNCTION("""COMPUTED_VALUE"""),"Guanajuato")</f>
        <v>Guanajuato</v>
      </c>
      <c r="BQ494" s="30" t="str">
        <f ca="1">IFERROR(__xludf.DUMMYFUNCTION("""COMPUTED_VALUE"""),"Urbano")</f>
        <v>Urbano</v>
      </c>
      <c r="BR494" s="30"/>
      <c r="BS494" s="30"/>
      <c r="BT494" s="30"/>
      <c r="BU494" s="30" t="str">
        <f ca="1">IFERROR(__xludf.DUMMYFUNCTION("""COMPUTED_VALUE"""),"No")</f>
        <v>No</v>
      </c>
      <c r="BV494" s="30" t="str">
        <f ca="1">IFERROR(__xludf.DUMMYFUNCTION("""COMPUTED_VALUE"""),"No")</f>
        <v>No</v>
      </c>
      <c r="BW494" s="30">
        <f ca="1">IFERROR(__xludf.DUMMYFUNCTION("""COMPUTED_VALUE"""),3)</f>
        <v>3</v>
      </c>
      <c r="BX494" s="30"/>
      <c r="BY494" s="30">
        <f ca="1">IFERROR(__xludf.DUMMYFUNCTION("""COMPUTED_VALUE"""),3)</f>
        <v>3</v>
      </c>
      <c r="BZ494" s="30"/>
      <c r="CA494" s="30" t="str">
        <f ca="1">IFERROR(__xludf.DUMMYFUNCTION("""COMPUTED_VALUE"""),"No")</f>
        <v>No</v>
      </c>
      <c r="CB494" s="30" t="str">
        <f ca="1">IFERROR(__xludf.DUMMYFUNCTION("""COMPUTED_VALUE"""),"No")</f>
        <v>No</v>
      </c>
      <c r="CC494" s="30" t="str">
        <f ca="1">IFERROR(__xludf.DUMMYFUNCTION("""COMPUTED_VALUE"""),"0a58801b")</f>
        <v>0a58801b</v>
      </c>
      <c r="CD494" s="29" t="str">
        <f ca="1">IFERROR(__xludf.DUMMYFUNCTION("""COMPUTED_VALUE"""),"Adultos (30 a 59 años)")</f>
        <v>Adultos (30 a 59 años)</v>
      </c>
      <c r="CE494" s="30" t="str">
        <f ca="1">IFERROR(__xludf.DUMMYFUNCTION("""COMPUTED_VALUE"""),"No se cuenta con el dato")</f>
        <v>No se cuenta con el dato</v>
      </c>
      <c r="CF494" s="30" t="str">
        <f ca="1">IFERROR(__xludf.DUMMYFUNCTION("""COMPUTED_VALUE"""),"Ninguno (Población General)")</f>
        <v>Ninguno (Población General)</v>
      </c>
      <c r="CG494" s="30">
        <f ca="1">IFERROR(__xludf.DUMMYFUNCTION("""COMPUTED_VALUE"""),25)</f>
        <v>25</v>
      </c>
      <c r="CJ494" s="29"/>
      <c r="CM494" s="30" t="str">
        <f ca="1">IFERROR(__xludf.DUMMYFUNCTION("""COMPUTED_VALUE"""),"Guanajuato")</f>
        <v>Guanajuato</v>
      </c>
      <c r="CN494" s="32" t="e">
        <f ca="1"/>
        <v>#NAME?</v>
      </c>
      <c r="CO494" s="32" t="e">
        <f ca="1"/>
        <v>#NAME?</v>
      </c>
      <c r="CP494" s="32" t="e">
        <f ca="1"/>
        <v>#NAME?</v>
      </c>
      <c r="CQ494" s="32" t="e">
        <f ca="1"/>
        <v>#NAME?</v>
      </c>
      <c r="CR494" s="30" t="e">
        <f ca="1"/>
        <v>#NAME?</v>
      </c>
      <c r="CS494" s="30" t="str">
        <f ca="1">IFERROR(__xludf.DUMMYFUNCTION("""COMPUTED_VALUE"""),"Ninguno (Población General)")</f>
        <v>Ninguno (Población General)</v>
      </c>
    </row>
    <row r="495" spans="1:97" ht="13">
      <c r="A495" s="29" t="str">
        <f ca="1">IFERROR(__xludf.DUMMYFUNCTION("""COMPUTED_VALUE"""),"ACT-SCDG78924")</f>
        <v>ACT-SCDG78924</v>
      </c>
      <c r="B495" s="30" t="str">
        <f ca="1">IFERROR(__xludf.DUMMYFUNCTION("""COMPUTED_VALUE"""),"SC-261005-144749")</f>
        <v>SC-261005-144749</v>
      </c>
      <c r="C495" s="62">
        <f ca="1">IFERROR(__xludf.DUMMYFUNCTION("""COMPUTED_VALUE"""),46300.6165393518)</f>
        <v>46300.616539351802</v>
      </c>
      <c r="D495" s="30">
        <f ca="1">IFERROR(__xludf.DUMMYFUNCTION("""COMPUTED_VALUE"""),92)</f>
        <v>92</v>
      </c>
      <c r="E495" s="30" t="str">
        <f ca="1">IFERROR(__xludf.DUMMYFUNCTION("""COMPUTED_VALUE"""),"PB3572")</f>
        <v>PB3572</v>
      </c>
      <c r="F49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5" s="30" t="str">
        <f ca="1">IFERROR(__xludf.DUMMYFUNCTION("""COMPUTED_VALUE"""),"SUBSECRETARÍA DE DESARROLLO Y PROMOCIÓN ARTÍSTICA Y CULTURAL")</f>
        <v>SUBSECRETARÍA DE DESARROLLO Y PROMOCIÓN ARTÍSTICA Y CULTURAL</v>
      </c>
      <c r="I495" s="34" t="str">
        <f ca="1">IFERROR(__xludf.DUMMYFUNCTION("""COMPUTED_VALUE"""),"DIRECCIÓN GENERAL DE MUSEOS, ARTES VISUALES Y EXPOSICIONES")</f>
        <v>DIRECCIÓN GENERAL DE MUSEOS, ARTES VISUALES Y EXPOSICIONES</v>
      </c>
      <c r="J495" s="30" t="str">
        <f ca="1">IFERROR(__xludf.DUMMYFUNCTION("""COMPUTED_VALUE"""),"Número de Actividades realizadas")</f>
        <v>Número de Actividades realizadas</v>
      </c>
      <c r="K495" s="30">
        <f ca="1">IFERROR(__xludf.DUMMYFUNCTION("""COMPUTED_VALUE"""),800)</f>
        <v>800</v>
      </c>
      <c r="L495" s="30" t="str">
        <f ca="1">IFERROR(__xludf.DUMMYFUNCTION("""COMPUTED_VALUE"""),"Cultural")</f>
        <v>Cultural</v>
      </c>
      <c r="M495" s="30" t="str">
        <f ca="1">IFERROR(__xludf.DUMMYFUNCTION("""COMPUTED_VALUE"""),"Visita guiada libre.")</f>
        <v>Visita guiada libre.</v>
      </c>
      <c r="N495" s="30" t="str">
        <f ca="1">IFERROR(__xludf.DUMMYFUNCTION("""COMPUTED_VALUE"""),"Recorrido guiado por el museo")</f>
        <v>Recorrido guiado por el museo</v>
      </c>
      <c r="O495" s="30" t="str">
        <f ca="1">IFERROR(__xludf.DUMMYFUNCTION("""COMPUTED_VALUE"""),"Única")</f>
        <v>Única</v>
      </c>
      <c r="P495" s="33">
        <f ca="1">IFERROR(__xludf.DUMMYFUNCTION("""COMPUTED_VALUE"""),46242)</f>
        <v>46242</v>
      </c>
      <c r="Q495" s="33">
        <f ca="1">IFERROR(__xludf.DUMMYFUNCTION("""COMPUTED_VALUE"""),46242)</f>
        <v>46242</v>
      </c>
      <c r="R495" s="30">
        <f ca="1">IFERROR(__xludf.DUMMYFUNCTION("""COMPUTED_VALUE"""),1)</f>
        <v>1</v>
      </c>
      <c r="S495" s="30" t="str">
        <f ca="1">IFERROR(__xludf.DUMMYFUNCTION("""COMPUTED_VALUE"""),"Cultura comunitaria")</f>
        <v>Cultura comunitaria</v>
      </c>
      <c r="T495" s="30" t="str">
        <f ca="1">IFERROR(__xludf.DUMMYFUNCTION("""COMPUTED_VALUE"""),"Formación comunitaria")</f>
        <v>Formación comunitaria</v>
      </c>
      <c r="U495" s="30" t="str">
        <f ca="1">IFERROR(__xludf.DUMMYFUNCTION("""COMPUTED_VALUE"""),"Visitas guiadas")</f>
        <v>Visitas guiadas</v>
      </c>
      <c r="V495" s="30" t="str">
        <f ca="1">IFERROR(__xludf.DUMMYFUNCTION("""COMPUTED_VALUE"""),"Ninguna")</f>
        <v>Ninguna</v>
      </c>
      <c r="W495" s="30" t="str">
        <f ca="1">IFERROR(__xludf.DUMMYFUNCTION("""COMPUTED_VALUE"""),"Presencial")</f>
        <v>Presencial</v>
      </c>
      <c r="X495" s="30" t="str">
        <f ca="1">IFERROR(__xludf.DUMMYFUNCTION("""COMPUTED_VALUE"""),"Espacio a Cargo de la Secretaría")</f>
        <v>Espacio a Cargo de la Secretaría</v>
      </c>
      <c r="Y495" s="30" t="str">
        <f ca="1">IFERROR(__xludf.DUMMYFUNCTION("""COMPUTED_VALUE"""),"Museo de Arte-Olga Costa-José Chávez Morado")</f>
        <v>Museo de Arte-Olga Costa-José Chávez Morado</v>
      </c>
      <c r="Z495" s="30"/>
      <c r="AA495" s="30"/>
      <c r="AB495" s="30" t="b">
        <f ca="1">IFERROR(__xludf.DUMMYFUNCTION("""COMPUTED_VALUE"""),FALSE)</f>
        <v>0</v>
      </c>
      <c r="AC495" s="30"/>
      <c r="AD495" s="30" t="b">
        <f ca="1">IFERROR(__xludf.DUMMYFUNCTION("""COMPUTED_VALUE"""),FALSE)</f>
        <v>0</v>
      </c>
      <c r="AE495" s="30"/>
      <c r="AF495" s="30" t="b">
        <f ca="1">IFERROR(__xludf.DUMMYFUNCTION("""COMPUTED_VALUE"""),FALSE)</f>
        <v>0</v>
      </c>
      <c r="AG495" s="30"/>
      <c r="AH495" s="30" t="str">
        <f ca="1">IFERROR(__xludf.DUMMYFUNCTION("""COMPUTED_VALUE"""),"Sin costo")</f>
        <v>Sin costo</v>
      </c>
      <c r="AI495" s="30"/>
      <c r="AJ495" s="30"/>
      <c r="AK495" s="30"/>
      <c r="AL495" s="30" t="str">
        <f ca="1">IFERROR(__xludf.DUMMYFUNCTION("""COMPUTED_VALUE"""),"ccardonav@guanajuato.gob.mx")</f>
        <v>ccardonav@guanajuato.gob.mx</v>
      </c>
      <c r="AM495" s="30" t="str">
        <f ca="1">IFERROR(__xludf.DUMMYFUNCTION("""COMPUTED_VALUE"""),"Arraigo y empoderamiento cultural de comunidades.")</f>
        <v>Arraigo y empoderamiento cultural de comunidades.</v>
      </c>
      <c r="AN495" s="30" t="str">
        <f ca="1">IFERROR(__xludf.DUMMYFUNCTION("""COMPUTED_VALUE"""),"1 Tranquilidad")</f>
        <v>1 Tranquilidad</v>
      </c>
      <c r="AO495" s="30" t="str">
        <f ca="1">IFERROR(__xludf.DUMMYFUNCTION("""COMPUTED_VALUE"""),"1.2 Fortalecer prevención del delito")</f>
        <v>1.2 Fortalecer prevención del delito</v>
      </c>
      <c r="AP495" s="30" t="str">
        <f ca="1">IFERROR(__xludf.DUMMYFUNCTION("""COMPUTED_VALUE"""),"1.2.2 Fortalecimiento del tejido social")</f>
        <v>1.2.2 Fortalecimiento del tejido social</v>
      </c>
      <c r="AQ495" s="30" t="str">
        <f ca="1">IFERROR(__xludf.DUMMYFUNCTION("""COMPUTED_VALUE"""),"1.2.3.4 Promover una cultura de paz desde las expresiones artísticas y culturales")</f>
        <v>1.2.3.4 Promover una cultura de paz desde las expresiones artísticas y culturales</v>
      </c>
      <c r="AR495" s="30" t="str">
        <f ca="1">IFERROR(__xludf.DUMMYFUNCTION("""COMPUTED_VALUE"""),"Cooperación")</f>
        <v>Cooperación</v>
      </c>
      <c r="AS495" s="30"/>
      <c r="AT495" s="30" t="str">
        <f ca="1">IFERROR(__xludf.DUMMYFUNCTION("""COMPUTED_VALUE"""),"Fortalecimiento de la participación ciudadana y la mediación cultural")</f>
        <v>Fortalecimiento de la participación ciudadana y la mediación cultural</v>
      </c>
      <c r="AU495" s="30" t="str">
        <f ca="1">IFERROR(__xludf.DUMMYFUNCTION("""COMPUTED_VALUE"""),"Impulso a la ampliación de la oferta cultural en los territorios.")</f>
        <v>Impulso a la ampliación de la oferta cultural en los territorios.</v>
      </c>
      <c r="AV49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5" s="30" t="str">
        <f ca="1">IFERROR(__xludf.DUMMYFUNCTION("""COMPUTED_VALUE"""),"Incrementar en 25% la oferta cultural realizada en los municipios.")</f>
        <v>Incrementar en 25% la oferta cultural realizada en los municipios.</v>
      </c>
      <c r="AX495" s="30" t="str">
        <f ca="1">IFERROR(__xludf.DUMMYFUNCTION("""COMPUTED_VALUE"""),"Visitas guiadas")</f>
        <v>Visitas guiadas</v>
      </c>
      <c r="AY495" s="30" t="str">
        <f ca="1">IFERROR(__xludf.DUMMYFUNCTION("""COMPUTED_VALUE"""),"Formación")</f>
        <v>Formación</v>
      </c>
      <c r="AZ495" s="30" t="str">
        <f ca="1">IFERROR(__xludf.DUMMYFUNCTION("""COMPUTED_VALUE"""),"Formación")</f>
        <v>Formación</v>
      </c>
      <c r="BA495" s="30"/>
      <c r="BB495" s="30"/>
      <c r="BC495" s="30">
        <f ca="1">IFERROR(__xludf.DUMMYFUNCTION("""COMPUTED_VALUE"""),0)</f>
        <v>0</v>
      </c>
      <c r="BD495" s="30"/>
      <c r="BE495" s="30"/>
      <c r="BF495" s="30" t="b">
        <f ca="1">IFERROR(__xludf.DUMMYFUNCTION("""COMPUTED_VALUE"""),FALSE)</f>
        <v>0</v>
      </c>
      <c r="BG495" s="30"/>
      <c r="BH495" s="30"/>
      <c r="BI495" s="30"/>
      <c r="BJ495" s="30"/>
      <c r="BK495" s="30"/>
      <c r="BL495" s="30"/>
      <c r="BM495" s="30" t="str">
        <f ca="1">IFERROR(__xludf.DUMMYFUNCTION("""COMPUTED_VALUE"""),"No")</f>
        <v>No</v>
      </c>
      <c r="BN495" s="30"/>
      <c r="BO495" s="30" t="str">
        <f ca="1">IFERROR(__xludf.DUMMYFUNCTION("""COMPUTED_VALUE"""),"0452361e")</f>
        <v>0452361e</v>
      </c>
      <c r="BP495" s="29" t="str">
        <f ca="1">IFERROR(__xludf.DUMMYFUNCTION("""COMPUTED_VALUE"""),"Guanajuato")</f>
        <v>Guanajuato</v>
      </c>
      <c r="BQ495" s="30" t="str">
        <f ca="1">IFERROR(__xludf.DUMMYFUNCTION("""COMPUTED_VALUE"""),"Urbano")</f>
        <v>Urbano</v>
      </c>
      <c r="BR495" s="30"/>
      <c r="BS495" s="30"/>
      <c r="BT495" s="30"/>
      <c r="BU495" s="30" t="str">
        <f ca="1">IFERROR(__xludf.DUMMYFUNCTION("""COMPUTED_VALUE"""),"No")</f>
        <v>No</v>
      </c>
      <c r="BV495" s="30" t="str">
        <f ca="1">IFERROR(__xludf.DUMMYFUNCTION("""COMPUTED_VALUE"""),"No")</f>
        <v>No</v>
      </c>
      <c r="BW495" s="30">
        <f ca="1">IFERROR(__xludf.DUMMYFUNCTION("""COMPUTED_VALUE"""),2)</f>
        <v>2</v>
      </c>
      <c r="BX495" s="30"/>
      <c r="BY495" s="30">
        <f ca="1">IFERROR(__xludf.DUMMYFUNCTION("""COMPUTED_VALUE"""),2)</f>
        <v>2</v>
      </c>
      <c r="BZ495" s="30"/>
      <c r="CA495" s="30" t="str">
        <f ca="1">IFERROR(__xludf.DUMMYFUNCTION("""COMPUTED_VALUE"""),"No")</f>
        <v>No</v>
      </c>
      <c r="CB495" s="30" t="str">
        <f ca="1">IFERROR(__xludf.DUMMYFUNCTION("""COMPUTED_VALUE"""),"No")</f>
        <v>No</v>
      </c>
      <c r="CC495" s="30" t="str">
        <f ca="1">IFERROR(__xludf.DUMMYFUNCTION("""COMPUTED_VALUE"""),"50258eb5")</f>
        <v>50258eb5</v>
      </c>
      <c r="CD495" s="29" t="str">
        <f ca="1">IFERROR(__xludf.DUMMYFUNCTION("""COMPUTED_VALUE"""),"Adultos Mayores (60 años o más)")</f>
        <v>Adultos Mayores (60 años o más)</v>
      </c>
      <c r="CE495" s="30" t="str">
        <f ca="1">IFERROR(__xludf.DUMMYFUNCTION("""COMPUTED_VALUE"""),"No se cuenta con el dato")</f>
        <v>No se cuenta con el dato</v>
      </c>
      <c r="CF495" s="30" t="str">
        <f ca="1">IFERROR(__xludf.DUMMYFUNCTION("""COMPUTED_VALUE"""),"Ninguno (Población General)")</f>
        <v>Ninguno (Población General)</v>
      </c>
      <c r="CG495" s="30">
        <f ca="1">IFERROR(__xludf.DUMMYFUNCTION("""COMPUTED_VALUE"""),25)</f>
        <v>25</v>
      </c>
      <c r="CJ495" s="29"/>
      <c r="CM495" s="30" t="str">
        <f ca="1">IFERROR(__xludf.DUMMYFUNCTION("""COMPUTED_VALUE"""),"Guanajuato")</f>
        <v>Guanajuato</v>
      </c>
      <c r="CN495" s="32" t="e">
        <f ca="1"/>
        <v>#NAME?</v>
      </c>
      <c r="CO495" s="32" t="e">
        <f ca="1"/>
        <v>#NAME?</v>
      </c>
      <c r="CP495" s="32" t="e">
        <f ca="1"/>
        <v>#NAME?</v>
      </c>
      <c r="CQ495" s="32" t="e">
        <f ca="1"/>
        <v>#NAME?</v>
      </c>
      <c r="CR495" s="30" t="e">
        <f ca="1"/>
        <v>#NAME?</v>
      </c>
      <c r="CS495" s="30" t="str">
        <f ca="1">IFERROR(__xludf.DUMMYFUNCTION("""COMPUTED_VALUE"""),"Ninguno (Población General)")</f>
        <v>Ninguno (Población General)</v>
      </c>
    </row>
    <row r="496" spans="1:97" ht="13">
      <c r="A496" s="29" t="str">
        <f ca="1">IFERROR(__xludf.DUMMYFUNCTION("""COMPUTED_VALUE"""),"ACT-SCVX90182")</f>
        <v>ACT-SCVX90182</v>
      </c>
      <c r="B496" s="30" t="str">
        <f ca="1">IFERROR(__xludf.DUMMYFUNCTION("""COMPUTED_VALUE"""),"SC-261005-144959")</f>
        <v>SC-261005-144959</v>
      </c>
      <c r="C496" s="62">
        <f ca="1">IFERROR(__xludf.DUMMYFUNCTION("""COMPUTED_VALUE"""),46300.6180439814)</f>
        <v>46300.618043981398</v>
      </c>
      <c r="D496" s="30">
        <f ca="1">IFERROR(__xludf.DUMMYFUNCTION("""COMPUTED_VALUE"""),92)</f>
        <v>92</v>
      </c>
      <c r="E496" s="30" t="str">
        <f ca="1">IFERROR(__xludf.DUMMYFUNCTION("""COMPUTED_VALUE"""),"PB3572")</f>
        <v>PB3572</v>
      </c>
      <c r="F49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6" s="30" t="str">
        <f ca="1">IFERROR(__xludf.DUMMYFUNCTION("""COMPUTED_VALUE"""),"SUBSECRETARÍA DE DESARROLLO Y PROMOCIÓN ARTÍSTICA Y CULTURAL")</f>
        <v>SUBSECRETARÍA DE DESARROLLO Y PROMOCIÓN ARTÍSTICA Y CULTURAL</v>
      </c>
      <c r="I496" s="34" t="str">
        <f ca="1">IFERROR(__xludf.DUMMYFUNCTION("""COMPUTED_VALUE"""),"DIRECCIÓN GENERAL DE MUSEOS, ARTES VISUALES Y EXPOSICIONES")</f>
        <v>DIRECCIÓN GENERAL DE MUSEOS, ARTES VISUALES Y EXPOSICIONES</v>
      </c>
      <c r="J496" s="30" t="str">
        <f ca="1">IFERROR(__xludf.DUMMYFUNCTION("""COMPUTED_VALUE"""),"Número de Actividades realizadas")</f>
        <v>Número de Actividades realizadas</v>
      </c>
      <c r="K496" s="30">
        <f ca="1">IFERROR(__xludf.DUMMYFUNCTION("""COMPUTED_VALUE"""),800)</f>
        <v>800</v>
      </c>
      <c r="L496" s="30" t="str">
        <f ca="1">IFERROR(__xludf.DUMMYFUNCTION("""COMPUTED_VALUE"""),"Cultural")</f>
        <v>Cultural</v>
      </c>
      <c r="M496" s="30" t="str">
        <f ca="1">IFERROR(__xludf.DUMMYFUNCTION("""COMPUTED_VALUE"""),"Visita guiada libre.")</f>
        <v>Visita guiada libre.</v>
      </c>
      <c r="N496" s="30" t="str">
        <f ca="1">IFERROR(__xludf.DUMMYFUNCTION("""COMPUTED_VALUE"""),"Recorrido guiado por el museo")</f>
        <v>Recorrido guiado por el museo</v>
      </c>
      <c r="O496" s="30" t="str">
        <f ca="1">IFERROR(__xludf.DUMMYFUNCTION("""COMPUTED_VALUE"""),"Única")</f>
        <v>Única</v>
      </c>
      <c r="P496" s="33">
        <f ca="1">IFERROR(__xludf.DUMMYFUNCTION("""COMPUTED_VALUE"""),46242)</f>
        <v>46242</v>
      </c>
      <c r="Q496" s="33">
        <f ca="1">IFERROR(__xludf.DUMMYFUNCTION("""COMPUTED_VALUE"""),46242)</f>
        <v>46242</v>
      </c>
      <c r="R496" s="30">
        <f ca="1">IFERROR(__xludf.DUMMYFUNCTION("""COMPUTED_VALUE"""),1)</f>
        <v>1</v>
      </c>
      <c r="S496" s="30" t="str">
        <f ca="1">IFERROR(__xludf.DUMMYFUNCTION("""COMPUTED_VALUE"""),"Cultura comunitaria")</f>
        <v>Cultura comunitaria</v>
      </c>
      <c r="T496" s="30" t="str">
        <f ca="1">IFERROR(__xludf.DUMMYFUNCTION("""COMPUTED_VALUE"""),"Formación comunitaria")</f>
        <v>Formación comunitaria</v>
      </c>
      <c r="U496" s="30" t="str">
        <f ca="1">IFERROR(__xludf.DUMMYFUNCTION("""COMPUTED_VALUE"""),"Visitas guiadas")</f>
        <v>Visitas guiadas</v>
      </c>
      <c r="V496" s="30" t="str">
        <f ca="1">IFERROR(__xludf.DUMMYFUNCTION("""COMPUTED_VALUE"""),"Ninguna")</f>
        <v>Ninguna</v>
      </c>
      <c r="W496" s="30" t="str">
        <f ca="1">IFERROR(__xludf.DUMMYFUNCTION("""COMPUTED_VALUE"""),"Presencial")</f>
        <v>Presencial</v>
      </c>
      <c r="X496" s="30" t="str">
        <f ca="1">IFERROR(__xludf.DUMMYFUNCTION("""COMPUTED_VALUE"""),"Espacio a Cargo de la Secretaría")</f>
        <v>Espacio a Cargo de la Secretaría</v>
      </c>
      <c r="Y496" s="30" t="str">
        <f ca="1">IFERROR(__xludf.DUMMYFUNCTION("""COMPUTED_VALUE"""),"Museo de Arte-Olga Costa-José Chávez Morado")</f>
        <v>Museo de Arte-Olga Costa-José Chávez Morado</v>
      </c>
      <c r="Z496" s="30"/>
      <c r="AA496" s="30"/>
      <c r="AB496" s="30" t="b">
        <f ca="1">IFERROR(__xludf.DUMMYFUNCTION("""COMPUTED_VALUE"""),FALSE)</f>
        <v>0</v>
      </c>
      <c r="AC496" s="30"/>
      <c r="AD496" s="30" t="b">
        <f ca="1">IFERROR(__xludf.DUMMYFUNCTION("""COMPUTED_VALUE"""),FALSE)</f>
        <v>0</v>
      </c>
      <c r="AE496" s="30"/>
      <c r="AF496" s="30" t="b">
        <f ca="1">IFERROR(__xludf.DUMMYFUNCTION("""COMPUTED_VALUE"""),FALSE)</f>
        <v>0</v>
      </c>
      <c r="AG496" s="30"/>
      <c r="AH496" s="30" t="str">
        <f ca="1">IFERROR(__xludf.DUMMYFUNCTION("""COMPUTED_VALUE"""),"Sin costo")</f>
        <v>Sin costo</v>
      </c>
      <c r="AI496" s="30"/>
      <c r="AJ496" s="30"/>
      <c r="AK496" s="30"/>
      <c r="AL496" s="30" t="str">
        <f ca="1">IFERROR(__xludf.DUMMYFUNCTION("""COMPUTED_VALUE"""),"ccardonav@guanajuato.gob.mx")</f>
        <v>ccardonav@guanajuato.gob.mx</v>
      </c>
      <c r="AM496" s="30" t="str">
        <f ca="1">IFERROR(__xludf.DUMMYFUNCTION("""COMPUTED_VALUE"""),"Arraigo y empoderamiento cultural de comunidades.")</f>
        <v>Arraigo y empoderamiento cultural de comunidades.</v>
      </c>
      <c r="AN496" s="30" t="str">
        <f ca="1">IFERROR(__xludf.DUMMYFUNCTION("""COMPUTED_VALUE"""),"1 Tranquilidad")</f>
        <v>1 Tranquilidad</v>
      </c>
      <c r="AO496" s="30" t="str">
        <f ca="1">IFERROR(__xludf.DUMMYFUNCTION("""COMPUTED_VALUE"""),"1.2 Fortalecer prevención del delito")</f>
        <v>1.2 Fortalecer prevención del delito</v>
      </c>
      <c r="AP496" s="30" t="str">
        <f ca="1">IFERROR(__xludf.DUMMYFUNCTION("""COMPUTED_VALUE"""),"1.2.2 Fortalecimiento del tejido social")</f>
        <v>1.2.2 Fortalecimiento del tejido social</v>
      </c>
      <c r="AQ496" s="30" t="str">
        <f ca="1">IFERROR(__xludf.DUMMYFUNCTION("""COMPUTED_VALUE"""),"1.2.3.4 Promover una cultura de paz desde las expresiones artísticas y culturales")</f>
        <v>1.2.3.4 Promover una cultura de paz desde las expresiones artísticas y culturales</v>
      </c>
      <c r="AR496" s="30" t="str">
        <f ca="1">IFERROR(__xludf.DUMMYFUNCTION("""COMPUTED_VALUE"""),"Cooperación")</f>
        <v>Cooperación</v>
      </c>
      <c r="AS496" s="30"/>
      <c r="AT496" s="30" t="str">
        <f ca="1">IFERROR(__xludf.DUMMYFUNCTION("""COMPUTED_VALUE"""),"Fortalecimiento de la participación ciudadana y la mediación cultural")</f>
        <v>Fortalecimiento de la participación ciudadana y la mediación cultural</v>
      </c>
      <c r="AU496" s="30" t="str">
        <f ca="1">IFERROR(__xludf.DUMMYFUNCTION("""COMPUTED_VALUE"""),"Impulso a la ampliación de la oferta cultural en los territorios.")</f>
        <v>Impulso a la ampliación de la oferta cultural en los territorios.</v>
      </c>
      <c r="AV49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6" s="30" t="str">
        <f ca="1">IFERROR(__xludf.DUMMYFUNCTION("""COMPUTED_VALUE"""),"Incrementar en 25% la oferta cultural realizada en los municipios.")</f>
        <v>Incrementar en 25% la oferta cultural realizada en los municipios.</v>
      </c>
      <c r="AX496" s="30" t="str">
        <f ca="1">IFERROR(__xludf.DUMMYFUNCTION("""COMPUTED_VALUE"""),"Visitas guiadas")</f>
        <v>Visitas guiadas</v>
      </c>
      <c r="AY496" s="30" t="str">
        <f ca="1">IFERROR(__xludf.DUMMYFUNCTION("""COMPUTED_VALUE"""),"Formación")</f>
        <v>Formación</v>
      </c>
      <c r="AZ496" s="30" t="str">
        <f ca="1">IFERROR(__xludf.DUMMYFUNCTION("""COMPUTED_VALUE"""),"Formación")</f>
        <v>Formación</v>
      </c>
      <c r="BA496" s="30"/>
      <c r="BB496" s="30"/>
      <c r="BC496" s="30">
        <f ca="1">IFERROR(__xludf.DUMMYFUNCTION("""COMPUTED_VALUE"""),0)</f>
        <v>0</v>
      </c>
      <c r="BD496" s="30"/>
      <c r="BE496" s="30"/>
      <c r="BF496" s="30" t="b">
        <f ca="1">IFERROR(__xludf.DUMMYFUNCTION("""COMPUTED_VALUE"""),FALSE)</f>
        <v>0</v>
      </c>
      <c r="BG496" s="30"/>
      <c r="BH496" s="30"/>
      <c r="BI496" s="30"/>
      <c r="BJ496" s="30"/>
      <c r="BK496" s="30"/>
      <c r="BL496" s="30"/>
      <c r="BM496" s="30" t="str">
        <f ca="1">IFERROR(__xludf.DUMMYFUNCTION("""COMPUTED_VALUE"""),"No")</f>
        <v>No</v>
      </c>
      <c r="BN496" s="30"/>
      <c r="BO496" s="30" t="str">
        <f ca="1">IFERROR(__xludf.DUMMYFUNCTION("""COMPUTED_VALUE"""),"a19059ab")</f>
        <v>a19059ab</v>
      </c>
      <c r="BP496" s="29" t="str">
        <f ca="1">IFERROR(__xludf.DUMMYFUNCTION("""COMPUTED_VALUE"""),"Guanajuato")</f>
        <v>Guanajuato</v>
      </c>
      <c r="BQ496" s="30" t="str">
        <f ca="1">IFERROR(__xludf.DUMMYFUNCTION("""COMPUTED_VALUE"""),"Urbano")</f>
        <v>Urbano</v>
      </c>
      <c r="BR496" s="30"/>
      <c r="BS496" s="30"/>
      <c r="BT496" s="30"/>
      <c r="BU496" s="30" t="str">
        <f ca="1">IFERROR(__xludf.DUMMYFUNCTION("""COMPUTED_VALUE"""),"No")</f>
        <v>No</v>
      </c>
      <c r="BV496" s="30" t="str">
        <f ca="1">IFERROR(__xludf.DUMMYFUNCTION("""COMPUTED_VALUE"""),"No")</f>
        <v>No</v>
      </c>
      <c r="BW496" s="30">
        <f ca="1">IFERROR(__xludf.DUMMYFUNCTION("""COMPUTED_VALUE"""),2)</f>
        <v>2</v>
      </c>
      <c r="BX496" s="30"/>
      <c r="BY496" s="30">
        <f ca="1">IFERROR(__xludf.DUMMYFUNCTION("""COMPUTED_VALUE"""),2)</f>
        <v>2</v>
      </c>
      <c r="BZ496" s="30"/>
      <c r="CA496" s="30" t="str">
        <f ca="1">IFERROR(__xludf.DUMMYFUNCTION("""COMPUTED_VALUE"""),"No")</f>
        <v>No</v>
      </c>
      <c r="CB496" s="30" t="str">
        <f ca="1">IFERROR(__xludf.DUMMYFUNCTION("""COMPUTED_VALUE"""),"No")</f>
        <v>No</v>
      </c>
      <c r="CC496" s="30" t="str">
        <f ca="1">IFERROR(__xludf.DUMMYFUNCTION("""COMPUTED_VALUE"""),"4ef612d0")</f>
        <v>4ef612d0</v>
      </c>
      <c r="CD496" s="29" t="str">
        <f ca="1">IFERROR(__xludf.DUMMYFUNCTION("""COMPUTED_VALUE"""),"Adultos Mayores (60 años o más)")</f>
        <v>Adultos Mayores (60 años o más)</v>
      </c>
      <c r="CE496" s="30" t="str">
        <f ca="1">IFERROR(__xludf.DUMMYFUNCTION("""COMPUTED_VALUE"""),"No se cuenta con el dato")</f>
        <v>No se cuenta con el dato</v>
      </c>
      <c r="CF496" s="30" t="str">
        <f ca="1">IFERROR(__xludf.DUMMYFUNCTION("""COMPUTED_VALUE"""),"Ninguno (Población General)")</f>
        <v>Ninguno (Población General)</v>
      </c>
      <c r="CG496" s="30">
        <f ca="1">IFERROR(__xludf.DUMMYFUNCTION("""COMPUTED_VALUE"""),11)</f>
        <v>11</v>
      </c>
      <c r="CJ496" s="29"/>
      <c r="CM496" s="30" t="str">
        <f ca="1">IFERROR(__xludf.DUMMYFUNCTION("""COMPUTED_VALUE"""),"Guanajuato")</f>
        <v>Guanajuato</v>
      </c>
      <c r="CN496" s="32" t="e">
        <f ca="1"/>
        <v>#NAME?</v>
      </c>
      <c r="CO496" s="32" t="e">
        <f ca="1"/>
        <v>#NAME?</v>
      </c>
      <c r="CP496" s="32" t="e">
        <f ca="1"/>
        <v>#NAME?</v>
      </c>
      <c r="CQ496" s="32" t="e">
        <f ca="1"/>
        <v>#NAME?</v>
      </c>
      <c r="CR496" s="30" t="e">
        <f ca="1"/>
        <v>#NAME?</v>
      </c>
      <c r="CS496" s="30" t="str">
        <f ca="1">IFERROR(__xludf.DUMMYFUNCTION("""COMPUTED_VALUE"""),"Ninguno (Población General)")</f>
        <v>Ninguno (Población General)</v>
      </c>
    </row>
    <row r="497" spans="1:97" ht="13">
      <c r="A497" s="29" t="str">
        <f ca="1">IFERROR(__xludf.DUMMYFUNCTION("""COMPUTED_VALUE"""),"ACT-SCIR07558")</f>
        <v>ACT-SCIR07558</v>
      </c>
      <c r="B497" s="30" t="str">
        <f ca="1">IFERROR(__xludf.DUMMYFUNCTION("""COMPUTED_VALUE"""),"SC-261005-150404")</f>
        <v>SC-261005-150404</v>
      </c>
      <c r="C497" s="62">
        <f ca="1">IFERROR(__xludf.DUMMYFUNCTION("""COMPUTED_VALUE"""),46300.627824074)</f>
        <v>46300.627824073999</v>
      </c>
      <c r="D497" s="30">
        <f ca="1">IFERROR(__xludf.DUMMYFUNCTION("""COMPUTED_VALUE"""),92)</f>
        <v>92</v>
      </c>
      <c r="E497" s="30" t="str">
        <f ca="1">IFERROR(__xludf.DUMMYFUNCTION("""COMPUTED_VALUE"""),"PB3572")</f>
        <v>PB3572</v>
      </c>
      <c r="F49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7" s="30" t="str">
        <f ca="1">IFERROR(__xludf.DUMMYFUNCTION("""COMPUTED_VALUE"""),"SUBSECRETARÍA DE DESARROLLO Y PROMOCIÓN ARTÍSTICA Y CULTURAL")</f>
        <v>SUBSECRETARÍA DE DESARROLLO Y PROMOCIÓN ARTÍSTICA Y CULTURAL</v>
      </c>
      <c r="I497" s="34" t="str">
        <f ca="1">IFERROR(__xludf.DUMMYFUNCTION("""COMPUTED_VALUE"""),"DIRECCIÓN GENERAL DE MUSEOS, ARTES VISUALES Y EXPOSICIONES")</f>
        <v>DIRECCIÓN GENERAL DE MUSEOS, ARTES VISUALES Y EXPOSICIONES</v>
      </c>
      <c r="J497" s="30" t="str">
        <f ca="1">IFERROR(__xludf.DUMMYFUNCTION("""COMPUTED_VALUE"""),"Número de Actividades realizadas")</f>
        <v>Número de Actividades realizadas</v>
      </c>
      <c r="K497" s="30">
        <f ca="1">IFERROR(__xludf.DUMMYFUNCTION("""COMPUTED_VALUE"""),800)</f>
        <v>800</v>
      </c>
      <c r="L497" s="30" t="str">
        <f ca="1">IFERROR(__xludf.DUMMYFUNCTION("""COMPUTED_VALUE"""),"Cultural")</f>
        <v>Cultural</v>
      </c>
      <c r="M497" s="30" t="str">
        <f ca="1">IFERROR(__xludf.DUMMYFUNCTION("""COMPUTED_VALUE"""),"Visita guiada libre.")</f>
        <v>Visita guiada libre.</v>
      </c>
      <c r="N497" s="30" t="str">
        <f ca="1">IFERROR(__xludf.DUMMYFUNCTION("""COMPUTED_VALUE"""),"Recorrido guiado por el museo")</f>
        <v>Recorrido guiado por el museo</v>
      </c>
      <c r="O497" s="30" t="str">
        <f ca="1">IFERROR(__xludf.DUMMYFUNCTION("""COMPUTED_VALUE"""),"Única")</f>
        <v>Única</v>
      </c>
      <c r="P497" s="33">
        <f ca="1">IFERROR(__xludf.DUMMYFUNCTION("""COMPUTED_VALUE"""),46247)</f>
        <v>46247</v>
      </c>
      <c r="Q497" s="33">
        <f ca="1">IFERROR(__xludf.DUMMYFUNCTION("""COMPUTED_VALUE"""),46247)</f>
        <v>46247</v>
      </c>
      <c r="R497" s="30">
        <f ca="1">IFERROR(__xludf.DUMMYFUNCTION("""COMPUTED_VALUE"""),1)</f>
        <v>1</v>
      </c>
      <c r="S497" s="30" t="str">
        <f ca="1">IFERROR(__xludf.DUMMYFUNCTION("""COMPUTED_VALUE"""),"Cultura comunitaria")</f>
        <v>Cultura comunitaria</v>
      </c>
      <c r="T497" s="30" t="str">
        <f ca="1">IFERROR(__xludf.DUMMYFUNCTION("""COMPUTED_VALUE"""),"Formación comunitaria")</f>
        <v>Formación comunitaria</v>
      </c>
      <c r="U497" s="30" t="str">
        <f ca="1">IFERROR(__xludf.DUMMYFUNCTION("""COMPUTED_VALUE"""),"Visitas guiadas")</f>
        <v>Visitas guiadas</v>
      </c>
      <c r="V497" s="30" t="str">
        <f ca="1">IFERROR(__xludf.DUMMYFUNCTION("""COMPUTED_VALUE"""),"Ninguna")</f>
        <v>Ninguna</v>
      </c>
      <c r="W497" s="30" t="str">
        <f ca="1">IFERROR(__xludf.DUMMYFUNCTION("""COMPUTED_VALUE"""),"Presencial")</f>
        <v>Presencial</v>
      </c>
      <c r="X497" s="30" t="str">
        <f ca="1">IFERROR(__xludf.DUMMYFUNCTION("""COMPUTED_VALUE"""),"Espacio a Cargo de la Secretaría")</f>
        <v>Espacio a Cargo de la Secretaría</v>
      </c>
      <c r="Y497" s="30" t="str">
        <f ca="1">IFERROR(__xludf.DUMMYFUNCTION("""COMPUTED_VALUE"""),"Museo de Arte-Olga Costa-José Chávez Morado")</f>
        <v>Museo de Arte-Olga Costa-José Chávez Morado</v>
      </c>
      <c r="Z497" s="30"/>
      <c r="AA497" s="30"/>
      <c r="AB497" s="30" t="b">
        <f ca="1">IFERROR(__xludf.DUMMYFUNCTION("""COMPUTED_VALUE"""),FALSE)</f>
        <v>0</v>
      </c>
      <c r="AC497" s="30"/>
      <c r="AD497" s="30" t="b">
        <f ca="1">IFERROR(__xludf.DUMMYFUNCTION("""COMPUTED_VALUE"""),FALSE)</f>
        <v>0</v>
      </c>
      <c r="AE497" s="30"/>
      <c r="AF497" s="30" t="b">
        <f ca="1">IFERROR(__xludf.DUMMYFUNCTION("""COMPUTED_VALUE"""),FALSE)</f>
        <v>0</v>
      </c>
      <c r="AG497" s="30"/>
      <c r="AH497" s="30" t="str">
        <f ca="1">IFERROR(__xludf.DUMMYFUNCTION("""COMPUTED_VALUE"""),"Sin costo")</f>
        <v>Sin costo</v>
      </c>
      <c r="AI497" s="30"/>
      <c r="AJ497" s="30"/>
      <c r="AK497" s="30"/>
      <c r="AL497" s="30" t="str">
        <f ca="1">IFERROR(__xludf.DUMMYFUNCTION("""COMPUTED_VALUE"""),"ccardonav@guanajuato.gob.mx")</f>
        <v>ccardonav@guanajuato.gob.mx</v>
      </c>
      <c r="AM497" s="30" t="str">
        <f ca="1">IFERROR(__xludf.DUMMYFUNCTION("""COMPUTED_VALUE"""),"Arraigo y empoderamiento cultural de comunidades.")</f>
        <v>Arraigo y empoderamiento cultural de comunidades.</v>
      </c>
      <c r="AN497" s="30" t="str">
        <f ca="1">IFERROR(__xludf.DUMMYFUNCTION("""COMPUTED_VALUE"""),"1 Tranquilidad")</f>
        <v>1 Tranquilidad</v>
      </c>
      <c r="AO497" s="30" t="str">
        <f ca="1">IFERROR(__xludf.DUMMYFUNCTION("""COMPUTED_VALUE"""),"1.2 Fortalecer prevención del delito")</f>
        <v>1.2 Fortalecer prevención del delito</v>
      </c>
      <c r="AP497" s="30" t="str">
        <f ca="1">IFERROR(__xludf.DUMMYFUNCTION("""COMPUTED_VALUE"""),"1.2.2 Fortalecimiento del tejido social")</f>
        <v>1.2.2 Fortalecimiento del tejido social</v>
      </c>
      <c r="AQ497" s="30" t="str">
        <f ca="1">IFERROR(__xludf.DUMMYFUNCTION("""COMPUTED_VALUE"""),"1.2.3.4 Promover una cultura de paz desde las expresiones artísticas y culturales")</f>
        <v>1.2.3.4 Promover una cultura de paz desde las expresiones artísticas y culturales</v>
      </c>
      <c r="AR497" s="30" t="str">
        <f ca="1">IFERROR(__xludf.DUMMYFUNCTION("""COMPUTED_VALUE"""),"Cooperación")</f>
        <v>Cooperación</v>
      </c>
      <c r="AS497" s="30"/>
      <c r="AT497" s="30" t="str">
        <f ca="1">IFERROR(__xludf.DUMMYFUNCTION("""COMPUTED_VALUE"""),"Fortalecimiento de la participación ciudadana y la mediación cultural")</f>
        <v>Fortalecimiento de la participación ciudadana y la mediación cultural</v>
      </c>
      <c r="AU497" s="30" t="str">
        <f ca="1">IFERROR(__xludf.DUMMYFUNCTION("""COMPUTED_VALUE"""),"Impulso a la ampliación de la oferta cultural en los territorios.")</f>
        <v>Impulso a la ampliación de la oferta cultural en los territorios.</v>
      </c>
      <c r="AV49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7" s="30" t="str">
        <f ca="1">IFERROR(__xludf.DUMMYFUNCTION("""COMPUTED_VALUE"""),"Incrementar en 25% la oferta cultural realizada en los municipios.")</f>
        <v>Incrementar en 25% la oferta cultural realizada en los municipios.</v>
      </c>
      <c r="AX497" s="30" t="str">
        <f ca="1">IFERROR(__xludf.DUMMYFUNCTION("""COMPUTED_VALUE"""),"Visitas guiadas")</f>
        <v>Visitas guiadas</v>
      </c>
      <c r="AY497" s="30" t="str">
        <f ca="1">IFERROR(__xludf.DUMMYFUNCTION("""COMPUTED_VALUE"""),"Formación")</f>
        <v>Formación</v>
      </c>
      <c r="AZ497" s="30" t="str">
        <f ca="1">IFERROR(__xludf.DUMMYFUNCTION("""COMPUTED_VALUE"""),"Formación")</f>
        <v>Formación</v>
      </c>
      <c r="BA497" s="30"/>
      <c r="BB497" s="30"/>
      <c r="BC497" s="30">
        <f ca="1">IFERROR(__xludf.DUMMYFUNCTION("""COMPUTED_VALUE"""),0)</f>
        <v>0</v>
      </c>
      <c r="BD497" s="30"/>
      <c r="BE497" s="30"/>
      <c r="BF497" s="30" t="b">
        <f ca="1">IFERROR(__xludf.DUMMYFUNCTION("""COMPUTED_VALUE"""),FALSE)</f>
        <v>0</v>
      </c>
      <c r="BG497" s="30"/>
      <c r="BH497" s="30"/>
      <c r="BI497" s="30"/>
      <c r="BJ497" s="30"/>
      <c r="BK497" s="30"/>
      <c r="BL497" s="30"/>
      <c r="BM497" s="30" t="str">
        <f ca="1">IFERROR(__xludf.DUMMYFUNCTION("""COMPUTED_VALUE"""),"No")</f>
        <v>No</v>
      </c>
      <c r="BN497" s="30"/>
      <c r="BO497" s="30" t="str">
        <f ca="1">IFERROR(__xludf.DUMMYFUNCTION("""COMPUTED_VALUE"""),"850eb029")</f>
        <v>850eb029</v>
      </c>
      <c r="BP497" s="29" t="str">
        <f ca="1">IFERROR(__xludf.DUMMYFUNCTION("""COMPUTED_VALUE"""),"Guanajuato")</f>
        <v>Guanajuato</v>
      </c>
      <c r="BQ497" s="30" t="str">
        <f ca="1">IFERROR(__xludf.DUMMYFUNCTION("""COMPUTED_VALUE"""),"Urbano")</f>
        <v>Urbano</v>
      </c>
      <c r="BR497" s="30"/>
      <c r="BS497" s="30"/>
      <c r="BT497" s="30"/>
      <c r="BU497" s="30" t="str">
        <f ca="1">IFERROR(__xludf.DUMMYFUNCTION("""COMPUTED_VALUE"""),"No")</f>
        <v>No</v>
      </c>
      <c r="BV497" s="30" t="str">
        <f ca="1">IFERROR(__xludf.DUMMYFUNCTION("""COMPUTED_VALUE"""),"No")</f>
        <v>No</v>
      </c>
      <c r="BW497" s="30">
        <f ca="1">IFERROR(__xludf.DUMMYFUNCTION("""COMPUTED_VALUE"""),7)</f>
        <v>7</v>
      </c>
      <c r="BX497" s="30"/>
      <c r="BY497" s="30">
        <f ca="1">IFERROR(__xludf.DUMMYFUNCTION("""COMPUTED_VALUE"""),7)</f>
        <v>7</v>
      </c>
      <c r="BZ497" s="30"/>
      <c r="CA497" s="30" t="str">
        <f ca="1">IFERROR(__xludf.DUMMYFUNCTION("""COMPUTED_VALUE"""),"No")</f>
        <v>No</v>
      </c>
      <c r="CB497" s="30" t="str">
        <f ca="1">IFERROR(__xludf.DUMMYFUNCTION("""COMPUTED_VALUE"""),"No")</f>
        <v>No</v>
      </c>
      <c r="CC497" s="30" t="str">
        <f ca="1">IFERROR(__xludf.DUMMYFUNCTION("""COMPUTED_VALUE"""),"ae330877")</f>
        <v>ae330877</v>
      </c>
      <c r="CD497" s="29" t="str">
        <f ca="1">IFERROR(__xludf.DUMMYFUNCTION("""COMPUTED_VALUE"""),"Adultos (30 a 59 años)")</f>
        <v>Adultos (30 a 59 años)</v>
      </c>
      <c r="CE497" s="30" t="str">
        <f ca="1">IFERROR(__xludf.DUMMYFUNCTION("""COMPUTED_VALUE"""),"No se cuenta con el dato")</f>
        <v>No se cuenta con el dato</v>
      </c>
      <c r="CF497" s="30" t="str">
        <f ca="1">IFERROR(__xludf.DUMMYFUNCTION("""COMPUTED_VALUE"""),"Ninguno (Población General)")</f>
        <v>Ninguno (Población General)</v>
      </c>
      <c r="CG497" s="30">
        <f ca="1">IFERROR(__xludf.DUMMYFUNCTION("""COMPUTED_VALUE"""),10)</f>
        <v>10</v>
      </c>
      <c r="CJ497" s="29"/>
      <c r="CM497" s="30" t="str">
        <f ca="1">IFERROR(__xludf.DUMMYFUNCTION("""COMPUTED_VALUE"""),"Guanajuato")</f>
        <v>Guanajuato</v>
      </c>
      <c r="CN497" s="32" t="e">
        <f ca="1"/>
        <v>#NAME?</v>
      </c>
      <c r="CO497" s="32" t="e">
        <f ca="1"/>
        <v>#NAME?</v>
      </c>
      <c r="CP497" s="32" t="e">
        <f ca="1"/>
        <v>#NAME?</v>
      </c>
      <c r="CQ497" s="32" t="e">
        <f ca="1"/>
        <v>#NAME?</v>
      </c>
      <c r="CR497" s="30" t="e">
        <f ca="1"/>
        <v>#NAME?</v>
      </c>
      <c r="CS497" s="30" t="str">
        <f ca="1">IFERROR(__xludf.DUMMYFUNCTION("""COMPUTED_VALUE"""),"Ninguno (Población General)")</f>
        <v>Ninguno (Población General)</v>
      </c>
    </row>
    <row r="498" spans="1:97" ht="13">
      <c r="A498" s="29" t="str">
        <f ca="1">IFERROR(__xludf.DUMMYFUNCTION("""COMPUTED_VALUE"""),"ACT-SCFR24702")</f>
        <v>ACT-SCFR24702</v>
      </c>
      <c r="B498" s="30" t="str">
        <f ca="1">IFERROR(__xludf.DUMMYFUNCTION("""COMPUTED_VALUE"""),"SC-261005-150558")</f>
        <v>SC-261005-150558</v>
      </c>
      <c r="C498" s="62">
        <f ca="1">IFERROR(__xludf.DUMMYFUNCTION("""COMPUTED_VALUE"""),46300.6291435185)</f>
        <v>46300.629143518498</v>
      </c>
      <c r="D498" s="30">
        <f ca="1">IFERROR(__xludf.DUMMYFUNCTION("""COMPUTED_VALUE"""),92)</f>
        <v>92</v>
      </c>
      <c r="E498" s="30" t="str">
        <f ca="1">IFERROR(__xludf.DUMMYFUNCTION("""COMPUTED_VALUE"""),"PB3572")</f>
        <v>PB3572</v>
      </c>
      <c r="F49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8" s="30" t="str">
        <f ca="1">IFERROR(__xludf.DUMMYFUNCTION("""COMPUTED_VALUE"""),"SUBSECRETARÍA DE DESARROLLO Y PROMOCIÓN ARTÍSTICA Y CULTURAL")</f>
        <v>SUBSECRETARÍA DE DESARROLLO Y PROMOCIÓN ARTÍSTICA Y CULTURAL</v>
      </c>
      <c r="I498" s="34" t="str">
        <f ca="1">IFERROR(__xludf.DUMMYFUNCTION("""COMPUTED_VALUE"""),"DIRECCIÓN GENERAL DE MUSEOS, ARTES VISUALES Y EXPOSICIONES")</f>
        <v>DIRECCIÓN GENERAL DE MUSEOS, ARTES VISUALES Y EXPOSICIONES</v>
      </c>
      <c r="J498" s="30" t="str">
        <f ca="1">IFERROR(__xludf.DUMMYFUNCTION("""COMPUTED_VALUE"""),"Número de Actividades realizadas")</f>
        <v>Número de Actividades realizadas</v>
      </c>
      <c r="K498" s="30">
        <f ca="1">IFERROR(__xludf.DUMMYFUNCTION("""COMPUTED_VALUE"""),800)</f>
        <v>800</v>
      </c>
      <c r="L498" s="30" t="str">
        <f ca="1">IFERROR(__xludf.DUMMYFUNCTION("""COMPUTED_VALUE"""),"Cultural")</f>
        <v>Cultural</v>
      </c>
      <c r="M498" s="30" t="str">
        <f ca="1">IFERROR(__xludf.DUMMYFUNCTION("""COMPUTED_VALUE"""),"Visita guiada libre.")</f>
        <v>Visita guiada libre.</v>
      </c>
      <c r="N498" s="30" t="str">
        <f ca="1">IFERROR(__xludf.DUMMYFUNCTION("""COMPUTED_VALUE"""),"Recorrido guiado por el museo")</f>
        <v>Recorrido guiado por el museo</v>
      </c>
      <c r="O498" s="30" t="str">
        <f ca="1">IFERROR(__xludf.DUMMYFUNCTION("""COMPUTED_VALUE"""),"Única")</f>
        <v>Única</v>
      </c>
      <c r="P498" s="33">
        <f ca="1">IFERROR(__xludf.DUMMYFUNCTION("""COMPUTED_VALUE"""),46249)</f>
        <v>46249</v>
      </c>
      <c r="Q498" s="33">
        <f ca="1">IFERROR(__xludf.DUMMYFUNCTION("""COMPUTED_VALUE"""),46249)</f>
        <v>46249</v>
      </c>
      <c r="R498" s="30">
        <f ca="1">IFERROR(__xludf.DUMMYFUNCTION("""COMPUTED_VALUE"""),1)</f>
        <v>1</v>
      </c>
      <c r="S498" s="30" t="str">
        <f ca="1">IFERROR(__xludf.DUMMYFUNCTION("""COMPUTED_VALUE"""),"Cultura comunitaria")</f>
        <v>Cultura comunitaria</v>
      </c>
      <c r="T498" s="30" t="str">
        <f ca="1">IFERROR(__xludf.DUMMYFUNCTION("""COMPUTED_VALUE"""),"Formación comunitaria")</f>
        <v>Formación comunitaria</v>
      </c>
      <c r="U498" s="30" t="str">
        <f ca="1">IFERROR(__xludf.DUMMYFUNCTION("""COMPUTED_VALUE"""),"Visitas guiadas")</f>
        <v>Visitas guiadas</v>
      </c>
      <c r="V498" s="30" t="str">
        <f ca="1">IFERROR(__xludf.DUMMYFUNCTION("""COMPUTED_VALUE"""),"Ninguna")</f>
        <v>Ninguna</v>
      </c>
      <c r="W498" s="30" t="str">
        <f ca="1">IFERROR(__xludf.DUMMYFUNCTION("""COMPUTED_VALUE"""),"Presencial")</f>
        <v>Presencial</v>
      </c>
      <c r="X498" s="30" t="str">
        <f ca="1">IFERROR(__xludf.DUMMYFUNCTION("""COMPUTED_VALUE"""),"Espacio a Cargo de la Secretaría")</f>
        <v>Espacio a Cargo de la Secretaría</v>
      </c>
      <c r="Y498" s="30" t="str">
        <f ca="1">IFERROR(__xludf.DUMMYFUNCTION("""COMPUTED_VALUE"""),"Museo de Arte-Olga Costa-José Chávez Morado")</f>
        <v>Museo de Arte-Olga Costa-José Chávez Morado</v>
      </c>
      <c r="Z498" s="30"/>
      <c r="AA498" s="30"/>
      <c r="AB498" s="30" t="b">
        <f ca="1">IFERROR(__xludf.DUMMYFUNCTION("""COMPUTED_VALUE"""),FALSE)</f>
        <v>0</v>
      </c>
      <c r="AC498" s="30"/>
      <c r="AD498" s="30" t="b">
        <f ca="1">IFERROR(__xludf.DUMMYFUNCTION("""COMPUTED_VALUE"""),FALSE)</f>
        <v>0</v>
      </c>
      <c r="AE498" s="30"/>
      <c r="AF498" s="30" t="b">
        <f ca="1">IFERROR(__xludf.DUMMYFUNCTION("""COMPUTED_VALUE"""),FALSE)</f>
        <v>0</v>
      </c>
      <c r="AG498" s="30"/>
      <c r="AH498" s="30" t="str">
        <f ca="1">IFERROR(__xludf.DUMMYFUNCTION("""COMPUTED_VALUE"""),"Sin costo")</f>
        <v>Sin costo</v>
      </c>
      <c r="AI498" s="30"/>
      <c r="AJ498" s="30"/>
      <c r="AK498" s="30"/>
      <c r="AL498" s="30" t="str">
        <f ca="1">IFERROR(__xludf.DUMMYFUNCTION("""COMPUTED_VALUE"""),"ccardonav@guanajuato.gob.mx")</f>
        <v>ccardonav@guanajuato.gob.mx</v>
      </c>
      <c r="AM498" s="30" t="str">
        <f ca="1">IFERROR(__xludf.DUMMYFUNCTION("""COMPUTED_VALUE"""),"Arraigo y empoderamiento cultural de comunidades.")</f>
        <v>Arraigo y empoderamiento cultural de comunidades.</v>
      </c>
      <c r="AN498" s="30" t="str">
        <f ca="1">IFERROR(__xludf.DUMMYFUNCTION("""COMPUTED_VALUE"""),"1 Tranquilidad")</f>
        <v>1 Tranquilidad</v>
      </c>
      <c r="AO498" s="30" t="str">
        <f ca="1">IFERROR(__xludf.DUMMYFUNCTION("""COMPUTED_VALUE"""),"1.2 Fortalecer prevención del delito")</f>
        <v>1.2 Fortalecer prevención del delito</v>
      </c>
      <c r="AP498" s="30" t="str">
        <f ca="1">IFERROR(__xludf.DUMMYFUNCTION("""COMPUTED_VALUE"""),"1.2.2 Fortalecimiento del tejido social")</f>
        <v>1.2.2 Fortalecimiento del tejido social</v>
      </c>
      <c r="AQ498" s="30" t="str">
        <f ca="1">IFERROR(__xludf.DUMMYFUNCTION("""COMPUTED_VALUE"""),"1.2.3.4 Promover una cultura de paz desde las expresiones artísticas y culturales")</f>
        <v>1.2.3.4 Promover una cultura de paz desde las expresiones artísticas y culturales</v>
      </c>
      <c r="AR498" s="30" t="str">
        <f ca="1">IFERROR(__xludf.DUMMYFUNCTION("""COMPUTED_VALUE"""),"Cooperación")</f>
        <v>Cooperación</v>
      </c>
      <c r="AS498" s="30"/>
      <c r="AT498" s="30" t="str">
        <f ca="1">IFERROR(__xludf.DUMMYFUNCTION("""COMPUTED_VALUE"""),"Fortalecimiento de la participación ciudadana y la mediación cultural")</f>
        <v>Fortalecimiento de la participación ciudadana y la mediación cultural</v>
      </c>
      <c r="AU498" s="30" t="str">
        <f ca="1">IFERROR(__xludf.DUMMYFUNCTION("""COMPUTED_VALUE"""),"Impulso a la ampliación de la oferta cultural en los territorios.")</f>
        <v>Impulso a la ampliación de la oferta cultural en los territorios.</v>
      </c>
      <c r="AV49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8" s="30" t="str">
        <f ca="1">IFERROR(__xludf.DUMMYFUNCTION("""COMPUTED_VALUE"""),"Incrementar en 25% la oferta cultural realizada en los municipios.")</f>
        <v>Incrementar en 25% la oferta cultural realizada en los municipios.</v>
      </c>
      <c r="AX498" s="30" t="str">
        <f ca="1">IFERROR(__xludf.DUMMYFUNCTION("""COMPUTED_VALUE"""),"Visitas guiadas")</f>
        <v>Visitas guiadas</v>
      </c>
      <c r="AY498" s="30" t="str">
        <f ca="1">IFERROR(__xludf.DUMMYFUNCTION("""COMPUTED_VALUE"""),"Formación")</f>
        <v>Formación</v>
      </c>
      <c r="AZ498" s="30" t="str">
        <f ca="1">IFERROR(__xludf.DUMMYFUNCTION("""COMPUTED_VALUE"""),"Formación")</f>
        <v>Formación</v>
      </c>
      <c r="BA498" s="30"/>
      <c r="BB498" s="30"/>
      <c r="BC498" s="30">
        <f ca="1">IFERROR(__xludf.DUMMYFUNCTION("""COMPUTED_VALUE"""),0)</f>
        <v>0</v>
      </c>
      <c r="BD498" s="30"/>
      <c r="BE498" s="30"/>
      <c r="BF498" s="30" t="b">
        <f ca="1">IFERROR(__xludf.DUMMYFUNCTION("""COMPUTED_VALUE"""),FALSE)</f>
        <v>0</v>
      </c>
      <c r="BG498" s="30"/>
      <c r="BH498" s="30"/>
      <c r="BI498" s="30"/>
      <c r="BJ498" s="30"/>
      <c r="BK498" s="30"/>
      <c r="BL498" s="30"/>
      <c r="BM498" s="30" t="str">
        <f ca="1">IFERROR(__xludf.DUMMYFUNCTION("""COMPUTED_VALUE"""),"No")</f>
        <v>No</v>
      </c>
      <c r="BN498" s="30"/>
      <c r="BO498" s="30" t="str">
        <f ca="1">IFERROR(__xludf.DUMMYFUNCTION("""COMPUTED_VALUE"""),"a3b4ec7a")</f>
        <v>a3b4ec7a</v>
      </c>
      <c r="BP498" s="29" t="str">
        <f ca="1">IFERROR(__xludf.DUMMYFUNCTION("""COMPUTED_VALUE"""),"Guanajuato")</f>
        <v>Guanajuato</v>
      </c>
      <c r="BQ498" s="30" t="str">
        <f ca="1">IFERROR(__xludf.DUMMYFUNCTION("""COMPUTED_VALUE"""),"Urbano")</f>
        <v>Urbano</v>
      </c>
      <c r="BR498" s="30"/>
      <c r="BS498" s="30"/>
      <c r="BT498" s="30"/>
      <c r="BU498" s="30" t="str">
        <f ca="1">IFERROR(__xludf.DUMMYFUNCTION("""COMPUTED_VALUE"""),"No")</f>
        <v>No</v>
      </c>
      <c r="BV498" s="30" t="str">
        <f ca="1">IFERROR(__xludf.DUMMYFUNCTION("""COMPUTED_VALUE"""),"No")</f>
        <v>No</v>
      </c>
      <c r="BW498" s="30">
        <f ca="1">IFERROR(__xludf.DUMMYFUNCTION("""COMPUTED_VALUE"""),3)</f>
        <v>3</v>
      </c>
      <c r="BX498" s="30"/>
      <c r="BY498" s="30">
        <f ca="1">IFERROR(__xludf.DUMMYFUNCTION("""COMPUTED_VALUE"""),3)</f>
        <v>3</v>
      </c>
      <c r="BZ498" s="30"/>
      <c r="CA498" s="30" t="str">
        <f ca="1">IFERROR(__xludf.DUMMYFUNCTION("""COMPUTED_VALUE"""),"No")</f>
        <v>No</v>
      </c>
      <c r="CB498" s="30" t="str">
        <f ca="1">IFERROR(__xludf.DUMMYFUNCTION("""COMPUTED_VALUE"""),"No")</f>
        <v>No</v>
      </c>
      <c r="CC498" s="30" t="str">
        <f ca="1">IFERROR(__xludf.DUMMYFUNCTION("""COMPUTED_VALUE"""),"f85a73fd")</f>
        <v>f85a73fd</v>
      </c>
      <c r="CD498" s="29" t="str">
        <f ca="1">IFERROR(__xludf.DUMMYFUNCTION("""COMPUTED_VALUE"""),"Adultos Mayores (60 años o más)")</f>
        <v>Adultos Mayores (60 años o más)</v>
      </c>
      <c r="CE498" s="30" t="str">
        <f ca="1">IFERROR(__xludf.DUMMYFUNCTION("""COMPUTED_VALUE"""),"No se cuenta con el dato")</f>
        <v>No se cuenta con el dato</v>
      </c>
      <c r="CF498" s="30" t="str">
        <f ca="1">IFERROR(__xludf.DUMMYFUNCTION("""COMPUTED_VALUE"""),"NNA (Niñas, Niños y Adolescentes)")</f>
        <v>NNA (Niñas, Niños y Adolescentes)</v>
      </c>
      <c r="CG498" s="30">
        <f ca="1">IFERROR(__xludf.DUMMYFUNCTION("""COMPUTED_VALUE"""),36)</f>
        <v>36</v>
      </c>
      <c r="CJ498" s="29"/>
      <c r="CM498" s="30" t="str">
        <f ca="1">IFERROR(__xludf.DUMMYFUNCTION("""COMPUTED_VALUE"""),"Guanajuato")</f>
        <v>Guanajuato</v>
      </c>
      <c r="CN498" s="32" t="e">
        <f ca="1"/>
        <v>#NAME?</v>
      </c>
      <c r="CO498" s="32" t="e">
        <f ca="1"/>
        <v>#NAME?</v>
      </c>
      <c r="CP498" s="32" t="e">
        <f ca="1"/>
        <v>#NAME?</v>
      </c>
      <c r="CQ498" s="32" t="e">
        <f ca="1"/>
        <v>#NAME?</v>
      </c>
      <c r="CR498" s="30" t="e">
        <f ca="1"/>
        <v>#NAME?</v>
      </c>
      <c r="CS498" s="30" t="str">
        <f ca="1">IFERROR(__xludf.DUMMYFUNCTION("""COMPUTED_VALUE"""),"Ninguno (Población General)")</f>
        <v>Ninguno (Población General)</v>
      </c>
    </row>
    <row r="499" spans="1:97" ht="13">
      <c r="A499" s="29" t="str">
        <f ca="1">IFERROR(__xludf.DUMMYFUNCTION("""COMPUTED_VALUE"""),"ACT-SCVR72910")</f>
        <v>ACT-SCVR72910</v>
      </c>
      <c r="B499" s="30" t="str">
        <f ca="1">IFERROR(__xludf.DUMMYFUNCTION("""COMPUTED_VALUE"""),"SC-261005-150810")</f>
        <v>SC-261005-150810</v>
      </c>
      <c r="C499" s="62">
        <f ca="1">IFERROR(__xludf.DUMMYFUNCTION("""COMPUTED_VALUE"""),46300.6306712963)</f>
        <v>46300.630671296298</v>
      </c>
      <c r="D499" s="30">
        <f ca="1">IFERROR(__xludf.DUMMYFUNCTION("""COMPUTED_VALUE"""),92)</f>
        <v>92</v>
      </c>
      <c r="E499" s="30" t="str">
        <f ca="1">IFERROR(__xludf.DUMMYFUNCTION("""COMPUTED_VALUE"""),"PB3572")</f>
        <v>PB3572</v>
      </c>
      <c r="F49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49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499" s="30" t="str">
        <f ca="1">IFERROR(__xludf.DUMMYFUNCTION("""COMPUTED_VALUE"""),"SUBSECRETARÍA DE DESARROLLO Y PROMOCIÓN ARTÍSTICA Y CULTURAL")</f>
        <v>SUBSECRETARÍA DE DESARROLLO Y PROMOCIÓN ARTÍSTICA Y CULTURAL</v>
      </c>
      <c r="I499" s="34" t="str">
        <f ca="1">IFERROR(__xludf.DUMMYFUNCTION("""COMPUTED_VALUE"""),"DIRECCIÓN GENERAL DE MUSEOS, ARTES VISUALES Y EXPOSICIONES")</f>
        <v>DIRECCIÓN GENERAL DE MUSEOS, ARTES VISUALES Y EXPOSICIONES</v>
      </c>
      <c r="J499" s="30" t="str">
        <f ca="1">IFERROR(__xludf.DUMMYFUNCTION("""COMPUTED_VALUE"""),"Número de Actividades realizadas")</f>
        <v>Número de Actividades realizadas</v>
      </c>
      <c r="K499" s="30">
        <f ca="1">IFERROR(__xludf.DUMMYFUNCTION("""COMPUTED_VALUE"""),800)</f>
        <v>800</v>
      </c>
      <c r="L499" s="30" t="str">
        <f ca="1">IFERROR(__xludf.DUMMYFUNCTION("""COMPUTED_VALUE"""),"Cultural")</f>
        <v>Cultural</v>
      </c>
      <c r="M499" s="30" t="str">
        <f ca="1">IFERROR(__xludf.DUMMYFUNCTION("""COMPUTED_VALUE"""),"Visita guiada libre.")</f>
        <v>Visita guiada libre.</v>
      </c>
      <c r="N499" s="30" t="str">
        <f ca="1">IFERROR(__xludf.DUMMYFUNCTION("""COMPUTED_VALUE"""),"Recorrido guiado por el museo")</f>
        <v>Recorrido guiado por el museo</v>
      </c>
      <c r="O499" s="30" t="str">
        <f ca="1">IFERROR(__xludf.DUMMYFUNCTION("""COMPUTED_VALUE"""),"Única")</f>
        <v>Única</v>
      </c>
      <c r="P499" s="33">
        <f ca="1">IFERROR(__xludf.DUMMYFUNCTION("""COMPUTED_VALUE"""),46249)</f>
        <v>46249</v>
      </c>
      <c r="Q499" s="33">
        <f ca="1">IFERROR(__xludf.DUMMYFUNCTION("""COMPUTED_VALUE"""),46249)</f>
        <v>46249</v>
      </c>
      <c r="R499" s="30">
        <f ca="1">IFERROR(__xludf.DUMMYFUNCTION("""COMPUTED_VALUE"""),1)</f>
        <v>1</v>
      </c>
      <c r="S499" s="30" t="str">
        <f ca="1">IFERROR(__xludf.DUMMYFUNCTION("""COMPUTED_VALUE"""),"Cultura comunitaria")</f>
        <v>Cultura comunitaria</v>
      </c>
      <c r="T499" s="30" t="str">
        <f ca="1">IFERROR(__xludf.DUMMYFUNCTION("""COMPUTED_VALUE"""),"Formación comunitaria")</f>
        <v>Formación comunitaria</v>
      </c>
      <c r="U499" s="30" t="str">
        <f ca="1">IFERROR(__xludf.DUMMYFUNCTION("""COMPUTED_VALUE"""),"Visitas guiadas")</f>
        <v>Visitas guiadas</v>
      </c>
      <c r="V499" s="30" t="str">
        <f ca="1">IFERROR(__xludf.DUMMYFUNCTION("""COMPUTED_VALUE"""),"Ninguna")</f>
        <v>Ninguna</v>
      </c>
      <c r="W499" s="30" t="str">
        <f ca="1">IFERROR(__xludf.DUMMYFUNCTION("""COMPUTED_VALUE"""),"Presencial")</f>
        <v>Presencial</v>
      </c>
      <c r="X499" s="30" t="str">
        <f ca="1">IFERROR(__xludf.DUMMYFUNCTION("""COMPUTED_VALUE"""),"Espacio a Cargo de la Secretaría")</f>
        <v>Espacio a Cargo de la Secretaría</v>
      </c>
      <c r="Y499" s="30" t="str">
        <f ca="1">IFERROR(__xludf.DUMMYFUNCTION("""COMPUTED_VALUE"""),"Museo de Arte-Olga Costa-José Chávez Morado")</f>
        <v>Museo de Arte-Olga Costa-José Chávez Morado</v>
      </c>
      <c r="Z499" s="30"/>
      <c r="AA499" s="30"/>
      <c r="AB499" s="30" t="b">
        <f ca="1">IFERROR(__xludf.DUMMYFUNCTION("""COMPUTED_VALUE"""),FALSE)</f>
        <v>0</v>
      </c>
      <c r="AC499" s="30"/>
      <c r="AD499" s="30" t="b">
        <f ca="1">IFERROR(__xludf.DUMMYFUNCTION("""COMPUTED_VALUE"""),FALSE)</f>
        <v>0</v>
      </c>
      <c r="AE499" s="30"/>
      <c r="AF499" s="30" t="b">
        <f ca="1">IFERROR(__xludf.DUMMYFUNCTION("""COMPUTED_VALUE"""),FALSE)</f>
        <v>0</v>
      </c>
      <c r="AG499" s="30"/>
      <c r="AH499" s="30" t="str">
        <f ca="1">IFERROR(__xludf.DUMMYFUNCTION("""COMPUTED_VALUE"""),"Sin costo")</f>
        <v>Sin costo</v>
      </c>
      <c r="AI499" s="30"/>
      <c r="AJ499" s="30"/>
      <c r="AK499" s="30"/>
      <c r="AL499" s="30" t="str">
        <f ca="1">IFERROR(__xludf.DUMMYFUNCTION("""COMPUTED_VALUE"""),"ccardonav@guanajuato.gob.mx")</f>
        <v>ccardonav@guanajuato.gob.mx</v>
      </c>
      <c r="AM499" s="30" t="str">
        <f ca="1">IFERROR(__xludf.DUMMYFUNCTION("""COMPUTED_VALUE"""),"Arraigo y empoderamiento cultural de comunidades.")</f>
        <v>Arraigo y empoderamiento cultural de comunidades.</v>
      </c>
      <c r="AN499" s="30" t="str">
        <f ca="1">IFERROR(__xludf.DUMMYFUNCTION("""COMPUTED_VALUE"""),"1 Tranquilidad")</f>
        <v>1 Tranquilidad</v>
      </c>
      <c r="AO499" s="30" t="str">
        <f ca="1">IFERROR(__xludf.DUMMYFUNCTION("""COMPUTED_VALUE"""),"1.2 Fortalecer prevención del delito")</f>
        <v>1.2 Fortalecer prevención del delito</v>
      </c>
      <c r="AP499" s="30" t="str">
        <f ca="1">IFERROR(__xludf.DUMMYFUNCTION("""COMPUTED_VALUE"""),"1.2.2 Fortalecimiento del tejido social")</f>
        <v>1.2.2 Fortalecimiento del tejido social</v>
      </c>
      <c r="AQ499" s="30" t="str">
        <f ca="1">IFERROR(__xludf.DUMMYFUNCTION("""COMPUTED_VALUE"""),"1.2.3.4 Promover una cultura de paz desde las expresiones artísticas y culturales")</f>
        <v>1.2.3.4 Promover una cultura de paz desde las expresiones artísticas y culturales</v>
      </c>
      <c r="AR499" s="30" t="str">
        <f ca="1">IFERROR(__xludf.DUMMYFUNCTION("""COMPUTED_VALUE"""),"Cooperación")</f>
        <v>Cooperación</v>
      </c>
      <c r="AS499" s="30"/>
      <c r="AT499" s="30" t="str">
        <f ca="1">IFERROR(__xludf.DUMMYFUNCTION("""COMPUTED_VALUE"""),"Fortalecimiento de la participación ciudadana y la mediación cultural")</f>
        <v>Fortalecimiento de la participación ciudadana y la mediación cultural</v>
      </c>
      <c r="AU499" s="30" t="str">
        <f ca="1">IFERROR(__xludf.DUMMYFUNCTION("""COMPUTED_VALUE"""),"Impulso a la ampliación de la oferta cultural en los territorios.")</f>
        <v>Impulso a la ampliación de la oferta cultural en los territorios.</v>
      </c>
      <c r="AV49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499" s="30" t="str">
        <f ca="1">IFERROR(__xludf.DUMMYFUNCTION("""COMPUTED_VALUE"""),"Incrementar en 25% la oferta cultural realizada en los municipios.")</f>
        <v>Incrementar en 25% la oferta cultural realizada en los municipios.</v>
      </c>
      <c r="AX499" s="30" t="str">
        <f ca="1">IFERROR(__xludf.DUMMYFUNCTION("""COMPUTED_VALUE"""),"Visitas guiadas")</f>
        <v>Visitas guiadas</v>
      </c>
      <c r="AY499" s="30" t="str">
        <f ca="1">IFERROR(__xludf.DUMMYFUNCTION("""COMPUTED_VALUE"""),"Formación")</f>
        <v>Formación</v>
      </c>
      <c r="AZ499" s="30" t="str">
        <f ca="1">IFERROR(__xludf.DUMMYFUNCTION("""COMPUTED_VALUE"""),"Formación")</f>
        <v>Formación</v>
      </c>
      <c r="BA499" s="30"/>
      <c r="BB499" s="30"/>
      <c r="BC499" s="30">
        <f ca="1">IFERROR(__xludf.DUMMYFUNCTION("""COMPUTED_VALUE"""),0)</f>
        <v>0</v>
      </c>
      <c r="BD499" s="30"/>
      <c r="BE499" s="30"/>
      <c r="BF499" s="30" t="b">
        <f ca="1">IFERROR(__xludf.DUMMYFUNCTION("""COMPUTED_VALUE"""),FALSE)</f>
        <v>0</v>
      </c>
      <c r="BG499" s="30"/>
      <c r="BH499" s="30"/>
      <c r="BI499" s="30"/>
      <c r="BJ499" s="30"/>
      <c r="BK499" s="30"/>
      <c r="BL499" s="30"/>
      <c r="BM499" s="30" t="str">
        <f ca="1">IFERROR(__xludf.DUMMYFUNCTION("""COMPUTED_VALUE"""),"No")</f>
        <v>No</v>
      </c>
      <c r="BN499" s="30"/>
      <c r="BO499" s="30" t="str">
        <f ca="1">IFERROR(__xludf.DUMMYFUNCTION("""COMPUTED_VALUE"""),"3e0772be")</f>
        <v>3e0772be</v>
      </c>
      <c r="BP499" s="29" t="str">
        <f ca="1">IFERROR(__xludf.DUMMYFUNCTION("""COMPUTED_VALUE"""),"Guanajuato")</f>
        <v>Guanajuato</v>
      </c>
      <c r="BQ499" s="30" t="str">
        <f ca="1">IFERROR(__xludf.DUMMYFUNCTION("""COMPUTED_VALUE"""),"Urbano")</f>
        <v>Urbano</v>
      </c>
      <c r="BR499" s="30"/>
      <c r="BS499" s="30"/>
      <c r="BT499" s="30"/>
      <c r="BU499" s="30" t="str">
        <f ca="1">IFERROR(__xludf.DUMMYFUNCTION("""COMPUTED_VALUE"""),"No")</f>
        <v>No</v>
      </c>
      <c r="BV499" s="30" t="str">
        <f ca="1">IFERROR(__xludf.DUMMYFUNCTION("""COMPUTED_VALUE"""),"No")</f>
        <v>No</v>
      </c>
      <c r="BW499" s="30">
        <f ca="1">IFERROR(__xludf.DUMMYFUNCTION("""COMPUTED_VALUE"""),3)</f>
        <v>3</v>
      </c>
      <c r="BX499" s="30"/>
      <c r="BY499" s="30">
        <f ca="1">IFERROR(__xludf.DUMMYFUNCTION("""COMPUTED_VALUE"""),3)</f>
        <v>3</v>
      </c>
      <c r="BZ499" s="30"/>
      <c r="CA499" s="30" t="str">
        <f ca="1">IFERROR(__xludf.DUMMYFUNCTION("""COMPUTED_VALUE"""),"No")</f>
        <v>No</v>
      </c>
      <c r="CB499" s="30" t="str">
        <f ca="1">IFERROR(__xludf.DUMMYFUNCTION("""COMPUTED_VALUE"""),"No")</f>
        <v>No</v>
      </c>
      <c r="CC499" s="30" t="str">
        <f ca="1">IFERROR(__xludf.DUMMYFUNCTION("""COMPUTED_VALUE"""),"fdbe010e")</f>
        <v>fdbe010e</v>
      </c>
      <c r="CD499" s="29" t="str">
        <f ca="1">IFERROR(__xludf.DUMMYFUNCTION("""COMPUTED_VALUE"""),"Adultos (30 a 59 años)")</f>
        <v>Adultos (30 a 59 años)</v>
      </c>
      <c r="CE499" s="30" t="str">
        <f ca="1">IFERROR(__xludf.DUMMYFUNCTION("""COMPUTED_VALUE"""),"No se cuenta con el dato")</f>
        <v>No se cuenta con el dato</v>
      </c>
      <c r="CF499" s="30" t="str">
        <f ca="1">IFERROR(__xludf.DUMMYFUNCTION("""COMPUTED_VALUE"""),"Ninguno (Población General)")</f>
        <v>Ninguno (Población General)</v>
      </c>
      <c r="CG499" s="30">
        <f ca="1">IFERROR(__xludf.DUMMYFUNCTION("""COMPUTED_VALUE"""),45)</f>
        <v>45</v>
      </c>
      <c r="CJ499" s="29"/>
      <c r="CM499" s="30" t="str">
        <f ca="1">IFERROR(__xludf.DUMMYFUNCTION("""COMPUTED_VALUE"""),"Guanajuato")</f>
        <v>Guanajuato</v>
      </c>
      <c r="CN499" s="32" t="e">
        <f ca="1"/>
        <v>#NAME?</v>
      </c>
      <c r="CO499" s="32" t="e">
        <f ca="1"/>
        <v>#NAME?</v>
      </c>
      <c r="CP499" s="32" t="e">
        <f ca="1"/>
        <v>#NAME?</v>
      </c>
      <c r="CQ499" s="32" t="e">
        <f ca="1"/>
        <v>#NAME?</v>
      </c>
      <c r="CR499" s="30" t="e">
        <f ca="1"/>
        <v>#NAME?</v>
      </c>
      <c r="CS499" s="30" t="str">
        <f ca="1">IFERROR(__xludf.DUMMYFUNCTION("""COMPUTED_VALUE"""),"Ninguno (Población General)")</f>
        <v>Ninguno (Población General)</v>
      </c>
    </row>
    <row r="500" spans="1:97" ht="13">
      <c r="A500" s="29" t="str">
        <f ca="1">IFERROR(__xludf.DUMMYFUNCTION("""COMPUTED_VALUE"""),"ACT-SCWN41231")</f>
        <v>ACT-SCWN41231</v>
      </c>
      <c r="B500" s="30" t="str">
        <f ca="1">IFERROR(__xludf.DUMMYFUNCTION("""COMPUTED_VALUE"""),"SC-261005-151013")</f>
        <v>SC-261005-151013</v>
      </c>
      <c r="C500" s="62">
        <f ca="1">IFERROR(__xludf.DUMMYFUNCTION("""COMPUTED_VALUE"""),46300.6320949074)</f>
        <v>46300.6320949074</v>
      </c>
      <c r="D500" s="30">
        <f ca="1">IFERROR(__xludf.DUMMYFUNCTION("""COMPUTED_VALUE"""),92)</f>
        <v>92</v>
      </c>
      <c r="E500" s="30" t="str">
        <f ca="1">IFERROR(__xludf.DUMMYFUNCTION("""COMPUTED_VALUE"""),"PB3572")</f>
        <v>PB3572</v>
      </c>
      <c r="F50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0" s="30" t="str">
        <f ca="1">IFERROR(__xludf.DUMMYFUNCTION("""COMPUTED_VALUE"""),"SUBSECRETARÍA DE DESARROLLO Y PROMOCIÓN ARTÍSTICA Y CULTURAL")</f>
        <v>SUBSECRETARÍA DE DESARROLLO Y PROMOCIÓN ARTÍSTICA Y CULTURAL</v>
      </c>
      <c r="I500" s="34" t="str">
        <f ca="1">IFERROR(__xludf.DUMMYFUNCTION("""COMPUTED_VALUE"""),"DIRECCIÓN GENERAL DE MUSEOS, ARTES VISUALES Y EXPOSICIONES")</f>
        <v>DIRECCIÓN GENERAL DE MUSEOS, ARTES VISUALES Y EXPOSICIONES</v>
      </c>
      <c r="J500" s="30" t="str">
        <f ca="1">IFERROR(__xludf.DUMMYFUNCTION("""COMPUTED_VALUE"""),"Número de Actividades realizadas")</f>
        <v>Número de Actividades realizadas</v>
      </c>
      <c r="K500" s="30">
        <f ca="1">IFERROR(__xludf.DUMMYFUNCTION("""COMPUTED_VALUE"""),800)</f>
        <v>800</v>
      </c>
      <c r="L500" s="30" t="str">
        <f ca="1">IFERROR(__xludf.DUMMYFUNCTION("""COMPUTED_VALUE"""),"Cultural")</f>
        <v>Cultural</v>
      </c>
      <c r="M500" s="30" t="str">
        <f ca="1">IFERROR(__xludf.DUMMYFUNCTION("""COMPUTED_VALUE"""),"Visita guiada libre.")</f>
        <v>Visita guiada libre.</v>
      </c>
      <c r="N500" s="30" t="str">
        <f ca="1">IFERROR(__xludf.DUMMYFUNCTION("""COMPUTED_VALUE"""),"Recorrido guiado por el museo")</f>
        <v>Recorrido guiado por el museo</v>
      </c>
      <c r="O500" s="30" t="str">
        <f ca="1">IFERROR(__xludf.DUMMYFUNCTION("""COMPUTED_VALUE"""),"Única")</f>
        <v>Única</v>
      </c>
      <c r="P500" s="33">
        <f ca="1">IFERROR(__xludf.DUMMYFUNCTION("""COMPUTED_VALUE"""),46250)</f>
        <v>46250</v>
      </c>
      <c r="Q500" s="33">
        <f ca="1">IFERROR(__xludf.DUMMYFUNCTION("""COMPUTED_VALUE"""),46250)</f>
        <v>46250</v>
      </c>
      <c r="R500" s="30">
        <f ca="1">IFERROR(__xludf.DUMMYFUNCTION("""COMPUTED_VALUE"""),1)</f>
        <v>1</v>
      </c>
      <c r="S500" s="30" t="str">
        <f ca="1">IFERROR(__xludf.DUMMYFUNCTION("""COMPUTED_VALUE"""),"Cultura comunitaria")</f>
        <v>Cultura comunitaria</v>
      </c>
      <c r="T500" s="30" t="str">
        <f ca="1">IFERROR(__xludf.DUMMYFUNCTION("""COMPUTED_VALUE"""),"Formación comunitaria")</f>
        <v>Formación comunitaria</v>
      </c>
      <c r="U500" s="30" t="str">
        <f ca="1">IFERROR(__xludf.DUMMYFUNCTION("""COMPUTED_VALUE"""),"Visitas guiadas")</f>
        <v>Visitas guiadas</v>
      </c>
      <c r="V500" s="30" t="str">
        <f ca="1">IFERROR(__xludf.DUMMYFUNCTION("""COMPUTED_VALUE"""),"Ninguna")</f>
        <v>Ninguna</v>
      </c>
      <c r="W500" s="30" t="str">
        <f ca="1">IFERROR(__xludf.DUMMYFUNCTION("""COMPUTED_VALUE"""),"Presencial")</f>
        <v>Presencial</v>
      </c>
      <c r="X500" s="30" t="str">
        <f ca="1">IFERROR(__xludf.DUMMYFUNCTION("""COMPUTED_VALUE"""),"Espacio a Cargo de la Secretaría")</f>
        <v>Espacio a Cargo de la Secretaría</v>
      </c>
      <c r="Y500" s="30" t="str">
        <f ca="1">IFERROR(__xludf.DUMMYFUNCTION("""COMPUTED_VALUE"""),"Museo de Arte-Olga Costa-José Chávez Morado")</f>
        <v>Museo de Arte-Olga Costa-José Chávez Morado</v>
      </c>
      <c r="Z500" s="30"/>
      <c r="AA500" s="30"/>
      <c r="AB500" s="30" t="b">
        <f ca="1">IFERROR(__xludf.DUMMYFUNCTION("""COMPUTED_VALUE"""),FALSE)</f>
        <v>0</v>
      </c>
      <c r="AC500" s="30"/>
      <c r="AD500" s="30" t="b">
        <f ca="1">IFERROR(__xludf.DUMMYFUNCTION("""COMPUTED_VALUE"""),FALSE)</f>
        <v>0</v>
      </c>
      <c r="AE500" s="30"/>
      <c r="AF500" s="30" t="b">
        <f ca="1">IFERROR(__xludf.DUMMYFUNCTION("""COMPUTED_VALUE"""),FALSE)</f>
        <v>0</v>
      </c>
      <c r="AG500" s="30"/>
      <c r="AH500" s="30" t="str">
        <f ca="1">IFERROR(__xludf.DUMMYFUNCTION("""COMPUTED_VALUE"""),"Sin costo")</f>
        <v>Sin costo</v>
      </c>
      <c r="AI500" s="30"/>
      <c r="AJ500" s="30"/>
      <c r="AK500" s="30"/>
      <c r="AL500" s="30" t="str">
        <f ca="1">IFERROR(__xludf.DUMMYFUNCTION("""COMPUTED_VALUE"""),"ccardonav@guanajuato.gob.mx")</f>
        <v>ccardonav@guanajuato.gob.mx</v>
      </c>
      <c r="AM500" s="30" t="str">
        <f ca="1">IFERROR(__xludf.DUMMYFUNCTION("""COMPUTED_VALUE"""),"Arraigo y empoderamiento cultural de comunidades.")</f>
        <v>Arraigo y empoderamiento cultural de comunidades.</v>
      </c>
      <c r="AN500" s="30" t="str">
        <f ca="1">IFERROR(__xludf.DUMMYFUNCTION("""COMPUTED_VALUE"""),"1 Tranquilidad")</f>
        <v>1 Tranquilidad</v>
      </c>
      <c r="AO500" s="30" t="str">
        <f ca="1">IFERROR(__xludf.DUMMYFUNCTION("""COMPUTED_VALUE"""),"1.2 Fortalecer prevención del delito")</f>
        <v>1.2 Fortalecer prevención del delito</v>
      </c>
      <c r="AP500" s="30" t="str">
        <f ca="1">IFERROR(__xludf.DUMMYFUNCTION("""COMPUTED_VALUE"""),"1.2.2 Fortalecimiento del tejido social")</f>
        <v>1.2.2 Fortalecimiento del tejido social</v>
      </c>
      <c r="AQ500" s="30" t="str">
        <f ca="1">IFERROR(__xludf.DUMMYFUNCTION("""COMPUTED_VALUE"""),"1.2.3.4 Promover una cultura de paz desde las expresiones artísticas y culturales")</f>
        <v>1.2.3.4 Promover una cultura de paz desde las expresiones artísticas y culturales</v>
      </c>
      <c r="AR500" s="30" t="str">
        <f ca="1">IFERROR(__xludf.DUMMYFUNCTION("""COMPUTED_VALUE"""),"Cooperación")</f>
        <v>Cooperación</v>
      </c>
      <c r="AS500" s="30"/>
      <c r="AT500" s="30" t="str">
        <f ca="1">IFERROR(__xludf.DUMMYFUNCTION("""COMPUTED_VALUE"""),"Fortalecimiento de la participación ciudadana y la mediación cultural")</f>
        <v>Fortalecimiento de la participación ciudadana y la mediación cultural</v>
      </c>
      <c r="AU500" s="30" t="str">
        <f ca="1">IFERROR(__xludf.DUMMYFUNCTION("""COMPUTED_VALUE"""),"Impulso a la ampliación de la oferta cultural en los territorios.")</f>
        <v>Impulso a la ampliación de la oferta cultural en los territorios.</v>
      </c>
      <c r="AV50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0" s="30" t="str">
        <f ca="1">IFERROR(__xludf.DUMMYFUNCTION("""COMPUTED_VALUE"""),"Incrementar en 25% la oferta cultural realizada en los municipios.")</f>
        <v>Incrementar en 25% la oferta cultural realizada en los municipios.</v>
      </c>
      <c r="AX500" s="30" t="str">
        <f ca="1">IFERROR(__xludf.DUMMYFUNCTION("""COMPUTED_VALUE"""),"Visitas guiadas")</f>
        <v>Visitas guiadas</v>
      </c>
      <c r="AY500" s="30" t="str">
        <f ca="1">IFERROR(__xludf.DUMMYFUNCTION("""COMPUTED_VALUE"""),"Formación")</f>
        <v>Formación</v>
      </c>
      <c r="AZ500" s="30" t="str">
        <f ca="1">IFERROR(__xludf.DUMMYFUNCTION("""COMPUTED_VALUE"""),"Formación")</f>
        <v>Formación</v>
      </c>
      <c r="BA500" s="30"/>
      <c r="BB500" s="30"/>
      <c r="BC500" s="30">
        <f ca="1">IFERROR(__xludf.DUMMYFUNCTION("""COMPUTED_VALUE"""),0)</f>
        <v>0</v>
      </c>
      <c r="BD500" s="30"/>
      <c r="BE500" s="30"/>
      <c r="BF500" s="30" t="b">
        <f ca="1">IFERROR(__xludf.DUMMYFUNCTION("""COMPUTED_VALUE"""),FALSE)</f>
        <v>0</v>
      </c>
      <c r="BG500" s="30"/>
      <c r="BH500" s="30"/>
      <c r="BI500" s="30"/>
      <c r="BJ500" s="30"/>
      <c r="BK500" s="30"/>
      <c r="BL500" s="30"/>
      <c r="BM500" s="30" t="str">
        <f ca="1">IFERROR(__xludf.DUMMYFUNCTION("""COMPUTED_VALUE"""),"No")</f>
        <v>No</v>
      </c>
      <c r="BN500" s="30"/>
      <c r="BO500" s="30" t="str">
        <f ca="1">IFERROR(__xludf.DUMMYFUNCTION("""COMPUTED_VALUE"""),"feab2597")</f>
        <v>feab2597</v>
      </c>
      <c r="BP500" s="29" t="str">
        <f ca="1">IFERROR(__xludf.DUMMYFUNCTION("""COMPUTED_VALUE"""),"Guanajuato")</f>
        <v>Guanajuato</v>
      </c>
      <c r="BQ500" s="30" t="str">
        <f ca="1">IFERROR(__xludf.DUMMYFUNCTION("""COMPUTED_VALUE"""),"Urbano")</f>
        <v>Urbano</v>
      </c>
      <c r="BR500" s="30"/>
      <c r="BS500" s="30"/>
      <c r="BT500" s="30"/>
      <c r="BU500" s="30" t="str">
        <f ca="1">IFERROR(__xludf.DUMMYFUNCTION("""COMPUTED_VALUE"""),"No")</f>
        <v>No</v>
      </c>
      <c r="BV500" s="30" t="str">
        <f ca="1">IFERROR(__xludf.DUMMYFUNCTION("""COMPUTED_VALUE"""),"No")</f>
        <v>No</v>
      </c>
      <c r="BW500" s="30">
        <f ca="1">IFERROR(__xludf.DUMMYFUNCTION("""COMPUTED_VALUE"""),2)</f>
        <v>2</v>
      </c>
      <c r="BX500" s="30"/>
      <c r="BY500" s="30">
        <f ca="1">IFERROR(__xludf.DUMMYFUNCTION("""COMPUTED_VALUE"""),2)</f>
        <v>2</v>
      </c>
      <c r="BZ500" s="30"/>
      <c r="CA500" s="30" t="str">
        <f ca="1">IFERROR(__xludf.DUMMYFUNCTION("""COMPUTED_VALUE"""),"No")</f>
        <v>No</v>
      </c>
      <c r="CB500" s="30" t="str">
        <f ca="1">IFERROR(__xludf.DUMMYFUNCTION("""COMPUTED_VALUE"""),"No")</f>
        <v>No</v>
      </c>
      <c r="CC500" s="30" t="str">
        <f ca="1">IFERROR(__xludf.DUMMYFUNCTION("""COMPUTED_VALUE"""),"6cc217b8")</f>
        <v>6cc217b8</v>
      </c>
      <c r="CD500" s="29" t="str">
        <f ca="1">IFERROR(__xludf.DUMMYFUNCTION("""COMPUTED_VALUE"""),"Jóvenes (18 a 29 años)")</f>
        <v>Jóvenes (18 a 29 años)</v>
      </c>
      <c r="CE500" s="30" t="str">
        <f ca="1">IFERROR(__xludf.DUMMYFUNCTION("""COMPUTED_VALUE"""),"No se cuenta con el dato")</f>
        <v>No se cuenta con el dato</v>
      </c>
      <c r="CF500" s="30" t="str">
        <f ca="1">IFERROR(__xludf.DUMMYFUNCTION("""COMPUTED_VALUE"""),"Ninguno (Población General)")</f>
        <v>Ninguno (Población General)</v>
      </c>
      <c r="CG500" s="30">
        <f ca="1">IFERROR(__xludf.DUMMYFUNCTION("""COMPUTED_VALUE"""),25)</f>
        <v>25</v>
      </c>
      <c r="CJ500" s="29"/>
      <c r="CM500" s="30" t="str">
        <f ca="1">IFERROR(__xludf.DUMMYFUNCTION("""COMPUTED_VALUE"""),"Guanajuato")</f>
        <v>Guanajuato</v>
      </c>
      <c r="CN500" s="32" t="e">
        <f ca="1"/>
        <v>#NAME?</v>
      </c>
      <c r="CO500" s="32" t="e">
        <f ca="1"/>
        <v>#NAME?</v>
      </c>
      <c r="CP500" s="32" t="e">
        <f ca="1"/>
        <v>#NAME?</v>
      </c>
      <c r="CQ500" s="32" t="e">
        <f ca="1"/>
        <v>#NAME?</v>
      </c>
      <c r="CR500" s="30" t="e">
        <f ca="1"/>
        <v>#NAME?</v>
      </c>
      <c r="CS500" s="30" t="str">
        <f ca="1">IFERROR(__xludf.DUMMYFUNCTION("""COMPUTED_VALUE"""),"Ninguno (Población General)")</f>
        <v>Ninguno (Población General)</v>
      </c>
    </row>
    <row r="501" spans="1:97" ht="13">
      <c r="A501" s="29" t="str">
        <f ca="1">IFERROR(__xludf.DUMMYFUNCTION("""COMPUTED_VALUE"""),"ACT-SCFD64081")</f>
        <v>ACT-SCFD64081</v>
      </c>
      <c r="B501" s="30" t="str">
        <f ca="1">IFERROR(__xludf.DUMMYFUNCTION("""COMPUTED_VALUE"""),"SC-261005-151643")</f>
        <v>SC-261005-151643</v>
      </c>
      <c r="C501" s="62">
        <f ca="1">IFERROR(__xludf.DUMMYFUNCTION("""COMPUTED_VALUE"""),46300.6366087962)</f>
        <v>46300.636608796201</v>
      </c>
      <c r="D501" s="30">
        <f ca="1">IFERROR(__xludf.DUMMYFUNCTION("""COMPUTED_VALUE"""),92)</f>
        <v>92</v>
      </c>
      <c r="E501" s="30" t="str">
        <f ca="1">IFERROR(__xludf.DUMMYFUNCTION("""COMPUTED_VALUE"""),"PB3572")</f>
        <v>PB3572</v>
      </c>
      <c r="F50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1" s="30" t="str">
        <f ca="1">IFERROR(__xludf.DUMMYFUNCTION("""COMPUTED_VALUE"""),"SUBSECRETARÍA DE DESARROLLO Y PROMOCIÓN ARTÍSTICA Y CULTURAL")</f>
        <v>SUBSECRETARÍA DE DESARROLLO Y PROMOCIÓN ARTÍSTICA Y CULTURAL</v>
      </c>
      <c r="I501" s="34" t="str">
        <f ca="1">IFERROR(__xludf.DUMMYFUNCTION("""COMPUTED_VALUE"""),"DIRECCIÓN GENERAL DE MUSEOS, ARTES VISUALES Y EXPOSICIONES")</f>
        <v>DIRECCIÓN GENERAL DE MUSEOS, ARTES VISUALES Y EXPOSICIONES</v>
      </c>
      <c r="J501" s="30" t="str">
        <f ca="1">IFERROR(__xludf.DUMMYFUNCTION("""COMPUTED_VALUE"""),"Número de Actividades realizadas")</f>
        <v>Número de Actividades realizadas</v>
      </c>
      <c r="K501" s="30">
        <f ca="1">IFERROR(__xludf.DUMMYFUNCTION("""COMPUTED_VALUE"""),800)</f>
        <v>800</v>
      </c>
      <c r="L501" s="30" t="str">
        <f ca="1">IFERROR(__xludf.DUMMYFUNCTION("""COMPUTED_VALUE"""),"Cultural")</f>
        <v>Cultural</v>
      </c>
      <c r="M501" s="30" t="str">
        <f ca="1">IFERROR(__xludf.DUMMYFUNCTION("""COMPUTED_VALUE"""),"Visita guiada libre.")</f>
        <v>Visita guiada libre.</v>
      </c>
      <c r="N501" s="30" t="str">
        <f ca="1">IFERROR(__xludf.DUMMYFUNCTION("""COMPUTED_VALUE"""),"Recorrido guiado por el museo")</f>
        <v>Recorrido guiado por el museo</v>
      </c>
      <c r="O501" s="30" t="str">
        <f ca="1">IFERROR(__xludf.DUMMYFUNCTION("""COMPUTED_VALUE"""),"Única")</f>
        <v>Única</v>
      </c>
      <c r="P501" s="33">
        <f ca="1">IFERROR(__xludf.DUMMYFUNCTION("""COMPUTED_VALUE"""),46250)</f>
        <v>46250</v>
      </c>
      <c r="Q501" s="33">
        <f ca="1">IFERROR(__xludf.DUMMYFUNCTION("""COMPUTED_VALUE"""),46250)</f>
        <v>46250</v>
      </c>
      <c r="R501" s="30">
        <f ca="1">IFERROR(__xludf.DUMMYFUNCTION("""COMPUTED_VALUE"""),1)</f>
        <v>1</v>
      </c>
      <c r="S501" s="30" t="str">
        <f ca="1">IFERROR(__xludf.DUMMYFUNCTION("""COMPUTED_VALUE"""),"Cultura comunitaria")</f>
        <v>Cultura comunitaria</v>
      </c>
      <c r="T501" s="30" t="str">
        <f ca="1">IFERROR(__xludf.DUMMYFUNCTION("""COMPUTED_VALUE"""),"Formación comunitaria")</f>
        <v>Formación comunitaria</v>
      </c>
      <c r="U501" s="30" t="str">
        <f ca="1">IFERROR(__xludf.DUMMYFUNCTION("""COMPUTED_VALUE"""),"Visitas guiadas")</f>
        <v>Visitas guiadas</v>
      </c>
      <c r="V501" s="30" t="str">
        <f ca="1">IFERROR(__xludf.DUMMYFUNCTION("""COMPUTED_VALUE"""),"Ninguna")</f>
        <v>Ninguna</v>
      </c>
      <c r="W501" s="30" t="str">
        <f ca="1">IFERROR(__xludf.DUMMYFUNCTION("""COMPUTED_VALUE"""),"Presencial")</f>
        <v>Presencial</v>
      </c>
      <c r="X501" s="30" t="str">
        <f ca="1">IFERROR(__xludf.DUMMYFUNCTION("""COMPUTED_VALUE"""),"Espacio a Cargo de la Secretaría")</f>
        <v>Espacio a Cargo de la Secretaría</v>
      </c>
      <c r="Y501" s="30" t="str">
        <f ca="1">IFERROR(__xludf.DUMMYFUNCTION("""COMPUTED_VALUE"""),"Museo de Arte-Olga Costa-José Chávez Morado")</f>
        <v>Museo de Arte-Olga Costa-José Chávez Morado</v>
      </c>
      <c r="Z501" s="30"/>
      <c r="AA501" s="30"/>
      <c r="AB501" s="30" t="b">
        <f ca="1">IFERROR(__xludf.DUMMYFUNCTION("""COMPUTED_VALUE"""),FALSE)</f>
        <v>0</v>
      </c>
      <c r="AC501" s="30"/>
      <c r="AD501" s="30" t="b">
        <f ca="1">IFERROR(__xludf.DUMMYFUNCTION("""COMPUTED_VALUE"""),FALSE)</f>
        <v>0</v>
      </c>
      <c r="AE501" s="30"/>
      <c r="AF501" s="30" t="b">
        <f ca="1">IFERROR(__xludf.DUMMYFUNCTION("""COMPUTED_VALUE"""),FALSE)</f>
        <v>0</v>
      </c>
      <c r="AG501" s="30"/>
      <c r="AH501" s="30" t="str">
        <f ca="1">IFERROR(__xludf.DUMMYFUNCTION("""COMPUTED_VALUE"""),"Sin costo")</f>
        <v>Sin costo</v>
      </c>
      <c r="AI501" s="30"/>
      <c r="AJ501" s="30"/>
      <c r="AK501" s="30"/>
      <c r="AL501" s="30" t="str">
        <f ca="1">IFERROR(__xludf.DUMMYFUNCTION("""COMPUTED_VALUE"""),"ccardonav@guanajuato.gob.mx")</f>
        <v>ccardonav@guanajuato.gob.mx</v>
      </c>
      <c r="AM501" s="30" t="str">
        <f ca="1">IFERROR(__xludf.DUMMYFUNCTION("""COMPUTED_VALUE"""),"Arraigo y empoderamiento cultural de comunidades.")</f>
        <v>Arraigo y empoderamiento cultural de comunidades.</v>
      </c>
      <c r="AN501" s="30" t="str">
        <f ca="1">IFERROR(__xludf.DUMMYFUNCTION("""COMPUTED_VALUE"""),"1 Tranquilidad")</f>
        <v>1 Tranquilidad</v>
      </c>
      <c r="AO501" s="30" t="str">
        <f ca="1">IFERROR(__xludf.DUMMYFUNCTION("""COMPUTED_VALUE"""),"1.2 Fortalecer prevención del delito")</f>
        <v>1.2 Fortalecer prevención del delito</v>
      </c>
      <c r="AP501" s="30" t="str">
        <f ca="1">IFERROR(__xludf.DUMMYFUNCTION("""COMPUTED_VALUE"""),"1.2.2 Fortalecimiento del tejido social")</f>
        <v>1.2.2 Fortalecimiento del tejido social</v>
      </c>
      <c r="AQ501" s="30" t="str">
        <f ca="1">IFERROR(__xludf.DUMMYFUNCTION("""COMPUTED_VALUE"""),"1.2.3.4 Promover una cultura de paz desde las expresiones artísticas y culturales")</f>
        <v>1.2.3.4 Promover una cultura de paz desde las expresiones artísticas y culturales</v>
      </c>
      <c r="AR501" s="30" t="str">
        <f ca="1">IFERROR(__xludf.DUMMYFUNCTION("""COMPUTED_VALUE"""),"Cooperación")</f>
        <v>Cooperación</v>
      </c>
      <c r="AS501" s="30"/>
      <c r="AT501" s="30" t="str">
        <f ca="1">IFERROR(__xludf.DUMMYFUNCTION("""COMPUTED_VALUE"""),"Fortalecimiento de la participación ciudadana y la mediación cultural")</f>
        <v>Fortalecimiento de la participación ciudadana y la mediación cultural</v>
      </c>
      <c r="AU501" s="30" t="str">
        <f ca="1">IFERROR(__xludf.DUMMYFUNCTION("""COMPUTED_VALUE"""),"Impulso a la ampliación de la oferta cultural en los territorios.")</f>
        <v>Impulso a la ampliación de la oferta cultural en los territorios.</v>
      </c>
      <c r="AV50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1" s="30" t="str">
        <f ca="1">IFERROR(__xludf.DUMMYFUNCTION("""COMPUTED_VALUE"""),"Incrementar en 25% la oferta cultural realizada en los municipios.")</f>
        <v>Incrementar en 25% la oferta cultural realizada en los municipios.</v>
      </c>
      <c r="AX501" s="30" t="str">
        <f ca="1">IFERROR(__xludf.DUMMYFUNCTION("""COMPUTED_VALUE"""),"Visitas guiadas")</f>
        <v>Visitas guiadas</v>
      </c>
      <c r="AY501" s="30" t="str">
        <f ca="1">IFERROR(__xludf.DUMMYFUNCTION("""COMPUTED_VALUE"""),"Formación")</f>
        <v>Formación</v>
      </c>
      <c r="AZ501" s="30" t="str">
        <f ca="1">IFERROR(__xludf.DUMMYFUNCTION("""COMPUTED_VALUE"""),"Formación")</f>
        <v>Formación</v>
      </c>
      <c r="BA501" s="30"/>
      <c r="BB501" s="30"/>
      <c r="BC501" s="30">
        <f ca="1">IFERROR(__xludf.DUMMYFUNCTION("""COMPUTED_VALUE"""),0)</f>
        <v>0</v>
      </c>
      <c r="BD501" s="30"/>
      <c r="BE501" s="30"/>
      <c r="BF501" s="30" t="b">
        <f ca="1">IFERROR(__xludf.DUMMYFUNCTION("""COMPUTED_VALUE"""),FALSE)</f>
        <v>0</v>
      </c>
      <c r="BG501" s="30"/>
      <c r="BH501" s="30"/>
      <c r="BI501" s="30"/>
      <c r="BJ501" s="30"/>
      <c r="BK501" s="30"/>
      <c r="BL501" s="30"/>
      <c r="BM501" s="30" t="str">
        <f ca="1">IFERROR(__xludf.DUMMYFUNCTION("""COMPUTED_VALUE"""),"No")</f>
        <v>No</v>
      </c>
      <c r="BN501" s="30"/>
      <c r="BO501" s="30" t="str">
        <f ca="1">IFERROR(__xludf.DUMMYFUNCTION("""COMPUTED_VALUE"""),"479c3891")</f>
        <v>479c3891</v>
      </c>
      <c r="BP501" s="29" t="str">
        <f ca="1">IFERROR(__xludf.DUMMYFUNCTION("""COMPUTED_VALUE"""),"Guanajuato")</f>
        <v>Guanajuato</v>
      </c>
      <c r="BQ501" s="30" t="str">
        <f ca="1">IFERROR(__xludf.DUMMYFUNCTION("""COMPUTED_VALUE"""),"Urbano")</f>
        <v>Urbano</v>
      </c>
      <c r="BR501" s="30"/>
      <c r="BS501" s="30"/>
      <c r="BT501" s="30"/>
      <c r="BU501" s="30" t="str">
        <f ca="1">IFERROR(__xludf.DUMMYFUNCTION("""COMPUTED_VALUE"""),"No")</f>
        <v>No</v>
      </c>
      <c r="BV501" s="30" t="str">
        <f ca="1">IFERROR(__xludf.DUMMYFUNCTION("""COMPUTED_VALUE"""),"No")</f>
        <v>No</v>
      </c>
      <c r="BW501" s="30">
        <f ca="1">IFERROR(__xludf.DUMMYFUNCTION("""COMPUTED_VALUE"""),4)</f>
        <v>4</v>
      </c>
      <c r="BX501" s="30"/>
      <c r="BY501" s="30">
        <f ca="1">IFERROR(__xludf.DUMMYFUNCTION("""COMPUTED_VALUE"""),4)</f>
        <v>4</v>
      </c>
      <c r="BZ501" s="30"/>
      <c r="CA501" s="30" t="str">
        <f ca="1">IFERROR(__xludf.DUMMYFUNCTION("""COMPUTED_VALUE"""),"No")</f>
        <v>No</v>
      </c>
      <c r="CB501" s="30" t="str">
        <f ca="1">IFERROR(__xludf.DUMMYFUNCTION("""COMPUTED_VALUE"""),"No")</f>
        <v>No</v>
      </c>
      <c r="CC501" s="30" t="str">
        <f ca="1">IFERROR(__xludf.DUMMYFUNCTION("""COMPUTED_VALUE"""),"4d5d390c")</f>
        <v>4d5d390c</v>
      </c>
      <c r="CD501" s="29" t="str">
        <f ca="1">IFERROR(__xludf.DUMMYFUNCTION("""COMPUTED_VALUE"""),"Adolescentes (13 a 17 años)")</f>
        <v>Adolescentes (13 a 17 años)</v>
      </c>
      <c r="CE501" s="30" t="str">
        <f ca="1">IFERROR(__xludf.DUMMYFUNCTION("""COMPUTED_VALUE"""),"Dato global")</f>
        <v>Dato global</v>
      </c>
      <c r="CF501" s="30" t="str">
        <f ca="1">IFERROR(__xludf.DUMMYFUNCTION("""COMPUTED_VALUE"""),"Ninguno (Población General)")</f>
        <v>Ninguno (Población General)</v>
      </c>
      <c r="CG501" s="30">
        <f ca="1">IFERROR(__xludf.DUMMYFUNCTION("""COMPUTED_VALUE"""),15)</f>
        <v>15</v>
      </c>
      <c r="CJ501" s="29"/>
      <c r="CM501" s="30" t="str">
        <f ca="1">IFERROR(__xludf.DUMMYFUNCTION("""COMPUTED_VALUE"""),"Guanajuato")</f>
        <v>Guanajuato</v>
      </c>
      <c r="CN501" s="32" t="e">
        <f ca="1"/>
        <v>#NAME?</v>
      </c>
      <c r="CO501" s="32" t="e">
        <f ca="1"/>
        <v>#NAME?</v>
      </c>
      <c r="CP501" s="32" t="e">
        <f ca="1"/>
        <v>#NAME?</v>
      </c>
      <c r="CQ501" s="32" t="e">
        <f ca="1"/>
        <v>#NAME?</v>
      </c>
      <c r="CR501" s="30" t="e">
        <f ca="1"/>
        <v>#NAME?</v>
      </c>
      <c r="CS501" s="30" t="str">
        <f ca="1">IFERROR(__xludf.DUMMYFUNCTION("""COMPUTED_VALUE"""),"Ninguno (Población General)")</f>
        <v>Ninguno (Población General)</v>
      </c>
    </row>
    <row r="502" spans="1:97" ht="13">
      <c r="A502" s="29" t="str">
        <f ca="1">IFERROR(__xludf.DUMMYFUNCTION("""COMPUTED_VALUE"""),"ACT-SCMO58522")</f>
        <v>ACT-SCMO58522</v>
      </c>
      <c r="B502" s="30" t="str">
        <f ca="1">IFERROR(__xludf.DUMMYFUNCTION("""COMPUTED_VALUE"""),"SC-261005-151936")</f>
        <v>SC-261005-151936</v>
      </c>
      <c r="C502" s="62">
        <f ca="1">IFERROR(__xludf.DUMMYFUNCTION("""COMPUTED_VALUE"""),46300.6386111111)</f>
        <v>46300.638611111099</v>
      </c>
      <c r="D502" s="30">
        <f ca="1">IFERROR(__xludf.DUMMYFUNCTION("""COMPUTED_VALUE"""),92)</f>
        <v>92</v>
      </c>
      <c r="E502" s="30" t="str">
        <f ca="1">IFERROR(__xludf.DUMMYFUNCTION("""COMPUTED_VALUE"""),"PB3572")</f>
        <v>PB3572</v>
      </c>
      <c r="F50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2" s="30" t="str">
        <f ca="1">IFERROR(__xludf.DUMMYFUNCTION("""COMPUTED_VALUE"""),"SUBSECRETARÍA DE DESARROLLO Y PROMOCIÓN ARTÍSTICA Y CULTURAL")</f>
        <v>SUBSECRETARÍA DE DESARROLLO Y PROMOCIÓN ARTÍSTICA Y CULTURAL</v>
      </c>
      <c r="I502" s="34" t="str">
        <f ca="1">IFERROR(__xludf.DUMMYFUNCTION("""COMPUTED_VALUE"""),"DIRECCIÓN GENERAL DE MUSEOS, ARTES VISUALES Y EXPOSICIONES")</f>
        <v>DIRECCIÓN GENERAL DE MUSEOS, ARTES VISUALES Y EXPOSICIONES</v>
      </c>
      <c r="J502" s="30" t="str">
        <f ca="1">IFERROR(__xludf.DUMMYFUNCTION("""COMPUTED_VALUE"""),"Número de Actividades realizadas")</f>
        <v>Número de Actividades realizadas</v>
      </c>
      <c r="K502" s="30">
        <f ca="1">IFERROR(__xludf.DUMMYFUNCTION("""COMPUTED_VALUE"""),800)</f>
        <v>800</v>
      </c>
      <c r="L502" s="30" t="str">
        <f ca="1">IFERROR(__xludf.DUMMYFUNCTION("""COMPUTED_VALUE"""),"Cultural")</f>
        <v>Cultural</v>
      </c>
      <c r="M502" s="30" t="str">
        <f ca="1">IFERROR(__xludf.DUMMYFUNCTION("""COMPUTED_VALUE"""),"Visita guiada libre.")</f>
        <v>Visita guiada libre.</v>
      </c>
      <c r="N502" s="30" t="str">
        <f ca="1">IFERROR(__xludf.DUMMYFUNCTION("""COMPUTED_VALUE"""),"Recorrido guiado por el museo")</f>
        <v>Recorrido guiado por el museo</v>
      </c>
      <c r="O502" s="30" t="str">
        <f ca="1">IFERROR(__xludf.DUMMYFUNCTION("""COMPUTED_VALUE"""),"Única")</f>
        <v>Única</v>
      </c>
      <c r="P502" s="33">
        <f ca="1">IFERROR(__xludf.DUMMYFUNCTION("""COMPUTED_VALUE"""),46252)</f>
        <v>46252</v>
      </c>
      <c r="Q502" s="33">
        <f ca="1">IFERROR(__xludf.DUMMYFUNCTION("""COMPUTED_VALUE"""),46252)</f>
        <v>46252</v>
      </c>
      <c r="R502" s="30">
        <f ca="1">IFERROR(__xludf.DUMMYFUNCTION("""COMPUTED_VALUE"""),1)</f>
        <v>1</v>
      </c>
      <c r="S502" s="30" t="str">
        <f ca="1">IFERROR(__xludf.DUMMYFUNCTION("""COMPUTED_VALUE"""),"Cultura comunitaria")</f>
        <v>Cultura comunitaria</v>
      </c>
      <c r="T502" s="30" t="str">
        <f ca="1">IFERROR(__xludf.DUMMYFUNCTION("""COMPUTED_VALUE"""),"Formación comunitaria")</f>
        <v>Formación comunitaria</v>
      </c>
      <c r="U502" s="30" t="str">
        <f ca="1">IFERROR(__xludf.DUMMYFUNCTION("""COMPUTED_VALUE"""),"Visitas guiadas")</f>
        <v>Visitas guiadas</v>
      </c>
      <c r="V502" s="30" t="str">
        <f ca="1">IFERROR(__xludf.DUMMYFUNCTION("""COMPUTED_VALUE"""),"Ninguna")</f>
        <v>Ninguna</v>
      </c>
      <c r="W502" s="30" t="str">
        <f ca="1">IFERROR(__xludf.DUMMYFUNCTION("""COMPUTED_VALUE"""),"Presencial")</f>
        <v>Presencial</v>
      </c>
      <c r="X502" s="30" t="str">
        <f ca="1">IFERROR(__xludf.DUMMYFUNCTION("""COMPUTED_VALUE"""),"Espacio a Cargo de la Secretaría")</f>
        <v>Espacio a Cargo de la Secretaría</v>
      </c>
      <c r="Y502" s="30" t="str">
        <f ca="1">IFERROR(__xludf.DUMMYFUNCTION("""COMPUTED_VALUE"""),"Museo de Arte-Olga Costa-José Chávez Morado")</f>
        <v>Museo de Arte-Olga Costa-José Chávez Morado</v>
      </c>
      <c r="Z502" s="30"/>
      <c r="AA502" s="30"/>
      <c r="AB502" s="30" t="b">
        <f ca="1">IFERROR(__xludf.DUMMYFUNCTION("""COMPUTED_VALUE"""),FALSE)</f>
        <v>0</v>
      </c>
      <c r="AC502" s="30"/>
      <c r="AD502" s="30" t="b">
        <f ca="1">IFERROR(__xludf.DUMMYFUNCTION("""COMPUTED_VALUE"""),FALSE)</f>
        <v>0</v>
      </c>
      <c r="AE502" s="30"/>
      <c r="AF502" s="30" t="b">
        <f ca="1">IFERROR(__xludf.DUMMYFUNCTION("""COMPUTED_VALUE"""),FALSE)</f>
        <v>0</v>
      </c>
      <c r="AG502" s="30"/>
      <c r="AH502" s="30" t="str">
        <f ca="1">IFERROR(__xludf.DUMMYFUNCTION("""COMPUTED_VALUE"""),"Sin costo")</f>
        <v>Sin costo</v>
      </c>
      <c r="AI502" s="30"/>
      <c r="AJ502" s="30"/>
      <c r="AK502" s="30"/>
      <c r="AL502" s="30" t="str">
        <f ca="1">IFERROR(__xludf.DUMMYFUNCTION("""COMPUTED_VALUE"""),"ccardonav@guanajuato.gob.mx")</f>
        <v>ccardonav@guanajuato.gob.mx</v>
      </c>
      <c r="AM502" s="30" t="str">
        <f ca="1">IFERROR(__xludf.DUMMYFUNCTION("""COMPUTED_VALUE"""),"Arraigo y empoderamiento cultural de comunidades.")</f>
        <v>Arraigo y empoderamiento cultural de comunidades.</v>
      </c>
      <c r="AN502" s="30" t="str">
        <f ca="1">IFERROR(__xludf.DUMMYFUNCTION("""COMPUTED_VALUE"""),"1 Tranquilidad")</f>
        <v>1 Tranquilidad</v>
      </c>
      <c r="AO502" s="30" t="str">
        <f ca="1">IFERROR(__xludf.DUMMYFUNCTION("""COMPUTED_VALUE"""),"1.2 Fortalecer prevención del delito")</f>
        <v>1.2 Fortalecer prevención del delito</v>
      </c>
      <c r="AP502" s="30" t="str">
        <f ca="1">IFERROR(__xludf.DUMMYFUNCTION("""COMPUTED_VALUE"""),"1.2.2 Fortalecimiento del tejido social")</f>
        <v>1.2.2 Fortalecimiento del tejido social</v>
      </c>
      <c r="AQ502" s="30" t="str">
        <f ca="1">IFERROR(__xludf.DUMMYFUNCTION("""COMPUTED_VALUE"""),"1.2.3.4 Promover una cultura de paz desde las expresiones artísticas y culturales")</f>
        <v>1.2.3.4 Promover una cultura de paz desde las expresiones artísticas y culturales</v>
      </c>
      <c r="AR502" s="30" t="str">
        <f ca="1">IFERROR(__xludf.DUMMYFUNCTION("""COMPUTED_VALUE"""),"Cooperación")</f>
        <v>Cooperación</v>
      </c>
      <c r="AS502" s="30"/>
      <c r="AT502" s="30" t="str">
        <f ca="1">IFERROR(__xludf.DUMMYFUNCTION("""COMPUTED_VALUE"""),"Fortalecimiento de la participación ciudadana y la mediación cultural")</f>
        <v>Fortalecimiento de la participación ciudadana y la mediación cultural</v>
      </c>
      <c r="AU502" s="30" t="str">
        <f ca="1">IFERROR(__xludf.DUMMYFUNCTION("""COMPUTED_VALUE"""),"Impulso a la ampliación de la oferta cultural en los territorios.")</f>
        <v>Impulso a la ampliación de la oferta cultural en los territorios.</v>
      </c>
      <c r="AV50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2" s="30" t="str">
        <f ca="1">IFERROR(__xludf.DUMMYFUNCTION("""COMPUTED_VALUE"""),"Incrementar en 25% la oferta cultural realizada en los municipios.")</f>
        <v>Incrementar en 25% la oferta cultural realizada en los municipios.</v>
      </c>
      <c r="AX502" s="30" t="str">
        <f ca="1">IFERROR(__xludf.DUMMYFUNCTION("""COMPUTED_VALUE"""),"Visitas guiadas")</f>
        <v>Visitas guiadas</v>
      </c>
      <c r="AY502" s="30" t="str">
        <f ca="1">IFERROR(__xludf.DUMMYFUNCTION("""COMPUTED_VALUE"""),"Formación")</f>
        <v>Formación</v>
      </c>
      <c r="AZ502" s="30" t="str">
        <f ca="1">IFERROR(__xludf.DUMMYFUNCTION("""COMPUTED_VALUE"""),"Formación")</f>
        <v>Formación</v>
      </c>
      <c r="BA502" s="30"/>
      <c r="BB502" s="30"/>
      <c r="BC502" s="30">
        <f ca="1">IFERROR(__xludf.DUMMYFUNCTION("""COMPUTED_VALUE"""),0)</f>
        <v>0</v>
      </c>
      <c r="BD502" s="30"/>
      <c r="BE502" s="30"/>
      <c r="BF502" s="30" t="b">
        <f ca="1">IFERROR(__xludf.DUMMYFUNCTION("""COMPUTED_VALUE"""),FALSE)</f>
        <v>0</v>
      </c>
      <c r="BG502" s="30"/>
      <c r="BH502" s="30"/>
      <c r="BI502" s="30"/>
      <c r="BJ502" s="30"/>
      <c r="BK502" s="30"/>
      <c r="BL502" s="30"/>
      <c r="BM502" s="30" t="str">
        <f ca="1">IFERROR(__xludf.DUMMYFUNCTION("""COMPUTED_VALUE"""),"No")</f>
        <v>No</v>
      </c>
      <c r="BN502" s="30"/>
      <c r="BO502" s="30" t="str">
        <f ca="1">IFERROR(__xludf.DUMMYFUNCTION("""COMPUTED_VALUE"""),"b16f9c88")</f>
        <v>b16f9c88</v>
      </c>
      <c r="BP502" s="29" t="str">
        <f ca="1">IFERROR(__xludf.DUMMYFUNCTION("""COMPUTED_VALUE"""),"Salamanca")</f>
        <v>Salamanca</v>
      </c>
      <c r="BQ502" s="30" t="str">
        <f ca="1">IFERROR(__xludf.DUMMYFUNCTION("""COMPUTED_VALUE"""),"Urbano")</f>
        <v>Urbano</v>
      </c>
      <c r="BR502" s="30">
        <f ca="1">IFERROR(__xludf.DUMMYFUNCTION("""COMPUTED_VALUE"""),181)</f>
        <v>181</v>
      </c>
      <c r="BS502" s="30" t="str">
        <f ca="1">IFERROR(__xludf.DUMMYFUNCTION("""COMPUTED_VALUE"""),"Salamanca")</f>
        <v>Salamanca</v>
      </c>
      <c r="BT502" s="30"/>
      <c r="BU502" s="30" t="str">
        <f ca="1">IFERROR(__xludf.DUMMYFUNCTION("""COMPUTED_VALUE"""),"Si")</f>
        <v>Si</v>
      </c>
      <c r="BV502" s="30" t="str">
        <f ca="1">IFERROR(__xludf.DUMMYFUNCTION("""COMPUTED_VALUE"""),"Si")</f>
        <v>Si</v>
      </c>
      <c r="BW502" s="30">
        <f ca="1">IFERROR(__xludf.DUMMYFUNCTION("""COMPUTED_VALUE"""),7)</f>
        <v>7</v>
      </c>
      <c r="BX502" s="30">
        <f ca="1">IFERROR(__xludf.DUMMYFUNCTION("""COMPUTED_VALUE"""),1)</f>
        <v>1</v>
      </c>
      <c r="BY502" s="30">
        <f ca="1">IFERROR(__xludf.DUMMYFUNCTION("""COMPUTED_VALUE"""),6)</f>
        <v>6</v>
      </c>
      <c r="BZ502" s="30" t="str">
        <f ca="1">IFERROR(__xludf.DUMMYFUNCTION("""COMPUTED_VALUE"""),"Salamanca")</f>
        <v>Salamanca</v>
      </c>
      <c r="CA502" s="30" t="str">
        <f ca="1">IFERROR(__xludf.DUMMYFUNCTION("""COMPUTED_VALUE"""),"No")</f>
        <v>No</v>
      </c>
      <c r="CB502" s="30" t="str">
        <f ca="1">IFERROR(__xludf.DUMMYFUNCTION("""COMPUTED_VALUE"""),"No")</f>
        <v>No</v>
      </c>
      <c r="CC502" s="30" t="str">
        <f ca="1">IFERROR(__xludf.DUMMYFUNCTION("""COMPUTED_VALUE"""),"251f0075")</f>
        <v>251f0075</v>
      </c>
      <c r="CD502" s="29" t="str">
        <f ca="1">IFERROR(__xludf.DUMMYFUNCTION("""COMPUTED_VALUE"""),"Niñas y Niños (6 a 12 años)")</f>
        <v>Niñas y Niños (6 a 12 años)</v>
      </c>
      <c r="CE502" s="30" t="str">
        <f ca="1">IFERROR(__xludf.DUMMYFUNCTION("""COMPUTED_VALUE"""),"No se cuenta con el dato")</f>
        <v>No se cuenta con el dato</v>
      </c>
      <c r="CF502" s="30" t="str">
        <f ca="1">IFERROR(__xludf.DUMMYFUNCTION("""COMPUTED_VALUE"""),"Ninguno (Población General)")</f>
        <v>Ninguno (Población General)</v>
      </c>
      <c r="CG502" s="30">
        <f ca="1">IFERROR(__xludf.DUMMYFUNCTION("""COMPUTED_VALUE"""),15)</f>
        <v>15</v>
      </c>
      <c r="CJ502" s="29"/>
      <c r="CM502" s="30" t="str">
        <f ca="1">IFERROR(__xludf.DUMMYFUNCTION("""COMPUTED_VALUE"""),"Guanajuato")</f>
        <v>Guanajuato</v>
      </c>
      <c r="CN502" s="32" t="e">
        <f ca="1"/>
        <v>#NAME?</v>
      </c>
      <c r="CO502" s="32" t="e">
        <f ca="1"/>
        <v>#NAME?</v>
      </c>
      <c r="CP502" s="32" t="e">
        <f ca="1"/>
        <v>#NAME?</v>
      </c>
      <c r="CQ502" s="32" t="e">
        <f ca="1"/>
        <v>#NAME?</v>
      </c>
      <c r="CR502" s="30" t="e">
        <f ca="1"/>
        <v>#NAME?</v>
      </c>
      <c r="CS502" s="30" t="str">
        <f ca="1">IFERROR(__xludf.DUMMYFUNCTION("""COMPUTED_VALUE"""),"Ninguno (Población General)")</f>
        <v>Ninguno (Población General)</v>
      </c>
    </row>
    <row r="503" spans="1:97" ht="13">
      <c r="A503" s="29" t="str">
        <f ca="1">IFERROR(__xludf.DUMMYFUNCTION("""COMPUTED_VALUE"""),"ACT-SCAL82876")</f>
        <v>ACT-SCAL82876</v>
      </c>
      <c r="B503" s="30" t="str">
        <f ca="1">IFERROR(__xludf.DUMMYFUNCTION("""COMPUTED_VALUE"""),"SC-261005-153311")</f>
        <v>SC-261005-153311</v>
      </c>
      <c r="C503" s="62">
        <f ca="1">IFERROR(__xludf.DUMMYFUNCTION("""COMPUTED_VALUE"""),46300.6480439814)</f>
        <v>46300.648043981397</v>
      </c>
      <c r="D503" s="30">
        <f ca="1">IFERROR(__xludf.DUMMYFUNCTION("""COMPUTED_VALUE"""),92)</f>
        <v>92</v>
      </c>
      <c r="E503" s="30" t="str">
        <f ca="1">IFERROR(__xludf.DUMMYFUNCTION("""COMPUTED_VALUE"""),"PB3572")</f>
        <v>PB3572</v>
      </c>
      <c r="F50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3" s="30" t="str">
        <f ca="1">IFERROR(__xludf.DUMMYFUNCTION("""COMPUTED_VALUE"""),"SUBSECRETARÍA DE DESARROLLO Y PROMOCIÓN ARTÍSTICA Y CULTURAL")</f>
        <v>SUBSECRETARÍA DE DESARROLLO Y PROMOCIÓN ARTÍSTICA Y CULTURAL</v>
      </c>
      <c r="I503" s="34" t="str">
        <f ca="1">IFERROR(__xludf.DUMMYFUNCTION("""COMPUTED_VALUE"""),"DIRECCIÓN GENERAL DE MUSEOS, ARTES VISUALES Y EXPOSICIONES")</f>
        <v>DIRECCIÓN GENERAL DE MUSEOS, ARTES VISUALES Y EXPOSICIONES</v>
      </c>
      <c r="J503" s="30" t="str">
        <f ca="1">IFERROR(__xludf.DUMMYFUNCTION("""COMPUTED_VALUE"""),"Número de Actividades realizadas")</f>
        <v>Número de Actividades realizadas</v>
      </c>
      <c r="K503" s="30">
        <f ca="1">IFERROR(__xludf.DUMMYFUNCTION("""COMPUTED_VALUE"""),800)</f>
        <v>800</v>
      </c>
      <c r="L503" s="30" t="str">
        <f ca="1">IFERROR(__xludf.DUMMYFUNCTION("""COMPUTED_VALUE"""),"Cultural")</f>
        <v>Cultural</v>
      </c>
      <c r="M503" s="30" t="str">
        <f ca="1">IFERROR(__xludf.DUMMYFUNCTION("""COMPUTED_VALUE"""),"Visita guiada libre.")</f>
        <v>Visita guiada libre.</v>
      </c>
      <c r="N503" s="30" t="str">
        <f ca="1">IFERROR(__xludf.DUMMYFUNCTION("""COMPUTED_VALUE"""),"Recorrido guiado por el museo")</f>
        <v>Recorrido guiado por el museo</v>
      </c>
      <c r="O503" s="30" t="str">
        <f ca="1">IFERROR(__xludf.DUMMYFUNCTION("""COMPUTED_VALUE"""),"Única")</f>
        <v>Única</v>
      </c>
      <c r="P503" s="33">
        <f ca="1">IFERROR(__xludf.DUMMYFUNCTION("""COMPUTED_VALUE"""),46252)</f>
        <v>46252</v>
      </c>
      <c r="Q503" s="33">
        <f ca="1">IFERROR(__xludf.DUMMYFUNCTION("""COMPUTED_VALUE"""),46252)</f>
        <v>46252</v>
      </c>
      <c r="R503" s="30">
        <f ca="1">IFERROR(__xludf.DUMMYFUNCTION("""COMPUTED_VALUE"""),1)</f>
        <v>1</v>
      </c>
      <c r="S503" s="30" t="str">
        <f ca="1">IFERROR(__xludf.DUMMYFUNCTION("""COMPUTED_VALUE"""),"Cultura comunitaria")</f>
        <v>Cultura comunitaria</v>
      </c>
      <c r="T503" s="30" t="str">
        <f ca="1">IFERROR(__xludf.DUMMYFUNCTION("""COMPUTED_VALUE"""),"Formación comunitaria")</f>
        <v>Formación comunitaria</v>
      </c>
      <c r="U503" s="30" t="str">
        <f ca="1">IFERROR(__xludf.DUMMYFUNCTION("""COMPUTED_VALUE"""),"Visitas guiadas")</f>
        <v>Visitas guiadas</v>
      </c>
      <c r="V503" s="30" t="str">
        <f ca="1">IFERROR(__xludf.DUMMYFUNCTION("""COMPUTED_VALUE"""),"Ninguna")</f>
        <v>Ninguna</v>
      </c>
      <c r="W503" s="30" t="str">
        <f ca="1">IFERROR(__xludf.DUMMYFUNCTION("""COMPUTED_VALUE"""),"Presencial")</f>
        <v>Presencial</v>
      </c>
      <c r="X503" s="30" t="str">
        <f ca="1">IFERROR(__xludf.DUMMYFUNCTION("""COMPUTED_VALUE"""),"Espacio a Cargo de la Secretaría")</f>
        <v>Espacio a Cargo de la Secretaría</v>
      </c>
      <c r="Y503" s="30" t="str">
        <f ca="1">IFERROR(__xludf.DUMMYFUNCTION("""COMPUTED_VALUE"""),"Museo de Arte-Olga Costa-José Chávez Morado")</f>
        <v>Museo de Arte-Olga Costa-José Chávez Morado</v>
      </c>
      <c r="Z503" s="30"/>
      <c r="AA503" s="30"/>
      <c r="AB503" s="30" t="b">
        <f ca="1">IFERROR(__xludf.DUMMYFUNCTION("""COMPUTED_VALUE"""),FALSE)</f>
        <v>0</v>
      </c>
      <c r="AC503" s="30"/>
      <c r="AD503" s="30" t="b">
        <f ca="1">IFERROR(__xludf.DUMMYFUNCTION("""COMPUTED_VALUE"""),FALSE)</f>
        <v>0</v>
      </c>
      <c r="AE503" s="30"/>
      <c r="AF503" s="30" t="b">
        <f ca="1">IFERROR(__xludf.DUMMYFUNCTION("""COMPUTED_VALUE"""),FALSE)</f>
        <v>0</v>
      </c>
      <c r="AG503" s="30"/>
      <c r="AH503" s="30" t="str">
        <f ca="1">IFERROR(__xludf.DUMMYFUNCTION("""COMPUTED_VALUE"""),"Sin costo")</f>
        <v>Sin costo</v>
      </c>
      <c r="AI503" s="30"/>
      <c r="AJ503" s="30"/>
      <c r="AK503" s="30"/>
      <c r="AL503" s="30" t="str">
        <f ca="1">IFERROR(__xludf.DUMMYFUNCTION("""COMPUTED_VALUE"""),"ccardonav@guanajuato.gob.mx")</f>
        <v>ccardonav@guanajuato.gob.mx</v>
      </c>
      <c r="AM503" s="30" t="str">
        <f ca="1">IFERROR(__xludf.DUMMYFUNCTION("""COMPUTED_VALUE"""),"Arraigo y empoderamiento cultural de comunidades.")</f>
        <v>Arraigo y empoderamiento cultural de comunidades.</v>
      </c>
      <c r="AN503" s="30" t="str">
        <f ca="1">IFERROR(__xludf.DUMMYFUNCTION("""COMPUTED_VALUE"""),"1 Tranquilidad")</f>
        <v>1 Tranquilidad</v>
      </c>
      <c r="AO503" s="30" t="str">
        <f ca="1">IFERROR(__xludf.DUMMYFUNCTION("""COMPUTED_VALUE"""),"1.2 Fortalecer prevención del delito")</f>
        <v>1.2 Fortalecer prevención del delito</v>
      </c>
      <c r="AP503" s="30" t="str">
        <f ca="1">IFERROR(__xludf.DUMMYFUNCTION("""COMPUTED_VALUE"""),"1.2.2 Fortalecimiento del tejido social")</f>
        <v>1.2.2 Fortalecimiento del tejido social</v>
      </c>
      <c r="AQ503" s="30" t="str">
        <f ca="1">IFERROR(__xludf.DUMMYFUNCTION("""COMPUTED_VALUE"""),"1.2.3.4 Promover una cultura de paz desde las expresiones artísticas y culturales")</f>
        <v>1.2.3.4 Promover una cultura de paz desde las expresiones artísticas y culturales</v>
      </c>
      <c r="AR503" s="30" t="str">
        <f ca="1">IFERROR(__xludf.DUMMYFUNCTION("""COMPUTED_VALUE"""),"Cooperación")</f>
        <v>Cooperación</v>
      </c>
      <c r="AS503" s="30"/>
      <c r="AT503" s="30" t="str">
        <f ca="1">IFERROR(__xludf.DUMMYFUNCTION("""COMPUTED_VALUE"""),"Fortalecimiento de la participación ciudadana y la mediación cultural")</f>
        <v>Fortalecimiento de la participación ciudadana y la mediación cultural</v>
      </c>
      <c r="AU503" s="30" t="str">
        <f ca="1">IFERROR(__xludf.DUMMYFUNCTION("""COMPUTED_VALUE"""),"Impulso a la ampliación de la oferta cultural en los territorios.")</f>
        <v>Impulso a la ampliación de la oferta cultural en los territorios.</v>
      </c>
      <c r="AV50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3" s="30" t="str">
        <f ca="1">IFERROR(__xludf.DUMMYFUNCTION("""COMPUTED_VALUE"""),"Incrementar en 25% la oferta cultural realizada en los municipios.")</f>
        <v>Incrementar en 25% la oferta cultural realizada en los municipios.</v>
      </c>
      <c r="AX503" s="30" t="str">
        <f ca="1">IFERROR(__xludf.DUMMYFUNCTION("""COMPUTED_VALUE"""),"Visitas guiadas")</f>
        <v>Visitas guiadas</v>
      </c>
      <c r="AY503" s="30" t="str">
        <f ca="1">IFERROR(__xludf.DUMMYFUNCTION("""COMPUTED_VALUE"""),"Formación")</f>
        <v>Formación</v>
      </c>
      <c r="AZ503" s="30" t="str">
        <f ca="1">IFERROR(__xludf.DUMMYFUNCTION("""COMPUTED_VALUE"""),"Formación")</f>
        <v>Formación</v>
      </c>
      <c r="BA503" s="30"/>
      <c r="BB503" s="30"/>
      <c r="BC503" s="30">
        <f ca="1">IFERROR(__xludf.DUMMYFUNCTION("""COMPUTED_VALUE"""),0)</f>
        <v>0</v>
      </c>
      <c r="BD503" s="30"/>
      <c r="BE503" s="30"/>
      <c r="BF503" s="30" t="b">
        <f ca="1">IFERROR(__xludf.DUMMYFUNCTION("""COMPUTED_VALUE"""),FALSE)</f>
        <v>0</v>
      </c>
      <c r="BG503" s="30"/>
      <c r="BH503" s="30"/>
      <c r="BI503" s="30"/>
      <c r="BJ503" s="30"/>
      <c r="BK503" s="30"/>
      <c r="BL503" s="30"/>
      <c r="BM503" s="30" t="str">
        <f ca="1">IFERROR(__xludf.DUMMYFUNCTION("""COMPUTED_VALUE"""),"No")</f>
        <v>No</v>
      </c>
      <c r="BN503" s="30"/>
      <c r="BO503" s="30" t="str">
        <f ca="1">IFERROR(__xludf.DUMMYFUNCTION("""COMPUTED_VALUE"""),"d669c157")</f>
        <v>d669c157</v>
      </c>
      <c r="BP503" s="29" t="str">
        <f ca="1">IFERROR(__xludf.DUMMYFUNCTION("""COMPUTED_VALUE"""),"Guanajuato")</f>
        <v>Guanajuato</v>
      </c>
      <c r="BQ503" s="30" t="str">
        <f ca="1">IFERROR(__xludf.DUMMYFUNCTION("""COMPUTED_VALUE"""),"Urbano")</f>
        <v>Urbano</v>
      </c>
      <c r="BR503" s="30"/>
      <c r="BS503" s="30"/>
      <c r="BT503" s="30"/>
      <c r="BU503" s="30" t="str">
        <f ca="1">IFERROR(__xludf.DUMMYFUNCTION("""COMPUTED_VALUE"""),"No")</f>
        <v>No</v>
      </c>
      <c r="BV503" s="30" t="str">
        <f ca="1">IFERROR(__xludf.DUMMYFUNCTION("""COMPUTED_VALUE"""),"No")</f>
        <v>No</v>
      </c>
      <c r="BW503" s="30">
        <f ca="1">IFERROR(__xludf.DUMMYFUNCTION("""COMPUTED_VALUE"""),2)</f>
        <v>2</v>
      </c>
      <c r="BX503" s="30"/>
      <c r="BY503" s="30">
        <f ca="1">IFERROR(__xludf.DUMMYFUNCTION("""COMPUTED_VALUE"""),2)</f>
        <v>2</v>
      </c>
      <c r="BZ503" s="30"/>
      <c r="CA503" s="30" t="str">
        <f ca="1">IFERROR(__xludf.DUMMYFUNCTION("""COMPUTED_VALUE"""),"No")</f>
        <v>No</v>
      </c>
      <c r="CB503" s="30" t="str">
        <f ca="1">IFERROR(__xludf.DUMMYFUNCTION("""COMPUTED_VALUE"""),"No")</f>
        <v>No</v>
      </c>
      <c r="CC503" s="30" t="str">
        <f ca="1">IFERROR(__xludf.DUMMYFUNCTION("""COMPUTED_VALUE"""),"31f381a8")</f>
        <v>31f381a8</v>
      </c>
      <c r="CD503" s="29" t="str">
        <f ca="1">IFERROR(__xludf.DUMMYFUNCTION("""COMPUTED_VALUE"""),"Adultos Mayores (60 años o más)")</f>
        <v>Adultos Mayores (60 años o más)</v>
      </c>
      <c r="CE503" s="30" t="str">
        <f ca="1">IFERROR(__xludf.DUMMYFUNCTION("""COMPUTED_VALUE"""),"No se cuenta con el dato")</f>
        <v>No se cuenta con el dato</v>
      </c>
      <c r="CF503" s="30" t="str">
        <f ca="1">IFERROR(__xludf.DUMMYFUNCTION("""COMPUTED_VALUE"""),"Ninguno (Población General)")</f>
        <v>Ninguno (Población General)</v>
      </c>
      <c r="CG503" s="30">
        <f ca="1">IFERROR(__xludf.DUMMYFUNCTION("""COMPUTED_VALUE"""),10)</f>
        <v>10</v>
      </c>
      <c r="CJ503" s="29"/>
      <c r="CM503" s="30" t="str">
        <f ca="1">IFERROR(__xludf.DUMMYFUNCTION("""COMPUTED_VALUE"""),"Guanajuato")</f>
        <v>Guanajuato</v>
      </c>
      <c r="CN503" s="32" t="e">
        <f ca="1"/>
        <v>#NAME?</v>
      </c>
      <c r="CO503" s="32" t="e">
        <f ca="1"/>
        <v>#NAME?</v>
      </c>
      <c r="CP503" s="32" t="e">
        <f ca="1"/>
        <v>#NAME?</v>
      </c>
      <c r="CQ503" s="32" t="e">
        <f ca="1"/>
        <v>#NAME?</v>
      </c>
      <c r="CR503" s="30" t="e">
        <f ca="1"/>
        <v>#NAME?</v>
      </c>
      <c r="CS503" s="30" t="str">
        <f ca="1">IFERROR(__xludf.DUMMYFUNCTION("""COMPUTED_VALUE"""),"Ninguno (Población General)")</f>
        <v>Ninguno (Población General)</v>
      </c>
    </row>
    <row r="504" spans="1:97" ht="13">
      <c r="A504" s="29" t="str">
        <f ca="1">IFERROR(__xludf.DUMMYFUNCTION("""COMPUTED_VALUE"""),"ACT-SCNP58131")</f>
        <v>ACT-SCNP58131</v>
      </c>
      <c r="B504" s="30" t="str">
        <f ca="1">IFERROR(__xludf.DUMMYFUNCTION("""COMPUTED_VALUE"""),"SC-261005-154020")</f>
        <v>SC-261005-154020</v>
      </c>
      <c r="C504" s="62">
        <f ca="1">IFERROR(__xludf.DUMMYFUNCTION("""COMPUTED_VALUE"""),46300.6530092592)</f>
        <v>46300.6530092592</v>
      </c>
      <c r="D504" s="30">
        <f ca="1">IFERROR(__xludf.DUMMYFUNCTION("""COMPUTED_VALUE"""),92)</f>
        <v>92</v>
      </c>
      <c r="E504" s="30" t="str">
        <f ca="1">IFERROR(__xludf.DUMMYFUNCTION("""COMPUTED_VALUE"""),"PB3572")</f>
        <v>PB3572</v>
      </c>
      <c r="F50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4" s="30" t="str">
        <f ca="1">IFERROR(__xludf.DUMMYFUNCTION("""COMPUTED_VALUE"""),"SUBSECRETARÍA DE DESARROLLO Y PROMOCIÓN ARTÍSTICA Y CULTURAL")</f>
        <v>SUBSECRETARÍA DE DESARROLLO Y PROMOCIÓN ARTÍSTICA Y CULTURAL</v>
      </c>
      <c r="I504" s="34" t="str">
        <f ca="1">IFERROR(__xludf.DUMMYFUNCTION("""COMPUTED_VALUE"""),"DIRECCIÓN GENERAL DE MUSEOS, ARTES VISUALES Y EXPOSICIONES")</f>
        <v>DIRECCIÓN GENERAL DE MUSEOS, ARTES VISUALES Y EXPOSICIONES</v>
      </c>
      <c r="J504" s="30" t="str">
        <f ca="1">IFERROR(__xludf.DUMMYFUNCTION("""COMPUTED_VALUE"""),"Número de Actividades realizadas")</f>
        <v>Número de Actividades realizadas</v>
      </c>
      <c r="K504" s="30">
        <f ca="1">IFERROR(__xludf.DUMMYFUNCTION("""COMPUTED_VALUE"""),800)</f>
        <v>800</v>
      </c>
      <c r="L504" s="30" t="str">
        <f ca="1">IFERROR(__xludf.DUMMYFUNCTION("""COMPUTED_VALUE"""),"Cultural")</f>
        <v>Cultural</v>
      </c>
      <c r="M504" s="30" t="str">
        <f ca="1">IFERROR(__xludf.DUMMYFUNCTION("""COMPUTED_VALUE"""),"Visita guiada libre.")</f>
        <v>Visita guiada libre.</v>
      </c>
      <c r="N504" s="30" t="str">
        <f ca="1">IFERROR(__xludf.DUMMYFUNCTION("""COMPUTED_VALUE"""),"Recorrido guiado por el museo")</f>
        <v>Recorrido guiado por el museo</v>
      </c>
      <c r="O504" s="30" t="str">
        <f ca="1">IFERROR(__xludf.DUMMYFUNCTION("""COMPUTED_VALUE"""),"Única")</f>
        <v>Única</v>
      </c>
      <c r="P504" s="33">
        <f ca="1">IFERROR(__xludf.DUMMYFUNCTION("""COMPUTED_VALUE"""),46257)</f>
        <v>46257</v>
      </c>
      <c r="Q504" s="33">
        <f ca="1">IFERROR(__xludf.DUMMYFUNCTION("""COMPUTED_VALUE"""),46257)</f>
        <v>46257</v>
      </c>
      <c r="R504" s="30">
        <f ca="1">IFERROR(__xludf.DUMMYFUNCTION("""COMPUTED_VALUE"""),1)</f>
        <v>1</v>
      </c>
      <c r="S504" s="30" t="str">
        <f ca="1">IFERROR(__xludf.DUMMYFUNCTION("""COMPUTED_VALUE"""),"Cultura comunitaria")</f>
        <v>Cultura comunitaria</v>
      </c>
      <c r="T504" s="30" t="str">
        <f ca="1">IFERROR(__xludf.DUMMYFUNCTION("""COMPUTED_VALUE"""),"Formación comunitaria")</f>
        <v>Formación comunitaria</v>
      </c>
      <c r="U504" s="30" t="str">
        <f ca="1">IFERROR(__xludf.DUMMYFUNCTION("""COMPUTED_VALUE"""),"Visitas guiadas")</f>
        <v>Visitas guiadas</v>
      </c>
      <c r="V504" s="30" t="str">
        <f ca="1">IFERROR(__xludf.DUMMYFUNCTION("""COMPUTED_VALUE"""),"Ninguna")</f>
        <v>Ninguna</v>
      </c>
      <c r="W504" s="30" t="str">
        <f ca="1">IFERROR(__xludf.DUMMYFUNCTION("""COMPUTED_VALUE"""),"Presencial")</f>
        <v>Presencial</v>
      </c>
      <c r="X504" s="30" t="str">
        <f ca="1">IFERROR(__xludf.DUMMYFUNCTION("""COMPUTED_VALUE"""),"Espacio a Cargo de la Secretaría")</f>
        <v>Espacio a Cargo de la Secretaría</v>
      </c>
      <c r="Y504" s="30" t="str">
        <f ca="1">IFERROR(__xludf.DUMMYFUNCTION("""COMPUTED_VALUE"""),"Museo de Arte-Olga Costa-José Chávez Morado")</f>
        <v>Museo de Arte-Olga Costa-José Chávez Morado</v>
      </c>
      <c r="Z504" s="30"/>
      <c r="AA504" s="30"/>
      <c r="AB504" s="30" t="b">
        <f ca="1">IFERROR(__xludf.DUMMYFUNCTION("""COMPUTED_VALUE"""),FALSE)</f>
        <v>0</v>
      </c>
      <c r="AC504" s="30"/>
      <c r="AD504" s="30" t="b">
        <f ca="1">IFERROR(__xludf.DUMMYFUNCTION("""COMPUTED_VALUE"""),FALSE)</f>
        <v>0</v>
      </c>
      <c r="AE504" s="30"/>
      <c r="AF504" s="30" t="b">
        <f ca="1">IFERROR(__xludf.DUMMYFUNCTION("""COMPUTED_VALUE"""),FALSE)</f>
        <v>0</v>
      </c>
      <c r="AG504" s="30"/>
      <c r="AH504" s="30" t="str">
        <f ca="1">IFERROR(__xludf.DUMMYFUNCTION("""COMPUTED_VALUE"""),"Sin costo")</f>
        <v>Sin costo</v>
      </c>
      <c r="AI504" s="30"/>
      <c r="AJ504" s="30"/>
      <c r="AK504" s="30"/>
      <c r="AL504" s="30" t="str">
        <f ca="1">IFERROR(__xludf.DUMMYFUNCTION("""COMPUTED_VALUE"""),"ccardonav@guanajuato.gob.mx")</f>
        <v>ccardonav@guanajuato.gob.mx</v>
      </c>
      <c r="AM504" s="30" t="str">
        <f ca="1">IFERROR(__xludf.DUMMYFUNCTION("""COMPUTED_VALUE"""),"Arraigo y empoderamiento cultural de comunidades.")</f>
        <v>Arraigo y empoderamiento cultural de comunidades.</v>
      </c>
      <c r="AN504" s="30" t="str">
        <f ca="1">IFERROR(__xludf.DUMMYFUNCTION("""COMPUTED_VALUE"""),"1 Tranquilidad")</f>
        <v>1 Tranquilidad</v>
      </c>
      <c r="AO504" s="30" t="str">
        <f ca="1">IFERROR(__xludf.DUMMYFUNCTION("""COMPUTED_VALUE"""),"1.2 Fortalecer prevención del delito")</f>
        <v>1.2 Fortalecer prevención del delito</v>
      </c>
      <c r="AP504" s="30" t="str">
        <f ca="1">IFERROR(__xludf.DUMMYFUNCTION("""COMPUTED_VALUE"""),"1.2.2 Fortalecimiento del tejido social")</f>
        <v>1.2.2 Fortalecimiento del tejido social</v>
      </c>
      <c r="AQ504" s="30" t="str">
        <f ca="1">IFERROR(__xludf.DUMMYFUNCTION("""COMPUTED_VALUE"""),"1.2.3.4 Promover una cultura de paz desde las expresiones artísticas y culturales")</f>
        <v>1.2.3.4 Promover una cultura de paz desde las expresiones artísticas y culturales</v>
      </c>
      <c r="AR504" s="30" t="str">
        <f ca="1">IFERROR(__xludf.DUMMYFUNCTION("""COMPUTED_VALUE"""),"Cooperación")</f>
        <v>Cooperación</v>
      </c>
      <c r="AS504" s="30"/>
      <c r="AT504" s="30" t="str">
        <f ca="1">IFERROR(__xludf.DUMMYFUNCTION("""COMPUTED_VALUE"""),"Fortalecimiento de la participación ciudadana y la mediación cultural")</f>
        <v>Fortalecimiento de la participación ciudadana y la mediación cultural</v>
      </c>
      <c r="AU504" s="30" t="str">
        <f ca="1">IFERROR(__xludf.DUMMYFUNCTION("""COMPUTED_VALUE"""),"Impulso a la ampliación de la oferta cultural en los territorios.")</f>
        <v>Impulso a la ampliación de la oferta cultural en los territorios.</v>
      </c>
      <c r="AV50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4" s="30" t="str">
        <f ca="1">IFERROR(__xludf.DUMMYFUNCTION("""COMPUTED_VALUE"""),"Incrementar en 25% la oferta cultural realizada en los municipios.")</f>
        <v>Incrementar en 25% la oferta cultural realizada en los municipios.</v>
      </c>
      <c r="AX504" s="30" t="str">
        <f ca="1">IFERROR(__xludf.DUMMYFUNCTION("""COMPUTED_VALUE"""),"Visitas guiadas")</f>
        <v>Visitas guiadas</v>
      </c>
      <c r="AY504" s="30" t="str">
        <f ca="1">IFERROR(__xludf.DUMMYFUNCTION("""COMPUTED_VALUE"""),"Formación")</f>
        <v>Formación</v>
      </c>
      <c r="AZ504" s="30" t="str">
        <f ca="1">IFERROR(__xludf.DUMMYFUNCTION("""COMPUTED_VALUE"""),"Formación")</f>
        <v>Formación</v>
      </c>
      <c r="BA504" s="30"/>
      <c r="BB504" s="30"/>
      <c r="BC504" s="30">
        <f ca="1">IFERROR(__xludf.DUMMYFUNCTION("""COMPUTED_VALUE"""),0)</f>
        <v>0</v>
      </c>
      <c r="BD504" s="30"/>
      <c r="BE504" s="30"/>
      <c r="BF504" s="30" t="b">
        <f ca="1">IFERROR(__xludf.DUMMYFUNCTION("""COMPUTED_VALUE"""),FALSE)</f>
        <v>0</v>
      </c>
      <c r="BG504" s="30"/>
      <c r="BH504" s="30"/>
      <c r="BI504" s="30"/>
      <c r="BJ504" s="30"/>
      <c r="BK504" s="30"/>
      <c r="BL504" s="30"/>
      <c r="BM504" s="30" t="str">
        <f ca="1">IFERROR(__xludf.DUMMYFUNCTION("""COMPUTED_VALUE"""),"No")</f>
        <v>No</v>
      </c>
      <c r="BN504" s="30"/>
      <c r="BO504" s="30" t="str">
        <f ca="1">IFERROR(__xludf.DUMMYFUNCTION("""COMPUTED_VALUE"""),"403a8060")</f>
        <v>403a8060</v>
      </c>
      <c r="BP504" s="29" t="str">
        <f ca="1">IFERROR(__xludf.DUMMYFUNCTION("""COMPUTED_VALUE"""),"Guanajuato")</f>
        <v>Guanajuato</v>
      </c>
      <c r="BQ504" s="30" t="str">
        <f ca="1">IFERROR(__xludf.DUMMYFUNCTION("""COMPUTED_VALUE"""),"Urbano")</f>
        <v>Urbano</v>
      </c>
      <c r="BR504" s="30"/>
      <c r="BS504" s="30"/>
      <c r="BT504" s="30"/>
      <c r="BU504" s="30" t="str">
        <f ca="1">IFERROR(__xludf.DUMMYFUNCTION("""COMPUTED_VALUE"""),"No")</f>
        <v>No</v>
      </c>
      <c r="BV504" s="30" t="str">
        <f ca="1">IFERROR(__xludf.DUMMYFUNCTION("""COMPUTED_VALUE"""),"No")</f>
        <v>No</v>
      </c>
      <c r="BW504" s="30">
        <f ca="1">IFERROR(__xludf.DUMMYFUNCTION("""COMPUTED_VALUE"""),5)</f>
        <v>5</v>
      </c>
      <c r="BX504" s="30"/>
      <c r="BY504" s="30">
        <f ca="1">IFERROR(__xludf.DUMMYFUNCTION("""COMPUTED_VALUE"""),5)</f>
        <v>5</v>
      </c>
      <c r="BZ504" s="30"/>
      <c r="CA504" s="30" t="str">
        <f ca="1">IFERROR(__xludf.DUMMYFUNCTION("""COMPUTED_VALUE"""),"No")</f>
        <v>No</v>
      </c>
      <c r="CB504" s="30" t="str">
        <f ca="1">IFERROR(__xludf.DUMMYFUNCTION("""COMPUTED_VALUE"""),"No")</f>
        <v>No</v>
      </c>
      <c r="CC504" s="30" t="str">
        <f ca="1">IFERROR(__xludf.DUMMYFUNCTION("""COMPUTED_VALUE"""),"17b70c57")</f>
        <v>17b70c57</v>
      </c>
      <c r="CD504" s="29" t="str">
        <f ca="1">IFERROR(__xludf.DUMMYFUNCTION("""COMPUTED_VALUE"""),"Adultos (30 a 59 años)")</f>
        <v>Adultos (30 a 59 años)</v>
      </c>
      <c r="CE504" s="30" t="str">
        <f ca="1">IFERROR(__xludf.DUMMYFUNCTION("""COMPUTED_VALUE"""),"No se cuenta con el dato")</f>
        <v>No se cuenta con el dato</v>
      </c>
      <c r="CF504" s="30" t="str">
        <f ca="1">IFERROR(__xludf.DUMMYFUNCTION("""COMPUTED_VALUE"""),"Ninguno (Población General)")</f>
        <v>Ninguno (Población General)</v>
      </c>
      <c r="CG504" s="30">
        <f ca="1">IFERROR(__xludf.DUMMYFUNCTION("""COMPUTED_VALUE"""),12)</f>
        <v>12</v>
      </c>
      <c r="CJ504" s="29"/>
      <c r="CM504" s="30" t="str">
        <f ca="1">IFERROR(__xludf.DUMMYFUNCTION("""COMPUTED_VALUE"""),"Guanajuato")</f>
        <v>Guanajuato</v>
      </c>
      <c r="CN504" s="32" t="e">
        <f ca="1"/>
        <v>#NAME?</v>
      </c>
      <c r="CO504" s="32" t="e">
        <f ca="1"/>
        <v>#NAME?</v>
      </c>
      <c r="CP504" s="32" t="e">
        <f ca="1"/>
        <v>#NAME?</v>
      </c>
      <c r="CQ504" s="32" t="e">
        <f ca="1"/>
        <v>#NAME?</v>
      </c>
      <c r="CR504" s="30" t="e">
        <f ca="1"/>
        <v>#NAME?</v>
      </c>
      <c r="CS504" s="30" t="str">
        <f ca="1">IFERROR(__xludf.DUMMYFUNCTION("""COMPUTED_VALUE"""),"Ninguno (Población General)")</f>
        <v>Ninguno (Población General)</v>
      </c>
    </row>
    <row r="505" spans="1:97" ht="13">
      <c r="A505" s="29" t="str">
        <f ca="1">IFERROR(__xludf.DUMMYFUNCTION("""COMPUTED_VALUE"""),"ACT-SCPT19980")</f>
        <v>ACT-SCPT19980</v>
      </c>
      <c r="B505" s="30" t="str">
        <f ca="1">IFERROR(__xludf.DUMMYFUNCTION("""COMPUTED_VALUE"""),"SC-261005-154207")</f>
        <v>SC-261005-154207</v>
      </c>
      <c r="C505" s="62">
        <f ca="1">IFERROR(__xludf.DUMMYFUNCTION("""COMPUTED_VALUE"""),46300.6542476851)</f>
        <v>46300.654247685103</v>
      </c>
      <c r="D505" s="30">
        <f ca="1">IFERROR(__xludf.DUMMYFUNCTION("""COMPUTED_VALUE"""),92)</f>
        <v>92</v>
      </c>
      <c r="E505" s="30" t="str">
        <f ca="1">IFERROR(__xludf.DUMMYFUNCTION("""COMPUTED_VALUE"""),"PB3572")</f>
        <v>PB3572</v>
      </c>
      <c r="F50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5" s="30" t="str">
        <f ca="1">IFERROR(__xludf.DUMMYFUNCTION("""COMPUTED_VALUE"""),"SUBSECRETARÍA DE DESARROLLO Y PROMOCIÓN ARTÍSTICA Y CULTURAL")</f>
        <v>SUBSECRETARÍA DE DESARROLLO Y PROMOCIÓN ARTÍSTICA Y CULTURAL</v>
      </c>
      <c r="I505" s="34" t="str">
        <f ca="1">IFERROR(__xludf.DUMMYFUNCTION("""COMPUTED_VALUE"""),"DIRECCIÓN GENERAL DE MUSEOS, ARTES VISUALES Y EXPOSICIONES")</f>
        <v>DIRECCIÓN GENERAL DE MUSEOS, ARTES VISUALES Y EXPOSICIONES</v>
      </c>
      <c r="J505" s="30" t="str">
        <f ca="1">IFERROR(__xludf.DUMMYFUNCTION("""COMPUTED_VALUE"""),"Número de Actividades realizadas")</f>
        <v>Número de Actividades realizadas</v>
      </c>
      <c r="K505" s="30">
        <f ca="1">IFERROR(__xludf.DUMMYFUNCTION("""COMPUTED_VALUE"""),800)</f>
        <v>800</v>
      </c>
      <c r="L505" s="30" t="str">
        <f ca="1">IFERROR(__xludf.DUMMYFUNCTION("""COMPUTED_VALUE"""),"Cultural")</f>
        <v>Cultural</v>
      </c>
      <c r="M505" s="30" t="str">
        <f ca="1">IFERROR(__xludf.DUMMYFUNCTION("""COMPUTED_VALUE"""),"Visita guiada libre.")</f>
        <v>Visita guiada libre.</v>
      </c>
      <c r="N505" s="30" t="str">
        <f ca="1">IFERROR(__xludf.DUMMYFUNCTION("""COMPUTED_VALUE"""),"Recorrido guiado por el museo")</f>
        <v>Recorrido guiado por el museo</v>
      </c>
      <c r="O505" s="30" t="str">
        <f ca="1">IFERROR(__xludf.DUMMYFUNCTION("""COMPUTED_VALUE"""),"Única")</f>
        <v>Única</v>
      </c>
      <c r="P505" s="33">
        <f ca="1">IFERROR(__xludf.DUMMYFUNCTION("""COMPUTED_VALUE"""),46257)</f>
        <v>46257</v>
      </c>
      <c r="Q505" s="33">
        <f ca="1">IFERROR(__xludf.DUMMYFUNCTION("""COMPUTED_VALUE"""),46257)</f>
        <v>46257</v>
      </c>
      <c r="R505" s="30">
        <f ca="1">IFERROR(__xludf.DUMMYFUNCTION("""COMPUTED_VALUE"""),1)</f>
        <v>1</v>
      </c>
      <c r="S505" s="30" t="str">
        <f ca="1">IFERROR(__xludf.DUMMYFUNCTION("""COMPUTED_VALUE"""),"Cultura comunitaria")</f>
        <v>Cultura comunitaria</v>
      </c>
      <c r="T505" s="30" t="str">
        <f ca="1">IFERROR(__xludf.DUMMYFUNCTION("""COMPUTED_VALUE"""),"Formación comunitaria")</f>
        <v>Formación comunitaria</v>
      </c>
      <c r="U505" s="30" t="str">
        <f ca="1">IFERROR(__xludf.DUMMYFUNCTION("""COMPUTED_VALUE"""),"Visitas guiadas")</f>
        <v>Visitas guiadas</v>
      </c>
      <c r="V505" s="30" t="str">
        <f ca="1">IFERROR(__xludf.DUMMYFUNCTION("""COMPUTED_VALUE"""),"Ninguna")</f>
        <v>Ninguna</v>
      </c>
      <c r="W505" s="30" t="str">
        <f ca="1">IFERROR(__xludf.DUMMYFUNCTION("""COMPUTED_VALUE"""),"Presencial")</f>
        <v>Presencial</v>
      </c>
      <c r="X505" s="30" t="str">
        <f ca="1">IFERROR(__xludf.DUMMYFUNCTION("""COMPUTED_VALUE"""),"Espacio a Cargo de la Secretaría")</f>
        <v>Espacio a Cargo de la Secretaría</v>
      </c>
      <c r="Y505" s="30" t="str">
        <f ca="1">IFERROR(__xludf.DUMMYFUNCTION("""COMPUTED_VALUE"""),"Museo de Arte-Olga Costa-José Chávez Morado")</f>
        <v>Museo de Arte-Olga Costa-José Chávez Morado</v>
      </c>
      <c r="Z505" s="30"/>
      <c r="AA505" s="30"/>
      <c r="AB505" s="30" t="b">
        <f ca="1">IFERROR(__xludf.DUMMYFUNCTION("""COMPUTED_VALUE"""),FALSE)</f>
        <v>0</v>
      </c>
      <c r="AC505" s="30"/>
      <c r="AD505" s="30" t="b">
        <f ca="1">IFERROR(__xludf.DUMMYFUNCTION("""COMPUTED_VALUE"""),FALSE)</f>
        <v>0</v>
      </c>
      <c r="AE505" s="30"/>
      <c r="AF505" s="30" t="b">
        <f ca="1">IFERROR(__xludf.DUMMYFUNCTION("""COMPUTED_VALUE"""),FALSE)</f>
        <v>0</v>
      </c>
      <c r="AG505" s="30"/>
      <c r="AH505" s="30" t="str">
        <f ca="1">IFERROR(__xludf.DUMMYFUNCTION("""COMPUTED_VALUE"""),"Sin costo")</f>
        <v>Sin costo</v>
      </c>
      <c r="AI505" s="30"/>
      <c r="AJ505" s="30"/>
      <c r="AK505" s="30"/>
      <c r="AL505" s="30" t="str">
        <f ca="1">IFERROR(__xludf.DUMMYFUNCTION("""COMPUTED_VALUE"""),"ccardonav@guanajuato.gob.mx")</f>
        <v>ccardonav@guanajuato.gob.mx</v>
      </c>
      <c r="AM505" s="30" t="str">
        <f ca="1">IFERROR(__xludf.DUMMYFUNCTION("""COMPUTED_VALUE"""),"Arraigo y empoderamiento cultural de comunidades.")</f>
        <v>Arraigo y empoderamiento cultural de comunidades.</v>
      </c>
      <c r="AN505" s="30" t="str">
        <f ca="1">IFERROR(__xludf.DUMMYFUNCTION("""COMPUTED_VALUE"""),"1 Tranquilidad")</f>
        <v>1 Tranquilidad</v>
      </c>
      <c r="AO505" s="30" t="str">
        <f ca="1">IFERROR(__xludf.DUMMYFUNCTION("""COMPUTED_VALUE"""),"1.2 Fortalecer prevención del delito")</f>
        <v>1.2 Fortalecer prevención del delito</v>
      </c>
      <c r="AP505" s="30" t="str">
        <f ca="1">IFERROR(__xludf.DUMMYFUNCTION("""COMPUTED_VALUE"""),"1.2.2 Fortalecimiento del tejido social")</f>
        <v>1.2.2 Fortalecimiento del tejido social</v>
      </c>
      <c r="AQ505" s="30" t="str">
        <f ca="1">IFERROR(__xludf.DUMMYFUNCTION("""COMPUTED_VALUE"""),"1.2.3.4 Promover una cultura de paz desde las expresiones artísticas y culturales")</f>
        <v>1.2.3.4 Promover una cultura de paz desde las expresiones artísticas y culturales</v>
      </c>
      <c r="AR505" s="30" t="str">
        <f ca="1">IFERROR(__xludf.DUMMYFUNCTION("""COMPUTED_VALUE"""),"Cooperación")</f>
        <v>Cooperación</v>
      </c>
      <c r="AS505" s="30"/>
      <c r="AT505" s="30" t="str">
        <f ca="1">IFERROR(__xludf.DUMMYFUNCTION("""COMPUTED_VALUE"""),"Fortalecimiento de la participación ciudadana y la mediación cultural")</f>
        <v>Fortalecimiento de la participación ciudadana y la mediación cultural</v>
      </c>
      <c r="AU505" s="30" t="str">
        <f ca="1">IFERROR(__xludf.DUMMYFUNCTION("""COMPUTED_VALUE"""),"Impulso a la ampliación de la oferta cultural en los territorios.")</f>
        <v>Impulso a la ampliación de la oferta cultural en los territorios.</v>
      </c>
      <c r="AV50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5" s="30" t="str">
        <f ca="1">IFERROR(__xludf.DUMMYFUNCTION("""COMPUTED_VALUE"""),"Incrementar en 25% la oferta cultural realizada en los municipios.")</f>
        <v>Incrementar en 25% la oferta cultural realizada en los municipios.</v>
      </c>
      <c r="AX505" s="30" t="str">
        <f ca="1">IFERROR(__xludf.DUMMYFUNCTION("""COMPUTED_VALUE"""),"Visitas guiadas")</f>
        <v>Visitas guiadas</v>
      </c>
      <c r="AY505" s="30" t="str">
        <f ca="1">IFERROR(__xludf.DUMMYFUNCTION("""COMPUTED_VALUE"""),"Formación")</f>
        <v>Formación</v>
      </c>
      <c r="AZ505" s="30" t="str">
        <f ca="1">IFERROR(__xludf.DUMMYFUNCTION("""COMPUTED_VALUE"""),"Formación")</f>
        <v>Formación</v>
      </c>
      <c r="BA505" s="30"/>
      <c r="BB505" s="30"/>
      <c r="BC505" s="30">
        <f ca="1">IFERROR(__xludf.DUMMYFUNCTION("""COMPUTED_VALUE"""),0)</f>
        <v>0</v>
      </c>
      <c r="BD505" s="30"/>
      <c r="BE505" s="30"/>
      <c r="BF505" s="30" t="b">
        <f ca="1">IFERROR(__xludf.DUMMYFUNCTION("""COMPUTED_VALUE"""),FALSE)</f>
        <v>0</v>
      </c>
      <c r="BG505" s="30"/>
      <c r="BH505" s="30"/>
      <c r="BI505" s="30"/>
      <c r="BJ505" s="30"/>
      <c r="BK505" s="30"/>
      <c r="BL505" s="30"/>
      <c r="BM505" s="30" t="str">
        <f ca="1">IFERROR(__xludf.DUMMYFUNCTION("""COMPUTED_VALUE"""),"No")</f>
        <v>No</v>
      </c>
      <c r="BN505" s="30"/>
      <c r="BO505" s="30" t="str">
        <f ca="1">IFERROR(__xludf.DUMMYFUNCTION("""COMPUTED_VALUE"""),"4f17bb11")</f>
        <v>4f17bb11</v>
      </c>
      <c r="BP505" s="29" t="str">
        <f ca="1">IFERROR(__xludf.DUMMYFUNCTION("""COMPUTED_VALUE"""),"Guanajuato")</f>
        <v>Guanajuato</v>
      </c>
      <c r="BQ505" s="30" t="str">
        <f ca="1">IFERROR(__xludf.DUMMYFUNCTION("""COMPUTED_VALUE"""),"Urbano")</f>
        <v>Urbano</v>
      </c>
      <c r="BR505" s="30"/>
      <c r="BS505" s="30"/>
      <c r="BT505" s="30"/>
      <c r="BU505" s="30" t="str">
        <f ca="1">IFERROR(__xludf.DUMMYFUNCTION("""COMPUTED_VALUE"""),"No")</f>
        <v>No</v>
      </c>
      <c r="BV505" s="30" t="str">
        <f ca="1">IFERROR(__xludf.DUMMYFUNCTION("""COMPUTED_VALUE"""),"No")</f>
        <v>No</v>
      </c>
      <c r="BW505" s="30">
        <f ca="1">IFERROR(__xludf.DUMMYFUNCTION("""COMPUTED_VALUE"""),4)</f>
        <v>4</v>
      </c>
      <c r="BX505" s="30"/>
      <c r="BY505" s="30">
        <f ca="1">IFERROR(__xludf.DUMMYFUNCTION("""COMPUTED_VALUE"""),4)</f>
        <v>4</v>
      </c>
      <c r="BZ505" s="30"/>
      <c r="CA505" s="30" t="str">
        <f ca="1">IFERROR(__xludf.DUMMYFUNCTION("""COMPUTED_VALUE"""),"No")</f>
        <v>No</v>
      </c>
      <c r="CB505" s="30" t="str">
        <f ca="1">IFERROR(__xludf.DUMMYFUNCTION("""COMPUTED_VALUE"""),"No")</f>
        <v>No</v>
      </c>
      <c r="CC505" s="30" t="str">
        <f ca="1">IFERROR(__xludf.DUMMYFUNCTION("""COMPUTED_VALUE"""),"fab056b8")</f>
        <v>fab056b8</v>
      </c>
      <c r="CD505" s="29" t="str">
        <f ca="1">IFERROR(__xludf.DUMMYFUNCTION("""COMPUTED_VALUE"""),"Jóvenes (18 a 29 años)")</f>
        <v>Jóvenes (18 a 29 años)</v>
      </c>
      <c r="CE505" s="30" t="str">
        <f ca="1">IFERROR(__xludf.DUMMYFUNCTION("""COMPUTED_VALUE"""),"No se cuenta con el dato")</f>
        <v>No se cuenta con el dato</v>
      </c>
      <c r="CF505" s="30" t="str">
        <f ca="1">IFERROR(__xludf.DUMMYFUNCTION("""COMPUTED_VALUE"""),"Ninguno (Población General)")</f>
        <v>Ninguno (Población General)</v>
      </c>
      <c r="CG505" s="30">
        <f ca="1">IFERROR(__xludf.DUMMYFUNCTION("""COMPUTED_VALUE"""),10)</f>
        <v>10</v>
      </c>
      <c r="CJ505" s="29"/>
      <c r="CM505" s="30" t="str">
        <f ca="1">IFERROR(__xludf.DUMMYFUNCTION("""COMPUTED_VALUE"""),"Salamanca")</f>
        <v>Salamanca</v>
      </c>
      <c r="CN505" s="32" t="e">
        <f ca="1"/>
        <v>#NAME?</v>
      </c>
      <c r="CO505" s="32" t="e">
        <f ca="1"/>
        <v>#NAME?</v>
      </c>
      <c r="CP505" s="32" t="e">
        <f ca="1"/>
        <v>#NAME?</v>
      </c>
      <c r="CQ505" s="32" t="e">
        <f ca="1"/>
        <v>#NAME?</v>
      </c>
      <c r="CR505" s="30" t="e">
        <f ca="1"/>
        <v>#NAME?</v>
      </c>
      <c r="CS505" s="30" t="str">
        <f ca="1">IFERROR(__xludf.DUMMYFUNCTION("""COMPUTED_VALUE"""),"Ninguno (Población General), Ninguno (Población General)")</f>
        <v>Ninguno (Población General), Ninguno (Población General)</v>
      </c>
    </row>
    <row r="506" spans="1:97" ht="13">
      <c r="A506" s="29" t="str">
        <f ca="1">IFERROR(__xludf.DUMMYFUNCTION("""COMPUTED_VALUE"""),"ACT-SCLF07599")</f>
        <v>ACT-SCLF07599</v>
      </c>
      <c r="B506" s="30" t="str">
        <f ca="1">IFERROR(__xludf.DUMMYFUNCTION("""COMPUTED_VALUE"""),"SC-261005-154420")</f>
        <v>SC-261005-154420</v>
      </c>
      <c r="C506" s="62">
        <f ca="1">IFERROR(__xludf.DUMMYFUNCTION("""COMPUTED_VALUE"""),46300.655787037)</f>
        <v>46300.655787037002</v>
      </c>
      <c r="D506" s="30">
        <f ca="1">IFERROR(__xludf.DUMMYFUNCTION("""COMPUTED_VALUE"""),92)</f>
        <v>92</v>
      </c>
      <c r="E506" s="30" t="str">
        <f ca="1">IFERROR(__xludf.DUMMYFUNCTION("""COMPUTED_VALUE"""),"PB3572")</f>
        <v>PB3572</v>
      </c>
      <c r="F50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6" s="30" t="str">
        <f ca="1">IFERROR(__xludf.DUMMYFUNCTION("""COMPUTED_VALUE"""),"SUBSECRETARÍA DE DESARROLLO Y PROMOCIÓN ARTÍSTICA Y CULTURAL")</f>
        <v>SUBSECRETARÍA DE DESARROLLO Y PROMOCIÓN ARTÍSTICA Y CULTURAL</v>
      </c>
      <c r="I506" s="34" t="str">
        <f ca="1">IFERROR(__xludf.DUMMYFUNCTION("""COMPUTED_VALUE"""),"DIRECCIÓN GENERAL DE MUSEOS, ARTES VISUALES Y EXPOSICIONES")</f>
        <v>DIRECCIÓN GENERAL DE MUSEOS, ARTES VISUALES Y EXPOSICIONES</v>
      </c>
      <c r="J506" s="30" t="str">
        <f ca="1">IFERROR(__xludf.DUMMYFUNCTION("""COMPUTED_VALUE"""),"Número de Actividades realizadas")</f>
        <v>Número de Actividades realizadas</v>
      </c>
      <c r="K506" s="30">
        <f ca="1">IFERROR(__xludf.DUMMYFUNCTION("""COMPUTED_VALUE"""),800)</f>
        <v>800</v>
      </c>
      <c r="L506" s="30" t="str">
        <f ca="1">IFERROR(__xludf.DUMMYFUNCTION("""COMPUTED_VALUE"""),"Cultural")</f>
        <v>Cultural</v>
      </c>
      <c r="M506" s="30" t="str">
        <f ca="1">IFERROR(__xludf.DUMMYFUNCTION("""COMPUTED_VALUE"""),"Visita guiada libre.")</f>
        <v>Visita guiada libre.</v>
      </c>
      <c r="N506" s="30" t="str">
        <f ca="1">IFERROR(__xludf.DUMMYFUNCTION("""COMPUTED_VALUE"""),"Recorrido guiado por el museo")</f>
        <v>Recorrido guiado por el museo</v>
      </c>
      <c r="O506" s="30" t="str">
        <f ca="1">IFERROR(__xludf.DUMMYFUNCTION("""COMPUTED_VALUE"""),"Única")</f>
        <v>Única</v>
      </c>
      <c r="P506" s="33">
        <f ca="1">IFERROR(__xludf.DUMMYFUNCTION("""COMPUTED_VALUE"""),46259)</f>
        <v>46259</v>
      </c>
      <c r="Q506" s="33">
        <f ca="1">IFERROR(__xludf.DUMMYFUNCTION("""COMPUTED_VALUE"""),46259)</f>
        <v>46259</v>
      </c>
      <c r="R506" s="30">
        <f ca="1">IFERROR(__xludf.DUMMYFUNCTION("""COMPUTED_VALUE"""),1)</f>
        <v>1</v>
      </c>
      <c r="S506" s="30" t="str">
        <f ca="1">IFERROR(__xludf.DUMMYFUNCTION("""COMPUTED_VALUE"""),"Cultura comunitaria")</f>
        <v>Cultura comunitaria</v>
      </c>
      <c r="T506" s="30" t="str">
        <f ca="1">IFERROR(__xludf.DUMMYFUNCTION("""COMPUTED_VALUE"""),"Formación comunitaria")</f>
        <v>Formación comunitaria</v>
      </c>
      <c r="U506" s="30" t="str">
        <f ca="1">IFERROR(__xludf.DUMMYFUNCTION("""COMPUTED_VALUE"""),"Visitas guiadas")</f>
        <v>Visitas guiadas</v>
      </c>
      <c r="V506" s="30" t="str">
        <f ca="1">IFERROR(__xludf.DUMMYFUNCTION("""COMPUTED_VALUE"""),"Ninguna")</f>
        <v>Ninguna</v>
      </c>
      <c r="W506" s="30" t="str">
        <f ca="1">IFERROR(__xludf.DUMMYFUNCTION("""COMPUTED_VALUE"""),"Presencial")</f>
        <v>Presencial</v>
      </c>
      <c r="X506" s="30" t="str">
        <f ca="1">IFERROR(__xludf.DUMMYFUNCTION("""COMPUTED_VALUE"""),"Espacio a Cargo de la Secretaría")</f>
        <v>Espacio a Cargo de la Secretaría</v>
      </c>
      <c r="Y506" s="30" t="str">
        <f ca="1">IFERROR(__xludf.DUMMYFUNCTION("""COMPUTED_VALUE"""),"Museo de Arte-Olga Costa-José Chávez Morado")</f>
        <v>Museo de Arte-Olga Costa-José Chávez Morado</v>
      </c>
      <c r="Z506" s="30"/>
      <c r="AA506" s="30"/>
      <c r="AB506" s="30" t="b">
        <f ca="1">IFERROR(__xludf.DUMMYFUNCTION("""COMPUTED_VALUE"""),FALSE)</f>
        <v>0</v>
      </c>
      <c r="AC506" s="30"/>
      <c r="AD506" s="30" t="b">
        <f ca="1">IFERROR(__xludf.DUMMYFUNCTION("""COMPUTED_VALUE"""),FALSE)</f>
        <v>0</v>
      </c>
      <c r="AE506" s="30"/>
      <c r="AF506" s="30" t="b">
        <f ca="1">IFERROR(__xludf.DUMMYFUNCTION("""COMPUTED_VALUE"""),FALSE)</f>
        <v>0</v>
      </c>
      <c r="AG506" s="30"/>
      <c r="AH506" s="30" t="str">
        <f ca="1">IFERROR(__xludf.DUMMYFUNCTION("""COMPUTED_VALUE"""),"Sin costo")</f>
        <v>Sin costo</v>
      </c>
      <c r="AI506" s="30"/>
      <c r="AJ506" s="30"/>
      <c r="AK506" s="30"/>
      <c r="AL506" s="30" t="str">
        <f ca="1">IFERROR(__xludf.DUMMYFUNCTION("""COMPUTED_VALUE"""),"ccardonav@guanajuato.gob.mx")</f>
        <v>ccardonav@guanajuato.gob.mx</v>
      </c>
      <c r="AM506" s="30" t="str">
        <f ca="1">IFERROR(__xludf.DUMMYFUNCTION("""COMPUTED_VALUE"""),"Arraigo y empoderamiento cultural de comunidades.")</f>
        <v>Arraigo y empoderamiento cultural de comunidades.</v>
      </c>
      <c r="AN506" s="30" t="str">
        <f ca="1">IFERROR(__xludf.DUMMYFUNCTION("""COMPUTED_VALUE"""),"1 Tranquilidad")</f>
        <v>1 Tranquilidad</v>
      </c>
      <c r="AO506" s="30" t="str">
        <f ca="1">IFERROR(__xludf.DUMMYFUNCTION("""COMPUTED_VALUE"""),"1.2 Fortalecer prevención del delito")</f>
        <v>1.2 Fortalecer prevención del delito</v>
      </c>
      <c r="AP506" s="30" t="str">
        <f ca="1">IFERROR(__xludf.DUMMYFUNCTION("""COMPUTED_VALUE"""),"1.2.2 Fortalecimiento del tejido social")</f>
        <v>1.2.2 Fortalecimiento del tejido social</v>
      </c>
      <c r="AQ506" s="30" t="str">
        <f ca="1">IFERROR(__xludf.DUMMYFUNCTION("""COMPUTED_VALUE"""),"1.2.3.4 Promover una cultura de paz desde las expresiones artísticas y culturales")</f>
        <v>1.2.3.4 Promover una cultura de paz desde las expresiones artísticas y culturales</v>
      </c>
      <c r="AR506" s="30" t="str">
        <f ca="1">IFERROR(__xludf.DUMMYFUNCTION("""COMPUTED_VALUE"""),"Cooperación")</f>
        <v>Cooperación</v>
      </c>
      <c r="AS506" s="30"/>
      <c r="AT506" s="30" t="str">
        <f ca="1">IFERROR(__xludf.DUMMYFUNCTION("""COMPUTED_VALUE"""),"Fortalecimiento de la participación ciudadana y la mediación cultural")</f>
        <v>Fortalecimiento de la participación ciudadana y la mediación cultural</v>
      </c>
      <c r="AU506" s="30" t="str">
        <f ca="1">IFERROR(__xludf.DUMMYFUNCTION("""COMPUTED_VALUE"""),"Impulso a la ampliación de la oferta cultural en los territorios.")</f>
        <v>Impulso a la ampliación de la oferta cultural en los territorios.</v>
      </c>
      <c r="AV50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6" s="30" t="str">
        <f ca="1">IFERROR(__xludf.DUMMYFUNCTION("""COMPUTED_VALUE"""),"Incrementar en 25% la oferta cultural realizada en los municipios.")</f>
        <v>Incrementar en 25% la oferta cultural realizada en los municipios.</v>
      </c>
      <c r="AX506" s="30" t="str">
        <f ca="1">IFERROR(__xludf.DUMMYFUNCTION("""COMPUTED_VALUE"""),"Visitas guiadas")</f>
        <v>Visitas guiadas</v>
      </c>
      <c r="AY506" s="30" t="str">
        <f ca="1">IFERROR(__xludf.DUMMYFUNCTION("""COMPUTED_VALUE"""),"Formación")</f>
        <v>Formación</v>
      </c>
      <c r="AZ506" s="30" t="str">
        <f ca="1">IFERROR(__xludf.DUMMYFUNCTION("""COMPUTED_VALUE"""),"Formación")</f>
        <v>Formación</v>
      </c>
      <c r="BA506" s="30"/>
      <c r="BB506" s="30"/>
      <c r="BC506" s="30">
        <f ca="1">IFERROR(__xludf.DUMMYFUNCTION("""COMPUTED_VALUE"""),0)</f>
        <v>0</v>
      </c>
      <c r="BD506" s="30"/>
      <c r="BE506" s="30"/>
      <c r="BF506" s="30" t="b">
        <f ca="1">IFERROR(__xludf.DUMMYFUNCTION("""COMPUTED_VALUE"""),FALSE)</f>
        <v>0</v>
      </c>
      <c r="BG506" s="30"/>
      <c r="BH506" s="30"/>
      <c r="BI506" s="30"/>
      <c r="BJ506" s="30"/>
      <c r="BK506" s="30"/>
      <c r="BL506" s="30"/>
      <c r="BM506" s="30" t="str">
        <f ca="1">IFERROR(__xludf.DUMMYFUNCTION("""COMPUTED_VALUE"""),"No")</f>
        <v>No</v>
      </c>
      <c r="BN506" s="30"/>
      <c r="BO506" s="30" t="str">
        <f ca="1">IFERROR(__xludf.DUMMYFUNCTION("""COMPUTED_VALUE"""),"dc5e1e0b")</f>
        <v>dc5e1e0b</v>
      </c>
      <c r="BP506" s="29" t="str">
        <f ca="1">IFERROR(__xludf.DUMMYFUNCTION("""COMPUTED_VALUE"""),"Guanajuato")</f>
        <v>Guanajuato</v>
      </c>
      <c r="BQ506" s="30" t="str">
        <f ca="1">IFERROR(__xludf.DUMMYFUNCTION("""COMPUTED_VALUE"""),"Urbano")</f>
        <v>Urbano</v>
      </c>
      <c r="BR506" s="30"/>
      <c r="BS506" s="30"/>
      <c r="BT506" s="30"/>
      <c r="BU506" s="30" t="str">
        <f ca="1">IFERROR(__xludf.DUMMYFUNCTION("""COMPUTED_VALUE"""),"No")</f>
        <v>No</v>
      </c>
      <c r="BV506" s="30" t="str">
        <f ca="1">IFERROR(__xludf.DUMMYFUNCTION("""COMPUTED_VALUE"""),"No")</f>
        <v>No</v>
      </c>
      <c r="BW506" s="30">
        <f ca="1">IFERROR(__xludf.DUMMYFUNCTION("""COMPUTED_VALUE"""),3)</f>
        <v>3</v>
      </c>
      <c r="BX506" s="30"/>
      <c r="BY506" s="30">
        <f ca="1">IFERROR(__xludf.DUMMYFUNCTION("""COMPUTED_VALUE"""),3)</f>
        <v>3</v>
      </c>
      <c r="BZ506" s="30"/>
      <c r="CA506" s="30" t="str">
        <f ca="1">IFERROR(__xludf.DUMMYFUNCTION("""COMPUTED_VALUE"""),"No")</f>
        <v>No</v>
      </c>
      <c r="CB506" s="30" t="str">
        <f ca="1">IFERROR(__xludf.DUMMYFUNCTION("""COMPUTED_VALUE"""),"No")</f>
        <v>No</v>
      </c>
      <c r="CC506" s="30" t="str">
        <f ca="1">IFERROR(__xludf.DUMMYFUNCTION("""COMPUTED_VALUE"""),"0932b0f8")</f>
        <v>0932b0f8</v>
      </c>
      <c r="CD506" s="29" t="str">
        <f ca="1">IFERROR(__xludf.DUMMYFUNCTION("""COMPUTED_VALUE"""),"Niñas y Niños (6 a 12 años)")</f>
        <v>Niñas y Niños (6 a 12 años)</v>
      </c>
      <c r="CE506" s="30" t="str">
        <f ca="1">IFERROR(__xludf.DUMMYFUNCTION("""COMPUTED_VALUE"""),"No se cuenta con el dato")</f>
        <v>No se cuenta con el dato</v>
      </c>
      <c r="CF506" s="30" t="str">
        <f ca="1">IFERROR(__xludf.DUMMYFUNCTION("""COMPUTED_VALUE"""),"Ninguno (Población General)")</f>
        <v>Ninguno (Población General)</v>
      </c>
      <c r="CG506" s="30">
        <f ca="1">IFERROR(__xludf.DUMMYFUNCTION("""COMPUTED_VALUE"""),15)</f>
        <v>15</v>
      </c>
      <c r="CJ506" s="29"/>
      <c r="CM506" s="30" t="str">
        <f ca="1">IFERROR(__xludf.DUMMYFUNCTION("""COMPUTED_VALUE"""),"Guanajuato")</f>
        <v>Guanajuato</v>
      </c>
      <c r="CN506" s="32" t="e">
        <f ca="1"/>
        <v>#NAME?</v>
      </c>
      <c r="CO506" s="32" t="e">
        <f ca="1"/>
        <v>#NAME?</v>
      </c>
      <c r="CP506" s="32" t="e">
        <f ca="1"/>
        <v>#NAME?</v>
      </c>
      <c r="CQ506" s="32" t="e">
        <f ca="1"/>
        <v>#NAME?</v>
      </c>
      <c r="CR506" s="30" t="e">
        <f ca="1"/>
        <v>#NAME?</v>
      </c>
      <c r="CS506" s="30" t="str">
        <f ca="1">IFERROR(__xludf.DUMMYFUNCTION("""COMPUTED_VALUE"""),"Ninguno (Población General)")</f>
        <v>Ninguno (Población General)</v>
      </c>
    </row>
    <row r="507" spans="1:97" ht="13">
      <c r="A507" s="29" t="str">
        <f ca="1">IFERROR(__xludf.DUMMYFUNCTION("""COMPUTED_VALUE"""),"ACT-SCYY62075")</f>
        <v>ACT-SCYY62075</v>
      </c>
      <c r="B507" s="30" t="str">
        <f ca="1">IFERROR(__xludf.DUMMYFUNCTION("""COMPUTED_VALUE"""),"SC-261005-154613")</f>
        <v>SC-261005-154613</v>
      </c>
      <c r="C507" s="62">
        <f ca="1">IFERROR(__xludf.DUMMYFUNCTION("""COMPUTED_VALUE"""),46300.6570949074)</f>
        <v>46300.657094907401</v>
      </c>
      <c r="D507" s="30">
        <f ca="1">IFERROR(__xludf.DUMMYFUNCTION("""COMPUTED_VALUE"""),92)</f>
        <v>92</v>
      </c>
      <c r="E507" s="30" t="str">
        <f ca="1">IFERROR(__xludf.DUMMYFUNCTION("""COMPUTED_VALUE"""),"PB3572")</f>
        <v>PB3572</v>
      </c>
      <c r="F50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7" s="30" t="str">
        <f ca="1">IFERROR(__xludf.DUMMYFUNCTION("""COMPUTED_VALUE"""),"SUBSECRETARÍA DE DESARROLLO Y PROMOCIÓN ARTÍSTICA Y CULTURAL")</f>
        <v>SUBSECRETARÍA DE DESARROLLO Y PROMOCIÓN ARTÍSTICA Y CULTURAL</v>
      </c>
      <c r="I507" s="34" t="str">
        <f ca="1">IFERROR(__xludf.DUMMYFUNCTION("""COMPUTED_VALUE"""),"DIRECCIÓN GENERAL DE MUSEOS, ARTES VISUALES Y EXPOSICIONES")</f>
        <v>DIRECCIÓN GENERAL DE MUSEOS, ARTES VISUALES Y EXPOSICIONES</v>
      </c>
      <c r="J507" s="30" t="str">
        <f ca="1">IFERROR(__xludf.DUMMYFUNCTION("""COMPUTED_VALUE"""),"Número de Actividades realizadas")</f>
        <v>Número de Actividades realizadas</v>
      </c>
      <c r="K507" s="30">
        <f ca="1">IFERROR(__xludf.DUMMYFUNCTION("""COMPUTED_VALUE"""),800)</f>
        <v>800</v>
      </c>
      <c r="L507" s="30" t="str">
        <f ca="1">IFERROR(__xludf.DUMMYFUNCTION("""COMPUTED_VALUE"""),"Cultural")</f>
        <v>Cultural</v>
      </c>
      <c r="M507" s="30" t="str">
        <f ca="1">IFERROR(__xludf.DUMMYFUNCTION("""COMPUTED_VALUE"""),"Visita guiada libre.")</f>
        <v>Visita guiada libre.</v>
      </c>
      <c r="N507" s="30" t="str">
        <f ca="1">IFERROR(__xludf.DUMMYFUNCTION("""COMPUTED_VALUE"""),"Recorrido guiado por el museo")</f>
        <v>Recorrido guiado por el museo</v>
      </c>
      <c r="O507" s="30" t="str">
        <f ca="1">IFERROR(__xludf.DUMMYFUNCTION("""COMPUTED_VALUE"""),"Única")</f>
        <v>Única</v>
      </c>
      <c r="P507" s="33">
        <f ca="1">IFERROR(__xludf.DUMMYFUNCTION("""COMPUTED_VALUE"""),46259)</f>
        <v>46259</v>
      </c>
      <c r="Q507" s="33">
        <f ca="1">IFERROR(__xludf.DUMMYFUNCTION("""COMPUTED_VALUE"""),46259)</f>
        <v>46259</v>
      </c>
      <c r="R507" s="30">
        <f ca="1">IFERROR(__xludf.DUMMYFUNCTION("""COMPUTED_VALUE"""),1)</f>
        <v>1</v>
      </c>
      <c r="S507" s="30" t="str">
        <f ca="1">IFERROR(__xludf.DUMMYFUNCTION("""COMPUTED_VALUE"""),"Cultura comunitaria")</f>
        <v>Cultura comunitaria</v>
      </c>
      <c r="T507" s="30" t="str">
        <f ca="1">IFERROR(__xludf.DUMMYFUNCTION("""COMPUTED_VALUE"""),"Formación comunitaria")</f>
        <v>Formación comunitaria</v>
      </c>
      <c r="U507" s="30" t="str">
        <f ca="1">IFERROR(__xludf.DUMMYFUNCTION("""COMPUTED_VALUE"""),"Visitas guiadas")</f>
        <v>Visitas guiadas</v>
      </c>
      <c r="V507" s="30" t="str">
        <f ca="1">IFERROR(__xludf.DUMMYFUNCTION("""COMPUTED_VALUE"""),"Ninguna")</f>
        <v>Ninguna</v>
      </c>
      <c r="W507" s="30" t="str">
        <f ca="1">IFERROR(__xludf.DUMMYFUNCTION("""COMPUTED_VALUE"""),"Presencial")</f>
        <v>Presencial</v>
      </c>
      <c r="X507" s="30" t="str">
        <f ca="1">IFERROR(__xludf.DUMMYFUNCTION("""COMPUTED_VALUE"""),"Espacio a Cargo de la Secretaría")</f>
        <v>Espacio a Cargo de la Secretaría</v>
      </c>
      <c r="Y507" s="30" t="str">
        <f ca="1">IFERROR(__xludf.DUMMYFUNCTION("""COMPUTED_VALUE"""),"Museo de Arte-Olga Costa-José Chávez Morado")</f>
        <v>Museo de Arte-Olga Costa-José Chávez Morado</v>
      </c>
      <c r="Z507" s="30"/>
      <c r="AA507" s="30"/>
      <c r="AB507" s="30" t="b">
        <f ca="1">IFERROR(__xludf.DUMMYFUNCTION("""COMPUTED_VALUE"""),FALSE)</f>
        <v>0</v>
      </c>
      <c r="AC507" s="30"/>
      <c r="AD507" s="30" t="b">
        <f ca="1">IFERROR(__xludf.DUMMYFUNCTION("""COMPUTED_VALUE"""),FALSE)</f>
        <v>0</v>
      </c>
      <c r="AE507" s="30"/>
      <c r="AF507" s="30" t="b">
        <f ca="1">IFERROR(__xludf.DUMMYFUNCTION("""COMPUTED_VALUE"""),FALSE)</f>
        <v>0</v>
      </c>
      <c r="AG507" s="30"/>
      <c r="AH507" s="30" t="str">
        <f ca="1">IFERROR(__xludf.DUMMYFUNCTION("""COMPUTED_VALUE"""),"Sin costo")</f>
        <v>Sin costo</v>
      </c>
      <c r="AI507" s="30"/>
      <c r="AJ507" s="30"/>
      <c r="AK507" s="30"/>
      <c r="AL507" s="30" t="str">
        <f ca="1">IFERROR(__xludf.DUMMYFUNCTION("""COMPUTED_VALUE"""),"ccardonav@guanajuato.gob.mx")</f>
        <v>ccardonav@guanajuato.gob.mx</v>
      </c>
      <c r="AM507" s="30" t="str">
        <f ca="1">IFERROR(__xludf.DUMMYFUNCTION("""COMPUTED_VALUE"""),"Arraigo y empoderamiento cultural de comunidades.")</f>
        <v>Arraigo y empoderamiento cultural de comunidades.</v>
      </c>
      <c r="AN507" s="30" t="str">
        <f ca="1">IFERROR(__xludf.DUMMYFUNCTION("""COMPUTED_VALUE"""),"1 Tranquilidad")</f>
        <v>1 Tranquilidad</v>
      </c>
      <c r="AO507" s="30" t="str">
        <f ca="1">IFERROR(__xludf.DUMMYFUNCTION("""COMPUTED_VALUE"""),"1.2 Fortalecer prevención del delito")</f>
        <v>1.2 Fortalecer prevención del delito</v>
      </c>
      <c r="AP507" s="30" t="str">
        <f ca="1">IFERROR(__xludf.DUMMYFUNCTION("""COMPUTED_VALUE"""),"1.2.2 Fortalecimiento del tejido social")</f>
        <v>1.2.2 Fortalecimiento del tejido social</v>
      </c>
      <c r="AQ507" s="30" t="str">
        <f ca="1">IFERROR(__xludf.DUMMYFUNCTION("""COMPUTED_VALUE"""),"1.2.3.4 Promover una cultura de paz desde las expresiones artísticas y culturales")</f>
        <v>1.2.3.4 Promover una cultura de paz desde las expresiones artísticas y culturales</v>
      </c>
      <c r="AR507" s="30" t="str">
        <f ca="1">IFERROR(__xludf.DUMMYFUNCTION("""COMPUTED_VALUE"""),"Cooperación")</f>
        <v>Cooperación</v>
      </c>
      <c r="AS507" s="30"/>
      <c r="AT507" s="30" t="str">
        <f ca="1">IFERROR(__xludf.DUMMYFUNCTION("""COMPUTED_VALUE"""),"Fortalecimiento de la participación ciudadana y la mediación cultural")</f>
        <v>Fortalecimiento de la participación ciudadana y la mediación cultural</v>
      </c>
      <c r="AU507" s="30" t="str">
        <f ca="1">IFERROR(__xludf.DUMMYFUNCTION("""COMPUTED_VALUE"""),"Impulso a la ampliación de la oferta cultural en los territorios.")</f>
        <v>Impulso a la ampliación de la oferta cultural en los territorios.</v>
      </c>
      <c r="AV50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7" s="30" t="str">
        <f ca="1">IFERROR(__xludf.DUMMYFUNCTION("""COMPUTED_VALUE"""),"Incrementar en 25% la oferta cultural realizada en los municipios.")</f>
        <v>Incrementar en 25% la oferta cultural realizada en los municipios.</v>
      </c>
      <c r="AX507" s="30" t="str">
        <f ca="1">IFERROR(__xludf.DUMMYFUNCTION("""COMPUTED_VALUE"""),"Visitas guiadas")</f>
        <v>Visitas guiadas</v>
      </c>
      <c r="AY507" s="30" t="str">
        <f ca="1">IFERROR(__xludf.DUMMYFUNCTION("""COMPUTED_VALUE"""),"Formación")</f>
        <v>Formación</v>
      </c>
      <c r="AZ507" s="30" t="str">
        <f ca="1">IFERROR(__xludf.DUMMYFUNCTION("""COMPUTED_VALUE"""),"Formación")</f>
        <v>Formación</v>
      </c>
      <c r="BA507" s="30"/>
      <c r="BB507" s="30"/>
      <c r="BC507" s="30">
        <f ca="1">IFERROR(__xludf.DUMMYFUNCTION("""COMPUTED_VALUE"""),0)</f>
        <v>0</v>
      </c>
      <c r="BD507" s="30"/>
      <c r="BE507" s="30"/>
      <c r="BF507" s="30" t="b">
        <f ca="1">IFERROR(__xludf.DUMMYFUNCTION("""COMPUTED_VALUE"""),FALSE)</f>
        <v>0</v>
      </c>
      <c r="BG507" s="30"/>
      <c r="BH507" s="30"/>
      <c r="BI507" s="30"/>
      <c r="BJ507" s="30"/>
      <c r="BK507" s="30"/>
      <c r="BL507" s="30"/>
      <c r="BM507" s="30" t="str">
        <f ca="1">IFERROR(__xludf.DUMMYFUNCTION("""COMPUTED_VALUE"""),"No")</f>
        <v>No</v>
      </c>
      <c r="BN507" s="30"/>
      <c r="BO507" s="30" t="str">
        <f ca="1">IFERROR(__xludf.DUMMYFUNCTION("""COMPUTED_VALUE"""),"7a01893f")</f>
        <v>7a01893f</v>
      </c>
      <c r="BP507" s="29" t="str">
        <f ca="1">IFERROR(__xludf.DUMMYFUNCTION("""COMPUTED_VALUE"""),"Dolores Hidalgo Cuna de la Independencia Nacional")</f>
        <v>Dolores Hidalgo Cuna de la Independencia Nacional</v>
      </c>
      <c r="BQ507" s="30" t="str">
        <f ca="1">IFERROR(__xludf.DUMMYFUNCTION("""COMPUTED_VALUE"""),"Urbano")</f>
        <v>Urbano</v>
      </c>
      <c r="BR507" s="30"/>
      <c r="BS507" s="30"/>
      <c r="BT507" s="30"/>
      <c r="BU507" s="30" t="str">
        <f ca="1">IFERROR(__xludf.DUMMYFUNCTION("""COMPUTED_VALUE"""),"No")</f>
        <v>No</v>
      </c>
      <c r="BV507" s="30" t="str">
        <f ca="1">IFERROR(__xludf.DUMMYFUNCTION("""COMPUTED_VALUE"""),"No")</f>
        <v>No</v>
      </c>
      <c r="BW507" s="30">
        <f ca="1">IFERROR(__xludf.DUMMYFUNCTION("""COMPUTED_VALUE"""),31)</f>
        <v>31</v>
      </c>
      <c r="BX507" s="30">
        <f ca="1">IFERROR(__xludf.DUMMYFUNCTION("""COMPUTED_VALUE"""),2)</f>
        <v>2</v>
      </c>
      <c r="BY507" s="30">
        <f ca="1">IFERROR(__xludf.DUMMYFUNCTION("""COMPUTED_VALUE"""),29)</f>
        <v>29</v>
      </c>
      <c r="BZ507" s="30"/>
      <c r="CA507" s="30" t="str">
        <f ca="1">IFERROR(__xludf.DUMMYFUNCTION("""COMPUTED_VALUE"""),"No")</f>
        <v>No</v>
      </c>
      <c r="CB507" s="30" t="str">
        <f ca="1">IFERROR(__xludf.DUMMYFUNCTION("""COMPUTED_VALUE"""),"No")</f>
        <v>No</v>
      </c>
      <c r="CC507" s="30" t="str">
        <f ca="1">IFERROR(__xludf.DUMMYFUNCTION("""COMPUTED_VALUE"""),"748ceeca")</f>
        <v>748ceeca</v>
      </c>
      <c r="CD507" s="29" t="str">
        <f ca="1">IFERROR(__xludf.DUMMYFUNCTION("""COMPUTED_VALUE"""),"Adultos Mayores (60 años o más)")</f>
        <v>Adultos Mayores (60 años o más)</v>
      </c>
      <c r="CE507" s="30" t="str">
        <f ca="1">IFERROR(__xludf.DUMMYFUNCTION("""COMPUTED_VALUE"""),"No se cuenta con el dato")</f>
        <v>No se cuenta con el dato</v>
      </c>
      <c r="CF507" s="30" t="str">
        <f ca="1">IFERROR(__xludf.DUMMYFUNCTION("""COMPUTED_VALUE"""),"Ninguno (Población General)")</f>
        <v>Ninguno (Población General)</v>
      </c>
      <c r="CG507" s="30">
        <f ca="1">IFERROR(__xludf.DUMMYFUNCTION("""COMPUTED_VALUE"""),21)</f>
        <v>21</v>
      </c>
      <c r="CJ507" s="29"/>
      <c r="CM507" s="30" t="str">
        <f ca="1">IFERROR(__xludf.DUMMYFUNCTION("""COMPUTED_VALUE"""),"Guanajuato")</f>
        <v>Guanajuato</v>
      </c>
      <c r="CN507" s="32" t="e">
        <f ca="1"/>
        <v>#NAME?</v>
      </c>
      <c r="CO507" s="32" t="e">
        <f ca="1"/>
        <v>#NAME?</v>
      </c>
      <c r="CP507" s="32" t="e">
        <f ca="1"/>
        <v>#NAME?</v>
      </c>
      <c r="CQ507" s="32" t="e">
        <f ca="1"/>
        <v>#NAME?</v>
      </c>
      <c r="CR507" s="30" t="e">
        <f ca="1"/>
        <v>#NAME?</v>
      </c>
      <c r="CS507" s="30" t="str">
        <f ca="1">IFERROR(__xludf.DUMMYFUNCTION("""COMPUTED_VALUE"""),"Ninguno (Población General)")</f>
        <v>Ninguno (Población General)</v>
      </c>
    </row>
    <row r="508" spans="1:97" ht="13">
      <c r="A508" s="29" t="str">
        <f ca="1">IFERROR(__xludf.DUMMYFUNCTION("""COMPUTED_VALUE"""),"ACT-SCDH11554")</f>
        <v>ACT-SCDH11554</v>
      </c>
      <c r="B508" s="30" t="str">
        <f ca="1">IFERROR(__xludf.DUMMYFUNCTION("""COMPUTED_VALUE"""),"SC-261005-155703")</f>
        <v>SC-261005-155703</v>
      </c>
      <c r="C508" s="62">
        <f ca="1">IFERROR(__xludf.DUMMYFUNCTION("""COMPUTED_VALUE"""),46300.6646180555)</f>
        <v>46300.664618055504</v>
      </c>
      <c r="D508" s="30">
        <f ca="1">IFERROR(__xludf.DUMMYFUNCTION("""COMPUTED_VALUE"""),92)</f>
        <v>92</v>
      </c>
      <c r="E508" s="30" t="str">
        <f ca="1">IFERROR(__xludf.DUMMYFUNCTION("""COMPUTED_VALUE"""),"PB3572")</f>
        <v>PB3572</v>
      </c>
      <c r="F50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8" s="30" t="str">
        <f ca="1">IFERROR(__xludf.DUMMYFUNCTION("""COMPUTED_VALUE"""),"SUBSECRETARÍA DE DESARROLLO Y PROMOCIÓN ARTÍSTICA Y CULTURAL")</f>
        <v>SUBSECRETARÍA DE DESARROLLO Y PROMOCIÓN ARTÍSTICA Y CULTURAL</v>
      </c>
      <c r="I508" s="34" t="str">
        <f ca="1">IFERROR(__xludf.DUMMYFUNCTION("""COMPUTED_VALUE"""),"DIRECCIÓN GENERAL DE MUSEOS, ARTES VISUALES Y EXPOSICIONES")</f>
        <v>DIRECCIÓN GENERAL DE MUSEOS, ARTES VISUALES Y EXPOSICIONES</v>
      </c>
      <c r="J508" s="30" t="str">
        <f ca="1">IFERROR(__xludf.DUMMYFUNCTION("""COMPUTED_VALUE"""),"Número de Actividades realizadas")</f>
        <v>Número de Actividades realizadas</v>
      </c>
      <c r="K508" s="30">
        <f ca="1">IFERROR(__xludf.DUMMYFUNCTION("""COMPUTED_VALUE"""),800)</f>
        <v>800</v>
      </c>
      <c r="L508" s="30" t="str">
        <f ca="1">IFERROR(__xludf.DUMMYFUNCTION("""COMPUTED_VALUE"""),"Cultural")</f>
        <v>Cultural</v>
      </c>
      <c r="M508" s="30" t="str">
        <f ca="1">IFERROR(__xludf.DUMMYFUNCTION("""COMPUTED_VALUE"""),"Visita guiada libre.")</f>
        <v>Visita guiada libre.</v>
      </c>
      <c r="N508" s="30" t="str">
        <f ca="1">IFERROR(__xludf.DUMMYFUNCTION("""COMPUTED_VALUE"""),"Recorrido guiado por el museo")</f>
        <v>Recorrido guiado por el museo</v>
      </c>
      <c r="O508" s="30" t="str">
        <f ca="1">IFERROR(__xludf.DUMMYFUNCTION("""COMPUTED_VALUE"""),"Única")</f>
        <v>Única</v>
      </c>
      <c r="P508" s="33">
        <f ca="1">IFERROR(__xludf.DUMMYFUNCTION("""COMPUTED_VALUE"""),46260)</f>
        <v>46260</v>
      </c>
      <c r="Q508" s="33">
        <f ca="1">IFERROR(__xludf.DUMMYFUNCTION("""COMPUTED_VALUE"""),46260)</f>
        <v>46260</v>
      </c>
      <c r="R508" s="30">
        <f ca="1">IFERROR(__xludf.DUMMYFUNCTION("""COMPUTED_VALUE"""),1)</f>
        <v>1</v>
      </c>
      <c r="S508" s="30" t="str">
        <f ca="1">IFERROR(__xludf.DUMMYFUNCTION("""COMPUTED_VALUE"""),"Cultura comunitaria")</f>
        <v>Cultura comunitaria</v>
      </c>
      <c r="T508" s="30" t="str">
        <f ca="1">IFERROR(__xludf.DUMMYFUNCTION("""COMPUTED_VALUE"""),"Formación comunitaria")</f>
        <v>Formación comunitaria</v>
      </c>
      <c r="U508" s="30" t="str">
        <f ca="1">IFERROR(__xludf.DUMMYFUNCTION("""COMPUTED_VALUE"""),"Visitas guiadas")</f>
        <v>Visitas guiadas</v>
      </c>
      <c r="V508" s="30" t="str">
        <f ca="1">IFERROR(__xludf.DUMMYFUNCTION("""COMPUTED_VALUE"""),"Ninguna")</f>
        <v>Ninguna</v>
      </c>
      <c r="W508" s="30" t="str">
        <f ca="1">IFERROR(__xludf.DUMMYFUNCTION("""COMPUTED_VALUE"""),"Presencial")</f>
        <v>Presencial</v>
      </c>
      <c r="X508" s="30" t="str">
        <f ca="1">IFERROR(__xludf.DUMMYFUNCTION("""COMPUTED_VALUE"""),"Espacio a Cargo de la Secretaría")</f>
        <v>Espacio a Cargo de la Secretaría</v>
      </c>
      <c r="Y508" s="30" t="str">
        <f ca="1">IFERROR(__xludf.DUMMYFUNCTION("""COMPUTED_VALUE"""),"Museo de Arte-Olga Costa-José Chávez Morado")</f>
        <v>Museo de Arte-Olga Costa-José Chávez Morado</v>
      </c>
      <c r="Z508" s="30"/>
      <c r="AA508" s="30"/>
      <c r="AB508" s="30" t="b">
        <f ca="1">IFERROR(__xludf.DUMMYFUNCTION("""COMPUTED_VALUE"""),FALSE)</f>
        <v>0</v>
      </c>
      <c r="AC508" s="30"/>
      <c r="AD508" s="30" t="b">
        <f ca="1">IFERROR(__xludf.DUMMYFUNCTION("""COMPUTED_VALUE"""),FALSE)</f>
        <v>0</v>
      </c>
      <c r="AE508" s="30"/>
      <c r="AF508" s="30" t="b">
        <f ca="1">IFERROR(__xludf.DUMMYFUNCTION("""COMPUTED_VALUE"""),FALSE)</f>
        <v>0</v>
      </c>
      <c r="AG508" s="30"/>
      <c r="AH508" s="30" t="str">
        <f ca="1">IFERROR(__xludf.DUMMYFUNCTION("""COMPUTED_VALUE"""),"Sin costo")</f>
        <v>Sin costo</v>
      </c>
      <c r="AI508" s="30"/>
      <c r="AJ508" s="30"/>
      <c r="AK508" s="30"/>
      <c r="AL508" s="30" t="str">
        <f ca="1">IFERROR(__xludf.DUMMYFUNCTION("""COMPUTED_VALUE"""),"ccardonav@guanajuato.gob.mx")</f>
        <v>ccardonav@guanajuato.gob.mx</v>
      </c>
      <c r="AM508" s="30" t="str">
        <f ca="1">IFERROR(__xludf.DUMMYFUNCTION("""COMPUTED_VALUE"""),"Arraigo y empoderamiento cultural de comunidades.")</f>
        <v>Arraigo y empoderamiento cultural de comunidades.</v>
      </c>
      <c r="AN508" s="30" t="str">
        <f ca="1">IFERROR(__xludf.DUMMYFUNCTION("""COMPUTED_VALUE"""),"1 Tranquilidad")</f>
        <v>1 Tranquilidad</v>
      </c>
      <c r="AO508" s="30" t="str">
        <f ca="1">IFERROR(__xludf.DUMMYFUNCTION("""COMPUTED_VALUE"""),"1.2 Fortalecer prevención del delito")</f>
        <v>1.2 Fortalecer prevención del delito</v>
      </c>
      <c r="AP508" s="30" t="str">
        <f ca="1">IFERROR(__xludf.DUMMYFUNCTION("""COMPUTED_VALUE"""),"1.2.2 Fortalecimiento del tejido social")</f>
        <v>1.2.2 Fortalecimiento del tejido social</v>
      </c>
      <c r="AQ508" s="30" t="str">
        <f ca="1">IFERROR(__xludf.DUMMYFUNCTION("""COMPUTED_VALUE"""),"1.2.3.4 Promover una cultura de paz desde las expresiones artísticas y culturales")</f>
        <v>1.2.3.4 Promover una cultura de paz desde las expresiones artísticas y culturales</v>
      </c>
      <c r="AR508" s="30" t="str">
        <f ca="1">IFERROR(__xludf.DUMMYFUNCTION("""COMPUTED_VALUE"""),"Cooperación")</f>
        <v>Cooperación</v>
      </c>
      <c r="AS508" s="30"/>
      <c r="AT508" s="30" t="str">
        <f ca="1">IFERROR(__xludf.DUMMYFUNCTION("""COMPUTED_VALUE"""),"Fortalecimiento de la participación ciudadana y la mediación cultural")</f>
        <v>Fortalecimiento de la participación ciudadana y la mediación cultural</v>
      </c>
      <c r="AU508" s="30" t="str">
        <f ca="1">IFERROR(__xludf.DUMMYFUNCTION("""COMPUTED_VALUE"""),"Impulso a la ampliación de la oferta cultural en los territorios.")</f>
        <v>Impulso a la ampliación de la oferta cultural en los territorios.</v>
      </c>
      <c r="AV50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8" s="30" t="str">
        <f ca="1">IFERROR(__xludf.DUMMYFUNCTION("""COMPUTED_VALUE"""),"Incrementar en 25% la oferta cultural realizada en los municipios.")</f>
        <v>Incrementar en 25% la oferta cultural realizada en los municipios.</v>
      </c>
      <c r="AX508" s="30" t="str">
        <f ca="1">IFERROR(__xludf.DUMMYFUNCTION("""COMPUTED_VALUE"""),"Visitas guiadas")</f>
        <v>Visitas guiadas</v>
      </c>
      <c r="AY508" s="30" t="str">
        <f ca="1">IFERROR(__xludf.DUMMYFUNCTION("""COMPUTED_VALUE"""),"Formación")</f>
        <v>Formación</v>
      </c>
      <c r="AZ508" s="30" t="str">
        <f ca="1">IFERROR(__xludf.DUMMYFUNCTION("""COMPUTED_VALUE"""),"Formación")</f>
        <v>Formación</v>
      </c>
      <c r="BA508" s="30"/>
      <c r="BB508" s="30"/>
      <c r="BC508" s="30">
        <f ca="1">IFERROR(__xludf.DUMMYFUNCTION("""COMPUTED_VALUE"""),0)</f>
        <v>0</v>
      </c>
      <c r="BD508" s="30"/>
      <c r="BE508" s="30"/>
      <c r="BF508" s="30" t="b">
        <f ca="1">IFERROR(__xludf.DUMMYFUNCTION("""COMPUTED_VALUE"""),FALSE)</f>
        <v>0</v>
      </c>
      <c r="BG508" s="30"/>
      <c r="BH508" s="30"/>
      <c r="BI508" s="30"/>
      <c r="BJ508" s="30"/>
      <c r="BK508" s="30"/>
      <c r="BL508" s="30"/>
      <c r="BM508" s="30" t="str">
        <f ca="1">IFERROR(__xludf.DUMMYFUNCTION("""COMPUTED_VALUE"""),"No")</f>
        <v>No</v>
      </c>
      <c r="BN508" s="30"/>
      <c r="BO508" s="30" t="str">
        <f ca="1">IFERROR(__xludf.DUMMYFUNCTION("""COMPUTED_VALUE"""),"0f500036")</f>
        <v>0f500036</v>
      </c>
      <c r="BP508" s="29" t="str">
        <f ca="1">IFERROR(__xludf.DUMMYFUNCTION("""COMPUTED_VALUE"""),"Guanajuato")</f>
        <v>Guanajuato</v>
      </c>
      <c r="BQ508" s="30" t="str">
        <f ca="1">IFERROR(__xludf.DUMMYFUNCTION("""COMPUTED_VALUE"""),"Urbano")</f>
        <v>Urbano</v>
      </c>
      <c r="BR508" s="30"/>
      <c r="BS508" s="30"/>
      <c r="BT508" s="30"/>
      <c r="BU508" s="30" t="str">
        <f ca="1">IFERROR(__xludf.DUMMYFUNCTION("""COMPUTED_VALUE"""),"No")</f>
        <v>No</v>
      </c>
      <c r="BV508" s="30" t="str">
        <f ca="1">IFERROR(__xludf.DUMMYFUNCTION("""COMPUTED_VALUE"""),"No")</f>
        <v>No</v>
      </c>
      <c r="BW508" s="30">
        <f ca="1">IFERROR(__xludf.DUMMYFUNCTION("""COMPUTED_VALUE"""),4)</f>
        <v>4</v>
      </c>
      <c r="BX508" s="30"/>
      <c r="BY508" s="30">
        <f ca="1">IFERROR(__xludf.DUMMYFUNCTION("""COMPUTED_VALUE"""),4)</f>
        <v>4</v>
      </c>
      <c r="BZ508" s="30"/>
      <c r="CA508" s="30" t="str">
        <f ca="1">IFERROR(__xludf.DUMMYFUNCTION("""COMPUTED_VALUE"""),"No")</f>
        <v>No</v>
      </c>
      <c r="CB508" s="30" t="str">
        <f ca="1">IFERROR(__xludf.DUMMYFUNCTION("""COMPUTED_VALUE"""),"No")</f>
        <v>No</v>
      </c>
      <c r="CC508" s="30" t="str">
        <f ca="1">IFERROR(__xludf.DUMMYFUNCTION("""COMPUTED_VALUE"""),"50b0d7c8")</f>
        <v>50b0d7c8</v>
      </c>
      <c r="CD508" s="29" t="str">
        <f ca="1">IFERROR(__xludf.DUMMYFUNCTION("""COMPUTED_VALUE"""),"Adultos (30 a 59 años)")</f>
        <v>Adultos (30 a 59 años)</v>
      </c>
      <c r="CE508" s="30" t="str">
        <f ca="1">IFERROR(__xludf.DUMMYFUNCTION("""COMPUTED_VALUE"""),"No se cuenta con el dato")</f>
        <v>No se cuenta con el dato</v>
      </c>
      <c r="CF508" s="30" t="str">
        <f ca="1">IFERROR(__xludf.DUMMYFUNCTION("""COMPUTED_VALUE"""),"Ninguno (Población General)")</f>
        <v>Ninguno (Población General)</v>
      </c>
      <c r="CG508" s="30">
        <f ca="1">IFERROR(__xludf.DUMMYFUNCTION("""COMPUTED_VALUE"""),35)</f>
        <v>35</v>
      </c>
      <c r="CJ508" s="29"/>
      <c r="CM508" s="30" t="str">
        <f ca="1">IFERROR(__xludf.DUMMYFUNCTION("""COMPUTED_VALUE"""),"Guanajuato")</f>
        <v>Guanajuato</v>
      </c>
      <c r="CN508" s="32" t="e">
        <f ca="1"/>
        <v>#NAME?</v>
      </c>
      <c r="CO508" s="32" t="e">
        <f ca="1"/>
        <v>#NAME?</v>
      </c>
      <c r="CP508" s="32" t="e">
        <f ca="1"/>
        <v>#NAME?</v>
      </c>
      <c r="CQ508" s="32" t="e">
        <f ca="1"/>
        <v>#NAME?</v>
      </c>
      <c r="CR508" s="30" t="e">
        <f ca="1"/>
        <v>#NAME?</v>
      </c>
      <c r="CS508" s="30" t="str">
        <f ca="1">IFERROR(__xludf.DUMMYFUNCTION("""COMPUTED_VALUE"""),"Ninguno (Población General)")</f>
        <v>Ninguno (Población General)</v>
      </c>
    </row>
    <row r="509" spans="1:97" ht="13">
      <c r="A509" s="29" t="str">
        <f ca="1">IFERROR(__xludf.DUMMYFUNCTION("""COMPUTED_VALUE"""),"ACT-SCFV66869")</f>
        <v>ACT-SCFV66869</v>
      </c>
      <c r="B509" s="30" t="str">
        <f ca="1">IFERROR(__xludf.DUMMYFUNCTION("""COMPUTED_VALUE"""),"SC-261005-160044")</f>
        <v>SC-261005-160044</v>
      </c>
      <c r="C509" s="62">
        <f ca="1">IFERROR(__xludf.DUMMYFUNCTION("""COMPUTED_VALUE"""),46300.6671759259)</f>
        <v>46300.667175925897</v>
      </c>
      <c r="D509" s="30">
        <f ca="1">IFERROR(__xludf.DUMMYFUNCTION("""COMPUTED_VALUE"""),92)</f>
        <v>92</v>
      </c>
      <c r="E509" s="30" t="str">
        <f ca="1">IFERROR(__xludf.DUMMYFUNCTION("""COMPUTED_VALUE"""),"PB3572")</f>
        <v>PB3572</v>
      </c>
      <c r="F50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0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09" s="30" t="str">
        <f ca="1">IFERROR(__xludf.DUMMYFUNCTION("""COMPUTED_VALUE"""),"SUBSECRETARÍA DE DESARROLLO Y PROMOCIÓN ARTÍSTICA Y CULTURAL")</f>
        <v>SUBSECRETARÍA DE DESARROLLO Y PROMOCIÓN ARTÍSTICA Y CULTURAL</v>
      </c>
      <c r="I509" s="34" t="str">
        <f ca="1">IFERROR(__xludf.DUMMYFUNCTION("""COMPUTED_VALUE"""),"DIRECCIÓN GENERAL DE MUSEOS, ARTES VISUALES Y EXPOSICIONES")</f>
        <v>DIRECCIÓN GENERAL DE MUSEOS, ARTES VISUALES Y EXPOSICIONES</v>
      </c>
      <c r="J509" s="30" t="str">
        <f ca="1">IFERROR(__xludf.DUMMYFUNCTION("""COMPUTED_VALUE"""),"Número de Actividades realizadas")</f>
        <v>Número de Actividades realizadas</v>
      </c>
      <c r="K509" s="30">
        <f ca="1">IFERROR(__xludf.DUMMYFUNCTION("""COMPUTED_VALUE"""),800)</f>
        <v>800</v>
      </c>
      <c r="L509" s="30" t="str">
        <f ca="1">IFERROR(__xludf.DUMMYFUNCTION("""COMPUTED_VALUE"""),"Cultural")</f>
        <v>Cultural</v>
      </c>
      <c r="M509" s="30" t="str">
        <f ca="1">IFERROR(__xludf.DUMMYFUNCTION("""COMPUTED_VALUE"""),"Visita guiada libre.")</f>
        <v>Visita guiada libre.</v>
      </c>
      <c r="N509" s="30" t="str">
        <f ca="1">IFERROR(__xludf.DUMMYFUNCTION("""COMPUTED_VALUE"""),"Recorrido guiado por el museo")</f>
        <v>Recorrido guiado por el museo</v>
      </c>
      <c r="O509" s="30" t="str">
        <f ca="1">IFERROR(__xludf.DUMMYFUNCTION("""COMPUTED_VALUE"""),"Única")</f>
        <v>Única</v>
      </c>
      <c r="P509" s="33">
        <f ca="1">IFERROR(__xludf.DUMMYFUNCTION("""COMPUTED_VALUE"""),46262)</f>
        <v>46262</v>
      </c>
      <c r="Q509" s="33">
        <f ca="1">IFERROR(__xludf.DUMMYFUNCTION("""COMPUTED_VALUE"""),46262)</f>
        <v>46262</v>
      </c>
      <c r="R509" s="30">
        <f ca="1">IFERROR(__xludf.DUMMYFUNCTION("""COMPUTED_VALUE"""),1)</f>
        <v>1</v>
      </c>
      <c r="S509" s="30" t="str">
        <f ca="1">IFERROR(__xludf.DUMMYFUNCTION("""COMPUTED_VALUE"""),"Cultura comunitaria")</f>
        <v>Cultura comunitaria</v>
      </c>
      <c r="T509" s="30" t="str">
        <f ca="1">IFERROR(__xludf.DUMMYFUNCTION("""COMPUTED_VALUE"""),"Formación comunitaria")</f>
        <v>Formación comunitaria</v>
      </c>
      <c r="U509" s="30" t="str">
        <f ca="1">IFERROR(__xludf.DUMMYFUNCTION("""COMPUTED_VALUE"""),"Visitas guiadas")</f>
        <v>Visitas guiadas</v>
      </c>
      <c r="V509" s="30" t="str">
        <f ca="1">IFERROR(__xludf.DUMMYFUNCTION("""COMPUTED_VALUE"""),"Ninguna")</f>
        <v>Ninguna</v>
      </c>
      <c r="W509" s="30" t="str">
        <f ca="1">IFERROR(__xludf.DUMMYFUNCTION("""COMPUTED_VALUE"""),"Presencial")</f>
        <v>Presencial</v>
      </c>
      <c r="X509" s="30" t="str">
        <f ca="1">IFERROR(__xludf.DUMMYFUNCTION("""COMPUTED_VALUE"""),"Espacio a Cargo de la Secretaría")</f>
        <v>Espacio a Cargo de la Secretaría</v>
      </c>
      <c r="Y509" s="30" t="str">
        <f ca="1">IFERROR(__xludf.DUMMYFUNCTION("""COMPUTED_VALUE"""),"Museo de Arte-Olga Costa-José Chávez Morado")</f>
        <v>Museo de Arte-Olga Costa-José Chávez Morado</v>
      </c>
      <c r="Z509" s="30"/>
      <c r="AA509" s="30"/>
      <c r="AB509" s="30" t="b">
        <f ca="1">IFERROR(__xludf.DUMMYFUNCTION("""COMPUTED_VALUE"""),FALSE)</f>
        <v>0</v>
      </c>
      <c r="AC509" s="30"/>
      <c r="AD509" s="30" t="b">
        <f ca="1">IFERROR(__xludf.DUMMYFUNCTION("""COMPUTED_VALUE"""),FALSE)</f>
        <v>0</v>
      </c>
      <c r="AE509" s="30"/>
      <c r="AF509" s="30" t="b">
        <f ca="1">IFERROR(__xludf.DUMMYFUNCTION("""COMPUTED_VALUE"""),FALSE)</f>
        <v>0</v>
      </c>
      <c r="AG509" s="30"/>
      <c r="AH509" s="30" t="str">
        <f ca="1">IFERROR(__xludf.DUMMYFUNCTION("""COMPUTED_VALUE"""),"Sin costo")</f>
        <v>Sin costo</v>
      </c>
      <c r="AI509" s="30"/>
      <c r="AJ509" s="30"/>
      <c r="AK509" s="30"/>
      <c r="AL509" s="30" t="str">
        <f ca="1">IFERROR(__xludf.DUMMYFUNCTION("""COMPUTED_VALUE"""),"ccardonav@guanajuato.gob.mx")</f>
        <v>ccardonav@guanajuato.gob.mx</v>
      </c>
      <c r="AM509" s="30" t="str">
        <f ca="1">IFERROR(__xludf.DUMMYFUNCTION("""COMPUTED_VALUE"""),"Arraigo y empoderamiento cultural de comunidades.")</f>
        <v>Arraigo y empoderamiento cultural de comunidades.</v>
      </c>
      <c r="AN509" s="30" t="str">
        <f ca="1">IFERROR(__xludf.DUMMYFUNCTION("""COMPUTED_VALUE"""),"1 Tranquilidad")</f>
        <v>1 Tranquilidad</v>
      </c>
      <c r="AO509" s="30" t="str">
        <f ca="1">IFERROR(__xludf.DUMMYFUNCTION("""COMPUTED_VALUE"""),"1.2 Fortalecer prevención del delito")</f>
        <v>1.2 Fortalecer prevención del delito</v>
      </c>
      <c r="AP509" s="30" t="str">
        <f ca="1">IFERROR(__xludf.DUMMYFUNCTION("""COMPUTED_VALUE"""),"1.2.2 Fortalecimiento del tejido social")</f>
        <v>1.2.2 Fortalecimiento del tejido social</v>
      </c>
      <c r="AQ509" s="30" t="str">
        <f ca="1">IFERROR(__xludf.DUMMYFUNCTION("""COMPUTED_VALUE"""),"1.2.3.4 Promover una cultura de paz desde las expresiones artísticas y culturales")</f>
        <v>1.2.3.4 Promover una cultura de paz desde las expresiones artísticas y culturales</v>
      </c>
      <c r="AR509" s="30" t="str">
        <f ca="1">IFERROR(__xludf.DUMMYFUNCTION("""COMPUTED_VALUE"""),"Cooperación")</f>
        <v>Cooperación</v>
      </c>
      <c r="AS509" s="30"/>
      <c r="AT509" s="30" t="str">
        <f ca="1">IFERROR(__xludf.DUMMYFUNCTION("""COMPUTED_VALUE"""),"Fortalecimiento de la participación ciudadana y la mediación cultural")</f>
        <v>Fortalecimiento de la participación ciudadana y la mediación cultural</v>
      </c>
      <c r="AU509" s="30" t="str">
        <f ca="1">IFERROR(__xludf.DUMMYFUNCTION("""COMPUTED_VALUE"""),"Impulso a la ampliación de la oferta cultural en los territorios.")</f>
        <v>Impulso a la ampliación de la oferta cultural en los territorios.</v>
      </c>
      <c r="AV50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09" s="30" t="str">
        <f ca="1">IFERROR(__xludf.DUMMYFUNCTION("""COMPUTED_VALUE"""),"Incrementar en 25% la oferta cultural realizada en los municipios.")</f>
        <v>Incrementar en 25% la oferta cultural realizada en los municipios.</v>
      </c>
      <c r="AX509" s="30" t="str">
        <f ca="1">IFERROR(__xludf.DUMMYFUNCTION("""COMPUTED_VALUE"""),"Visitas guiadas")</f>
        <v>Visitas guiadas</v>
      </c>
      <c r="AY509" s="30" t="str">
        <f ca="1">IFERROR(__xludf.DUMMYFUNCTION("""COMPUTED_VALUE"""),"Formación")</f>
        <v>Formación</v>
      </c>
      <c r="AZ509" s="30" t="str">
        <f ca="1">IFERROR(__xludf.DUMMYFUNCTION("""COMPUTED_VALUE"""),"Formación")</f>
        <v>Formación</v>
      </c>
      <c r="BA509" s="30"/>
      <c r="BB509" s="30"/>
      <c r="BC509" s="30">
        <f ca="1">IFERROR(__xludf.DUMMYFUNCTION("""COMPUTED_VALUE"""),0)</f>
        <v>0</v>
      </c>
      <c r="BD509" s="30"/>
      <c r="BE509" s="30"/>
      <c r="BF509" s="30" t="b">
        <f ca="1">IFERROR(__xludf.DUMMYFUNCTION("""COMPUTED_VALUE"""),FALSE)</f>
        <v>0</v>
      </c>
      <c r="BG509" s="30"/>
      <c r="BH509" s="30"/>
      <c r="BI509" s="30"/>
      <c r="BJ509" s="30"/>
      <c r="BK509" s="30"/>
      <c r="BL509" s="30"/>
      <c r="BM509" s="30" t="str">
        <f ca="1">IFERROR(__xludf.DUMMYFUNCTION("""COMPUTED_VALUE"""),"No")</f>
        <v>No</v>
      </c>
      <c r="BN509" s="30"/>
      <c r="BO509" s="30" t="str">
        <f ca="1">IFERROR(__xludf.DUMMYFUNCTION("""COMPUTED_VALUE"""),"131ff2b0")</f>
        <v>131ff2b0</v>
      </c>
      <c r="BP509" s="29" t="str">
        <f ca="1">IFERROR(__xludf.DUMMYFUNCTION("""COMPUTED_VALUE"""),"Guanajuato")</f>
        <v>Guanajuato</v>
      </c>
      <c r="BQ509" s="30" t="str">
        <f ca="1">IFERROR(__xludf.DUMMYFUNCTION("""COMPUTED_VALUE"""),"Urbano")</f>
        <v>Urbano</v>
      </c>
      <c r="BR509" s="30"/>
      <c r="BS509" s="30"/>
      <c r="BT509" s="30"/>
      <c r="BU509" s="30" t="str">
        <f ca="1">IFERROR(__xludf.DUMMYFUNCTION("""COMPUTED_VALUE"""),"No")</f>
        <v>No</v>
      </c>
      <c r="BV509" s="30" t="str">
        <f ca="1">IFERROR(__xludf.DUMMYFUNCTION("""COMPUTED_VALUE"""),"No")</f>
        <v>No</v>
      </c>
      <c r="BW509" s="30">
        <f ca="1">IFERROR(__xludf.DUMMYFUNCTION("""COMPUTED_VALUE"""),5)</f>
        <v>5</v>
      </c>
      <c r="BX509" s="30">
        <f ca="1">IFERROR(__xludf.DUMMYFUNCTION("""COMPUTED_VALUE"""),5)</f>
        <v>5</v>
      </c>
      <c r="BY509" s="30">
        <f ca="1">IFERROR(__xludf.DUMMYFUNCTION("""COMPUTED_VALUE"""),0)</f>
        <v>0</v>
      </c>
      <c r="BZ509" s="30"/>
      <c r="CA509" s="30" t="str">
        <f ca="1">IFERROR(__xludf.DUMMYFUNCTION("""COMPUTED_VALUE"""),"No")</f>
        <v>No</v>
      </c>
      <c r="CB509" s="30" t="str">
        <f ca="1">IFERROR(__xludf.DUMMYFUNCTION("""COMPUTED_VALUE"""),"No")</f>
        <v>No</v>
      </c>
      <c r="CC509" s="30" t="str">
        <f ca="1">IFERROR(__xludf.DUMMYFUNCTION("""COMPUTED_VALUE"""),"84e6f7bc")</f>
        <v>84e6f7bc</v>
      </c>
      <c r="CD509" s="29" t="str">
        <f ca="1">IFERROR(__xludf.DUMMYFUNCTION("""COMPUTED_VALUE"""),"Jóvenes (18 a 29 años)")</f>
        <v>Jóvenes (18 a 29 años)</v>
      </c>
      <c r="CE509" s="30" t="str">
        <f ca="1">IFERROR(__xludf.DUMMYFUNCTION("""COMPUTED_VALUE"""),"No se cuenta con el dato")</f>
        <v>No se cuenta con el dato</v>
      </c>
      <c r="CF509" s="30" t="str">
        <f ca="1">IFERROR(__xludf.DUMMYFUNCTION("""COMPUTED_VALUE"""),"Ninguno (Población General)")</f>
        <v>Ninguno (Población General)</v>
      </c>
      <c r="CG509" s="30">
        <f ca="1">IFERROR(__xludf.DUMMYFUNCTION("""COMPUTED_VALUE"""),15)</f>
        <v>15</v>
      </c>
      <c r="CJ509" s="29"/>
      <c r="CM509" s="30" t="str">
        <f ca="1">IFERROR(__xludf.DUMMYFUNCTION("""COMPUTED_VALUE"""),"Guanajuato")</f>
        <v>Guanajuato</v>
      </c>
      <c r="CN509" s="32" t="e">
        <f ca="1"/>
        <v>#NAME?</v>
      </c>
      <c r="CO509" s="32" t="e">
        <f ca="1"/>
        <v>#NAME?</v>
      </c>
      <c r="CP509" s="32" t="e">
        <f ca="1"/>
        <v>#NAME?</v>
      </c>
      <c r="CQ509" s="32" t="e">
        <f ca="1"/>
        <v>#NAME?</v>
      </c>
      <c r="CR509" s="30" t="e">
        <f ca="1"/>
        <v>#NAME?</v>
      </c>
      <c r="CS509" s="30" t="str">
        <f ca="1">IFERROR(__xludf.DUMMYFUNCTION("""COMPUTED_VALUE"""),"Ninguno (Población General)")</f>
        <v>Ninguno (Población General)</v>
      </c>
    </row>
    <row r="510" spans="1:97" ht="13">
      <c r="A510" s="29" t="str">
        <f ca="1">IFERROR(__xludf.DUMMYFUNCTION("""COMPUTED_VALUE"""),"ACT-SCWJ23456")</f>
        <v>ACT-SCWJ23456</v>
      </c>
      <c r="B510" s="30" t="str">
        <f ca="1">IFERROR(__xludf.DUMMYFUNCTION("""COMPUTED_VALUE"""),"SC-261005-164752")</f>
        <v>SC-261005-164752</v>
      </c>
      <c r="C510" s="62">
        <f ca="1">IFERROR(__xludf.DUMMYFUNCTION("""COMPUTED_VALUE"""),46300.6999074074)</f>
        <v>46300.699907407397</v>
      </c>
      <c r="D510" s="30">
        <f ca="1">IFERROR(__xludf.DUMMYFUNCTION("""COMPUTED_VALUE"""),29)</f>
        <v>29</v>
      </c>
      <c r="E510" s="30" t="str">
        <f ca="1">IFERROR(__xludf.DUMMYFUNCTION("""COMPUTED_VALUE"""),"QC4049")</f>
        <v>QC4049</v>
      </c>
      <c r="F510" s="30" t="str">
        <f ca="1">IFERROR(__xludf.DUMMYFUNCTION("""COMPUTED_VALUE"""),"Centro de las Artes de Guanajuato, Claustro Mayor")</f>
        <v>Centro de las Artes de Guanajuato, Claustro Mayor</v>
      </c>
      <c r="G510"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510" s="30" t="str">
        <f ca="1">IFERROR(__xludf.DUMMYFUNCTION("""COMPUTED_VALUE"""),"SUBSECRETARÍA DE DESARROLLO COMUNITARIO Y PROMOCIÓN PATRIMONIAL")</f>
        <v>SUBSECRETARÍA DE DESARROLLO COMUNITARIO Y PROMOCIÓN PATRIMONIAL</v>
      </c>
      <c r="I510" s="34" t="str">
        <f ca="1">IFERROR(__xludf.DUMMYFUNCTION("""COMPUTED_VALUE"""),"DIRECCIÓN GENERAL DE FORMACIÓN E INVESTIGACIÓN")</f>
        <v>DIRECCIÓN GENERAL DE FORMACIÓN E INVESTIGACIÓN</v>
      </c>
      <c r="J510" s="30" t="str">
        <f ca="1">IFERROR(__xludf.DUMMYFUNCTION("""COMPUTED_VALUE"""),"Actividades realizadas")</f>
        <v>Actividades realizadas</v>
      </c>
      <c r="K510" s="30">
        <f ca="1">IFERROR(__xludf.DUMMYFUNCTION("""COMPUTED_VALUE"""),16)</f>
        <v>16</v>
      </c>
      <c r="L510" s="30" t="str">
        <f ca="1">IFERROR(__xludf.DUMMYFUNCTION("""COMPUTED_VALUE"""),"Cultural")</f>
        <v>Cultural</v>
      </c>
      <c r="M510" s="30" t="str">
        <f ca="1">IFERROR(__xludf.DUMMYFUNCTION("""COMPUTED_VALUE"""),"Taller de creación de literatura para adolescentes")</f>
        <v>Taller de creación de literatura para adolescentes</v>
      </c>
      <c r="N510" s="30" t="str">
        <f ca="1">IFERROR(__xludf.DUMMYFUNCTION("""COMPUTED_VALUE"""),"Este taller está dirigido a escritoras y escritores interesados en generar textos para adolescentes.")</f>
        <v>Este taller está dirigido a escritoras y escritores interesados en generar textos para adolescentes.</v>
      </c>
      <c r="O510" s="30" t="str">
        <f ca="1">IFERROR(__xludf.DUMMYFUNCTION("""COMPUTED_VALUE"""),"Diaria")</f>
        <v>Diaria</v>
      </c>
      <c r="P510" s="33">
        <f ca="1">IFERROR(__xludf.DUMMYFUNCTION("""COMPUTED_VALUE"""),46146)</f>
        <v>46146</v>
      </c>
      <c r="Q510" s="33">
        <f ca="1">IFERROR(__xludf.DUMMYFUNCTION("""COMPUTED_VALUE"""),46157)</f>
        <v>46157</v>
      </c>
      <c r="R510" s="30">
        <f ca="1">IFERROR(__xludf.DUMMYFUNCTION("""COMPUTED_VALUE"""),11)</f>
        <v>11</v>
      </c>
      <c r="S510" s="30" t="str">
        <f ca="1">IFERROR(__xludf.DUMMYFUNCTION("""COMPUTED_VALUE"""),"Literatura")</f>
        <v>Literatura</v>
      </c>
      <c r="T510" s="30" t="str">
        <f ca="1">IFERROR(__xludf.DUMMYFUNCTION("""COMPUTED_VALUE"""),"Literatura infantil y juvenil")</f>
        <v>Literatura infantil y juvenil</v>
      </c>
      <c r="U510" s="30" t="str">
        <f ca="1">IFERROR(__xludf.DUMMYFUNCTION("""COMPUTED_VALUE"""),"Taller")</f>
        <v>Taller</v>
      </c>
      <c r="V510" s="30" t="str">
        <f ca="1">IFERROR(__xludf.DUMMYFUNCTION("""COMPUTED_VALUE"""),"Ninguna")</f>
        <v>Ninguna</v>
      </c>
      <c r="W510" s="30" t="str">
        <f ca="1">IFERROR(__xludf.DUMMYFUNCTION("""COMPUTED_VALUE"""),"Virtual")</f>
        <v>Virtual</v>
      </c>
      <c r="X510" s="30" t="str">
        <f ca="1">IFERROR(__xludf.DUMMYFUNCTION("""COMPUTED_VALUE"""),"Modalidad en linea")</f>
        <v>Modalidad en linea</v>
      </c>
      <c r="Y510" s="30"/>
      <c r="Z510" s="30"/>
      <c r="AA510" s="30"/>
      <c r="AB510" s="30" t="b">
        <f ca="1">IFERROR(__xludf.DUMMYFUNCTION("""COMPUTED_VALUE"""),FALSE)</f>
        <v>0</v>
      </c>
      <c r="AC510" s="30"/>
      <c r="AD510" s="30" t="b">
        <f ca="1">IFERROR(__xludf.DUMMYFUNCTION("""COMPUTED_VALUE"""),FALSE)</f>
        <v>0</v>
      </c>
      <c r="AE510" s="30"/>
      <c r="AF510" s="30" t="b">
        <f ca="1">IFERROR(__xludf.DUMMYFUNCTION("""COMPUTED_VALUE"""),FALSE)</f>
        <v>0</v>
      </c>
      <c r="AG510" s="30"/>
      <c r="AH510" s="30" t="str">
        <f ca="1">IFERROR(__xludf.DUMMYFUNCTION("""COMPUTED_VALUE"""),"Sin costo")</f>
        <v>Sin costo</v>
      </c>
      <c r="AI510" s="30"/>
      <c r="AJ510" s="30"/>
      <c r="AK510" s="30"/>
      <c r="AL510" s="30" t="str">
        <f ca="1">IFERROR(__xludf.DUMMYFUNCTION("""COMPUTED_VALUE"""),"claudia.ramirezm@guanajuato.gob.mx")</f>
        <v>claudia.ramirezm@guanajuato.gob.mx</v>
      </c>
      <c r="AM510" s="30" t="str">
        <f ca="1">IFERROR(__xludf.DUMMYFUNCTION("""COMPUTED_VALUE"""),"Actividades artísticas y culturales en zonas de alta marginación.")</f>
        <v>Actividades artísticas y culturales en zonas de alta marginación.</v>
      </c>
      <c r="AN510" s="30" t="str">
        <f ca="1">IFERROR(__xludf.DUMMYFUNCTION("""COMPUTED_VALUE"""),"1 Tranquilidad")</f>
        <v>1 Tranquilidad</v>
      </c>
      <c r="AO510" s="30" t="str">
        <f ca="1">IFERROR(__xludf.DUMMYFUNCTION("""COMPUTED_VALUE"""),"1.2 Fortalecer prevención del delito")</f>
        <v>1.2 Fortalecer prevención del delito</v>
      </c>
      <c r="AP510" s="30" t="str">
        <f ca="1">IFERROR(__xludf.DUMMYFUNCTION("""COMPUTED_VALUE"""),"1.2.2 Fortalecimiento del tejido social")</f>
        <v>1.2.2 Fortalecimiento del tejido social</v>
      </c>
      <c r="AQ510" s="30" t="str">
        <f ca="1">IFERROR(__xludf.DUMMYFUNCTION("""COMPUTED_VALUE"""),"1.2.3.4 Promover una cultura de paz desde las expresiones artísticas y culturales")</f>
        <v>1.2.3.4 Promover una cultura de paz desde las expresiones artísticas y culturales</v>
      </c>
      <c r="AR510" s="30" t="str">
        <f ca="1">IFERROR(__xludf.DUMMYFUNCTION("""COMPUTED_VALUE"""),"Inclusión")</f>
        <v>Inclusión</v>
      </c>
      <c r="AS510" s="30" t="str">
        <f ca="1">IFERROR(__xludf.DUMMYFUNCTION("""COMPUTED_VALUE"""),"Ninguno (Población General)")</f>
        <v>Ninguno (Población General)</v>
      </c>
      <c r="AT510" s="30" t="str">
        <f ca="1">IFERROR(__xludf.DUMMYFUNCTION("""COMPUTED_VALUE"""),"Impulso a la educación artística y a la profesionalización del sector cultural")</f>
        <v>Impulso a la educación artística y a la profesionalización del sector cultural</v>
      </c>
      <c r="AU510" s="30" t="str">
        <f ca="1">IFERROR(__xludf.DUMMYFUNCTION("""COMPUTED_VALUE"""),"Impulso a programas de formación y profesionalización para agentes culturales.")</f>
        <v>Impulso a programas de formación y profesionalización para agentes culturales.</v>
      </c>
      <c r="AV510"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10" s="30" t="str">
        <f ca="1">IFERROR(__xludf.DUMMYFUNCTION("""COMPUTED_VALUE"""),"Incrementar un 30% la oferta de formación y profesionalización para agentes culturales.")</f>
        <v>Incrementar un 30% la oferta de formación y profesionalización para agentes culturales.</v>
      </c>
      <c r="AX510" s="30" t="str">
        <f ca="1">IFERROR(__xludf.DUMMYFUNCTION("""COMPUTED_VALUE"""),"Taller")</f>
        <v>Taller</v>
      </c>
      <c r="AY510" s="30" t="str">
        <f ca="1">IFERROR(__xludf.DUMMYFUNCTION("""COMPUTED_VALUE"""),"Formación")</f>
        <v>Formación</v>
      </c>
      <c r="AZ510" s="30" t="str">
        <f ca="1">IFERROR(__xludf.DUMMYFUNCTION("""COMPUTED_VALUE"""),"Formación")</f>
        <v>Formación</v>
      </c>
      <c r="BA510" s="30" t="str">
        <f ca="1">IFERROR(__xludf.DUMMYFUNCTION("""COMPUTED_VALUE"""),"Este taller está dirigido a escritoras y escritores interesados en generar textos para adolescentes.")</f>
        <v>Este taller está dirigido a escritoras y escritores interesados en generar textos para adolescentes.</v>
      </c>
      <c r="BB510" s="30">
        <f ca="1">IFERROR(__xludf.DUMMYFUNCTION("""COMPUTED_VALUE"""),5)</f>
        <v>5</v>
      </c>
      <c r="BC510" s="30">
        <f ca="1">IFERROR(__xludf.DUMMYFUNCTION("""COMPUTED_VALUE"""),1)</f>
        <v>1</v>
      </c>
      <c r="BD510" s="30" t="str">
        <f ca="1">IFERROR(__xludf.DUMMYFUNCTION("""COMPUTED_VALUE"""),"Apoyado con anterioridad")</f>
        <v>Apoyado con anterioridad</v>
      </c>
      <c r="BE510" s="30" t="str">
        <f ca="1">IFERROR(__xludf.DUMMYFUNCTION("""COMPUTED_VALUE"""),"Ricardo Chávez Castañeda")</f>
        <v>Ricardo Chávez Castañeda</v>
      </c>
      <c r="BF510" s="30" t="b">
        <f ca="1">IFERROR(__xludf.DUMMYFUNCTION("""COMPUTED_VALUE"""),FALSE)</f>
        <v>0</v>
      </c>
      <c r="BG510" s="30"/>
      <c r="BH510" s="30"/>
      <c r="BI510" s="30"/>
      <c r="BJ510" s="30"/>
      <c r="BK510" s="30"/>
      <c r="BL510" s="30"/>
      <c r="BM510" s="30" t="str">
        <f ca="1">IFERROR(__xludf.DUMMYFUNCTION("""COMPUTED_VALUE"""),"No")</f>
        <v>No</v>
      </c>
      <c r="BN510" s="30"/>
      <c r="BO510" s="30" t="str">
        <f ca="1">IFERROR(__xludf.DUMMYFUNCTION("""COMPUTED_VALUE"""),"42b8efe4")</f>
        <v>42b8efe4</v>
      </c>
      <c r="BP510" s="29" t="str">
        <f ca="1">IFERROR(__xludf.DUMMYFUNCTION("""COMPUTED_VALUE"""),"San Felipe")</f>
        <v>San Felipe</v>
      </c>
      <c r="BQ510" s="30" t="str">
        <f ca="1">IFERROR(__xludf.DUMMYFUNCTION("""COMPUTED_VALUE"""),"Urbano")</f>
        <v>Urbano</v>
      </c>
      <c r="BR510" s="30">
        <f ca="1">IFERROR(__xludf.DUMMYFUNCTION("""COMPUTED_VALUE"""),192)</f>
        <v>192</v>
      </c>
      <c r="BS510" s="30" t="str">
        <f ca="1">IFERROR(__xludf.DUMMYFUNCTION("""COMPUTED_VALUE"""),"San Felipe")</f>
        <v>San Felipe</v>
      </c>
      <c r="BT510" s="30"/>
      <c r="BU510" s="30" t="str">
        <f ca="1">IFERROR(__xludf.DUMMYFUNCTION("""COMPUTED_VALUE"""),"Si")</f>
        <v>Si</v>
      </c>
      <c r="BV510" s="30" t="str">
        <f ca="1">IFERROR(__xludf.DUMMYFUNCTION("""COMPUTED_VALUE"""),"Si")</f>
        <v>Si</v>
      </c>
      <c r="BW510" s="30">
        <f ca="1">IFERROR(__xludf.DUMMYFUNCTION("""COMPUTED_VALUE"""),42)</f>
        <v>42</v>
      </c>
      <c r="BX510" s="30">
        <f ca="1">IFERROR(__xludf.DUMMYFUNCTION("""COMPUTED_VALUE"""),1)</f>
        <v>1</v>
      </c>
      <c r="BY510" s="30">
        <f ca="1">IFERROR(__xludf.DUMMYFUNCTION("""COMPUTED_VALUE"""),41)</f>
        <v>41</v>
      </c>
      <c r="BZ510" s="30" t="str">
        <f ca="1">IFERROR(__xludf.DUMMYFUNCTION("""COMPUTED_VALUE"""),"San Felipe")</f>
        <v>San Felipe</v>
      </c>
      <c r="CA510" s="30" t="str">
        <f ca="1">IFERROR(__xludf.DUMMYFUNCTION("""COMPUTED_VALUE"""),"No")</f>
        <v>No</v>
      </c>
      <c r="CB510" s="30" t="str">
        <f ca="1">IFERROR(__xludf.DUMMYFUNCTION("""COMPUTED_VALUE"""),"No")</f>
        <v>No</v>
      </c>
      <c r="CC510" s="30" t="str">
        <f ca="1">IFERROR(__xludf.DUMMYFUNCTION("""COMPUTED_VALUE"""),"0b3808c3")</f>
        <v>0b3808c3</v>
      </c>
      <c r="CD510" s="29" t="str">
        <f ca="1">IFERROR(__xludf.DUMMYFUNCTION("""COMPUTED_VALUE"""),"Adultos (30 a 59 años)")</f>
        <v>Adultos (30 a 59 años)</v>
      </c>
      <c r="CE510" s="30" t="str">
        <f ca="1">IFERROR(__xludf.DUMMYFUNCTION("""COMPUTED_VALUE"""),"No se cuenta con el dato")</f>
        <v>No se cuenta con el dato</v>
      </c>
      <c r="CF510" s="30" t="str">
        <f ca="1">IFERROR(__xludf.DUMMYFUNCTION("""COMPUTED_VALUE"""),"Ninguno (Población General)")</f>
        <v>Ninguno (Población General)</v>
      </c>
      <c r="CG510" s="30">
        <f ca="1">IFERROR(__xludf.DUMMYFUNCTION("""COMPUTED_VALUE"""),24)</f>
        <v>24</v>
      </c>
      <c r="CJ510" s="29"/>
      <c r="CM510" s="30" t="str">
        <f ca="1">IFERROR(__xludf.DUMMYFUNCTION("""COMPUTED_VALUE"""),"Dolores Hidalgo Cuna de la Independencia Nacional")</f>
        <v>Dolores Hidalgo Cuna de la Independencia Nacional</v>
      </c>
      <c r="CN510" s="32" t="e">
        <f ca="1"/>
        <v>#NAME?</v>
      </c>
      <c r="CO510" s="32" t="e">
        <f ca="1"/>
        <v>#NAME?</v>
      </c>
      <c r="CP510" s="32" t="e">
        <f ca="1"/>
        <v>#NAME?</v>
      </c>
      <c r="CQ510" s="32" t="e">
        <f ca="1"/>
        <v>#NAME?</v>
      </c>
      <c r="CR510" s="30" t="e">
        <f ca="1"/>
        <v>#NAME?</v>
      </c>
      <c r="CS510" s="30" t="str">
        <f ca="1">IFERROR(__xludf.DUMMYFUNCTION("""COMPUTED_VALUE"""),"Población General")</f>
        <v>Población General</v>
      </c>
    </row>
    <row r="511" spans="1:97" ht="13">
      <c r="A511" s="29" t="str">
        <f ca="1">IFERROR(__xludf.DUMMYFUNCTION("""COMPUTED_VALUE"""),"ACT-SCRW71537")</f>
        <v>ACT-SCRW71537</v>
      </c>
      <c r="B511" s="30" t="str">
        <f ca="1">IFERROR(__xludf.DUMMYFUNCTION("""COMPUTED_VALUE"""),"SC-261005-165659")</f>
        <v>SC-261005-165659</v>
      </c>
      <c r="C511" s="62">
        <f ca="1">IFERROR(__xludf.DUMMYFUNCTION("""COMPUTED_VALUE"""),46300.7062384259)</f>
        <v>46300.706238425897</v>
      </c>
      <c r="D511" s="30">
        <f ca="1">IFERROR(__xludf.DUMMYFUNCTION("""COMPUTED_VALUE"""),92)</f>
        <v>92</v>
      </c>
      <c r="E511" s="30" t="str">
        <f ca="1">IFERROR(__xludf.DUMMYFUNCTION("""COMPUTED_VALUE"""),"PB3572")</f>
        <v>PB3572</v>
      </c>
      <c r="F51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1" s="30" t="str">
        <f ca="1">IFERROR(__xludf.DUMMYFUNCTION("""COMPUTED_VALUE"""),"SUBSECRETARÍA DE DESARROLLO Y PROMOCIÓN ARTÍSTICA Y CULTURAL")</f>
        <v>SUBSECRETARÍA DE DESARROLLO Y PROMOCIÓN ARTÍSTICA Y CULTURAL</v>
      </c>
      <c r="I511" s="34" t="str">
        <f ca="1">IFERROR(__xludf.DUMMYFUNCTION("""COMPUTED_VALUE"""),"DIRECCIÓN GENERAL DE MUSEOS, ARTES VISUALES Y EXPOSICIONES")</f>
        <v>DIRECCIÓN GENERAL DE MUSEOS, ARTES VISUALES Y EXPOSICIONES</v>
      </c>
      <c r="J511" s="30" t="str">
        <f ca="1">IFERROR(__xludf.DUMMYFUNCTION("""COMPUTED_VALUE"""),"Número de Actividades realizadas")</f>
        <v>Número de Actividades realizadas</v>
      </c>
      <c r="K511" s="30">
        <f ca="1">IFERROR(__xludf.DUMMYFUNCTION("""COMPUTED_VALUE"""),800)</f>
        <v>800</v>
      </c>
      <c r="L511" s="30" t="str">
        <f ca="1">IFERROR(__xludf.DUMMYFUNCTION("""COMPUTED_VALUE"""),"Cultural")</f>
        <v>Cultural</v>
      </c>
      <c r="M511" s="30" t="str">
        <f ca="1">IFERROR(__xludf.DUMMYFUNCTION("""COMPUTED_VALUE"""),"Visita guiada libre.")</f>
        <v>Visita guiada libre.</v>
      </c>
      <c r="N511" s="30" t="str">
        <f ca="1">IFERROR(__xludf.DUMMYFUNCTION("""COMPUTED_VALUE"""),"Recorrido guiado por el museo")</f>
        <v>Recorrido guiado por el museo</v>
      </c>
      <c r="O511" s="30" t="str">
        <f ca="1">IFERROR(__xludf.DUMMYFUNCTION("""COMPUTED_VALUE"""),"Única")</f>
        <v>Única</v>
      </c>
      <c r="P511" s="33">
        <f ca="1">IFERROR(__xludf.DUMMYFUNCTION("""COMPUTED_VALUE"""),46262)</f>
        <v>46262</v>
      </c>
      <c r="Q511" s="33">
        <f ca="1">IFERROR(__xludf.DUMMYFUNCTION("""COMPUTED_VALUE"""),46262)</f>
        <v>46262</v>
      </c>
      <c r="R511" s="30">
        <f ca="1">IFERROR(__xludf.DUMMYFUNCTION("""COMPUTED_VALUE"""),1)</f>
        <v>1</v>
      </c>
      <c r="S511" s="30" t="str">
        <f ca="1">IFERROR(__xludf.DUMMYFUNCTION("""COMPUTED_VALUE"""),"Cultura comunitaria")</f>
        <v>Cultura comunitaria</v>
      </c>
      <c r="T511" s="30" t="str">
        <f ca="1">IFERROR(__xludf.DUMMYFUNCTION("""COMPUTED_VALUE"""),"Formación comunitaria")</f>
        <v>Formación comunitaria</v>
      </c>
      <c r="U511" s="30" t="str">
        <f ca="1">IFERROR(__xludf.DUMMYFUNCTION("""COMPUTED_VALUE"""),"Visitas guiadas")</f>
        <v>Visitas guiadas</v>
      </c>
      <c r="V511" s="30" t="str">
        <f ca="1">IFERROR(__xludf.DUMMYFUNCTION("""COMPUTED_VALUE"""),"Ninguna")</f>
        <v>Ninguna</v>
      </c>
      <c r="W511" s="30" t="str">
        <f ca="1">IFERROR(__xludf.DUMMYFUNCTION("""COMPUTED_VALUE"""),"Presencial")</f>
        <v>Presencial</v>
      </c>
      <c r="X511" s="30" t="str">
        <f ca="1">IFERROR(__xludf.DUMMYFUNCTION("""COMPUTED_VALUE"""),"Espacio a Cargo de la Secretaría")</f>
        <v>Espacio a Cargo de la Secretaría</v>
      </c>
      <c r="Y511" s="30" t="str">
        <f ca="1">IFERROR(__xludf.DUMMYFUNCTION("""COMPUTED_VALUE"""),"Museo de Arte-Olga Costa-José Chávez Morado")</f>
        <v>Museo de Arte-Olga Costa-José Chávez Morado</v>
      </c>
      <c r="Z511" s="30"/>
      <c r="AA511" s="30"/>
      <c r="AB511" s="30" t="b">
        <f ca="1">IFERROR(__xludf.DUMMYFUNCTION("""COMPUTED_VALUE"""),FALSE)</f>
        <v>0</v>
      </c>
      <c r="AC511" s="30"/>
      <c r="AD511" s="30" t="b">
        <f ca="1">IFERROR(__xludf.DUMMYFUNCTION("""COMPUTED_VALUE"""),FALSE)</f>
        <v>0</v>
      </c>
      <c r="AE511" s="30"/>
      <c r="AF511" s="30" t="b">
        <f ca="1">IFERROR(__xludf.DUMMYFUNCTION("""COMPUTED_VALUE"""),FALSE)</f>
        <v>0</v>
      </c>
      <c r="AG511" s="30"/>
      <c r="AH511" s="30" t="str">
        <f ca="1">IFERROR(__xludf.DUMMYFUNCTION("""COMPUTED_VALUE"""),"Sin costo")</f>
        <v>Sin costo</v>
      </c>
      <c r="AI511" s="30"/>
      <c r="AJ511" s="30"/>
      <c r="AK511" s="30"/>
      <c r="AL511" s="30" t="str">
        <f ca="1">IFERROR(__xludf.DUMMYFUNCTION("""COMPUTED_VALUE"""),"ccardonav@guanajuato.gob.mx")</f>
        <v>ccardonav@guanajuato.gob.mx</v>
      </c>
      <c r="AM511" s="30" t="str">
        <f ca="1">IFERROR(__xludf.DUMMYFUNCTION("""COMPUTED_VALUE"""),"Arraigo y empoderamiento cultural de comunidades.")</f>
        <v>Arraigo y empoderamiento cultural de comunidades.</v>
      </c>
      <c r="AN511" s="30" t="str">
        <f ca="1">IFERROR(__xludf.DUMMYFUNCTION("""COMPUTED_VALUE"""),"1 Tranquilidad")</f>
        <v>1 Tranquilidad</v>
      </c>
      <c r="AO511" s="30" t="str">
        <f ca="1">IFERROR(__xludf.DUMMYFUNCTION("""COMPUTED_VALUE"""),"1.2 Fortalecer prevención del delito")</f>
        <v>1.2 Fortalecer prevención del delito</v>
      </c>
      <c r="AP511" s="30" t="str">
        <f ca="1">IFERROR(__xludf.DUMMYFUNCTION("""COMPUTED_VALUE"""),"1.2.2 Fortalecimiento del tejido social")</f>
        <v>1.2.2 Fortalecimiento del tejido social</v>
      </c>
      <c r="AQ511" s="30" t="str">
        <f ca="1">IFERROR(__xludf.DUMMYFUNCTION("""COMPUTED_VALUE"""),"1.2.3.4 Promover una cultura de paz desde las expresiones artísticas y culturales")</f>
        <v>1.2.3.4 Promover una cultura de paz desde las expresiones artísticas y culturales</v>
      </c>
      <c r="AR511" s="30" t="str">
        <f ca="1">IFERROR(__xludf.DUMMYFUNCTION("""COMPUTED_VALUE"""),"Cooperación")</f>
        <v>Cooperación</v>
      </c>
      <c r="AS511" s="30"/>
      <c r="AT511" s="30" t="str">
        <f ca="1">IFERROR(__xludf.DUMMYFUNCTION("""COMPUTED_VALUE"""),"Fortalecimiento de la participación ciudadana y la mediación cultural")</f>
        <v>Fortalecimiento de la participación ciudadana y la mediación cultural</v>
      </c>
      <c r="AU511" s="30" t="str">
        <f ca="1">IFERROR(__xludf.DUMMYFUNCTION("""COMPUTED_VALUE"""),"Impulso a la ampliación de la oferta cultural en los territorios.")</f>
        <v>Impulso a la ampliación de la oferta cultural en los territorios.</v>
      </c>
      <c r="AV51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1" s="30" t="str">
        <f ca="1">IFERROR(__xludf.DUMMYFUNCTION("""COMPUTED_VALUE"""),"Incrementar en 25% la oferta cultural realizada en los municipios.")</f>
        <v>Incrementar en 25% la oferta cultural realizada en los municipios.</v>
      </c>
      <c r="AX511" s="30" t="str">
        <f ca="1">IFERROR(__xludf.DUMMYFUNCTION("""COMPUTED_VALUE"""),"Visitas guiadas")</f>
        <v>Visitas guiadas</v>
      </c>
      <c r="AY511" s="30" t="str">
        <f ca="1">IFERROR(__xludf.DUMMYFUNCTION("""COMPUTED_VALUE"""),"Formación")</f>
        <v>Formación</v>
      </c>
      <c r="AZ511" s="30" t="str">
        <f ca="1">IFERROR(__xludf.DUMMYFUNCTION("""COMPUTED_VALUE"""),"Formación")</f>
        <v>Formación</v>
      </c>
      <c r="BA511" s="30"/>
      <c r="BB511" s="30"/>
      <c r="BC511" s="30">
        <f ca="1">IFERROR(__xludf.DUMMYFUNCTION("""COMPUTED_VALUE"""),0)</f>
        <v>0</v>
      </c>
      <c r="BD511" s="30"/>
      <c r="BE511" s="30"/>
      <c r="BF511" s="30" t="b">
        <f ca="1">IFERROR(__xludf.DUMMYFUNCTION("""COMPUTED_VALUE"""),FALSE)</f>
        <v>0</v>
      </c>
      <c r="BG511" s="30"/>
      <c r="BH511" s="30"/>
      <c r="BI511" s="30"/>
      <c r="BJ511" s="30"/>
      <c r="BK511" s="30"/>
      <c r="BL511" s="30"/>
      <c r="BM511" s="30" t="str">
        <f ca="1">IFERROR(__xludf.DUMMYFUNCTION("""COMPUTED_VALUE"""),"No")</f>
        <v>No</v>
      </c>
      <c r="BN511" s="30"/>
      <c r="BO511" s="30" t="str">
        <f ca="1">IFERROR(__xludf.DUMMYFUNCTION("""COMPUTED_VALUE"""),"6c785b36")</f>
        <v>6c785b36</v>
      </c>
      <c r="BP511" s="29" t="str">
        <f ca="1">IFERROR(__xludf.DUMMYFUNCTION("""COMPUTED_VALUE"""),"Guanajuato")</f>
        <v>Guanajuato</v>
      </c>
      <c r="BQ511" s="30" t="str">
        <f ca="1">IFERROR(__xludf.DUMMYFUNCTION("""COMPUTED_VALUE"""),"Urbano")</f>
        <v>Urbano</v>
      </c>
      <c r="BR511" s="30"/>
      <c r="BS511" s="30"/>
      <c r="BT511" s="30"/>
      <c r="BU511" s="30" t="str">
        <f ca="1">IFERROR(__xludf.DUMMYFUNCTION("""COMPUTED_VALUE"""),"No")</f>
        <v>No</v>
      </c>
      <c r="BV511" s="30" t="str">
        <f ca="1">IFERROR(__xludf.DUMMYFUNCTION("""COMPUTED_VALUE"""),"No")</f>
        <v>No</v>
      </c>
      <c r="BW511" s="30">
        <f ca="1">IFERROR(__xludf.DUMMYFUNCTION("""COMPUTED_VALUE"""),9)</f>
        <v>9</v>
      </c>
      <c r="BX511" s="30"/>
      <c r="BY511" s="30">
        <f ca="1">IFERROR(__xludf.DUMMYFUNCTION("""COMPUTED_VALUE"""),9)</f>
        <v>9</v>
      </c>
      <c r="BZ511" s="30"/>
      <c r="CA511" s="30" t="str">
        <f ca="1">IFERROR(__xludf.DUMMYFUNCTION("""COMPUTED_VALUE"""),"No")</f>
        <v>No</v>
      </c>
      <c r="CB511" s="30" t="str">
        <f ca="1">IFERROR(__xludf.DUMMYFUNCTION("""COMPUTED_VALUE"""),"No")</f>
        <v>No</v>
      </c>
      <c r="CC511" s="30" t="str">
        <f ca="1">IFERROR(__xludf.DUMMYFUNCTION("""COMPUTED_VALUE"""),"f8e09813")</f>
        <v>f8e09813</v>
      </c>
      <c r="CD511" s="29" t="str">
        <f ca="1">IFERROR(__xludf.DUMMYFUNCTION("""COMPUTED_VALUE"""),"Jóvenes (18 a 29 años)")</f>
        <v>Jóvenes (18 a 29 años)</v>
      </c>
      <c r="CE511" s="30" t="str">
        <f ca="1">IFERROR(__xludf.DUMMYFUNCTION("""COMPUTED_VALUE"""),"No se cuenta con el dato")</f>
        <v>No se cuenta con el dato</v>
      </c>
      <c r="CF511" s="30" t="str">
        <f ca="1">IFERROR(__xludf.DUMMYFUNCTION("""COMPUTED_VALUE"""),"Ninguno (Población General)")</f>
        <v>Ninguno (Población General)</v>
      </c>
      <c r="CG511" s="30">
        <f ca="1">IFERROR(__xludf.DUMMYFUNCTION("""COMPUTED_VALUE"""),19)</f>
        <v>19</v>
      </c>
      <c r="CJ511" s="29"/>
      <c r="CM511" s="30" t="str">
        <f ca="1">IFERROR(__xludf.DUMMYFUNCTION("""COMPUTED_VALUE"""),"Guanajuato")</f>
        <v>Guanajuato</v>
      </c>
      <c r="CN511" s="32" t="e">
        <f ca="1"/>
        <v>#NAME?</v>
      </c>
      <c r="CO511" s="32" t="e">
        <f ca="1"/>
        <v>#NAME?</v>
      </c>
      <c r="CP511" s="32" t="e">
        <f ca="1"/>
        <v>#NAME?</v>
      </c>
      <c r="CQ511" s="32" t="e">
        <f ca="1"/>
        <v>#NAME?</v>
      </c>
      <c r="CR511" s="30" t="e">
        <f ca="1"/>
        <v>#NAME?</v>
      </c>
      <c r="CS511" s="30" t="str">
        <f ca="1">IFERROR(__xludf.DUMMYFUNCTION("""COMPUTED_VALUE"""),"Ninguno (Población General)")</f>
        <v>Ninguno (Población General)</v>
      </c>
    </row>
    <row r="512" spans="1:97" ht="13">
      <c r="A512" s="29" t="str">
        <f ca="1">IFERROR(__xludf.DUMMYFUNCTION("""COMPUTED_VALUE"""),"ACT-SCHL56287")</f>
        <v>ACT-SCHL56287</v>
      </c>
      <c r="B512" s="30" t="str">
        <f ca="1">IFERROR(__xludf.DUMMYFUNCTION("""COMPUTED_VALUE"""),"SC-261005-165937")</f>
        <v>SC-261005-165937</v>
      </c>
      <c r="C512" s="62">
        <f ca="1">IFERROR(__xludf.DUMMYFUNCTION("""COMPUTED_VALUE"""),46300.7080671296)</f>
        <v>46300.708067129599</v>
      </c>
      <c r="D512" s="30">
        <f ca="1">IFERROR(__xludf.DUMMYFUNCTION("""COMPUTED_VALUE"""),92)</f>
        <v>92</v>
      </c>
      <c r="E512" s="30" t="str">
        <f ca="1">IFERROR(__xludf.DUMMYFUNCTION("""COMPUTED_VALUE"""),"PB3572")</f>
        <v>PB3572</v>
      </c>
      <c r="F51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2" s="30" t="str">
        <f ca="1">IFERROR(__xludf.DUMMYFUNCTION("""COMPUTED_VALUE"""),"SUBSECRETARÍA DE DESARROLLO Y PROMOCIÓN ARTÍSTICA Y CULTURAL")</f>
        <v>SUBSECRETARÍA DE DESARROLLO Y PROMOCIÓN ARTÍSTICA Y CULTURAL</v>
      </c>
      <c r="I512" s="34" t="str">
        <f ca="1">IFERROR(__xludf.DUMMYFUNCTION("""COMPUTED_VALUE"""),"DIRECCIÓN GENERAL DE MUSEOS, ARTES VISUALES Y EXPOSICIONES")</f>
        <v>DIRECCIÓN GENERAL DE MUSEOS, ARTES VISUALES Y EXPOSICIONES</v>
      </c>
      <c r="J512" s="30" t="str">
        <f ca="1">IFERROR(__xludf.DUMMYFUNCTION("""COMPUTED_VALUE"""),"Número de Actividades realizadas")</f>
        <v>Número de Actividades realizadas</v>
      </c>
      <c r="K512" s="30">
        <f ca="1">IFERROR(__xludf.DUMMYFUNCTION("""COMPUTED_VALUE"""),800)</f>
        <v>800</v>
      </c>
      <c r="L512" s="30" t="str">
        <f ca="1">IFERROR(__xludf.DUMMYFUNCTION("""COMPUTED_VALUE"""),"Cultural")</f>
        <v>Cultural</v>
      </c>
      <c r="M512" s="30" t="str">
        <f ca="1">IFERROR(__xludf.DUMMYFUNCTION("""COMPUTED_VALUE"""),"Visita guiada libre.")</f>
        <v>Visita guiada libre.</v>
      </c>
      <c r="N512" s="30" t="str">
        <f ca="1">IFERROR(__xludf.DUMMYFUNCTION("""COMPUTED_VALUE"""),"Recorrido guiado por el museo")</f>
        <v>Recorrido guiado por el museo</v>
      </c>
      <c r="O512" s="30" t="str">
        <f ca="1">IFERROR(__xludf.DUMMYFUNCTION("""COMPUTED_VALUE"""),"Única")</f>
        <v>Única</v>
      </c>
      <c r="P512" s="33">
        <f ca="1">IFERROR(__xludf.DUMMYFUNCTION("""COMPUTED_VALUE"""),46262)</f>
        <v>46262</v>
      </c>
      <c r="Q512" s="33">
        <f ca="1">IFERROR(__xludf.DUMMYFUNCTION("""COMPUTED_VALUE"""),46262)</f>
        <v>46262</v>
      </c>
      <c r="R512" s="30">
        <f ca="1">IFERROR(__xludf.DUMMYFUNCTION("""COMPUTED_VALUE"""),1)</f>
        <v>1</v>
      </c>
      <c r="S512" s="30" t="str">
        <f ca="1">IFERROR(__xludf.DUMMYFUNCTION("""COMPUTED_VALUE"""),"Cultura comunitaria")</f>
        <v>Cultura comunitaria</v>
      </c>
      <c r="T512" s="30" t="str">
        <f ca="1">IFERROR(__xludf.DUMMYFUNCTION("""COMPUTED_VALUE"""),"Formación comunitaria")</f>
        <v>Formación comunitaria</v>
      </c>
      <c r="U512" s="30" t="str">
        <f ca="1">IFERROR(__xludf.DUMMYFUNCTION("""COMPUTED_VALUE"""),"Visitas guiadas")</f>
        <v>Visitas guiadas</v>
      </c>
      <c r="V512" s="30" t="str">
        <f ca="1">IFERROR(__xludf.DUMMYFUNCTION("""COMPUTED_VALUE"""),"Ninguna")</f>
        <v>Ninguna</v>
      </c>
      <c r="W512" s="30" t="str">
        <f ca="1">IFERROR(__xludf.DUMMYFUNCTION("""COMPUTED_VALUE"""),"Presencial")</f>
        <v>Presencial</v>
      </c>
      <c r="X512" s="30" t="str">
        <f ca="1">IFERROR(__xludf.DUMMYFUNCTION("""COMPUTED_VALUE"""),"Espacio a Cargo de la Secretaría")</f>
        <v>Espacio a Cargo de la Secretaría</v>
      </c>
      <c r="Y512" s="30" t="str">
        <f ca="1">IFERROR(__xludf.DUMMYFUNCTION("""COMPUTED_VALUE"""),"Museo de Arte-Olga Costa-José Chávez Morado")</f>
        <v>Museo de Arte-Olga Costa-José Chávez Morado</v>
      </c>
      <c r="Z512" s="30"/>
      <c r="AA512" s="30"/>
      <c r="AB512" s="30" t="b">
        <f ca="1">IFERROR(__xludf.DUMMYFUNCTION("""COMPUTED_VALUE"""),FALSE)</f>
        <v>0</v>
      </c>
      <c r="AC512" s="30"/>
      <c r="AD512" s="30" t="b">
        <f ca="1">IFERROR(__xludf.DUMMYFUNCTION("""COMPUTED_VALUE"""),FALSE)</f>
        <v>0</v>
      </c>
      <c r="AE512" s="30"/>
      <c r="AF512" s="30" t="b">
        <f ca="1">IFERROR(__xludf.DUMMYFUNCTION("""COMPUTED_VALUE"""),FALSE)</f>
        <v>0</v>
      </c>
      <c r="AG512" s="30"/>
      <c r="AH512" s="30" t="str">
        <f ca="1">IFERROR(__xludf.DUMMYFUNCTION("""COMPUTED_VALUE"""),"Sin costo")</f>
        <v>Sin costo</v>
      </c>
      <c r="AI512" s="30"/>
      <c r="AJ512" s="30"/>
      <c r="AK512" s="30"/>
      <c r="AL512" s="30" t="str">
        <f ca="1">IFERROR(__xludf.DUMMYFUNCTION("""COMPUTED_VALUE"""),"ccardonav@guanajuato.gob.mx")</f>
        <v>ccardonav@guanajuato.gob.mx</v>
      </c>
      <c r="AM512" s="30" t="str">
        <f ca="1">IFERROR(__xludf.DUMMYFUNCTION("""COMPUTED_VALUE"""),"Arraigo y empoderamiento cultural de comunidades.")</f>
        <v>Arraigo y empoderamiento cultural de comunidades.</v>
      </c>
      <c r="AN512" s="30" t="str">
        <f ca="1">IFERROR(__xludf.DUMMYFUNCTION("""COMPUTED_VALUE"""),"1 Tranquilidad")</f>
        <v>1 Tranquilidad</v>
      </c>
      <c r="AO512" s="30" t="str">
        <f ca="1">IFERROR(__xludf.DUMMYFUNCTION("""COMPUTED_VALUE"""),"1.2 Fortalecer prevención del delito")</f>
        <v>1.2 Fortalecer prevención del delito</v>
      </c>
      <c r="AP512" s="30" t="str">
        <f ca="1">IFERROR(__xludf.DUMMYFUNCTION("""COMPUTED_VALUE"""),"1.2.2 Fortalecimiento del tejido social")</f>
        <v>1.2.2 Fortalecimiento del tejido social</v>
      </c>
      <c r="AQ512" s="30" t="str">
        <f ca="1">IFERROR(__xludf.DUMMYFUNCTION("""COMPUTED_VALUE"""),"1.2.3.4 Promover una cultura de paz desde las expresiones artísticas y culturales")</f>
        <v>1.2.3.4 Promover una cultura de paz desde las expresiones artísticas y culturales</v>
      </c>
      <c r="AR512" s="30" t="str">
        <f ca="1">IFERROR(__xludf.DUMMYFUNCTION("""COMPUTED_VALUE"""),"Cooperación")</f>
        <v>Cooperación</v>
      </c>
      <c r="AS512" s="30"/>
      <c r="AT512" s="30" t="str">
        <f ca="1">IFERROR(__xludf.DUMMYFUNCTION("""COMPUTED_VALUE"""),"Fortalecimiento de la participación ciudadana y la mediación cultural")</f>
        <v>Fortalecimiento de la participación ciudadana y la mediación cultural</v>
      </c>
      <c r="AU512" s="30" t="str">
        <f ca="1">IFERROR(__xludf.DUMMYFUNCTION("""COMPUTED_VALUE"""),"Impulso a la ampliación de la oferta cultural en los territorios.")</f>
        <v>Impulso a la ampliación de la oferta cultural en los territorios.</v>
      </c>
      <c r="AV51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2" s="30" t="str">
        <f ca="1">IFERROR(__xludf.DUMMYFUNCTION("""COMPUTED_VALUE"""),"Incrementar en 25% la oferta cultural realizada en los municipios.")</f>
        <v>Incrementar en 25% la oferta cultural realizada en los municipios.</v>
      </c>
      <c r="AX512" s="30" t="str">
        <f ca="1">IFERROR(__xludf.DUMMYFUNCTION("""COMPUTED_VALUE"""),"Visitas guiadas")</f>
        <v>Visitas guiadas</v>
      </c>
      <c r="AY512" s="30" t="str">
        <f ca="1">IFERROR(__xludf.DUMMYFUNCTION("""COMPUTED_VALUE"""),"Formación")</f>
        <v>Formación</v>
      </c>
      <c r="AZ512" s="30" t="str">
        <f ca="1">IFERROR(__xludf.DUMMYFUNCTION("""COMPUTED_VALUE"""),"Formación")</f>
        <v>Formación</v>
      </c>
      <c r="BA512" s="30"/>
      <c r="BB512" s="30"/>
      <c r="BC512" s="30">
        <f ca="1">IFERROR(__xludf.DUMMYFUNCTION("""COMPUTED_VALUE"""),0)</f>
        <v>0</v>
      </c>
      <c r="BD512" s="30"/>
      <c r="BE512" s="30"/>
      <c r="BF512" s="30" t="b">
        <f ca="1">IFERROR(__xludf.DUMMYFUNCTION("""COMPUTED_VALUE"""),FALSE)</f>
        <v>0</v>
      </c>
      <c r="BG512" s="30"/>
      <c r="BH512" s="30"/>
      <c r="BI512" s="30"/>
      <c r="BJ512" s="30"/>
      <c r="BK512" s="30"/>
      <c r="BL512" s="30"/>
      <c r="BM512" s="30" t="str">
        <f ca="1">IFERROR(__xludf.DUMMYFUNCTION("""COMPUTED_VALUE"""),"No")</f>
        <v>No</v>
      </c>
      <c r="BN512" s="30"/>
      <c r="BO512" s="30" t="str">
        <f ca="1">IFERROR(__xludf.DUMMYFUNCTION("""COMPUTED_VALUE"""),"3cb0e228")</f>
        <v>3cb0e228</v>
      </c>
      <c r="BP512" s="29" t="str">
        <f ca="1">IFERROR(__xludf.DUMMYFUNCTION("""COMPUTED_VALUE"""),"Guanajuato")</f>
        <v>Guanajuato</v>
      </c>
      <c r="BQ512" s="30" t="str">
        <f ca="1">IFERROR(__xludf.DUMMYFUNCTION("""COMPUTED_VALUE"""),"Urbano")</f>
        <v>Urbano</v>
      </c>
      <c r="BR512" s="30"/>
      <c r="BS512" s="30"/>
      <c r="BT512" s="30"/>
      <c r="BU512" s="30" t="str">
        <f ca="1">IFERROR(__xludf.DUMMYFUNCTION("""COMPUTED_VALUE"""),"No")</f>
        <v>No</v>
      </c>
      <c r="BV512" s="30" t="str">
        <f ca="1">IFERROR(__xludf.DUMMYFUNCTION("""COMPUTED_VALUE"""),"No")</f>
        <v>No</v>
      </c>
      <c r="BW512" s="30">
        <f ca="1">IFERROR(__xludf.DUMMYFUNCTION("""COMPUTED_VALUE"""),250)</f>
        <v>250</v>
      </c>
      <c r="BX512" s="30"/>
      <c r="BY512" s="30">
        <f ca="1">IFERROR(__xludf.DUMMYFUNCTION("""COMPUTED_VALUE"""),250)</f>
        <v>250</v>
      </c>
      <c r="BZ512" s="30"/>
      <c r="CA512" s="30" t="str">
        <f ca="1">IFERROR(__xludf.DUMMYFUNCTION("""COMPUTED_VALUE"""),"No")</f>
        <v>No</v>
      </c>
      <c r="CB512" s="30" t="str">
        <f ca="1">IFERROR(__xludf.DUMMYFUNCTION("""COMPUTED_VALUE"""),"No")</f>
        <v>No</v>
      </c>
      <c r="CC512" s="30" t="str">
        <f ca="1">IFERROR(__xludf.DUMMYFUNCTION("""COMPUTED_VALUE"""),"18a4007f")</f>
        <v>18a4007f</v>
      </c>
      <c r="CD512" s="29" t="str">
        <f ca="1">IFERROR(__xludf.DUMMYFUNCTION("""COMPUTED_VALUE"""),"Adultos Mayores (60 años o más)")</f>
        <v>Adultos Mayores (60 años o más)</v>
      </c>
      <c r="CE512" s="30" t="str">
        <f ca="1">IFERROR(__xludf.DUMMYFUNCTION("""COMPUTED_VALUE"""),"No se cuenta con el dato")</f>
        <v>No se cuenta con el dato</v>
      </c>
      <c r="CF512" s="30" t="str">
        <f ca="1">IFERROR(__xludf.DUMMYFUNCTION("""COMPUTED_VALUE"""),"Ninguno (Población General)")</f>
        <v>Ninguno (Población General)</v>
      </c>
      <c r="CG512" s="30">
        <f ca="1">IFERROR(__xludf.DUMMYFUNCTION("""COMPUTED_VALUE"""),35)</f>
        <v>35</v>
      </c>
      <c r="CJ512" s="29"/>
      <c r="CM512" s="30" t="str">
        <f ca="1">IFERROR(__xludf.DUMMYFUNCTION("""COMPUTED_VALUE"""),"Guanajuato")</f>
        <v>Guanajuato</v>
      </c>
      <c r="CN512" s="32" t="e">
        <f ca="1"/>
        <v>#NAME?</v>
      </c>
      <c r="CO512" s="32" t="e">
        <f ca="1"/>
        <v>#NAME?</v>
      </c>
      <c r="CP512" s="32" t="e">
        <f ca="1"/>
        <v>#NAME?</v>
      </c>
      <c r="CQ512" s="32" t="e">
        <f ca="1"/>
        <v>#NAME?</v>
      </c>
      <c r="CR512" s="30" t="e">
        <f ca="1"/>
        <v>#NAME?</v>
      </c>
      <c r="CS512" s="30" t="str">
        <f ca="1">IFERROR(__xludf.DUMMYFUNCTION("""COMPUTED_VALUE"""),"Ninguno (Población General)")</f>
        <v>Ninguno (Población General)</v>
      </c>
    </row>
    <row r="513" spans="1:97" ht="13">
      <c r="A513" s="29" t="str">
        <f ca="1">IFERROR(__xludf.DUMMYFUNCTION("""COMPUTED_VALUE"""),"ACT-SCVH99141")</f>
        <v>ACT-SCVH99141</v>
      </c>
      <c r="B513" s="30" t="str">
        <f ca="1">IFERROR(__xludf.DUMMYFUNCTION("""COMPUTED_VALUE"""),"SC-261005-170223")</f>
        <v>SC-261005-170223</v>
      </c>
      <c r="C513" s="62">
        <f ca="1">IFERROR(__xludf.DUMMYFUNCTION("""COMPUTED_VALUE"""),46300.7099884259)</f>
        <v>46300.709988425901</v>
      </c>
      <c r="D513" s="30">
        <f ca="1">IFERROR(__xludf.DUMMYFUNCTION("""COMPUTED_VALUE"""),92)</f>
        <v>92</v>
      </c>
      <c r="E513" s="30" t="str">
        <f ca="1">IFERROR(__xludf.DUMMYFUNCTION("""COMPUTED_VALUE"""),"PB3572")</f>
        <v>PB3572</v>
      </c>
      <c r="F51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3" s="30" t="str">
        <f ca="1">IFERROR(__xludf.DUMMYFUNCTION("""COMPUTED_VALUE"""),"SUBSECRETARÍA DE DESARROLLO Y PROMOCIÓN ARTÍSTICA Y CULTURAL")</f>
        <v>SUBSECRETARÍA DE DESARROLLO Y PROMOCIÓN ARTÍSTICA Y CULTURAL</v>
      </c>
      <c r="I513" s="34" t="str">
        <f ca="1">IFERROR(__xludf.DUMMYFUNCTION("""COMPUTED_VALUE"""),"DIRECCIÓN GENERAL DE MUSEOS, ARTES VISUALES Y EXPOSICIONES")</f>
        <v>DIRECCIÓN GENERAL DE MUSEOS, ARTES VISUALES Y EXPOSICIONES</v>
      </c>
      <c r="J513" s="30" t="str">
        <f ca="1">IFERROR(__xludf.DUMMYFUNCTION("""COMPUTED_VALUE"""),"Número de Actividades realizadas")</f>
        <v>Número de Actividades realizadas</v>
      </c>
      <c r="K513" s="30">
        <f ca="1">IFERROR(__xludf.DUMMYFUNCTION("""COMPUTED_VALUE"""),800)</f>
        <v>800</v>
      </c>
      <c r="L513" s="30" t="str">
        <f ca="1">IFERROR(__xludf.DUMMYFUNCTION("""COMPUTED_VALUE"""),"Cultural")</f>
        <v>Cultural</v>
      </c>
      <c r="M513" s="30" t="str">
        <f ca="1">IFERROR(__xludf.DUMMYFUNCTION("""COMPUTED_VALUE"""),"Visita guiada libre.")</f>
        <v>Visita guiada libre.</v>
      </c>
      <c r="N513" s="30" t="str">
        <f ca="1">IFERROR(__xludf.DUMMYFUNCTION("""COMPUTED_VALUE"""),"Recorrido guiado por el museo")</f>
        <v>Recorrido guiado por el museo</v>
      </c>
      <c r="O513" s="30" t="str">
        <f ca="1">IFERROR(__xludf.DUMMYFUNCTION("""COMPUTED_VALUE"""),"Única")</f>
        <v>Única</v>
      </c>
      <c r="P513" s="33">
        <f ca="1">IFERROR(__xludf.DUMMYFUNCTION("""COMPUTED_VALUE"""),46263)</f>
        <v>46263</v>
      </c>
      <c r="Q513" s="33">
        <f ca="1">IFERROR(__xludf.DUMMYFUNCTION("""COMPUTED_VALUE"""),46263)</f>
        <v>46263</v>
      </c>
      <c r="R513" s="30">
        <f ca="1">IFERROR(__xludf.DUMMYFUNCTION("""COMPUTED_VALUE"""),1)</f>
        <v>1</v>
      </c>
      <c r="S513" s="30" t="str">
        <f ca="1">IFERROR(__xludf.DUMMYFUNCTION("""COMPUTED_VALUE"""),"Cultura comunitaria")</f>
        <v>Cultura comunitaria</v>
      </c>
      <c r="T513" s="30" t="str">
        <f ca="1">IFERROR(__xludf.DUMMYFUNCTION("""COMPUTED_VALUE"""),"Formación comunitaria")</f>
        <v>Formación comunitaria</v>
      </c>
      <c r="U513" s="30" t="str">
        <f ca="1">IFERROR(__xludf.DUMMYFUNCTION("""COMPUTED_VALUE"""),"Visitas guiadas")</f>
        <v>Visitas guiadas</v>
      </c>
      <c r="V513" s="30" t="str">
        <f ca="1">IFERROR(__xludf.DUMMYFUNCTION("""COMPUTED_VALUE"""),"Ninguna")</f>
        <v>Ninguna</v>
      </c>
      <c r="W513" s="30" t="str">
        <f ca="1">IFERROR(__xludf.DUMMYFUNCTION("""COMPUTED_VALUE"""),"Presencial")</f>
        <v>Presencial</v>
      </c>
      <c r="X513" s="30" t="str">
        <f ca="1">IFERROR(__xludf.DUMMYFUNCTION("""COMPUTED_VALUE"""),"Espacio a Cargo de la Secretaría")</f>
        <v>Espacio a Cargo de la Secretaría</v>
      </c>
      <c r="Y513" s="30" t="str">
        <f ca="1">IFERROR(__xludf.DUMMYFUNCTION("""COMPUTED_VALUE"""),"Museo de Arte-Olga Costa-José Chávez Morado")</f>
        <v>Museo de Arte-Olga Costa-José Chávez Morado</v>
      </c>
      <c r="Z513" s="30"/>
      <c r="AA513" s="30"/>
      <c r="AB513" s="30" t="b">
        <f ca="1">IFERROR(__xludf.DUMMYFUNCTION("""COMPUTED_VALUE"""),FALSE)</f>
        <v>0</v>
      </c>
      <c r="AC513" s="30"/>
      <c r="AD513" s="30" t="b">
        <f ca="1">IFERROR(__xludf.DUMMYFUNCTION("""COMPUTED_VALUE"""),FALSE)</f>
        <v>0</v>
      </c>
      <c r="AE513" s="30"/>
      <c r="AF513" s="30" t="b">
        <f ca="1">IFERROR(__xludf.DUMMYFUNCTION("""COMPUTED_VALUE"""),FALSE)</f>
        <v>0</v>
      </c>
      <c r="AG513" s="30"/>
      <c r="AH513" s="30" t="str">
        <f ca="1">IFERROR(__xludf.DUMMYFUNCTION("""COMPUTED_VALUE"""),"Sin costo")</f>
        <v>Sin costo</v>
      </c>
      <c r="AI513" s="30"/>
      <c r="AJ513" s="30"/>
      <c r="AK513" s="30"/>
      <c r="AL513" s="30" t="str">
        <f ca="1">IFERROR(__xludf.DUMMYFUNCTION("""COMPUTED_VALUE"""),"ccardonav@guanajuato.gob.mx")</f>
        <v>ccardonav@guanajuato.gob.mx</v>
      </c>
      <c r="AM513" s="30" t="str">
        <f ca="1">IFERROR(__xludf.DUMMYFUNCTION("""COMPUTED_VALUE"""),"Arraigo y empoderamiento cultural de comunidades.")</f>
        <v>Arraigo y empoderamiento cultural de comunidades.</v>
      </c>
      <c r="AN513" s="30" t="str">
        <f ca="1">IFERROR(__xludf.DUMMYFUNCTION("""COMPUTED_VALUE"""),"1 Tranquilidad")</f>
        <v>1 Tranquilidad</v>
      </c>
      <c r="AO513" s="30" t="str">
        <f ca="1">IFERROR(__xludf.DUMMYFUNCTION("""COMPUTED_VALUE"""),"1.2 Fortalecer prevención del delito")</f>
        <v>1.2 Fortalecer prevención del delito</v>
      </c>
      <c r="AP513" s="30" t="str">
        <f ca="1">IFERROR(__xludf.DUMMYFUNCTION("""COMPUTED_VALUE"""),"1.2.2 Fortalecimiento del tejido social")</f>
        <v>1.2.2 Fortalecimiento del tejido social</v>
      </c>
      <c r="AQ513" s="30" t="str">
        <f ca="1">IFERROR(__xludf.DUMMYFUNCTION("""COMPUTED_VALUE"""),"1.2.3.4 Promover una cultura de paz desde las expresiones artísticas y culturales")</f>
        <v>1.2.3.4 Promover una cultura de paz desde las expresiones artísticas y culturales</v>
      </c>
      <c r="AR513" s="30" t="str">
        <f ca="1">IFERROR(__xludf.DUMMYFUNCTION("""COMPUTED_VALUE"""),"Cooperación")</f>
        <v>Cooperación</v>
      </c>
      <c r="AS513" s="30"/>
      <c r="AT513" s="30" t="str">
        <f ca="1">IFERROR(__xludf.DUMMYFUNCTION("""COMPUTED_VALUE"""),"Fortalecimiento de la participación ciudadana y la mediación cultural")</f>
        <v>Fortalecimiento de la participación ciudadana y la mediación cultural</v>
      </c>
      <c r="AU513" s="30" t="str">
        <f ca="1">IFERROR(__xludf.DUMMYFUNCTION("""COMPUTED_VALUE"""),"Impulso a la ampliación de la oferta cultural en los territorios.")</f>
        <v>Impulso a la ampliación de la oferta cultural en los territorios.</v>
      </c>
      <c r="AV51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3" s="30" t="str">
        <f ca="1">IFERROR(__xludf.DUMMYFUNCTION("""COMPUTED_VALUE"""),"Incrementar en 25% la oferta cultural realizada en los municipios.")</f>
        <v>Incrementar en 25% la oferta cultural realizada en los municipios.</v>
      </c>
      <c r="AX513" s="30" t="str">
        <f ca="1">IFERROR(__xludf.DUMMYFUNCTION("""COMPUTED_VALUE"""),"Visitas guiadas")</f>
        <v>Visitas guiadas</v>
      </c>
      <c r="AY513" s="30" t="str">
        <f ca="1">IFERROR(__xludf.DUMMYFUNCTION("""COMPUTED_VALUE"""),"Formación")</f>
        <v>Formación</v>
      </c>
      <c r="AZ513" s="30" t="str">
        <f ca="1">IFERROR(__xludf.DUMMYFUNCTION("""COMPUTED_VALUE"""),"Formación")</f>
        <v>Formación</v>
      </c>
      <c r="BA513" s="30"/>
      <c r="BB513" s="30"/>
      <c r="BC513" s="30">
        <f ca="1">IFERROR(__xludf.DUMMYFUNCTION("""COMPUTED_VALUE"""),0)</f>
        <v>0</v>
      </c>
      <c r="BD513" s="30"/>
      <c r="BE513" s="30"/>
      <c r="BF513" s="30" t="b">
        <f ca="1">IFERROR(__xludf.DUMMYFUNCTION("""COMPUTED_VALUE"""),FALSE)</f>
        <v>0</v>
      </c>
      <c r="BG513" s="30"/>
      <c r="BH513" s="30"/>
      <c r="BI513" s="30"/>
      <c r="BJ513" s="30"/>
      <c r="BK513" s="30"/>
      <c r="BL513" s="30"/>
      <c r="BM513" s="30" t="str">
        <f ca="1">IFERROR(__xludf.DUMMYFUNCTION("""COMPUTED_VALUE"""),"No")</f>
        <v>No</v>
      </c>
      <c r="BN513" s="30"/>
      <c r="BO513" s="30" t="str">
        <f ca="1">IFERROR(__xludf.DUMMYFUNCTION("""COMPUTED_VALUE"""),"f8e09a59")</f>
        <v>f8e09a59</v>
      </c>
      <c r="BP513" s="29" t="str">
        <f ca="1">IFERROR(__xludf.DUMMYFUNCTION("""COMPUTED_VALUE"""),"Guanajuato")</f>
        <v>Guanajuato</v>
      </c>
      <c r="BQ513" s="30" t="str">
        <f ca="1">IFERROR(__xludf.DUMMYFUNCTION("""COMPUTED_VALUE"""),"Urbano")</f>
        <v>Urbano</v>
      </c>
      <c r="BR513" s="30"/>
      <c r="BS513" s="30"/>
      <c r="BT513" s="30"/>
      <c r="BU513" s="30" t="str">
        <f ca="1">IFERROR(__xludf.DUMMYFUNCTION("""COMPUTED_VALUE"""),"No")</f>
        <v>No</v>
      </c>
      <c r="BV513" s="30" t="str">
        <f ca="1">IFERROR(__xludf.DUMMYFUNCTION("""COMPUTED_VALUE"""),"No")</f>
        <v>No</v>
      </c>
      <c r="BW513" s="30">
        <f ca="1">IFERROR(__xludf.DUMMYFUNCTION("""COMPUTED_VALUE"""),60)</f>
        <v>60</v>
      </c>
      <c r="BX513" s="30"/>
      <c r="BY513" s="30">
        <f ca="1">IFERROR(__xludf.DUMMYFUNCTION("""COMPUTED_VALUE"""),60)</f>
        <v>60</v>
      </c>
      <c r="BZ513" s="30"/>
      <c r="CA513" s="30" t="str">
        <f ca="1">IFERROR(__xludf.DUMMYFUNCTION("""COMPUTED_VALUE"""),"No")</f>
        <v>No</v>
      </c>
      <c r="CB513" s="30" t="str">
        <f ca="1">IFERROR(__xludf.DUMMYFUNCTION("""COMPUTED_VALUE"""),"No")</f>
        <v>No</v>
      </c>
      <c r="CC513" s="30" t="str">
        <f ca="1">IFERROR(__xludf.DUMMYFUNCTION("""COMPUTED_VALUE"""),"c8c50b6c")</f>
        <v>c8c50b6c</v>
      </c>
      <c r="CD513" s="29" t="str">
        <f ca="1">IFERROR(__xludf.DUMMYFUNCTION("""COMPUTED_VALUE"""),"Adultos (30 a 59 años)")</f>
        <v>Adultos (30 a 59 años)</v>
      </c>
      <c r="CE513" s="30" t="str">
        <f ca="1">IFERROR(__xludf.DUMMYFUNCTION("""COMPUTED_VALUE"""),"No se cuenta con el dato")</f>
        <v>No se cuenta con el dato</v>
      </c>
      <c r="CF513" s="30" t="str">
        <f ca="1">IFERROR(__xludf.DUMMYFUNCTION("""COMPUTED_VALUE"""),"Ninguno (Población General)")</f>
        <v>Ninguno (Población General)</v>
      </c>
      <c r="CG513" s="30">
        <f ca="1">IFERROR(__xludf.DUMMYFUNCTION("""COMPUTED_VALUE"""),13)</f>
        <v>13</v>
      </c>
      <c r="CJ513" s="29"/>
      <c r="CM513" s="30" t="str">
        <f ca="1">IFERROR(__xludf.DUMMYFUNCTION("""COMPUTED_VALUE"""),"San Felipe")</f>
        <v>San Felipe</v>
      </c>
      <c r="CN513" s="32" t="e">
        <f ca="1"/>
        <v>#NAME?</v>
      </c>
      <c r="CO513" s="32" t="e">
        <f ca="1"/>
        <v>#NAME?</v>
      </c>
      <c r="CP513" s="32" t="e">
        <f ca="1"/>
        <v>#NAME?</v>
      </c>
      <c r="CQ513" s="32" t="e">
        <f ca="1"/>
        <v>#NAME?</v>
      </c>
      <c r="CR513" s="30" t="e">
        <f ca="1"/>
        <v>#NAME?</v>
      </c>
      <c r="CS513" s="30" t="str">
        <f ca="1">IFERROR(__xludf.DUMMYFUNCTION("""COMPUTED_VALUE"""),"Ninguno (Población General)")</f>
        <v>Ninguno (Población General)</v>
      </c>
    </row>
    <row r="514" spans="1:97" ht="13">
      <c r="A514" s="29" t="str">
        <f ca="1">IFERROR(__xludf.DUMMYFUNCTION("""COMPUTED_VALUE"""),"ACT-SCCQ25265")</f>
        <v>ACT-SCCQ25265</v>
      </c>
      <c r="B514" s="30" t="str">
        <f ca="1">IFERROR(__xludf.DUMMYFUNCTION("""COMPUTED_VALUE"""),"SC-261005-170519")</f>
        <v>SC-261005-170519</v>
      </c>
      <c r="C514" s="62">
        <f ca="1">IFERROR(__xludf.DUMMYFUNCTION("""COMPUTED_VALUE"""),46300.7120254629)</f>
        <v>46300.712025462897</v>
      </c>
      <c r="D514" s="30">
        <f ca="1">IFERROR(__xludf.DUMMYFUNCTION("""COMPUTED_VALUE"""),92)</f>
        <v>92</v>
      </c>
      <c r="E514" s="30" t="str">
        <f ca="1">IFERROR(__xludf.DUMMYFUNCTION("""COMPUTED_VALUE"""),"PB3572")</f>
        <v>PB3572</v>
      </c>
      <c r="F51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4" s="30" t="str">
        <f ca="1">IFERROR(__xludf.DUMMYFUNCTION("""COMPUTED_VALUE"""),"SUBSECRETARÍA DE DESARROLLO Y PROMOCIÓN ARTÍSTICA Y CULTURAL")</f>
        <v>SUBSECRETARÍA DE DESARROLLO Y PROMOCIÓN ARTÍSTICA Y CULTURAL</v>
      </c>
      <c r="I514" s="34" t="str">
        <f ca="1">IFERROR(__xludf.DUMMYFUNCTION("""COMPUTED_VALUE"""),"DIRECCIÓN GENERAL DE MUSEOS, ARTES VISUALES Y EXPOSICIONES")</f>
        <v>DIRECCIÓN GENERAL DE MUSEOS, ARTES VISUALES Y EXPOSICIONES</v>
      </c>
      <c r="J514" s="30" t="str">
        <f ca="1">IFERROR(__xludf.DUMMYFUNCTION("""COMPUTED_VALUE"""),"Número de Actividades realizadas")</f>
        <v>Número de Actividades realizadas</v>
      </c>
      <c r="K514" s="30">
        <f ca="1">IFERROR(__xludf.DUMMYFUNCTION("""COMPUTED_VALUE"""),800)</f>
        <v>800</v>
      </c>
      <c r="L514" s="30" t="str">
        <f ca="1">IFERROR(__xludf.DUMMYFUNCTION("""COMPUTED_VALUE"""),"Cultural")</f>
        <v>Cultural</v>
      </c>
      <c r="M514" s="30" t="str">
        <f ca="1">IFERROR(__xludf.DUMMYFUNCTION("""COMPUTED_VALUE"""),"Visita guiada libre.")</f>
        <v>Visita guiada libre.</v>
      </c>
      <c r="N514" s="30" t="str">
        <f ca="1">IFERROR(__xludf.DUMMYFUNCTION("""COMPUTED_VALUE"""),"Recorrido guiado por el museo")</f>
        <v>Recorrido guiado por el museo</v>
      </c>
      <c r="O514" s="30" t="str">
        <f ca="1">IFERROR(__xludf.DUMMYFUNCTION("""COMPUTED_VALUE"""),"Única")</f>
        <v>Única</v>
      </c>
      <c r="P514" s="33">
        <f ca="1">IFERROR(__xludf.DUMMYFUNCTION("""COMPUTED_VALUE"""),46263)</f>
        <v>46263</v>
      </c>
      <c r="Q514" s="33">
        <f ca="1">IFERROR(__xludf.DUMMYFUNCTION("""COMPUTED_VALUE"""),46263)</f>
        <v>46263</v>
      </c>
      <c r="R514" s="30">
        <f ca="1">IFERROR(__xludf.DUMMYFUNCTION("""COMPUTED_VALUE"""),1)</f>
        <v>1</v>
      </c>
      <c r="S514" s="30" t="str">
        <f ca="1">IFERROR(__xludf.DUMMYFUNCTION("""COMPUTED_VALUE"""),"Cultura comunitaria")</f>
        <v>Cultura comunitaria</v>
      </c>
      <c r="T514" s="30" t="str">
        <f ca="1">IFERROR(__xludf.DUMMYFUNCTION("""COMPUTED_VALUE"""),"Formación comunitaria")</f>
        <v>Formación comunitaria</v>
      </c>
      <c r="U514" s="30" t="str">
        <f ca="1">IFERROR(__xludf.DUMMYFUNCTION("""COMPUTED_VALUE"""),"Visitas guiadas")</f>
        <v>Visitas guiadas</v>
      </c>
      <c r="V514" s="30" t="str">
        <f ca="1">IFERROR(__xludf.DUMMYFUNCTION("""COMPUTED_VALUE"""),"Ninguna")</f>
        <v>Ninguna</v>
      </c>
      <c r="W514" s="30" t="str">
        <f ca="1">IFERROR(__xludf.DUMMYFUNCTION("""COMPUTED_VALUE"""),"Presencial")</f>
        <v>Presencial</v>
      </c>
      <c r="X514" s="30" t="str">
        <f ca="1">IFERROR(__xludf.DUMMYFUNCTION("""COMPUTED_VALUE"""),"Espacio a Cargo de la Secretaría")</f>
        <v>Espacio a Cargo de la Secretaría</v>
      </c>
      <c r="Y514" s="30" t="str">
        <f ca="1">IFERROR(__xludf.DUMMYFUNCTION("""COMPUTED_VALUE"""),"Museo de Arte-Olga Costa-José Chávez Morado")</f>
        <v>Museo de Arte-Olga Costa-José Chávez Morado</v>
      </c>
      <c r="Z514" s="30"/>
      <c r="AA514" s="30"/>
      <c r="AB514" s="30" t="b">
        <f ca="1">IFERROR(__xludf.DUMMYFUNCTION("""COMPUTED_VALUE"""),FALSE)</f>
        <v>0</v>
      </c>
      <c r="AC514" s="30"/>
      <c r="AD514" s="30" t="b">
        <f ca="1">IFERROR(__xludf.DUMMYFUNCTION("""COMPUTED_VALUE"""),FALSE)</f>
        <v>0</v>
      </c>
      <c r="AE514" s="30"/>
      <c r="AF514" s="30" t="b">
        <f ca="1">IFERROR(__xludf.DUMMYFUNCTION("""COMPUTED_VALUE"""),FALSE)</f>
        <v>0</v>
      </c>
      <c r="AG514" s="30"/>
      <c r="AH514" s="30" t="str">
        <f ca="1">IFERROR(__xludf.DUMMYFUNCTION("""COMPUTED_VALUE"""),"Sin costo")</f>
        <v>Sin costo</v>
      </c>
      <c r="AI514" s="30"/>
      <c r="AJ514" s="30"/>
      <c r="AK514" s="30"/>
      <c r="AL514" s="30" t="str">
        <f ca="1">IFERROR(__xludf.DUMMYFUNCTION("""COMPUTED_VALUE"""),"ccardonav@guanajuato.gob.mx")</f>
        <v>ccardonav@guanajuato.gob.mx</v>
      </c>
      <c r="AM514" s="30" t="str">
        <f ca="1">IFERROR(__xludf.DUMMYFUNCTION("""COMPUTED_VALUE"""),"Arraigo y empoderamiento cultural de comunidades.")</f>
        <v>Arraigo y empoderamiento cultural de comunidades.</v>
      </c>
      <c r="AN514" s="30" t="str">
        <f ca="1">IFERROR(__xludf.DUMMYFUNCTION("""COMPUTED_VALUE"""),"1 Tranquilidad")</f>
        <v>1 Tranquilidad</v>
      </c>
      <c r="AO514" s="30" t="str">
        <f ca="1">IFERROR(__xludf.DUMMYFUNCTION("""COMPUTED_VALUE"""),"1.2 Fortalecer prevención del delito")</f>
        <v>1.2 Fortalecer prevención del delito</v>
      </c>
      <c r="AP514" s="30" t="str">
        <f ca="1">IFERROR(__xludf.DUMMYFUNCTION("""COMPUTED_VALUE"""),"1.2.2 Fortalecimiento del tejido social")</f>
        <v>1.2.2 Fortalecimiento del tejido social</v>
      </c>
      <c r="AQ514" s="30" t="str">
        <f ca="1">IFERROR(__xludf.DUMMYFUNCTION("""COMPUTED_VALUE"""),"1.2.3.4 Promover una cultura de paz desde las expresiones artísticas y culturales")</f>
        <v>1.2.3.4 Promover una cultura de paz desde las expresiones artísticas y culturales</v>
      </c>
      <c r="AR514" s="30" t="str">
        <f ca="1">IFERROR(__xludf.DUMMYFUNCTION("""COMPUTED_VALUE"""),"Cooperación")</f>
        <v>Cooperación</v>
      </c>
      <c r="AS514" s="30"/>
      <c r="AT514" s="30" t="str">
        <f ca="1">IFERROR(__xludf.DUMMYFUNCTION("""COMPUTED_VALUE"""),"Fortalecimiento de la participación ciudadana y la mediación cultural")</f>
        <v>Fortalecimiento de la participación ciudadana y la mediación cultural</v>
      </c>
      <c r="AU514" s="30" t="str">
        <f ca="1">IFERROR(__xludf.DUMMYFUNCTION("""COMPUTED_VALUE"""),"Impulso a la ampliación de la oferta cultural en los territorios.")</f>
        <v>Impulso a la ampliación de la oferta cultural en los territorios.</v>
      </c>
      <c r="AV51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4" s="30" t="str">
        <f ca="1">IFERROR(__xludf.DUMMYFUNCTION("""COMPUTED_VALUE"""),"Incrementar en 25% la oferta cultural realizada en los municipios.")</f>
        <v>Incrementar en 25% la oferta cultural realizada en los municipios.</v>
      </c>
      <c r="AX514" s="30" t="str">
        <f ca="1">IFERROR(__xludf.DUMMYFUNCTION("""COMPUTED_VALUE"""),"Visitas guiadas")</f>
        <v>Visitas guiadas</v>
      </c>
      <c r="AY514" s="30" t="str">
        <f ca="1">IFERROR(__xludf.DUMMYFUNCTION("""COMPUTED_VALUE"""),"Formación")</f>
        <v>Formación</v>
      </c>
      <c r="AZ514" s="30" t="str">
        <f ca="1">IFERROR(__xludf.DUMMYFUNCTION("""COMPUTED_VALUE"""),"Formación")</f>
        <v>Formación</v>
      </c>
      <c r="BA514" s="30"/>
      <c r="BB514" s="30"/>
      <c r="BC514" s="30">
        <f ca="1">IFERROR(__xludf.DUMMYFUNCTION("""COMPUTED_VALUE"""),0)</f>
        <v>0</v>
      </c>
      <c r="BD514" s="30"/>
      <c r="BE514" s="30"/>
      <c r="BF514" s="30" t="b">
        <f ca="1">IFERROR(__xludf.DUMMYFUNCTION("""COMPUTED_VALUE"""),FALSE)</f>
        <v>0</v>
      </c>
      <c r="BG514" s="30"/>
      <c r="BH514" s="30"/>
      <c r="BI514" s="30"/>
      <c r="BJ514" s="30"/>
      <c r="BK514" s="30"/>
      <c r="BL514" s="30"/>
      <c r="BM514" s="30" t="str">
        <f ca="1">IFERROR(__xludf.DUMMYFUNCTION("""COMPUTED_VALUE"""),"No")</f>
        <v>No</v>
      </c>
      <c r="BN514" s="30"/>
      <c r="BO514" s="30" t="str">
        <f ca="1">IFERROR(__xludf.DUMMYFUNCTION("""COMPUTED_VALUE"""),"624de54d")</f>
        <v>624de54d</v>
      </c>
      <c r="BP514" s="29" t="str">
        <f ca="1">IFERROR(__xludf.DUMMYFUNCTION("""COMPUTED_VALUE"""),"Guanajuato")</f>
        <v>Guanajuato</v>
      </c>
      <c r="BQ514" s="30" t="str">
        <f ca="1">IFERROR(__xludf.DUMMYFUNCTION("""COMPUTED_VALUE"""),"Urbano")</f>
        <v>Urbano</v>
      </c>
      <c r="BR514" s="30"/>
      <c r="BS514" s="30"/>
      <c r="BT514" s="30"/>
      <c r="BU514" s="30" t="str">
        <f ca="1">IFERROR(__xludf.DUMMYFUNCTION("""COMPUTED_VALUE"""),"No")</f>
        <v>No</v>
      </c>
      <c r="BV514" s="30" t="str">
        <f ca="1">IFERROR(__xludf.DUMMYFUNCTION("""COMPUTED_VALUE"""),"No")</f>
        <v>No</v>
      </c>
      <c r="BW514" s="30">
        <f ca="1">IFERROR(__xludf.DUMMYFUNCTION("""COMPUTED_VALUE"""),38)</f>
        <v>38</v>
      </c>
      <c r="BX514" s="30"/>
      <c r="BY514" s="30">
        <f ca="1">IFERROR(__xludf.DUMMYFUNCTION("""COMPUTED_VALUE"""),38)</f>
        <v>38</v>
      </c>
      <c r="BZ514" s="30"/>
      <c r="CA514" s="30" t="str">
        <f ca="1">IFERROR(__xludf.DUMMYFUNCTION("""COMPUTED_VALUE"""),"No")</f>
        <v>No</v>
      </c>
      <c r="CB514" s="30" t="str">
        <f ca="1">IFERROR(__xludf.DUMMYFUNCTION("""COMPUTED_VALUE"""),"No")</f>
        <v>No</v>
      </c>
      <c r="CC514" s="30" t="str">
        <f ca="1">IFERROR(__xludf.DUMMYFUNCTION("""COMPUTED_VALUE"""),"e470e99e")</f>
        <v>e470e99e</v>
      </c>
      <c r="CD514" s="29" t="str">
        <f ca="1">IFERROR(__xludf.DUMMYFUNCTION("""COMPUTED_VALUE"""),"Adultos Mayores (60 años o más)")</f>
        <v>Adultos Mayores (60 años o más)</v>
      </c>
      <c r="CE514" s="30" t="str">
        <f ca="1">IFERROR(__xludf.DUMMYFUNCTION("""COMPUTED_VALUE"""),"No se cuenta con el dato")</f>
        <v>No se cuenta con el dato</v>
      </c>
      <c r="CF514" s="30" t="str">
        <f ca="1">IFERROR(__xludf.DUMMYFUNCTION("""COMPUTED_VALUE"""),"Ninguno (Población General)")</f>
        <v>Ninguno (Población General)</v>
      </c>
      <c r="CG514" s="30">
        <f ca="1">IFERROR(__xludf.DUMMYFUNCTION("""COMPUTED_VALUE"""),55)</f>
        <v>55</v>
      </c>
      <c r="CJ514" s="29"/>
      <c r="CM514" s="30" t="str">
        <f ca="1">IFERROR(__xludf.DUMMYFUNCTION("""COMPUTED_VALUE"""),"Guanajuato")</f>
        <v>Guanajuato</v>
      </c>
      <c r="CN514" s="32" t="e">
        <f ca="1"/>
        <v>#NAME?</v>
      </c>
      <c r="CO514" s="32" t="e">
        <f ca="1"/>
        <v>#NAME?</v>
      </c>
      <c r="CP514" s="32" t="e">
        <f ca="1"/>
        <v>#NAME?</v>
      </c>
      <c r="CQ514" s="32" t="e">
        <f ca="1"/>
        <v>#NAME?</v>
      </c>
      <c r="CR514" s="30" t="e">
        <f ca="1"/>
        <v>#NAME?</v>
      </c>
      <c r="CS514" s="30" t="str">
        <f ca="1">IFERROR(__xludf.DUMMYFUNCTION("""COMPUTED_VALUE"""),"Ninguno (Población General)")</f>
        <v>Ninguno (Población General)</v>
      </c>
    </row>
    <row r="515" spans="1:97" ht="13">
      <c r="A515" s="29" t="str">
        <f ca="1">IFERROR(__xludf.DUMMYFUNCTION("""COMPUTED_VALUE"""),"ACT-SCOL44580")</f>
        <v>ACT-SCOL44580</v>
      </c>
      <c r="B515" s="30" t="str">
        <f ca="1">IFERROR(__xludf.DUMMYFUNCTION("""COMPUTED_VALUE"""),"SC-261006-095611")</f>
        <v>SC-261006-095611</v>
      </c>
      <c r="C515" s="62">
        <f ca="1">IFERROR(__xludf.DUMMYFUNCTION("""COMPUTED_VALUE"""),46301.4140162037)</f>
        <v>46301.4140162037</v>
      </c>
      <c r="D515" s="30">
        <f ca="1">IFERROR(__xludf.DUMMYFUNCTION("""COMPUTED_VALUE"""),89)</f>
        <v>89</v>
      </c>
      <c r="E515" s="30" t="str">
        <f ca="1">IFERROR(__xludf.DUMMYFUNCTION("""COMPUTED_VALUE"""),"PB3573")</f>
        <v>PB3573</v>
      </c>
      <c r="F515" s="30" t="str">
        <f ca="1">IFERROR(__xludf.DUMMYFUNCTION("""COMPUTED_VALUE"""),"Fortalecimiento del libro y sus plataformas: creación, producción, distribución e impulso a creadores")</f>
        <v>Fortalecimiento del libro y sus plataformas: creación, producción, distribución e impulso a creadores</v>
      </c>
      <c r="G515" s="30" t="str">
        <f ca="1">IFERROR(__xludf.DUMMYFUNCTION("""COMPUTED_VALUE"""),"Encuentros profesionales de la cadena del valor del libro.")</f>
        <v>Encuentros profesionales de la cadena del valor del libro.</v>
      </c>
      <c r="H515" s="30" t="str">
        <f ca="1">IFERROR(__xludf.DUMMYFUNCTION("""COMPUTED_VALUE"""),"SUBSECRETARÍA DE DESARROLLO Y PROMOCIÓN ARTÍSTICA Y CULTURAL")</f>
        <v>SUBSECRETARÍA DE DESARROLLO Y PROMOCIÓN ARTÍSTICA Y CULTURAL</v>
      </c>
      <c r="I515" s="34" t="str">
        <f ca="1">IFERROR(__xludf.DUMMYFUNCTION("""COMPUTED_VALUE"""),"DIRECCIÓN GENERAL DE EDITORIAL Y PUBLICACIONES")</f>
        <v>DIRECCIÓN GENERAL DE EDITORIAL Y PUBLICACIONES</v>
      </c>
      <c r="J515" s="30" t="str">
        <f ca="1">IFERROR(__xludf.DUMMYFUNCTION("""COMPUTED_VALUE"""),"Encuentros realizados")</f>
        <v>Encuentros realizados</v>
      </c>
      <c r="K515" s="30">
        <f ca="1">IFERROR(__xludf.DUMMYFUNCTION("""COMPUTED_VALUE"""),2)</f>
        <v>2</v>
      </c>
      <c r="L515" s="30" t="str">
        <f ca="1">IFERROR(__xludf.DUMMYFUNCTION("""COMPUTED_VALUE"""),"Cultural")</f>
        <v>Cultural</v>
      </c>
      <c r="M515" s="30" t="str">
        <f ca="1">IFERROR(__xludf.DUMMYFUNCTION("""COMPUTED_VALUE"""),"Rumbo al encuentro de escritoras")</f>
        <v>Rumbo al encuentro de escritoras</v>
      </c>
      <c r="N515" s="30" t="str">
        <f ca="1">IFERROR(__xludf.DUMMYFUNCTION("""COMPUTED_VALUE"""),"Mesa de trabajo en municipio, rumbo al encuentro de escritoras 2027")</f>
        <v>Mesa de trabajo en municipio, rumbo al encuentro de escritoras 2027</v>
      </c>
      <c r="O515" s="30" t="str">
        <f ca="1">IFERROR(__xludf.DUMMYFUNCTION("""COMPUTED_VALUE"""),"Semanal")</f>
        <v>Semanal</v>
      </c>
      <c r="P515" s="33">
        <f ca="1">IFERROR(__xludf.DUMMYFUNCTION("""COMPUTED_VALUE"""),46276)</f>
        <v>46276</v>
      </c>
      <c r="Q515" s="33">
        <f ca="1">IFERROR(__xludf.DUMMYFUNCTION("""COMPUTED_VALUE"""),46295)</f>
        <v>46295</v>
      </c>
      <c r="R515" s="30">
        <f ca="1">IFERROR(__xludf.DUMMYFUNCTION("""COMPUTED_VALUE"""),4)</f>
        <v>4</v>
      </c>
      <c r="S515" s="30" t="str">
        <f ca="1">IFERROR(__xludf.DUMMYFUNCTION("""COMPUTED_VALUE"""),"Cultura comunitaria")</f>
        <v>Cultura comunitaria</v>
      </c>
      <c r="T515" s="30" t="str">
        <f ca="1">IFERROR(__xludf.DUMMYFUNCTION("""COMPUTED_VALUE"""),"Mediación cultural")</f>
        <v>Mediación cultural</v>
      </c>
      <c r="U515" s="30" t="str">
        <f ca="1">IFERROR(__xludf.DUMMYFUNCTION("""COMPUTED_VALUE"""),"Mesa de trabajo")</f>
        <v>Mesa de trabajo</v>
      </c>
      <c r="V515" s="30" t="str">
        <f ca="1">IFERROR(__xludf.DUMMYFUNCTION("""COMPUTED_VALUE"""),"Evaluación")</f>
        <v>Evaluación</v>
      </c>
      <c r="W515" s="30" t="str">
        <f ca="1">IFERROR(__xludf.DUMMYFUNCTION("""COMPUTED_VALUE"""),"Presencial")</f>
        <v>Presencial</v>
      </c>
      <c r="X515" s="30" t="str">
        <f ca="1">IFERROR(__xludf.DUMMYFUNCTION("""COMPUTED_VALUE"""),"Espacio Público")</f>
        <v>Espacio Público</v>
      </c>
      <c r="Y515" s="30"/>
      <c r="Z515" s="30" t="str">
        <f ca="1">IFERROR(__xludf.DUMMYFUNCTION("""COMPUTED_VALUE"""),"Bibliotecas municipales")</f>
        <v>Bibliotecas municipales</v>
      </c>
      <c r="AA515" s="30"/>
      <c r="AB515" s="30" t="b">
        <f ca="1">IFERROR(__xludf.DUMMYFUNCTION("""COMPUTED_VALUE"""),FALSE)</f>
        <v>0</v>
      </c>
      <c r="AC515" s="30"/>
      <c r="AD515" s="30" t="b">
        <f ca="1">IFERROR(__xludf.DUMMYFUNCTION("""COMPUTED_VALUE"""),TRUE)</f>
        <v>1</v>
      </c>
      <c r="AE515" s="30">
        <f ca="1">IFERROR(__xludf.DUMMYFUNCTION("""COMPUTED_VALUE"""),1)</f>
        <v>1</v>
      </c>
      <c r="AF515" s="30" t="b">
        <f ca="1">IFERROR(__xludf.DUMMYFUNCTION("""COMPUTED_VALUE"""),FALSE)</f>
        <v>0</v>
      </c>
      <c r="AG515" s="30"/>
      <c r="AH515" s="30" t="str">
        <f ca="1">IFERROR(__xludf.DUMMYFUNCTION("""COMPUTED_VALUE"""),"Sin costo")</f>
        <v>Sin costo</v>
      </c>
      <c r="AI515" s="30"/>
      <c r="AJ515" s="30"/>
      <c r="AK515" s="30"/>
      <c r="AL515" s="30" t="str">
        <f ca="1">IFERROR(__xludf.DUMMYFUNCTION("""COMPUTED_VALUE"""),"fmolinar@guanajuato.gob.mx")</f>
        <v>fmolinar@guanajuato.gob.mx</v>
      </c>
      <c r="AM515" s="30" t="str">
        <f ca="1">IFERROR(__xludf.DUMMYFUNCTION("""COMPUTED_VALUE"""),"Creación de la Secretaría de Cultura, con una visión social de la política cultural.")</f>
        <v>Creación de la Secretaría de Cultura, con una visión social de la política cultural.</v>
      </c>
      <c r="AN515" s="30" t="str">
        <f ca="1">IFERROR(__xludf.DUMMYFUNCTION("""COMPUTED_VALUE"""),"1 Tranquilidad")</f>
        <v>1 Tranquilidad</v>
      </c>
      <c r="AO515" s="30" t="str">
        <f ca="1">IFERROR(__xludf.DUMMYFUNCTION("""COMPUTED_VALUE"""),"1.2 Fortalecer prevención del delito")</f>
        <v>1.2 Fortalecer prevención del delito</v>
      </c>
      <c r="AP515" s="30" t="str">
        <f ca="1">IFERROR(__xludf.DUMMYFUNCTION("""COMPUTED_VALUE"""),"1.2.2 Fortalecimiento del tejido social")</f>
        <v>1.2.2 Fortalecimiento del tejido social</v>
      </c>
      <c r="AQ515" s="30" t="str">
        <f ca="1">IFERROR(__xludf.DUMMYFUNCTION("""COMPUTED_VALUE"""),"1.2.3.4 Promover una cultura de paz desde las expresiones artísticas y culturales")</f>
        <v>1.2.3.4 Promover una cultura de paz desde las expresiones artísticas y culturales</v>
      </c>
      <c r="AR515" s="30" t="str">
        <f ca="1">IFERROR(__xludf.DUMMYFUNCTION("""COMPUTED_VALUE"""),"Ninguno")</f>
        <v>Ninguno</v>
      </c>
      <c r="AS515" s="30"/>
      <c r="AT515" s="30" t="str">
        <f ca="1">IFERROR(__xludf.DUMMYFUNCTION("""COMPUTED_VALUE"""),"Fortalecimiento de la participación ciudadana y la mediación cultural")</f>
        <v>Fortalecimiento de la participación ciudadana y la mediación cultural</v>
      </c>
      <c r="AU515" s="30" t="str">
        <f ca="1">IFERROR(__xludf.DUMMYFUNCTION("""COMPUTED_VALUE"""),"Fortalecimiento del diálogo, la mediación y las capacidades de las redes comunitarias.")</f>
        <v>Fortalecimiento del diálogo, la mediación y las capacidades de las redes comunitarias.</v>
      </c>
      <c r="AV515" s="30" t="str">
        <f ca="1">IFERROR(__xludf.DUMMYFUNCTION("""COMPUTED_VALUE"""),"Diseñar e impartir talleres de formación en derechos culturales")</f>
        <v>Diseñar e impartir talleres de formación en derechos culturales</v>
      </c>
      <c r="AW515" s="30" t="str">
        <f ca="1">IFERROR(__xludf.DUMMYFUNCTION("""COMPUTED_VALUE"""),"Incrementar en 25% la oferta cultural realizada en los municipios.")</f>
        <v>Incrementar en 25% la oferta cultural realizada en los municipios.</v>
      </c>
      <c r="AX515" s="30" t="str">
        <f ca="1">IFERROR(__xludf.DUMMYFUNCTION("""COMPUTED_VALUE"""),"Mesa de trabajo")</f>
        <v>Mesa de trabajo</v>
      </c>
      <c r="AY515" s="30" t="str">
        <f ca="1">IFERROR(__xludf.DUMMYFUNCTION("""COMPUTED_VALUE"""),"Formación")</f>
        <v>Formación</v>
      </c>
      <c r="AZ515" s="30" t="str">
        <f ca="1">IFERROR(__xludf.DUMMYFUNCTION("""COMPUTED_VALUE"""),"Profesionalización")</f>
        <v>Profesionalización</v>
      </c>
      <c r="BA515" s="30" t="str">
        <f ca="1">IFERROR(__xludf.DUMMYFUNCTION("""COMPUTED_VALUE"""),"Encuentro de escritoras")</f>
        <v>Encuentro de escritoras</v>
      </c>
      <c r="BB515" s="30">
        <f ca="1">IFERROR(__xludf.DUMMYFUNCTION("""COMPUTED_VALUE"""),6)</f>
        <v>6</v>
      </c>
      <c r="BC515" s="30">
        <f ca="1">IFERROR(__xludf.DUMMYFUNCTION("""COMPUTED_VALUE"""),2)</f>
        <v>2</v>
      </c>
      <c r="BD515" s="30" t="str">
        <f ca="1">IFERROR(__xludf.DUMMYFUNCTION("""COMPUTED_VALUE"""),"Apoyado con anterioridad")</f>
        <v>Apoyado con anterioridad</v>
      </c>
      <c r="BE515" s="30" t="str">
        <f ca="1">IFERROR(__xludf.DUMMYFUNCTION("""COMPUTED_VALUE"""),"Ana Paulina Calvillo, Amaranta Caballero")</f>
        <v>Ana Paulina Calvillo, Amaranta Caballero</v>
      </c>
      <c r="BF515" s="30" t="b">
        <f ca="1">IFERROR(__xludf.DUMMYFUNCTION("""COMPUTED_VALUE"""),TRUE)</f>
        <v>1</v>
      </c>
      <c r="BG515" s="30" t="str">
        <f ca="1">IFERROR(__xludf.DUMMYFUNCTION("""COMPUTED_VALUE"""),"Económico")</f>
        <v>Económico</v>
      </c>
      <c r="BH515" s="30"/>
      <c r="BI515" s="30"/>
      <c r="BJ515" s="30"/>
      <c r="BK515" s="30"/>
      <c r="BL515" s="30"/>
      <c r="BM515" s="30" t="str">
        <f ca="1">IFERROR(__xludf.DUMMYFUNCTION("""COMPUTED_VALUE"""),"No")</f>
        <v>No</v>
      </c>
      <c r="BN515" s="30"/>
      <c r="BO515" s="30" t="str">
        <f ca="1">IFERROR(__xludf.DUMMYFUNCTION("""COMPUTED_VALUE"""),"d7f2d19e")</f>
        <v>d7f2d19e</v>
      </c>
      <c r="BP515" s="29" t="str">
        <f ca="1">IFERROR(__xludf.DUMMYFUNCTION("""COMPUTED_VALUE"""),"Guanajuato")</f>
        <v>Guanajuato</v>
      </c>
      <c r="BQ515" s="30" t="str">
        <f ca="1">IFERROR(__xludf.DUMMYFUNCTION("""COMPUTED_VALUE"""),"Urbano")</f>
        <v>Urbano</v>
      </c>
      <c r="BR515" s="30"/>
      <c r="BS515" s="30"/>
      <c r="BT515" s="30"/>
      <c r="BU515" s="30" t="str">
        <f ca="1">IFERROR(__xludf.DUMMYFUNCTION("""COMPUTED_VALUE"""),"No")</f>
        <v>No</v>
      </c>
      <c r="BV515" s="30" t="str">
        <f ca="1">IFERROR(__xludf.DUMMYFUNCTION("""COMPUTED_VALUE"""),"No")</f>
        <v>No</v>
      </c>
      <c r="BW515" s="30">
        <f ca="1">IFERROR(__xludf.DUMMYFUNCTION("""COMPUTED_VALUE"""),4)</f>
        <v>4</v>
      </c>
      <c r="BX515" s="30">
        <f ca="1">IFERROR(__xludf.DUMMYFUNCTION("""COMPUTED_VALUE"""),4)</f>
        <v>4</v>
      </c>
      <c r="BY515" s="30">
        <f ca="1">IFERROR(__xludf.DUMMYFUNCTION("""COMPUTED_VALUE"""),0)</f>
        <v>0</v>
      </c>
      <c r="BZ515" s="30"/>
      <c r="CA515" s="30" t="str">
        <f ca="1">IFERROR(__xludf.DUMMYFUNCTION("""COMPUTED_VALUE"""),"No")</f>
        <v>No</v>
      </c>
      <c r="CB515" s="30" t="str">
        <f ca="1">IFERROR(__xludf.DUMMYFUNCTION("""COMPUTED_VALUE"""),"No")</f>
        <v>No</v>
      </c>
      <c r="CC515" s="30" t="str">
        <f ca="1">IFERROR(__xludf.DUMMYFUNCTION("""COMPUTED_VALUE"""),"f875e23d")</f>
        <v>f875e23d</v>
      </c>
      <c r="CD515" s="29" t="str">
        <f ca="1">IFERROR(__xludf.DUMMYFUNCTION("""COMPUTED_VALUE"""),"Jóvenes (18 a 29 años)")</f>
        <v>Jóvenes (18 a 29 años)</v>
      </c>
      <c r="CE515" s="30" t="str">
        <f ca="1">IFERROR(__xludf.DUMMYFUNCTION("""COMPUTED_VALUE"""),"No se cuenta con el dato")</f>
        <v>No se cuenta con el dato</v>
      </c>
      <c r="CF515" s="30" t="str">
        <f ca="1">IFERROR(__xludf.DUMMYFUNCTION("""COMPUTED_VALUE"""),"Ninguno (Población General)")</f>
        <v>Ninguno (Población General)</v>
      </c>
      <c r="CG515" s="30">
        <f ca="1">IFERROR(__xludf.DUMMYFUNCTION("""COMPUTED_VALUE"""),17)</f>
        <v>17</v>
      </c>
      <c r="CJ515" s="29"/>
      <c r="CM515" s="30" t="str">
        <f ca="1">IFERROR(__xludf.DUMMYFUNCTION("""COMPUTED_VALUE"""),"Guanajuato")</f>
        <v>Guanajuato</v>
      </c>
      <c r="CN515" s="32" t="e">
        <f ca="1"/>
        <v>#NAME?</v>
      </c>
      <c r="CO515" s="32" t="e">
        <f ca="1"/>
        <v>#NAME?</v>
      </c>
      <c r="CP515" s="32" t="e">
        <f ca="1"/>
        <v>#NAME?</v>
      </c>
      <c r="CQ515" s="32" t="e">
        <f ca="1"/>
        <v>#NAME?</v>
      </c>
      <c r="CR515" s="30" t="e">
        <f ca="1"/>
        <v>#NAME?</v>
      </c>
      <c r="CS515" s="30" t="str">
        <f ca="1">IFERROR(__xludf.DUMMYFUNCTION("""COMPUTED_VALUE"""),"Ninguno (Población General)")</f>
        <v>Ninguno (Población General)</v>
      </c>
    </row>
    <row r="516" spans="1:97" ht="13">
      <c r="A516" s="29" t="str">
        <f ca="1">IFERROR(__xludf.DUMMYFUNCTION("""COMPUTED_VALUE"""),"ACT-SCWM44500")</f>
        <v>ACT-SCWM44500</v>
      </c>
      <c r="B516" s="30" t="str">
        <f ca="1">IFERROR(__xludf.DUMMYFUNCTION("""COMPUTED_VALUE"""),"SC-261006-110045")</f>
        <v>SC-261006-110045</v>
      </c>
      <c r="C516" s="62">
        <f ca="1">IFERROR(__xludf.DUMMYFUNCTION("""COMPUTED_VALUE"""),46301.4588541666)</f>
        <v>46301.458854166602</v>
      </c>
      <c r="D516" s="30">
        <f ca="1">IFERROR(__xludf.DUMMYFUNCTION("""COMPUTED_VALUE"""),92)</f>
        <v>92</v>
      </c>
      <c r="E516" s="30" t="str">
        <f ca="1">IFERROR(__xludf.DUMMYFUNCTION("""COMPUTED_VALUE"""),"PB3572")</f>
        <v>PB3572</v>
      </c>
      <c r="F51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6" s="30" t="str">
        <f ca="1">IFERROR(__xludf.DUMMYFUNCTION("""COMPUTED_VALUE"""),"SUBSECRETARÍA DE DESARROLLO Y PROMOCIÓN ARTÍSTICA Y CULTURAL")</f>
        <v>SUBSECRETARÍA DE DESARROLLO Y PROMOCIÓN ARTÍSTICA Y CULTURAL</v>
      </c>
      <c r="I516" s="34" t="str">
        <f ca="1">IFERROR(__xludf.DUMMYFUNCTION("""COMPUTED_VALUE"""),"DIRECCIÓN GENERAL DE MUSEOS, ARTES VISUALES Y EXPOSICIONES")</f>
        <v>DIRECCIÓN GENERAL DE MUSEOS, ARTES VISUALES Y EXPOSICIONES</v>
      </c>
      <c r="J516" s="30" t="str">
        <f ca="1">IFERROR(__xludf.DUMMYFUNCTION("""COMPUTED_VALUE"""),"Número de Actividades realizadas")</f>
        <v>Número de Actividades realizadas</v>
      </c>
      <c r="K516" s="30">
        <f ca="1">IFERROR(__xludf.DUMMYFUNCTION("""COMPUTED_VALUE"""),800)</f>
        <v>800</v>
      </c>
      <c r="L516" s="30" t="str">
        <f ca="1">IFERROR(__xludf.DUMMYFUNCTION("""COMPUTED_VALUE"""),"Cultural")</f>
        <v>Cultural</v>
      </c>
      <c r="M516" s="30" t="str">
        <f ca="1">IFERROR(__xludf.DUMMYFUNCTION("""COMPUTED_VALUE"""),"Visita guiada libre.")</f>
        <v>Visita guiada libre.</v>
      </c>
      <c r="N516" s="30" t="str">
        <f ca="1">IFERROR(__xludf.DUMMYFUNCTION("""COMPUTED_VALUE"""),"Visita guiada libre")</f>
        <v>Visita guiada libre</v>
      </c>
      <c r="O516" s="30" t="str">
        <f ca="1">IFERROR(__xludf.DUMMYFUNCTION("""COMPUTED_VALUE"""),"Única")</f>
        <v>Única</v>
      </c>
      <c r="P516" s="33">
        <f ca="1">IFERROR(__xludf.DUMMYFUNCTION("""COMPUTED_VALUE"""),46264)</f>
        <v>46264</v>
      </c>
      <c r="Q516" s="33">
        <f ca="1">IFERROR(__xludf.DUMMYFUNCTION("""COMPUTED_VALUE"""),46264)</f>
        <v>46264</v>
      </c>
      <c r="R516" s="30">
        <f ca="1">IFERROR(__xludf.DUMMYFUNCTION("""COMPUTED_VALUE"""),1)</f>
        <v>1</v>
      </c>
      <c r="S516" s="30" t="str">
        <f ca="1">IFERROR(__xludf.DUMMYFUNCTION("""COMPUTED_VALUE"""),"Cultura comunitaria")</f>
        <v>Cultura comunitaria</v>
      </c>
      <c r="T516" s="30" t="str">
        <f ca="1">IFERROR(__xludf.DUMMYFUNCTION("""COMPUTED_VALUE"""),"Formación comunitaria")</f>
        <v>Formación comunitaria</v>
      </c>
      <c r="U516" s="30" t="str">
        <f ca="1">IFERROR(__xludf.DUMMYFUNCTION("""COMPUTED_VALUE"""),"Visitas guiadas")</f>
        <v>Visitas guiadas</v>
      </c>
      <c r="V516" s="30" t="str">
        <f ca="1">IFERROR(__xludf.DUMMYFUNCTION("""COMPUTED_VALUE"""),"Ninguna")</f>
        <v>Ninguna</v>
      </c>
      <c r="W516" s="30" t="str">
        <f ca="1">IFERROR(__xludf.DUMMYFUNCTION("""COMPUTED_VALUE"""),"Presencial")</f>
        <v>Presencial</v>
      </c>
      <c r="X516" s="30" t="str">
        <f ca="1">IFERROR(__xludf.DUMMYFUNCTION("""COMPUTED_VALUE"""),"Espacio a Cargo de la Secretaría")</f>
        <v>Espacio a Cargo de la Secretaría</v>
      </c>
      <c r="Y516" s="30" t="str">
        <f ca="1">IFERROR(__xludf.DUMMYFUNCTION("""COMPUTED_VALUE"""),"Museo de Arte-Olga Costa-José Chávez Morado")</f>
        <v>Museo de Arte-Olga Costa-José Chávez Morado</v>
      </c>
      <c r="Z516" s="30"/>
      <c r="AA516" s="30"/>
      <c r="AB516" s="30" t="b">
        <f ca="1">IFERROR(__xludf.DUMMYFUNCTION("""COMPUTED_VALUE"""),FALSE)</f>
        <v>0</v>
      </c>
      <c r="AC516" s="30"/>
      <c r="AD516" s="30" t="b">
        <f ca="1">IFERROR(__xludf.DUMMYFUNCTION("""COMPUTED_VALUE"""),FALSE)</f>
        <v>0</v>
      </c>
      <c r="AE516" s="30"/>
      <c r="AF516" s="30" t="b">
        <f ca="1">IFERROR(__xludf.DUMMYFUNCTION("""COMPUTED_VALUE"""),FALSE)</f>
        <v>0</v>
      </c>
      <c r="AG516" s="30"/>
      <c r="AH516" s="30" t="str">
        <f ca="1">IFERROR(__xludf.DUMMYFUNCTION("""COMPUTED_VALUE"""),"Sin costo")</f>
        <v>Sin costo</v>
      </c>
      <c r="AI516" s="30"/>
      <c r="AJ516" s="30"/>
      <c r="AK516" s="30"/>
      <c r="AL516" s="30" t="str">
        <f ca="1">IFERROR(__xludf.DUMMYFUNCTION("""COMPUTED_VALUE"""),"ccardonav@guanajuato.gob.mx")</f>
        <v>ccardonav@guanajuato.gob.mx</v>
      </c>
      <c r="AM516" s="30" t="str">
        <f ca="1">IFERROR(__xludf.DUMMYFUNCTION("""COMPUTED_VALUE"""),"Arraigo y empoderamiento cultural de comunidades.")</f>
        <v>Arraigo y empoderamiento cultural de comunidades.</v>
      </c>
      <c r="AN516" s="30" t="str">
        <f ca="1">IFERROR(__xludf.DUMMYFUNCTION("""COMPUTED_VALUE"""),"1 Tranquilidad")</f>
        <v>1 Tranquilidad</v>
      </c>
      <c r="AO516" s="30" t="str">
        <f ca="1">IFERROR(__xludf.DUMMYFUNCTION("""COMPUTED_VALUE"""),"1.2 Fortalecer prevención del delito")</f>
        <v>1.2 Fortalecer prevención del delito</v>
      </c>
      <c r="AP516" s="30" t="str">
        <f ca="1">IFERROR(__xludf.DUMMYFUNCTION("""COMPUTED_VALUE"""),"1.2.2 Fortalecimiento del tejido social")</f>
        <v>1.2.2 Fortalecimiento del tejido social</v>
      </c>
      <c r="AQ516" s="30" t="str">
        <f ca="1">IFERROR(__xludf.DUMMYFUNCTION("""COMPUTED_VALUE"""),"1.2.3.4 Promover una cultura de paz desde las expresiones artísticas y culturales")</f>
        <v>1.2.3.4 Promover una cultura de paz desde las expresiones artísticas y culturales</v>
      </c>
      <c r="AR516" s="30" t="str">
        <f ca="1">IFERROR(__xludf.DUMMYFUNCTION("""COMPUTED_VALUE"""),"Cooperación")</f>
        <v>Cooperación</v>
      </c>
      <c r="AS516" s="30"/>
      <c r="AT516" s="30" t="str">
        <f ca="1">IFERROR(__xludf.DUMMYFUNCTION("""COMPUTED_VALUE"""),"Fortalecimiento de la participación ciudadana y la mediación cultural")</f>
        <v>Fortalecimiento de la participación ciudadana y la mediación cultural</v>
      </c>
      <c r="AU516" s="30" t="str">
        <f ca="1">IFERROR(__xludf.DUMMYFUNCTION("""COMPUTED_VALUE"""),"Impulso a la ampliación de la oferta cultural en los territorios.")</f>
        <v>Impulso a la ampliación de la oferta cultural en los territorios.</v>
      </c>
      <c r="AV51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6" s="30" t="str">
        <f ca="1">IFERROR(__xludf.DUMMYFUNCTION("""COMPUTED_VALUE"""),"Incrementar en 25% la oferta cultural realizada en los municipios.")</f>
        <v>Incrementar en 25% la oferta cultural realizada en los municipios.</v>
      </c>
      <c r="AX516" s="30" t="str">
        <f ca="1">IFERROR(__xludf.DUMMYFUNCTION("""COMPUTED_VALUE"""),"Visitas guiadas")</f>
        <v>Visitas guiadas</v>
      </c>
      <c r="AY516" s="30" t="str">
        <f ca="1">IFERROR(__xludf.DUMMYFUNCTION("""COMPUTED_VALUE"""),"Formación")</f>
        <v>Formación</v>
      </c>
      <c r="AZ516" s="30" t="str">
        <f ca="1">IFERROR(__xludf.DUMMYFUNCTION("""COMPUTED_VALUE"""),"Formación")</f>
        <v>Formación</v>
      </c>
      <c r="BA516" s="30"/>
      <c r="BB516" s="30"/>
      <c r="BC516" s="30">
        <f ca="1">IFERROR(__xludf.DUMMYFUNCTION("""COMPUTED_VALUE"""),0)</f>
        <v>0</v>
      </c>
      <c r="BD516" s="30"/>
      <c r="BE516" s="30"/>
      <c r="BF516" s="30" t="b">
        <f ca="1">IFERROR(__xludf.DUMMYFUNCTION("""COMPUTED_VALUE"""),FALSE)</f>
        <v>0</v>
      </c>
      <c r="BG516" s="30"/>
      <c r="BH516" s="30"/>
      <c r="BI516" s="30"/>
      <c r="BJ516" s="30"/>
      <c r="BK516" s="30"/>
      <c r="BL516" s="30"/>
      <c r="BM516" s="30" t="str">
        <f ca="1">IFERROR(__xludf.DUMMYFUNCTION("""COMPUTED_VALUE"""),"No")</f>
        <v>No</v>
      </c>
      <c r="BN516" s="30"/>
      <c r="BO516" s="30" t="str">
        <f ca="1">IFERROR(__xludf.DUMMYFUNCTION("""COMPUTED_VALUE"""),"98429c56")</f>
        <v>98429c56</v>
      </c>
      <c r="BP516" s="29" t="str">
        <f ca="1">IFERROR(__xludf.DUMMYFUNCTION("""COMPUTED_VALUE"""),"Salamanca")</f>
        <v>Salamanca</v>
      </c>
      <c r="BQ516" s="30" t="str">
        <f ca="1">IFERROR(__xludf.DUMMYFUNCTION("""COMPUTED_VALUE"""),"Urbano")</f>
        <v>Urbano</v>
      </c>
      <c r="BR516" s="30">
        <f ca="1">IFERROR(__xludf.DUMMYFUNCTION("""COMPUTED_VALUE"""),181)</f>
        <v>181</v>
      </c>
      <c r="BS516" s="30" t="str">
        <f ca="1">IFERROR(__xludf.DUMMYFUNCTION("""COMPUTED_VALUE"""),"Salamanca")</f>
        <v>Salamanca</v>
      </c>
      <c r="BT516" s="30"/>
      <c r="BU516" s="30" t="str">
        <f ca="1">IFERROR(__xludf.DUMMYFUNCTION("""COMPUTED_VALUE"""),"Si")</f>
        <v>Si</v>
      </c>
      <c r="BV516" s="30" t="str">
        <f ca="1">IFERROR(__xludf.DUMMYFUNCTION("""COMPUTED_VALUE"""),"Si")</f>
        <v>Si</v>
      </c>
      <c r="BW516" s="30">
        <f ca="1">IFERROR(__xludf.DUMMYFUNCTION("""COMPUTED_VALUE"""),136)</f>
        <v>136</v>
      </c>
      <c r="BX516" s="30">
        <f ca="1">IFERROR(__xludf.DUMMYFUNCTION("""COMPUTED_VALUE"""),7)</f>
        <v>7</v>
      </c>
      <c r="BY516" s="30">
        <f ca="1">IFERROR(__xludf.DUMMYFUNCTION("""COMPUTED_VALUE"""),129)</f>
        <v>129</v>
      </c>
      <c r="BZ516" s="30" t="str">
        <f ca="1">IFERROR(__xludf.DUMMYFUNCTION("""COMPUTED_VALUE"""),"Salamanca")</f>
        <v>Salamanca</v>
      </c>
      <c r="CA516" s="30" t="str">
        <f ca="1">IFERROR(__xludf.DUMMYFUNCTION("""COMPUTED_VALUE"""),"No")</f>
        <v>No</v>
      </c>
      <c r="CB516" s="30" t="str">
        <f ca="1">IFERROR(__xludf.DUMMYFUNCTION("""COMPUTED_VALUE"""),"No")</f>
        <v>No</v>
      </c>
      <c r="CC516" s="30" t="str">
        <f ca="1">IFERROR(__xludf.DUMMYFUNCTION("""COMPUTED_VALUE"""),"1d858548")</f>
        <v>1d858548</v>
      </c>
      <c r="CD516" s="29" t="str">
        <f ca="1">IFERROR(__xludf.DUMMYFUNCTION("""COMPUTED_VALUE"""),"Adultos (30 a 59 años)")</f>
        <v>Adultos (30 a 59 años)</v>
      </c>
      <c r="CE516" s="30" t="str">
        <f ca="1">IFERROR(__xludf.DUMMYFUNCTION("""COMPUTED_VALUE"""),"No se cuenta con el dato")</f>
        <v>No se cuenta con el dato</v>
      </c>
      <c r="CF516" s="30" t="str">
        <f ca="1">IFERROR(__xludf.DUMMYFUNCTION("""COMPUTED_VALUE"""),"Ninguno (Población General)")</f>
        <v>Ninguno (Población General)</v>
      </c>
      <c r="CG516" s="30">
        <f ca="1">IFERROR(__xludf.DUMMYFUNCTION("""COMPUTED_VALUE"""),19)</f>
        <v>19</v>
      </c>
      <c r="CJ516" s="29"/>
      <c r="CM516" s="30" t="str">
        <f ca="1">IFERROR(__xludf.DUMMYFUNCTION("""COMPUTED_VALUE"""),"Guanajuato")</f>
        <v>Guanajuato</v>
      </c>
      <c r="CN516" s="32" t="e">
        <f ca="1"/>
        <v>#NAME?</v>
      </c>
      <c r="CO516" s="32" t="e">
        <f ca="1"/>
        <v>#NAME?</v>
      </c>
      <c r="CP516" s="32" t="e">
        <f ca="1"/>
        <v>#NAME?</v>
      </c>
      <c r="CQ516" s="32" t="e">
        <f ca="1"/>
        <v>#NAME?</v>
      </c>
      <c r="CR516" s="30" t="e">
        <f ca="1"/>
        <v>#NAME?</v>
      </c>
      <c r="CS516" s="30" t="str">
        <f ca="1">IFERROR(__xludf.DUMMYFUNCTION("""COMPUTED_VALUE"""),"Ninguno (Población General)")</f>
        <v>Ninguno (Población General)</v>
      </c>
    </row>
    <row r="517" spans="1:97" ht="13">
      <c r="A517" s="29" t="str">
        <f ca="1">IFERROR(__xludf.DUMMYFUNCTION("""COMPUTED_VALUE"""),"ACT-SCJT61532")</f>
        <v>ACT-SCJT61532</v>
      </c>
      <c r="B517" s="30" t="str">
        <f ca="1">IFERROR(__xludf.DUMMYFUNCTION("""COMPUTED_VALUE"""),"SC-261006-110850")</f>
        <v>SC-261006-110850</v>
      </c>
      <c r="C517" s="62">
        <f ca="1">IFERROR(__xludf.DUMMYFUNCTION("""COMPUTED_VALUE"""),46301.4644675925)</f>
        <v>46301.464467592501</v>
      </c>
      <c r="D517" s="30">
        <f ca="1">IFERROR(__xludf.DUMMYFUNCTION("""COMPUTED_VALUE"""),92)</f>
        <v>92</v>
      </c>
      <c r="E517" s="30" t="str">
        <f ca="1">IFERROR(__xludf.DUMMYFUNCTION("""COMPUTED_VALUE"""),"PB3572")</f>
        <v>PB3572</v>
      </c>
      <c r="F51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7" s="30" t="str">
        <f ca="1">IFERROR(__xludf.DUMMYFUNCTION("""COMPUTED_VALUE"""),"SUBSECRETARÍA DE DESARROLLO Y PROMOCIÓN ARTÍSTICA Y CULTURAL")</f>
        <v>SUBSECRETARÍA DE DESARROLLO Y PROMOCIÓN ARTÍSTICA Y CULTURAL</v>
      </c>
      <c r="I517" s="34" t="str">
        <f ca="1">IFERROR(__xludf.DUMMYFUNCTION("""COMPUTED_VALUE"""),"DIRECCIÓN GENERAL DE MUSEOS, ARTES VISUALES Y EXPOSICIONES")</f>
        <v>DIRECCIÓN GENERAL DE MUSEOS, ARTES VISUALES Y EXPOSICIONES</v>
      </c>
      <c r="J517" s="30" t="str">
        <f ca="1">IFERROR(__xludf.DUMMYFUNCTION("""COMPUTED_VALUE"""),"Número de Actividades realizadas")</f>
        <v>Número de Actividades realizadas</v>
      </c>
      <c r="K517" s="30">
        <f ca="1">IFERROR(__xludf.DUMMYFUNCTION("""COMPUTED_VALUE"""),800)</f>
        <v>800</v>
      </c>
      <c r="L517" s="30" t="str">
        <f ca="1">IFERROR(__xludf.DUMMYFUNCTION("""COMPUTED_VALUE"""),"Artística")</f>
        <v>Artística</v>
      </c>
      <c r="M517" s="30" t="str">
        <f ca="1">IFERROR(__xludf.DUMMYFUNCTION("""COMPUTED_VALUE"""),"Conferencia Imágenes para la paz")</f>
        <v>Conferencia Imágenes para la paz</v>
      </c>
      <c r="N517" s="30" t="str">
        <f ca="1">IFERROR(__xludf.DUMMYFUNCTION("""COMPUTED_VALUE"""),"Se abordarán distintas aproximaciones visuales y conceptuales mediante las cuales el arte construye sentidos en torno a la paz, generando un espacio de diálogo con el público.")</f>
        <v>Se abordarán distintas aproximaciones visuales y conceptuales mediante las cuales el arte construye sentidos en torno a la paz, generando un espacio de diálogo con el público.</v>
      </c>
      <c r="O517" s="30" t="str">
        <f ca="1">IFERROR(__xludf.DUMMYFUNCTION("""COMPUTED_VALUE"""),"Única")</f>
        <v>Única</v>
      </c>
      <c r="P517" s="33">
        <f ca="1">IFERROR(__xludf.DUMMYFUNCTION("""COMPUTED_VALUE"""),46189)</f>
        <v>46189</v>
      </c>
      <c r="Q517" s="33">
        <f ca="1">IFERROR(__xludf.DUMMYFUNCTION("""COMPUTED_VALUE"""),46189)</f>
        <v>46189</v>
      </c>
      <c r="R517" s="30">
        <f ca="1">IFERROR(__xludf.DUMMYFUNCTION("""COMPUTED_VALUE"""),1)</f>
        <v>1</v>
      </c>
      <c r="S517" s="30" t="str">
        <f ca="1">IFERROR(__xludf.DUMMYFUNCTION("""COMPUTED_VALUE"""),"Artes visuales")</f>
        <v>Artes visuales</v>
      </c>
      <c r="T517" s="30" t="str">
        <f ca="1">IFERROR(__xludf.DUMMYFUNCTION("""COMPUTED_VALUE"""),"Escultura")</f>
        <v>Escultura</v>
      </c>
      <c r="U517" s="30" t="str">
        <f ca="1">IFERROR(__xludf.DUMMYFUNCTION("""COMPUTED_VALUE"""),"Conferencia")</f>
        <v>Conferencia</v>
      </c>
      <c r="V517" s="30" t="str">
        <f ca="1">IFERROR(__xludf.DUMMYFUNCTION("""COMPUTED_VALUE"""),"Ninguna")</f>
        <v>Ninguna</v>
      </c>
      <c r="W517" s="30" t="str">
        <f ca="1">IFERROR(__xludf.DUMMYFUNCTION("""COMPUTED_VALUE"""),"Presencial")</f>
        <v>Presencial</v>
      </c>
      <c r="X517" s="30" t="str">
        <f ca="1">IFERROR(__xludf.DUMMYFUNCTION("""COMPUTED_VALUE"""),"Espacio a Cargo de la Secretaría")</f>
        <v>Espacio a Cargo de la Secretaría</v>
      </c>
      <c r="Y517" s="30" t="str">
        <f ca="1">IFERROR(__xludf.DUMMYFUNCTION("""COMPUTED_VALUE"""),"Museo del Pueblo de Guanajuato")</f>
        <v>Museo del Pueblo de Guanajuato</v>
      </c>
      <c r="Z517" s="30"/>
      <c r="AA517" s="30"/>
      <c r="AB517" s="30" t="b">
        <f ca="1">IFERROR(__xludf.DUMMYFUNCTION("""COMPUTED_VALUE"""),FALSE)</f>
        <v>0</v>
      </c>
      <c r="AC517" s="30"/>
      <c r="AD517" s="30" t="b">
        <f ca="1">IFERROR(__xludf.DUMMYFUNCTION("""COMPUTED_VALUE"""),FALSE)</f>
        <v>0</v>
      </c>
      <c r="AE517" s="30"/>
      <c r="AF517" s="30" t="b">
        <f ca="1">IFERROR(__xludf.DUMMYFUNCTION("""COMPUTED_VALUE"""),FALSE)</f>
        <v>0</v>
      </c>
      <c r="AG517" s="30"/>
      <c r="AH517" s="30" t="str">
        <f ca="1">IFERROR(__xludf.DUMMYFUNCTION("""COMPUTED_VALUE"""),"Sin costo")</f>
        <v>Sin costo</v>
      </c>
      <c r="AI517" s="30"/>
      <c r="AJ517" s="30"/>
      <c r="AK517" s="30"/>
      <c r="AL517" s="30" t="str">
        <f ca="1">IFERROR(__xludf.DUMMYFUNCTION("""COMPUTED_VALUE"""),"ccardonav@guanajuato.gob.mx")</f>
        <v>ccardonav@guanajuato.gob.mx</v>
      </c>
      <c r="AM517" s="30" t="str">
        <f ca="1">IFERROR(__xludf.DUMMYFUNCTION("""COMPUTED_VALUE"""),"Arraigo y empoderamiento cultural de comunidades.")</f>
        <v>Arraigo y empoderamiento cultural de comunidades.</v>
      </c>
      <c r="AN517" s="30" t="str">
        <f ca="1">IFERROR(__xludf.DUMMYFUNCTION("""COMPUTED_VALUE"""),"1 Tranquilidad")</f>
        <v>1 Tranquilidad</v>
      </c>
      <c r="AO517" s="30" t="str">
        <f ca="1">IFERROR(__xludf.DUMMYFUNCTION("""COMPUTED_VALUE"""),"1.2 Fortalecer prevención del delito")</f>
        <v>1.2 Fortalecer prevención del delito</v>
      </c>
      <c r="AP517" s="30" t="str">
        <f ca="1">IFERROR(__xludf.DUMMYFUNCTION("""COMPUTED_VALUE"""),"1.2.2 Fortalecimiento del tejido social")</f>
        <v>1.2.2 Fortalecimiento del tejido social</v>
      </c>
      <c r="AQ517" s="30" t="str">
        <f ca="1">IFERROR(__xludf.DUMMYFUNCTION("""COMPUTED_VALUE"""),"1.2.3.4 Promover una cultura de paz desde las expresiones artísticas y culturales")</f>
        <v>1.2.3.4 Promover una cultura de paz desde las expresiones artísticas y culturales</v>
      </c>
      <c r="AR517" s="30" t="str">
        <f ca="1">IFERROR(__xludf.DUMMYFUNCTION("""COMPUTED_VALUE"""),"Cooperación")</f>
        <v>Cooperación</v>
      </c>
      <c r="AS517" s="30"/>
      <c r="AT517" s="30" t="str">
        <f ca="1">IFERROR(__xludf.DUMMYFUNCTION("""COMPUTED_VALUE"""),"Fortalecimiento de la participación ciudadana y la mediación cultural")</f>
        <v>Fortalecimiento de la participación ciudadana y la mediación cultural</v>
      </c>
      <c r="AU517" s="30" t="str">
        <f ca="1">IFERROR(__xludf.DUMMYFUNCTION("""COMPUTED_VALUE"""),"Impulso a la ampliación de la oferta cultural en los territorios.")</f>
        <v>Impulso a la ampliación de la oferta cultural en los territorios.</v>
      </c>
      <c r="AV51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7" s="30" t="str">
        <f ca="1">IFERROR(__xludf.DUMMYFUNCTION("""COMPUTED_VALUE"""),"Incrementar en 25% la oferta cultural realizada en los municipios.")</f>
        <v>Incrementar en 25% la oferta cultural realizada en los municipios.</v>
      </c>
      <c r="AX517" s="30" t="str">
        <f ca="1">IFERROR(__xludf.DUMMYFUNCTION("""COMPUTED_VALUE"""),"Taller")</f>
        <v>Taller</v>
      </c>
      <c r="AY517" s="30" t="str">
        <f ca="1">IFERROR(__xludf.DUMMYFUNCTION("""COMPUTED_VALUE"""),"Formación")</f>
        <v>Formación</v>
      </c>
      <c r="AZ517" s="30" t="str">
        <f ca="1">IFERROR(__xludf.DUMMYFUNCTION("""COMPUTED_VALUE"""),"Formación")</f>
        <v>Formación</v>
      </c>
      <c r="BA517" s="30"/>
      <c r="BB517" s="30"/>
      <c r="BC517" s="30">
        <f ca="1">IFERROR(__xludf.DUMMYFUNCTION("""COMPUTED_VALUE"""),0)</f>
        <v>0</v>
      </c>
      <c r="BD517" s="30"/>
      <c r="BE517" s="30"/>
      <c r="BF517" s="30" t="b">
        <f ca="1">IFERROR(__xludf.DUMMYFUNCTION("""COMPUTED_VALUE"""),FALSE)</f>
        <v>0</v>
      </c>
      <c r="BG517" s="30"/>
      <c r="BH517" s="30"/>
      <c r="BI517" s="30"/>
      <c r="BJ517" s="30"/>
      <c r="BK517" s="30"/>
      <c r="BL517" s="30"/>
      <c r="BM517" s="30" t="str">
        <f ca="1">IFERROR(__xludf.DUMMYFUNCTION("""COMPUTED_VALUE"""),"No")</f>
        <v>No</v>
      </c>
      <c r="BN517" s="30"/>
      <c r="BO517" s="30" t="str">
        <f ca="1">IFERROR(__xludf.DUMMYFUNCTION("""COMPUTED_VALUE"""),"e1e9913b")</f>
        <v>e1e9913b</v>
      </c>
      <c r="BP517" s="29" t="str">
        <f ca="1">IFERROR(__xludf.DUMMYFUNCTION("""COMPUTED_VALUE"""),"Guanajuato")</f>
        <v>Guanajuato</v>
      </c>
      <c r="BQ517" s="30" t="str">
        <f ca="1">IFERROR(__xludf.DUMMYFUNCTION("""COMPUTED_VALUE"""),"Urbano")</f>
        <v>Urbano</v>
      </c>
      <c r="BR517" s="30"/>
      <c r="BS517" s="30"/>
      <c r="BT517" s="30"/>
      <c r="BU517" s="30" t="str">
        <f ca="1">IFERROR(__xludf.DUMMYFUNCTION("""COMPUTED_VALUE"""),"No")</f>
        <v>No</v>
      </c>
      <c r="BV517" s="30" t="str">
        <f ca="1">IFERROR(__xludf.DUMMYFUNCTION("""COMPUTED_VALUE"""),"No")</f>
        <v>No</v>
      </c>
      <c r="BW517" s="30">
        <f ca="1">IFERROR(__xludf.DUMMYFUNCTION("""COMPUTED_VALUE"""),14)</f>
        <v>14</v>
      </c>
      <c r="BX517" s="30">
        <f ca="1">IFERROR(__xludf.DUMMYFUNCTION("""COMPUTED_VALUE"""),14)</f>
        <v>14</v>
      </c>
      <c r="BY517" s="30">
        <f ca="1">IFERROR(__xludf.DUMMYFUNCTION("""COMPUTED_VALUE"""),0)</f>
        <v>0</v>
      </c>
      <c r="BZ517" s="30"/>
      <c r="CA517" s="30" t="str">
        <f ca="1">IFERROR(__xludf.DUMMYFUNCTION("""COMPUTED_VALUE"""),"No")</f>
        <v>No</v>
      </c>
      <c r="CB517" s="30" t="str">
        <f ca="1">IFERROR(__xludf.DUMMYFUNCTION("""COMPUTED_VALUE"""),"No")</f>
        <v>No</v>
      </c>
      <c r="CC517" s="30" t="str">
        <f ca="1">IFERROR(__xludf.DUMMYFUNCTION("""COMPUTED_VALUE"""),"7e722b5d")</f>
        <v>7e722b5d</v>
      </c>
      <c r="CD517" s="29" t="str">
        <f ca="1">IFERROR(__xludf.DUMMYFUNCTION("""COMPUTED_VALUE"""),"Adultos (30 a 59 años)")</f>
        <v>Adultos (30 a 59 años)</v>
      </c>
      <c r="CE517" s="30" t="str">
        <f ca="1">IFERROR(__xludf.DUMMYFUNCTION("""COMPUTED_VALUE"""),"No se cuenta con el dato")</f>
        <v>No se cuenta con el dato</v>
      </c>
      <c r="CF517" s="30" t="str">
        <f ca="1">IFERROR(__xludf.DUMMYFUNCTION("""COMPUTED_VALUE"""),"Ninguno (Población General)")</f>
        <v>Ninguno (Población General)</v>
      </c>
      <c r="CG517" s="30">
        <f ca="1">IFERROR(__xludf.DUMMYFUNCTION("""COMPUTED_VALUE"""),14)</f>
        <v>14</v>
      </c>
      <c r="CJ517" s="29"/>
      <c r="CM517" s="30" t="str">
        <f ca="1">IFERROR(__xludf.DUMMYFUNCTION("""COMPUTED_VALUE"""),"Guanajuato")</f>
        <v>Guanajuato</v>
      </c>
      <c r="CN517" s="32" t="e">
        <f ca="1"/>
        <v>#NAME?</v>
      </c>
      <c r="CO517" s="32" t="e">
        <f ca="1"/>
        <v>#NAME?</v>
      </c>
      <c r="CP517" s="32" t="e">
        <f ca="1"/>
        <v>#NAME?</v>
      </c>
      <c r="CQ517" s="32" t="e">
        <f ca="1"/>
        <v>#NAME?</v>
      </c>
      <c r="CR517" s="30" t="e">
        <f ca="1"/>
        <v>#NAME?</v>
      </c>
      <c r="CS517" s="30" t="str">
        <f ca="1">IFERROR(__xludf.DUMMYFUNCTION("""COMPUTED_VALUE"""),"Ninguno (Población General)")</f>
        <v>Ninguno (Población General)</v>
      </c>
    </row>
    <row r="518" spans="1:97" ht="13">
      <c r="A518" s="29" t="str">
        <f ca="1">IFERROR(__xludf.DUMMYFUNCTION("""COMPUTED_VALUE"""),"ACT-SCJQ53039")</f>
        <v>ACT-SCJQ53039</v>
      </c>
      <c r="B518" s="30" t="str">
        <f ca="1">IFERROR(__xludf.DUMMYFUNCTION("""COMPUTED_VALUE"""),"SC-261006-103203")</f>
        <v>SC-261006-103203</v>
      </c>
      <c r="C518" s="62">
        <f ca="1">IFERROR(__xludf.DUMMYFUNCTION("""COMPUTED_VALUE"""),46301.4389236111)</f>
        <v>46301.438923611102</v>
      </c>
      <c r="D518" s="30">
        <f ca="1">IFERROR(__xludf.DUMMYFUNCTION("""COMPUTED_VALUE"""),88)</f>
        <v>88</v>
      </c>
      <c r="E518" s="30" t="str">
        <f ca="1">IFERROR(__xludf.DUMMYFUNCTION("""COMPUTED_VALUE"""),"PB3573")</f>
        <v>PB3573</v>
      </c>
      <c r="F518" s="30" t="str">
        <f ca="1">IFERROR(__xludf.DUMMYFUNCTION("""COMPUTED_VALUE"""),"Fortalecimiento del libro y sus plataformas: creación, producción, distribución e impulso a creadores")</f>
        <v>Fortalecimiento del libro y sus plataformas: creación, producción, distribución e impulso a creadores</v>
      </c>
      <c r="G518" s="30" t="str">
        <f ca="1">IFERROR(__xludf.DUMMYFUNCTION("""COMPUTED_VALUE"""),"Actividades de promoción y difusión de productos editoriales de manera presencial como son presentaciones de libros en diferentes municipios.")</f>
        <v>Actividades de promoción y difusión de productos editoriales de manera presencial como son presentaciones de libros en diferentes municipios.</v>
      </c>
      <c r="H518" s="30" t="str">
        <f ca="1">IFERROR(__xludf.DUMMYFUNCTION("""COMPUTED_VALUE"""),"SUBSECRETARÍA DE DESARROLLO Y PROMOCIÓN ARTÍSTICA Y CULTURAL")</f>
        <v>SUBSECRETARÍA DE DESARROLLO Y PROMOCIÓN ARTÍSTICA Y CULTURAL</v>
      </c>
      <c r="I518" s="34" t="str">
        <f ca="1">IFERROR(__xludf.DUMMYFUNCTION("""COMPUTED_VALUE"""),"DIRECCIÓN GENERAL DE EDITORIAL Y PUBLICACIONES")</f>
        <v>DIRECCIÓN GENERAL DE EDITORIAL Y PUBLICACIONES</v>
      </c>
      <c r="J518" s="30" t="str">
        <f ca="1">IFERROR(__xludf.DUMMYFUNCTION("""COMPUTED_VALUE"""),"Presentaciones realizadas")</f>
        <v>Presentaciones realizadas</v>
      </c>
      <c r="K518" s="30">
        <f ca="1">IFERROR(__xludf.DUMMYFUNCTION("""COMPUTED_VALUE"""),92)</f>
        <v>92</v>
      </c>
      <c r="L518" s="30" t="str">
        <f ca="1">IFERROR(__xludf.DUMMYFUNCTION("""COMPUTED_VALUE"""),"Cultural")</f>
        <v>Cultural</v>
      </c>
      <c r="M518" s="30" t="str">
        <f ca="1">IFERROR(__xludf.DUMMYFUNCTION("""COMPUTED_VALUE"""),"Presentación editorial")</f>
        <v>Presentación editorial</v>
      </c>
      <c r="N518" s="30" t="str">
        <f ca="1">IFERROR(__xludf.DUMMYFUNCTION("""COMPUTED_VALUE"""),"Presentación editorial del libro, La región de san Felipe")</f>
        <v>Presentación editorial del libro, La región de san Felipe</v>
      </c>
      <c r="O518" s="30" t="str">
        <f ca="1">IFERROR(__xludf.DUMMYFUNCTION("""COMPUTED_VALUE"""),"Única")</f>
        <v>Única</v>
      </c>
      <c r="P518" s="33">
        <f ca="1">IFERROR(__xludf.DUMMYFUNCTION("""COMPUTED_VALUE"""),46290)</f>
        <v>46290</v>
      </c>
      <c r="Q518" s="33">
        <f ca="1">IFERROR(__xludf.DUMMYFUNCTION("""COMPUTED_VALUE"""),46290)</f>
        <v>46290</v>
      </c>
      <c r="R518" s="30">
        <f ca="1">IFERROR(__xludf.DUMMYFUNCTION("""COMPUTED_VALUE"""),1)</f>
        <v>1</v>
      </c>
      <c r="S518" s="30" t="str">
        <f ca="1">IFERROR(__xludf.DUMMYFUNCTION("""COMPUTED_VALUE"""),"Literatura")</f>
        <v>Literatura</v>
      </c>
      <c r="T518" s="30" t="str">
        <f ca="1">IFERROR(__xludf.DUMMYFUNCTION("""COMPUTED_VALUE"""),"Edición")</f>
        <v>Edición</v>
      </c>
      <c r="U518" s="30" t="str">
        <f ca="1">IFERROR(__xludf.DUMMYFUNCTION("""COMPUTED_VALUE"""),"Presentación editorial")</f>
        <v>Presentación editorial</v>
      </c>
      <c r="V518" s="30" t="str">
        <f ca="1">IFERROR(__xludf.DUMMYFUNCTION("""COMPUTED_VALUE"""),"Ninguna")</f>
        <v>Ninguna</v>
      </c>
      <c r="W518" s="30" t="str">
        <f ca="1">IFERROR(__xludf.DUMMYFUNCTION("""COMPUTED_VALUE"""),"Presencial")</f>
        <v>Presencial</v>
      </c>
      <c r="X518" s="30" t="str">
        <f ca="1">IFERROR(__xludf.DUMMYFUNCTION("""COMPUTED_VALUE"""),"Espacio Público")</f>
        <v>Espacio Público</v>
      </c>
      <c r="Y518" s="30"/>
      <c r="Z518" s="30" t="str">
        <f ca="1">IFERROR(__xludf.DUMMYFUNCTION("""COMPUTED_VALUE"""),"Patio de Presidencia Municipal San Felipe")</f>
        <v>Patio de Presidencia Municipal San Felipe</v>
      </c>
      <c r="AA518" s="30"/>
      <c r="AB518" s="30" t="b">
        <f ca="1">IFERROR(__xludf.DUMMYFUNCTION("""COMPUTED_VALUE"""),FALSE)</f>
        <v>0</v>
      </c>
      <c r="AC518" s="30"/>
      <c r="AD518" s="30" t="b">
        <f ca="1">IFERROR(__xludf.DUMMYFUNCTION("""COMPUTED_VALUE"""),FALSE)</f>
        <v>0</v>
      </c>
      <c r="AE518" s="30"/>
      <c r="AF518" s="30" t="b">
        <f ca="1">IFERROR(__xludf.DUMMYFUNCTION("""COMPUTED_VALUE"""),FALSE)</f>
        <v>0</v>
      </c>
      <c r="AG518" s="30"/>
      <c r="AH518" s="30" t="str">
        <f ca="1">IFERROR(__xludf.DUMMYFUNCTION("""COMPUTED_VALUE"""),"Sin costo")</f>
        <v>Sin costo</v>
      </c>
      <c r="AI518" s="30"/>
      <c r="AJ518" s="30"/>
      <c r="AK518" s="30"/>
      <c r="AL518" s="30" t="str">
        <f ca="1">IFERROR(__xludf.DUMMYFUNCTION("""COMPUTED_VALUE"""),"fmolinar@guanajuato.gob.mx")</f>
        <v>fmolinar@guanajuato.gob.mx</v>
      </c>
      <c r="AM518" s="30" t="str">
        <f ca="1">IFERROR(__xludf.DUMMYFUNCTION("""COMPUTED_VALUE"""),"Creación de la Secretaría de Cultura, con una visión social de la política cultural.")</f>
        <v>Creación de la Secretaría de Cultura, con una visión social de la política cultural.</v>
      </c>
      <c r="AN518" s="30" t="str">
        <f ca="1">IFERROR(__xludf.DUMMYFUNCTION("""COMPUTED_VALUE"""),"4 Vocación")</f>
        <v>4 Vocación</v>
      </c>
      <c r="AO518" s="30" t="str">
        <f ca="1">IFERROR(__xludf.DUMMYFUNCTION("""COMPUTED_VALUE"""),"4.4 Reforzar competencias lectoras y lógico matemáticas")</f>
        <v>4.4 Reforzar competencias lectoras y lógico matemáticas</v>
      </c>
      <c r="AP518" s="30" t="str">
        <f ca="1">IFERROR(__xludf.DUMMYFUNCTION("""COMPUTED_VALUE"""),"4.4.2 Competencias lectoras")</f>
        <v>4.4.2 Competencias lectoras</v>
      </c>
      <c r="AQ518" s="30" t="str">
        <f ca="1">IFERROR(__xludf.DUMMYFUNCTION("""COMPUTED_VALUE"""),"4.4.2 Fomentar el hábito lector")</f>
        <v>4.4.2 Fomentar el hábito lector</v>
      </c>
      <c r="AR518" s="30" t="str">
        <f ca="1">IFERROR(__xludf.DUMMYFUNCTION("""COMPUTED_VALUE"""),"Ninguno")</f>
        <v>Ninguno</v>
      </c>
      <c r="AS518" s="30"/>
      <c r="AT518" s="30" t="str">
        <f ca="1">IFERROR(__xludf.DUMMYFUNCTION("""COMPUTED_VALUE"""),"Fortalecimiento de la participación ciudadana y la mediación cultural")</f>
        <v>Fortalecimiento de la participación ciudadana y la mediación cultural</v>
      </c>
      <c r="AU518" s="30" t="str">
        <f ca="1">IFERROR(__xludf.DUMMYFUNCTION("""COMPUTED_VALUE"""),"Impulso a la ampliación de la oferta cultural en los territorios.")</f>
        <v>Impulso a la ampliación de la oferta cultural en los territorios.</v>
      </c>
      <c r="AV518" s="30" t="str">
        <f ca="1">IFERROR(__xludf.DUMMYFUNCTION("""COMPUTED_VALUE"""),"Impulsar los proyectos culturales itinerantes.")</f>
        <v>Impulsar los proyectos culturales itinerantes.</v>
      </c>
      <c r="AW518" s="30" t="str">
        <f ca="1">IFERROR(__xludf.DUMMYFUNCTION("""COMPUTED_VALUE"""),"Incrementar en 25% la oferta cultural realizada en los municipios.")</f>
        <v>Incrementar en 25% la oferta cultural realizada en los municipios.</v>
      </c>
      <c r="AX518" s="30" t="str">
        <f ca="1">IFERROR(__xludf.DUMMYFUNCTION("""COMPUTED_VALUE"""),"Presentación editorial")</f>
        <v>Presentación editorial</v>
      </c>
      <c r="AY518" s="30" t="str">
        <f ca="1">IFERROR(__xludf.DUMMYFUNCTION("""COMPUTED_VALUE"""),"Mediación")</f>
        <v>Mediación</v>
      </c>
      <c r="AZ518" s="30"/>
      <c r="BA518" s="30"/>
      <c r="BB518" s="30">
        <f ca="1">IFERROR(__xludf.DUMMYFUNCTION("""COMPUTED_VALUE"""),19)</f>
        <v>19</v>
      </c>
      <c r="BC518" s="30">
        <f ca="1">IFERROR(__xludf.DUMMYFUNCTION("""COMPUTED_VALUE"""),1)</f>
        <v>1</v>
      </c>
      <c r="BD518" s="30" t="str">
        <f ca="1">IFERROR(__xludf.DUMMYFUNCTION("""COMPUTED_VALUE"""),"Apoyado con anterioridad")</f>
        <v>Apoyado con anterioridad</v>
      </c>
      <c r="BE518" s="30" t="str">
        <f ca="1">IFERROR(__xludf.DUMMYFUNCTION("""COMPUTED_VALUE"""),"José Luis Lara Valdés")</f>
        <v>José Luis Lara Valdés</v>
      </c>
      <c r="BF518" s="30" t="b">
        <f ca="1">IFERROR(__xludf.DUMMYFUNCTION("""COMPUTED_VALUE"""),FALSE)</f>
        <v>0</v>
      </c>
      <c r="BG518" s="30"/>
      <c r="BH518" s="30"/>
      <c r="BI518" s="30"/>
      <c r="BJ518" s="30"/>
      <c r="BK518" s="30"/>
      <c r="BL518" s="30"/>
      <c r="BM518" s="30" t="str">
        <f ca="1">IFERROR(__xludf.DUMMYFUNCTION("""COMPUTED_VALUE"""),"No")</f>
        <v>No</v>
      </c>
      <c r="BN518" s="30"/>
      <c r="BO518" s="30" t="str">
        <f ca="1">IFERROR(__xludf.DUMMYFUNCTION("""COMPUTED_VALUE"""),"91ed3a16")</f>
        <v>91ed3a16</v>
      </c>
      <c r="BP518" s="29" t="str">
        <f ca="1">IFERROR(__xludf.DUMMYFUNCTION("""COMPUTED_VALUE"""),"Guanajuato")</f>
        <v>Guanajuato</v>
      </c>
      <c r="BQ518" s="30" t="str">
        <f ca="1">IFERROR(__xludf.DUMMYFUNCTION("""COMPUTED_VALUE"""),"Urbano")</f>
        <v>Urbano</v>
      </c>
      <c r="BR518" s="30"/>
      <c r="BS518" s="30"/>
      <c r="BT518" s="30"/>
      <c r="BU518" s="30" t="str">
        <f ca="1">IFERROR(__xludf.DUMMYFUNCTION("""COMPUTED_VALUE"""),"No")</f>
        <v>No</v>
      </c>
      <c r="BV518" s="30" t="str">
        <f ca="1">IFERROR(__xludf.DUMMYFUNCTION("""COMPUTED_VALUE"""),"No")</f>
        <v>No</v>
      </c>
      <c r="BW518" s="30">
        <f ca="1">IFERROR(__xludf.DUMMYFUNCTION("""COMPUTED_VALUE"""),19)</f>
        <v>19</v>
      </c>
      <c r="BX518" s="30">
        <f ca="1">IFERROR(__xludf.DUMMYFUNCTION("""COMPUTED_VALUE"""),19)</f>
        <v>19</v>
      </c>
      <c r="BY518" s="30">
        <f ca="1">IFERROR(__xludf.DUMMYFUNCTION("""COMPUTED_VALUE"""),0)</f>
        <v>0</v>
      </c>
      <c r="BZ518" s="30"/>
      <c r="CA518" s="30" t="str">
        <f ca="1">IFERROR(__xludf.DUMMYFUNCTION("""COMPUTED_VALUE"""),"No")</f>
        <v>No</v>
      </c>
      <c r="CB518" s="30" t="str">
        <f ca="1">IFERROR(__xludf.DUMMYFUNCTION("""COMPUTED_VALUE"""),"No")</f>
        <v>No</v>
      </c>
      <c r="CC518" s="30" t="str">
        <f ca="1">IFERROR(__xludf.DUMMYFUNCTION("""COMPUTED_VALUE"""),"7f78c4bb")</f>
        <v>7f78c4bb</v>
      </c>
      <c r="CD518" s="29" t="str">
        <f ca="1">IFERROR(__xludf.DUMMYFUNCTION("""COMPUTED_VALUE"""),"Niñas y Niños (6 a 12 años)")</f>
        <v>Niñas y Niños (6 a 12 años)</v>
      </c>
      <c r="CE518" s="30" t="str">
        <f ca="1">IFERROR(__xludf.DUMMYFUNCTION("""COMPUTED_VALUE"""),"No se cuenta con el dato")</f>
        <v>No se cuenta con el dato</v>
      </c>
      <c r="CF518" s="30" t="str">
        <f ca="1">IFERROR(__xludf.DUMMYFUNCTION("""COMPUTED_VALUE"""),"NNA (Niñas, Niños y Adolescentes)")</f>
        <v>NNA (Niñas, Niños y Adolescentes)</v>
      </c>
      <c r="CG518" s="30">
        <f ca="1">IFERROR(__xludf.DUMMYFUNCTION("""COMPUTED_VALUE"""),19)</f>
        <v>19</v>
      </c>
      <c r="CJ518" s="29"/>
      <c r="CM518" s="30" t="str">
        <f ca="1">IFERROR(__xludf.DUMMYFUNCTION("""COMPUTED_VALUE"""),"Guanajuato")</f>
        <v>Guanajuato</v>
      </c>
      <c r="CN518" s="32" t="e">
        <f ca="1"/>
        <v>#NAME?</v>
      </c>
      <c r="CO518" s="32" t="e">
        <f ca="1"/>
        <v>#NAME?</v>
      </c>
      <c r="CP518" s="32" t="e">
        <f ca="1"/>
        <v>#NAME?</v>
      </c>
      <c r="CQ518" s="32" t="e">
        <f ca="1"/>
        <v>#NAME?</v>
      </c>
      <c r="CR518" s="30" t="e">
        <f ca="1"/>
        <v>#NAME?</v>
      </c>
      <c r="CS518" s="30" t="str">
        <f ca="1">IFERROR(__xludf.DUMMYFUNCTION("""COMPUTED_VALUE"""),"Ninguno (Población General)")</f>
        <v>Ninguno (Población General)</v>
      </c>
    </row>
    <row r="519" spans="1:97" ht="13">
      <c r="A519" s="29" t="str">
        <f ca="1">IFERROR(__xludf.DUMMYFUNCTION("""COMPUTED_VALUE"""),"ACT-SCAI04033")</f>
        <v>ACT-SCAI04033</v>
      </c>
      <c r="B519" s="30" t="str">
        <f ca="1">IFERROR(__xludf.DUMMYFUNCTION("""COMPUTED_VALUE"""),"SC-261006-111244")</f>
        <v>SC-261006-111244</v>
      </c>
      <c r="C519" s="62">
        <f ca="1">IFERROR(__xludf.DUMMYFUNCTION("""COMPUTED_VALUE"""),46301.4671759259)</f>
        <v>46301.4671759259</v>
      </c>
      <c r="D519" s="30">
        <f ca="1">IFERROR(__xludf.DUMMYFUNCTION("""COMPUTED_VALUE"""),92)</f>
        <v>92</v>
      </c>
      <c r="E519" s="30" t="str">
        <f ca="1">IFERROR(__xludf.DUMMYFUNCTION("""COMPUTED_VALUE"""),"PB3572")</f>
        <v>PB3572</v>
      </c>
      <c r="F51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1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19" s="30" t="str">
        <f ca="1">IFERROR(__xludf.DUMMYFUNCTION("""COMPUTED_VALUE"""),"SUBSECRETARÍA DE DESARROLLO Y PROMOCIÓN ARTÍSTICA Y CULTURAL")</f>
        <v>SUBSECRETARÍA DE DESARROLLO Y PROMOCIÓN ARTÍSTICA Y CULTURAL</v>
      </c>
      <c r="I519" s="34" t="str">
        <f ca="1">IFERROR(__xludf.DUMMYFUNCTION("""COMPUTED_VALUE"""),"DIRECCIÓN GENERAL DE MUSEOS, ARTES VISUALES Y EXPOSICIONES")</f>
        <v>DIRECCIÓN GENERAL DE MUSEOS, ARTES VISUALES Y EXPOSICIONES</v>
      </c>
      <c r="J519" s="30" t="str">
        <f ca="1">IFERROR(__xludf.DUMMYFUNCTION("""COMPUTED_VALUE"""),"Número de Actividades realizadas")</f>
        <v>Número de Actividades realizadas</v>
      </c>
      <c r="K519" s="30">
        <f ca="1">IFERROR(__xludf.DUMMYFUNCTION("""COMPUTED_VALUE"""),800)</f>
        <v>800</v>
      </c>
      <c r="L519" s="30" t="str">
        <f ca="1">IFERROR(__xludf.DUMMYFUNCTION("""COMPUTED_VALUE"""),"Artística")</f>
        <v>Artística</v>
      </c>
      <c r="M519" s="30" t="str">
        <f ca="1">IFERROR(__xludf.DUMMYFUNCTION("""COMPUTED_VALUE"""),"Conversatorio con las artistas: Mujeres en el territorio, encuentros situados.")</f>
        <v>Conversatorio con las artistas: Mujeres en el territorio, encuentros situados.</v>
      </c>
      <c r="N519" s="30" t="str">
        <f ca="1">IFERROR(__xludf.DUMMYFUNCTION("""COMPUTED_VALUE"""),"Conversatorio en torno a la exposición con la curadora y artistas participantes.")</f>
        <v>Conversatorio en torno a la exposición con la curadora y artistas participantes.</v>
      </c>
      <c r="O519" s="30" t="str">
        <f ca="1">IFERROR(__xludf.DUMMYFUNCTION("""COMPUTED_VALUE"""),"Única")</f>
        <v>Única</v>
      </c>
      <c r="P519" s="33">
        <f ca="1">IFERROR(__xludf.DUMMYFUNCTION("""COMPUTED_VALUE"""),46196)</f>
        <v>46196</v>
      </c>
      <c r="Q519" s="33">
        <f ca="1">IFERROR(__xludf.DUMMYFUNCTION("""COMPUTED_VALUE"""),46196)</f>
        <v>46196</v>
      </c>
      <c r="R519" s="30">
        <f ca="1">IFERROR(__xludf.DUMMYFUNCTION("""COMPUTED_VALUE"""),1)</f>
        <v>1</v>
      </c>
      <c r="S519" s="30" t="str">
        <f ca="1">IFERROR(__xludf.DUMMYFUNCTION("""COMPUTED_VALUE"""),"Cultura comunitaria")</f>
        <v>Cultura comunitaria</v>
      </c>
      <c r="T519" s="30" t="str">
        <f ca="1">IFERROR(__xludf.DUMMYFUNCTION("""COMPUTED_VALUE"""),"Activación comunitaria")</f>
        <v>Activación comunitaria</v>
      </c>
      <c r="U519" s="30" t="str">
        <f ca="1">IFERROR(__xludf.DUMMYFUNCTION("""COMPUTED_VALUE"""),"Conversatorio")</f>
        <v>Conversatorio</v>
      </c>
      <c r="V519" s="30" t="str">
        <f ca="1">IFERROR(__xludf.DUMMYFUNCTION("""COMPUTED_VALUE"""),"Ninguna")</f>
        <v>Ninguna</v>
      </c>
      <c r="W519" s="30" t="str">
        <f ca="1">IFERROR(__xludf.DUMMYFUNCTION("""COMPUTED_VALUE"""),"Presencial")</f>
        <v>Presencial</v>
      </c>
      <c r="X519" s="30" t="str">
        <f ca="1">IFERROR(__xludf.DUMMYFUNCTION("""COMPUTED_VALUE"""),"Espacio a Cargo de la Secretaría")</f>
        <v>Espacio a Cargo de la Secretaría</v>
      </c>
      <c r="Y519" s="30" t="str">
        <f ca="1">IFERROR(__xludf.DUMMYFUNCTION("""COMPUTED_VALUE"""),"Museo de Arte-Olga Costa-José Chávez Morado")</f>
        <v>Museo de Arte-Olga Costa-José Chávez Morado</v>
      </c>
      <c r="Z519" s="30"/>
      <c r="AA519" s="30"/>
      <c r="AB519" s="30" t="b">
        <f ca="1">IFERROR(__xludf.DUMMYFUNCTION("""COMPUTED_VALUE"""),FALSE)</f>
        <v>0</v>
      </c>
      <c r="AC519" s="30"/>
      <c r="AD519" s="30" t="b">
        <f ca="1">IFERROR(__xludf.DUMMYFUNCTION("""COMPUTED_VALUE"""),FALSE)</f>
        <v>0</v>
      </c>
      <c r="AE519" s="30"/>
      <c r="AF519" s="30" t="b">
        <f ca="1">IFERROR(__xludf.DUMMYFUNCTION("""COMPUTED_VALUE"""),FALSE)</f>
        <v>0</v>
      </c>
      <c r="AG519" s="30"/>
      <c r="AH519" s="30" t="str">
        <f ca="1">IFERROR(__xludf.DUMMYFUNCTION("""COMPUTED_VALUE"""),"Sin costo")</f>
        <v>Sin costo</v>
      </c>
      <c r="AI519" s="30"/>
      <c r="AJ519" s="30"/>
      <c r="AK519" s="30"/>
      <c r="AL519" s="30" t="str">
        <f ca="1">IFERROR(__xludf.DUMMYFUNCTION("""COMPUTED_VALUE"""),"ccardonav@guanajuato.gob.mx")</f>
        <v>ccardonav@guanajuato.gob.mx</v>
      </c>
      <c r="AM519" s="30" t="str">
        <f ca="1">IFERROR(__xludf.DUMMYFUNCTION("""COMPUTED_VALUE"""),"Arraigo y empoderamiento cultural de comunidades.")</f>
        <v>Arraigo y empoderamiento cultural de comunidades.</v>
      </c>
      <c r="AN519" s="30" t="str">
        <f ca="1">IFERROR(__xludf.DUMMYFUNCTION("""COMPUTED_VALUE"""),"1 Tranquilidad")</f>
        <v>1 Tranquilidad</v>
      </c>
      <c r="AO519" s="30" t="str">
        <f ca="1">IFERROR(__xludf.DUMMYFUNCTION("""COMPUTED_VALUE"""),"1.2 Fortalecer prevención del delito")</f>
        <v>1.2 Fortalecer prevención del delito</v>
      </c>
      <c r="AP519" s="30" t="str">
        <f ca="1">IFERROR(__xludf.DUMMYFUNCTION("""COMPUTED_VALUE"""),"1.2.2 Fortalecimiento del tejido social")</f>
        <v>1.2.2 Fortalecimiento del tejido social</v>
      </c>
      <c r="AQ519" s="30" t="str">
        <f ca="1">IFERROR(__xludf.DUMMYFUNCTION("""COMPUTED_VALUE"""),"1.2.3.4 Promover una cultura de paz desde las expresiones artísticas y culturales")</f>
        <v>1.2.3.4 Promover una cultura de paz desde las expresiones artísticas y culturales</v>
      </c>
      <c r="AR519" s="30" t="str">
        <f ca="1">IFERROR(__xludf.DUMMYFUNCTION("""COMPUTED_VALUE"""),"Cooperación")</f>
        <v>Cooperación</v>
      </c>
      <c r="AS519" s="30"/>
      <c r="AT519" s="30" t="str">
        <f ca="1">IFERROR(__xludf.DUMMYFUNCTION("""COMPUTED_VALUE"""),"Fortalecimiento de la participación ciudadana y la mediación cultural")</f>
        <v>Fortalecimiento de la participación ciudadana y la mediación cultural</v>
      </c>
      <c r="AU519" s="30" t="str">
        <f ca="1">IFERROR(__xludf.DUMMYFUNCTION("""COMPUTED_VALUE"""),"Impulso a la ampliación de la oferta cultural en los territorios.")</f>
        <v>Impulso a la ampliación de la oferta cultural en los territorios.</v>
      </c>
      <c r="AV51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19" s="30" t="str">
        <f ca="1">IFERROR(__xludf.DUMMYFUNCTION("""COMPUTED_VALUE"""),"Incrementar en 25% la oferta cultural realizada en los municipios.")</f>
        <v>Incrementar en 25% la oferta cultural realizada en los municipios.</v>
      </c>
      <c r="AX519" s="30" t="str">
        <f ca="1">IFERROR(__xludf.DUMMYFUNCTION("""COMPUTED_VALUE"""),"Conversatorio")</f>
        <v>Conversatorio</v>
      </c>
      <c r="AY519" s="30" t="str">
        <f ca="1">IFERROR(__xludf.DUMMYFUNCTION("""COMPUTED_VALUE"""),"Formación")</f>
        <v>Formación</v>
      </c>
      <c r="AZ519" s="30" t="str">
        <f ca="1">IFERROR(__xludf.DUMMYFUNCTION("""COMPUTED_VALUE"""),"Formación")</f>
        <v>Formación</v>
      </c>
      <c r="BA519" s="30"/>
      <c r="BB519" s="30"/>
      <c r="BC519" s="30">
        <f ca="1">IFERROR(__xludf.DUMMYFUNCTION("""COMPUTED_VALUE"""),0)</f>
        <v>0</v>
      </c>
      <c r="BD519" s="30"/>
      <c r="BE519" s="30"/>
      <c r="BF519" s="30" t="b">
        <f ca="1">IFERROR(__xludf.DUMMYFUNCTION("""COMPUTED_VALUE"""),FALSE)</f>
        <v>0</v>
      </c>
      <c r="BG519" s="30"/>
      <c r="BH519" s="30"/>
      <c r="BI519" s="30"/>
      <c r="BJ519" s="30"/>
      <c r="BK519" s="30"/>
      <c r="BL519" s="30"/>
      <c r="BM519" s="30" t="str">
        <f ca="1">IFERROR(__xludf.DUMMYFUNCTION("""COMPUTED_VALUE"""),"No")</f>
        <v>No</v>
      </c>
      <c r="BN519" s="30"/>
      <c r="BO519" s="30" t="str">
        <f ca="1">IFERROR(__xludf.DUMMYFUNCTION("""COMPUTED_VALUE"""),"f6d7cf72")</f>
        <v>f6d7cf72</v>
      </c>
      <c r="BP519" s="29" t="str">
        <f ca="1">IFERROR(__xludf.DUMMYFUNCTION("""COMPUTED_VALUE"""),"Guanajuato")</f>
        <v>Guanajuato</v>
      </c>
      <c r="BQ519" s="30" t="str">
        <f ca="1">IFERROR(__xludf.DUMMYFUNCTION("""COMPUTED_VALUE"""),"Urbano")</f>
        <v>Urbano</v>
      </c>
      <c r="BR519" s="30"/>
      <c r="BS519" s="30"/>
      <c r="BT519" s="30"/>
      <c r="BU519" s="30" t="str">
        <f ca="1">IFERROR(__xludf.DUMMYFUNCTION("""COMPUTED_VALUE"""),"No")</f>
        <v>No</v>
      </c>
      <c r="BV519" s="30" t="str">
        <f ca="1">IFERROR(__xludf.DUMMYFUNCTION("""COMPUTED_VALUE"""),"No")</f>
        <v>No</v>
      </c>
      <c r="BW519" s="30">
        <f ca="1">IFERROR(__xludf.DUMMYFUNCTION("""COMPUTED_VALUE"""),7)</f>
        <v>7</v>
      </c>
      <c r="BX519" s="30"/>
      <c r="BY519" s="30">
        <f ca="1">IFERROR(__xludf.DUMMYFUNCTION("""COMPUTED_VALUE"""),7)</f>
        <v>7</v>
      </c>
      <c r="BZ519" s="30"/>
      <c r="CA519" s="30" t="str">
        <f ca="1">IFERROR(__xludf.DUMMYFUNCTION("""COMPUTED_VALUE"""),"No")</f>
        <v>No</v>
      </c>
      <c r="CB519" s="30" t="str">
        <f ca="1">IFERROR(__xludf.DUMMYFUNCTION("""COMPUTED_VALUE"""),"No")</f>
        <v>No</v>
      </c>
      <c r="CC519" s="30" t="str">
        <f ca="1">IFERROR(__xludf.DUMMYFUNCTION("""COMPUTED_VALUE"""),"bef677d2")</f>
        <v>bef677d2</v>
      </c>
      <c r="CD519" s="29" t="str">
        <f ca="1">IFERROR(__xludf.DUMMYFUNCTION("""COMPUTED_VALUE"""),"Niñas y Niños (6 a 12 años)")</f>
        <v>Niñas y Niños (6 a 12 años)</v>
      </c>
      <c r="CE519" s="30" t="str">
        <f ca="1">IFERROR(__xludf.DUMMYFUNCTION("""COMPUTED_VALUE"""),"No se cuenta con el dato")</f>
        <v>No se cuenta con el dato</v>
      </c>
      <c r="CF519" s="30" t="str">
        <f ca="1">IFERROR(__xludf.DUMMYFUNCTION("""COMPUTED_VALUE"""),"Ninguno (Población General)")</f>
        <v>Ninguno (Población General)</v>
      </c>
      <c r="CG519" s="30">
        <f ca="1">IFERROR(__xludf.DUMMYFUNCTION("""COMPUTED_VALUE"""),2)</f>
        <v>2</v>
      </c>
      <c r="CJ519" s="29"/>
      <c r="CM519" s="30" t="str">
        <f ca="1">IFERROR(__xludf.DUMMYFUNCTION("""COMPUTED_VALUE"""),"Salamanca")</f>
        <v>Salamanca</v>
      </c>
      <c r="CN519" s="32" t="e">
        <f ca="1"/>
        <v>#NAME?</v>
      </c>
      <c r="CO519" s="32" t="e">
        <f ca="1"/>
        <v>#NAME?</v>
      </c>
      <c r="CP519" s="32" t="e">
        <f ca="1"/>
        <v>#NAME?</v>
      </c>
      <c r="CQ519" s="32" t="e">
        <f ca="1"/>
        <v>#NAME?</v>
      </c>
      <c r="CR519" s="30" t="e">
        <f ca="1"/>
        <v>#NAME?</v>
      </c>
      <c r="CS519" s="30" t="str">
        <f ca="1">IFERROR(__xludf.DUMMYFUNCTION("""COMPUTED_VALUE"""),"NNA (Niñas, Niños y Adolescentes), NNA (Niñas, Niños y Adolescentes), NNA (Niñas, Niños y Adolescentes), NNA (Niñas, Niños y Adolescentes)")</f>
        <v>NNA (Niñas, Niños y Adolescentes), NNA (Niñas, Niños y Adolescentes), NNA (Niñas, Niños y Adolescentes), NNA (Niñas, Niños y Adolescentes)</v>
      </c>
    </row>
    <row r="520" spans="1:97" ht="13">
      <c r="A520" s="29" t="str">
        <f ca="1">IFERROR(__xludf.DUMMYFUNCTION("""COMPUTED_VALUE"""),"ACT-SCMS48317")</f>
        <v>ACT-SCMS48317</v>
      </c>
      <c r="B520" s="30" t="str">
        <f ca="1">IFERROR(__xludf.DUMMYFUNCTION("""COMPUTED_VALUE"""),"SC-261006-114059")</f>
        <v>SC-261006-114059</v>
      </c>
      <c r="C520" s="62">
        <f ca="1">IFERROR(__xludf.DUMMYFUNCTION("""COMPUTED_VALUE"""),46301.4867939814)</f>
        <v>46301.486793981399</v>
      </c>
      <c r="D520" s="30">
        <f ca="1">IFERROR(__xludf.DUMMYFUNCTION("""COMPUTED_VALUE"""),92)</f>
        <v>92</v>
      </c>
      <c r="E520" s="30" t="str">
        <f ca="1">IFERROR(__xludf.DUMMYFUNCTION("""COMPUTED_VALUE"""),"PB3572")</f>
        <v>PB3572</v>
      </c>
      <c r="F52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0" s="30" t="str">
        <f ca="1">IFERROR(__xludf.DUMMYFUNCTION("""COMPUTED_VALUE"""),"SUBSECRETARÍA DE DESARROLLO Y PROMOCIÓN ARTÍSTICA Y CULTURAL")</f>
        <v>SUBSECRETARÍA DE DESARROLLO Y PROMOCIÓN ARTÍSTICA Y CULTURAL</v>
      </c>
      <c r="I520" s="34" t="str">
        <f ca="1">IFERROR(__xludf.DUMMYFUNCTION("""COMPUTED_VALUE"""),"DIRECCIÓN GENERAL DE MUSEOS, ARTES VISUALES Y EXPOSICIONES")</f>
        <v>DIRECCIÓN GENERAL DE MUSEOS, ARTES VISUALES Y EXPOSICIONES</v>
      </c>
      <c r="J520" s="30" t="str">
        <f ca="1">IFERROR(__xludf.DUMMYFUNCTION("""COMPUTED_VALUE"""),"Número de Actividades realizadas")</f>
        <v>Número de Actividades realizadas</v>
      </c>
      <c r="K520" s="30">
        <f ca="1">IFERROR(__xludf.DUMMYFUNCTION("""COMPUTED_VALUE"""),800)</f>
        <v>800</v>
      </c>
      <c r="L520" s="30" t="str">
        <f ca="1">IFERROR(__xludf.DUMMYFUNCTION("""COMPUTED_VALUE"""),"Artística")</f>
        <v>Artística</v>
      </c>
      <c r="M520" s="30" t="str">
        <f ca="1">IFERROR(__xludf.DUMMYFUNCTION("""COMPUTED_VALUE"""),"Callejon del arte")</f>
        <v>Callejon del arte</v>
      </c>
      <c r="N520" s="30" t="str">
        <f ca="1">IFERROR(__xludf.DUMMYFUNCTION("""COMPUTED_VALUE"""),"Espacio extramuros en donde artistas guanajuatenses tienen la oportunidad de exhibir y vender sus obras.")</f>
        <v>Espacio extramuros en donde artistas guanajuatenses tienen la oportunidad de exhibir y vender sus obras.</v>
      </c>
      <c r="O520" s="30" t="str">
        <f ca="1">IFERROR(__xludf.DUMMYFUNCTION("""COMPUTED_VALUE"""),"Única")</f>
        <v>Única</v>
      </c>
      <c r="P520" s="33">
        <f ca="1">IFERROR(__xludf.DUMMYFUNCTION("""COMPUTED_VALUE"""),46187)</f>
        <v>46187</v>
      </c>
      <c r="Q520" s="33">
        <f ca="1">IFERROR(__xludf.DUMMYFUNCTION("""COMPUTED_VALUE"""),46187)</f>
        <v>46187</v>
      </c>
      <c r="R520" s="30">
        <f ca="1">IFERROR(__xludf.DUMMYFUNCTION("""COMPUTED_VALUE"""),1)</f>
        <v>1</v>
      </c>
      <c r="S520" s="30" t="str">
        <f ca="1">IFERROR(__xludf.DUMMYFUNCTION("""COMPUTED_VALUE"""),"Economía creativa")</f>
        <v>Economía creativa</v>
      </c>
      <c r="T520" s="30" t="str">
        <f ca="1">IFERROR(__xludf.DUMMYFUNCTION("""COMPUTED_VALUE"""),"Emprendimiento cultural")</f>
        <v>Emprendimiento cultural</v>
      </c>
      <c r="U520" s="30" t="str">
        <f ca="1">IFERROR(__xludf.DUMMYFUNCTION("""COMPUTED_VALUE"""),"Comercialización cultural")</f>
        <v>Comercialización cultural</v>
      </c>
      <c r="V520" s="30" t="str">
        <f ca="1">IFERROR(__xludf.DUMMYFUNCTION("""COMPUTED_VALUE"""),"Ninguna")</f>
        <v>Ninguna</v>
      </c>
      <c r="W520" s="30" t="str">
        <f ca="1">IFERROR(__xludf.DUMMYFUNCTION("""COMPUTED_VALUE"""),"Presencial")</f>
        <v>Presencial</v>
      </c>
      <c r="X520" s="30" t="str">
        <f ca="1">IFERROR(__xludf.DUMMYFUNCTION("""COMPUTED_VALUE"""),"Espacio Público")</f>
        <v>Espacio Público</v>
      </c>
      <c r="Y520" s="30"/>
      <c r="Z520" s="30" t="str">
        <f ca="1">IFERROR(__xludf.DUMMYFUNCTION("""COMPUTED_VALUE"""),"Callejón de la Condesa")</f>
        <v>Callejón de la Condesa</v>
      </c>
      <c r="AA520" s="30"/>
      <c r="AB520" s="30" t="b">
        <f ca="1">IFERROR(__xludf.DUMMYFUNCTION("""COMPUTED_VALUE"""),FALSE)</f>
        <v>0</v>
      </c>
      <c r="AC520" s="30"/>
      <c r="AD520" s="30" t="b">
        <f ca="1">IFERROR(__xludf.DUMMYFUNCTION("""COMPUTED_VALUE"""),FALSE)</f>
        <v>0</v>
      </c>
      <c r="AE520" s="30"/>
      <c r="AF520" s="30" t="b">
        <f ca="1">IFERROR(__xludf.DUMMYFUNCTION("""COMPUTED_VALUE"""),FALSE)</f>
        <v>0</v>
      </c>
      <c r="AG520" s="30"/>
      <c r="AH520" s="30" t="str">
        <f ca="1">IFERROR(__xludf.DUMMYFUNCTION("""COMPUTED_VALUE"""),"Sin costo")</f>
        <v>Sin costo</v>
      </c>
      <c r="AI520" s="30"/>
      <c r="AJ520" s="30"/>
      <c r="AK520" s="30"/>
      <c r="AL520" s="30" t="str">
        <f ca="1">IFERROR(__xludf.DUMMYFUNCTION("""COMPUTED_VALUE"""),"ccardonav@guanajuato.gob.mx")</f>
        <v>ccardonav@guanajuato.gob.mx</v>
      </c>
      <c r="AM520" s="30" t="str">
        <f ca="1">IFERROR(__xludf.DUMMYFUNCTION("""COMPUTED_VALUE"""),"Arraigo y empoderamiento cultural de comunidades.")</f>
        <v>Arraigo y empoderamiento cultural de comunidades.</v>
      </c>
      <c r="AN520" s="30" t="str">
        <f ca="1">IFERROR(__xludf.DUMMYFUNCTION("""COMPUTED_VALUE"""),"1 Tranquilidad")</f>
        <v>1 Tranquilidad</v>
      </c>
      <c r="AO520" s="30" t="str">
        <f ca="1">IFERROR(__xludf.DUMMYFUNCTION("""COMPUTED_VALUE"""),"1.2 Fortalecer prevención del delito")</f>
        <v>1.2 Fortalecer prevención del delito</v>
      </c>
      <c r="AP520" s="30" t="str">
        <f ca="1">IFERROR(__xludf.DUMMYFUNCTION("""COMPUTED_VALUE"""),"1.2.2 Fortalecimiento del tejido social")</f>
        <v>1.2.2 Fortalecimiento del tejido social</v>
      </c>
      <c r="AQ520" s="30" t="str">
        <f ca="1">IFERROR(__xludf.DUMMYFUNCTION("""COMPUTED_VALUE"""),"1.2.3.4 Promover una cultura de paz desde las expresiones artísticas y culturales")</f>
        <v>1.2.3.4 Promover una cultura de paz desde las expresiones artísticas y culturales</v>
      </c>
      <c r="AR520" s="30" t="str">
        <f ca="1">IFERROR(__xludf.DUMMYFUNCTION("""COMPUTED_VALUE"""),"Cooperación")</f>
        <v>Cooperación</v>
      </c>
      <c r="AS520" s="30"/>
      <c r="AT520" s="30" t="str">
        <f ca="1">IFERROR(__xludf.DUMMYFUNCTION("""COMPUTED_VALUE"""),"Fortalecimiento de la participación ciudadana y la mediación cultural")</f>
        <v>Fortalecimiento de la participación ciudadana y la mediación cultural</v>
      </c>
      <c r="AU520" s="30" t="str">
        <f ca="1">IFERROR(__xludf.DUMMYFUNCTION("""COMPUTED_VALUE"""),"Impulso a la ampliación de la oferta cultural en los territorios.")</f>
        <v>Impulso a la ampliación de la oferta cultural en los territorios.</v>
      </c>
      <c r="AV52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0" s="30" t="str">
        <f ca="1">IFERROR(__xludf.DUMMYFUNCTION("""COMPUTED_VALUE"""),"Incrementar en 25% la oferta cultural realizada en los municipios.")</f>
        <v>Incrementar en 25% la oferta cultural realizada en los municipios.</v>
      </c>
      <c r="AX520" s="30" t="str">
        <f ca="1">IFERROR(__xludf.DUMMYFUNCTION("""COMPUTED_VALUE"""),"Taller")</f>
        <v>Taller</v>
      </c>
      <c r="AY520" s="30" t="str">
        <f ca="1">IFERROR(__xludf.DUMMYFUNCTION("""COMPUTED_VALUE"""),"Circulación / Exhibición")</f>
        <v>Circulación / Exhibición</v>
      </c>
      <c r="AZ520" s="30"/>
      <c r="BA520" s="30"/>
      <c r="BB520" s="30"/>
      <c r="BC520" s="30">
        <f ca="1">IFERROR(__xludf.DUMMYFUNCTION("""COMPUTED_VALUE"""),0)</f>
        <v>0</v>
      </c>
      <c r="BD520" s="30"/>
      <c r="BE520" s="30"/>
      <c r="BF520" s="30" t="b">
        <f ca="1">IFERROR(__xludf.DUMMYFUNCTION("""COMPUTED_VALUE"""),FALSE)</f>
        <v>0</v>
      </c>
      <c r="BG520" s="30"/>
      <c r="BH520" s="30"/>
      <c r="BI520" s="30"/>
      <c r="BJ520" s="30"/>
      <c r="BK520" s="30"/>
      <c r="BL520" s="30"/>
      <c r="BM520" s="30" t="str">
        <f ca="1">IFERROR(__xludf.DUMMYFUNCTION("""COMPUTED_VALUE"""),"No")</f>
        <v>No</v>
      </c>
      <c r="BN520" s="30"/>
      <c r="BO520" s="30" t="str">
        <f ca="1">IFERROR(__xludf.DUMMYFUNCTION("""COMPUTED_VALUE"""),"c486e90e")</f>
        <v>c486e90e</v>
      </c>
      <c r="BP520" s="29" t="str">
        <f ca="1">IFERROR(__xludf.DUMMYFUNCTION("""COMPUTED_VALUE"""),"Guanajuato")</f>
        <v>Guanajuato</v>
      </c>
      <c r="BQ520" s="30" t="str">
        <f ca="1">IFERROR(__xludf.DUMMYFUNCTION("""COMPUTED_VALUE"""),"Urbano")</f>
        <v>Urbano</v>
      </c>
      <c r="BR520" s="30"/>
      <c r="BS520" s="30"/>
      <c r="BT520" s="30"/>
      <c r="BU520" s="30" t="str">
        <f ca="1">IFERROR(__xludf.DUMMYFUNCTION("""COMPUTED_VALUE"""),"No")</f>
        <v>No</v>
      </c>
      <c r="BV520" s="30" t="str">
        <f ca="1">IFERROR(__xludf.DUMMYFUNCTION("""COMPUTED_VALUE"""),"No")</f>
        <v>No</v>
      </c>
      <c r="BW520" s="30">
        <f ca="1">IFERROR(__xludf.DUMMYFUNCTION("""COMPUTED_VALUE"""),25)</f>
        <v>25</v>
      </c>
      <c r="BX520" s="30"/>
      <c r="BY520" s="30">
        <f ca="1">IFERROR(__xludf.DUMMYFUNCTION("""COMPUTED_VALUE"""),25)</f>
        <v>25</v>
      </c>
      <c r="BZ520" s="30"/>
      <c r="CA520" s="30" t="str">
        <f ca="1">IFERROR(__xludf.DUMMYFUNCTION("""COMPUTED_VALUE"""),"No")</f>
        <v>No</v>
      </c>
      <c r="CB520" s="30" t="str">
        <f ca="1">IFERROR(__xludf.DUMMYFUNCTION("""COMPUTED_VALUE"""),"No")</f>
        <v>No</v>
      </c>
      <c r="CC520" s="30" t="str">
        <f ca="1">IFERROR(__xludf.DUMMYFUNCTION("""COMPUTED_VALUE"""),"81adf301")</f>
        <v>81adf301</v>
      </c>
      <c r="CD520" s="29" t="str">
        <f ca="1">IFERROR(__xludf.DUMMYFUNCTION("""COMPUTED_VALUE"""),"Jóvenes (18 a 29 años)")</f>
        <v>Jóvenes (18 a 29 años)</v>
      </c>
      <c r="CE520" s="30" t="str">
        <f ca="1">IFERROR(__xludf.DUMMYFUNCTION("""COMPUTED_VALUE"""),"No se cuenta con el dato")</f>
        <v>No se cuenta con el dato</v>
      </c>
      <c r="CF520" s="30" t="str">
        <f ca="1">IFERROR(__xludf.DUMMYFUNCTION("""COMPUTED_VALUE"""),"Ninguno (Población General)")</f>
        <v>Ninguno (Población General)</v>
      </c>
      <c r="CG520" s="30">
        <f ca="1">IFERROR(__xludf.DUMMYFUNCTION("""COMPUTED_VALUE"""),3)</f>
        <v>3</v>
      </c>
      <c r="CJ520" s="29"/>
      <c r="CM520" s="30" t="str">
        <f ca="1">IFERROR(__xludf.DUMMYFUNCTION("""COMPUTED_VALUE"""),"Guanajuato")</f>
        <v>Guanajuato</v>
      </c>
      <c r="CN520" s="32" t="e">
        <f ca="1"/>
        <v>#NAME?</v>
      </c>
      <c r="CO520" s="32" t="e">
        <f ca="1"/>
        <v>#NAME?</v>
      </c>
      <c r="CP520" s="32" t="e">
        <f ca="1"/>
        <v>#NAME?</v>
      </c>
      <c r="CQ520" s="32" t="e">
        <f ca="1"/>
        <v>#NAME?</v>
      </c>
      <c r="CR520" s="30" t="e">
        <f ca="1"/>
        <v>#NAME?</v>
      </c>
      <c r="CS520" s="30" t="str">
        <f ca="1">IFERROR(__xludf.DUMMYFUNCTION("""COMPUTED_VALUE"""),"NNA (Niñas, Niños y Adolescentes)")</f>
        <v>NNA (Niñas, Niños y Adolescentes)</v>
      </c>
    </row>
    <row r="521" spans="1:97" ht="13">
      <c r="A521" s="29" t="str">
        <f ca="1">IFERROR(__xludf.DUMMYFUNCTION("""COMPUTED_VALUE"""),"ACT-SCLH69157")</f>
        <v>ACT-SCLH69157</v>
      </c>
      <c r="B521" s="30" t="str">
        <f ca="1">IFERROR(__xludf.DUMMYFUNCTION("""COMPUTED_VALUE"""),"SC-261006-120745")</f>
        <v>SC-261006-120745</v>
      </c>
      <c r="C521" s="62">
        <f ca="1">IFERROR(__xludf.DUMMYFUNCTION("""COMPUTED_VALUE"""),46301.5053819444)</f>
        <v>46301.5053819444</v>
      </c>
      <c r="D521" s="30">
        <f ca="1">IFERROR(__xludf.DUMMYFUNCTION("""COMPUTED_VALUE"""),92)</f>
        <v>92</v>
      </c>
      <c r="E521" s="30" t="str">
        <f ca="1">IFERROR(__xludf.DUMMYFUNCTION("""COMPUTED_VALUE"""),"PB3572")</f>
        <v>PB3572</v>
      </c>
      <c r="F52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1" s="30" t="str">
        <f ca="1">IFERROR(__xludf.DUMMYFUNCTION("""COMPUTED_VALUE"""),"SUBSECRETARÍA DE DESARROLLO Y PROMOCIÓN ARTÍSTICA Y CULTURAL")</f>
        <v>SUBSECRETARÍA DE DESARROLLO Y PROMOCIÓN ARTÍSTICA Y CULTURAL</v>
      </c>
      <c r="I521" s="34" t="str">
        <f ca="1">IFERROR(__xludf.DUMMYFUNCTION("""COMPUTED_VALUE"""),"DIRECCIÓN GENERAL DE MUSEOS, ARTES VISUALES Y EXPOSICIONES")</f>
        <v>DIRECCIÓN GENERAL DE MUSEOS, ARTES VISUALES Y EXPOSICIONES</v>
      </c>
      <c r="J521" s="30" t="str">
        <f ca="1">IFERROR(__xludf.DUMMYFUNCTION("""COMPUTED_VALUE"""),"Número de Actividades realizadas")</f>
        <v>Número de Actividades realizadas</v>
      </c>
      <c r="K521" s="30">
        <f ca="1">IFERROR(__xludf.DUMMYFUNCTION("""COMPUTED_VALUE"""),800)</f>
        <v>800</v>
      </c>
      <c r="L521" s="30" t="str">
        <f ca="1">IFERROR(__xludf.DUMMYFUNCTION("""COMPUTED_VALUE"""),"Artística")</f>
        <v>Artística</v>
      </c>
      <c r="M521" s="30" t="str">
        <f ca="1">IFERROR(__xludf.DUMMYFUNCTION("""COMPUTED_VALUE"""),"Inauguración: De Japón a Antequera. Gráfica de Maestros Japoneses en Oaxaca")</f>
        <v>Inauguración: De Japón a Antequera. Gráfica de Maestros Japoneses en Oaxaca</v>
      </c>
      <c r="N521" s="30" t="str">
        <f ca="1">IFERROR(__xludf.DUMMYFUNCTION("""COMPUTED_VALUE"""),"En esta exposición protagonizan los paisajes, retratos, animalia real y fantástica, usos y costumbres, textiles y vida cotidiana como espejo y reflejo de esa Oaxaca mágica por derecho propio.")</f>
        <v>En esta exposición protagonizan los paisajes, retratos, animalia real y fantástica, usos y costumbres, textiles y vida cotidiana como espejo y reflejo de esa Oaxaca mágica por derecho propio.</v>
      </c>
      <c r="O521" s="30" t="str">
        <f ca="1">IFERROR(__xludf.DUMMYFUNCTION("""COMPUTED_VALUE"""),"Única")</f>
        <v>Única</v>
      </c>
      <c r="P521" s="33">
        <f ca="1">IFERROR(__xludf.DUMMYFUNCTION("""COMPUTED_VALUE"""),46191)</f>
        <v>46191</v>
      </c>
      <c r="Q521" s="33">
        <f ca="1">IFERROR(__xludf.DUMMYFUNCTION("""COMPUTED_VALUE"""),46191)</f>
        <v>46191</v>
      </c>
      <c r="R521" s="30">
        <f ca="1">IFERROR(__xludf.DUMMYFUNCTION("""COMPUTED_VALUE"""),1)</f>
        <v>1</v>
      </c>
      <c r="S521" s="30" t="str">
        <f ca="1">IFERROR(__xludf.DUMMYFUNCTION("""COMPUTED_VALUE"""),"Artes visuales")</f>
        <v>Artes visuales</v>
      </c>
      <c r="T521" s="30" t="str">
        <f ca="1">IFERROR(__xludf.DUMMYFUNCTION("""COMPUTED_VALUE"""),"Grabado")</f>
        <v>Grabado</v>
      </c>
      <c r="U521" s="30" t="str">
        <f ca="1">IFERROR(__xludf.DUMMYFUNCTION("""COMPUTED_VALUE"""),"Exposición")</f>
        <v>Exposición</v>
      </c>
      <c r="V521" s="30" t="str">
        <f ca="1">IFERROR(__xludf.DUMMYFUNCTION("""COMPUTED_VALUE"""),"Ninguna")</f>
        <v>Ninguna</v>
      </c>
      <c r="W521" s="30" t="str">
        <f ca="1">IFERROR(__xludf.DUMMYFUNCTION("""COMPUTED_VALUE"""),"Presencial")</f>
        <v>Presencial</v>
      </c>
      <c r="X521" s="30" t="str">
        <f ca="1">IFERROR(__xludf.DUMMYFUNCTION("""COMPUTED_VALUE"""),"Espacio a Cargo de la Secretaría")</f>
        <v>Espacio a Cargo de la Secretaría</v>
      </c>
      <c r="Y521" s="30" t="str">
        <f ca="1">IFERROR(__xludf.DUMMYFUNCTION("""COMPUTED_VALUE"""),"Museo Conde Rul")</f>
        <v>Museo Conde Rul</v>
      </c>
      <c r="Z521" s="30"/>
      <c r="AA521" s="30"/>
      <c r="AB521" s="30" t="b">
        <f ca="1">IFERROR(__xludf.DUMMYFUNCTION("""COMPUTED_VALUE"""),FALSE)</f>
        <v>0</v>
      </c>
      <c r="AC521" s="30"/>
      <c r="AD521" s="30" t="b">
        <f ca="1">IFERROR(__xludf.DUMMYFUNCTION("""COMPUTED_VALUE"""),FALSE)</f>
        <v>0</v>
      </c>
      <c r="AE521" s="30"/>
      <c r="AF521" s="30" t="b">
        <f ca="1">IFERROR(__xludf.DUMMYFUNCTION("""COMPUTED_VALUE"""),FALSE)</f>
        <v>0</v>
      </c>
      <c r="AG521" s="30"/>
      <c r="AH521" s="30" t="str">
        <f ca="1">IFERROR(__xludf.DUMMYFUNCTION("""COMPUTED_VALUE"""),"Sin costo")</f>
        <v>Sin costo</v>
      </c>
      <c r="AI521" s="30"/>
      <c r="AJ521" s="30"/>
      <c r="AK521" s="30"/>
      <c r="AL521" s="30" t="str">
        <f ca="1">IFERROR(__xludf.DUMMYFUNCTION("""COMPUTED_VALUE"""),"ccardonav@guanajuato.gob.mx")</f>
        <v>ccardonav@guanajuato.gob.mx</v>
      </c>
      <c r="AM521" s="30" t="str">
        <f ca="1">IFERROR(__xludf.DUMMYFUNCTION("""COMPUTED_VALUE"""),"Creación de la Secretaría de Cultura, con una visión social de la política cultural.")</f>
        <v>Creación de la Secretaría de Cultura, con una visión social de la política cultural.</v>
      </c>
      <c r="AN521" s="30" t="str">
        <f ca="1">IFERROR(__xludf.DUMMYFUNCTION("""COMPUTED_VALUE"""),"1 Tranquilidad")</f>
        <v>1 Tranquilidad</v>
      </c>
      <c r="AO521" s="30" t="str">
        <f ca="1">IFERROR(__xludf.DUMMYFUNCTION("""COMPUTED_VALUE"""),"1.2 Fortalecer prevención del delito")</f>
        <v>1.2 Fortalecer prevención del delito</v>
      </c>
      <c r="AP521" s="30" t="str">
        <f ca="1">IFERROR(__xludf.DUMMYFUNCTION("""COMPUTED_VALUE"""),"1.2.2 Fortalecimiento del tejido social")</f>
        <v>1.2.2 Fortalecimiento del tejido social</v>
      </c>
      <c r="AQ521" s="30" t="str">
        <f ca="1">IFERROR(__xludf.DUMMYFUNCTION("""COMPUTED_VALUE"""),"1.2.3.4 Promover una cultura de paz desde las expresiones artísticas y culturales")</f>
        <v>1.2.3.4 Promover una cultura de paz desde las expresiones artísticas y culturales</v>
      </c>
      <c r="AR521" s="30" t="str">
        <f ca="1">IFERROR(__xludf.DUMMYFUNCTION("""COMPUTED_VALUE"""),"Cooperación")</f>
        <v>Cooperación</v>
      </c>
      <c r="AS521" s="30"/>
      <c r="AT521" s="30" t="str">
        <f ca="1">IFERROR(__xludf.DUMMYFUNCTION("""COMPUTED_VALUE"""),"Fortalecimiento de la participación ciudadana y la mediación cultural")</f>
        <v>Fortalecimiento de la participación ciudadana y la mediación cultural</v>
      </c>
      <c r="AU521" s="30" t="str">
        <f ca="1">IFERROR(__xludf.DUMMYFUNCTION("""COMPUTED_VALUE"""),"Impulso a la ampliación de la oferta cultural en los territorios.")</f>
        <v>Impulso a la ampliación de la oferta cultural en los territorios.</v>
      </c>
      <c r="AV52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1" s="30" t="str">
        <f ca="1">IFERROR(__xludf.DUMMYFUNCTION("""COMPUTED_VALUE"""),"Incrementar en 25% la oferta cultural realizada en los municipios.")</f>
        <v>Incrementar en 25% la oferta cultural realizada en los municipios.</v>
      </c>
      <c r="AX521" s="30" t="str">
        <f ca="1">IFERROR(__xludf.DUMMYFUNCTION("""COMPUTED_VALUE"""),"Exposición")</f>
        <v>Exposición</v>
      </c>
      <c r="AY521" s="30" t="str">
        <f ca="1">IFERROR(__xludf.DUMMYFUNCTION("""COMPUTED_VALUE"""),"Formación")</f>
        <v>Formación</v>
      </c>
      <c r="AZ521" s="30" t="str">
        <f ca="1">IFERROR(__xludf.DUMMYFUNCTION("""COMPUTED_VALUE"""),"Formación")</f>
        <v>Formación</v>
      </c>
      <c r="BA521" s="30"/>
      <c r="BB521" s="30"/>
      <c r="BC521" s="30">
        <f ca="1">IFERROR(__xludf.DUMMYFUNCTION("""COMPUTED_VALUE"""),0)</f>
        <v>0</v>
      </c>
      <c r="BD521" s="30"/>
      <c r="BE521" s="30"/>
      <c r="BF521" s="30" t="b">
        <f ca="1">IFERROR(__xludf.DUMMYFUNCTION("""COMPUTED_VALUE"""),FALSE)</f>
        <v>0</v>
      </c>
      <c r="BG521" s="30"/>
      <c r="BH521" s="30"/>
      <c r="BI521" s="30"/>
      <c r="BJ521" s="30"/>
      <c r="BK521" s="30"/>
      <c r="BL521" s="30"/>
      <c r="BM521" s="30" t="str">
        <f ca="1">IFERROR(__xludf.DUMMYFUNCTION("""COMPUTED_VALUE"""),"No")</f>
        <v>No</v>
      </c>
      <c r="BN521" s="30"/>
      <c r="BO521" s="30" t="str">
        <f ca="1">IFERROR(__xludf.DUMMYFUNCTION("""COMPUTED_VALUE"""),"a480738e")</f>
        <v>a480738e</v>
      </c>
      <c r="BP521" s="29" t="str">
        <f ca="1">IFERROR(__xludf.DUMMYFUNCTION("""COMPUTED_VALUE"""),"Guanajuato")</f>
        <v>Guanajuato</v>
      </c>
      <c r="BQ521" s="30" t="str">
        <f ca="1">IFERROR(__xludf.DUMMYFUNCTION("""COMPUTED_VALUE"""),"Urbano")</f>
        <v>Urbano</v>
      </c>
      <c r="BR521" s="30"/>
      <c r="BS521" s="30"/>
      <c r="BT521" s="30"/>
      <c r="BU521" s="30" t="str">
        <f ca="1">IFERROR(__xludf.DUMMYFUNCTION("""COMPUTED_VALUE"""),"No")</f>
        <v>No</v>
      </c>
      <c r="BV521" s="30" t="str">
        <f ca="1">IFERROR(__xludf.DUMMYFUNCTION("""COMPUTED_VALUE"""),"No")</f>
        <v>No</v>
      </c>
      <c r="BW521" s="30">
        <f ca="1">IFERROR(__xludf.DUMMYFUNCTION("""COMPUTED_VALUE"""),28)</f>
        <v>28</v>
      </c>
      <c r="BX521" s="30"/>
      <c r="BY521" s="30">
        <f ca="1">IFERROR(__xludf.DUMMYFUNCTION("""COMPUTED_VALUE"""),28)</f>
        <v>28</v>
      </c>
      <c r="BZ521" s="30"/>
      <c r="CA521" s="30" t="str">
        <f ca="1">IFERROR(__xludf.DUMMYFUNCTION("""COMPUTED_VALUE"""),"No")</f>
        <v>No</v>
      </c>
      <c r="CB521" s="30" t="str">
        <f ca="1">IFERROR(__xludf.DUMMYFUNCTION("""COMPUTED_VALUE"""),"No")</f>
        <v>No</v>
      </c>
      <c r="CC521" s="30" t="str">
        <f ca="1">IFERROR(__xludf.DUMMYFUNCTION("""COMPUTED_VALUE"""),"a6e6a3f6")</f>
        <v>a6e6a3f6</v>
      </c>
      <c r="CD521" s="29" t="str">
        <f ca="1">IFERROR(__xludf.DUMMYFUNCTION("""COMPUTED_VALUE"""),"Adultos (30 a 59 años)")</f>
        <v>Adultos (30 a 59 años)</v>
      </c>
      <c r="CE521" s="30" t="str">
        <f ca="1">IFERROR(__xludf.DUMMYFUNCTION("""COMPUTED_VALUE"""),"No se cuenta con el dato")</f>
        <v>No se cuenta con el dato</v>
      </c>
      <c r="CF521" s="30" t="str">
        <f ca="1">IFERROR(__xludf.DUMMYFUNCTION("""COMPUTED_VALUE"""),"Ninguno (Población General)")</f>
        <v>Ninguno (Población General)</v>
      </c>
      <c r="CG521" s="30">
        <f ca="1">IFERROR(__xludf.DUMMYFUNCTION("""COMPUTED_VALUE"""),4)</f>
        <v>4</v>
      </c>
      <c r="CJ521" s="29"/>
      <c r="CM521" s="30" t="str">
        <f ca="1">IFERROR(__xludf.DUMMYFUNCTION("""COMPUTED_VALUE"""),"Guanajuato")</f>
        <v>Guanajuato</v>
      </c>
      <c r="CN521" s="32" t="e">
        <f ca="1"/>
        <v>#NAME?</v>
      </c>
      <c r="CO521" s="32" t="e">
        <f ca="1"/>
        <v>#NAME?</v>
      </c>
      <c r="CP521" s="32" t="e">
        <f ca="1"/>
        <v>#NAME?</v>
      </c>
      <c r="CQ521" s="32" t="e">
        <f ca="1"/>
        <v>#NAME?</v>
      </c>
      <c r="CR521" s="30" t="e">
        <f ca="1"/>
        <v>#NAME?</v>
      </c>
      <c r="CS521" s="30" t="str">
        <f ca="1">IFERROR(__xludf.DUMMYFUNCTION("""COMPUTED_VALUE"""),"Comunidad LGBTIQ+")</f>
        <v>Comunidad LGBTIQ+</v>
      </c>
    </row>
    <row r="522" spans="1:97" ht="13">
      <c r="A522" s="29" t="str">
        <f ca="1">IFERROR(__xludf.DUMMYFUNCTION("""COMPUTED_VALUE"""),"ACT-SCIE51380")</f>
        <v>ACT-SCIE51380</v>
      </c>
      <c r="B522" s="30" t="str">
        <f ca="1">IFERROR(__xludf.DUMMYFUNCTION("""COMPUTED_VALUE"""),"SC-261006-122745")</f>
        <v>SC-261006-122745</v>
      </c>
      <c r="C522" s="62">
        <f ca="1">IFERROR(__xludf.DUMMYFUNCTION("""COMPUTED_VALUE"""),46301.5192708333)</f>
        <v>46301.519270833298</v>
      </c>
      <c r="D522" s="30">
        <f ca="1">IFERROR(__xludf.DUMMYFUNCTION("""COMPUTED_VALUE"""),92)</f>
        <v>92</v>
      </c>
      <c r="E522" s="30" t="str">
        <f ca="1">IFERROR(__xludf.DUMMYFUNCTION("""COMPUTED_VALUE"""),"PB3572")</f>
        <v>PB3572</v>
      </c>
      <c r="F52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2" s="30" t="str">
        <f ca="1">IFERROR(__xludf.DUMMYFUNCTION("""COMPUTED_VALUE"""),"SUBSECRETARÍA DE DESARROLLO Y PROMOCIÓN ARTÍSTICA Y CULTURAL")</f>
        <v>SUBSECRETARÍA DE DESARROLLO Y PROMOCIÓN ARTÍSTICA Y CULTURAL</v>
      </c>
      <c r="I522" s="34" t="str">
        <f ca="1">IFERROR(__xludf.DUMMYFUNCTION("""COMPUTED_VALUE"""),"DIRECCIÓN GENERAL DE MUSEOS, ARTES VISUALES Y EXPOSICIONES")</f>
        <v>DIRECCIÓN GENERAL DE MUSEOS, ARTES VISUALES Y EXPOSICIONES</v>
      </c>
      <c r="J522" s="30" t="str">
        <f ca="1">IFERROR(__xludf.DUMMYFUNCTION("""COMPUTED_VALUE"""),"Número de Actividades realizadas")</f>
        <v>Número de Actividades realizadas</v>
      </c>
      <c r="K522" s="30">
        <f ca="1">IFERROR(__xludf.DUMMYFUNCTION("""COMPUTED_VALUE"""),800)</f>
        <v>800</v>
      </c>
      <c r="L522" s="30" t="str">
        <f ca="1">IFERROR(__xludf.DUMMYFUNCTION("""COMPUTED_VALUE"""),"Artística")</f>
        <v>Artística</v>
      </c>
      <c r="M522" s="30" t="str">
        <f ca="1">IFERROR(__xludf.DUMMYFUNCTION("""COMPUTED_VALUE"""),"Danzón, patrimonio vivo, clases de baile.")</f>
        <v>Danzón, patrimonio vivo, clases de baile.</v>
      </c>
      <c r="N522" s="30" t="str">
        <f ca="1">IFERROR(__xludf.DUMMYFUNCTION("""COMPUTED_VALUE"""),"Sesiones guiadas de introducción al Danzón dentro del museo a cargo del Mtro. Juan Robles, director de Romance Danzonero.")</f>
        <v>Sesiones guiadas de introducción al Danzón dentro del museo a cargo del Mtro. Juan Robles, director de Romance Danzonero.</v>
      </c>
      <c r="O522" s="30" t="str">
        <f ca="1">IFERROR(__xludf.DUMMYFUNCTION("""COMPUTED_VALUE"""),"Única")</f>
        <v>Única</v>
      </c>
      <c r="P522" s="33">
        <f ca="1">IFERROR(__xludf.DUMMYFUNCTION("""COMPUTED_VALUE"""),46254)</f>
        <v>46254</v>
      </c>
      <c r="Q522" s="33">
        <f ca="1">IFERROR(__xludf.DUMMYFUNCTION("""COMPUTED_VALUE"""),46254)</f>
        <v>46254</v>
      </c>
      <c r="R522" s="30">
        <f ca="1">IFERROR(__xludf.DUMMYFUNCTION("""COMPUTED_VALUE"""),1)</f>
        <v>1</v>
      </c>
      <c r="S522" s="30" t="str">
        <f ca="1">IFERROR(__xludf.DUMMYFUNCTION("""COMPUTED_VALUE"""),"Artes escénicas")</f>
        <v>Artes escénicas</v>
      </c>
      <c r="T522" s="30" t="str">
        <f ca="1">IFERROR(__xludf.DUMMYFUNCTION("""COMPUTED_VALUE"""),"Danza tradicional")</f>
        <v>Danza tradicional</v>
      </c>
      <c r="U522" s="30" t="str">
        <f ca="1">IFERROR(__xludf.DUMMYFUNCTION("""COMPUTED_VALUE"""),"Taller")</f>
        <v>Taller</v>
      </c>
      <c r="V522" s="30" t="str">
        <f ca="1">IFERROR(__xludf.DUMMYFUNCTION("""COMPUTED_VALUE"""),"Ninguna")</f>
        <v>Ninguna</v>
      </c>
      <c r="W522" s="30" t="str">
        <f ca="1">IFERROR(__xludf.DUMMYFUNCTION("""COMPUTED_VALUE"""),"Presencial")</f>
        <v>Presencial</v>
      </c>
      <c r="X522" s="30" t="str">
        <f ca="1">IFERROR(__xludf.DUMMYFUNCTION("""COMPUTED_VALUE"""),"Espacio a Cargo de la Secretaría")</f>
        <v>Espacio a Cargo de la Secretaría</v>
      </c>
      <c r="Y522" s="30" t="str">
        <f ca="1">IFERROR(__xludf.DUMMYFUNCTION("""COMPUTED_VALUE"""),"Museo Palacio de los Poderes")</f>
        <v>Museo Palacio de los Poderes</v>
      </c>
      <c r="Z522" s="30"/>
      <c r="AA522" s="30"/>
      <c r="AB522" s="30" t="b">
        <f ca="1">IFERROR(__xludf.DUMMYFUNCTION("""COMPUTED_VALUE"""),FALSE)</f>
        <v>0</v>
      </c>
      <c r="AC522" s="30"/>
      <c r="AD522" s="30" t="b">
        <f ca="1">IFERROR(__xludf.DUMMYFUNCTION("""COMPUTED_VALUE"""),FALSE)</f>
        <v>0</v>
      </c>
      <c r="AE522" s="30"/>
      <c r="AF522" s="30" t="b">
        <f ca="1">IFERROR(__xludf.DUMMYFUNCTION("""COMPUTED_VALUE"""),FALSE)</f>
        <v>0</v>
      </c>
      <c r="AG522" s="30"/>
      <c r="AH522" s="30" t="str">
        <f ca="1">IFERROR(__xludf.DUMMYFUNCTION("""COMPUTED_VALUE"""),"Sin costo")</f>
        <v>Sin costo</v>
      </c>
      <c r="AI522" s="30"/>
      <c r="AJ522" s="30"/>
      <c r="AK522" s="30"/>
      <c r="AL522" s="30" t="str">
        <f ca="1">IFERROR(__xludf.DUMMYFUNCTION("""COMPUTED_VALUE"""),"ccardonav@guanajuato.gob.mx")</f>
        <v>ccardonav@guanajuato.gob.mx</v>
      </c>
      <c r="AM522" s="30" t="str">
        <f ca="1">IFERROR(__xludf.DUMMYFUNCTION("""COMPUTED_VALUE"""),"Arraigo y empoderamiento cultural de comunidades.")</f>
        <v>Arraigo y empoderamiento cultural de comunidades.</v>
      </c>
      <c r="AN522" s="30" t="str">
        <f ca="1">IFERROR(__xludf.DUMMYFUNCTION("""COMPUTED_VALUE"""),"1 Tranquilidad")</f>
        <v>1 Tranquilidad</v>
      </c>
      <c r="AO522" s="30" t="str">
        <f ca="1">IFERROR(__xludf.DUMMYFUNCTION("""COMPUTED_VALUE"""),"1.2 Fortalecer prevención del delito")</f>
        <v>1.2 Fortalecer prevención del delito</v>
      </c>
      <c r="AP522" s="30" t="str">
        <f ca="1">IFERROR(__xludf.DUMMYFUNCTION("""COMPUTED_VALUE"""),"1.2.2 Fortalecimiento del tejido social")</f>
        <v>1.2.2 Fortalecimiento del tejido social</v>
      </c>
      <c r="AQ522" s="30" t="str">
        <f ca="1">IFERROR(__xludf.DUMMYFUNCTION("""COMPUTED_VALUE"""),"1.2.3.4 Promover una cultura de paz desde las expresiones artísticas y culturales")</f>
        <v>1.2.3.4 Promover una cultura de paz desde las expresiones artísticas y culturales</v>
      </c>
      <c r="AR522" s="30" t="str">
        <f ca="1">IFERROR(__xludf.DUMMYFUNCTION("""COMPUTED_VALUE"""),"Cooperación")</f>
        <v>Cooperación</v>
      </c>
      <c r="AS522" s="30"/>
      <c r="AT522" s="30" t="str">
        <f ca="1">IFERROR(__xludf.DUMMYFUNCTION("""COMPUTED_VALUE"""),"Fortalecimiento de la participación ciudadana y la mediación cultural")</f>
        <v>Fortalecimiento de la participación ciudadana y la mediación cultural</v>
      </c>
      <c r="AU522" s="30" t="str">
        <f ca="1">IFERROR(__xludf.DUMMYFUNCTION("""COMPUTED_VALUE"""),"Impulso a la ampliación de la oferta cultural en los territorios.")</f>
        <v>Impulso a la ampliación de la oferta cultural en los territorios.</v>
      </c>
      <c r="AV52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2" s="30" t="str">
        <f ca="1">IFERROR(__xludf.DUMMYFUNCTION("""COMPUTED_VALUE"""),"Incrementar en 25% la oferta cultural realizada en los municipios.")</f>
        <v>Incrementar en 25% la oferta cultural realizada en los municipios.</v>
      </c>
      <c r="AX522" s="30" t="str">
        <f ca="1">IFERROR(__xludf.DUMMYFUNCTION("""COMPUTED_VALUE"""),"Taller")</f>
        <v>Taller</v>
      </c>
      <c r="AY522" s="30" t="str">
        <f ca="1">IFERROR(__xludf.DUMMYFUNCTION("""COMPUTED_VALUE"""),"Formación")</f>
        <v>Formación</v>
      </c>
      <c r="AZ522" s="30" t="str">
        <f ca="1">IFERROR(__xludf.DUMMYFUNCTION("""COMPUTED_VALUE"""),"Formación")</f>
        <v>Formación</v>
      </c>
      <c r="BA522" s="30"/>
      <c r="BB522" s="30"/>
      <c r="BC522" s="30">
        <f ca="1">IFERROR(__xludf.DUMMYFUNCTION("""COMPUTED_VALUE"""),0)</f>
        <v>0</v>
      </c>
      <c r="BD522" s="30"/>
      <c r="BE522" s="30"/>
      <c r="BF522" s="30" t="b">
        <f ca="1">IFERROR(__xludf.DUMMYFUNCTION("""COMPUTED_VALUE"""),FALSE)</f>
        <v>0</v>
      </c>
      <c r="BG522" s="30"/>
      <c r="BH522" s="30"/>
      <c r="BI522" s="30"/>
      <c r="BJ522" s="30"/>
      <c r="BK522" s="30"/>
      <c r="BL522" s="30"/>
      <c r="BM522" s="30" t="str">
        <f ca="1">IFERROR(__xludf.DUMMYFUNCTION("""COMPUTED_VALUE"""),"No")</f>
        <v>No</v>
      </c>
      <c r="BN522" s="30"/>
      <c r="BO522" s="30" t="str">
        <f ca="1">IFERROR(__xludf.DUMMYFUNCTION("""COMPUTED_VALUE"""),"6200c91d")</f>
        <v>6200c91d</v>
      </c>
      <c r="BP522" s="29" t="str">
        <f ca="1">IFERROR(__xludf.DUMMYFUNCTION("""COMPUTED_VALUE"""),"Guanajuato")</f>
        <v>Guanajuato</v>
      </c>
      <c r="BQ522" s="30" t="str">
        <f ca="1">IFERROR(__xludf.DUMMYFUNCTION("""COMPUTED_VALUE"""),"Urbano")</f>
        <v>Urbano</v>
      </c>
      <c r="BR522" s="30"/>
      <c r="BS522" s="30"/>
      <c r="BT522" s="30"/>
      <c r="BU522" s="30" t="str">
        <f ca="1">IFERROR(__xludf.DUMMYFUNCTION("""COMPUTED_VALUE"""),"No")</f>
        <v>No</v>
      </c>
      <c r="BV522" s="30" t="str">
        <f ca="1">IFERROR(__xludf.DUMMYFUNCTION("""COMPUTED_VALUE"""),"No")</f>
        <v>No</v>
      </c>
      <c r="BW522" s="30">
        <f ca="1">IFERROR(__xludf.DUMMYFUNCTION("""COMPUTED_VALUE"""),12)</f>
        <v>12</v>
      </c>
      <c r="BX522" s="30"/>
      <c r="BY522" s="30">
        <f ca="1">IFERROR(__xludf.DUMMYFUNCTION("""COMPUTED_VALUE"""),12)</f>
        <v>12</v>
      </c>
      <c r="BZ522" s="30"/>
      <c r="CA522" s="30" t="str">
        <f ca="1">IFERROR(__xludf.DUMMYFUNCTION("""COMPUTED_VALUE"""),"No")</f>
        <v>No</v>
      </c>
      <c r="CB522" s="30" t="str">
        <f ca="1">IFERROR(__xludf.DUMMYFUNCTION("""COMPUTED_VALUE"""),"No")</f>
        <v>No</v>
      </c>
      <c r="CC522" s="30" t="str">
        <f ca="1">IFERROR(__xludf.DUMMYFUNCTION("""COMPUTED_VALUE"""),"ccbd4849")</f>
        <v>ccbd4849</v>
      </c>
      <c r="CD522" s="29" t="str">
        <f ca="1">IFERROR(__xludf.DUMMYFUNCTION("""COMPUTED_VALUE"""),"Adultos Mayores (60 años o más)")</f>
        <v>Adultos Mayores (60 años o más)</v>
      </c>
      <c r="CE522" s="30" t="str">
        <f ca="1">IFERROR(__xludf.DUMMYFUNCTION("""COMPUTED_VALUE"""),"No se cuenta con el dato")</f>
        <v>No se cuenta con el dato</v>
      </c>
      <c r="CF522" s="30" t="str">
        <f ca="1">IFERROR(__xludf.DUMMYFUNCTION("""COMPUTED_VALUE"""),"Ninguno (Población General)")</f>
        <v>Ninguno (Población General)</v>
      </c>
      <c r="CG522" s="30">
        <f ca="1">IFERROR(__xludf.DUMMYFUNCTION("""COMPUTED_VALUE"""),1)</f>
        <v>1</v>
      </c>
      <c r="CJ522" s="29"/>
      <c r="CM522" s="30" t="str">
        <f ca="1">IFERROR(__xludf.DUMMYFUNCTION("""COMPUTED_VALUE"""),"Guanajuato")</f>
        <v>Guanajuato</v>
      </c>
      <c r="CN522" s="32" t="e">
        <f ca="1"/>
        <v>#NAME?</v>
      </c>
      <c r="CO522" s="32" t="e">
        <f ca="1"/>
        <v>#NAME?</v>
      </c>
      <c r="CP522" s="32" t="e">
        <f ca="1"/>
        <v>#NAME?</v>
      </c>
      <c r="CQ522" s="32" t="e">
        <f ca="1"/>
        <v>#NAME?</v>
      </c>
      <c r="CR522" s="30" t="e">
        <f ca="1"/>
        <v>#NAME?</v>
      </c>
      <c r="CS522" s="30" t="str">
        <f ca="1">IFERROR(__xludf.DUMMYFUNCTION("""COMPUTED_VALUE"""),"Ninguno (Población General)")</f>
        <v>Ninguno (Población General)</v>
      </c>
    </row>
    <row r="523" spans="1:97" ht="13">
      <c r="A523" s="29" t="str">
        <f ca="1">IFERROR(__xludf.DUMMYFUNCTION("""COMPUTED_VALUE"""),"ACT-SCBK14914")</f>
        <v>ACT-SCBK14914</v>
      </c>
      <c r="B523" s="30" t="str">
        <f ca="1">IFERROR(__xludf.DUMMYFUNCTION("""COMPUTED_VALUE"""),"SC-261006-123150")</f>
        <v>SC-261006-123150</v>
      </c>
      <c r="C523" s="62">
        <f ca="1">IFERROR(__xludf.DUMMYFUNCTION("""COMPUTED_VALUE"""),46301.5221064814)</f>
        <v>46301.522106481403</v>
      </c>
      <c r="D523" s="30">
        <f ca="1">IFERROR(__xludf.DUMMYFUNCTION("""COMPUTED_VALUE"""),92)</f>
        <v>92</v>
      </c>
      <c r="E523" s="30" t="str">
        <f ca="1">IFERROR(__xludf.DUMMYFUNCTION("""COMPUTED_VALUE"""),"PB3572")</f>
        <v>PB3572</v>
      </c>
      <c r="F52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3" s="30" t="str">
        <f ca="1">IFERROR(__xludf.DUMMYFUNCTION("""COMPUTED_VALUE"""),"SUBSECRETARÍA DE DESARROLLO Y PROMOCIÓN ARTÍSTICA Y CULTURAL")</f>
        <v>SUBSECRETARÍA DE DESARROLLO Y PROMOCIÓN ARTÍSTICA Y CULTURAL</v>
      </c>
      <c r="I523" s="34" t="str">
        <f ca="1">IFERROR(__xludf.DUMMYFUNCTION("""COMPUTED_VALUE"""),"DIRECCIÓN GENERAL DE MUSEOS, ARTES VISUALES Y EXPOSICIONES")</f>
        <v>DIRECCIÓN GENERAL DE MUSEOS, ARTES VISUALES Y EXPOSICIONES</v>
      </c>
      <c r="J523" s="30" t="str">
        <f ca="1">IFERROR(__xludf.DUMMYFUNCTION("""COMPUTED_VALUE"""),"Número de Actividades realizadas")</f>
        <v>Número de Actividades realizadas</v>
      </c>
      <c r="K523" s="30">
        <f ca="1">IFERROR(__xludf.DUMMYFUNCTION("""COMPUTED_VALUE"""),800)</f>
        <v>800</v>
      </c>
      <c r="L523" s="30" t="str">
        <f ca="1">IFERROR(__xludf.DUMMYFUNCTION("""COMPUTED_VALUE"""),"Artística")</f>
        <v>Artística</v>
      </c>
      <c r="M523" s="30" t="str">
        <f ca="1">IFERROR(__xludf.DUMMYFUNCTION("""COMPUTED_VALUE"""),"Dibujar como grabar: línea, trama y paisaje")</f>
        <v>Dibujar como grabar: línea, trama y paisaje</v>
      </c>
      <c r="N523" s="30" t="str">
        <f ca="1">IFERROR(__xludf.DUMMYFUNCTION("""COMPUTED_VALUE"""),"Las y los participantes aprenderán a construir volumen, luz y textura usando línea y tramado, tomando como base la observación del entorno (árboles, nubes, pasto), con un lenguaje cercano al grabado.")</f>
        <v>Las y los participantes aprenderán a construir volumen, luz y textura usando línea y tramado, tomando como base la observación del entorno (árboles, nubes, pasto), con un lenguaje cercano al grabado.</v>
      </c>
      <c r="O523" s="30" t="str">
        <f ca="1">IFERROR(__xludf.DUMMYFUNCTION("""COMPUTED_VALUE"""),"Única")</f>
        <v>Única</v>
      </c>
      <c r="P523" s="33">
        <f ca="1">IFERROR(__xludf.DUMMYFUNCTION("""COMPUTED_VALUE"""),46186)</f>
        <v>46186</v>
      </c>
      <c r="Q523" s="33">
        <f ca="1">IFERROR(__xludf.DUMMYFUNCTION("""COMPUTED_VALUE"""),46186)</f>
        <v>46186</v>
      </c>
      <c r="R523" s="30">
        <f ca="1">IFERROR(__xludf.DUMMYFUNCTION("""COMPUTED_VALUE"""),1)</f>
        <v>1</v>
      </c>
      <c r="S523" s="30" t="str">
        <f ca="1">IFERROR(__xludf.DUMMYFUNCTION("""COMPUTED_VALUE"""),"Artes visuales")</f>
        <v>Artes visuales</v>
      </c>
      <c r="T523" s="30" t="str">
        <f ca="1">IFERROR(__xludf.DUMMYFUNCTION("""COMPUTED_VALUE"""),"Grabado")</f>
        <v>Grabado</v>
      </c>
      <c r="U523" s="30" t="str">
        <f ca="1">IFERROR(__xludf.DUMMYFUNCTION("""COMPUTED_VALUE"""),"Taller")</f>
        <v>Taller</v>
      </c>
      <c r="V523" s="30" t="str">
        <f ca="1">IFERROR(__xludf.DUMMYFUNCTION("""COMPUTED_VALUE"""),"Ninguna")</f>
        <v>Ninguna</v>
      </c>
      <c r="W523" s="30" t="str">
        <f ca="1">IFERROR(__xludf.DUMMYFUNCTION("""COMPUTED_VALUE"""),"Presencial")</f>
        <v>Presencial</v>
      </c>
      <c r="X523" s="30" t="str">
        <f ca="1">IFERROR(__xludf.DUMMYFUNCTION("""COMPUTED_VALUE"""),"Espacio a Cargo de la Secretaría")</f>
        <v>Espacio a Cargo de la Secretaría</v>
      </c>
      <c r="Y523" s="30" t="str">
        <f ca="1">IFERROR(__xludf.DUMMYFUNCTION("""COMPUTED_VALUE"""),"Museo de Arte-Olga Costa-José Chávez Morado")</f>
        <v>Museo de Arte-Olga Costa-José Chávez Morado</v>
      </c>
      <c r="Z523" s="30"/>
      <c r="AA523" s="30"/>
      <c r="AB523" s="30" t="b">
        <f ca="1">IFERROR(__xludf.DUMMYFUNCTION("""COMPUTED_VALUE"""),FALSE)</f>
        <v>0</v>
      </c>
      <c r="AC523" s="30"/>
      <c r="AD523" s="30" t="b">
        <f ca="1">IFERROR(__xludf.DUMMYFUNCTION("""COMPUTED_VALUE"""),FALSE)</f>
        <v>0</v>
      </c>
      <c r="AE523" s="30"/>
      <c r="AF523" s="30" t="b">
        <f ca="1">IFERROR(__xludf.DUMMYFUNCTION("""COMPUTED_VALUE"""),FALSE)</f>
        <v>0</v>
      </c>
      <c r="AG523" s="30"/>
      <c r="AH523" s="30" t="str">
        <f ca="1">IFERROR(__xludf.DUMMYFUNCTION("""COMPUTED_VALUE"""),"Sin costo")</f>
        <v>Sin costo</v>
      </c>
      <c r="AI523" s="30"/>
      <c r="AJ523" s="30"/>
      <c r="AK523" s="30"/>
      <c r="AL523" s="30" t="str">
        <f ca="1">IFERROR(__xludf.DUMMYFUNCTION("""COMPUTED_VALUE"""),"ccardonav@guanajuato.gob.mx")</f>
        <v>ccardonav@guanajuato.gob.mx</v>
      </c>
      <c r="AM523" s="30" t="str">
        <f ca="1">IFERROR(__xludf.DUMMYFUNCTION("""COMPUTED_VALUE"""),"Arraigo y empoderamiento cultural de comunidades.")</f>
        <v>Arraigo y empoderamiento cultural de comunidades.</v>
      </c>
      <c r="AN523" s="30" t="str">
        <f ca="1">IFERROR(__xludf.DUMMYFUNCTION("""COMPUTED_VALUE"""),"1 Tranquilidad")</f>
        <v>1 Tranquilidad</v>
      </c>
      <c r="AO523" s="30" t="str">
        <f ca="1">IFERROR(__xludf.DUMMYFUNCTION("""COMPUTED_VALUE"""),"1.2 Fortalecer prevención del delito")</f>
        <v>1.2 Fortalecer prevención del delito</v>
      </c>
      <c r="AP523" s="30" t="str">
        <f ca="1">IFERROR(__xludf.DUMMYFUNCTION("""COMPUTED_VALUE"""),"1.2.2 Fortalecimiento del tejido social")</f>
        <v>1.2.2 Fortalecimiento del tejido social</v>
      </c>
      <c r="AQ523" s="30" t="str">
        <f ca="1">IFERROR(__xludf.DUMMYFUNCTION("""COMPUTED_VALUE"""),"1.2.3.4 Promover una cultura de paz desde las expresiones artísticas y culturales")</f>
        <v>1.2.3.4 Promover una cultura de paz desde las expresiones artísticas y culturales</v>
      </c>
      <c r="AR523" s="30" t="str">
        <f ca="1">IFERROR(__xludf.DUMMYFUNCTION("""COMPUTED_VALUE"""),"Cooperación")</f>
        <v>Cooperación</v>
      </c>
      <c r="AS523" s="30"/>
      <c r="AT523" s="30" t="str">
        <f ca="1">IFERROR(__xludf.DUMMYFUNCTION("""COMPUTED_VALUE"""),"Fortalecimiento de la participación ciudadana y la mediación cultural")</f>
        <v>Fortalecimiento de la participación ciudadana y la mediación cultural</v>
      </c>
      <c r="AU523" s="30" t="str">
        <f ca="1">IFERROR(__xludf.DUMMYFUNCTION("""COMPUTED_VALUE"""),"Impulso a la ampliación de la oferta cultural en los territorios.")</f>
        <v>Impulso a la ampliación de la oferta cultural en los territorios.</v>
      </c>
      <c r="AV52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3" s="30" t="str">
        <f ca="1">IFERROR(__xludf.DUMMYFUNCTION("""COMPUTED_VALUE"""),"Incrementar en 25% la oferta cultural realizada en los municipios.")</f>
        <v>Incrementar en 25% la oferta cultural realizada en los municipios.</v>
      </c>
      <c r="AX523" s="30" t="str">
        <f ca="1">IFERROR(__xludf.DUMMYFUNCTION("""COMPUTED_VALUE"""),"Taller")</f>
        <v>Taller</v>
      </c>
      <c r="AY523" s="30" t="str">
        <f ca="1">IFERROR(__xludf.DUMMYFUNCTION("""COMPUTED_VALUE"""),"Formación")</f>
        <v>Formación</v>
      </c>
      <c r="AZ523" s="30" t="str">
        <f ca="1">IFERROR(__xludf.DUMMYFUNCTION("""COMPUTED_VALUE"""),"Formación")</f>
        <v>Formación</v>
      </c>
      <c r="BA523" s="30"/>
      <c r="BB523" s="30"/>
      <c r="BC523" s="30">
        <f ca="1">IFERROR(__xludf.DUMMYFUNCTION("""COMPUTED_VALUE"""),0)</f>
        <v>0</v>
      </c>
      <c r="BD523" s="30"/>
      <c r="BE523" s="30"/>
      <c r="BF523" s="30" t="b">
        <f ca="1">IFERROR(__xludf.DUMMYFUNCTION("""COMPUTED_VALUE"""),FALSE)</f>
        <v>0</v>
      </c>
      <c r="BG523" s="30"/>
      <c r="BH523" s="30"/>
      <c r="BI523" s="30"/>
      <c r="BJ523" s="30"/>
      <c r="BK523" s="30"/>
      <c r="BL523" s="30"/>
      <c r="BM523" s="30" t="str">
        <f ca="1">IFERROR(__xludf.DUMMYFUNCTION("""COMPUTED_VALUE"""),"No")</f>
        <v>No</v>
      </c>
      <c r="BN523" s="30"/>
      <c r="BO523" s="30" t="str">
        <f ca="1">IFERROR(__xludf.DUMMYFUNCTION("""COMPUTED_VALUE"""),"cd74a5e4")</f>
        <v>cd74a5e4</v>
      </c>
      <c r="BP523" s="29" t="str">
        <f ca="1">IFERROR(__xludf.DUMMYFUNCTION("""COMPUTED_VALUE"""),"Valle de Santiago")</f>
        <v>Valle de Santiago</v>
      </c>
      <c r="BQ523" s="30" t="str">
        <f ca="1">IFERROR(__xludf.DUMMYFUNCTION("""COMPUTED_VALUE"""),"Urbano")</f>
        <v>Urbano</v>
      </c>
      <c r="BR523" s="30">
        <f ca="1">IFERROR(__xludf.DUMMYFUNCTION("""COMPUTED_VALUE"""),227)</f>
        <v>227</v>
      </c>
      <c r="BS523" s="30" t="str">
        <f ca="1">IFERROR(__xludf.DUMMYFUNCTION("""COMPUTED_VALUE"""),"Valle de Santiago")</f>
        <v>Valle de Santiago</v>
      </c>
      <c r="BT523" s="30"/>
      <c r="BU523" s="30" t="str">
        <f ca="1">IFERROR(__xludf.DUMMYFUNCTION("""COMPUTED_VALUE"""),"Si")</f>
        <v>Si</v>
      </c>
      <c r="BV523" s="30" t="str">
        <f ca="1">IFERROR(__xludf.DUMMYFUNCTION("""COMPUTED_VALUE"""),"Si")</f>
        <v>Si</v>
      </c>
      <c r="BW523" s="30">
        <f ca="1">IFERROR(__xludf.DUMMYFUNCTION("""COMPUTED_VALUE"""),27)</f>
        <v>27</v>
      </c>
      <c r="BX523" s="30">
        <f ca="1">IFERROR(__xludf.DUMMYFUNCTION("""COMPUTED_VALUE"""),1)</f>
        <v>1</v>
      </c>
      <c r="BY523" s="30">
        <f ca="1">IFERROR(__xludf.DUMMYFUNCTION("""COMPUTED_VALUE"""),26)</f>
        <v>26</v>
      </c>
      <c r="BZ523" s="30" t="str">
        <f ca="1">IFERROR(__xludf.DUMMYFUNCTION("""COMPUTED_VALUE"""),"Valle de Santiago")</f>
        <v>Valle de Santiago</v>
      </c>
      <c r="CA523" s="30" t="str">
        <f ca="1">IFERROR(__xludf.DUMMYFUNCTION("""COMPUTED_VALUE"""),"No")</f>
        <v>No</v>
      </c>
      <c r="CB523" s="30" t="str">
        <f ca="1">IFERROR(__xludf.DUMMYFUNCTION("""COMPUTED_VALUE"""),"No")</f>
        <v>No</v>
      </c>
      <c r="CC523" s="30" t="str">
        <f ca="1">IFERROR(__xludf.DUMMYFUNCTION("""COMPUTED_VALUE"""),"21e3334c")</f>
        <v>21e3334c</v>
      </c>
      <c r="CD523" s="29" t="str">
        <f ca="1">IFERROR(__xludf.DUMMYFUNCTION("""COMPUTED_VALUE"""),"Adultos Mayores (60 años o más)")</f>
        <v>Adultos Mayores (60 años o más)</v>
      </c>
      <c r="CE523" s="30" t="str">
        <f ca="1">IFERROR(__xludf.DUMMYFUNCTION("""COMPUTED_VALUE"""),"No se cuenta con el dato")</f>
        <v>No se cuenta con el dato</v>
      </c>
      <c r="CF523" s="30" t="str">
        <f ca="1">IFERROR(__xludf.DUMMYFUNCTION("""COMPUTED_VALUE"""),"Ninguno (Población General)")</f>
        <v>Ninguno (Población General)</v>
      </c>
      <c r="CG523" s="30">
        <f ca="1">IFERROR(__xludf.DUMMYFUNCTION("""COMPUTED_VALUE"""),30)</f>
        <v>30</v>
      </c>
      <c r="CJ523" s="29"/>
      <c r="CM523" s="30" t="str">
        <f ca="1">IFERROR(__xludf.DUMMYFUNCTION("""COMPUTED_VALUE"""),"Guanajuato")</f>
        <v>Guanajuato</v>
      </c>
      <c r="CN523" s="32" t="e">
        <f ca="1"/>
        <v>#NAME?</v>
      </c>
      <c r="CO523" s="32" t="e">
        <f ca="1"/>
        <v>#NAME?</v>
      </c>
      <c r="CP523" s="32" t="e">
        <f ca="1"/>
        <v>#NAME?</v>
      </c>
      <c r="CQ523" s="32" t="e">
        <f ca="1"/>
        <v>#NAME?</v>
      </c>
      <c r="CR523" s="30" t="e">
        <f ca="1"/>
        <v>#NAME?</v>
      </c>
      <c r="CS523" s="30" t="str">
        <f ca="1">IFERROR(__xludf.DUMMYFUNCTION("""COMPUTED_VALUE"""),"Ninguno (Población General)")</f>
        <v>Ninguno (Población General)</v>
      </c>
    </row>
    <row r="524" spans="1:97" ht="13">
      <c r="A524" s="29" t="str">
        <f ca="1">IFERROR(__xludf.DUMMYFUNCTION("""COMPUTED_VALUE"""),"ACT-SCPE86392")</f>
        <v>ACT-SCPE86392</v>
      </c>
      <c r="B524" s="30" t="str">
        <f ca="1">IFERROR(__xludf.DUMMYFUNCTION("""COMPUTED_VALUE"""),"SC-261006-112133")</f>
        <v>SC-261006-112133</v>
      </c>
      <c r="C524" s="62">
        <f ca="1">IFERROR(__xludf.DUMMYFUNCTION("""COMPUTED_VALUE"""),46301.4732986111)</f>
        <v>46301.473298611098</v>
      </c>
      <c r="D524" s="30">
        <f ca="1">IFERROR(__xludf.DUMMYFUNCTION("""COMPUTED_VALUE"""),71)</f>
        <v>71</v>
      </c>
      <c r="E524" s="30" t="str">
        <f ca="1">IFERROR(__xludf.DUMMYFUNCTION("""COMPUTED_VALUE"""),"PB3567")</f>
        <v>PB3567</v>
      </c>
      <c r="F524" s="30" t="str">
        <f ca="1">IFERROR(__xludf.DUMMYFUNCTION("""COMPUTED_VALUE"""),"Formación e Investigación Artística")</f>
        <v>Formación e Investigación Artística</v>
      </c>
      <c r="G524" s="30" t="str">
        <f ca="1">IFERROR(__xludf.DUMMYFUNCTION("""COMPUTED_VALUE"""),"Cursos, talleres, y diplomados en la disciplina de las artes escénicas y multidisciplinares. Teatro, danza y artes vivas.")</f>
        <v>Cursos, talleres, y diplomados en la disciplina de las artes escénicas y multidisciplinares. Teatro, danza y artes vivas.</v>
      </c>
      <c r="H524" s="30" t="str">
        <f ca="1">IFERROR(__xludf.DUMMYFUNCTION("""COMPUTED_VALUE"""),"SUBSECRETARÍA DE DESARROLLO COMUNITARIO Y PROMOCIÓN PATRIMONIAL")</f>
        <v>SUBSECRETARÍA DE DESARROLLO COMUNITARIO Y PROMOCIÓN PATRIMONIAL</v>
      </c>
      <c r="I524" s="34" t="str">
        <f ca="1">IFERROR(__xludf.DUMMYFUNCTION("""COMPUTED_VALUE"""),"DIRECCIÓN GENERAL DE FORMACIÓN E INVESTIGACIÓN")</f>
        <v>DIRECCIÓN GENERAL DE FORMACIÓN E INVESTIGACIÓN</v>
      </c>
      <c r="J524" s="30" t="str">
        <f ca="1">IFERROR(__xludf.DUMMYFUNCTION("""COMPUTED_VALUE"""),"Cursos, talleres, diplomados realizados")</f>
        <v>Cursos, talleres, diplomados realizados</v>
      </c>
      <c r="K524" s="30">
        <f ca="1">IFERROR(__xludf.DUMMYFUNCTION("""COMPUTED_VALUE"""),4)</f>
        <v>4</v>
      </c>
      <c r="L524" s="30" t="str">
        <f ca="1">IFERROR(__xludf.DUMMYFUNCTION("""COMPUTED_VALUE"""),"Cultural")</f>
        <v>Cultural</v>
      </c>
      <c r="M524" s="30" t="str">
        <f ca="1">IFERROR(__xludf.DUMMYFUNCTION("""COMPUTED_VALUE"""),"Danza. Agrupación de circo de San Julián Tierra Blanca de Santa Cruz de Juventino Rosas")</f>
        <v>Danza. Agrupación de circo de San Julián Tierra Blanca de Santa Cruz de Juventino Rosas</v>
      </c>
      <c r="N524" s="30" t="str">
        <f ca="1">IFERROR(__xludf.DUMMYFUNCTION("""COMPUTED_VALUE"""),"Participación de Danza. Agrupación de circo de San Julián Tierra Blanca de Santa Cruz de Juventino Rosas dentro del Encuentro Estatal de Saberes Locales.")</f>
        <v>Participación de Danza. Agrupación de circo de San Julián Tierra Blanca de Santa Cruz de Juventino Rosas dentro del Encuentro Estatal de Saberes Locales.</v>
      </c>
      <c r="O524" s="30" t="str">
        <f ca="1">IFERROR(__xludf.DUMMYFUNCTION("""COMPUTED_VALUE"""),"Única")</f>
        <v>Única</v>
      </c>
      <c r="P524" s="33">
        <f ca="1">IFERROR(__xludf.DUMMYFUNCTION("""COMPUTED_VALUE"""),46178)</f>
        <v>46178</v>
      </c>
      <c r="Q524" s="33">
        <f ca="1">IFERROR(__xludf.DUMMYFUNCTION("""COMPUTED_VALUE"""),46178)</f>
        <v>46178</v>
      </c>
      <c r="R524" s="30">
        <f ca="1">IFERROR(__xludf.DUMMYFUNCTION("""COMPUTED_VALUE"""),1)</f>
        <v>1</v>
      </c>
      <c r="S524" s="30" t="str">
        <f ca="1">IFERROR(__xludf.DUMMYFUNCTION("""COMPUTED_VALUE"""),"Artes escénicas")</f>
        <v>Artes escénicas</v>
      </c>
      <c r="T524" s="30" t="str">
        <f ca="1">IFERROR(__xludf.DUMMYFUNCTION("""COMPUTED_VALUE"""),"Danza tradicional")</f>
        <v>Danza tradicional</v>
      </c>
      <c r="U524" s="30" t="str">
        <f ca="1">IFERROR(__xludf.DUMMYFUNCTION("""COMPUTED_VALUE"""),"Encuentro cultural")</f>
        <v>Encuentro cultural</v>
      </c>
      <c r="V524" s="30" t="str">
        <f ca="1">IFERROR(__xludf.DUMMYFUNCTION("""COMPUTED_VALUE"""),"Ninguna")</f>
        <v>Ninguna</v>
      </c>
      <c r="W524" s="30" t="str">
        <f ca="1">IFERROR(__xludf.DUMMYFUNCTION("""COMPUTED_VALUE"""),"Presencial")</f>
        <v>Presencial</v>
      </c>
      <c r="X524" s="30" t="str">
        <f ca="1">IFERROR(__xludf.DUMMYFUNCTION("""COMPUTED_VALUE"""),"Espacio préstamo a la Secretaría de Cultura")</f>
        <v>Espacio préstamo a la Secretaría de Cultura</v>
      </c>
      <c r="Y524" s="30"/>
      <c r="Z524" s="30"/>
      <c r="AA524" s="30"/>
      <c r="AB524" s="30" t="b">
        <f ca="1">IFERROR(__xludf.DUMMYFUNCTION("""COMPUTED_VALUE"""),FALSE)</f>
        <v>0</v>
      </c>
      <c r="AC524" s="30"/>
      <c r="AD524" s="30" t="b">
        <f ca="1">IFERROR(__xludf.DUMMYFUNCTION("""COMPUTED_VALUE"""),TRUE)</f>
        <v>1</v>
      </c>
      <c r="AE524" s="30">
        <f ca="1">IFERROR(__xludf.DUMMYFUNCTION("""COMPUTED_VALUE"""),1)</f>
        <v>1</v>
      </c>
      <c r="AF524" s="30" t="b">
        <f ca="1">IFERROR(__xludf.DUMMYFUNCTION("""COMPUTED_VALUE"""),FALSE)</f>
        <v>0</v>
      </c>
      <c r="AG524" s="30"/>
      <c r="AH524" s="30" t="str">
        <f ca="1">IFERROR(__xludf.DUMMYFUNCTION("""COMPUTED_VALUE"""),"Sin costo")</f>
        <v>Sin costo</v>
      </c>
      <c r="AI524" s="30"/>
      <c r="AJ524" s="30"/>
      <c r="AK524" s="30"/>
      <c r="AL524" s="30" t="str">
        <f ca="1">IFERROR(__xludf.DUMMYFUNCTION("""COMPUTED_VALUE"""),"claudia.ramirezm@guanajuato.gob.mx")</f>
        <v>claudia.ramirezm@guanajuato.gob.mx</v>
      </c>
      <c r="AM524" s="30" t="str">
        <f ca="1">IFERROR(__xludf.DUMMYFUNCTION("""COMPUTED_VALUE"""),"Actividades artísticas y culturales en zonas de alta marginación.")</f>
        <v>Actividades artísticas y culturales en zonas de alta marginación.</v>
      </c>
      <c r="AN524" s="30" t="str">
        <f ca="1">IFERROR(__xludf.DUMMYFUNCTION("""COMPUTED_VALUE"""),"1 Tranquilidad")</f>
        <v>1 Tranquilidad</v>
      </c>
      <c r="AO524" s="30" t="str">
        <f ca="1">IFERROR(__xludf.DUMMYFUNCTION("""COMPUTED_VALUE"""),"1.2 Fortalecer prevención del delito")</f>
        <v>1.2 Fortalecer prevención del delito</v>
      </c>
      <c r="AP524" s="30" t="str">
        <f ca="1">IFERROR(__xludf.DUMMYFUNCTION("""COMPUTED_VALUE"""),"1.2.2 Fortalecimiento del tejido social")</f>
        <v>1.2.2 Fortalecimiento del tejido social</v>
      </c>
      <c r="AQ524" s="30" t="str">
        <f ca="1">IFERROR(__xludf.DUMMYFUNCTION("""COMPUTED_VALUE"""),"1.2.3.4 Promover una cultura de paz desde las expresiones artísticas y culturales")</f>
        <v>1.2.3.4 Promover una cultura de paz desde las expresiones artísticas y culturales</v>
      </c>
      <c r="AR524" s="30" t="str">
        <f ca="1">IFERROR(__xludf.DUMMYFUNCTION("""COMPUTED_VALUE"""),"Inclusión")</f>
        <v>Inclusión</v>
      </c>
      <c r="AS524" s="30" t="str">
        <f ca="1">IFERROR(__xludf.DUMMYFUNCTION("""COMPUTED_VALUE"""),"Ninguno (Población General)")</f>
        <v>Ninguno (Población General)</v>
      </c>
      <c r="AT524" s="30" t="str">
        <f ca="1">IFERROR(__xludf.DUMMYFUNCTION("""COMPUTED_VALUE"""),"Impulso a la educación artística y a la profesionalización del sector cultural")</f>
        <v>Impulso a la educación artística y a la profesionalización del sector cultural</v>
      </c>
      <c r="AU524" s="30" t="str">
        <f ca="1">IFERROR(__xludf.DUMMYFUNCTION("""COMPUTED_VALUE"""),"Impulso a programas de formación y profesionalización para agentes culturales.")</f>
        <v>Impulso a programas de formación y profesionalización para agentes culturales.</v>
      </c>
      <c r="AV524"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24" s="30" t="str">
        <f ca="1">IFERROR(__xludf.DUMMYFUNCTION("""COMPUTED_VALUE"""),"Incrementar un 30% la oferta de formación y profesionalización para agentes culturales.")</f>
        <v>Incrementar un 30% la oferta de formación y profesionalización para agentes culturales.</v>
      </c>
      <c r="AX524" s="30" t="str">
        <f ca="1">IFERROR(__xludf.DUMMYFUNCTION("""COMPUTED_VALUE"""),"Encuentro cultural")</f>
        <v>Encuentro cultural</v>
      </c>
      <c r="AY524" s="30" t="str">
        <f ca="1">IFERROR(__xludf.DUMMYFUNCTION("""COMPUTED_VALUE"""),"Formación")</f>
        <v>Formación</v>
      </c>
      <c r="AZ524" s="30" t="str">
        <f ca="1">IFERROR(__xludf.DUMMYFUNCTION("""COMPUTED_VALUE"""),"Formación")</f>
        <v>Formación</v>
      </c>
      <c r="BA524" s="30" t="str">
        <f ca="1">IFERROR(__xludf.DUMMYFUNCTION("""COMPUTED_VALUE"""),"Participación de Danza. Agrupación de circo de San Julián Tierra Blanca de Santa Cruz de Juventino Rosas")</f>
        <v>Participación de Danza. Agrupación de circo de San Julián Tierra Blanca de Santa Cruz de Juventino Rosas</v>
      </c>
      <c r="BB524" s="30">
        <f ca="1">IFERROR(__xludf.DUMMYFUNCTION("""COMPUTED_VALUE"""),5)</f>
        <v>5</v>
      </c>
      <c r="BC524" s="30">
        <f ca="1">IFERROR(__xludf.DUMMYFUNCTION("""COMPUTED_VALUE"""),1)</f>
        <v>1</v>
      </c>
      <c r="BD524" s="30" t="str">
        <f ca="1">IFERROR(__xludf.DUMMYFUNCTION("""COMPUTED_VALUE"""),"Apoyado con anterioridad")</f>
        <v>Apoyado con anterioridad</v>
      </c>
      <c r="BE524" s="30" t="str">
        <f ca="1">IFERROR(__xludf.DUMMYFUNCTION("""COMPUTED_VALUE"""),"Kayko Producciones S.C.")</f>
        <v>Kayko Producciones S.C.</v>
      </c>
      <c r="BF524" s="30" t="b">
        <f ca="1">IFERROR(__xludf.DUMMYFUNCTION("""COMPUTED_VALUE"""),TRUE)</f>
        <v>1</v>
      </c>
      <c r="BG524" s="30" t="str">
        <f ca="1">IFERROR(__xludf.DUMMYFUNCTION("""COMPUTED_VALUE"""),"Económico")</f>
        <v>Económico</v>
      </c>
      <c r="BH524" s="30">
        <f ca="1">IFERROR(__xludf.DUMMYFUNCTION("""COMPUTED_VALUE"""),100000)</f>
        <v>100000</v>
      </c>
      <c r="BI524" s="30"/>
      <c r="BJ524" s="30"/>
      <c r="BK524" s="30"/>
      <c r="BL524" s="30"/>
      <c r="BM524" s="30" t="str">
        <f ca="1">IFERROR(__xludf.DUMMYFUNCTION("""COMPUTED_VALUE"""),"No")</f>
        <v>No</v>
      </c>
      <c r="BN524" s="30"/>
      <c r="BO524" s="30" t="str">
        <f ca="1">IFERROR(__xludf.DUMMYFUNCTION("""COMPUTED_VALUE"""),"1af5a63a")</f>
        <v>1af5a63a</v>
      </c>
      <c r="BP524" s="29" t="str">
        <f ca="1">IFERROR(__xludf.DUMMYFUNCTION("""COMPUTED_VALUE"""),"Doctor Mora")</f>
        <v>Doctor Mora</v>
      </c>
      <c r="BQ524" s="30" t="str">
        <f ca="1">IFERROR(__xludf.DUMMYFUNCTION("""COMPUTED_VALUE"""),"Urbano")</f>
        <v>Urbano</v>
      </c>
      <c r="BR524" s="30">
        <f ca="1">IFERROR(__xludf.DUMMYFUNCTION("""COMPUTED_VALUE"""),41)</f>
        <v>41</v>
      </c>
      <c r="BS524" s="30" t="str">
        <f ca="1">IFERROR(__xludf.DUMMYFUNCTION("""COMPUTED_VALUE"""),"Doctor Mora")</f>
        <v>Doctor Mora</v>
      </c>
      <c r="BT524" s="30"/>
      <c r="BU524" s="30" t="str">
        <f ca="1">IFERROR(__xludf.DUMMYFUNCTION("""COMPUTED_VALUE"""),"Si")</f>
        <v>Si</v>
      </c>
      <c r="BV524" s="30" t="str">
        <f ca="1">IFERROR(__xludf.DUMMYFUNCTION("""COMPUTED_VALUE"""),"No")</f>
        <v>No</v>
      </c>
      <c r="BW524" s="30">
        <f ca="1">IFERROR(__xludf.DUMMYFUNCTION("""COMPUTED_VALUE"""),11)</f>
        <v>11</v>
      </c>
      <c r="BX524" s="30">
        <f ca="1">IFERROR(__xludf.DUMMYFUNCTION("""COMPUTED_VALUE"""),1)</f>
        <v>1</v>
      </c>
      <c r="BY524" s="30">
        <f ca="1">IFERROR(__xludf.DUMMYFUNCTION("""COMPUTED_VALUE"""),10)</f>
        <v>10</v>
      </c>
      <c r="BZ524" s="30" t="str">
        <f ca="1">IFERROR(__xludf.DUMMYFUNCTION("""COMPUTED_VALUE"""),"Doctor Mora")</f>
        <v>Doctor Mora</v>
      </c>
      <c r="CA524" s="30" t="str">
        <f ca="1">IFERROR(__xludf.DUMMYFUNCTION("""COMPUTED_VALUE"""),"No")</f>
        <v>No</v>
      </c>
      <c r="CB524" s="30" t="str">
        <f ca="1">IFERROR(__xludf.DUMMYFUNCTION("""COMPUTED_VALUE"""),"No")</f>
        <v>No</v>
      </c>
      <c r="CC524" s="30" t="str">
        <f ca="1">IFERROR(__xludf.DUMMYFUNCTION("""COMPUTED_VALUE"""),"88225c2b")</f>
        <v>88225c2b</v>
      </c>
      <c r="CD524" s="29" t="str">
        <f ca="1">IFERROR(__xludf.DUMMYFUNCTION("""COMPUTED_VALUE"""),"Adultos (30 a 59 años)")</f>
        <v>Adultos (30 a 59 años)</v>
      </c>
      <c r="CE524" s="30" t="str">
        <f ca="1">IFERROR(__xludf.DUMMYFUNCTION("""COMPUTED_VALUE"""),"No se cuenta con el dato")</f>
        <v>No se cuenta con el dato</v>
      </c>
      <c r="CF524" s="30" t="str">
        <f ca="1">IFERROR(__xludf.DUMMYFUNCTION("""COMPUTED_VALUE"""),"Ninguno (Población General)")</f>
        <v>Ninguno (Población General)</v>
      </c>
      <c r="CG524" s="30">
        <f ca="1">IFERROR(__xludf.DUMMYFUNCTION("""COMPUTED_VALUE"""),3)</f>
        <v>3</v>
      </c>
      <c r="CJ524" s="29"/>
      <c r="CM524" s="30" t="str">
        <f ca="1">IFERROR(__xludf.DUMMYFUNCTION("""COMPUTED_VALUE"""),"Guanajuato")</f>
        <v>Guanajuato</v>
      </c>
      <c r="CN524" s="32" t="e">
        <f ca="1"/>
        <v>#NAME?</v>
      </c>
      <c r="CO524" s="32" t="e">
        <f ca="1"/>
        <v>#NAME?</v>
      </c>
      <c r="CP524" s="32" t="e">
        <f ca="1"/>
        <v>#NAME?</v>
      </c>
      <c r="CQ524" s="32" t="e">
        <f ca="1"/>
        <v>#NAME?</v>
      </c>
      <c r="CR524" s="30" t="e">
        <f ca="1"/>
        <v>#NAME?</v>
      </c>
      <c r="CS524" s="30" t="str">
        <f ca="1">IFERROR(__xludf.DUMMYFUNCTION("""COMPUTED_VALUE"""),"Ninguno (Población General)")</f>
        <v>Ninguno (Población General)</v>
      </c>
    </row>
    <row r="525" spans="1:97" ht="13">
      <c r="A525" s="29" t="str">
        <f ca="1">IFERROR(__xludf.DUMMYFUNCTION("""COMPUTED_VALUE"""),"ACT-SCVL27603")</f>
        <v>ACT-SCVL27603</v>
      </c>
      <c r="B525" s="30" t="str">
        <f ca="1">IFERROR(__xludf.DUMMYFUNCTION("""COMPUTED_VALUE"""),"SC-261006-123807")</f>
        <v>SC-261006-123807</v>
      </c>
      <c r="C525" s="62">
        <f ca="1">IFERROR(__xludf.DUMMYFUNCTION("""COMPUTED_VALUE"""),46301.5264699074)</f>
        <v>46301.526469907403</v>
      </c>
      <c r="D525" s="30">
        <f ca="1">IFERROR(__xludf.DUMMYFUNCTION("""COMPUTED_VALUE"""),92)</f>
        <v>92</v>
      </c>
      <c r="E525" s="30" t="str">
        <f ca="1">IFERROR(__xludf.DUMMYFUNCTION("""COMPUTED_VALUE"""),"PB3572")</f>
        <v>PB3572</v>
      </c>
      <c r="F52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5" s="30" t="str">
        <f ca="1">IFERROR(__xludf.DUMMYFUNCTION("""COMPUTED_VALUE"""),"SUBSECRETARÍA DE DESARROLLO Y PROMOCIÓN ARTÍSTICA Y CULTURAL")</f>
        <v>SUBSECRETARÍA DE DESARROLLO Y PROMOCIÓN ARTÍSTICA Y CULTURAL</v>
      </c>
      <c r="I525" s="34" t="str">
        <f ca="1">IFERROR(__xludf.DUMMYFUNCTION("""COMPUTED_VALUE"""),"DIRECCIÓN GENERAL DE MUSEOS, ARTES VISUALES Y EXPOSICIONES")</f>
        <v>DIRECCIÓN GENERAL DE MUSEOS, ARTES VISUALES Y EXPOSICIONES</v>
      </c>
      <c r="J525" s="30" t="str">
        <f ca="1">IFERROR(__xludf.DUMMYFUNCTION("""COMPUTED_VALUE"""),"Número de Actividades realizadas")</f>
        <v>Número de Actividades realizadas</v>
      </c>
      <c r="K525" s="30">
        <f ca="1">IFERROR(__xludf.DUMMYFUNCTION("""COMPUTED_VALUE"""),800)</f>
        <v>800</v>
      </c>
      <c r="L525" s="30" t="str">
        <f ca="1">IFERROR(__xludf.DUMMYFUNCTION("""COMPUTED_VALUE"""),"Artística")</f>
        <v>Artística</v>
      </c>
      <c r="M525" s="30" t="str">
        <f ca="1">IFERROR(__xludf.DUMMYFUNCTION("""COMPUTED_VALUE"""),"Viernes libre de clases ¡al museo! “Colores de la naturaleza: pintando como Olga Costa”")</f>
        <v>Viernes libre de clases ¡al museo! “Colores de la naturaleza: pintando como Olga Costa”</v>
      </c>
      <c r="N525" s="30" t="str">
        <f ca="1">IFERROR(__xludf.DUMMYFUNCTION("""COMPUTED_VALUE"""),"Taller infantil que busca fomentar la creatividad infantil, el reconocimiento de los elementos naturales y la apreciación del arte mexicano en la obra de Olga Costa.")</f>
        <v>Taller infantil que busca fomentar la creatividad infantil, el reconocimiento de los elementos naturales y la apreciación del arte mexicano en la obra de Olga Costa.</v>
      </c>
      <c r="O525" s="30" t="str">
        <f ca="1">IFERROR(__xludf.DUMMYFUNCTION("""COMPUTED_VALUE"""),"Única")</f>
        <v>Única</v>
      </c>
      <c r="P525" s="33">
        <f ca="1">IFERROR(__xludf.DUMMYFUNCTION("""COMPUTED_VALUE"""),46199)</f>
        <v>46199</v>
      </c>
      <c r="Q525" s="33">
        <f ca="1">IFERROR(__xludf.DUMMYFUNCTION("""COMPUTED_VALUE"""),46199)</f>
        <v>46199</v>
      </c>
      <c r="R525" s="30">
        <f ca="1">IFERROR(__xludf.DUMMYFUNCTION("""COMPUTED_VALUE"""),1)</f>
        <v>1</v>
      </c>
      <c r="S525" s="30" t="str">
        <f ca="1">IFERROR(__xludf.DUMMYFUNCTION("""COMPUTED_VALUE"""),"Artes visuales")</f>
        <v>Artes visuales</v>
      </c>
      <c r="T525" s="30" t="str">
        <f ca="1">IFERROR(__xludf.DUMMYFUNCTION("""COMPUTED_VALUE"""),"Pintura")</f>
        <v>Pintura</v>
      </c>
      <c r="U525" s="30" t="str">
        <f ca="1">IFERROR(__xludf.DUMMYFUNCTION("""COMPUTED_VALUE"""),"Taller")</f>
        <v>Taller</v>
      </c>
      <c r="V525" s="30" t="str">
        <f ca="1">IFERROR(__xludf.DUMMYFUNCTION("""COMPUTED_VALUE"""),"Ninguna")</f>
        <v>Ninguna</v>
      </c>
      <c r="W525" s="30" t="str">
        <f ca="1">IFERROR(__xludf.DUMMYFUNCTION("""COMPUTED_VALUE"""),"Presencial")</f>
        <v>Presencial</v>
      </c>
      <c r="X525" s="30" t="str">
        <f ca="1">IFERROR(__xludf.DUMMYFUNCTION("""COMPUTED_VALUE"""),"Espacio a Cargo de la Secretaría")</f>
        <v>Espacio a Cargo de la Secretaría</v>
      </c>
      <c r="Y525" s="30" t="str">
        <f ca="1">IFERROR(__xludf.DUMMYFUNCTION("""COMPUTED_VALUE"""),"Museo de Arte-Olga Costa-José Chávez Morado")</f>
        <v>Museo de Arte-Olga Costa-José Chávez Morado</v>
      </c>
      <c r="Z525" s="30"/>
      <c r="AA525" s="30"/>
      <c r="AB525" s="30" t="b">
        <f ca="1">IFERROR(__xludf.DUMMYFUNCTION("""COMPUTED_VALUE"""),FALSE)</f>
        <v>0</v>
      </c>
      <c r="AC525" s="30"/>
      <c r="AD525" s="30" t="b">
        <f ca="1">IFERROR(__xludf.DUMMYFUNCTION("""COMPUTED_VALUE"""),FALSE)</f>
        <v>0</v>
      </c>
      <c r="AE525" s="30"/>
      <c r="AF525" s="30" t="b">
        <f ca="1">IFERROR(__xludf.DUMMYFUNCTION("""COMPUTED_VALUE"""),FALSE)</f>
        <v>0</v>
      </c>
      <c r="AG525" s="30"/>
      <c r="AH525" s="30" t="str">
        <f ca="1">IFERROR(__xludf.DUMMYFUNCTION("""COMPUTED_VALUE"""),"Sin costo")</f>
        <v>Sin costo</v>
      </c>
      <c r="AI525" s="30"/>
      <c r="AJ525" s="30"/>
      <c r="AK525" s="30"/>
      <c r="AL525" s="30" t="str">
        <f ca="1">IFERROR(__xludf.DUMMYFUNCTION("""COMPUTED_VALUE"""),"ccardonav@guanajuato.gob.mx")</f>
        <v>ccardonav@guanajuato.gob.mx</v>
      </c>
      <c r="AM525" s="30" t="str">
        <f ca="1">IFERROR(__xludf.DUMMYFUNCTION("""COMPUTED_VALUE"""),"Arraigo y empoderamiento cultural de comunidades.")</f>
        <v>Arraigo y empoderamiento cultural de comunidades.</v>
      </c>
      <c r="AN525" s="30" t="str">
        <f ca="1">IFERROR(__xludf.DUMMYFUNCTION("""COMPUTED_VALUE"""),"1 Tranquilidad")</f>
        <v>1 Tranquilidad</v>
      </c>
      <c r="AO525" s="30" t="str">
        <f ca="1">IFERROR(__xludf.DUMMYFUNCTION("""COMPUTED_VALUE"""),"1.2 Fortalecer prevención del delito")</f>
        <v>1.2 Fortalecer prevención del delito</v>
      </c>
      <c r="AP525" s="30" t="str">
        <f ca="1">IFERROR(__xludf.DUMMYFUNCTION("""COMPUTED_VALUE"""),"1.2.2 Fortalecimiento del tejido social")</f>
        <v>1.2.2 Fortalecimiento del tejido social</v>
      </c>
      <c r="AQ525" s="30" t="str">
        <f ca="1">IFERROR(__xludf.DUMMYFUNCTION("""COMPUTED_VALUE"""),"1.2.3.4 Promover una cultura de paz desde las expresiones artísticas y culturales")</f>
        <v>1.2.3.4 Promover una cultura de paz desde las expresiones artísticas y culturales</v>
      </c>
      <c r="AR525" s="30" t="str">
        <f ca="1">IFERROR(__xludf.DUMMYFUNCTION("""COMPUTED_VALUE"""),"Cooperación")</f>
        <v>Cooperación</v>
      </c>
      <c r="AS525" s="30"/>
      <c r="AT525" s="30" t="str">
        <f ca="1">IFERROR(__xludf.DUMMYFUNCTION("""COMPUTED_VALUE"""),"Fortalecimiento de la participación ciudadana y la mediación cultural")</f>
        <v>Fortalecimiento de la participación ciudadana y la mediación cultural</v>
      </c>
      <c r="AU525" s="30" t="str">
        <f ca="1">IFERROR(__xludf.DUMMYFUNCTION("""COMPUTED_VALUE"""),"Impulso a la ampliación de la oferta cultural en los territorios.")</f>
        <v>Impulso a la ampliación de la oferta cultural en los territorios.</v>
      </c>
      <c r="AV52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5" s="30" t="str">
        <f ca="1">IFERROR(__xludf.DUMMYFUNCTION("""COMPUTED_VALUE"""),"Incrementar en 25% la oferta cultural realizada en los municipios.")</f>
        <v>Incrementar en 25% la oferta cultural realizada en los municipios.</v>
      </c>
      <c r="AX525" s="30" t="str">
        <f ca="1">IFERROR(__xludf.DUMMYFUNCTION("""COMPUTED_VALUE"""),"Taller")</f>
        <v>Taller</v>
      </c>
      <c r="AY525" s="30" t="str">
        <f ca="1">IFERROR(__xludf.DUMMYFUNCTION("""COMPUTED_VALUE"""),"Formación")</f>
        <v>Formación</v>
      </c>
      <c r="AZ525" s="30" t="str">
        <f ca="1">IFERROR(__xludf.DUMMYFUNCTION("""COMPUTED_VALUE"""),"Formación")</f>
        <v>Formación</v>
      </c>
      <c r="BA525" s="30"/>
      <c r="BB525" s="30"/>
      <c r="BC525" s="30">
        <f ca="1">IFERROR(__xludf.DUMMYFUNCTION("""COMPUTED_VALUE"""),0)</f>
        <v>0</v>
      </c>
      <c r="BD525" s="30"/>
      <c r="BE525" s="30"/>
      <c r="BF525" s="30" t="b">
        <f ca="1">IFERROR(__xludf.DUMMYFUNCTION("""COMPUTED_VALUE"""),FALSE)</f>
        <v>0</v>
      </c>
      <c r="BG525" s="30"/>
      <c r="BH525" s="30"/>
      <c r="BI525" s="30"/>
      <c r="BJ525" s="30"/>
      <c r="BK525" s="30"/>
      <c r="BL525" s="30"/>
      <c r="BM525" s="30" t="str">
        <f ca="1">IFERROR(__xludf.DUMMYFUNCTION("""COMPUTED_VALUE"""),"No")</f>
        <v>No</v>
      </c>
      <c r="BN525" s="30"/>
      <c r="BO525" s="30" t="str">
        <f ca="1">IFERROR(__xludf.DUMMYFUNCTION("""COMPUTED_VALUE"""),"0414163f")</f>
        <v>0414163f</v>
      </c>
      <c r="BP525" s="29" t="str">
        <f ca="1">IFERROR(__xludf.DUMMYFUNCTION("""COMPUTED_VALUE"""),"Salvatierra")</f>
        <v>Salvatierra</v>
      </c>
      <c r="BQ525" s="30" t="str">
        <f ca="1">IFERROR(__xludf.DUMMYFUNCTION("""COMPUTED_VALUE"""),"Urbano")</f>
        <v>Urbano</v>
      </c>
      <c r="BR525" s="30">
        <f ca="1">IFERROR(__xludf.DUMMYFUNCTION("""COMPUTED_VALUE"""),187)</f>
        <v>187</v>
      </c>
      <c r="BS525" s="30" t="str">
        <f ca="1">IFERROR(__xludf.DUMMYFUNCTION("""COMPUTED_VALUE"""),"Salvatierra")</f>
        <v>Salvatierra</v>
      </c>
      <c r="BT525" s="30"/>
      <c r="BU525" s="30" t="str">
        <f ca="1">IFERROR(__xludf.DUMMYFUNCTION("""COMPUTED_VALUE"""),"Si")</f>
        <v>Si</v>
      </c>
      <c r="BV525" s="30" t="str">
        <f ca="1">IFERROR(__xludf.DUMMYFUNCTION("""COMPUTED_VALUE"""),"Si")</f>
        <v>Si</v>
      </c>
      <c r="BW525" s="30">
        <f ca="1">IFERROR(__xludf.DUMMYFUNCTION("""COMPUTED_VALUE"""),19)</f>
        <v>19</v>
      </c>
      <c r="BX525" s="30">
        <f ca="1">IFERROR(__xludf.DUMMYFUNCTION("""COMPUTED_VALUE"""),1)</f>
        <v>1</v>
      </c>
      <c r="BY525" s="30">
        <f ca="1">IFERROR(__xludf.DUMMYFUNCTION("""COMPUTED_VALUE"""),18)</f>
        <v>18</v>
      </c>
      <c r="BZ525" s="30" t="str">
        <f ca="1">IFERROR(__xludf.DUMMYFUNCTION("""COMPUTED_VALUE"""),"Salvatierra")</f>
        <v>Salvatierra</v>
      </c>
      <c r="CA525" s="30" t="str">
        <f ca="1">IFERROR(__xludf.DUMMYFUNCTION("""COMPUTED_VALUE"""),"No")</f>
        <v>No</v>
      </c>
      <c r="CB525" s="30" t="str">
        <f ca="1">IFERROR(__xludf.DUMMYFUNCTION("""COMPUTED_VALUE"""),"No")</f>
        <v>No</v>
      </c>
      <c r="CC525" s="30" t="str">
        <f ca="1">IFERROR(__xludf.DUMMYFUNCTION("""COMPUTED_VALUE"""),"d3d12c3d")</f>
        <v>d3d12c3d</v>
      </c>
      <c r="CD525" s="29" t="str">
        <f ca="1">IFERROR(__xludf.DUMMYFUNCTION("""COMPUTED_VALUE"""),"Niñas y Niños (6 a 12 años)")</f>
        <v>Niñas y Niños (6 a 12 años)</v>
      </c>
      <c r="CE525" s="30" t="str">
        <f ca="1">IFERROR(__xludf.DUMMYFUNCTION("""COMPUTED_VALUE"""),"No se cuenta con el dato")</f>
        <v>No se cuenta con el dato</v>
      </c>
      <c r="CF525" s="30" t="str">
        <f ca="1">IFERROR(__xludf.DUMMYFUNCTION("""COMPUTED_VALUE"""),"NNA (Niñas, Niños y Adolescentes)")</f>
        <v>NNA (Niñas, Niños y Adolescentes)</v>
      </c>
      <c r="CG525" s="30">
        <f ca="1">IFERROR(__xludf.DUMMYFUNCTION("""COMPUTED_VALUE"""),31)</f>
        <v>31</v>
      </c>
      <c r="CJ525" s="29"/>
      <c r="CM525" s="30" t="str">
        <f ca="1">IFERROR(__xludf.DUMMYFUNCTION("""COMPUTED_VALUE"""),"Guanajuato")</f>
        <v>Guanajuato</v>
      </c>
      <c r="CN525" s="32" t="e">
        <f ca="1"/>
        <v>#NAME?</v>
      </c>
      <c r="CO525" s="32" t="e">
        <f ca="1"/>
        <v>#NAME?</v>
      </c>
      <c r="CP525" s="32" t="e">
        <f ca="1"/>
        <v>#NAME?</v>
      </c>
      <c r="CQ525" s="32" t="e">
        <f ca="1"/>
        <v>#NAME?</v>
      </c>
      <c r="CR525" s="30" t="e">
        <f ca="1"/>
        <v>#NAME?</v>
      </c>
      <c r="CS525" s="30" t="str">
        <f ca="1">IFERROR(__xludf.DUMMYFUNCTION("""COMPUTED_VALUE"""),"Ninguno (Población General)")</f>
        <v>Ninguno (Población General)</v>
      </c>
    </row>
    <row r="526" spans="1:97" ht="13">
      <c r="A526" s="29" t="str">
        <f ca="1">IFERROR(__xludf.DUMMYFUNCTION("""COMPUTED_VALUE"""),"ACT-SCEH72319")</f>
        <v>ACT-SCEH72319</v>
      </c>
      <c r="B526" s="30" t="str">
        <f ca="1">IFERROR(__xludf.DUMMYFUNCTION("""COMPUTED_VALUE"""),"SC-261006-124419")</f>
        <v>SC-261006-124419</v>
      </c>
      <c r="C526" s="62">
        <f ca="1">IFERROR(__xludf.DUMMYFUNCTION("""COMPUTED_VALUE"""),46301.5307754629)</f>
        <v>46301.530775462903</v>
      </c>
      <c r="D526" s="30">
        <f ca="1">IFERROR(__xludf.DUMMYFUNCTION("""COMPUTED_VALUE"""),92)</f>
        <v>92</v>
      </c>
      <c r="E526" s="30" t="str">
        <f ca="1">IFERROR(__xludf.DUMMYFUNCTION("""COMPUTED_VALUE"""),"PB3572")</f>
        <v>PB3572</v>
      </c>
      <c r="F52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6" s="30" t="str">
        <f ca="1">IFERROR(__xludf.DUMMYFUNCTION("""COMPUTED_VALUE"""),"SUBSECRETARÍA DE DESARROLLO Y PROMOCIÓN ARTÍSTICA Y CULTURAL")</f>
        <v>SUBSECRETARÍA DE DESARROLLO Y PROMOCIÓN ARTÍSTICA Y CULTURAL</v>
      </c>
      <c r="I526" s="34" t="str">
        <f ca="1">IFERROR(__xludf.DUMMYFUNCTION("""COMPUTED_VALUE"""),"DIRECCIÓN GENERAL DE MUSEOS, ARTES VISUALES Y EXPOSICIONES")</f>
        <v>DIRECCIÓN GENERAL DE MUSEOS, ARTES VISUALES Y EXPOSICIONES</v>
      </c>
      <c r="J526" s="30" t="str">
        <f ca="1">IFERROR(__xludf.DUMMYFUNCTION("""COMPUTED_VALUE"""),"Número de Actividades realizadas")</f>
        <v>Número de Actividades realizadas</v>
      </c>
      <c r="K526" s="30">
        <f ca="1">IFERROR(__xludf.DUMMYFUNCTION("""COMPUTED_VALUE"""),800)</f>
        <v>800</v>
      </c>
      <c r="L526" s="30" t="str">
        <f ca="1">IFERROR(__xludf.DUMMYFUNCTION("""COMPUTED_VALUE"""),"Artística")</f>
        <v>Artística</v>
      </c>
      <c r="M526" s="30" t="str">
        <f ca="1">IFERROR(__xludf.DUMMYFUNCTION("""COMPUTED_VALUE"""),"Desorientadxs: el arte de la resistencia.")</f>
        <v>Desorientadxs: el arte de la resistencia.</v>
      </c>
      <c r="N526" s="30" t="str">
        <f ca="1">IFERROR(__xludf.DUMMYFUNCTION("""COMPUTED_VALUE"""),"Recorrido guiado por el museo")</f>
        <v>Recorrido guiado por el museo</v>
      </c>
      <c r="O526" s="30" t="str">
        <f ca="1">IFERROR(__xludf.DUMMYFUNCTION("""COMPUTED_VALUE"""),"Única")</f>
        <v>Única</v>
      </c>
      <c r="P526" s="33">
        <f ca="1">IFERROR(__xludf.DUMMYFUNCTION("""COMPUTED_VALUE"""),46184)</f>
        <v>46184</v>
      </c>
      <c r="Q526" s="33">
        <f ca="1">IFERROR(__xludf.DUMMYFUNCTION("""COMPUTED_VALUE"""),46184)</f>
        <v>46184</v>
      </c>
      <c r="R526" s="30">
        <f ca="1">IFERROR(__xludf.DUMMYFUNCTION("""COMPUTED_VALUE"""),1)</f>
        <v>1</v>
      </c>
      <c r="S526" s="30" t="str">
        <f ca="1">IFERROR(__xludf.DUMMYFUNCTION("""COMPUTED_VALUE"""),"Cultura comunitaria")</f>
        <v>Cultura comunitaria</v>
      </c>
      <c r="T526" s="30" t="str">
        <f ca="1">IFERROR(__xludf.DUMMYFUNCTION("""COMPUTED_VALUE"""),"Formación comunitaria")</f>
        <v>Formación comunitaria</v>
      </c>
      <c r="U526" s="30" t="str">
        <f ca="1">IFERROR(__xludf.DUMMYFUNCTION("""COMPUTED_VALUE"""),"Taller")</f>
        <v>Taller</v>
      </c>
      <c r="V526" s="30" t="str">
        <f ca="1">IFERROR(__xludf.DUMMYFUNCTION("""COMPUTED_VALUE"""),"Ninguna")</f>
        <v>Ninguna</v>
      </c>
      <c r="W526" s="30" t="str">
        <f ca="1">IFERROR(__xludf.DUMMYFUNCTION("""COMPUTED_VALUE"""),"Presencial")</f>
        <v>Presencial</v>
      </c>
      <c r="X526" s="30" t="str">
        <f ca="1">IFERROR(__xludf.DUMMYFUNCTION("""COMPUTED_VALUE"""),"Espacio a Cargo de la Secretaría")</f>
        <v>Espacio a Cargo de la Secretaría</v>
      </c>
      <c r="Y526" s="30" t="str">
        <f ca="1">IFERROR(__xludf.DUMMYFUNCTION("""COMPUTED_VALUE"""),"Museo de Arte-Olga Costa-José Chávez Morado")</f>
        <v>Museo de Arte-Olga Costa-José Chávez Morado</v>
      </c>
      <c r="Z526" s="30"/>
      <c r="AA526" s="30"/>
      <c r="AB526" s="30" t="b">
        <f ca="1">IFERROR(__xludf.DUMMYFUNCTION("""COMPUTED_VALUE"""),FALSE)</f>
        <v>0</v>
      </c>
      <c r="AC526" s="30"/>
      <c r="AD526" s="30" t="b">
        <f ca="1">IFERROR(__xludf.DUMMYFUNCTION("""COMPUTED_VALUE"""),FALSE)</f>
        <v>0</v>
      </c>
      <c r="AE526" s="30"/>
      <c r="AF526" s="30" t="b">
        <f ca="1">IFERROR(__xludf.DUMMYFUNCTION("""COMPUTED_VALUE"""),FALSE)</f>
        <v>0</v>
      </c>
      <c r="AG526" s="30"/>
      <c r="AH526" s="30" t="str">
        <f ca="1">IFERROR(__xludf.DUMMYFUNCTION("""COMPUTED_VALUE"""),"Sin costo")</f>
        <v>Sin costo</v>
      </c>
      <c r="AI526" s="30"/>
      <c r="AJ526" s="30"/>
      <c r="AK526" s="30"/>
      <c r="AL526" s="30" t="str">
        <f ca="1">IFERROR(__xludf.DUMMYFUNCTION("""COMPUTED_VALUE"""),"ccardonav@guanajuato.gob.mx")</f>
        <v>ccardonav@guanajuato.gob.mx</v>
      </c>
      <c r="AM526" s="30" t="str">
        <f ca="1">IFERROR(__xludf.DUMMYFUNCTION("""COMPUTED_VALUE"""),"Arraigo y empoderamiento cultural de comunidades.")</f>
        <v>Arraigo y empoderamiento cultural de comunidades.</v>
      </c>
      <c r="AN526" s="30" t="str">
        <f ca="1">IFERROR(__xludf.DUMMYFUNCTION("""COMPUTED_VALUE"""),"1 Tranquilidad")</f>
        <v>1 Tranquilidad</v>
      </c>
      <c r="AO526" s="30" t="str">
        <f ca="1">IFERROR(__xludf.DUMMYFUNCTION("""COMPUTED_VALUE"""),"1.2 Fortalecer prevención del delito")</f>
        <v>1.2 Fortalecer prevención del delito</v>
      </c>
      <c r="AP526" s="30" t="str">
        <f ca="1">IFERROR(__xludf.DUMMYFUNCTION("""COMPUTED_VALUE"""),"1.2.2 Fortalecimiento del tejido social")</f>
        <v>1.2.2 Fortalecimiento del tejido social</v>
      </c>
      <c r="AQ526" s="30" t="str">
        <f ca="1">IFERROR(__xludf.DUMMYFUNCTION("""COMPUTED_VALUE"""),"1.2.3.4 Promover una cultura de paz desde las expresiones artísticas y culturales")</f>
        <v>1.2.3.4 Promover una cultura de paz desde las expresiones artísticas y culturales</v>
      </c>
      <c r="AR526" s="30" t="str">
        <f ca="1">IFERROR(__xludf.DUMMYFUNCTION("""COMPUTED_VALUE"""),"Cooperación")</f>
        <v>Cooperación</v>
      </c>
      <c r="AS526" s="30"/>
      <c r="AT526" s="30" t="str">
        <f ca="1">IFERROR(__xludf.DUMMYFUNCTION("""COMPUTED_VALUE"""),"Fortalecimiento de la participación ciudadana y la mediación cultural")</f>
        <v>Fortalecimiento de la participación ciudadana y la mediación cultural</v>
      </c>
      <c r="AU526" s="30" t="str">
        <f ca="1">IFERROR(__xludf.DUMMYFUNCTION("""COMPUTED_VALUE"""),"Impulso a la ampliación de la oferta cultural en los territorios.")</f>
        <v>Impulso a la ampliación de la oferta cultural en los territorios.</v>
      </c>
      <c r="AV52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6" s="30" t="str">
        <f ca="1">IFERROR(__xludf.DUMMYFUNCTION("""COMPUTED_VALUE"""),"Incrementar en 25% la oferta cultural realizada en los municipios.")</f>
        <v>Incrementar en 25% la oferta cultural realizada en los municipios.</v>
      </c>
      <c r="AX526" s="30" t="str">
        <f ca="1">IFERROR(__xludf.DUMMYFUNCTION("""COMPUTED_VALUE"""),"Taller")</f>
        <v>Taller</v>
      </c>
      <c r="AY526" s="30" t="str">
        <f ca="1">IFERROR(__xludf.DUMMYFUNCTION("""COMPUTED_VALUE"""),"Formación")</f>
        <v>Formación</v>
      </c>
      <c r="AZ526" s="30" t="str">
        <f ca="1">IFERROR(__xludf.DUMMYFUNCTION("""COMPUTED_VALUE"""),"Formación")</f>
        <v>Formación</v>
      </c>
      <c r="BA526" s="30"/>
      <c r="BB526" s="30"/>
      <c r="BC526" s="30">
        <f ca="1">IFERROR(__xludf.DUMMYFUNCTION("""COMPUTED_VALUE"""),0)</f>
        <v>0</v>
      </c>
      <c r="BD526" s="30"/>
      <c r="BE526" s="30"/>
      <c r="BF526" s="30" t="b">
        <f ca="1">IFERROR(__xludf.DUMMYFUNCTION("""COMPUTED_VALUE"""),FALSE)</f>
        <v>0</v>
      </c>
      <c r="BG526" s="30"/>
      <c r="BH526" s="30"/>
      <c r="BI526" s="30"/>
      <c r="BJ526" s="30"/>
      <c r="BK526" s="30"/>
      <c r="BL526" s="30"/>
      <c r="BM526" s="30" t="str">
        <f ca="1">IFERROR(__xludf.DUMMYFUNCTION("""COMPUTED_VALUE"""),"No")</f>
        <v>No</v>
      </c>
      <c r="BN526" s="30"/>
      <c r="BO526" s="30" t="str">
        <f ca="1">IFERROR(__xludf.DUMMYFUNCTION("""COMPUTED_VALUE"""),"9667d715")</f>
        <v>9667d715</v>
      </c>
      <c r="BP526" s="29" t="str">
        <f ca="1">IFERROR(__xludf.DUMMYFUNCTION("""COMPUTED_VALUE"""),"Ciudad Manuel Doblado")</f>
        <v>Ciudad Manuel Doblado</v>
      </c>
      <c r="BQ526" s="30" t="str">
        <f ca="1">IFERROR(__xludf.DUMMYFUNCTION("""COMPUTED_VALUE"""),"Urbano")</f>
        <v>Urbano</v>
      </c>
      <c r="BR526" s="30"/>
      <c r="BS526" s="30"/>
      <c r="BT526" s="30" t="str">
        <f ca="1">IFERROR(__xludf.DUMMYFUNCTION("""COMPUTED_VALUE"""),"Manuel Doblado")</f>
        <v>Manuel Doblado</v>
      </c>
      <c r="BU526" s="30" t="str">
        <f ca="1">IFERROR(__xludf.DUMMYFUNCTION("""COMPUTED_VALUE"""),"No")</f>
        <v>No</v>
      </c>
      <c r="BV526" s="30" t="str">
        <f ca="1">IFERROR(__xludf.DUMMYFUNCTION("""COMPUTED_VALUE"""),"No")</f>
        <v>No</v>
      </c>
      <c r="BW526" s="30">
        <f ca="1">IFERROR(__xludf.DUMMYFUNCTION("""COMPUTED_VALUE"""),32)</f>
        <v>32</v>
      </c>
      <c r="BX526" s="30">
        <f ca="1">IFERROR(__xludf.DUMMYFUNCTION("""COMPUTED_VALUE"""),1)</f>
        <v>1</v>
      </c>
      <c r="BY526" s="30">
        <f ca="1">IFERROR(__xludf.DUMMYFUNCTION("""COMPUTED_VALUE"""),31)</f>
        <v>31</v>
      </c>
      <c r="BZ526" s="30" t="str">
        <f ca="1">IFERROR(__xludf.DUMMYFUNCTION("""COMPUTED_VALUE"""),"Manuel Doblado")</f>
        <v>Manuel Doblado</v>
      </c>
      <c r="CA526" s="30" t="str">
        <f ca="1">IFERROR(__xludf.DUMMYFUNCTION("""COMPUTED_VALUE"""),"No")</f>
        <v>No</v>
      </c>
      <c r="CB526" s="30" t="str">
        <f ca="1">IFERROR(__xludf.DUMMYFUNCTION("""COMPUTED_VALUE"""),"No")</f>
        <v>No</v>
      </c>
      <c r="CC526" s="30" t="str">
        <f ca="1">IFERROR(__xludf.DUMMYFUNCTION("""COMPUTED_VALUE"""),"67e7e8cd")</f>
        <v>67e7e8cd</v>
      </c>
      <c r="CD526" s="29" t="str">
        <f ca="1">IFERROR(__xludf.DUMMYFUNCTION("""COMPUTED_VALUE"""),"Niñas y Niños (6 a 12 años)")</f>
        <v>Niñas y Niños (6 a 12 años)</v>
      </c>
      <c r="CE526" s="30" t="str">
        <f ca="1">IFERROR(__xludf.DUMMYFUNCTION("""COMPUTED_VALUE"""),"No se cuenta con el dato")</f>
        <v>No se cuenta con el dato</v>
      </c>
      <c r="CF526" s="30" t="str">
        <f ca="1">IFERROR(__xludf.DUMMYFUNCTION("""COMPUTED_VALUE"""),"NNA (Niñas, Niños y Adolescentes)")</f>
        <v>NNA (Niñas, Niños y Adolescentes)</v>
      </c>
      <c r="CG526" s="30">
        <f ca="1">IFERROR(__xludf.DUMMYFUNCTION("""COMPUTED_VALUE"""),9)</f>
        <v>9</v>
      </c>
      <c r="CJ526" s="29"/>
      <c r="CM526" s="30" t="str">
        <f ca="1">IFERROR(__xludf.DUMMYFUNCTION("""COMPUTED_VALUE"""),"Valle de Santiago")</f>
        <v>Valle de Santiago</v>
      </c>
      <c r="CN526" s="32" t="e">
        <f ca="1"/>
        <v>#NAME?</v>
      </c>
      <c r="CO526" s="32" t="e">
        <f ca="1"/>
        <v>#NAME?</v>
      </c>
      <c r="CP526" s="32" t="e">
        <f ca="1"/>
        <v>#NAME?</v>
      </c>
      <c r="CQ526" s="32" t="e">
        <f ca="1"/>
        <v>#NAME?</v>
      </c>
      <c r="CR526" s="30" t="e">
        <f ca="1"/>
        <v>#NAME?</v>
      </c>
      <c r="CS526"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527" spans="1:97" ht="13">
      <c r="A527" s="29" t="str">
        <f ca="1">IFERROR(__xludf.DUMMYFUNCTION("""COMPUTED_VALUE"""),"ACT-SCAK52512")</f>
        <v>ACT-SCAK52512</v>
      </c>
      <c r="B527" s="30" t="str">
        <f ca="1">IFERROR(__xludf.DUMMYFUNCTION("""COMPUTED_VALUE"""),"SC-261006-125108")</f>
        <v>SC-261006-125108</v>
      </c>
      <c r="C527" s="62">
        <f ca="1">IFERROR(__xludf.DUMMYFUNCTION("""COMPUTED_VALUE"""),46301.5355092592)</f>
        <v>46301.5355092592</v>
      </c>
      <c r="D527" s="30">
        <f ca="1">IFERROR(__xludf.DUMMYFUNCTION("""COMPUTED_VALUE"""),92)</f>
        <v>92</v>
      </c>
      <c r="E527" s="30" t="str">
        <f ca="1">IFERROR(__xludf.DUMMYFUNCTION("""COMPUTED_VALUE"""),"PB3572")</f>
        <v>PB3572</v>
      </c>
      <c r="F52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7" s="30" t="str">
        <f ca="1">IFERROR(__xludf.DUMMYFUNCTION("""COMPUTED_VALUE"""),"SUBSECRETARÍA DE DESARROLLO Y PROMOCIÓN ARTÍSTICA Y CULTURAL")</f>
        <v>SUBSECRETARÍA DE DESARROLLO Y PROMOCIÓN ARTÍSTICA Y CULTURAL</v>
      </c>
      <c r="I527" s="34" t="str">
        <f ca="1">IFERROR(__xludf.DUMMYFUNCTION("""COMPUTED_VALUE"""),"DIRECCIÓN GENERAL DE MUSEOS, ARTES VISUALES Y EXPOSICIONES")</f>
        <v>DIRECCIÓN GENERAL DE MUSEOS, ARTES VISUALES Y EXPOSICIONES</v>
      </c>
      <c r="J527" s="30" t="str">
        <f ca="1">IFERROR(__xludf.DUMMYFUNCTION("""COMPUTED_VALUE"""),"Número de Actividades realizadas")</f>
        <v>Número de Actividades realizadas</v>
      </c>
      <c r="K527" s="30">
        <f ca="1">IFERROR(__xludf.DUMMYFUNCTION("""COMPUTED_VALUE"""),800)</f>
        <v>800</v>
      </c>
      <c r="L527" s="30" t="str">
        <f ca="1">IFERROR(__xludf.DUMMYFUNCTION("""COMPUTED_VALUE"""),"Artística")</f>
        <v>Artística</v>
      </c>
      <c r="M527" s="30" t="str">
        <f ca="1">IFERROR(__xludf.DUMMYFUNCTION("""COMPUTED_VALUE"""),"Recorrido Guiado ""Colegio Cristiano Dr. Isaías León""")</f>
        <v>Recorrido Guiado "Colegio Cristiano Dr. Isaías León"</v>
      </c>
      <c r="N527" s="30" t="str">
        <f ca="1">IFERROR(__xludf.DUMMYFUNCTION("""COMPUTED_VALUE"""),"Recorrido guiado por el museo")</f>
        <v>Recorrido guiado por el museo</v>
      </c>
      <c r="O527" s="30" t="str">
        <f ca="1">IFERROR(__xludf.DUMMYFUNCTION("""COMPUTED_VALUE"""),"Única")</f>
        <v>Única</v>
      </c>
      <c r="P527" s="33">
        <f ca="1">IFERROR(__xludf.DUMMYFUNCTION("""COMPUTED_VALUE"""),46191)</f>
        <v>46191</v>
      </c>
      <c r="Q527" s="33">
        <f ca="1">IFERROR(__xludf.DUMMYFUNCTION("""COMPUTED_VALUE"""),46191)</f>
        <v>46191</v>
      </c>
      <c r="R527" s="30">
        <f ca="1">IFERROR(__xludf.DUMMYFUNCTION("""COMPUTED_VALUE"""),1)</f>
        <v>1</v>
      </c>
      <c r="S527" s="30" t="str">
        <f ca="1">IFERROR(__xludf.DUMMYFUNCTION("""COMPUTED_VALUE"""),"Cultura comunitaria")</f>
        <v>Cultura comunitaria</v>
      </c>
      <c r="T527" s="30" t="str">
        <f ca="1">IFERROR(__xludf.DUMMYFUNCTION("""COMPUTED_VALUE"""),"Formación comunitaria")</f>
        <v>Formación comunitaria</v>
      </c>
      <c r="U527" s="30" t="str">
        <f ca="1">IFERROR(__xludf.DUMMYFUNCTION("""COMPUTED_VALUE"""),"Visitas escolares")</f>
        <v>Visitas escolares</v>
      </c>
      <c r="V527" s="30" t="str">
        <f ca="1">IFERROR(__xludf.DUMMYFUNCTION("""COMPUTED_VALUE"""),"Ninguna")</f>
        <v>Ninguna</v>
      </c>
      <c r="W527" s="30" t="str">
        <f ca="1">IFERROR(__xludf.DUMMYFUNCTION("""COMPUTED_VALUE"""),"Presencial")</f>
        <v>Presencial</v>
      </c>
      <c r="X527" s="30" t="str">
        <f ca="1">IFERROR(__xludf.DUMMYFUNCTION("""COMPUTED_VALUE"""),"Espacio a Cargo de la Secretaría")</f>
        <v>Espacio a Cargo de la Secretaría</v>
      </c>
      <c r="Y527" s="30" t="str">
        <f ca="1">IFERROR(__xludf.DUMMYFUNCTION("""COMPUTED_VALUE"""),"Museo Casa Diego Rivera")</f>
        <v>Museo Casa Diego Rivera</v>
      </c>
      <c r="Z527" s="30"/>
      <c r="AA527" s="30"/>
      <c r="AB527" s="30" t="b">
        <f ca="1">IFERROR(__xludf.DUMMYFUNCTION("""COMPUTED_VALUE"""),FALSE)</f>
        <v>0</v>
      </c>
      <c r="AC527" s="30"/>
      <c r="AD527" s="30" t="b">
        <f ca="1">IFERROR(__xludf.DUMMYFUNCTION("""COMPUTED_VALUE"""),FALSE)</f>
        <v>0</v>
      </c>
      <c r="AE527" s="30"/>
      <c r="AF527" s="30" t="b">
        <f ca="1">IFERROR(__xludf.DUMMYFUNCTION("""COMPUTED_VALUE"""),FALSE)</f>
        <v>0</v>
      </c>
      <c r="AG527" s="30"/>
      <c r="AH527" s="30" t="str">
        <f ca="1">IFERROR(__xludf.DUMMYFUNCTION("""COMPUTED_VALUE"""),"Sin costo")</f>
        <v>Sin costo</v>
      </c>
      <c r="AI527" s="30"/>
      <c r="AJ527" s="30"/>
      <c r="AK527" s="30"/>
      <c r="AL527" s="30" t="str">
        <f ca="1">IFERROR(__xludf.DUMMYFUNCTION("""COMPUTED_VALUE"""),"ccardonav@guanajuato.gob.mx")</f>
        <v>ccardonav@guanajuato.gob.mx</v>
      </c>
      <c r="AM527" s="30" t="str">
        <f ca="1">IFERROR(__xludf.DUMMYFUNCTION("""COMPUTED_VALUE"""),"Arraigo y empoderamiento cultural de comunidades.")</f>
        <v>Arraigo y empoderamiento cultural de comunidades.</v>
      </c>
      <c r="AN527" s="30" t="str">
        <f ca="1">IFERROR(__xludf.DUMMYFUNCTION("""COMPUTED_VALUE"""),"1 Tranquilidad")</f>
        <v>1 Tranquilidad</v>
      </c>
      <c r="AO527" s="30" t="str">
        <f ca="1">IFERROR(__xludf.DUMMYFUNCTION("""COMPUTED_VALUE"""),"1.2 Fortalecer prevención del delito")</f>
        <v>1.2 Fortalecer prevención del delito</v>
      </c>
      <c r="AP527" s="30" t="str">
        <f ca="1">IFERROR(__xludf.DUMMYFUNCTION("""COMPUTED_VALUE"""),"1.2.2 Fortalecimiento del tejido social")</f>
        <v>1.2.2 Fortalecimiento del tejido social</v>
      </c>
      <c r="AQ527" s="30" t="str">
        <f ca="1">IFERROR(__xludf.DUMMYFUNCTION("""COMPUTED_VALUE"""),"1.2.3.4 Promover una cultura de paz desde las expresiones artísticas y culturales")</f>
        <v>1.2.3.4 Promover una cultura de paz desde las expresiones artísticas y culturales</v>
      </c>
      <c r="AR527" s="30" t="str">
        <f ca="1">IFERROR(__xludf.DUMMYFUNCTION("""COMPUTED_VALUE"""),"Cooperación")</f>
        <v>Cooperación</v>
      </c>
      <c r="AS527" s="30"/>
      <c r="AT527" s="30" t="str">
        <f ca="1">IFERROR(__xludf.DUMMYFUNCTION("""COMPUTED_VALUE"""),"Fortalecimiento de la participación ciudadana y la mediación cultural")</f>
        <v>Fortalecimiento de la participación ciudadana y la mediación cultural</v>
      </c>
      <c r="AU527" s="30" t="str">
        <f ca="1">IFERROR(__xludf.DUMMYFUNCTION("""COMPUTED_VALUE"""),"Impulso a la ampliación de la oferta cultural en los territorios.")</f>
        <v>Impulso a la ampliación de la oferta cultural en los territorios.</v>
      </c>
      <c r="AV52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7" s="30" t="str">
        <f ca="1">IFERROR(__xludf.DUMMYFUNCTION("""COMPUTED_VALUE"""),"Incrementar en 25% la oferta cultural realizada en los municipios.")</f>
        <v>Incrementar en 25% la oferta cultural realizada en los municipios.</v>
      </c>
      <c r="AX527" s="30" t="str">
        <f ca="1">IFERROR(__xludf.DUMMYFUNCTION("""COMPUTED_VALUE"""),"Visitas escolares")</f>
        <v>Visitas escolares</v>
      </c>
      <c r="AY527" s="30" t="str">
        <f ca="1">IFERROR(__xludf.DUMMYFUNCTION("""COMPUTED_VALUE"""),"Formación")</f>
        <v>Formación</v>
      </c>
      <c r="AZ527" s="30" t="str">
        <f ca="1">IFERROR(__xludf.DUMMYFUNCTION("""COMPUTED_VALUE"""),"Formación")</f>
        <v>Formación</v>
      </c>
      <c r="BA527" s="30"/>
      <c r="BB527" s="30"/>
      <c r="BC527" s="30">
        <f ca="1">IFERROR(__xludf.DUMMYFUNCTION("""COMPUTED_VALUE"""),0)</f>
        <v>0</v>
      </c>
      <c r="BD527" s="30"/>
      <c r="BE527" s="30"/>
      <c r="BF527" s="30" t="b">
        <f ca="1">IFERROR(__xludf.DUMMYFUNCTION("""COMPUTED_VALUE"""),FALSE)</f>
        <v>0</v>
      </c>
      <c r="BG527" s="30"/>
      <c r="BH527" s="30"/>
      <c r="BI527" s="30"/>
      <c r="BJ527" s="30"/>
      <c r="BK527" s="30"/>
      <c r="BL527" s="30"/>
      <c r="BM527" s="30" t="str">
        <f ca="1">IFERROR(__xludf.DUMMYFUNCTION("""COMPUTED_VALUE"""),"No")</f>
        <v>No</v>
      </c>
      <c r="BN527" s="30"/>
      <c r="BO527" s="30" t="str">
        <f ca="1">IFERROR(__xludf.DUMMYFUNCTION("""COMPUTED_VALUE"""),"d3711ac1")</f>
        <v>d3711ac1</v>
      </c>
      <c r="BP527" s="29" t="str">
        <f ca="1">IFERROR(__xludf.DUMMYFUNCTION("""COMPUTED_VALUE"""),"Salamanca")</f>
        <v>Salamanca</v>
      </c>
      <c r="BQ527" s="30" t="str">
        <f ca="1">IFERROR(__xludf.DUMMYFUNCTION("""COMPUTED_VALUE"""),"Urbano")</f>
        <v>Urbano</v>
      </c>
      <c r="BR527" s="30">
        <f ca="1">IFERROR(__xludf.DUMMYFUNCTION("""COMPUTED_VALUE"""),181)</f>
        <v>181</v>
      </c>
      <c r="BS527" s="30" t="str">
        <f ca="1">IFERROR(__xludf.DUMMYFUNCTION("""COMPUTED_VALUE"""),"Salamanca")</f>
        <v>Salamanca</v>
      </c>
      <c r="BT527" s="30"/>
      <c r="BU527" s="30" t="str">
        <f ca="1">IFERROR(__xludf.DUMMYFUNCTION("""COMPUTED_VALUE"""),"Si")</f>
        <v>Si</v>
      </c>
      <c r="BV527" s="30" t="str">
        <f ca="1">IFERROR(__xludf.DUMMYFUNCTION("""COMPUTED_VALUE"""),"Si")</f>
        <v>Si</v>
      </c>
      <c r="BW527" s="30">
        <f ca="1">IFERROR(__xludf.DUMMYFUNCTION("""COMPUTED_VALUE"""),106)</f>
        <v>106</v>
      </c>
      <c r="BX527" s="30">
        <f ca="1">IFERROR(__xludf.DUMMYFUNCTION("""COMPUTED_VALUE"""),1)</f>
        <v>1</v>
      </c>
      <c r="BY527" s="30">
        <f ca="1">IFERROR(__xludf.DUMMYFUNCTION("""COMPUTED_VALUE"""),105)</f>
        <v>105</v>
      </c>
      <c r="BZ527" s="30" t="str">
        <f ca="1">IFERROR(__xludf.DUMMYFUNCTION("""COMPUTED_VALUE"""),"Salamanca")</f>
        <v>Salamanca</v>
      </c>
      <c r="CA527" s="30" t="str">
        <f ca="1">IFERROR(__xludf.DUMMYFUNCTION("""COMPUTED_VALUE"""),"No")</f>
        <v>No</v>
      </c>
      <c r="CB527" s="30" t="str">
        <f ca="1">IFERROR(__xludf.DUMMYFUNCTION("""COMPUTED_VALUE"""),"No")</f>
        <v>No</v>
      </c>
      <c r="CC527" s="30" t="str">
        <f ca="1">IFERROR(__xludf.DUMMYFUNCTION("""COMPUTED_VALUE"""),"331594ee")</f>
        <v>331594ee</v>
      </c>
      <c r="CD527" s="29" t="str">
        <f ca="1">IFERROR(__xludf.DUMMYFUNCTION("""COMPUTED_VALUE"""),"Adolescentes (13 a 17 años)")</f>
        <v>Adolescentes (13 a 17 años)</v>
      </c>
      <c r="CE527" s="30" t="str">
        <f ca="1">IFERROR(__xludf.DUMMYFUNCTION("""COMPUTED_VALUE"""),"No se cuenta con el dato")</f>
        <v>No se cuenta con el dato</v>
      </c>
      <c r="CF527" s="30" t="str">
        <f ca="1">IFERROR(__xludf.DUMMYFUNCTION("""COMPUTED_VALUE"""),"NNA (Niñas, Niños y Adolescentes)")</f>
        <v>NNA (Niñas, Niños y Adolescentes)</v>
      </c>
      <c r="CG527" s="30">
        <f ca="1">IFERROR(__xludf.DUMMYFUNCTION("""COMPUTED_VALUE"""),18)</f>
        <v>18</v>
      </c>
      <c r="CJ527" s="29"/>
      <c r="CM527" s="30" t="str">
        <f ca="1">IFERROR(__xludf.DUMMYFUNCTION("""COMPUTED_VALUE"""),"Doctor Mora")</f>
        <v>Doctor Mora</v>
      </c>
      <c r="CN527" s="32" t="e">
        <f ca="1"/>
        <v>#NAME?</v>
      </c>
      <c r="CO527" s="32" t="e">
        <f ca="1"/>
        <v>#NAME?</v>
      </c>
      <c r="CP527" s="32" t="e">
        <f ca="1"/>
        <v>#NAME?</v>
      </c>
      <c r="CQ527" s="32" t="e">
        <f ca="1"/>
        <v>#NAME?</v>
      </c>
      <c r="CR527" s="30" t="e">
        <f ca="1"/>
        <v>#NAME?</v>
      </c>
      <c r="CS527" s="30" t="str">
        <f ca="1">IFERROR(__xludf.DUMMYFUNCTION("""COMPUTED_VALUE"""),"Ninguno (Población General), Ninguno (Población General), Ninguno (Población General)")</f>
        <v>Ninguno (Población General), Ninguno (Población General), Ninguno (Población General)</v>
      </c>
    </row>
    <row r="528" spans="1:97" ht="13">
      <c r="A528" s="29" t="str">
        <f ca="1">IFERROR(__xludf.DUMMYFUNCTION("""COMPUTED_VALUE"""),"ACT-SCYN03633")</f>
        <v>ACT-SCYN03633</v>
      </c>
      <c r="B528" s="30" t="str">
        <f ca="1">IFERROR(__xludf.DUMMYFUNCTION("""COMPUTED_VALUE"""),"SC-261006-125549")</f>
        <v>SC-261006-125549</v>
      </c>
      <c r="C528" s="62">
        <f ca="1">IFERROR(__xludf.DUMMYFUNCTION("""COMPUTED_VALUE"""),46301.538761574)</f>
        <v>46301.538761573996</v>
      </c>
      <c r="D528" s="30">
        <f ca="1">IFERROR(__xludf.DUMMYFUNCTION("""COMPUTED_VALUE"""),92)</f>
        <v>92</v>
      </c>
      <c r="E528" s="30" t="str">
        <f ca="1">IFERROR(__xludf.DUMMYFUNCTION("""COMPUTED_VALUE"""),"PB3572")</f>
        <v>PB3572</v>
      </c>
      <c r="F52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8" s="30" t="str">
        <f ca="1">IFERROR(__xludf.DUMMYFUNCTION("""COMPUTED_VALUE"""),"SUBSECRETARÍA DE DESARROLLO Y PROMOCIÓN ARTÍSTICA Y CULTURAL")</f>
        <v>SUBSECRETARÍA DE DESARROLLO Y PROMOCIÓN ARTÍSTICA Y CULTURAL</v>
      </c>
      <c r="I528" s="34" t="str">
        <f ca="1">IFERROR(__xludf.DUMMYFUNCTION("""COMPUTED_VALUE"""),"DIRECCIÓN GENERAL DE MUSEOS, ARTES VISUALES Y EXPOSICIONES")</f>
        <v>DIRECCIÓN GENERAL DE MUSEOS, ARTES VISUALES Y EXPOSICIONES</v>
      </c>
      <c r="J528" s="30" t="str">
        <f ca="1">IFERROR(__xludf.DUMMYFUNCTION("""COMPUTED_VALUE"""),"Número de Actividades realizadas")</f>
        <v>Número de Actividades realizadas</v>
      </c>
      <c r="K528" s="30">
        <f ca="1">IFERROR(__xludf.DUMMYFUNCTION("""COMPUTED_VALUE"""),800)</f>
        <v>800</v>
      </c>
      <c r="L528" s="30" t="str">
        <f ca="1">IFERROR(__xludf.DUMMYFUNCTION("""COMPUTED_VALUE"""),"Cultural")</f>
        <v>Cultural</v>
      </c>
      <c r="M528" s="30" t="str">
        <f ca="1">IFERROR(__xludf.DUMMYFUNCTION("""COMPUTED_VALUE"""),"Recorrido guiado ""Universidad Autónoma de San Luis Potosí""")</f>
        <v>Recorrido guiado "Universidad Autónoma de San Luis Potosí"</v>
      </c>
      <c r="N528" s="30" t="str">
        <f ca="1">IFERROR(__xludf.DUMMYFUNCTION("""COMPUTED_VALUE"""),"Recorrido guiado por el museo")</f>
        <v>Recorrido guiado por el museo</v>
      </c>
      <c r="O528" s="30" t="str">
        <f ca="1">IFERROR(__xludf.DUMMYFUNCTION("""COMPUTED_VALUE"""),"Única")</f>
        <v>Única</v>
      </c>
      <c r="P528" s="33">
        <f ca="1">IFERROR(__xludf.DUMMYFUNCTION("""COMPUTED_VALUE"""),46175)</f>
        <v>46175</v>
      </c>
      <c r="Q528" s="33">
        <f ca="1">IFERROR(__xludf.DUMMYFUNCTION("""COMPUTED_VALUE"""),46175)</f>
        <v>46175</v>
      </c>
      <c r="R528" s="30">
        <f ca="1">IFERROR(__xludf.DUMMYFUNCTION("""COMPUTED_VALUE"""),1)</f>
        <v>1</v>
      </c>
      <c r="S528" s="30" t="str">
        <f ca="1">IFERROR(__xludf.DUMMYFUNCTION("""COMPUTED_VALUE"""),"Cultura comunitaria")</f>
        <v>Cultura comunitaria</v>
      </c>
      <c r="T528" s="30" t="str">
        <f ca="1">IFERROR(__xludf.DUMMYFUNCTION("""COMPUTED_VALUE"""),"Formación comunitaria")</f>
        <v>Formación comunitaria</v>
      </c>
      <c r="U528" s="30" t="str">
        <f ca="1">IFERROR(__xludf.DUMMYFUNCTION("""COMPUTED_VALUE"""),"Visitas escolares")</f>
        <v>Visitas escolares</v>
      </c>
      <c r="V528" s="30" t="str">
        <f ca="1">IFERROR(__xludf.DUMMYFUNCTION("""COMPUTED_VALUE"""),"Ninguna")</f>
        <v>Ninguna</v>
      </c>
      <c r="W528" s="30" t="str">
        <f ca="1">IFERROR(__xludf.DUMMYFUNCTION("""COMPUTED_VALUE"""),"Presencial")</f>
        <v>Presencial</v>
      </c>
      <c r="X528" s="30" t="str">
        <f ca="1">IFERROR(__xludf.DUMMYFUNCTION("""COMPUTED_VALUE"""),"Espacio a Cargo de la Secretaría")</f>
        <v>Espacio a Cargo de la Secretaría</v>
      </c>
      <c r="Y528" s="30" t="str">
        <f ca="1">IFERROR(__xludf.DUMMYFUNCTION("""COMPUTED_VALUE"""),"Museo Casa Diego Rivera")</f>
        <v>Museo Casa Diego Rivera</v>
      </c>
      <c r="Z528" s="30"/>
      <c r="AA528" s="30"/>
      <c r="AB528" s="30" t="b">
        <f ca="1">IFERROR(__xludf.DUMMYFUNCTION("""COMPUTED_VALUE"""),FALSE)</f>
        <v>0</v>
      </c>
      <c r="AC528" s="30"/>
      <c r="AD528" s="30" t="b">
        <f ca="1">IFERROR(__xludf.DUMMYFUNCTION("""COMPUTED_VALUE"""),FALSE)</f>
        <v>0</v>
      </c>
      <c r="AE528" s="30"/>
      <c r="AF528" s="30" t="b">
        <f ca="1">IFERROR(__xludf.DUMMYFUNCTION("""COMPUTED_VALUE"""),FALSE)</f>
        <v>0</v>
      </c>
      <c r="AG528" s="30"/>
      <c r="AH528" s="30" t="str">
        <f ca="1">IFERROR(__xludf.DUMMYFUNCTION("""COMPUTED_VALUE"""),"Sin costo")</f>
        <v>Sin costo</v>
      </c>
      <c r="AI528" s="30"/>
      <c r="AJ528" s="30"/>
      <c r="AK528" s="30"/>
      <c r="AL528" s="30" t="str">
        <f ca="1">IFERROR(__xludf.DUMMYFUNCTION("""COMPUTED_VALUE"""),"ccardonav@guanajuato.gob.mx")</f>
        <v>ccardonav@guanajuato.gob.mx</v>
      </c>
      <c r="AM528" s="30" t="str">
        <f ca="1">IFERROR(__xludf.DUMMYFUNCTION("""COMPUTED_VALUE"""),"Arraigo y empoderamiento cultural de comunidades.")</f>
        <v>Arraigo y empoderamiento cultural de comunidades.</v>
      </c>
      <c r="AN528" s="30" t="str">
        <f ca="1">IFERROR(__xludf.DUMMYFUNCTION("""COMPUTED_VALUE"""),"1 Tranquilidad")</f>
        <v>1 Tranquilidad</v>
      </c>
      <c r="AO528" s="30" t="str">
        <f ca="1">IFERROR(__xludf.DUMMYFUNCTION("""COMPUTED_VALUE"""),"1.2 Fortalecer prevención del delito")</f>
        <v>1.2 Fortalecer prevención del delito</v>
      </c>
      <c r="AP528" s="30" t="str">
        <f ca="1">IFERROR(__xludf.DUMMYFUNCTION("""COMPUTED_VALUE"""),"1.2.2 Fortalecimiento del tejido social")</f>
        <v>1.2.2 Fortalecimiento del tejido social</v>
      </c>
      <c r="AQ528" s="30" t="str">
        <f ca="1">IFERROR(__xludf.DUMMYFUNCTION("""COMPUTED_VALUE"""),"1.2.3.4 Promover una cultura de paz desde las expresiones artísticas y culturales")</f>
        <v>1.2.3.4 Promover una cultura de paz desde las expresiones artísticas y culturales</v>
      </c>
      <c r="AR528" s="30" t="str">
        <f ca="1">IFERROR(__xludf.DUMMYFUNCTION("""COMPUTED_VALUE"""),"Cooperación")</f>
        <v>Cooperación</v>
      </c>
      <c r="AS528" s="30"/>
      <c r="AT528" s="30" t="str">
        <f ca="1">IFERROR(__xludf.DUMMYFUNCTION("""COMPUTED_VALUE"""),"Fortalecimiento de la participación ciudadana y la mediación cultural")</f>
        <v>Fortalecimiento de la participación ciudadana y la mediación cultural</v>
      </c>
      <c r="AU528" s="30" t="str">
        <f ca="1">IFERROR(__xludf.DUMMYFUNCTION("""COMPUTED_VALUE"""),"Impulso a la ampliación de la oferta cultural en los territorios.")</f>
        <v>Impulso a la ampliación de la oferta cultural en los territorios.</v>
      </c>
      <c r="AV52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8" s="30" t="str">
        <f ca="1">IFERROR(__xludf.DUMMYFUNCTION("""COMPUTED_VALUE"""),"Incrementar en 25% la oferta cultural realizada en los municipios.")</f>
        <v>Incrementar en 25% la oferta cultural realizada en los municipios.</v>
      </c>
      <c r="AX528" s="30" t="str">
        <f ca="1">IFERROR(__xludf.DUMMYFUNCTION("""COMPUTED_VALUE"""),"Visitas escolares")</f>
        <v>Visitas escolares</v>
      </c>
      <c r="AY528" s="30" t="str">
        <f ca="1">IFERROR(__xludf.DUMMYFUNCTION("""COMPUTED_VALUE"""),"Formación")</f>
        <v>Formación</v>
      </c>
      <c r="AZ528" s="30" t="str">
        <f ca="1">IFERROR(__xludf.DUMMYFUNCTION("""COMPUTED_VALUE"""),"Formación")</f>
        <v>Formación</v>
      </c>
      <c r="BA528" s="30"/>
      <c r="BB528" s="30"/>
      <c r="BC528" s="30">
        <f ca="1">IFERROR(__xludf.DUMMYFUNCTION("""COMPUTED_VALUE"""),0)</f>
        <v>0</v>
      </c>
      <c r="BD528" s="30"/>
      <c r="BE528" s="30"/>
      <c r="BF528" s="30" t="b">
        <f ca="1">IFERROR(__xludf.DUMMYFUNCTION("""COMPUTED_VALUE"""),FALSE)</f>
        <v>0</v>
      </c>
      <c r="BG528" s="30"/>
      <c r="BH528" s="30"/>
      <c r="BI528" s="30"/>
      <c r="BJ528" s="30"/>
      <c r="BK528" s="30"/>
      <c r="BL528" s="30"/>
      <c r="BM528" s="30" t="str">
        <f ca="1">IFERROR(__xludf.DUMMYFUNCTION("""COMPUTED_VALUE"""),"No")</f>
        <v>No</v>
      </c>
      <c r="BN528" s="30"/>
      <c r="BO528" s="30" t="str">
        <f ca="1">IFERROR(__xludf.DUMMYFUNCTION("""COMPUTED_VALUE"""),"25519da3")</f>
        <v>25519da3</v>
      </c>
      <c r="BP528" s="29" t="str">
        <f ca="1">IFERROR(__xludf.DUMMYFUNCTION("""COMPUTED_VALUE"""),"Guanajuato")</f>
        <v>Guanajuato</v>
      </c>
      <c r="BQ528" s="30" t="str">
        <f ca="1">IFERROR(__xludf.DUMMYFUNCTION("""COMPUTED_VALUE"""),"Urbano")</f>
        <v>Urbano</v>
      </c>
      <c r="BR528" s="30"/>
      <c r="BS528" s="30"/>
      <c r="BT528" s="30"/>
      <c r="BU528" s="30" t="str">
        <f ca="1">IFERROR(__xludf.DUMMYFUNCTION("""COMPUTED_VALUE"""),"No")</f>
        <v>No</v>
      </c>
      <c r="BV528" s="30" t="str">
        <f ca="1">IFERROR(__xludf.DUMMYFUNCTION("""COMPUTED_VALUE"""),"No")</f>
        <v>No</v>
      </c>
      <c r="BW528" s="30">
        <f ca="1">IFERROR(__xludf.DUMMYFUNCTION("""COMPUTED_VALUE"""),10)</f>
        <v>10</v>
      </c>
      <c r="BX528" s="30"/>
      <c r="BY528" s="30">
        <f ca="1">IFERROR(__xludf.DUMMYFUNCTION("""COMPUTED_VALUE"""),10)</f>
        <v>10</v>
      </c>
      <c r="BZ528" s="30"/>
      <c r="CA528" s="30" t="str">
        <f ca="1">IFERROR(__xludf.DUMMYFUNCTION("""COMPUTED_VALUE"""),"No")</f>
        <v>No</v>
      </c>
      <c r="CB528" s="30" t="str">
        <f ca="1">IFERROR(__xludf.DUMMYFUNCTION("""COMPUTED_VALUE"""),"No")</f>
        <v>No</v>
      </c>
      <c r="CC528" s="30" t="str">
        <f ca="1">IFERROR(__xludf.DUMMYFUNCTION("""COMPUTED_VALUE"""),"1fea86c2")</f>
        <v>1fea86c2</v>
      </c>
      <c r="CD528" s="29" t="str">
        <f ca="1">IFERROR(__xludf.DUMMYFUNCTION("""COMPUTED_VALUE"""),"Adultos Mayores (60 años o más)")</f>
        <v>Adultos Mayores (60 años o más)</v>
      </c>
      <c r="CE528" s="30" t="str">
        <f ca="1">IFERROR(__xludf.DUMMYFUNCTION("""COMPUTED_VALUE"""),"No se cuenta con el dato")</f>
        <v>No se cuenta con el dato</v>
      </c>
      <c r="CF528" s="30" t="str">
        <f ca="1">IFERROR(__xludf.DUMMYFUNCTION("""COMPUTED_VALUE"""),"Ninguno (Población General)")</f>
        <v>Ninguno (Población General)</v>
      </c>
      <c r="CG528" s="30">
        <f ca="1">IFERROR(__xludf.DUMMYFUNCTION("""COMPUTED_VALUE"""),25)</f>
        <v>25</v>
      </c>
      <c r="CJ528" s="29"/>
      <c r="CM528" s="30" t="str">
        <f ca="1">IFERROR(__xludf.DUMMYFUNCTION("""COMPUTED_VALUE"""),"Salvatierra")</f>
        <v>Salvatierra</v>
      </c>
      <c r="CN528" s="32" t="e">
        <f ca="1"/>
        <v>#NAME?</v>
      </c>
      <c r="CO528" s="32" t="e">
        <f ca="1"/>
        <v>#NAME?</v>
      </c>
      <c r="CP528" s="32" t="e">
        <f ca="1"/>
        <v>#NAME?</v>
      </c>
      <c r="CQ528" s="32" t="e">
        <f ca="1"/>
        <v>#NAME?</v>
      </c>
      <c r="CR528" s="30" t="e">
        <f ca="1"/>
        <v>#NAME?</v>
      </c>
      <c r="CS528" s="30" t="str">
        <f ca="1">IFERROR(__xludf.DUMMYFUNCTION("""COMPUTED_VALUE"""),"Ninguno (Población General), Ninguno (Población General), Ninguno (Población General)")</f>
        <v>Ninguno (Población General), Ninguno (Población General), Ninguno (Población General)</v>
      </c>
    </row>
    <row r="529" spans="1:97" ht="13">
      <c r="A529" s="29" t="str">
        <f ca="1">IFERROR(__xludf.DUMMYFUNCTION("""COMPUTED_VALUE"""),"ACT-SCWM36595")</f>
        <v>ACT-SCWM36595</v>
      </c>
      <c r="B529" s="30" t="str">
        <f ca="1">IFERROR(__xludf.DUMMYFUNCTION("""COMPUTED_VALUE"""),"SC-261006-125808")</f>
        <v>SC-261006-125808</v>
      </c>
      <c r="C529" s="62">
        <f ca="1">IFERROR(__xludf.DUMMYFUNCTION("""COMPUTED_VALUE"""),46301.5403703703)</f>
        <v>46301.540370370298</v>
      </c>
      <c r="D529" s="30">
        <f ca="1">IFERROR(__xludf.DUMMYFUNCTION("""COMPUTED_VALUE"""),92)</f>
        <v>92</v>
      </c>
      <c r="E529" s="30" t="str">
        <f ca="1">IFERROR(__xludf.DUMMYFUNCTION("""COMPUTED_VALUE"""),"PB3572")</f>
        <v>PB3572</v>
      </c>
      <c r="F52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2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29" s="30" t="str">
        <f ca="1">IFERROR(__xludf.DUMMYFUNCTION("""COMPUTED_VALUE"""),"SUBSECRETARÍA DE DESARROLLO Y PROMOCIÓN ARTÍSTICA Y CULTURAL")</f>
        <v>SUBSECRETARÍA DE DESARROLLO Y PROMOCIÓN ARTÍSTICA Y CULTURAL</v>
      </c>
      <c r="I529" s="34" t="str">
        <f ca="1">IFERROR(__xludf.DUMMYFUNCTION("""COMPUTED_VALUE"""),"DIRECCIÓN GENERAL DE MUSEOS, ARTES VISUALES Y EXPOSICIONES")</f>
        <v>DIRECCIÓN GENERAL DE MUSEOS, ARTES VISUALES Y EXPOSICIONES</v>
      </c>
      <c r="J529" s="30" t="str">
        <f ca="1">IFERROR(__xludf.DUMMYFUNCTION("""COMPUTED_VALUE"""),"Número de Actividades realizadas")</f>
        <v>Número de Actividades realizadas</v>
      </c>
      <c r="K529" s="30">
        <f ca="1">IFERROR(__xludf.DUMMYFUNCTION("""COMPUTED_VALUE"""),800)</f>
        <v>800</v>
      </c>
      <c r="L529" s="30" t="str">
        <f ca="1">IFERROR(__xludf.DUMMYFUNCTION("""COMPUTED_VALUE"""),"Cultural")</f>
        <v>Cultural</v>
      </c>
      <c r="M529" s="30" t="str">
        <f ca="1">IFERROR(__xludf.DUMMYFUNCTION("""COMPUTED_VALUE"""),"Recorrido Guiado ""Unviersidad de La Salle Bajío""")</f>
        <v>Recorrido Guiado "Unviersidad de La Salle Bajío"</v>
      </c>
      <c r="N529" s="30" t="str">
        <f ca="1">IFERROR(__xludf.DUMMYFUNCTION("""COMPUTED_VALUE"""),"Recorrido guiado por el museo")</f>
        <v>Recorrido guiado por el museo</v>
      </c>
      <c r="O529" s="30" t="str">
        <f ca="1">IFERROR(__xludf.DUMMYFUNCTION("""COMPUTED_VALUE"""),"Única")</f>
        <v>Única</v>
      </c>
      <c r="P529" s="33">
        <f ca="1">IFERROR(__xludf.DUMMYFUNCTION("""COMPUTED_VALUE"""),46182)</f>
        <v>46182</v>
      </c>
      <c r="Q529" s="33">
        <f ca="1">IFERROR(__xludf.DUMMYFUNCTION("""COMPUTED_VALUE"""),46182)</f>
        <v>46182</v>
      </c>
      <c r="R529" s="30">
        <f ca="1">IFERROR(__xludf.DUMMYFUNCTION("""COMPUTED_VALUE"""),1)</f>
        <v>1</v>
      </c>
      <c r="S529" s="30" t="str">
        <f ca="1">IFERROR(__xludf.DUMMYFUNCTION("""COMPUTED_VALUE"""),"Cultura comunitaria")</f>
        <v>Cultura comunitaria</v>
      </c>
      <c r="T529" s="30" t="str">
        <f ca="1">IFERROR(__xludf.DUMMYFUNCTION("""COMPUTED_VALUE"""),"Formación comunitaria")</f>
        <v>Formación comunitaria</v>
      </c>
      <c r="U529" s="30" t="str">
        <f ca="1">IFERROR(__xludf.DUMMYFUNCTION("""COMPUTED_VALUE"""),"Visitas escolares")</f>
        <v>Visitas escolares</v>
      </c>
      <c r="V529" s="30" t="str">
        <f ca="1">IFERROR(__xludf.DUMMYFUNCTION("""COMPUTED_VALUE"""),"Ninguna")</f>
        <v>Ninguna</v>
      </c>
      <c r="W529" s="30" t="str">
        <f ca="1">IFERROR(__xludf.DUMMYFUNCTION("""COMPUTED_VALUE"""),"Presencial")</f>
        <v>Presencial</v>
      </c>
      <c r="X529" s="30" t="str">
        <f ca="1">IFERROR(__xludf.DUMMYFUNCTION("""COMPUTED_VALUE"""),"Espacio a Cargo de la Secretaría")</f>
        <v>Espacio a Cargo de la Secretaría</v>
      </c>
      <c r="Y529" s="30" t="str">
        <f ca="1">IFERROR(__xludf.DUMMYFUNCTION("""COMPUTED_VALUE"""),"Museo Casa Diego Rivera")</f>
        <v>Museo Casa Diego Rivera</v>
      </c>
      <c r="Z529" s="30"/>
      <c r="AA529" s="30"/>
      <c r="AB529" s="30" t="b">
        <f ca="1">IFERROR(__xludf.DUMMYFUNCTION("""COMPUTED_VALUE"""),FALSE)</f>
        <v>0</v>
      </c>
      <c r="AC529" s="30"/>
      <c r="AD529" s="30" t="b">
        <f ca="1">IFERROR(__xludf.DUMMYFUNCTION("""COMPUTED_VALUE"""),FALSE)</f>
        <v>0</v>
      </c>
      <c r="AE529" s="30"/>
      <c r="AF529" s="30" t="b">
        <f ca="1">IFERROR(__xludf.DUMMYFUNCTION("""COMPUTED_VALUE"""),FALSE)</f>
        <v>0</v>
      </c>
      <c r="AG529" s="30"/>
      <c r="AH529" s="30" t="str">
        <f ca="1">IFERROR(__xludf.DUMMYFUNCTION("""COMPUTED_VALUE"""),"Sin costo")</f>
        <v>Sin costo</v>
      </c>
      <c r="AI529" s="30"/>
      <c r="AJ529" s="30"/>
      <c r="AK529" s="30"/>
      <c r="AL529" s="30" t="str">
        <f ca="1">IFERROR(__xludf.DUMMYFUNCTION("""COMPUTED_VALUE"""),"ccardonav@guanajuato.gob.mx")</f>
        <v>ccardonav@guanajuato.gob.mx</v>
      </c>
      <c r="AM529" s="30" t="str">
        <f ca="1">IFERROR(__xludf.DUMMYFUNCTION("""COMPUTED_VALUE"""),"Arraigo y empoderamiento cultural de comunidades.")</f>
        <v>Arraigo y empoderamiento cultural de comunidades.</v>
      </c>
      <c r="AN529" s="30" t="str">
        <f ca="1">IFERROR(__xludf.DUMMYFUNCTION("""COMPUTED_VALUE"""),"1 Tranquilidad")</f>
        <v>1 Tranquilidad</v>
      </c>
      <c r="AO529" s="30" t="str">
        <f ca="1">IFERROR(__xludf.DUMMYFUNCTION("""COMPUTED_VALUE"""),"1.2 Fortalecer prevención del delito")</f>
        <v>1.2 Fortalecer prevención del delito</v>
      </c>
      <c r="AP529" s="30" t="str">
        <f ca="1">IFERROR(__xludf.DUMMYFUNCTION("""COMPUTED_VALUE"""),"1.2.2 Fortalecimiento del tejido social")</f>
        <v>1.2.2 Fortalecimiento del tejido social</v>
      </c>
      <c r="AQ529" s="30" t="str">
        <f ca="1">IFERROR(__xludf.DUMMYFUNCTION("""COMPUTED_VALUE"""),"1.2.3.4 Promover una cultura de paz desde las expresiones artísticas y culturales")</f>
        <v>1.2.3.4 Promover una cultura de paz desde las expresiones artísticas y culturales</v>
      </c>
      <c r="AR529" s="30" t="str">
        <f ca="1">IFERROR(__xludf.DUMMYFUNCTION("""COMPUTED_VALUE"""),"Cooperación")</f>
        <v>Cooperación</v>
      </c>
      <c r="AS529" s="30"/>
      <c r="AT529" s="30" t="str">
        <f ca="1">IFERROR(__xludf.DUMMYFUNCTION("""COMPUTED_VALUE"""),"Fortalecimiento de la participación ciudadana y la mediación cultural")</f>
        <v>Fortalecimiento de la participación ciudadana y la mediación cultural</v>
      </c>
      <c r="AU529" s="30" t="str">
        <f ca="1">IFERROR(__xludf.DUMMYFUNCTION("""COMPUTED_VALUE"""),"Impulso a la ampliación de la oferta cultural en los territorios.")</f>
        <v>Impulso a la ampliación de la oferta cultural en los territorios.</v>
      </c>
      <c r="AV52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29" s="30" t="str">
        <f ca="1">IFERROR(__xludf.DUMMYFUNCTION("""COMPUTED_VALUE"""),"Incrementar en 25% la oferta cultural realizada en los municipios.")</f>
        <v>Incrementar en 25% la oferta cultural realizada en los municipios.</v>
      </c>
      <c r="AX529" s="30" t="str">
        <f ca="1">IFERROR(__xludf.DUMMYFUNCTION("""COMPUTED_VALUE"""),"Visitas escolares")</f>
        <v>Visitas escolares</v>
      </c>
      <c r="AY529" s="30" t="str">
        <f ca="1">IFERROR(__xludf.DUMMYFUNCTION("""COMPUTED_VALUE"""),"Formación")</f>
        <v>Formación</v>
      </c>
      <c r="AZ529" s="30" t="str">
        <f ca="1">IFERROR(__xludf.DUMMYFUNCTION("""COMPUTED_VALUE"""),"Formación")</f>
        <v>Formación</v>
      </c>
      <c r="BA529" s="30"/>
      <c r="BB529" s="30"/>
      <c r="BC529" s="30">
        <f ca="1">IFERROR(__xludf.DUMMYFUNCTION("""COMPUTED_VALUE"""),0)</f>
        <v>0</v>
      </c>
      <c r="BD529" s="30"/>
      <c r="BE529" s="30"/>
      <c r="BF529" s="30" t="b">
        <f ca="1">IFERROR(__xludf.DUMMYFUNCTION("""COMPUTED_VALUE"""),FALSE)</f>
        <v>0</v>
      </c>
      <c r="BG529" s="30"/>
      <c r="BH529" s="30"/>
      <c r="BI529" s="30"/>
      <c r="BJ529" s="30"/>
      <c r="BK529" s="30"/>
      <c r="BL529" s="30"/>
      <c r="BM529" s="30" t="str">
        <f ca="1">IFERROR(__xludf.DUMMYFUNCTION("""COMPUTED_VALUE"""),"No")</f>
        <v>No</v>
      </c>
      <c r="BN529" s="30"/>
      <c r="BO529" s="30" t="str">
        <f ca="1">IFERROR(__xludf.DUMMYFUNCTION("""COMPUTED_VALUE"""),"a53500cf")</f>
        <v>a53500cf</v>
      </c>
      <c r="BP529" s="29" t="str">
        <f ca="1">IFERROR(__xludf.DUMMYFUNCTION("""COMPUTED_VALUE"""),"Guanajuato")</f>
        <v>Guanajuato</v>
      </c>
      <c r="BQ529" s="30" t="str">
        <f ca="1">IFERROR(__xludf.DUMMYFUNCTION("""COMPUTED_VALUE"""),"Urbano")</f>
        <v>Urbano</v>
      </c>
      <c r="BR529" s="30"/>
      <c r="BS529" s="30"/>
      <c r="BT529" s="30"/>
      <c r="BU529" s="30" t="str">
        <f ca="1">IFERROR(__xludf.DUMMYFUNCTION("""COMPUTED_VALUE"""),"No")</f>
        <v>No</v>
      </c>
      <c r="BV529" s="30" t="str">
        <f ca="1">IFERROR(__xludf.DUMMYFUNCTION("""COMPUTED_VALUE"""),"No")</f>
        <v>No</v>
      </c>
      <c r="BW529" s="30">
        <f ca="1">IFERROR(__xludf.DUMMYFUNCTION("""COMPUTED_VALUE"""),17)</f>
        <v>17</v>
      </c>
      <c r="BX529" s="30"/>
      <c r="BY529" s="30">
        <f ca="1">IFERROR(__xludf.DUMMYFUNCTION("""COMPUTED_VALUE"""),17)</f>
        <v>17</v>
      </c>
      <c r="BZ529" s="30"/>
      <c r="CA529" s="30" t="str">
        <f ca="1">IFERROR(__xludf.DUMMYFUNCTION("""COMPUTED_VALUE"""),"No")</f>
        <v>No</v>
      </c>
      <c r="CB529" s="30" t="str">
        <f ca="1">IFERROR(__xludf.DUMMYFUNCTION("""COMPUTED_VALUE"""),"No")</f>
        <v>No</v>
      </c>
      <c r="CC529" s="30" t="str">
        <f ca="1">IFERROR(__xludf.DUMMYFUNCTION("""COMPUTED_VALUE"""),"36d10d21")</f>
        <v>36d10d21</v>
      </c>
      <c r="CD529" s="29" t="str">
        <f ca="1">IFERROR(__xludf.DUMMYFUNCTION("""COMPUTED_VALUE"""),"Adultos (30 a 59 años)")</f>
        <v>Adultos (30 a 59 años)</v>
      </c>
      <c r="CE529" s="30" t="str">
        <f ca="1">IFERROR(__xludf.DUMMYFUNCTION("""COMPUTED_VALUE"""),"No se cuenta con el dato")</f>
        <v>No se cuenta con el dato</v>
      </c>
      <c r="CF529" s="30" t="str">
        <f ca="1">IFERROR(__xludf.DUMMYFUNCTION("""COMPUTED_VALUE"""),"Ninguno (Población General)")</f>
        <v>Ninguno (Población General)</v>
      </c>
      <c r="CG529" s="30">
        <f ca="1">IFERROR(__xludf.DUMMYFUNCTION("""COMPUTED_VALUE"""),10)</f>
        <v>10</v>
      </c>
      <c r="CJ529" s="29"/>
      <c r="CM529" s="30" t="str">
        <f ca="1">IFERROR(__xludf.DUMMYFUNCTION("""COMPUTED_VALUE"""),"Ciudad Manuel Doblado")</f>
        <v>Ciudad Manuel Doblado</v>
      </c>
      <c r="CN529" s="32" t="e">
        <f ca="1"/>
        <v>#NAME?</v>
      </c>
      <c r="CO529" s="32" t="e">
        <f ca="1"/>
        <v>#NAME?</v>
      </c>
      <c r="CP529" s="32" t="e">
        <f ca="1"/>
        <v>#NAME?</v>
      </c>
      <c r="CQ529" s="32" t="e">
        <f ca="1"/>
        <v>#NAME?</v>
      </c>
      <c r="CR529" s="30" t="e">
        <f ca="1"/>
        <v>#NAME?</v>
      </c>
      <c r="CS529"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530" spans="1:97" ht="13">
      <c r="A530" s="29" t="str">
        <f ca="1">IFERROR(__xludf.DUMMYFUNCTION("""COMPUTED_VALUE"""),"ACT-SCDK79609")</f>
        <v>ACT-SCDK79609</v>
      </c>
      <c r="B530" s="30" t="str">
        <f ca="1">IFERROR(__xludf.DUMMYFUNCTION("""COMPUTED_VALUE"""),"SC-261006-130127")</f>
        <v>SC-261006-130127</v>
      </c>
      <c r="C530" s="62">
        <f ca="1">IFERROR(__xludf.DUMMYFUNCTION("""COMPUTED_VALUE"""),46301.5426736111)</f>
        <v>46301.542673611097</v>
      </c>
      <c r="D530" s="30">
        <f ca="1">IFERROR(__xludf.DUMMYFUNCTION("""COMPUTED_VALUE"""),92)</f>
        <v>92</v>
      </c>
      <c r="E530" s="30" t="str">
        <f ca="1">IFERROR(__xludf.DUMMYFUNCTION("""COMPUTED_VALUE"""),"PB3572")</f>
        <v>PB3572</v>
      </c>
      <c r="F53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3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30" s="30" t="str">
        <f ca="1">IFERROR(__xludf.DUMMYFUNCTION("""COMPUTED_VALUE"""),"SUBSECRETARÍA DE DESARROLLO Y PROMOCIÓN ARTÍSTICA Y CULTURAL")</f>
        <v>SUBSECRETARÍA DE DESARROLLO Y PROMOCIÓN ARTÍSTICA Y CULTURAL</v>
      </c>
      <c r="I530" s="34" t="str">
        <f ca="1">IFERROR(__xludf.DUMMYFUNCTION("""COMPUTED_VALUE"""),"DIRECCIÓN GENERAL DE MUSEOS, ARTES VISUALES Y EXPOSICIONES")</f>
        <v>DIRECCIÓN GENERAL DE MUSEOS, ARTES VISUALES Y EXPOSICIONES</v>
      </c>
      <c r="J530" s="30" t="str">
        <f ca="1">IFERROR(__xludf.DUMMYFUNCTION("""COMPUTED_VALUE"""),"Número de Actividades realizadas")</f>
        <v>Número de Actividades realizadas</v>
      </c>
      <c r="K530" s="30">
        <f ca="1">IFERROR(__xludf.DUMMYFUNCTION("""COMPUTED_VALUE"""),800)</f>
        <v>800</v>
      </c>
      <c r="L530" s="30" t="str">
        <f ca="1">IFERROR(__xludf.DUMMYFUNCTION("""COMPUTED_VALUE"""),"Cultural")</f>
        <v>Cultural</v>
      </c>
      <c r="M530" s="30" t="str">
        <f ca="1">IFERROR(__xludf.DUMMYFUNCTION("""COMPUTED_VALUE"""),"Recorrido Guiado ""UGTO-Área de español para extranjeros""")</f>
        <v>Recorrido Guiado "UGTO-Área de español para extranjeros"</v>
      </c>
      <c r="N530" s="30" t="str">
        <f ca="1">IFERROR(__xludf.DUMMYFUNCTION("""COMPUTED_VALUE"""),"Recorrido guiado por el museo")</f>
        <v>Recorrido guiado por el museo</v>
      </c>
      <c r="O530" s="30" t="str">
        <f ca="1">IFERROR(__xludf.DUMMYFUNCTION("""COMPUTED_VALUE"""),"Única")</f>
        <v>Única</v>
      </c>
      <c r="P530" s="33">
        <f ca="1">IFERROR(__xludf.DUMMYFUNCTION("""COMPUTED_VALUE"""),46188)</f>
        <v>46188</v>
      </c>
      <c r="Q530" s="33">
        <f ca="1">IFERROR(__xludf.DUMMYFUNCTION("""COMPUTED_VALUE"""),46188)</f>
        <v>46188</v>
      </c>
      <c r="R530" s="30">
        <f ca="1">IFERROR(__xludf.DUMMYFUNCTION("""COMPUTED_VALUE"""),1)</f>
        <v>1</v>
      </c>
      <c r="S530" s="30" t="str">
        <f ca="1">IFERROR(__xludf.DUMMYFUNCTION("""COMPUTED_VALUE"""),"Cultura comunitaria")</f>
        <v>Cultura comunitaria</v>
      </c>
      <c r="T530" s="30" t="str">
        <f ca="1">IFERROR(__xludf.DUMMYFUNCTION("""COMPUTED_VALUE"""),"Formación comunitaria")</f>
        <v>Formación comunitaria</v>
      </c>
      <c r="U530" s="30" t="str">
        <f ca="1">IFERROR(__xludf.DUMMYFUNCTION("""COMPUTED_VALUE"""),"Visitas escolares")</f>
        <v>Visitas escolares</v>
      </c>
      <c r="V530" s="30" t="str">
        <f ca="1">IFERROR(__xludf.DUMMYFUNCTION("""COMPUTED_VALUE"""),"Ninguna")</f>
        <v>Ninguna</v>
      </c>
      <c r="W530" s="30" t="str">
        <f ca="1">IFERROR(__xludf.DUMMYFUNCTION("""COMPUTED_VALUE"""),"Presencial")</f>
        <v>Presencial</v>
      </c>
      <c r="X530" s="30" t="str">
        <f ca="1">IFERROR(__xludf.DUMMYFUNCTION("""COMPUTED_VALUE"""),"Espacio a Cargo de la Secretaría")</f>
        <v>Espacio a Cargo de la Secretaría</v>
      </c>
      <c r="Y530" s="30" t="str">
        <f ca="1">IFERROR(__xludf.DUMMYFUNCTION("""COMPUTED_VALUE"""),"Museo Palacio de los Poderes")</f>
        <v>Museo Palacio de los Poderes</v>
      </c>
      <c r="Z530" s="30"/>
      <c r="AA530" s="30"/>
      <c r="AB530" s="30" t="b">
        <f ca="1">IFERROR(__xludf.DUMMYFUNCTION("""COMPUTED_VALUE"""),FALSE)</f>
        <v>0</v>
      </c>
      <c r="AC530" s="30"/>
      <c r="AD530" s="30" t="b">
        <f ca="1">IFERROR(__xludf.DUMMYFUNCTION("""COMPUTED_VALUE"""),FALSE)</f>
        <v>0</v>
      </c>
      <c r="AE530" s="30"/>
      <c r="AF530" s="30" t="b">
        <f ca="1">IFERROR(__xludf.DUMMYFUNCTION("""COMPUTED_VALUE"""),FALSE)</f>
        <v>0</v>
      </c>
      <c r="AG530" s="30"/>
      <c r="AH530" s="30" t="str">
        <f ca="1">IFERROR(__xludf.DUMMYFUNCTION("""COMPUTED_VALUE"""),"Sin costo")</f>
        <v>Sin costo</v>
      </c>
      <c r="AI530" s="30"/>
      <c r="AJ530" s="30"/>
      <c r="AK530" s="30"/>
      <c r="AL530" s="30" t="str">
        <f ca="1">IFERROR(__xludf.DUMMYFUNCTION("""COMPUTED_VALUE"""),"ccardonav@guanajuato.gob.mx")</f>
        <v>ccardonav@guanajuato.gob.mx</v>
      </c>
      <c r="AM530" s="30" t="str">
        <f ca="1">IFERROR(__xludf.DUMMYFUNCTION("""COMPUTED_VALUE"""),"Arraigo y empoderamiento cultural de comunidades.")</f>
        <v>Arraigo y empoderamiento cultural de comunidades.</v>
      </c>
      <c r="AN530" s="30" t="str">
        <f ca="1">IFERROR(__xludf.DUMMYFUNCTION("""COMPUTED_VALUE"""),"1 Tranquilidad")</f>
        <v>1 Tranquilidad</v>
      </c>
      <c r="AO530" s="30" t="str">
        <f ca="1">IFERROR(__xludf.DUMMYFUNCTION("""COMPUTED_VALUE"""),"1.2 Fortalecer prevención del delito")</f>
        <v>1.2 Fortalecer prevención del delito</v>
      </c>
      <c r="AP530" s="30" t="str">
        <f ca="1">IFERROR(__xludf.DUMMYFUNCTION("""COMPUTED_VALUE"""),"1.2.2 Fortalecimiento del tejido social")</f>
        <v>1.2.2 Fortalecimiento del tejido social</v>
      </c>
      <c r="AQ530" s="30" t="str">
        <f ca="1">IFERROR(__xludf.DUMMYFUNCTION("""COMPUTED_VALUE"""),"1.2.3.4 Promover una cultura de paz desde las expresiones artísticas y culturales")</f>
        <v>1.2.3.4 Promover una cultura de paz desde las expresiones artísticas y culturales</v>
      </c>
      <c r="AR530" s="30" t="str">
        <f ca="1">IFERROR(__xludf.DUMMYFUNCTION("""COMPUTED_VALUE"""),"Cooperación")</f>
        <v>Cooperación</v>
      </c>
      <c r="AS530" s="30"/>
      <c r="AT530" s="30" t="str">
        <f ca="1">IFERROR(__xludf.DUMMYFUNCTION("""COMPUTED_VALUE"""),"Fortalecimiento de la participación ciudadana y la mediación cultural")</f>
        <v>Fortalecimiento de la participación ciudadana y la mediación cultural</v>
      </c>
      <c r="AU530" s="30" t="str">
        <f ca="1">IFERROR(__xludf.DUMMYFUNCTION("""COMPUTED_VALUE"""),"Impulso a la ampliación de la oferta cultural en los territorios.")</f>
        <v>Impulso a la ampliación de la oferta cultural en los territorios.</v>
      </c>
      <c r="AV53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30" s="30" t="str">
        <f ca="1">IFERROR(__xludf.DUMMYFUNCTION("""COMPUTED_VALUE"""),"Incrementar en 25% la oferta cultural realizada en los municipios.")</f>
        <v>Incrementar en 25% la oferta cultural realizada en los municipios.</v>
      </c>
      <c r="AX530" s="30" t="str">
        <f ca="1">IFERROR(__xludf.DUMMYFUNCTION("""COMPUTED_VALUE"""),"Visitas escolares")</f>
        <v>Visitas escolares</v>
      </c>
      <c r="AY530" s="30" t="str">
        <f ca="1">IFERROR(__xludf.DUMMYFUNCTION("""COMPUTED_VALUE"""),"Formación")</f>
        <v>Formación</v>
      </c>
      <c r="AZ530" s="30" t="str">
        <f ca="1">IFERROR(__xludf.DUMMYFUNCTION("""COMPUTED_VALUE"""),"Formación")</f>
        <v>Formación</v>
      </c>
      <c r="BA530" s="30"/>
      <c r="BB530" s="30"/>
      <c r="BC530" s="30">
        <f ca="1">IFERROR(__xludf.DUMMYFUNCTION("""COMPUTED_VALUE"""),0)</f>
        <v>0</v>
      </c>
      <c r="BD530" s="30"/>
      <c r="BE530" s="30"/>
      <c r="BF530" s="30" t="b">
        <f ca="1">IFERROR(__xludf.DUMMYFUNCTION("""COMPUTED_VALUE"""),FALSE)</f>
        <v>0</v>
      </c>
      <c r="BG530" s="30"/>
      <c r="BH530" s="30"/>
      <c r="BI530" s="30"/>
      <c r="BJ530" s="30"/>
      <c r="BK530" s="30"/>
      <c r="BL530" s="30"/>
      <c r="BM530" s="30" t="str">
        <f ca="1">IFERROR(__xludf.DUMMYFUNCTION("""COMPUTED_VALUE"""),"No")</f>
        <v>No</v>
      </c>
      <c r="BN530" s="30"/>
      <c r="BO530" s="30" t="str">
        <f ca="1">IFERROR(__xludf.DUMMYFUNCTION("""COMPUTED_VALUE"""),"b59e0f66")</f>
        <v>b59e0f66</v>
      </c>
      <c r="BP530" s="29" t="str">
        <f ca="1">IFERROR(__xludf.DUMMYFUNCTION("""COMPUTED_VALUE"""),"Guanajuato")</f>
        <v>Guanajuato</v>
      </c>
      <c r="BQ530" s="30" t="str">
        <f ca="1">IFERROR(__xludf.DUMMYFUNCTION("""COMPUTED_VALUE"""),"Urbano")</f>
        <v>Urbano</v>
      </c>
      <c r="BR530" s="30"/>
      <c r="BS530" s="30"/>
      <c r="BT530" s="30"/>
      <c r="BU530" s="30" t="str">
        <f ca="1">IFERROR(__xludf.DUMMYFUNCTION("""COMPUTED_VALUE"""),"No")</f>
        <v>No</v>
      </c>
      <c r="BV530" s="30" t="str">
        <f ca="1">IFERROR(__xludf.DUMMYFUNCTION("""COMPUTED_VALUE"""),"No")</f>
        <v>No</v>
      </c>
      <c r="BW530" s="30">
        <f ca="1">IFERROR(__xludf.DUMMYFUNCTION("""COMPUTED_VALUE"""),26)</f>
        <v>26</v>
      </c>
      <c r="BX530" s="30"/>
      <c r="BY530" s="30">
        <f ca="1">IFERROR(__xludf.DUMMYFUNCTION("""COMPUTED_VALUE"""),26)</f>
        <v>26</v>
      </c>
      <c r="BZ530" s="30"/>
      <c r="CA530" s="30" t="str">
        <f ca="1">IFERROR(__xludf.DUMMYFUNCTION("""COMPUTED_VALUE"""),"No")</f>
        <v>No</v>
      </c>
      <c r="CB530" s="30" t="str">
        <f ca="1">IFERROR(__xludf.DUMMYFUNCTION("""COMPUTED_VALUE"""),"No")</f>
        <v>No</v>
      </c>
      <c r="CC530" s="30" t="str">
        <f ca="1">IFERROR(__xludf.DUMMYFUNCTION("""COMPUTED_VALUE"""),"9df87673")</f>
        <v>9df87673</v>
      </c>
      <c r="CD530" s="29" t="str">
        <f ca="1">IFERROR(__xludf.DUMMYFUNCTION("""COMPUTED_VALUE"""),"Adultos (30 a 59 años)")</f>
        <v>Adultos (30 a 59 años)</v>
      </c>
      <c r="CE530" s="30" t="str">
        <f ca="1">IFERROR(__xludf.DUMMYFUNCTION("""COMPUTED_VALUE"""),"No se cuenta con el dato")</f>
        <v>No se cuenta con el dato</v>
      </c>
      <c r="CF530" s="30" t="str">
        <f ca="1">IFERROR(__xludf.DUMMYFUNCTION("""COMPUTED_VALUE"""),"Ninguno (Población General)")</f>
        <v>Ninguno (Población General)</v>
      </c>
      <c r="CG530" s="30">
        <f ca="1">IFERROR(__xludf.DUMMYFUNCTION("""COMPUTED_VALUE"""),18)</f>
        <v>18</v>
      </c>
      <c r="CJ530" s="29"/>
      <c r="CM530" s="30" t="str">
        <f ca="1">IFERROR(__xludf.DUMMYFUNCTION("""COMPUTED_VALUE"""),"Salamanca")</f>
        <v>Salamanca</v>
      </c>
      <c r="CN530" s="32" t="e">
        <f ca="1"/>
        <v>#NAME?</v>
      </c>
      <c r="CO530" s="32" t="e">
        <f ca="1"/>
        <v>#NAME?</v>
      </c>
      <c r="CP530" s="32" t="e">
        <f ca="1"/>
        <v>#NAME?</v>
      </c>
      <c r="CQ530" s="32" t="e">
        <f ca="1"/>
        <v>#NAME?</v>
      </c>
      <c r="CR530" s="30" t="e">
        <f ca="1"/>
        <v>#NAME?</v>
      </c>
      <c r="CS530" s="30" t="str">
        <f ca="1">IFERROR(__xludf.DUMMYFUNCTION("""COMPUTED_VALUE"""),"NNA (Niñas, Niños y Adolescentes), NNA (Niñas, Niños y Adolescentes), Ninguno (Población General), Ninguno (Población General)")</f>
        <v>NNA (Niñas, Niños y Adolescentes), NNA (Niñas, Niños y Adolescentes), Ninguno (Población General), Ninguno (Población General)</v>
      </c>
    </row>
    <row r="531" spans="1:97" ht="13">
      <c r="A531" s="29" t="str">
        <f ca="1">IFERROR(__xludf.DUMMYFUNCTION("""COMPUTED_VALUE"""),"ACT-SCRS96271")</f>
        <v>ACT-SCRS96271</v>
      </c>
      <c r="B531" s="30" t="str">
        <f ca="1">IFERROR(__xludf.DUMMYFUNCTION("""COMPUTED_VALUE"""),"SC-261006-130211")</f>
        <v>SC-261006-130211</v>
      </c>
      <c r="C531" s="62">
        <f ca="1">IFERROR(__xludf.DUMMYFUNCTION("""COMPUTED_VALUE"""),46301.5431828703)</f>
        <v>46301.5431828703</v>
      </c>
      <c r="D531" s="30">
        <f ca="1">IFERROR(__xludf.DUMMYFUNCTION("""COMPUTED_VALUE"""),73)</f>
        <v>73</v>
      </c>
      <c r="E531" s="30" t="str">
        <f ca="1">IFERROR(__xludf.DUMMYFUNCTION("""COMPUTED_VALUE"""),"PB3567")</f>
        <v>PB3567</v>
      </c>
      <c r="F531" s="30" t="str">
        <f ca="1">IFERROR(__xludf.DUMMYFUNCTION("""COMPUTED_VALUE"""),"Formación e Investigación Artística")</f>
        <v>Formación e Investigación Artística</v>
      </c>
      <c r="G531" s="30" t="str">
        <f ca="1">IFERROR(__xludf.DUMMYFUNCTION("""COMPUTED_VALUE"""),"Cursos, talleres, y diplomados en patrimonio cultural inmaterial, sobre territorio y comunidad.")</f>
        <v>Cursos, talleres, y diplomados en patrimonio cultural inmaterial, sobre territorio y comunidad.</v>
      </c>
      <c r="H531" s="30" t="str">
        <f ca="1">IFERROR(__xludf.DUMMYFUNCTION("""COMPUTED_VALUE"""),"SUBSECRETARÍA DE DESARROLLO COMUNITARIO Y PROMOCIÓN PATRIMONIAL")</f>
        <v>SUBSECRETARÍA DE DESARROLLO COMUNITARIO Y PROMOCIÓN PATRIMONIAL</v>
      </c>
      <c r="I531" s="34" t="str">
        <f ca="1">IFERROR(__xludf.DUMMYFUNCTION("""COMPUTED_VALUE"""),"DIRECCIÓN GENERAL DE FORMACIÓN E INVESTIGACIÓN")</f>
        <v>DIRECCIÓN GENERAL DE FORMACIÓN E INVESTIGACIÓN</v>
      </c>
      <c r="J531" s="30" t="str">
        <f ca="1">IFERROR(__xludf.DUMMYFUNCTION("""COMPUTED_VALUE"""),"Cursos, talleres, diplomados realizados")</f>
        <v>Cursos, talleres, diplomados realizados</v>
      </c>
      <c r="K531" s="30">
        <f ca="1">IFERROR(__xludf.DUMMYFUNCTION("""COMPUTED_VALUE"""),2)</f>
        <v>2</v>
      </c>
      <c r="L531" s="30" t="str">
        <f ca="1">IFERROR(__xludf.DUMMYFUNCTION("""COMPUTED_VALUE"""),"Cultural")</f>
        <v>Cultural</v>
      </c>
      <c r="M531" s="30" t="str">
        <f ca="1">IFERROR(__xludf.DUMMYFUNCTION("""COMPUTED_VALUE"""),"Taller Diversidad cultural en las políticas culturales municipales")</f>
        <v>Taller Diversidad cultural en las políticas culturales municipales</v>
      </c>
      <c r="N531" s="30" t="str">
        <f ca="1">IFERROR(__xludf.DUMMYFUNCTION("""COMPUTED_VALUE"""),"Espacio de formación para integrar los derechos culturales y la diversidad como ejes del desarrollo cultural local, con base en el libro Creatividades locales, editado por UNESCO")</f>
        <v>Espacio de formación para integrar los derechos culturales y la diversidad como ejes del desarrollo cultural local, con base en el libro Creatividades locales, editado por UNESCO</v>
      </c>
      <c r="O531" s="30" t="str">
        <f ca="1">IFERROR(__xludf.DUMMYFUNCTION("""COMPUTED_VALUE"""),"Única")</f>
        <v>Única</v>
      </c>
      <c r="P531" s="33">
        <f ca="1">IFERROR(__xludf.DUMMYFUNCTION("""COMPUTED_VALUE"""),46125)</f>
        <v>46125</v>
      </c>
      <c r="Q531" s="33">
        <f ca="1">IFERROR(__xludf.DUMMYFUNCTION("""COMPUTED_VALUE"""),46125)</f>
        <v>46125</v>
      </c>
      <c r="R531" s="30">
        <f ca="1">IFERROR(__xludf.DUMMYFUNCTION("""COMPUTED_VALUE"""),1)</f>
        <v>1</v>
      </c>
      <c r="S531" s="30" t="str">
        <f ca="1">IFERROR(__xludf.DUMMYFUNCTION("""COMPUTED_VALUE"""),"Cultura comunitaria")</f>
        <v>Cultura comunitaria</v>
      </c>
      <c r="T531" s="30" t="str">
        <f ca="1">IFERROR(__xludf.DUMMYFUNCTION("""COMPUTED_VALUE"""),"Gestión cultural")</f>
        <v>Gestión cultural</v>
      </c>
      <c r="U531" s="30" t="str">
        <f ca="1">IFERROR(__xludf.DUMMYFUNCTION("""COMPUTED_VALUE"""),"Taller")</f>
        <v>Taller</v>
      </c>
      <c r="V531" s="30" t="str">
        <f ca="1">IFERROR(__xludf.DUMMYFUNCTION("""COMPUTED_VALUE"""),"Ninguna")</f>
        <v>Ninguna</v>
      </c>
      <c r="W531" s="30" t="str">
        <f ca="1">IFERROR(__xludf.DUMMYFUNCTION("""COMPUTED_VALUE"""),"Presencial")</f>
        <v>Presencial</v>
      </c>
      <c r="X531" s="30" t="str">
        <f ca="1">IFERROR(__xludf.DUMMYFUNCTION("""COMPUTED_VALUE"""),"Espacio Público")</f>
        <v>Espacio Público</v>
      </c>
      <c r="Y531" s="30"/>
      <c r="Z531" s="30" t="str">
        <f ca="1">IFERROR(__xludf.DUMMYFUNCTION("""COMPUTED_VALUE"""),"Casa de la Cultura de Valle de Santiago")</f>
        <v>Casa de la Cultura de Valle de Santiago</v>
      </c>
      <c r="AA531" s="30"/>
      <c r="AB531" s="30" t="b">
        <f ca="1">IFERROR(__xludf.DUMMYFUNCTION("""COMPUTED_VALUE"""),FALSE)</f>
        <v>0</v>
      </c>
      <c r="AC531" s="30"/>
      <c r="AD531" s="30" t="b">
        <f ca="1">IFERROR(__xludf.DUMMYFUNCTION("""COMPUTED_VALUE"""),FALSE)</f>
        <v>0</v>
      </c>
      <c r="AE531" s="30"/>
      <c r="AF531" s="30" t="b">
        <f ca="1">IFERROR(__xludf.DUMMYFUNCTION("""COMPUTED_VALUE"""),FALSE)</f>
        <v>0</v>
      </c>
      <c r="AG531" s="30"/>
      <c r="AH531" s="30" t="str">
        <f ca="1">IFERROR(__xludf.DUMMYFUNCTION("""COMPUTED_VALUE"""),"Sin costo")</f>
        <v>Sin costo</v>
      </c>
      <c r="AI531" s="30"/>
      <c r="AJ531" s="30"/>
      <c r="AK531" s="30"/>
      <c r="AL531" s="30" t="str">
        <f ca="1">IFERROR(__xludf.DUMMYFUNCTION("""COMPUTED_VALUE"""),"claudia.ramirezm@guanajuato.gob.mx")</f>
        <v>claudia.ramirezm@guanajuato.gob.mx</v>
      </c>
      <c r="AM531" s="30" t="str">
        <f ca="1">IFERROR(__xludf.DUMMYFUNCTION("""COMPUTED_VALUE"""),"Mayor inversión en conservación del patrimonio artístico y cultural.")</f>
        <v>Mayor inversión en conservación del patrimonio artístico y cultural.</v>
      </c>
      <c r="AN531" s="30" t="str">
        <f ca="1">IFERROR(__xludf.DUMMYFUNCTION("""COMPUTED_VALUE"""),"2 Igualdad")</f>
        <v>2 Igualdad</v>
      </c>
      <c r="AO531" s="30" t="str">
        <f ca="1">IFERROR(__xludf.DUMMYFUNCTION("""COMPUTED_VALUE"""),"2.2 Fortalecer cohesión social")</f>
        <v>2.2 Fortalecer cohesión social</v>
      </c>
      <c r="AP531" s="30" t="str">
        <f ca="1">IFERROR(__xludf.DUMMYFUNCTION("""COMPUTED_VALUE"""),"2.2 Fortalecer cohesión social")</f>
        <v>2.2 Fortalecer cohesión social</v>
      </c>
      <c r="AQ531" s="30" t="str">
        <f ca="1">IFERROR(__xludf.DUMMYFUNCTION("""COMPUTED_VALUE"""),"2.2.3.2 Promover la participación de grupos prioritarios en actividades culturales")</f>
        <v>2.2.3.2 Promover la participación de grupos prioritarios en actividades culturales</v>
      </c>
      <c r="AR531" s="30" t="str">
        <f ca="1">IFERROR(__xludf.DUMMYFUNCTION("""COMPUTED_VALUE"""),"Inclusión")</f>
        <v>Inclusión</v>
      </c>
      <c r="AS531" s="30" t="str">
        <f ca="1">IFERROR(__xludf.DUMMYFUNCTION("""COMPUTED_VALUE"""),"Ninguno (Población General)")</f>
        <v>Ninguno (Población General)</v>
      </c>
      <c r="AT531" s="30" t="str">
        <f ca="1">IFERROR(__xludf.DUMMYFUNCTION("""COMPUTED_VALUE"""),"Impulso a la educación artística y a la profesionalización del sector cultural")</f>
        <v>Impulso a la educación artística y a la profesionalización del sector cultural</v>
      </c>
      <c r="AU531" s="30" t="str">
        <f ca="1">IFERROR(__xludf.DUMMYFUNCTION("""COMPUTED_VALUE"""),"Impulso a programas de formación y profesionalización para agentes culturales.")</f>
        <v>Impulso a programas de formación y profesionalización para agentes culturales.</v>
      </c>
      <c r="AV531"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31" s="30" t="str">
        <f ca="1">IFERROR(__xludf.DUMMYFUNCTION("""COMPUTED_VALUE"""),"Incrementar un 30% la oferta de formación y profesionalización para agentes culturales.")</f>
        <v>Incrementar un 30% la oferta de formación y profesionalización para agentes culturales.</v>
      </c>
      <c r="AX531" s="30" t="str">
        <f ca="1">IFERROR(__xludf.DUMMYFUNCTION("""COMPUTED_VALUE"""),"Taller")</f>
        <v>Taller</v>
      </c>
      <c r="AY531" s="30" t="str">
        <f ca="1">IFERROR(__xludf.DUMMYFUNCTION("""COMPUTED_VALUE"""),"Formación")</f>
        <v>Formación</v>
      </c>
      <c r="AZ531" s="30" t="str">
        <f ca="1">IFERROR(__xludf.DUMMYFUNCTION("""COMPUTED_VALUE"""),"Formación")</f>
        <v>Formación</v>
      </c>
      <c r="BA531" s="30"/>
      <c r="BB531" s="30">
        <f ca="1">IFERROR(__xludf.DUMMYFUNCTION("""COMPUTED_VALUE"""),5)</f>
        <v>5</v>
      </c>
      <c r="BC531" s="30">
        <f ca="1">IFERROR(__xludf.DUMMYFUNCTION("""COMPUTED_VALUE"""),1)</f>
        <v>1</v>
      </c>
      <c r="BD531" s="30" t="str">
        <f ca="1">IFERROR(__xludf.DUMMYFUNCTION("""COMPUTED_VALUE"""),"Nuevo")</f>
        <v>Nuevo</v>
      </c>
      <c r="BE531" s="30" t="str">
        <f ca="1">IFERROR(__xludf.DUMMYFUNCTION("""COMPUTED_VALUE"""),"Carlos Villaseñor Anaya")</f>
        <v>Carlos Villaseñor Anaya</v>
      </c>
      <c r="BF531" s="30" t="b">
        <f ca="1">IFERROR(__xludf.DUMMYFUNCTION("""COMPUTED_VALUE"""),FALSE)</f>
        <v>0</v>
      </c>
      <c r="BG531" s="30"/>
      <c r="BH531" s="30"/>
      <c r="BI531" s="30"/>
      <c r="BJ531" s="30"/>
      <c r="BK531" s="30"/>
      <c r="BL531" s="30"/>
      <c r="BM531" s="30" t="str">
        <f ca="1">IFERROR(__xludf.DUMMYFUNCTION("""COMPUTED_VALUE"""),"No")</f>
        <v>No</v>
      </c>
      <c r="BN531" s="30"/>
      <c r="BO531" s="30" t="str">
        <f ca="1">IFERROR(__xludf.DUMMYFUNCTION("""COMPUTED_VALUE"""),"0a778d1c")</f>
        <v>0a778d1c</v>
      </c>
      <c r="BP531" s="29" t="str">
        <f ca="1">IFERROR(__xludf.DUMMYFUNCTION("""COMPUTED_VALUE"""),"Guanajuato")</f>
        <v>Guanajuato</v>
      </c>
      <c r="BQ531" s="30" t="str">
        <f ca="1">IFERROR(__xludf.DUMMYFUNCTION("""COMPUTED_VALUE"""),"Urbano")</f>
        <v>Urbano</v>
      </c>
      <c r="BR531" s="30"/>
      <c r="BS531" s="30"/>
      <c r="BT531" s="30"/>
      <c r="BU531" s="30" t="str">
        <f ca="1">IFERROR(__xludf.DUMMYFUNCTION("""COMPUTED_VALUE"""),"No")</f>
        <v>No</v>
      </c>
      <c r="BV531" s="30" t="str">
        <f ca="1">IFERROR(__xludf.DUMMYFUNCTION("""COMPUTED_VALUE"""),"No")</f>
        <v>No</v>
      </c>
      <c r="BW531" s="30">
        <f ca="1">IFERROR(__xludf.DUMMYFUNCTION("""COMPUTED_VALUE"""),28)</f>
        <v>28</v>
      </c>
      <c r="BX531" s="30">
        <f ca="1">IFERROR(__xludf.DUMMYFUNCTION("""COMPUTED_VALUE"""),28)</f>
        <v>28</v>
      </c>
      <c r="BY531" s="30">
        <f ca="1">IFERROR(__xludf.DUMMYFUNCTION("""COMPUTED_VALUE"""),0)</f>
        <v>0</v>
      </c>
      <c r="BZ531" s="30"/>
      <c r="CA531" s="30" t="str">
        <f ca="1">IFERROR(__xludf.DUMMYFUNCTION("""COMPUTED_VALUE"""),"No")</f>
        <v>No</v>
      </c>
      <c r="CB531" s="30" t="str">
        <f ca="1">IFERROR(__xludf.DUMMYFUNCTION("""COMPUTED_VALUE"""),"No")</f>
        <v>No</v>
      </c>
      <c r="CC531" s="30" t="str">
        <f ca="1">IFERROR(__xludf.DUMMYFUNCTION("""COMPUTED_VALUE"""),"310bcada")</f>
        <v>310bcada</v>
      </c>
      <c r="CD531" s="29" t="str">
        <f ca="1">IFERROR(__xludf.DUMMYFUNCTION("""COMPUTED_VALUE"""),"Adultos Mayores (60 años o más)")</f>
        <v>Adultos Mayores (60 años o más)</v>
      </c>
      <c r="CE531" s="30" t="str">
        <f ca="1">IFERROR(__xludf.DUMMYFUNCTION("""COMPUTED_VALUE"""),"No se cuenta con el dato")</f>
        <v>No se cuenta con el dato</v>
      </c>
      <c r="CF531" s="30" t="str">
        <f ca="1">IFERROR(__xludf.DUMMYFUNCTION("""COMPUTED_VALUE"""),"Ninguno (Población General)")</f>
        <v>Ninguno (Población General)</v>
      </c>
      <c r="CG531" s="30">
        <f ca="1">IFERROR(__xludf.DUMMYFUNCTION("""COMPUTED_VALUE"""),13)</f>
        <v>13</v>
      </c>
      <c r="CJ531" s="29"/>
      <c r="CM531" s="30" t="str">
        <f ca="1">IFERROR(__xludf.DUMMYFUNCTION("""COMPUTED_VALUE"""),"Guanajuato")</f>
        <v>Guanajuato</v>
      </c>
      <c r="CN531" s="32" t="e">
        <f ca="1"/>
        <v>#NAME?</v>
      </c>
      <c r="CO531" s="32" t="e">
        <f ca="1"/>
        <v>#NAME?</v>
      </c>
      <c r="CP531" s="32" t="e">
        <f ca="1"/>
        <v>#NAME?</v>
      </c>
      <c r="CQ531" s="32" t="e">
        <f ca="1"/>
        <v>#NAME?</v>
      </c>
      <c r="CR531" s="30" t="e">
        <f ca="1"/>
        <v>#NAME?</v>
      </c>
      <c r="CS531" s="30" t="str">
        <f ca="1">IFERROR(__xludf.DUMMYFUNCTION("""COMPUTED_VALUE"""),"Ninguno (Población General)")</f>
        <v>Ninguno (Población General)</v>
      </c>
    </row>
    <row r="532" spans="1:97" ht="13">
      <c r="A532" s="29" t="str">
        <f ca="1">IFERROR(__xludf.DUMMYFUNCTION("""COMPUTED_VALUE"""),"ACT-SCBW36284")</f>
        <v>ACT-SCBW36284</v>
      </c>
      <c r="B532" s="30" t="str">
        <f ca="1">IFERROR(__xludf.DUMMYFUNCTION("""COMPUTED_VALUE"""),"SC-261006-131748")</f>
        <v>SC-261006-131748</v>
      </c>
      <c r="C532" s="62">
        <f ca="1">IFERROR(__xludf.DUMMYFUNCTION("""COMPUTED_VALUE"""),46301.5540277777)</f>
        <v>46301.554027777704</v>
      </c>
      <c r="D532" s="30">
        <f ca="1">IFERROR(__xludf.DUMMYFUNCTION("""COMPUTED_VALUE"""),73)</f>
        <v>73</v>
      </c>
      <c r="E532" s="30" t="str">
        <f ca="1">IFERROR(__xludf.DUMMYFUNCTION("""COMPUTED_VALUE"""),"PB3567")</f>
        <v>PB3567</v>
      </c>
      <c r="F532" s="30" t="str">
        <f ca="1">IFERROR(__xludf.DUMMYFUNCTION("""COMPUTED_VALUE"""),"Formación e Investigación Artística")</f>
        <v>Formación e Investigación Artística</v>
      </c>
      <c r="G532" s="30" t="str">
        <f ca="1">IFERROR(__xludf.DUMMYFUNCTION("""COMPUTED_VALUE"""),"Cursos, talleres, y diplomados en patrimonio cultural inmaterial, sobre territorio y comunidad.")</f>
        <v>Cursos, talleres, y diplomados en patrimonio cultural inmaterial, sobre territorio y comunidad.</v>
      </c>
      <c r="H532" s="30" t="str">
        <f ca="1">IFERROR(__xludf.DUMMYFUNCTION("""COMPUTED_VALUE"""),"SUBSECRETARÍA DE DESARROLLO COMUNITARIO Y PROMOCIÓN PATRIMONIAL")</f>
        <v>SUBSECRETARÍA DE DESARROLLO COMUNITARIO Y PROMOCIÓN PATRIMONIAL</v>
      </c>
      <c r="I532" s="34" t="str">
        <f ca="1">IFERROR(__xludf.DUMMYFUNCTION("""COMPUTED_VALUE"""),"DIRECCIÓN GENERAL DE FORMACIÓN E INVESTIGACIÓN")</f>
        <v>DIRECCIÓN GENERAL DE FORMACIÓN E INVESTIGACIÓN</v>
      </c>
      <c r="J532" s="30" t="str">
        <f ca="1">IFERROR(__xludf.DUMMYFUNCTION("""COMPUTED_VALUE"""),"Cursos, talleres, diplomados realizados")</f>
        <v>Cursos, talleres, diplomados realizados</v>
      </c>
      <c r="K532" s="30">
        <f ca="1">IFERROR(__xludf.DUMMYFUNCTION("""COMPUTED_VALUE"""),2)</f>
        <v>2</v>
      </c>
      <c r="L532" s="30" t="str">
        <f ca="1">IFERROR(__xludf.DUMMYFUNCTION("""COMPUTED_VALUE"""),"Cultural")</f>
        <v>Cultural</v>
      </c>
      <c r="M532" s="30" t="str">
        <f ca="1">IFERROR(__xludf.DUMMYFUNCTION("""COMPUTED_VALUE"""),"Taller Diversidad cultural en las políticas culturales municipales")</f>
        <v>Taller Diversidad cultural en las políticas culturales municipales</v>
      </c>
      <c r="N532" s="30" t="str">
        <f ca="1">IFERROR(__xludf.DUMMYFUNCTION("""COMPUTED_VALUE"""),"Espacio de formación para integrar los derechos culturales y la diversidad como ejes del desarrollo cultural local, con base en el libro Creatividades locales, editado por UNESCO")</f>
        <v>Espacio de formación para integrar los derechos culturales y la diversidad como ejes del desarrollo cultural local, con base en el libro Creatividades locales, editado por UNESCO</v>
      </c>
      <c r="O532" s="30" t="str">
        <f ca="1">IFERROR(__xludf.DUMMYFUNCTION("""COMPUTED_VALUE"""),"Única")</f>
        <v>Única</v>
      </c>
      <c r="P532" s="33">
        <f ca="1">IFERROR(__xludf.DUMMYFUNCTION("""COMPUTED_VALUE"""),46126)</f>
        <v>46126</v>
      </c>
      <c r="Q532" s="33">
        <f ca="1">IFERROR(__xludf.DUMMYFUNCTION("""COMPUTED_VALUE"""),46126)</f>
        <v>46126</v>
      </c>
      <c r="R532" s="30">
        <f ca="1">IFERROR(__xludf.DUMMYFUNCTION("""COMPUTED_VALUE"""),1)</f>
        <v>1</v>
      </c>
      <c r="S532" s="30" t="str">
        <f ca="1">IFERROR(__xludf.DUMMYFUNCTION("""COMPUTED_VALUE"""),"Cultura comunitaria")</f>
        <v>Cultura comunitaria</v>
      </c>
      <c r="T532" s="30" t="str">
        <f ca="1">IFERROR(__xludf.DUMMYFUNCTION("""COMPUTED_VALUE"""),"Gestión cultural")</f>
        <v>Gestión cultural</v>
      </c>
      <c r="U532" s="30" t="str">
        <f ca="1">IFERROR(__xludf.DUMMYFUNCTION("""COMPUTED_VALUE"""),"Taller")</f>
        <v>Taller</v>
      </c>
      <c r="V532" s="30" t="str">
        <f ca="1">IFERROR(__xludf.DUMMYFUNCTION("""COMPUTED_VALUE"""),"Ninguna")</f>
        <v>Ninguna</v>
      </c>
      <c r="W532" s="30" t="str">
        <f ca="1">IFERROR(__xludf.DUMMYFUNCTION("""COMPUTED_VALUE"""),"Presencial")</f>
        <v>Presencial</v>
      </c>
      <c r="X532" s="30" t="str">
        <f ca="1">IFERROR(__xludf.DUMMYFUNCTION("""COMPUTED_VALUE"""),"Espacio Público")</f>
        <v>Espacio Público</v>
      </c>
      <c r="Y532" s="30"/>
      <c r="Z532" s="30" t="str">
        <f ca="1">IFERROR(__xludf.DUMMYFUNCTION("""COMPUTED_VALUE"""),"Casa de Cultura Xochiquetzal")</f>
        <v>Casa de Cultura Xochiquetzal</v>
      </c>
      <c r="AA532" s="30"/>
      <c r="AB532" s="30" t="b">
        <f ca="1">IFERROR(__xludf.DUMMYFUNCTION("""COMPUTED_VALUE"""),FALSE)</f>
        <v>0</v>
      </c>
      <c r="AC532" s="30"/>
      <c r="AD532" s="30" t="b">
        <f ca="1">IFERROR(__xludf.DUMMYFUNCTION("""COMPUTED_VALUE"""),FALSE)</f>
        <v>0</v>
      </c>
      <c r="AE532" s="30"/>
      <c r="AF532" s="30" t="b">
        <f ca="1">IFERROR(__xludf.DUMMYFUNCTION("""COMPUTED_VALUE"""),FALSE)</f>
        <v>0</v>
      </c>
      <c r="AG532" s="30"/>
      <c r="AH532" s="30" t="str">
        <f ca="1">IFERROR(__xludf.DUMMYFUNCTION("""COMPUTED_VALUE"""),"Sin costo")</f>
        <v>Sin costo</v>
      </c>
      <c r="AI532" s="30"/>
      <c r="AJ532" s="30"/>
      <c r="AK532" s="30"/>
      <c r="AL532" s="30" t="str">
        <f ca="1">IFERROR(__xludf.DUMMYFUNCTION("""COMPUTED_VALUE"""),"claudia.ramirezm@guanajuato.gob.mx")</f>
        <v>claudia.ramirezm@guanajuato.gob.mx</v>
      </c>
      <c r="AM532" s="30" t="str">
        <f ca="1">IFERROR(__xludf.DUMMYFUNCTION("""COMPUTED_VALUE"""),"Mayor inversión en conservación del patrimonio artístico y cultural.")</f>
        <v>Mayor inversión en conservación del patrimonio artístico y cultural.</v>
      </c>
      <c r="AN532" s="30" t="str">
        <f ca="1">IFERROR(__xludf.DUMMYFUNCTION("""COMPUTED_VALUE"""),"2 Igualdad")</f>
        <v>2 Igualdad</v>
      </c>
      <c r="AO532" s="30" t="str">
        <f ca="1">IFERROR(__xludf.DUMMYFUNCTION("""COMPUTED_VALUE"""),"2.2 Fortalecer cohesión social")</f>
        <v>2.2 Fortalecer cohesión social</v>
      </c>
      <c r="AP532" s="30" t="str">
        <f ca="1">IFERROR(__xludf.DUMMYFUNCTION("""COMPUTED_VALUE"""),"2.2 Fortalecer cohesión social")</f>
        <v>2.2 Fortalecer cohesión social</v>
      </c>
      <c r="AQ532" s="30" t="str">
        <f ca="1">IFERROR(__xludf.DUMMYFUNCTION("""COMPUTED_VALUE"""),"2.2.3.2 Promover la participación de grupos prioritarios en actividades culturales")</f>
        <v>2.2.3.2 Promover la participación de grupos prioritarios en actividades culturales</v>
      </c>
      <c r="AR532" s="30" t="str">
        <f ca="1">IFERROR(__xludf.DUMMYFUNCTION("""COMPUTED_VALUE"""),"Inclusión")</f>
        <v>Inclusión</v>
      </c>
      <c r="AS532" s="30" t="str">
        <f ca="1">IFERROR(__xludf.DUMMYFUNCTION("""COMPUTED_VALUE"""),"Ninguno (Población General)")</f>
        <v>Ninguno (Población General)</v>
      </c>
      <c r="AT532" s="30" t="str">
        <f ca="1">IFERROR(__xludf.DUMMYFUNCTION("""COMPUTED_VALUE"""),"Impulso a la educación artística y a la profesionalización del sector cultural")</f>
        <v>Impulso a la educación artística y a la profesionalización del sector cultural</v>
      </c>
      <c r="AU532" s="30" t="str">
        <f ca="1">IFERROR(__xludf.DUMMYFUNCTION("""COMPUTED_VALUE"""),"Impulso a programas de formación y profesionalización para agentes culturales.")</f>
        <v>Impulso a programas de formación y profesionalización para agentes culturales.</v>
      </c>
      <c r="AV532"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32" s="30" t="str">
        <f ca="1">IFERROR(__xludf.DUMMYFUNCTION("""COMPUTED_VALUE"""),"Incrementar un 30% la oferta de formación y profesionalización para agentes culturales.")</f>
        <v>Incrementar un 30% la oferta de formación y profesionalización para agentes culturales.</v>
      </c>
      <c r="AX532" s="30" t="str">
        <f ca="1">IFERROR(__xludf.DUMMYFUNCTION("""COMPUTED_VALUE"""),"Taller")</f>
        <v>Taller</v>
      </c>
      <c r="AY532" s="30" t="str">
        <f ca="1">IFERROR(__xludf.DUMMYFUNCTION("""COMPUTED_VALUE"""),"Formación")</f>
        <v>Formación</v>
      </c>
      <c r="AZ532" s="30" t="str">
        <f ca="1">IFERROR(__xludf.DUMMYFUNCTION("""COMPUTED_VALUE"""),"Formación")</f>
        <v>Formación</v>
      </c>
      <c r="BA532" s="30"/>
      <c r="BB532" s="30">
        <f ca="1">IFERROR(__xludf.DUMMYFUNCTION("""COMPUTED_VALUE"""),5)</f>
        <v>5</v>
      </c>
      <c r="BC532" s="30">
        <f ca="1">IFERROR(__xludf.DUMMYFUNCTION("""COMPUTED_VALUE"""),1)</f>
        <v>1</v>
      </c>
      <c r="BD532" s="30" t="str">
        <f ca="1">IFERROR(__xludf.DUMMYFUNCTION("""COMPUTED_VALUE"""),"Nuevo")</f>
        <v>Nuevo</v>
      </c>
      <c r="BE532" s="30" t="str">
        <f ca="1">IFERROR(__xludf.DUMMYFUNCTION("""COMPUTED_VALUE"""),"Carlos Villaseñor Anaya")</f>
        <v>Carlos Villaseñor Anaya</v>
      </c>
      <c r="BF532" s="30" t="b">
        <f ca="1">IFERROR(__xludf.DUMMYFUNCTION("""COMPUTED_VALUE"""),FALSE)</f>
        <v>0</v>
      </c>
      <c r="BG532" s="30"/>
      <c r="BH532" s="30"/>
      <c r="BI532" s="30"/>
      <c r="BJ532" s="30"/>
      <c r="BK532" s="30"/>
      <c r="BL532" s="30"/>
      <c r="BM532" s="30" t="str">
        <f ca="1">IFERROR(__xludf.DUMMYFUNCTION("""COMPUTED_VALUE"""),"No")</f>
        <v>No</v>
      </c>
      <c r="BN532" s="30"/>
      <c r="BO532" s="30" t="str">
        <f ca="1">IFERROR(__xludf.DUMMYFUNCTION("""COMPUTED_VALUE"""),"6ae9de66")</f>
        <v>6ae9de66</v>
      </c>
      <c r="BP532" s="29" t="str">
        <f ca="1">IFERROR(__xludf.DUMMYFUNCTION("""COMPUTED_VALUE"""),"Guanajuato")</f>
        <v>Guanajuato</v>
      </c>
      <c r="BQ532" s="30" t="str">
        <f ca="1">IFERROR(__xludf.DUMMYFUNCTION("""COMPUTED_VALUE"""),"Urbano")</f>
        <v>Urbano</v>
      </c>
      <c r="BR532" s="30"/>
      <c r="BS532" s="30"/>
      <c r="BT532" s="30"/>
      <c r="BU532" s="30" t="str">
        <f ca="1">IFERROR(__xludf.DUMMYFUNCTION("""COMPUTED_VALUE"""),"No")</f>
        <v>No</v>
      </c>
      <c r="BV532" s="30" t="str">
        <f ca="1">IFERROR(__xludf.DUMMYFUNCTION("""COMPUTED_VALUE"""),"No")</f>
        <v>No</v>
      </c>
      <c r="BW532" s="30">
        <f ca="1">IFERROR(__xludf.DUMMYFUNCTION("""COMPUTED_VALUE"""),10)</f>
        <v>10</v>
      </c>
      <c r="BX532" s="30"/>
      <c r="BY532" s="30">
        <f ca="1">IFERROR(__xludf.DUMMYFUNCTION("""COMPUTED_VALUE"""),10)</f>
        <v>10</v>
      </c>
      <c r="BZ532" s="30"/>
      <c r="CA532" s="30" t="str">
        <f ca="1">IFERROR(__xludf.DUMMYFUNCTION("""COMPUTED_VALUE"""),"No")</f>
        <v>No</v>
      </c>
      <c r="CB532" s="30" t="str">
        <f ca="1">IFERROR(__xludf.DUMMYFUNCTION("""COMPUTED_VALUE"""),"No")</f>
        <v>No</v>
      </c>
      <c r="CC532" s="30" t="str">
        <f ca="1">IFERROR(__xludf.DUMMYFUNCTION("""COMPUTED_VALUE"""),"61364847")</f>
        <v>61364847</v>
      </c>
      <c r="CD532" s="29" t="str">
        <f ca="1">IFERROR(__xludf.DUMMYFUNCTION("""COMPUTED_VALUE"""),"Jóvenes (18 a 29 años)")</f>
        <v>Jóvenes (18 a 29 años)</v>
      </c>
      <c r="CE532" s="30" t="str">
        <f ca="1">IFERROR(__xludf.DUMMYFUNCTION("""COMPUTED_VALUE"""),"No se cuenta con el dato")</f>
        <v>No se cuenta con el dato</v>
      </c>
      <c r="CF532" s="30" t="str">
        <f ca="1">IFERROR(__xludf.DUMMYFUNCTION("""COMPUTED_VALUE"""),"NNA (Niñas, Niños y Adolescentes)")</f>
        <v>NNA (Niñas, Niños y Adolescentes)</v>
      </c>
      <c r="CG532" s="30">
        <f ca="1">IFERROR(__xludf.DUMMYFUNCTION("""COMPUTED_VALUE"""),6)</f>
        <v>6</v>
      </c>
      <c r="CJ532" s="29"/>
      <c r="CM532" s="30" t="str">
        <f ca="1">IFERROR(__xludf.DUMMYFUNCTION("""COMPUTED_VALUE"""),"Guanajuato")</f>
        <v>Guanajuato</v>
      </c>
      <c r="CN532" s="32" t="e">
        <f ca="1"/>
        <v>#NAME?</v>
      </c>
      <c r="CO532" s="32" t="e">
        <f ca="1"/>
        <v>#NAME?</v>
      </c>
      <c r="CP532" s="32" t="e">
        <f ca="1"/>
        <v>#NAME?</v>
      </c>
      <c r="CQ532" s="32" t="e">
        <f ca="1"/>
        <v>#NAME?</v>
      </c>
      <c r="CR532" s="30" t="e">
        <f ca="1"/>
        <v>#NAME?</v>
      </c>
      <c r="CS532" s="30" t="str">
        <f ca="1">IFERROR(__xludf.DUMMYFUNCTION("""COMPUTED_VALUE"""),"Ninguno (Población General)")</f>
        <v>Ninguno (Población General)</v>
      </c>
    </row>
    <row r="533" spans="1:97" ht="13">
      <c r="A533" s="29" t="str">
        <f ca="1">IFERROR(__xludf.DUMMYFUNCTION("""COMPUTED_VALUE"""),"ACT-SCKS34336")</f>
        <v>ACT-SCKS34336</v>
      </c>
      <c r="B533" s="30" t="str">
        <f ca="1">IFERROR(__xludf.DUMMYFUNCTION("""COMPUTED_VALUE"""),"SC-261006-132914")</f>
        <v>SC-261006-132914</v>
      </c>
      <c r="C533" s="62">
        <f ca="1">IFERROR(__xludf.DUMMYFUNCTION("""COMPUTED_VALUE"""),46301.5619675925)</f>
        <v>46301.561967592497</v>
      </c>
      <c r="D533" s="30">
        <f ca="1">IFERROR(__xludf.DUMMYFUNCTION("""COMPUTED_VALUE"""),73)</f>
        <v>73</v>
      </c>
      <c r="E533" s="30" t="str">
        <f ca="1">IFERROR(__xludf.DUMMYFUNCTION("""COMPUTED_VALUE"""),"PB3567")</f>
        <v>PB3567</v>
      </c>
      <c r="F533" s="30" t="str">
        <f ca="1">IFERROR(__xludf.DUMMYFUNCTION("""COMPUTED_VALUE"""),"Formación e Investigación Artística")</f>
        <v>Formación e Investigación Artística</v>
      </c>
      <c r="G533" s="30" t="str">
        <f ca="1">IFERROR(__xludf.DUMMYFUNCTION("""COMPUTED_VALUE"""),"Cursos, talleres, y diplomados en patrimonio cultural inmaterial, sobre territorio y comunidad.")</f>
        <v>Cursos, talleres, y diplomados en patrimonio cultural inmaterial, sobre territorio y comunidad.</v>
      </c>
      <c r="H533" s="30" t="str">
        <f ca="1">IFERROR(__xludf.DUMMYFUNCTION("""COMPUTED_VALUE"""),"SUBSECRETARÍA DE DESARROLLO COMUNITARIO Y PROMOCIÓN PATRIMONIAL")</f>
        <v>SUBSECRETARÍA DE DESARROLLO COMUNITARIO Y PROMOCIÓN PATRIMONIAL</v>
      </c>
      <c r="I533" s="34" t="str">
        <f ca="1">IFERROR(__xludf.DUMMYFUNCTION("""COMPUTED_VALUE"""),"DIRECCIÓN GENERAL DE FORMACIÓN E INVESTIGACIÓN")</f>
        <v>DIRECCIÓN GENERAL DE FORMACIÓN E INVESTIGACIÓN</v>
      </c>
      <c r="J533" s="30" t="str">
        <f ca="1">IFERROR(__xludf.DUMMYFUNCTION("""COMPUTED_VALUE"""),"Cursos, talleres, diplomados realizados")</f>
        <v>Cursos, talleres, diplomados realizados</v>
      </c>
      <c r="K533" s="30">
        <f ca="1">IFERROR(__xludf.DUMMYFUNCTION("""COMPUTED_VALUE"""),2)</f>
        <v>2</v>
      </c>
      <c r="L533" s="30" t="str">
        <f ca="1">IFERROR(__xludf.DUMMYFUNCTION("""COMPUTED_VALUE"""),"Cultural")</f>
        <v>Cultural</v>
      </c>
      <c r="M533" s="30" t="str">
        <f ca="1">IFERROR(__xludf.DUMMYFUNCTION("""COMPUTED_VALUE"""),"Taller Diversidad cultural en las políticas culturales municipales")</f>
        <v>Taller Diversidad cultural en las políticas culturales municipales</v>
      </c>
      <c r="N533" s="30" t="str">
        <f ca="1">IFERROR(__xludf.DUMMYFUNCTION("""COMPUTED_VALUE"""),"Espacio de formación para integrar los derechos culturales y la diversidad como ejes del desarrollo cultural local, con base en el libro Creatividades locales, editado por UNESCO")</f>
        <v>Espacio de formación para integrar los derechos culturales y la diversidad como ejes del desarrollo cultural local, con base en el libro Creatividades locales, editado por UNESCO</v>
      </c>
      <c r="O533" s="30" t="str">
        <f ca="1">IFERROR(__xludf.DUMMYFUNCTION("""COMPUTED_VALUE"""),"Única")</f>
        <v>Única</v>
      </c>
      <c r="P533" s="33">
        <f ca="1">IFERROR(__xludf.DUMMYFUNCTION("""COMPUTED_VALUE"""),46128)</f>
        <v>46128</v>
      </c>
      <c r="Q533" s="33">
        <f ca="1">IFERROR(__xludf.DUMMYFUNCTION("""COMPUTED_VALUE"""),46128)</f>
        <v>46128</v>
      </c>
      <c r="R533" s="30">
        <f ca="1">IFERROR(__xludf.DUMMYFUNCTION("""COMPUTED_VALUE"""),1)</f>
        <v>1</v>
      </c>
      <c r="S533" s="30" t="str">
        <f ca="1">IFERROR(__xludf.DUMMYFUNCTION("""COMPUTED_VALUE"""),"Cultura comunitaria")</f>
        <v>Cultura comunitaria</v>
      </c>
      <c r="T533" s="30" t="str">
        <f ca="1">IFERROR(__xludf.DUMMYFUNCTION("""COMPUTED_VALUE"""),"Gestión cultural")</f>
        <v>Gestión cultural</v>
      </c>
      <c r="U533" s="30" t="str">
        <f ca="1">IFERROR(__xludf.DUMMYFUNCTION("""COMPUTED_VALUE"""),"Taller")</f>
        <v>Taller</v>
      </c>
      <c r="V533" s="30" t="str">
        <f ca="1">IFERROR(__xludf.DUMMYFUNCTION("""COMPUTED_VALUE"""),"Ninguna")</f>
        <v>Ninguna</v>
      </c>
      <c r="W533" s="30" t="str">
        <f ca="1">IFERROR(__xludf.DUMMYFUNCTION("""COMPUTED_VALUE"""),"Presencial")</f>
        <v>Presencial</v>
      </c>
      <c r="X533" s="30" t="str">
        <f ca="1">IFERROR(__xludf.DUMMYFUNCTION("""COMPUTED_VALUE"""),"Espacio Público")</f>
        <v>Espacio Público</v>
      </c>
      <c r="Y533" s="30"/>
      <c r="Z533" s="30" t="str">
        <f ca="1">IFERROR(__xludf.DUMMYFUNCTION("""COMPUTED_VALUE"""),"Casa de Cultura Fray Andrés de San Miguel")</f>
        <v>Casa de Cultura Fray Andrés de San Miguel</v>
      </c>
      <c r="AA533" s="30"/>
      <c r="AB533" s="30" t="b">
        <f ca="1">IFERROR(__xludf.DUMMYFUNCTION("""COMPUTED_VALUE"""),FALSE)</f>
        <v>0</v>
      </c>
      <c r="AC533" s="30"/>
      <c r="AD533" s="30" t="b">
        <f ca="1">IFERROR(__xludf.DUMMYFUNCTION("""COMPUTED_VALUE"""),FALSE)</f>
        <v>0</v>
      </c>
      <c r="AE533" s="30"/>
      <c r="AF533" s="30" t="b">
        <f ca="1">IFERROR(__xludf.DUMMYFUNCTION("""COMPUTED_VALUE"""),FALSE)</f>
        <v>0</v>
      </c>
      <c r="AG533" s="30"/>
      <c r="AH533" s="30" t="str">
        <f ca="1">IFERROR(__xludf.DUMMYFUNCTION("""COMPUTED_VALUE"""),"Sin costo")</f>
        <v>Sin costo</v>
      </c>
      <c r="AI533" s="30"/>
      <c r="AJ533" s="30"/>
      <c r="AK533" s="30"/>
      <c r="AL533" s="30" t="str">
        <f ca="1">IFERROR(__xludf.DUMMYFUNCTION("""COMPUTED_VALUE"""),"claudia.ramirezm@guanajuato.gob.mx")</f>
        <v>claudia.ramirezm@guanajuato.gob.mx</v>
      </c>
      <c r="AM533" s="30" t="str">
        <f ca="1">IFERROR(__xludf.DUMMYFUNCTION("""COMPUTED_VALUE"""),"Mayor inversión en conservación del patrimonio artístico y cultural.")</f>
        <v>Mayor inversión en conservación del patrimonio artístico y cultural.</v>
      </c>
      <c r="AN533" s="30" t="str">
        <f ca="1">IFERROR(__xludf.DUMMYFUNCTION("""COMPUTED_VALUE"""),"2 Igualdad")</f>
        <v>2 Igualdad</v>
      </c>
      <c r="AO533" s="30" t="str">
        <f ca="1">IFERROR(__xludf.DUMMYFUNCTION("""COMPUTED_VALUE"""),"2.2 Fortalecer cohesión social")</f>
        <v>2.2 Fortalecer cohesión social</v>
      </c>
      <c r="AP533" s="30" t="str">
        <f ca="1">IFERROR(__xludf.DUMMYFUNCTION("""COMPUTED_VALUE"""),"2.2 Fortalecer cohesión social")</f>
        <v>2.2 Fortalecer cohesión social</v>
      </c>
      <c r="AQ533" s="30" t="str">
        <f ca="1">IFERROR(__xludf.DUMMYFUNCTION("""COMPUTED_VALUE"""),"2.2.3.2 Promover la participación de grupos prioritarios en actividades culturales")</f>
        <v>2.2.3.2 Promover la participación de grupos prioritarios en actividades culturales</v>
      </c>
      <c r="AR533" s="30" t="str">
        <f ca="1">IFERROR(__xludf.DUMMYFUNCTION("""COMPUTED_VALUE"""),"Inclusión")</f>
        <v>Inclusión</v>
      </c>
      <c r="AS533" s="30" t="str">
        <f ca="1">IFERROR(__xludf.DUMMYFUNCTION("""COMPUTED_VALUE"""),"Ninguno (Población General)")</f>
        <v>Ninguno (Población General)</v>
      </c>
      <c r="AT533" s="30" t="str">
        <f ca="1">IFERROR(__xludf.DUMMYFUNCTION("""COMPUTED_VALUE"""),"Impulso a la educación artística y a la profesionalización del sector cultural")</f>
        <v>Impulso a la educación artística y a la profesionalización del sector cultural</v>
      </c>
      <c r="AU533" s="30" t="str">
        <f ca="1">IFERROR(__xludf.DUMMYFUNCTION("""COMPUTED_VALUE"""),"Impulso a programas de formación y profesionalización para agentes culturales.")</f>
        <v>Impulso a programas de formación y profesionalización para agentes culturales.</v>
      </c>
      <c r="AV533"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33" s="30" t="str">
        <f ca="1">IFERROR(__xludf.DUMMYFUNCTION("""COMPUTED_VALUE"""),"Incrementar un 30% la oferta de formación y profesionalización para agentes culturales.")</f>
        <v>Incrementar un 30% la oferta de formación y profesionalización para agentes culturales.</v>
      </c>
      <c r="AX533" s="30" t="str">
        <f ca="1">IFERROR(__xludf.DUMMYFUNCTION("""COMPUTED_VALUE"""),"Taller")</f>
        <v>Taller</v>
      </c>
      <c r="AY533" s="30" t="str">
        <f ca="1">IFERROR(__xludf.DUMMYFUNCTION("""COMPUTED_VALUE"""),"Formación")</f>
        <v>Formación</v>
      </c>
      <c r="AZ533" s="30" t="str">
        <f ca="1">IFERROR(__xludf.DUMMYFUNCTION("""COMPUTED_VALUE"""),"Formación")</f>
        <v>Formación</v>
      </c>
      <c r="BA533" s="30"/>
      <c r="BB533" s="30">
        <f ca="1">IFERROR(__xludf.DUMMYFUNCTION("""COMPUTED_VALUE"""),5)</f>
        <v>5</v>
      </c>
      <c r="BC533" s="30">
        <f ca="1">IFERROR(__xludf.DUMMYFUNCTION("""COMPUTED_VALUE"""),1)</f>
        <v>1</v>
      </c>
      <c r="BD533" s="30" t="str">
        <f ca="1">IFERROR(__xludf.DUMMYFUNCTION("""COMPUTED_VALUE"""),"Nuevo")</f>
        <v>Nuevo</v>
      </c>
      <c r="BE533" s="30" t="str">
        <f ca="1">IFERROR(__xludf.DUMMYFUNCTION("""COMPUTED_VALUE"""),"Carlos Villaseñor Anaya")</f>
        <v>Carlos Villaseñor Anaya</v>
      </c>
      <c r="BF533" s="30" t="b">
        <f ca="1">IFERROR(__xludf.DUMMYFUNCTION("""COMPUTED_VALUE"""),FALSE)</f>
        <v>0</v>
      </c>
      <c r="BG533" s="30"/>
      <c r="BH533" s="30"/>
      <c r="BI533" s="30"/>
      <c r="BJ533" s="30"/>
      <c r="BK533" s="30"/>
      <c r="BL533" s="30"/>
      <c r="BM533" s="30" t="str">
        <f ca="1">IFERROR(__xludf.DUMMYFUNCTION("""COMPUTED_VALUE"""),"No")</f>
        <v>No</v>
      </c>
      <c r="BN533" s="30"/>
      <c r="BO533" s="30" t="str">
        <f ca="1">IFERROR(__xludf.DUMMYFUNCTION("""COMPUTED_VALUE"""),"9c6d497e")</f>
        <v>9c6d497e</v>
      </c>
      <c r="BP533" s="29" t="str">
        <f ca="1">IFERROR(__xludf.DUMMYFUNCTION("""COMPUTED_VALUE"""),"Salamanca")</f>
        <v>Salamanca</v>
      </c>
      <c r="BQ533" s="30" t="str">
        <f ca="1">IFERROR(__xludf.DUMMYFUNCTION("""COMPUTED_VALUE"""),"Urbano")</f>
        <v>Urbano</v>
      </c>
      <c r="BR533" s="30">
        <f ca="1">IFERROR(__xludf.DUMMYFUNCTION("""COMPUTED_VALUE"""),181)</f>
        <v>181</v>
      </c>
      <c r="BS533" s="30" t="str">
        <f ca="1">IFERROR(__xludf.DUMMYFUNCTION("""COMPUTED_VALUE"""),"Salamanca")</f>
        <v>Salamanca</v>
      </c>
      <c r="BT533" s="30"/>
      <c r="BU533" s="30" t="str">
        <f ca="1">IFERROR(__xludf.DUMMYFUNCTION("""COMPUTED_VALUE"""),"Si")</f>
        <v>Si</v>
      </c>
      <c r="BV533" s="30" t="str">
        <f ca="1">IFERROR(__xludf.DUMMYFUNCTION("""COMPUTED_VALUE"""),"Si")</f>
        <v>Si</v>
      </c>
      <c r="BW533" s="30">
        <f ca="1">IFERROR(__xludf.DUMMYFUNCTION("""COMPUTED_VALUE"""),71)</f>
        <v>71</v>
      </c>
      <c r="BX533" s="30">
        <f ca="1">IFERROR(__xludf.DUMMYFUNCTION("""COMPUTED_VALUE"""),1)</f>
        <v>1</v>
      </c>
      <c r="BY533" s="30">
        <f ca="1">IFERROR(__xludf.DUMMYFUNCTION("""COMPUTED_VALUE"""),70)</f>
        <v>70</v>
      </c>
      <c r="BZ533" s="30" t="str">
        <f ca="1">IFERROR(__xludf.DUMMYFUNCTION("""COMPUTED_VALUE"""),"Salamanca")</f>
        <v>Salamanca</v>
      </c>
      <c r="CA533" s="30" t="str">
        <f ca="1">IFERROR(__xludf.DUMMYFUNCTION("""COMPUTED_VALUE"""),"No")</f>
        <v>No</v>
      </c>
      <c r="CB533" s="30" t="str">
        <f ca="1">IFERROR(__xludf.DUMMYFUNCTION("""COMPUTED_VALUE"""),"No")</f>
        <v>No</v>
      </c>
      <c r="CC533" s="30" t="str">
        <f ca="1">IFERROR(__xludf.DUMMYFUNCTION("""COMPUTED_VALUE"""),"8536aea7")</f>
        <v>8536aea7</v>
      </c>
      <c r="CD533" s="29" t="str">
        <f ca="1">IFERROR(__xludf.DUMMYFUNCTION("""COMPUTED_VALUE"""),"Jóvenes (18 a 29 años)")</f>
        <v>Jóvenes (18 a 29 años)</v>
      </c>
      <c r="CE533" s="30" t="str">
        <f ca="1">IFERROR(__xludf.DUMMYFUNCTION("""COMPUTED_VALUE"""),"No se cuenta con el dato")</f>
        <v>No se cuenta con el dato</v>
      </c>
      <c r="CF533" s="30" t="str">
        <f ca="1">IFERROR(__xludf.DUMMYFUNCTION("""COMPUTED_VALUE"""),"Ninguno (Población General)")</f>
        <v>Ninguno (Población General)</v>
      </c>
      <c r="CG533" s="30">
        <f ca="1">IFERROR(__xludf.DUMMYFUNCTION("""COMPUTED_VALUE"""),4)</f>
        <v>4</v>
      </c>
      <c r="CJ533" s="29"/>
      <c r="CM533" s="30" t="str">
        <f ca="1">IFERROR(__xludf.DUMMYFUNCTION("""COMPUTED_VALUE"""),"Guanajuato")</f>
        <v>Guanajuato</v>
      </c>
      <c r="CN533" s="32" t="e">
        <f ca="1"/>
        <v>#NAME?</v>
      </c>
      <c r="CO533" s="32" t="e">
        <f ca="1"/>
        <v>#NAME?</v>
      </c>
      <c r="CP533" s="32" t="e">
        <f ca="1"/>
        <v>#NAME?</v>
      </c>
      <c r="CQ533" s="32" t="e">
        <f ca="1"/>
        <v>#NAME?</v>
      </c>
      <c r="CR533" s="30" t="e">
        <f ca="1"/>
        <v>#NAME?</v>
      </c>
      <c r="CS533" s="30" t="str">
        <f ca="1">IFERROR(__xludf.DUMMYFUNCTION("""COMPUTED_VALUE"""),"Ninguno (Población General)")</f>
        <v>Ninguno (Población General)</v>
      </c>
    </row>
    <row r="534" spans="1:97" ht="13">
      <c r="A534" s="29" t="str">
        <f ca="1">IFERROR(__xludf.DUMMYFUNCTION("""COMPUTED_VALUE"""),"ACT-SCHC75119")</f>
        <v>ACT-SCHC75119</v>
      </c>
      <c r="B534" s="30" t="str">
        <f ca="1">IFERROR(__xludf.DUMMYFUNCTION("""COMPUTED_VALUE"""),"SC-261006-133344")</f>
        <v>SC-261006-133344</v>
      </c>
      <c r="C534" s="62">
        <f ca="1">IFERROR(__xludf.DUMMYFUNCTION("""COMPUTED_VALUE"""),46301.5650925925)</f>
        <v>46301.5650925925</v>
      </c>
      <c r="D534" s="30">
        <f ca="1">IFERROR(__xludf.DUMMYFUNCTION("""COMPUTED_VALUE"""),73)</f>
        <v>73</v>
      </c>
      <c r="E534" s="30" t="str">
        <f ca="1">IFERROR(__xludf.DUMMYFUNCTION("""COMPUTED_VALUE"""),"PB3567")</f>
        <v>PB3567</v>
      </c>
      <c r="F534" s="30" t="str">
        <f ca="1">IFERROR(__xludf.DUMMYFUNCTION("""COMPUTED_VALUE"""),"Formación e Investigación Artística")</f>
        <v>Formación e Investigación Artística</v>
      </c>
      <c r="G534" s="30" t="str">
        <f ca="1">IFERROR(__xludf.DUMMYFUNCTION("""COMPUTED_VALUE"""),"Cursos, talleres, y diplomados en patrimonio cultural inmaterial, sobre territorio y comunidad.")</f>
        <v>Cursos, talleres, y diplomados en patrimonio cultural inmaterial, sobre territorio y comunidad.</v>
      </c>
      <c r="H534" s="30" t="str">
        <f ca="1">IFERROR(__xludf.DUMMYFUNCTION("""COMPUTED_VALUE"""),"SUBSECRETARÍA DE DESARROLLO COMUNITARIO Y PROMOCIÓN PATRIMONIAL")</f>
        <v>SUBSECRETARÍA DE DESARROLLO COMUNITARIO Y PROMOCIÓN PATRIMONIAL</v>
      </c>
      <c r="I534" s="34" t="str">
        <f ca="1">IFERROR(__xludf.DUMMYFUNCTION("""COMPUTED_VALUE"""),"DIRECCIÓN GENERAL DE FORMACIÓN E INVESTIGACIÓN")</f>
        <v>DIRECCIÓN GENERAL DE FORMACIÓN E INVESTIGACIÓN</v>
      </c>
      <c r="J534" s="30" t="str">
        <f ca="1">IFERROR(__xludf.DUMMYFUNCTION("""COMPUTED_VALUE"""),"Cursos, talleres, diplomados realizados")</f>
        <v>Cursos, talleres, diplomados realizados</v>
      </c>
      <c r="K534" s="30">
        <f ca="1">IFERROR(__xludf.DUMMYFUNCTION("""COMPUTED_VALUE"""),2)</f>
        <v>2</v>
      </c>
      <c r="L534" s="30" t="str">
        <f ca="1">IFERROR(__xludf.DUMMYFUNCTION("""COMPUTED_VALUE"""),"Cultural")</f>
        <v>Cultural</v>
      </c>
      <c r="M534" s="30" t="str">
        <f ca="1">IFERROR(__xludf.DUMMYFUNCTION("""COMPUTED_VALUE"""),"Taller Diversidad cultural en las políticas culturales municipales")</f>
        <v>Taller Diversidad cultural en las políticas culturales municipales</v>
      </c>
      <c r="N534" s="30" t="str">
        <f ca="1">IFERROR(__xludf.DUMMYFUNCTION("""COMPUTED_VALUE"""),"Espacio de formación para integrar los derechos culturales y la diversidad como ejes del desarrollo cultural local, con base en el libro Creatividades locales, editado por UNESCO")</f>
        <v>Espacio de formación para integrar los derechos culturales y la diversidad como ejes del desarrollo cultural local, con base en el libro Creatividades locales, editado por UNESCO</v>
      </c>
      <c r="O534" s="30" t="str">
        <f ca="1">IFERROR(__xludf.DUMMYFUNCTION("""COMPUTED_VALUE"""),"Única")</f>
        <v>Única</v>
      </c>
      <c r="P534" s="33">
        <f ca="1">IFERROR(__xludf.DUMMYFUNCTION("""COMPUTED_VALUE"""),46129)</f>
        <v>46129</v>
      </c>
      <c r="Q534" s="33">
        <f ca="1">IFERROR(__xludf.DUMMYFUNCTION("""COMPUTED_VALUE"""),46129)</f>
        <v>46129</v>
      </c>
      <c r="R534" s="30">
        <f ca="1">IFERROR(__xludf.DUMMYFUNCTION("""COMPUTED_VALUE"""),1)</f>
        <v>1</v>
      </c>
      <c r="S534" s="30" t="str">
        <f ca="1">IFERROR(__xludf.DUMMYFUNCTION("""COMPUTED_VALUE"""),"Cultura comunitaria")</f>
        <v>Cultura comunitaria</v>
      </c>
      <c r="T534" s="30" t="str">
        <f ca="1">IFERROR(__xludf.DUMMYFUNCTION("""COMPUTED_VALUE"""),"Gestión cultural")</f>
        <v>Gestión cultural</v>
      </c>
      <c r="U534" s="30" t="str">
        <f ca="1">IFERROR(__xludf.DUMMYFUNCTION("""COMPUTED_VALUE"""),"Taller")</f>
        <v>Taller</v>
      </c>
      <c r="V534" s="30" t="str">
        <f ca="1">IFERROR(__xludf.DUMMYFUNCTION("""COMPUTED_VALUE"""),"Ninguna")</f>
        <v>Ninguna</v>
      </c>
      <c r="W534" s="30" t="str">
        <f ca="1">IFERROR(__xludf.DUMMYFUNCTION("""COMPUTED_VALUE"""),"Presencial")</f>
        <v>Presencial</v>
      </c>
      <c r="X534" s="30" t="str">
        <f ca="1">IFERROR(__xludf.DUMMYFUNCTION("""COMPUTED_VALUE"""),"Espacio Público")</f>
        <v>Espacio Público</v>
      </c>
      <c r="Y534" s="30"/>
      <c r="Z534" s="30" t="str">
        <f ca="1">IFERROR(__xludf.DUMMYFUNCTION("""COMPUTED_VALUE"""),"Casa de Cultura Manuel Torres Franco")</f>
        <v>Casa de Cultura Manuel Torres Franco</v>
      </c>
      <c r="AA534" s="30"/>
      <c r="AB534" s="30" t="b">
        <f ca="1">IFERROR(__xludf.DUMMYFUNCTION("""COMPUTED_VALUE"""),FALSE)</f>
        <v>0</v>
      </c>
      <c r="AC534" s="30"/>
      <c r="AD534" s="30" t="b">
        <f ca="1">IFERROR(__xludf.DUMMYFUNCTION("""COMPUTED_VALUE"""),FALSE)</f>
        <v>0</v>
      </c>
      <c r="AE534" s="30"/>
      <c r="AF534" s="30" t="b">
        <f ca="1">IFERROR(__xludf.DUMMYFUNCTION("""COMPUTED_VALUE"""),FALSE)</f>
        <v>0</v>
      </c>
      <c r="AG534" s="30"/>
      <c r="AH534" s="30" t="str">
        <f ca="1">IFERROR(__xludf.DUMMYFUNCTION("""COMPUTED_VALUE"""),"Sin costo")</f>
        <v>Sin costo</v>
      </c>
      <c r="AI534" s="30"/>
      <c r="AJ534" s="30"/>
      <c r="AK534" s="30"/>
      <c r="AL534" s="30" t="str">
        <f ca="1">IFERROR(__xludf.DUMMYFUNCTION("""COMPUTED_VALUE"""),"claudia.ramirezm@guanajuato.gob.mx")</f>
        <v>claudia.ramirezm@guanajuato.gob.mx</v>
      </c>
      <c r="AM534" s="30" t="str">
        <f ca="1">IFERROR(__xludf.DUMMYFUNCTION("""COMPUTED_VALUE"""),"Mayor inversión en conservación del patrimonio artístico y cultural.")</f>
        <v>Mayor inversión en conservación del patrimonio artístico y cultural.</v>
      </c>
      <c r="AN534" s="30" t="str">
        <f ca="1">IFERROR(__xludf.DUMMYFUNCTION("""COMPUTED_VALUE"""),"2 Igualdad")</f>
        <v>2 Igualdad</v>
      </c>
      <c r="AO534" s="30" t="str">
        <f ca="1">IFERROR(__xludf.DUMMYFUNCTION("""COMPUTED_VALUE"""),"2.2 Fortalecer cohesión social")</f>
        <v>2.2 Fortalecer cohesión social</v>
      </c>
      <c r="AP534" s="30" t="str">
        <f ca="1">IFERROR(__xludf.DUMMYFUNCTION("""COMPUTED_VALUE"""),"2.2 Fortalecer cohesión social")</f>
        <v>2.2 Fortalecer cohesión social</v>
      </c>
      <c r="AQ534" s="30" t="str">
        <f ca="1">IFERROR(__xludf.DUMMYFUNCTION("""COMPUTED_VALUE"""),"2.2.3.2 Promover la participación de grupos prioritarios en actividades culturales")</f>
        <v>2.2.3.2 Promover la participación de grupos prioritarios en actividades culturales</v>
      </c>
      <c r="AR534" s="30" t="str">
        <f ca="1">IFERROR(__xludf.DUMMYFUNCTION("""COMPUTED_VALUE"""),"Inclusión")</f>
        <v>Inclusión</v>
      </c>
      <c r="AS534" s="30" t="str">
        <f ca="1">IFERROR(__xludf.DUMMYFUNCTION("""COMPUTED_VALUE"""),"Ninguno (Población General)")</f>
        <v>Ninguno (Población General)</v>
      </c>
      <c r="AT534" s="30" t="str">
        <f ca="1">IFERROR(__xludf.DUMMYFUNCTION("""COMPUTED_VALUE"""),"Impulso a la educación artística y a la profesionalización del sector cultural")</f>
        <v>Impulso a la educación artística y a la profesionalización del sector cultural</v>
      </c>
      <c r="AU534" s="30" t="str">
        <f ca="1">IFERROR(__xludf.DUMMYFUNCTION("""COMPUTED_VALUE"""),"Impulso a programas de formación y profesionalización para agentes culturales.")</f>
        <v>Impulso a programas de formación y profesionalización para agentes culturales.</v>
      </c>
      <c r="AV534"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34" s="30" t="str">
        <f ca="1">IFERROR(__xludf.DUMMYFUNCTION("""COMPUTED_VALUE"""),"Incrementar un 30% la oferta de formación y profesionalización para agentes culturales.")</f>
        <v>Incrementar un 30% la oferta de formación y profesionalización para agentes culturales.</v>
      </c>
      <c r="AX534" s="30" t="str">
        <f ca="1">IFERROR(__xludf.DUMMYFUNCTION("""COMPUTED_VALUE"""),"Taller")</f>
        <v>Taller</v>
      </c>
      <c r="AY534" s="30" t="str">
        <f ca="1">IFERROR(__xludf.DUMMYFUNCTION("""COMPUTED_VALUE"""),"Formación")</f>
        <v>Formación</v>
      </c>
      <c r="AZ534" s="30" t="str">
        <f ca="1">IFERROR(__xludf.DUMMYFUNCTION("""COMPUTED_VALUE"""),"Formación")</f>
        <v>Formación</v>
      </c>
      <c r="BA534" s="30"/>
      <c r="BB534" s="30">
        <f ca="1">IFERROR(__xludf.DUMMYFUNCTION("""COMPUTED_VALUE"""),5)</f>
        <v>5</v>
      </c>
      <c r="BC534" s="30">
        <f ca="1">IFERROR(__xludf.DUMMYFUNCTION("""COMPUTED_VALUE"""),1)</f>
        <v>1</v>
      </c>
      <c r="BD534" s="30" t="str">
        <f ca="1">IFERROR(__xludf.DUMMYFUNCTION("""COMPUTED_VALUE"""),"Nuevo")</f>
        <v>Nuevo</v>
      </c>
      <c r="BE534" s="30" t="str">
        <f ca="1">IFERROR(__xludf.DUMMYFUNCTION("""COMPUTED_VALUE"""),"Carlos Villaseñor Anaya")</f>
        <v>Carlos Villaseñor Anaya</v>
      </c>
      <c r="BF534" s="30" t="b">
        <f ca="1">IFERROR(__xludf.DUMMYFUNCTION("""COMPUTED_VALUE"""),FALSE)</f>
        <v>0</v>
      </c>
      <c r="BG534" s="30"/>
      <c r="BH534" s="30"/>
      <c r="BI534" s="30"/>
      <c r="BJ534" s="30"/>
      <c r="BK534" s="30"/>
      <c r="BL534" s="30"/>
      <c r="BM534" s="30" t="str">
        <f ca="1">IFERROR(__xludf.DUMMYFUNCTION("""COMPUTED_VALUE"""),"No")</f>
        <v>No</v>
      </c>
      <c r="BN534" s="30"/>
      <c r="BO534" s="30" t="str">
        <f ca="1">IFERROR(__xludf.DUMMYFUNCTION("""COMPUTED_VALUE"""),"ddd340d7")</f>
        <v>ddd340d7</v>
      </c>
      <c r="BP534" s="29" t="str">
        <f ca="1">IFERROR(__xludf.DUMMYFUNCTION("""COMPUTED_VALUE"""),"Guanajuato")</f>
        <v>Guanajuato</v>
      </c>
      <c r="BQ534" s="30" t="str">
        <f ca="1">IFERROR(__xludf.DUMMYFUNCTION("""COMPUTED_VALUE"""),"Urbano")</f>
        <v>Urbano</v>
      </c>
      <c r="BR534" s="30"/>
      <c r="BS534" s="30"/>
      <c r="BT534" s="30"/>
      <c r="BU534" s="30" t="str">
        <f ca="1">IFERROR(__xludf.DUMMYFUNCTION("""COMPUTED_VALUE"""),"No")</f>
        <v>No</v>
      </c>
      <c r="BV534" s="30" t="str">
        <f ca="1">IFERROR(__xludf.DUMMYFUNCTION("""COMPUTED_VALUE"""),"No")</f>
        <v>No</v>
      </c>
      <c r="BW534" s="30">
        <f ca="1">IFERROR(__xludf.DUMMYFUNCTION("""COMPUTED_VALUE"""),187)</f>
        <v>187</v>
      </c>
      <c r="BX534" s="30"/>
      <c r="BY534" s="30">
        <f ca="1">IFERROR(__xludf.DUMMYFUNCTION("""COMPUTED_VALUE"""),187)</f>
        <v>187</v>
      </c>
      <c r="BZ534" s="30"/>
      <c r="CA534" s="30" t="str">
        <f ca="1">IFERROR(__xludf.DUMMYFUNCTION("""COMPUTED_VALUE"""),"No")</f>
        <v>No</v>
      </c>
      <c r="CB534" s="30" t="str">
        <f ca="1">IFERROR(__xludf.DUMMYFUNCTION("""COMPUTED_VALUE"""),"No")</f>
        <v>No</v>
      </c>
      <c r="CC534" s="30" t="str">
        <f ca="1">IFERROR(__xludf.DUMMYFUNCTION("""COMPUTED_VALUE"""),"800a316c")</f>
        <v>800a316c</v>
      </c>
      <c r="CD534" s="29" t="str">
        <f ca="1">IFERROR(__xludf.DUMMYFUNCTION("""COMPUTED_VALUE"""),"Jóvenes (18 a 29 años)")</f>
        <v>Jóvenes (18 a 29 años)</v>
      </c>
      <c r="CE534" s="30" t="str">
        <f ca="1">IFERROR(__xludf.DUMMYFUNCTION("""COMPUTED_VALUE"""),"No se cuenta con el dato")</f>
        <v>No se cuenta con el dato</v>
      </c>
      <c r="CF534" s="30" t="str">
        <f ca="1">IFERROR(__xludf.DUMMYFUNCTION("""COMPUTED_VALUE"""),"NNA (Niñas, Niños y Adolescentes)")</f>
        <v>NNA (Niñas, Niños y Adolescentes)</v>
      </c>
      <c r="CG534" s="30">
        <f ca="1">IFERROR(__xludf.DUMMYFUNCTION("""COMPUTED_VALUE"""),13)</f>
        <v>13</v>
      </c>
      <c r="CJ534" s="29"/>
      <c r="CM534" s="30" t="str">
        <f ca="1">IFERROR(__xludf.DUMMYFUNCTION("""COMPUTED_VALUE"""),"Guanajuato")</f>
        <v>Guanajuato</v>
      </c>
      <c r="CN534" s="32" t="e">
        <f ca="1"/>
        <v>#NAME?</v>
      </c>
      <c r="CO534" s="32" t="e">
        <f ca="1"/>
        <v>#NAME?</v>
      </c>
      <c r="CP534" s="32" t="e">
        <f ca="1"/>
        <v>#NAME?</v>
      </c>
      <c r="CQ534" s="32" t="e">
        <f ca="1"/>
        <v>#NAME?</v>
      </c>
      <c r="CR534" s="30" t="e">
        <f ca="1"/>
        <v>#NAME?</v>
      </c>
      <c r="CS534" s="30" t="str">
        <f ca="1">IFERROR(__xludf.DUMMYFUNCTION("""COMPUTED_VALUE"""),"Ninguno (Población General)")</f>
        <v>Ninguno (Población General)</v>
      </c>
    </row>
    <row r="535" spans="1:97" ht="13">
      <c r="A535" s="29" t="str">
        <f ca="1">IFERROR(__xludf.DUMMYFUNCTION("""COMPUTED_VALUE"""),"ACT-SCLA99017")</f>
        <v>ACT-SCLA99017</v>
      </c>
      <c r="B535" s="30" t="str">
        <f ca="1">IFERROR(__xludf.DUMMYFUNCTION("""COMPUTED_VALUE"""),"SC-261006-143618")</f>
        <v>SC-261006-143618</v>
      </c>
      <c r="C535" s="62">
        <f ca="1">IFERROR(__xludf.DUMMYFUNCTION("""COMPUTED_VALUE"""),46301.6085416666)</f>
        <v>46301.608541666603</v>
      </c>
      <c r="D535" s="30">
        <f ca="1">IFERROR(__xludf.DUMMYFUNCTION("""COMPUTED_VALUE"""),29)</f>
        <v>29</v>
      </c>
      <c r="E535" s="30" t="str">
        <f ca="1">IFERROR(__xludf.DUMMYFUNCTION("""COMPUTED_VALUE"""),"QC4049")</f>
        <v>QC4049</v>
      </c>
      <c r="F535" s="30" t="str">
        <f ca="1">IFERROR(__xludf.DUMMYFUNCTION("""COMPUTED_VALUE"""),"Centro de las Artes de Guanajuato, Claustro Mayor")</f>
        <v>Centro de las Artes de Guanajuato, Claustro Mayor</v>
      </c>
      <c r="G535" s="30" t="str">
        <f ca="1">IFERROR(__xludf.DUMMYFUNCTION("""COMPUTED_VALUE"""),"Programa académico del Centro de las Artes de Guanajuato, Claustro Mayor, incluye: cursos y talleres de especialización en las disciplinas de artes escénicas, visuales, plásticas, patrimonio cultural inmaterial y públicos específicos, en Salamanca")</f>
        <v>Programa académico del Centro de las Artes de Guanajuato, Claustro Mayor, incluye: cursos y talleres de especialización en las disciplinas de artes escénicas, visuales, plásticas, patrimonio cultural inmaterial y públicos específicos, en Salamanca</v>
      </c>
      <c r="H535" s="30" t="str">
        <f ca="1">IFERROR(__xludf.DUMMYFUNCTION("""COMPUTED_VALUE"""),"SUBSECRETARÍA DE DESARROLLO COMUNITARIO Y PROMOCIÓN PATRIMONIAL")</f>
        <v>SUBSECRETARÍA DE DESARROLLO COMUNITARIO Y PROMOCIÓN PATRIMONIAL</v>
      </c>
      <c r="I535" s="34" t="str">
        <f ca="1">IFERROR(__xludf.DUMMYFUNCTION("""COMPUTED_VALUE"""),"DIRECCIÓN GENERAL DE FORMACIÓN E INVESTIGACIÓN")</f>
        <v>DIRECCIÓN GENERAL DE FORMACIÓN E INVESTIGACIÓN</v>
      </c>
      <c r="J535" s="30" t="str">
        <f ca="1">IFERROR(__xludf.DUMMYFUNCTION("""COMPUTED_VALUE"""),"Actividades realizadas")</f>
        <v>Actividades realizadas</v>
      </c>
      <c r="K535" s="30">
        <f ca="1">IFERROR(__xludf.DUMMYFUNCTION("""COMPUTED_VALUE"""),16)</f>
        <v>16</v>
      </c>
      <c r="L535" s="30" t="str">
        <f ca="1">IFERROR(__xludf.DUMMYFUNCTION("""COMPUTED_VALUE"""),"Cultural")</f>
        <v>Cultural</v>
      </c>
      <c r="M535" s="30" t="str">
        <f ca="1">IFERROR(__xludf.DUMMYFUNCTION("""COMPUTED_VALUE"""),"Patrimonio cultural.Miranda Giles")</f>
        <v>Patrimonio cultural.Miranda Giles</v>
      </c>
      <c r="N535" s="30" t="str">
        <f ca="1">IFERROR(__xludf.DUMMYFUNCTION("""COMPUTED_VALUE"""),"Participación de  Miranda de los Ángeles Espinosa Giles con Patrimonio cultural en el Encuentro estatal de saberes locales")</f>
        <v>Participación de  Miranda de los Ángeles Espinosa Giles con Patrimonio cultural en el Encuentro estatal de saberes locales</v>
      </c>
      <c r="O535" s="30" t="str">
        <f ca="1">IFERROR(__xludf.DUMMYFUNCTION("""COMPUTED_VALUE"""),"Única")</f>
        <v>Única</v>
      </c>
      <c r="P535" s="33">
        <f ca="1">IFERROR(__xludf.DUMMYFUNCTION("""COMPUTED_VALUE"""),46178)</f>
        <v>46178</v>
      </c>
      <c r="Q535" s="33">
        <f ca="1">IFERROR(__xludf.DUMMYFUNCTION("""COMPUTED_VALUE"""),46178)</f>
        <v>46178</v>
      </c>
      <c r="R535" s="30">
        <f ca="1">IFERROR(__xludf.DUMMYFUNCTION("""COMPUTED_VALUE"""),1)</f>
        <v>1</v>
      </c>
      <c r="S535" s="30" t="str">
        <f ca="1">IFERROR(__xludf.DUMMYFUNCTION("""COMPUTED_VALUE"""),"Patrimonio cultural")</f>
        <v>Patrimonio cultural</v>
      </c>
      <c r="T535" s="30" t="str">
        <f ca="1">IFERROR(__xludf.DUMMYFUNCTION("""COMPUTED_VALUE"""),"Patrimonio vivo")</f>
        <v>Patrimonio vivo</v>
      </c>
      <c r="U535" s="30" t="str">
        <f ca="1">IFERROR(__xludf.DUMMYFUNCTION("""COMPUTED_VALUE"""),"Encuentro cultural")</f>
        <v>Encuentro cultural</v>
      </c>
      <c r="V535" s="30" t="str">
        <f ca="1">IFERROR(__xludf.DUMMYFUNCTION("""COMPUTED_VALUE"""),"Ninguna")</f>
        <v>Ninguna</v>
      </c>
      <c r="W535" s="30" t="str">
        <f ca="1">IFERROR(__xludf.DUMMYFUNCTION("""COMPUTED_VALUE"""),"Presencial")</f>
        <v>Presencial</v>
      </c>
      <c r="X535" s="30" t="str">
        <f ca="1">IFERROR(__xludf.DUMMYFUNCTION("""COMPUTED_VALUE"""),"Espacio préstamo a la Secretaría de Cultura")</f>
        <v>Espacio préstamo a la Secretaría de Cultura</v>
      </c>
      <c r="Y535" s="30"/>
      <c r="Z535" s="30"/>
      <c r="AA535" s="30"/>
      <c r="AB535" s="30" t="b">
        <f ca="1">IFERROR(__xludf.DUMMYFUNCTION("""COMPUTED_VALUE"""),FALSE)</f>
        <v>0</v>
      </c>
      <c r="AC535" s="30"/>
      <c r="AD535" s="30" t="b">
        <f ca="1">IFERROR(__xludf.DUMMYFUNCTION("""COMPUTED_VALUE"""),TRUE)</f>
        <v>1</v>
      </c>
      <c r="AE535" s="30">
        <f ca="1">IFERROR(__xludf.DUMMYFUNCTION("""COMPUTED_VALUE"""),1)</f>
        <v>1</v>
      </c>
      <c r="AF535" s="30" t="b">
        <f ca="1">IFERROR(__xludf.DUMMYFUNCTION("""COMPUTED_VALUE"""),FALSE)</f>
        <v>0</v>
      </c>
      <c r="AG535" s="30"/>
      <c r="AH535" s="30" t="str">
        <f ca="1">IFERROR(__xludf.DUMMYFUNCTION("""COMPUTED_VALUE"""),"Sin costo")</f>
        <v>Sin costo</v>
      </c>
      <c r="AI535" s="30"/>
      <c r="AJ535" s="30"/>
      <c r="AK535" s="30"/>
      <c r="AL535" s="30" t="str">
        <f ca="1">IFERROR(__xludf.DUMMYFUNCTION("""COMPUTED_VALUE"""),"claudia.ramirezm@guanajuato.gob.mx")</f>
        <v>claudia.ramirezm@guanajuato.gob.mx</v>
      </c>
      <c r="AM535" s="30" t="str">
        <f ca="1">IFERROR(__xludf.DUMMYFUNCTION("""COMPUTED_VALUE"""),"Actividades artísticas y culturales en zonas de alta marginación.")</f>
        <v>Actividades artísticas y culturales en zonas de alta marginación.</v>
      </c>
      <c r="AN535" s="30" t="str">
        <f ca="1">IFERROR(__xludf.DUMMYFUNCTION("""COMPUTED_VALUE"""),"1 Tranquilidad")</f>
        <v>1 Tranquilidad</v>
      </c>
      <c r="AO535" s="30" t="str">
        <f ca="1">IFERROR(__xludf.DUMMYFUNCTION("""COMPUTED_VALUE"""),"1.2 Fortalecer prevención del delito")</f>
        <v>1.2 Fortalecer prevención del delito</v>
      </c>
      <c r="AP535" s="30" t="str">
        <f ca="1">IFERROR(__xludf.DUMMYFUNCTION("""COMPUTED_VALUE"""),"1.2.2 Fortalecimiento del tejido social")</f>
        <v>1.2.2 Fortalecimiento del tejido social</v>
      </c>
      <c r="AQ535" s="30" t="str">
        <f ca="1">IFERROR(__xludf.DUMMYFUNCTION("""COMPUTED_VALUE"""),"1.2.3.4 Promover una cultura de paz desde las expresiones artísticas y culturales")</f>
        <v>1.2.3.4 Promover una cultura de paz desde las expresiones artísticas y culturales</v>
      </c>
      <c r="AR535" s="30" t="str">
        <f ca="1">IFERROR(__xludf.DUMMYFUNCTION("""COMPUTED_VALUE"""),"Inclusión")</f>
        <v>Inclusión</v>
      </c>
      <c r="AS535" s="30" t="str">
        <f ca="1">IFERROR(__xludf.DUMMYFUNCTION("""COMPUTED_VALUE"""),"Ninguno (Población General)")</f>
        <v>Ninguno (Población General)</v>
      </c>
      <c r="AT535" s="30" t="str">
        <f ca="1">IFERROR(__xludf.DUMMYFUNCTION("""COMPUTED_VALUE"""),"Impulso a la educación artística y a la profesionalización del sector cultural")</f>
        <v>Impulso a la educación artística y a la profesionalización del sector cultural</v>
      </c>
      <c r="AU535" s="30" t="str">
        <f ca="1">IFERROR(__xludf.DUMMYFUNCTION("""COMPUTED_VALUE"""),"Impulso a programas de formación y profesionalización para agentes culturales.")</f>
        <v>Impulso a programas de formación y profesionalización para agentes culturales.</v>
      </c>
      <c r="AV535"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35" s="30" t="str">
        <f ca="1">IFERROR(__xludf.DUMMYFUNCTION("""COMPUTED_VALUE"""),"Incrementar un 30% la oferta de formación y profesionalización para agentes culturales.")</f>
        <v>Incrementar un 30% la oferta de formación y profesionalización para agentes culturales.</v>
      </c>
      <c r="AX535" s="30" t="str">
        <f ca="1">IFERROR(__xludf.DUMMYFUNCTION("""COMPUTED_VALUE"""),"Encuentro cultural")</f>
        <v>Encuentro cultural</v>
      </c>
      <c r="AY535" s="30" t="str">
        <f ca="1">IFERROR(__xludf.DUMMYFUNCTION("""COMPUTED_VALUE"""),"Formación")</f>
        <v>Formación</v>
      </c>
      <c r="AZ535" s="30" t="str">
        <f ca="1">IFERROR(__xludf.DUMMYFUNCTION("""COMPUTED_VALUE"""),"Formación")</f>
        <v>Formación</v>
      </c>
      <c r="BA535" s="30" t="str">
        <f ca="1">IFERROR(__xludf.DUMMYFUNCTION("""COMPUTED_VALUE"""),"Participación de  Miranda de los Ángeles Espinosa Giles con Patrimonio cultural en el Encuentro estatal de saberes locales")</f>
        <v>Participación de  Miranda de los Ángeles Espinosa Giles con Patrimonio cultural en el Encuentro estatal de saberes locales</v>
      </c>
      <c r="BB535" s="30">
        <f ca="1">IFERROR(__xludf.DUMMYFUNCTION("""COMPUTED_VALUE"""),5)</f>
        <v>5</v>
      </c>
      <c r="BC535" s="30">
        <f ca="1">IFERROR(__xludf.DUMMYFUNCTION("""COMPUTED_VALUE"""),1)</f>
        <v>1</v>
      </c>
      <c r="BD535" s="30" t="str">
        <f ca="1">IFERROR(__xludf.DUMMYFUNCTION("""COMPUTED_VALUE"""),"Apoyado con anterioridad")</f>
        <v>Apoyado con anterioridad</v>
      </c>
      <c r="BE535" s="30" t="str">
        <f ca="1">IFERROR(__xludf.DUMMYFUNCTION("""COMPUTED_VALUE"""),"Miranda de los Ángeles Espinosa Giles")</f>
        <v>Miranda de los Ángeles Espinosa Giles</v>
      </c>
      <c r="BF535" s="30" t="b">
        <f ca="1">IFERROR(__xludf.DUMMYFUNCTION("""COMPUTED_VALUE"""),TRUE)</f>
        <v>1</v>
      </c>
      <c r="BG535" s="30" t="str">
        <f ca="1">IFERROR(__xludf.DUMMYFUNCTION("""COMPUTED_VALUE"""),"Económico")</f>
        <v>Económico</v>
      </c>
      <c r="BH535" s="30">
        <f ca="1">IFERROR(__xludf.DUMMYFUNCTION("""COMPUTED_VALUE"""),28920)</f>
        <v>28920</v>
      </c>
      <c r="BI535" s="30"/>
      <c r="BJ535" s="30"/>
      <c r="BK535" s="30"/>
      <c r="BL535" s="30"/>
      <c r="BM535" s="30" t="str">
        <f ca="1">IFERROR(__xludf.DUMMYFUNCTION("""COMPUTED_VALUE"""),"No")</f>
        <v>No</v>
      </c>
      <c r="BN535" s="30"/>
      <c r="BO535" s="30" t="str">
        <f ca="1">IFERROR(__xludf.DUMMYFUNCTION("""COMPUTED_VALUE"""),"4326e64d")</f>
        <v>4326e64d</v>
      </c>
      <c r="BP535" s="29" t="str">
        <f ca="1">IFERROR(__xludf.DUMMYFUNCTION("""COMPUTED_VALUE"""),"León")</f>
        <v>León</v>
      </c>
      <c r="BQ535" s="30" t="str">
        <f ca="1">IFERROR(__xludf.DUMMYFUNCTION("""COMPUTED_VALUE"""),"Urbano")</f>
        <v>Urbano</v>
      </c>
      <c r="BR535" s="30"/>
      <c r="BS535" s="30"/>
      <c r="BT535" s="30"/>
      <c r="BU535" s="30" t="str">
        <f ca="1">IFERROR(__xludf.DUMMYFUNCTION("""COMPUTED_VALUE"""),"No")</f>
        <v>No</v>
      </c>
      <c r="BV535" s="30" t="str">
        <f ca="1">IFERROR(__xludf.DUMMYFUNCTION("""COMPUTED_VALUE"""),"No")</f>
        <v>No</v>
      </c>
      <c r="BW535" s="30">
        <f ca="1">IFERROR(__xludf.DUMMYFUNCTION("""COMPUTED_VALUE"""),2)</f>
        <v>2</v>
      </c>
      <c r="BX535" s="30"/>
      <c r="BY535" s="30">
        <f ca="1">IFERROR(__xludf.DUMMYFUNCTION("""COMPUTED_VALUE"""),2)</f>
        <v>2</v>
      </c>
      <c r="BZ535" s="30"/>
      <c r="CA535" s="30" t="str">
        <f ca="1">IFERROR(__xludf.DUMMYFUNCTION("""COMPUTED_VALUE"""),"No")</f>
        <v>No</v>
      </c>
      <c r="CB535" s="30" t="str">
        <f ca="1">IFERROR(__xludf.DUMMYFUNCTION("""COMPUTED_VALUE"""),"No")</f>
        <v>No</v>
      </c>
      <c r="CC535" s="30" t="str">
        <f ca="1">IFERROR(__xludf.DUMMYFUNCTION("""COMPUTED_VALUE"""),"a4342881")</f>
        <v>a4342881</v>
      </c>
      <c r="CD535" s="29" t="str">
        <f ca="1">IFERROR(__xludf.DUMMYFUNCTION("""COMPUTED_VALUE"""),"Adultos (30 a 59 años)")</f>
        <v>Adultos (30 a 59 años)</v>
      </c>
      <c r="CE535" s="30" t="str">
        <f ca="1">IFERROR(__xludf.DUMMYFUNCTION("""COMPUTED_VALUE"""),"Dato global")</f>
        <v>Dato global</v>
      </c>
      <c r="CF535" s="30" t="str">
        <f ca="1">IFERROR(__xludf.DUMMYFUNCTION("""COMPUTED_VALUE"""),"Comunidad LGBTIQ+")</f>
        <v>Comunidad LGBTIQ+</v>
      </c>
      <c r="CG535" s="30">
        <f ca="1">IFERROR(__xludf.DUMMYFUNCTION("""COMPUTED_VALUE"""),118)</f>
        <v>118</v>
      </c>
      <c r="CJ535" s="29"/>
      <c r="CM535" s="30" t="str">
        <f ca="1">IFERROR(__xludf.DUMMYFUNCTION("""COMPUTED_VALUE"""),"Guanajuato")</f>
        <v>Guanajuato</v>
      </c>
      <c r="CN535" s="32" t="e">
        <f ca="1"/>
        <v>#NAME?</v>
      </c>
      <c r="CO535" s="32" t="e">
        <f ca="1"/>
        <v>#NAME?</v>
      </c>
      <c r="CP535" s="32" t="e">
        <f ca="1"/>
        <v>#NAME?</v>
      </c>
      <c r="CQ535" s="32" t="e">
        <f ca="1"/>
        <v>#NAME?</v>
      </c>
      <c r="CR535" s="30" t="e">
        <f ca="1"/>
        <v>#NAME?</v>
      </c>
      <c r="CS535" s="30" t="str">
        <f ca="1">IFERROR(__xludf.DUMMYFUNCTION("""COMPUTED_VALUE"""),"Ninguno (Población General)")</f>
        <v>Ninguno (Población General)</v>
      </c>
    </row>
    <row r="536" spans="1:97" ht="13">
      <c r="A536" s="29" t="str">
        <f ca="1">IFERROR(__xludf.DUMMYFUNCTION("""COMPUTED_VALUE"""),"ACT-SCJX43524")</f>
        <v>ACT-SCJX43524</v>
      </c>
      <c r="B536" s="30" t="str">
        <f ca="1">IFERROR(__xludf.DUMMYFUNCTION("""COMPUTED_VALUE"""),"SC-261006-153614")</f>
        <v>SC-261006-153614</v>
      </c>
      <c r="C536" s="62">
        <f ca="1">IFERROR(__xludf.DUMMYFUNCTION("""COMPUTED_VALUE"""),46301.650162037)</f>
        <v>46301.650162037004</v>
      </c>
      <c r="D536" s="30">
        <f ca="1">IFERROR(__xludf.DUMMYFUNCTION("""COMPUTED_VALUE"""),92)</f>
        <v>92</v>
      </c>
      <c r="E536" s="30" t="str">
        <f ca="1">IFERROR(__xludf.DUMMYFUNCTION("""COMPUTED_VALUE"""),"PB3572")</f>
        <v>PB3572</v>
      </c>
      <c r="F53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3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36" s="30" t="str">
        <f ca="1">IFERROR(__xludf.DUMMYFUNCTION("""COMPUTED_VALUE"""),"SUBSECRETARÍA DE DESARROLLO Y PROMOCIÓN ARTÍSTICA Y CULTURAL")</f>
        <v>SUBSECRETARÍA DE DESARROLLO Y PROMOCIÓN ARTÍSTICA Y CULTURAL</v>
      </c>
      <c r="I536" s="34" t="str">
        <f ca="1">IFERROR(__xludf.DUMMYFUNCTION("""COMPUTED_VALUE"""),"DIRECCIÓN GENERAL DE MUSEOS, ARTES VISUALES Y EXPOSICIONES")</f>
        <v>DIRECCIÓN GENERAL DE MUSEOS, ARTES VISUALES Y EXPOSICIONES</v>
      </c>
      <c r="J536" s="30" t="str">
        <f ca="1">IFERROR(__xludf.DUMMYFUNCTION("""COMPUTED_VALUE"""),"Número de Actividades realizadas")</f>
        <v>Número de Actividades realizadas</v>
      </c>
      <c r="K536" s="30">
        <f ca="1">IFERROR(__xludf.DUMMYFUNCTION("""COMPUTED_VALUE"""),800)</f>
        <v>800</v>
      </c>
      <c r="L536" s="30" t="str">
        <f ca="1">IFERROR(__xludf.DUMMYFUNCTION("""COMPUTED_VALUE"""),"Cultural")</f>
        <v>Cultural</v>
      </c>
      <c r="M536" s="30" t="str">
        <f ca="1">IFERROR(__xludf.DUMMYFUNCTION("""COMPUTED_VALUE"""),"Visita guiada a alumnos de la Universidad de Guanajuato.")</f>
        <v>Visita guiada a alumnos de la Universidad de Guanajuato.</v>
      </c>
      <c r="N536" s="30" t="str">
        <f ca="1">IFERROR(__xludf.DUMMYFUNCTION("""COMPUTED_VALUE"""),"Recorrido guiado por el museo")</f>
        <v>Recorrido guiado por el museo</v>
      </c>
      <c r="O536" s="30" t="str">
        <f ca="1">IFERROR(__xludf.DUMMYFUNCTION("""COMPUTED_VALUE"""),"Única")</f>
        <v>Única</v>
      </c>
      <c r="P536" s="33">
        <f ca="1">IFERROR(__xludf.DUMMYFUNCTION("""COMPUTED_VALUE"""),46189)</f>
        <v>46189</v>
      </c>
      <c r="Q536" s="33">
        <f ca="1">IFERROR(__xludf.DUMMYFUNCTION("""COMPUTED_VALUE"""),46189)</f>
        <v>46189</v>
      </c>
      <c r="R536" s="30">
        <f ca="1">IFERROR(__xludf.DUMMYFUNCTION("""COMPUTED_VALUE"""),1)</f>
        <v>1</v>
      </c>
      <c r="S536" s="30" t="str">
        <f ca="1">IFERROR(__xludf.DUMMYFUNCTION("""COMPUTED_VALUE"""),"Cultura comunitaria")</f>
        <v>Cultura comunitaria</v>
      </c>
      <c r="T536" s="30" t="str">
        <f ca="1">IFERROR(__xludf.DUMMYFUNCTION("""COMPUTED_VALUE"""),"Formación comunitaria")</f>
        <v>Formación comunitaria</v>
      </c>
      <c r="U536" s="30" t="str">
        <f ca="1">IFERROR(__xludf.DUMMYFUNCTION("""COMPUTED_VALUE"""),"Visitas escolares")</f>
        <v>Visitas escolares</v>
      </c>
      <c r="V536" s="30" t="str">
        <f ca="1">IFERROR(__xludf.DUMMYFUNCTION("""COMPUTED_VALUE"""),"Ninguna")</f>
        <v>Ninguna</v>
      </c>
      <c r="W536" s="30" t="str">
        <f ca="1">IFERROR(__xludf.DUMMYFUNCTION("""COMPUTED_VALUE"""),"Presencial")</f>
        <v>Presencial</v>
      </c>
      <c r="X536" s="30" t="str">
        <f ca="1">IFERROR(__xludf.DUMMYFUNCTION("""COMPUTED_VALUE"""),"Espacio a Cargo de la Secretaría")</f>
        <v>Espacio a Cargo de la Secretaría</v>
      </c>
      <c r="Y536" s="30" t="str">
        <f ca="1">IFERROR(__xludf.DUMMYFUNCTION("""COMPUTED_VALUE"""),"Museo Palacio de los Poderes")</f>
        <v>Museo Palacio de los Poderes</v>
      </c>
      <c r="Z536" s="30"/>
      <c r="AA536" s="30"/>
      <c r="AB536" s="30" t="b">
        <f ca="1">IFERROR(__xludf.DUMMYFUNCTION("""COMPUTED_VALUE"""),FALSE)</f>
        <v>0</v>
      </c>
      <c r="AC536" s="30"/>
      <c r="AD536" s="30" t="b">
        <f ca="1">IFERROR(__xludf.DUMMYFUNCTION("""COMPUTED_VALUE"""),FALSE)</f>
        <v>0</v>
      </c>
      <c r="AE536" s="30"/>
      <c r="AF536" s="30" t="b">
        <f ca="1">IFERROR(__xludf.DUMMYFUNCTION("""COMPUTED_VALUE"""),FALSE)</f>
        <v>0</v>
      </c>
      <c r="AG536" s="30"/>
      <c r="AH536" s="30" t="str">
        <f ca="1">IFERROR(__xludf.DUMMYFUNCTION("""COMPUTED_VALUE"""),"Sin costo")</f>
        <v>Sin costo</v>
      </c>
      <c r="AI536" s="30"/>
      <c r="AJ536" s="30"/>
      <c r="AK536" s="30"/>
      <c r="AL536" s="30" t="str">
        <f ca="1">IFERROR(__xludf.DUMMYFUNCTION("""COMPUTED_VALUE"""),"ccardonav@guanajuato.gob.mx")</f>
        <v>ccardonav@guanajuato.gob.mx</v>
      </c>
      <c r="AM536" s="30" t="str">
        <f ca="1">IFERROR(__xludf.DUMMYFUNCTION("""COMPUTED_VALUE"""),"Arraigo y empoderamiento cultural de comunidades.")</f>
        <v>Arraigo y empoderamiento cultural de comunidades.</v>
      </c>
      <c r="AN536" s="30" t="str">
        <f ca="1">IFERROR(__xludf.DUMMYFUNCTION("""COMPUTED_VALUE"""),"1 Tranquilidad")</f>
        <v>1 Tranquilidad</v>
      </c>
      <c r="AO536" s="30" t="str">
        <f ca="1">IFERROR(__xludf.DUMMYFUNCTION("""COMPUTED_VALUE"""),"1.2 Fortalecer prevención del delito")</f>
        <v>1.2 Fortalecer prevención del delito</v>
      </c>
      <c r="AP536" s="30" t="str">
        <f ca="1">IFERROR(__xludf.DUMMYFUNCTION("""COMPUTED_VALUE"""),"1.2.2 Fortalecimiento del tejido social")</f>
        <v>1.2.2 Fortalecimiento del tejido social</v>
      </c>
      <c r="AQ536" s="30" t="str">
        <f ca="1">IFERROR(__xludf.DUMMYFUNCTION("""COMPUTED_VALUE"""),"1.2.3.4 Promover una cultura de paz desde las expresiones artísticas y culturales")</f>
        <v>1.2.3.4 Promover una cultura de paz desde las expresiones artísticas y culturales</v>
      </c>
      <c r="AR536" s="30" t="str">
        <f ca="1">IFERROR(__xludf.DUMMYFUNCTION("""COMPUTED_VALUE"""),"Cooperación")</f>
        <v>Cooperación</v>
      </c>
      <c r="AS536" s="30"/>
      <c r="AT536" s="30" t="str">
        <f ca="1">IFERROR(__xludf.DUMMYFUNCTION("""COMPUTED_VALUE"""),"Fortalecimiento de la participación ciudadana y la mediación cultural")</f>
        <v>Fortalecimiento de la participación ciudadana y la mediación cultural</v>
      </c>
      <c r="AU536" s="30" t="str">
        <f ca="1">IFERROR(__xludf.DUMMYFUNCTION("""COMPUTED_VALUE"""),"Impulso a la ampliación de la oferta cultural en los territorios.")</f>
        <v>Impulso a la ampliación de la oferta cultural en los territorios.</v>
      </c>
      <c r="AV53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36" s="30" t="str">
        <f ca="1">IFERROR(__xludf.DUMMYFUNCTION("""COMPUTED_VALUE"""),"Incrementar en 25% la oferta cultural realizada en los municipios.")</f>
        <v>Incrementar en 25% la oferta cultural realizada en los municipios.</v>
      </c>
      <c r="AX536" s="30" t="str">
        <f ca="1">IFERROR(__xludf.DUMMYFUNCTION("""COMPUTED_VALUE"""),"Visitas escolares")</f>
        <v>Visitas escolares</v>
      </c>
      <c r="AY536" s="30" t="str">
        <f ca="1">IFERROR(__xludf.DUMMYFUNCTION("""COMPUTED_VALUE"""),"Formación")</f>
        <v>Formación</v>
      </c>
      <c r="AZ536" s="30" t="str">
        <f ca="1">IFERROR(__xludf.DUMMYFUNCTION("""COMPUTED_VALUE"""),"Formación")</f>
        <v>Formación</v>
      </c>
      <c r="BA536" s="30"/>
      <c r="BB536" s="30"/>
      <c r="BC536" s="30">
        <f ca="1">IFERROR(__xludf.DUMMYFUNCTION("""COMPUTED_VALUE"""),0)</f>
        <v>0</v>
      </c>
      <c r="BD536" s="30"/>
      <c r="BE536" s="30"/>
      <c r="BF536" s="30" t="b">
        <f ca="1">IFERROR(__xludf.DUMMYFUNCTION("""COMPUTED_VALUE"""),FALSE)</f>
        <v>0</v>
      </c>
      <c r="BG536" s="30"/>
      <c r="BH536" s="30"/>
      <c r="BI536" s="30"/>
      <c r="BJ536" s="30"/>
      <c r="BK536" s="30"/>
      <c r="BL536" s="30"/>
      <c r="BM536" s="30" t="str">
        <f ca="1">IFERROR(__xludf.DUMMYFUNCTION("""COMPUTED_VALUE"""),"No")</f>
        <v>No</v>
      </c>
      <c r="BN536" s="30"/>
      <c r="BO536" s="30" t="str">
        <f ca="1">IFERROR(__xludf.DUMMYFUNCTION("""COMPUTED_VALUE"""),"94ca90cb")</f>
        <v>94ca90cb</v>
      </c>
      <c r="BP536" s="29" t="str">
        <f ca="1">IFERROR(__xludf.DUMMYFUNCTION("""COMPUTED_VALUE"""),"León")</f>
        <v>León</v>
      </c>
      <c r="BQ536" s="30" t="str">
        <f ca="1">IFERROR(__xludf.DUMMYFUNCTION("""COMPUTED_VALUE"""),"Urbano")</f>
        <v>Urbano</v>
      </c>
      <c r="BR536" s="30"/>
      <c r="BS536" s="30"/>
      <c r="BT536" s="30"/>
      <c r="BU536" s="30" t="str">
        <f ca="1">IFERROR(__xludf.DUMMYFUNCTION("""COMPUTED_VALUE"""),"No")</f>
        <v>No</v>
      </c>
      <c r="BV536" s="30" t="str">
        <f ca="1">IFERROR(__xludf.DUMMYFUNCTION("""COMPUTED_VALUE"""),"No")</f>
        <v>No</v>
      </c>
      <c r="BW536" s="30">
        <f ca="1">IFERROR(__xludf.DUMMYFUNCTION("""COMPUTED_VALUE"""),3)</f>
        <v>3</v>
      </c>
      <c r="BX536" s="30"/>
      <c r="BY536" s="30">
        <f ca="1">IFERROR(__xludf.DUMMYFUNCTION("""COMPUTED_VALUE"""),3)</f>
        <v>3</v>
      </c>
      <c r="BZ536" s="30"/>
      <c r="CA536" s="30" t="str">
        <f ca="1">IFERROR(__xludf.DUMMYFUNCTION("""COMPUTED_VALUE"""),"No")</f>
        <v>No</v>
      </c>
      <c r="CB536" s="30" t="str">
        <f ca="1">IFERROR(__xludf.DUMMYFUNCTION("""COMPUTED_VALUE"""),"No")</f>
        <v>No</v>
      </c>
      <c r="CC536" s="30" t="str">
        <f ca="1">IFERROR(__xludf.DUMMYFUNCTION("""COMPUTED_VALUE"""),"24042eac")</f>
        <v>24042eac</v>
      </c>
      <c r="CD536" s="29" t="str">
        <f ca="1">IFERROR(__xludf.DUMMYFUNCTION("""COMPUTED_VALUE"""),"Niñas y Niños (6 a 12 años)")</f>
        <v>Niñas y Niños (6 a 12 años)</v>
      </c>
      <c r="CE536" s="30" t="str">
        <f ca="1">IFERROR(__xludf.DUMMYFUNCTION("""COMPUTED_VALUE"""),"Hombre")</f>
        <v>Hombre</v>
      </c>
      <c r="CF536" s="30" t="str">
        <f ca="1">IFERROR(__xludf.DUMMYFUNCTION("""COMPUTED_VALUE"""),"NNA (Niñas, Niños y Adolescentes)")</f>
        <v>NNA (Niñas, Niños y Adolescentes)</v>
      </c>
      <c r="CG536" s="30">
        <f ca="1">IFERROR(__xludf.DUMMYFUNCTION("""COMPUTED_VALUE"""),90)</f>
        <v>90</v>
      </c>
      <c r="CJ536" s="29"/>
      <c r="CM536" s="30" t="str">
        <f ca="1">IFERROR(__xludf.DUMMYFUNCTION("""COMPUTED_VALUE"""),"Salamanca")</f>
        <v>Salamanca</v>
      </c>
      <c r="CN536" s="32" t="e">
        <f ca="1"/>
        <v>#NAME?</v>
      </c>
      <c r="CO536" s="32" t="e">
        <f ca="1"/>
        <v>#NAME?</v>
      </c>
      <c r="CP536" s="32" t="e">
        <f ca="1"/>
        <v>#NAME?</v>
      </c>
      <c r="CQ536" s="32" t="e">
        <f ca="1"/>
        <v>#NAME?</v>
      </c>
      <c r="CR536" s="30" t="e">
        <f ca="1"/>
        <v>#NAME?</v>
      </c>
      <c r="CS536" s="30" t="str">
        <f ca="1">IFERROR(__xludf.DUMMYFUNCTION("""COMPUTED_VALUE"""),"NNA (Niñas, Niños y Adolescentes), NNA (Niñas, Niños y Adolescentes), NNA (Niñas, Niños y Adolescentes), NNA (Niñas, Niños y Adolescentes), Ninguno (Población General), Ninguno (Población General), Ninguno (Población General), Ninguno (Población General),"&amp;" Ninguno (Población General), Ninguno (Población General)")</f>
        <v>NNA (Niñas, Niños y Adolescentes), NNA (Niñas, Niños y Adolescentes), NNA (Niñas, Niños y Adolescentes), NNA (Niñas, Niños y Adolescentes), Ninguno (Población General), Ninguno (Población General), Ninguno (Población General), Ninguno (Población General), Ninguno (Población General), Ninguno (Población General)</v>
      </c>
    </row>
    <row r="537" spans="1:97" ht="13">
      <c r="A537" s="29" t="str">
        <f ca="1">IFERROR(__xludf.DUMMYFUNCTION("""COMPUTED_VALUE"""),"ACT-SCBY16288")</f>
        <v>ACT-SCBY16288</v>
      </c>
      <c r="B537" s="30" t="str">
        <f ca="1">IFERROR(__xludf.DUMMYFUNCTION("""COMPUTED_VALUE"""),"SC-261006-160913")</f>
        <v>SC-261006-160913</v>
      </c>
      <c r="C537" s="62">
        <f ca="1">IFERROR(__xludf.DUMMYFUNCTION("""COMPUTED_VALUE"""),46301.6730671296)</f>
        <v>46301.673067129603</v>
      </c>
      <c r="D537" s="30">
        <f ca="1">IFERROR(__xludf.DUMMYFUNCTION("""COMPUTED_VALUE"""),92)</f>
        <v>92</v>
      </c>
      <c r="E537" s="30" t="str">
        <f ca="1">IFERROR(__xludf.DUMMYFUNCTION("""COMPUTED_VALUE"""),"PB3572")</f>
        <v>PB3572</v>
      </c>
      <c r="F53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3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37" s="30" t="str">
        <f ca="1">IFERROR(__xludf.DUMMYFUNCTION("""COMPUTED_VALUE"""),"SUBSECRETARÍA DE DESARROLLO Y PROMOCIÓN ARTÍSTICA Y CULTURAL")</f>
        <v>SUBSECRETARÍA DE DESARROLLO Y PROMOCIÓN ARTÍSTICA Y CULTURAL</v>
      </c>
      <c r="I537" s="34" t="str">
        <f ca="1">IFERROR(__xludf.DUMMYFUNCTION("""COMPUTED_VALUE"""),"DIRECCIÓN GENERAL DE MUSEOS, ARTES VISUALES Y EXPOSICIONES")</f>
        <v>DIRECCIÓN GENERAL DE MUSEOS, ARTES VISUALES Y EXPOSICIONES</v>
      </c>
      <c r="J537" s="30" t="str">
        <f ca="1">IFERROR(__xludf.DUMMYFUNCTION("""COMPUTED_VALUE"""),"Número de Actividades realizadas")</f>
        <v>Número de Actividades realizadas</v>
      </c>
      <c r="K537" s="30">
        <f ca="1">IFERROR(__xludf.DUMMYFUNCTION("""COMPUTED_VALUE"""),800)</f>
        <v>800</v>
      </c>
      <c r="L537" s="30" t="str">
        <f ca="1">IFERROR(__xludf.DUMMYFUNCTION("""COMPUTED_VALUE"""),"Cultural")</f>
        <v>Cultural</v>
      </c>
      <c r="M537" s="30" t="str">
        <f ca="1">IFERROR(__xludf.DUMMYFUNCTION("""COMPUTED_VALUE"""),"Visita guiada para el grupo amigos de la naturaleza y el arte.")</f>
        <v>Visita guiada para el grupo amigos de la naturaleza y el arte.</v>
      </c>
      <c r="N537" s="30" t="str">
        <f ca="1">IFERROR(__xludf.DUMMYFUNCTION("""COMPUTED_VALUE"""),"Recorrido guiado por el museo")</f>
        <v>Recorrido guiado por el museo</v>
      </c>
      <c r="O537" s="30" t="str">
        <f ca="1">IFERROR(__xludf.DUMMYFUNCTION("""COMPUTED_VALUE"""),"Única")</f>
        <v>Única</v>
      </c>
      <c r="P537" s="33">
        <f ca="1">IFERROR(__xludf.DUMMYFUNCTION("""COMPUTED_VALUE"""),46198)</f>
        <v>46198</v>
      </c>
      <c r="Q537" s="33">
        <f ca="1">IFERROR(__xludf.DUMMYFUNCTION("""COMPUTED_VALUE"""),46198)</f>
        <v>46198</v>
      </c>
      <c r="R537" s="30">
        <f ca="1">IFERROR(__xludf.DUMMYFUNCTION("""COMPUTED_VALUE"""),1)</f>
        <v>1</v>
      </c>
      <c r="S537" s="30" t="str">
        <f ca="1">IFERROR(__xludf.DUMMYFUNCTION("""COMPUTED_VALUE"""),"Cultura comunitaria")</f>
        <v>Cultura comunitaria</v>
      </c>
      <c r="T537" s="30" t="str">
        <f ca="1">IFERROR(__xludf.DUMMYFUNCTION("""COMPUTED_VALUE"""),"Formación comunitaria")</f>
        <v>Formación comunitaria</v>
      </c>
      <c r="U537" s="30" t="str">
        <f ca="1">IFERROR(__xludf.DUMMYFUNCTION("""COMPUTED_VALUE"""),"Visitas escolares")</f>
        <v>Visitas escolares</v>
      </c>
      <c r="V537" s="30" t="str">
        <f ca="1">IFERROR(__xludf.DUMMYFUNCTION("""COMPUTED_VALUE"""),"Ninguna")</f>
        <v>Ninguna</v>
      </c>
      <c r="W537" s="30" t="str">
        <f ca="1">IFERROR(__xludf.DUMMYFUNCTION("""COMPUTED_VALUE"""),"Presencial")</f>
        <v>Presencial</v>
      </c>
      <c r="X537" s="30" t="str">
        <f ca="1">IFERROR(__xludf.DUMMYFUNCTION("""COMPUTED_VALUE"""),"Espacio a Cargo de la Secretaría")</f>
        <v>Espacio a Cargo de la Secretaría</v>
      </c>
      <c r="Y537" s="30" t="str">
        <f ca="1">IFERROR(__xludf.DUMMYFUNCTION("""COMPUTED_VALUE"""),"Museo Palacio de los Poderes")</f>
        <v>Museo Palacio de los Poderes</v>
      </c>
      <c r="Z537" s="30"/>
      <c r="AA537" s="30"/>
      <c r="AB537" s="30" t="b">
        <f ca="1">IFERROR(__xludf.DUMMYFUNCTION("""COMPUTED_VALUE"""),FALSE)</f>
        <v>0</v>
      </c>
      <c r="AC537" s="30"/>
      <c r="AD537" s="30" t="b">
        <f ca="1">IFERROR(__xludf.DUMMYFUNCTION("""COMPUTED_VALUE"""),FALSE)</f>
        <v>0</v>
      </c>
      <c r="AE537" s="30"/>
      <c r="AF537" s="30" t="b">
        <f ca="1">IFERROR(__xludf.DUMMYFUNCTION("""COMPUTED_VALUE"""),FALSE)</f>
        <v>0</v>
      </c>
      <c r="AG537" s="30"/>
      <c r="AH537" s="30" t="str">
        <f ca="1">IFERROR(__xludf.DUMMYFUNCTION("""COMPUTED_VALUE"""),"Sin costo")</f>
        <v>Sin costo</v>
      </c>
      <c r="AI537" s="30"/>
      <c r="AJ537" s="30"/>
      <c r="AK537" s="30"/>
      <c r="AL537" s="30" t="str">
        <f ca="1">IFERROR(__xludf.DUMMYFUNCTION("""COMPUTED_VALUE"""),"ccardonav@guanajuato.gob.mx")</f>
        <v>ccardonav@guanajuato.gob.mx</v>
      </c>
      <c r="AM537" s="30" t="str">
        <f ca="1">IFERROR(__xludf.DUMMYFUNCTION("""COMPUTED_VALUE"""),"Arraigo y empoderamiento cultural de comunidades.")</f>
        <v>Arraigo y empoderamiento cultural de comunidades.</v>
      </c>
      <c r="AN537" s="30" t="str">
        <f ca="1">IFERROR(__xludf.DUMMYFUNCTION("""COMPUTED_VALUE"""),"1 Tranquilidad")</f>
        <v>1 Tranquilidad</v>
      </c>
      <c r="AO537" s="30" t="str">
        <f ca="1">IFERROR(__xludf.DUMMYFUNCTION("""COMPUTED_VALUE"""),"1.2 Fortalecer prevención del delito")</f>
        <v>1.2 Fortalecer prevención del delito</v>
      </c>
      <c r="AP537" s="30" t="str">
        <f ca="1">IFERROR(__xludf.DUMMYFUNCTION("""COMPUTED_VALUE"""),"1.2.2 Fortalecimiento del tejido social")</f>
        <v>1.2.2 Fortalecimiento del tejido social</v>
      </c>
      <c r="AQ537" s="30" t="str">
        <f ca="1">IFERROR(__xludf.DUMMYFUNCTION("""COMPUTED_VALUE"""),"1.2.3.4 Promover una cultura de paz desde las expresiones artísticas y culturales")</f>
        <v>1.2.3.4 Promover una cultura de paz desde las expresiones artísticas y culturales</v>
      </c>
      <c r="AR537" s="30" t="str">
        <f ca="1">IFERROR(__xludf.DUMMYFUNCTION("""COMPUTED_VALUE"""),"Cooperación")</f>
        <v>Cooperación</v>
      </c>
      <c r="AS537" s="30"/>
      <c r="AT537" s="30" t="str">
        <f ca="1">IFERROR(__xludf.DUMMYFUNCTION("""COMPUTED_VALUE"""),"Fortalecimiento de la participación ciudadana y la mediación cultural")</f>
        <v>Fortalecimiento de la participación ciudadana y la mediación cultural</v>
      </c>
      <c r="AU537" s="30" t="str">
        <f ca="1">IFERROR(__xludf.DUMMYFUNCTION("""COMPUTED_VALUE"""),"Impulso a la ampliación de la oferta cultural en los territorios.")</f>
        <v>Impulso a la ampliación de la oferta cultural en los territorios.</v>
      </c>
      <c r="AV53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37" s="30" t="str">
        <f ca="1">IFERROR(__xludf.DUMMYFUNCTION("""COMPUTED_VALUE"""),"Incrementar en 25% la oferta cultural realizada en los municipios.")</f>
        <v>Incrementar en 25% la oferta cultural realizada en los municipios.</v>
      </c>
      <c r="AX537" s="30" t="str">
        <f ca="1">IFERROR(__xludf.DUMMYFUNCTION("""COMPUTED_VALUE"""),"Visitas escolares")</f>
        <v>Visitas escolares</v>
      </c>
      <c r="AY537" s="30" t="str">
        <f ca="1">IFERROR(__xludf.DUMMYFUNCTION("""COMPUTED_VALUE"""),"Formación")</f>
        <v>Formación</v>
      </c>
      <c r="AZ537" s="30" t="str">
        <f ca="1">IFERROR(__xludf.DUMMYFUNCTION("""COMPUTED_VALUE"""),"Formación")</f>
        <v>Formación</v>
      </c>
      <c r="BA537" s="30"/>
      <c r="BB537" s="30"/>
      <c r="BC537" s="30">
        <f ca="1">IFERROR(__xludf.DUMMYFUNCTION("""COMPUTED_VALUE"""),0)</f>
        <v>0</v>
      </c>
      <c r="BD537" s="30"/>
      <c r="BE537" s="30"/>
      <c r="BF537" s="30" t="b">
        <f ca="1">IFERROR(__xludf.DUMMYFUNCTION("""COMPUTED_VALUE"""),FALSE)</f>
        <v>0</v>
      </c>
      <c r="BG537" s="30"/>
      <c r="BH537" s="30"/>
      <c r="BI537" s="30"/>
      <c r="BJ537" s="30"/>
      <c r="BK537" s="30"/>
      <c r="BL537" s="30"/>
      <c r="BM537" s="30" t="str">
        <f ca="1">IFERROR(__xludf.DUMMYFUNCTION("""COMPUTED_VALUE"""),"No")</f>
        <v>No</v>
      </c>
      <c r="BN537" s="30"/>
      <c r="BO537" s="30" t="str">
        <f ca="1">IFERROR(__xludf.DUMMYFUNCTION("""COMPUTED_VALUE"""),"a95d6ec7")</f>
        <v>a95d6ec7</v>
      </c>
      <c r="BP537" s="29" t="str">
        <f ca="1">IFERROR(__xludf.DUMMYFUNCTION("""COMPUTED_VALUE"""),"León")</f>
        <v>León</v>
      </c>
      <c r="BQ537" s="30" t="str">
        <f ca="1">IFERROR(__xludf.DUMMYFUNCTION("""COMPUTED_VALUE"""),"Urbano")</f>
        <v>Urbano</v>
      </c>
      <c r="BR537" s="30"/>
      <c r="BS537" s="30"/>
      <c r="BT537" s="30"/>
      <c r="BU537" s="30" t="str">
        <f ca="1">IFERROR(__xludf.DUMMYFUNCTION("""COMPUTED_VALUE"""),"No")</f>
        <v>No</v>
      </c>
      <c r="BV537" s="30" t="str">
        <f ca="1">IFERROR(__xludf.DUMMYFUNCTION("""COMPUTED_VALUE"""),"No")</f>
        <v>No</v>
      </c>
      <c r="BW537" s="30">
        <f ca="1">IFERROR(__xludf.DUMMYFUNCTION("""COMPUTED_VALUE"""),11)</f>
        <v>11</v>
      </c>
      <c r="BX537" s="30"/>
      <c r="BY537" s="30">
        <f ca="1">IFERROR(__xludf.DUMMYFUNCTION("""COMPUTED_VALUE"""),11)</f>
        <v>11</v>
      </c>
      <c r="BZ537" s="30"/>
      <c r="CA537" s="30" t="str">
        <f ca="1">IFERROR(__xludf.DUMMYFUNCTION("""COMPUTED_VALUE"""),"No")</f>
        <v>No</v>
      </c>
      <c r="CB537" s="30" t="str">
        <f ca="1">IFERROR(__xludf.DUMMYFUNCTION("""COMPUTED_VALUE"""),"No")</f>
        <v>No</v>
      </c>
      <c r="CC537" s="30" t="str">
        <f ca="1">IFERROR(__xludf.DUMMYFUNCTION("""COMPUTED_VALUE"""),"7f241e43")</f>
        <v>7f241e43</v>
      </c>
      <c r="CD537" s="29" t="str">
        <f ca="1">IFERROR(__xludf.DUMMYFUNCTION("""COMPUTED_VALUE"""),"Niñas y Niños (6 a 12 años)")</f>
        <v>Niñas y Niños (6 a 12 años)</v>
      </c>
      <c r="CE537" s="30" t="str">
        <f ca="1">IFERROR(__xludf.DUMMYFUNCTION("""COMPUTED_VALUE"""),"Mujer")</f>
        <v>Mujer</v>
      </c>
      <c r="CF537" s="30" t="str">
        <f ca="1">IFERROR(__xludf.DUMMYFUNCTION("""COMPUTED_VALUE"""),"NNA (Niñas, Niños y Adolescentes)")</f>
        <v>NNA (Niñas, Niños y Adolescentes)</v>
      </c>
      <c r="CG537" s="30">
        <f ca="1">IFERROR(__xludf.DUMMYFUNCTION("""COMPUTED_VALUE"""),121)</f>
        <v>121</v>
      </c>
      <c r="CJ537" s="29"/>
      <c r="CM537" s="30" t="str">
        <f ca="1">IFERROR(__xludf.DUMMYFUNCTION("""COMPUTED_VALUE"""),"Guanajuato")</f>
        <v>Guanajuato</v>
      </c>
      <c r="CN537" s="32" t="e">
        <f ca="1"/>
        <v>#NAME?</v>
      </c>
      <c r="CO537" s="32" t="e">
        <f ca="1"/>
        <v>#NAME?</v>
      </c>
      <c r="CP537" s="32" t="e">
        <f ca="1"/>
        <v>#NAME?</v>
      </c>
      <c r="CQ537" s="32" t="e">
        <f ca="1"/>
        <v>#NAME?</v>
      </c>
      <c r="CR537" s="30" t="e">
        <f ca="1"/>
        <v>#NAME?</v>
      </c>
      <c r="CS537" s="30" t="str">
        <f ca="1">IFERROR(__xludf.DUMMYFUNCTION("""COMPUTED_VALUE"""),"Ninguno (Población General)")</f>
        <v>Ninguno (Población General)</v>
      </c>
    </row>
    <row r="538" spans="1:97" ht="13">
      <c r="A538" s="29" t="str">
        <f ca="1">IFERROR(__xludf.DUMMYFUNCTION("""COMPUTED_VALUE"""),"ACT-SCRY05562")</f>
        <v>ACT-SCRY05562</v>
      </c>
      <c r="B538" s="30" t="str">
        <f ca="1">IFERROR(__xludf.DUMMYFUNCTION("""COMPUTED_VALUE"""),"SC-261006-161533")</f>
        <v>SC-261006-161533</v>
      </c>
      <c r="C538" s="62">
        <f ca="1">IFERROR(__xludf.DUMMYFUNCTION("""COMPUTED_VALUE"""),46301.6774652777)</f>
        <v>46301.677465277702</v>
      </c>
      <c r="D538" s="30">
        <f ca="1">IFERROR(__xludf.DUMMYFUNCTION("""COMPUTED_VALUE"""),92)</f>
        <v>92</v>
      </c>
      <c r="E538" s="30" t="str">
        <f ca="1">IFERROR(__xludf.DUMMYFUNCTION("""COMPUTED_VALUE"""),"PB3572")</f>
        <v>PB3572</v>
      </c>
      <c r="F53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3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38" s="30" t="str">
        <f ca="1">IFERROR(__xludf.DUMMYFUNCTION("""COMPUTED_VALUE"""),"SUBSECRETARÍA DE DESARROLLO Y PROMOCIÓN ARTÍSTICA Y CULTURAL")</f>
        <v>SUBSECRETARÍA DE DESARROLLO Y PROMOCIÓN ARTÍSTICA Y CULTURAL</v>
      </c>
      <c r="I538" s="34" t="str">
        <f ca="1">IFERROR(__xludf.DUMMYFUNCTION("""COMPUTED_VALUE"""),"DIRECCIÓN GENERAL DE MUSEOS, ARTES VISUALES Y EXPOSICIONES")</f>
        <v>DIRECCIÓN GENERAL DE MUSEOS, ARTES VISUALES Y EXPOSICIONES</v>
      </c>
      <c r="J538" s="30" t="str">
        <f ca="1">IFERROR(__xludf.DUMMYFUNCTION("""COMPUTED_VALUE"""),"Número de Actividades realizadas")</f>
        <v>Número de Actividades realizadas</v>
      </c>
      <c r="K538" s="30">
        <f ca="1">IFERROR(__xludf.DUMMYFUNCTION("""COMPUTED_VALUE"""),800)</f>
        <v>800</v>
      </c>
      <c r="L538" s="30" t="str">
        <f ca="1">IFERROR(__xludf.DUMMYFUNCTION("""COMPUTED_VALUE"""),"Cultural")</f>
        <v>Cultural</v>
      </c>
      <c r="M538" s="30" t="str">
        <f ca="1">IFERROR(__xludf.DUMMYFUNCTION("""COMPUTED_VALUE"""),"Visita guiada a grupo de Asociación de amigos del Museo Regional de Guanajuato Alhondiga de Granaditas (TURNO 512)")</f>
        <v>Visita guiada a grupo de Asociación de amigos del Museo Regional de Guanajuato Alhondiga de Granaditas (TURNO 512)</v>
      </c>
      <c r="N538" s="30" t="str">
        <f ca="1">IFERROR(__xludf.DUMMYFUNCTION("""COMPUTED_VALUE"""),"Recorrido guiado por el museo")</f>
        <v>Recorrido guiado por el museo</v>
      </c>
      <c r="O538" s="30" t="str">
        <f ca="1">IFERROR(__xludf.DUMMYFUNCTION("""COMPUTED_VALUE"""),"Única")</f>
        <v>Única</v>
      </c>
      <c r="P538" s="33">
        <f ca="1">IFERROR(__xludf.DUMMYFUNCTION("""COMPUTED_VALUE"""),46189)</f>
        <v>46189</v>
      </c>
      <c r="Q538" s="33">
        <f ca="1">IFERROR(__xludf.DUMMYFUNCTION("""COMPUTED_VALUE"""),46189)</f>
        <v>46189</v>
      </c>
      <c r="R538" s="30">
        <f ca="1">IFERROR(__xludf.DUMMYFUNCTION("""COMPUTED_VALUE"""),1)</f>
        <v>1</v>
      </c>
      <c r="S538" s="30" t="str">
        <f ca="1">IFERROR(__xludf.DUMMYFUNCTION("""COMPUTED_VALUE"""),"Cultura comunitaria")</f>
        <v>Cultura comunitaria</v>
      </c>
      <c r="T538" s="30" t="str">
        <f ca="1">IFERROR(__xludf.DUMMYFUNCTION("""COMPUTED_VALUE"""),"Formación comunitaria")</f>
        <v>Formación comunitaria</v>
      </c>
      <c r="U538" s="30" t="str">
        <f ca="1">IFERROR(__xludf.DUMMYFUNCTION("""COMPUTED_VALUE"""),"Visitas escolares")</f>
        <v>Visitas escolares</v>
      </c>
      <c r="V538" s="30" t="str">
        <f ca="1">IFERROR(__xludf.DUMMYFUNCTION("""COMPUTED_VALUE"""),"Ninguna")</f>
        <v>Ninguna</v>
      </c>
      <c r="W538" s="30" t="str">
        <f ca="1">IFERROR(__xludf.DUMMYFUNCTION("""COMPUTED_VALUE"""),"Presencial")</f>
        <v>Presencial</v>
      </c>
      <c r="X538" s="30" t="str">
        <f ca="1">IFERROR(__xludf.DUMMYFUNCTION("""COMPUTED_VALUE"""),"Espacio a Cargo de la Secretaría")</f>
        <v>Espacio a Cargo de la Secretaría</v>
      </c>
      <c r="Y538" s="30" t="str">
        <f ca="1">IFERROR(__xludf.DUMMYFUNCTION("""COMPUTED_VALUE"""),"Museo Palacio de los Poderes")</f>
        <v>Museo Palacio de los Poderes</v>
      </c>
      <c r="Z538" s="30"/>
      <c r="AA538" s="30"/>
      <c r="AB538" s="30" t="b">
        <f ca="1">IFERROR(__xludf.DUMMYFUNCTION("""COMPUTED_VALUE"""),FALSE)</f>
        <v>0</v>
      </c>
      <c r="AC538" s="30"/>
      <c r="AD538" s="30" t="b">
        <f ca="1">IFERROR(__xludf.DUMMYFUNCTION("""COMPUTED_VALUE"""),FALSE)</f>
        <v>0</v>
      </c>
      <c r="AE538" s="30"/>
      <c r="AF538" s="30" t="b">
        <f ca="1">IFERROR(__xludf.DUMMYFUNCTION("""COMPUTED_VALUE"""),FALSE)</f>
        <v>0</v>
      </c>
      <c r="AG538" s="30"/>
      <c r="AH538" s="30" t="str">
        <f ca="1">IFERROR(__xludf.DUMMYFUNCTION("""COMPUTED_VALUE"""),"Sin costo")</f>
        <v>Sin costo</v>
      </c>
      <c r="AI538" s="30"/>
      <c r="AJ538" s="30"/>
      <c r="AK538" s="30"/>
      <c r="AL538" s="30" t="str">
        <f ca="1">IFERROR(__xludf.DUMMYFUNCTION("""COMPUTED_VALUE"""),"ccardonav@guanajuato.gob.mx")</f>
        <v>ccardonav@guanajuato.gob.mx</v>
      </c>
      <c r="AM538" s="30" t="str">
        <f ca="1">IFERROR(__xludf.DUMMYFUNCTION("""COMPUTED_VALUE"""),"Arraigo y empoderamiento cultural de comunidades.")</f>
        <v>Arraigo y empoderamiento cultural de comunidades.</v>
      </c>
      <c r="AN538" s="30" t="str">
        <f ca="1">IFERROR(__xludf.DUMMYFUNCTION("""COMPUTED_VALUE"""),"1 Tranquilidad")</f>
        <v>1 Tranquilidad</v>
      </c>
      <c r="AO538" s="30" t="str">
        <f ca="1">IFERROR(__xludf.DUMMYFUNCTION("""COMPUTED_VALUE"""),"1.2 Fortalecer prevención del delito")</f>
        <v>1.2 Fortalecer prevención del delito</v>
      </c>
      <c r="AP538" s="30" t="str">
        <f ca="1">IFERROR(__xludf.DUMMYFUNCTION("""COMPUTED_VALUE"""),"1.2.2 Fortalecimiento del tejido social")</f>
        <v>1.2.2 Fortalecimiento del tejido social</v>
      </c>
      <c r="AQ538" s="30" t="str">
        <f ca="1">IFERROR(__xludf.DUMMYFUNCTION("""COMPUTED_VALUE"""),"1.2.3.4 Promover una cultura de paz desde las expresiones artísticas y culturales")</f>
        <v>1.2.3.4 Promover una cultura de paz desde las expresiones artísticas y culturales</v>
      </c>
      <c r="AR538" s="30" t="str">
        <f ca="1">IFERROR(__xludf.DUMMYFUNCTION("""COMPUTED_VALUE"""),"Cooperación")</f>
        <v>Cooperación</v>
      </c>
      <c r="AS538" s="30"/>
      <c r="AT538" s="30" t="str">
        <f ca="1">IFERROR(__xludf.DUMMYFUNCTION("""COMPUTED_VALUE"""),"Fortalecimiento de la participación ciudadana y la mediación cultural")</f>
        <v>Fortalecimiento de la participación ciudadana y la mediación cultural</v>
      </c>
      <c r="AU538" s="30" t="str">
        <f ca="1">IFERROR(__xludf.DUMMYFUNCTION("""COMPUTED_VALUE"""),"Impulso a la ampliación de la oferta cultural en los territorios.")</f>
        <v>Impulso a la ampliación de la oferta cultural en los territorios.</v>
      </c>
      <c r="AV53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38" s="30" t="str">
        <f ca="1">IFERROR(__xludf.DUMMYFUNCTION("""COMPUTED_VALUE"""),"Incrementar en 25% la oferta cultural realizada en los municipios.")</f>
        <v>Incrementar en 25% la oferta cultural realizada en los municipios.</v>
      </c>
      <c r="AX538" s="30" t="str">
        <f ca="1">IFERROR(__xludf.DUMMYFUNCTION("""COMPUTED_VALUE"""),"Visitas escolares")</f>
        <v>Visitas escolares</v>
      </c>
      <c r="AY538" s="30" t="str">
        <f ca="1">IFERROR(__xludf.DUMMYFUNCTION("""COMPUTED_VALUE"""),"Formación")</f>
        <v>Formación</v>
      </c>
      <c r="AZ538" s="30" t="str">
        <f ca="1">IFERROR(__xludf.DUMMYFUNCTION("""COMPUTED_VALUE"""),"Formación")</f>
        <v>Formación</v>
      </c>
      <c r="BA538" s="30"/>
      <c r="BB538" s="30"/>
      <c r="BC538" s="30">
        <f ca="1">IFERROR(__xludf.DUMMYFUNCTION("""COMPUTED_VALUE"""),0)</f>
        <v>0</v>
      </c>
      <c r="BD538" s="30"/>
      <c r="BE538" s="30"/>
      <c r="BF538" s="30" t="b">
        <f ca="1">IFERROR(__xludf.DUMMYFUNCTION("""COMPUTED_VALUE"""),FALSE)</f>
        <v>0</v>
      </c>
      <c r="BG538" s="30"/>
      <c r="BH538" s="30"/>
      <c r="BI538" s="30"/>
      <c r="BJ538" s="30"/>
      <c r="BK538" s="30"/>
      <c r="BL538" s="30"/>
      <c r="BM538" s="30" t="str">
        <f ca="1">IFERROR(__xludf.DUMMYFUNCTION("""COMPUTED_VALUE"""),"No")</f>
        <v>No</v>
      </c>
      <c r="BN538" s="30"/>
      <c r="BO538" s="30" t="str">
        <f ca="1">IFERROR(__xludf.DUMMYFUNCTION("""COMPUTED_VALUE"""),"fc9f41fd")</f>
        <v>fc9f41fd</v>
      </c>
      <c r="BP538" s="29" t="str">
        <f ca="1">IFERROR(__xludf.DUMMYFUNCTION("""COMPUTED_VALUE"""),"Salamanca")</f>
        <v>Salamanca</v>
      </c>
      <c r="BQ538" s="30" t="str">
        <f ca="1">IFERROR(__xludf.DUMMYFUNCTION("""COMPUTED_VALUE"""),"Urbano")</f>
        <v>Urbano</v>
      </c>
      <c r="BR538" s="30">
        <f ca="1">IFERROR(__xludf.DUMMYFUNCTION("""COMPUTED_VALUE"""),181)</f>
        <v>181</v>
      </c>
      <c r="BS538" s="30" t="str">
        <f ca="1">IFERROR(__xludf.DUMMYFUNCTION("""COMPUTED_VALUE"""),"Salamanca")</f>
        <v>Salamanca</v>
      </c>
      <c r="BT538" s="30"/>
      <c r="BU538" s="30" t="str">
        <f ca="1">IFERROR(__xludf.DUMMYFUNCTION("""COMPUTED_VALUE"""),"Si")</f>
        <v>Si</v>
      </c>
      <c r="BV538" s="30" t="str">
        <f ca="1">IFERROR(__xludf.DUMMYFUNCTION("""COMPUTED_VALUE"""),"Si")</f>
        <v>Si</v>
      </c>
      <c r="BW538" s="30">
        <f ca="1">IFERROR(__xludf.DUMMYFUNCTION("""COMPUTED_VALUE"""),22)</f>
        <v>22</v>
      </c>
      <c r="BX538" s="30">
        <f ca="1">IFERROR(__xludf.DUMMYFUNCTION("""COMPUTED_VALUE"""),1)</f>
        <v>1</v>
      </c>
      <c r="BY538" s="30">
        <f ca="1">IFERROR(__xludf.DUMMYFUNCTION("""COMPUTED_VALUE"""),21)</f>
        <v>21</v>
      </c>
      <c r="BZ538" s="30" t="str">
        <f ca="1">IFERROR(__xludf.DUMMYFUNCTION("""COMPUTED_VALUE"""),"Salamanca")</f>
        <v>Salamanca</v>
      </c>
      <c r="CA538" s="30" t="str">
        <f ca="1">IFERROR(__xludf.DUMMYFUNCTION("""COMPUTED_VALUE"""),"No")</f>
        <v>No</v>
      </c>
      <c r="CB538" s="30" t="str">
        <f ca="1">IFERROR(__xludf.DUMMYFUNCTION("""COMPUTED_VALUE"""),"No")</f>
        <v>No</v>
      </c>
      <c r="CC538" s="30" t="str">
        <f ca="1">IFERROR(__xludf.DUMMYFUNCTION("""COMPUTED_VALUE"""),"092a730e")</f>
        <v>092a730e</v>
      </c>
      <c r="CD538" s="29" t="str">
        <f ca="1">IFERROR(__xludf.DUMMYFUNCTION("""COMPUTED_VALUE"""),"Primera Infancia (0 a 5 años)")</f>
        <v>Primera Infancia (0 a 5 años)</v>
      </c>
      <c r="CE538" s="30" t="str">
        <f ca="1">IFERROR(__xludf.DUMMYFUNCTION("""COMPUTED_VALUE"""),"No se cuenta con el dato")</f>
        <v>No se cuenta con el dato</v>
      </c>
      <c r="CF538" s="30" t="str">
        <f ca="1">IFERROR(__xludf.DUMMYFUNCTION("""COMPUTED_VALUE"""),"Ninguno (Población General)")</f>
        <v>Ninguno (Población General)</v>
      </c>
      <c r="CG538" s="30">
        <f ca="1">IFERROR(__xludf.DUMMYFUNCTION("""COMPUTED_VALUE"""),10)</f>
        <v>10</v>
      </c>
      <c r="CJ538" s="29"/>
      <c r="CM538" s="30" t="str">
        <f ca="1">IFERROR(__xludf.DUMMYFUNCTION("""COMPUTED_VALUE"""),"León")</f>
        <v>León</v>
      </c>
      <c r="CN538" s="32" t="e">
        <f ca="1"/>
        <v>#NAME?</v>
      </c>
      <c r="CO538" s="32" t="e">
        <f ca="1"/>
        <v>#NAME?</v>
      </c>
      <c r="CP538" s="32" t="e">
        <f ca="1"/>
        <v>#NAME?</v>
      </c>
      <c r="CQ538" s="32" t="e">
        <f ca="1"/>
        <v>#NAME?</v>
      </c>
      <c r="CR538" s="30" t="e">
        <f ca="1"/>
        <v>#NAME?</v>
      </c>
      <c r="CS538" s="30" t="str">
        <f ca="1">IFERROR(__xludf.DUMMYFUNCTION("""COMPUTED_VALUE"""),"Ninguno (Población General)")</f>
        <v>Ninguno (Población General)</v>
      </c>
    </row>
    <row r="539" spans="1:97" ht="13">
      <c r="A539" s="29" t="str">
        <f ca="1">IFERROR(__xludf.DUMMYFUNCTION("""COMPUTED_VALUE"""),"ACT-SCEE03529")</f>
        <v>ACT-SCEE03529</v>
      </c>
      <c r="B539" s="30" t="str">
        <f ca="1">IFERROR(__xludf.DUMMYFUNCTION("""COMPUTED_VALUE"""),"SC-261006-161813")</f>
        <v>SC-261006-161813</v>
      </c>
      <c r="C539" s="62">
        <f ca="1">IFERROR(__xludf.DUMMYFUNCTION("""COMPUTED_VALUE"""),46301.6793171296)</f>
        <v>46301.679317129601</v>
      </c>
      <c r="D539" s="30">
        <f ca="1">IFERROR(__xludf.DUMMYFUNCTION("""COMPUTED_VALUE"""),92)</f>
        <v>92</v>
      </c>
      <c r="E539" s="30" t="str">
        <f ca="1">IFERROR(__xludf.DUMMYFUNCTION("""COMPUTED_VALUE"""),"PB3572")</f>
        <v>PB3572</v>
      </c>
      <c r="F53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3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39" s="30" t="str">
        <f ca="1">IFERROR(__xludf.DUMMYFUNCTION("""COMPUTED_VALUE"""),"SUBSECRETARÍA DE DESARROLLO Y PROMOCIÓN ARTÍSTICA Y CULTURAL")</f>
        <v>SUBSECRETARÍA DE DESARROLLO Y PROMOCIÓN ARTÍSTICA Y CULTURAL</v>
      </c>
      <c r="I539" s="34" t="str">
        <f ca="1">IFERROR(__xludf.DUMMYFUNCTION("""COMPUTED_VALUE"""),"DIRECCIÓN GENERAL DE MUSEOS, ARTES VISUALES Y EXPOSICIONES")</f>
        <v>DIRECCIÓN GENERAL DE MUSEOS, ARTES VISUALES Y EXPOSICIONES</v>
      </c>
      <c r="J539" s="30" t="str">
        <f ca="1">IFERROR(__xludf.DUMMYFUNCTION("""COMPUTED_VALUE"""),"Número de Actividades realizadas")</f>
        <v>Número de Actividades realizadas</v>
      </c>
      <c r="K539" s="30">
        <f ca="1">IFERROR(__xludf.DUMMYFUNCTION("""COMPUTED_VALUE"""),800)</f>
        <v>800</v>
      </c>
      <c r="L539" s="30" t="str">
        <f ca="1">IFERROR(__xludf.DUMMYFUNCTION("""COMPUTED_VALUE"""),"Artística")</f>
        <v>Artística</v>
      </c>
      <c r="M539" s="30" t="str">
        <f ca="1">IFERROR(__xludf.DUMMYFUNCTION("""COMPUTED_VALUE"""),"Danzón, patrimonio vivo, clases de baile.")</f>
        <v>Danzón, patrimonio vivo, clases de baile.</v>
      </c>
      <c r="N539" s="30" t="str">
        <f ca="1">IFERROR(__xludf.DUMMYFUNCTION("""COMPUTED_VALUE"""),"Sesiones guiadas de introducción al Danzón dentro del museo a cargo del Mtro. Juan Robles, director de Romance Danzonero.")</f>
        <v>Sesiones guiadas de introducción al Danzón dentro del museo a cargo del Mtro. Juan Robles, director de Romance Danzonero.</v>
      </c>
      <c r="O539" s="30" t="str">
        <f ca="1">IFERROR(__xludf.DUMMYFUNCTION("""COMPUTED_VALUE"""),"Única")</f>
        <v>Única</v>
      </c>
      <c r="P539" s="33">
        <f ca="1">IFERROR(__xludf.DUMMYFUNCTION("""COMPUTED_VALUE"""),46200)</f>
        <v>46200</v>
      </c>
      <c r="Q539" s="33">
        <f ca="1">IFERROR(__xludf.DUMMYFUNCTION("""COMPUTED_VALUE"""),46200)</f>
        <v>46200</v>
      </c>
      <c r="R539" s="30">
        <f ca="1">IFERROR(__xludf.DUMMYFUNCTION("""COMPUTED_VALUE"""),1)</f>
        <v>1</v>
      </c>
      <c r="S539" s="30" t="str">
        <f ca="1">IFERROR(__xludf.DUMMYFUNCTION("""COMPUTED_VALUE"""),"Artes escénicas")</f>
        <v>Artes escénicas</v>
      </c>
      <c r="T539" s="30" t="str">
        <f ca="1">IFERROR(__xludf.DUMMYFUNCTION("""COMPUTED_VALUE"""),"Danza tradicional")</f>
        <v>Danza tradicional</v>
      </c>
      <c r="U539" s="30" t="str">
        <f ca="1">IFERROR(__xludf.DUMMYFUNCTION("""COMPUTED_VALUE"""),"Taller")</f>
        <v>Taller</v>
      </c>
      <c r="V539" s="30" t="str">
        <f ca="1">IFERROR(__xludf.DUMMYFUNCTION("""COMPUTED_VALUE"""),"Ninguna")</f>
        <v>Ninguna</v>
      </c>
      <c r="W539" s="30" t="str">
        <f ca="1">IFERROR(__xludf.DUMMYFUNCTION("""COMPUTED_VALUE"""),"Presencial")</f>
        <v>Presencial</v>
      </c>
      <c r="X539" s="30" t="str">
        <f ca="1">IFERROR(__xludf.DUMMYFUNCTION("""COMPUTED_VALUE"""),"Espacio a Cargo de la Secretaría")</f>
        <v>Espacio a Cargo de la Secretaría</v>
      </c>
      <c r="Y539" s="30" t="str">
        <f ca="1">IFERROR(__xludf.DUMMYFUNCTION("""COMPUTED_VALUE"""),"Museo Palacio de los Poderes")</f>
        <v>Museo Palacio de los Poderes</v>
      </c>
      <c r="Z539" s="30"/>
      <c r="AA539" s="30"/>
      <c r="AB539" s="30" t="b">
        <f ca="1">IFERROR(__xludf.DUMMYFUNCTION("""COMPUTED_VALUE"""),FALSE)</f>
        <v>0</v>
      </c>
      <c r="AC539" s="30"/>
      <c r="AD539" s="30" t="b">
        <f ca="1">IFERROR(__xludf.DUMMYFUNCTION("""COMPUTED_VALUE"""),FALSE)</f>
        <v>0</v>
      </c>
      <c r="AE539" s="30"/>
      <c r="AF539" s="30" t="b">
        <f ca="1">IFERROR(__xludf.DUMMYFUNCTION("""COMPUTED_VALUE"""),FALSE)</f>
        <v>0</v>
      </c>
      <c r="AG539" s="30"/>
      <c r="AH539" s="30" t="str">
        <f ca="1">IFERROR(__xludf.DUMMYFUNCTION("""COMPUTED_VALUE"""),"Sin costo")</f>
        <v>Sin costo</v>
      </c>
      <c r="AI539" s="30"/>
      <c r="AJ539" s="30"/>
      <c r="AK539" s="30"/>
      <c r="AL539" s="30" t="str">
        <f ca="1">IFERROR(__xludf.DUMMYFUNCTION("""COMPUTED_VALUE"""),"ccardonav@guanajuato.gob.mx")</f>
        <v>ccardonav@guanajuato.gob.mx</v>
      </c>
      <c r="AM539" s="30" t="str">
        <f ca="1">IFERROR(__xludf.DUMMYFUNCTION("""COMPUTED_VALUE"""),"Arraigo y empoderamiento cultural de comunidades.")</f>
        <v>Arraigo y empoderamiento cultural de comunidades.</v>
      </c>
      <c r="AN539" s="30" t="str">
        <f ca="1">IFERROR(__xludf.DUMMYFUNCTION("""COMPUTED_VALUE"""),"1 Tranquilidad")</f>
        <v>1 Tranquilidad</v>
      </c>
      <c r="AO539" s="30" t="str">
        <f ca="1">IFERROR(__xludf.DUMMYFUNCTION("""COMPUTED_VALUE"""),"1.2 Fortalecer prevención del delito")</f>
        <v>1.2 Fortalecer prevención del delito</v>
      </c>
      <c r="AP539" s="30" t="str">
        <f ca="1">IFERROR(__xludf.DUMMYFUNCTION("""COMPUTED_VALUE"""),"1.2.2 Fortalecimiento del tejido social")</f>
        <v>1.2.2 Fortalecimiento del tejido social</v>
      </c>
      <c r="AQ539" s="30" t="str">
        <f ca="1">IFERROR(__xludf.DUMMYFUNCTION("""COMPUTED_VALUE"""),"1.2.3.4 Promover una cultura de paz desde las expresiones artísticas y culturales")</f>
        <v>1.2.3.4 Promover una cultura de paz desde las expresiones artísticas y culturales</v>
      </c>
      <c r="AR539" s="30" t="str">
        <f ca="1">IFERROR(__xludf.DUMMYFUNCTION("""COMPUTED_VALUE"""),"Cooperación")</f>
        <v>Cooperación</v>
      </c>
      <c r="AS539" s="30"/>
      <c r="AT539" s="30" t="str">
        <f ca="1">IFERROR(__xludf.DUMMYFUNCTION("""COMPUTED_VALUE"""),"Fortalecimiento de la participación ciudadana y la mediación cultural")</f>
        <v>Fortalecimiento de la participación ciudadana y la mediación cultural</v>
      </c>
      <c r="AU539" s="30" t="str">
        <f ca="1">IFERROR(__xludf.DUMMYFUNCTION("""COMPUTED_VALUE"""),"Impulso a la ampliación de la oferta cultural en los territorios.")</f>
        <v>Impulso a la ampliación de la oferta cultural en los territorios.</v>
      </c>
      <c r="AV53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39" s="30" t="str">
        <f ca="1">IFERROR(__xludf.DUMMYFUNCTION("""COMPUTED_VALUE"""),"Incrementar en 25% la oferta cultural realizada en los municipios.")</f>
        <v>Incrementar en 25% la oferta cultural realizada en los municipios.</v>
      </c>
      <c r="AX539" s="30" t="str">
        <f ca="1">IFERROR(__xludf.DUMMYFUNCTION("""COMPUTED_VALUE"""),"Visitas escolares")</f>
        <v>Visitas escolares</v>
      </c>
      <c r="AY539" s="30" t="str">
        <f ca="1">IFERROR(__xludf.DUMMYFUNCTION("""COMPUTED_VALUE"""),"Formación")</f>
        <v>Formación</v>
      </c>
      <c r="AZ539" s="30" t="str">
        <f ca="1">IFERROR(__xludf.DUMMYFUNCTION("""COMPUTED_VALUE"""),"Formación")</f>
        <v>Formación</v>
      </c>
      <c r="BA539" s="30"/>
      <c r="BB539" s="30"/>
      <c r="BC539" s="30">
        <f ca="1">IFERROR(__xludf.DUMMYFUNCTION("""COMPUTED_VALUE"""),0)</f>
        <v>0</v>
      </c>
      <c r="BD539" s="30"/>
      <c r="BE539" s="30"/>
      <c r="BF539" s="30" t="b">
        <f ca="1">IFERROR(__xludf.DUMMYFUNCTION("""COMPUTED_VALUE"""),FALSE)</f>
        <v>0</v>
      </c>
      <c r="BG539" s="30"/>
      <c r="BH539" s="30"/>
      <c r="BI539" s="30"/>
      <c r="BJ539" s="30"/>
      <c r="BK539" s="30"/>
      <c r="BL539" s="30"/>
      <c r="BM539" s="30" t="str">
        <f ca="1">IFERROR(__xludf.DUMMYFUNCTION("""COMPUTED_VALUE"""),"No")</f>
        <v>No</v>
      </c>
      <c r="BN539" s="30"/>
      <c r="BO539" s="30" t="str">
        <f ca="1">IFERROR(__xludf.DUMMYFUNCTION("""COMPUTED_VALUE"""),"b0a40ae3")</f>
        <v>b0a40ae3</v>
      </c>
      <c r="BP539" s="29" t="str">
        <f ca="1">IFERROR(__xludf.DUMMYFUNCTION("""COMPUTED_VALUE"""),"Salamanca")</f>
        <v>Salamanca</v>
      </c>
      <c r="BQ539" s="30" t="str">
        <f ca="1">IFERROR(__xludf.DUMMYFUNCTION("""COMPUTED_VALUE"""),"Urbano")</f>
        <v>Urbano</v>
      </c>
      <c r="BR539" s="30">
        <f ca="1">IFERROR(__xludf.DUMMYFUNCTION("""COMPUTED_VALUE"""),181)</f>
        <v>181</v>
      </c>
      <c r="BS539" s="30" t="str">
        <f ca="1">IFERROR(__xludf.DUMMYFUNCTION("""COMPUTED_VALUE"""),"Salamanca")</f>
        <v>Salamanca</v>
      </c>
      <c r="BT539" s="30"/>
      <c r="BU539" s="30" t="str">
        <f ca="1">IFERROR(__xludf.DUMMYFUNCTION("""COMPUTED_VALUE"""),"Si")</f>
        <v>Si</v>
      </c>
      <c r="BV539" s="30" t="str">
        <f ca="1">IFERROR(__xludf.DUMMYFUNCTION("""COMPUTED_VALUE"""),"Si")</f>
        <v>Si</v>
      </c>
      <c r="BW539" s="30">
        <f ca="1">IFERROR(__xludf.DUMMYFUNCTION("""COMPUTED_VALUE"""),16)</f>
        <v>16</v>
      </c>
      <c r="BX539" s="30">
        <f ca="1">IFERROR(__xludf.DUMMYFUNCTION("""COMPUTED_VALUE"""),1)</f>
        <v>1</v>
      </c>
      <c r="BY539" s="30">
        <f ca="1">IFERROR(__xludf.DUMMYFUNCTION("""COMPUTED_VALUE"""),15)</f>
        <v>15</v>
      </c>
      <c r="BZ539" s="30" t="str">
        <f ca="1">IFERROR(__xludf.DUMMYFUNCTION("""COMPUTED_VALUE"""),"Salamanca")</f>
        <v>Salamanca</v>
      </c>
      <c r="CA539" s="30" t="str">
        <f ca="1">IFERROR(__xludf.DUMMYFUNCTION("""COMPUTED_VALUE"""),"No")</f>
        <v>No</v>
      </c>
      <c r="CB539" s="30" t="str">
        <f ca="1">IFERROR(__xludf.DUMMYFUNCTION("""COMPUTED_VALUE"""),"No")</f>
        <v>No</v>
      </c>
      <c r="CC539" s="30" t="str">
        <f ca="1">IFERROR(__xludf.DUMMYFUNCTION("""COMPUTED_VALUE"""),"deec3f20")</f>
        <v>deec3f20</v>
      </c>
      <c r="CD539" s="29" t="str">
        <f ca="1">IFERROR(__xludf.DUMMYFUNCTION("""COMPUTED_VALUE"""),"Niñas y Niños (6 a 12 años)")</f>
        <v>Niñas y Niños (6 a 12 años)</v>
      </c>
      <c r="CE539" s="30" t="str">
        <f ca="1">IFERROR(__xludf.DUMMYFUNCTION("""COMPUTED_VALUE"""),"No se cuenta con el dato")</f>
        <v>No se cuenta con el dato</v>
      </c>
      <c r="CF539" s="30" t="str">
        <f ca="1">IFERROR(__xludf.DUMMYFUNCTION("""COMPUTED_VALUE"""),"Ninguno (Población General)")</f>
        <v>Ninguno (Población General)</v>
      </c>
      <c r="CG539" s="30">
        <f ca="1">IFERROR(__xludf.DUMMYFUNCTION("""COMPUTED_VALUE"""),10)</f>
        <v>10</v>
      </c>
      <c r="CJ539" s="29"/>
      <c r="CM539" s="30" t="str">
        <f ca="1">IFERROR(__xludf.DUMMYFUNCTION("""COMPUTED_VALUE"""),"León")</f>
        <v>León</v>
      </c>
      <c r="CN539" s="32" t="e">
        <f ca="1"/>
        <v>#NAME?</v>
      </c>
      <c r="CO539" s="32" t="e">
        <f ca="1"/>
        <v>#NAME?</v>
      </c>
      <c r="CP539" s="32" t="e">
        <f ca="1"/>
        <v>#NAME?</v>
      </c>
      <c r="CQ539" s="32" t="e">
        <f ca="1"/>
        <v>#NAME?</v>
      </c>
      <c r="CR539" s="30" t="e">
        <f ca="1"/>
        <v>#NAME?</v>
      </c>
      <c r="CS539" s="30" t="str">
        <f ca="1">IFERROR(__xludf.DUMMYFUNCTION("""COMPUTED_VALUE"""),"Ninguno (Población General)")</f>
        <v>Ninguno (Población General)</v>
      </c>
    </row>
    <row r="540" spans="1:97" ht="13">
      <c r="A540" s="29" t="str">
        <f ca="1">IFERROR(__xludf.DUMMYFUNCTION("""COMPUTED_VALUE"""),"ACT-SCNV66062")</f>
        <v>ACT-SCNV66062</v>
      </c>
      <c r="B540" s="30" t="str">
        <f ca="1">IFERROR(__xludf.DUMMYFUNCTION("""COMPUTED_VALUE"""),"SC-261006-162738")</f>
        <v>SC-261006-162738</v>
      </c>
      <c r="C540" s="62">
        <f ca="1">IFERROR(__xludf.DUMMYFUNCTION("""COMPUTED_VALUE"""),46301.6858564814)</f>
        <v>46301.685856481403</v>
      </c>
      <c r="D540" s="30">
        <f ca="1">IFERROR(__xludf.DUMMYFUNCTION("""COMPUTED_VALUE"""),92)</f>
        <v>92</v>
      </c>
      <c r="E540" s="30" t="str">
        <f ca="1">IFERROR(__xludf.DUMMYFUNCTION("""COMPUTED_VALUE"""),"PB3572")</f>
        <v>PB3572</v>
      </c>
      <c r="F54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4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40" s="30" t="str">
        <f ca="1">IFERROR(__xludf.DUMMYFUNCTION("""COMPUTED_VALUE"""),"SUBSECRETARÍA DE DESARROLLO Y PROMOCIÓN ARTÍSTICA Y CULTURAL")</f>
        <v>SUBSECRETARÍA DE DESARROLLO Y PROMOCIÓN ARTÍSTICA Y CULTURAL</v>
      </c>
      <c r="I540" s="34" t="str">
        <f ca="1">IFERROR(__xludf.DUMMYFUNCTION("""COMPUTED_VALUE"""),"DIRECCIÓN GENERAL DE MUSEOS, ARTES VISUALES Y EXPOSICIONES")</f>
        <v>DIRECCIÓN GENERAL DE MUSEOS, ARTES VISUALES Y EXPOSICIONES</v>
      </c>
      <c r="J540" s="30" t="str">
        <f ca="1">IFERROR(__xludf.DUMMYFUNCTION("""COMPUTED_VALUE"""),"Número de Actividades realizadas")</f>
        <v>Número de Actividades realizadas</v>
      </c>
      <c r="K540" s="30">
        <f ca="1">IFERROR(__xludf.DUMMYFUNCTION("""COMPUTED_VALUE"""),800)</f>
        <v>800</v>
      </c>
      <c r="L540" s="30" t="str">
        <f ca="1">IFERROR(__xludf.DUMMYFUNCTION("""COMPUTED_VALUE"""),"Artística")</f>
        <v>Artística</v>
      </c>
      <c r="M540" s="30" t="str">
        <f ca="1">IFERROR(__xludf.DUMMYFUNCTION("""COMPUTED_VALUE"""),"MCDR Lectura de poesía: Poética del paisaje: entre pinceladas y versos de Carlos Pellicer.")</f>
        <v>MCDR Lectura de poesía: Poética del paisaje: entre pinceladas y versos de Carlos Pellicer.</v>
      </c>
      <c r="N540" s="30" t="str">
        <f ca="1">IFERROR(__xludf.DUMMYFUNCTION("""COMPUTED_VALUE"""),"Lectura de poemas de Carlos Pellicer y que forman parte e inspiración de la exposición Poética del Paisaje del Museo Casa Diego Rivera.")</f>
        <v>Lectura de poemas de Carlos Pellicer y que forman parte e inspiración de la exposición Poética del Paisaje del Museo Casa Diego Rivera.</v>
      </c>
      <c r="O540" s="30" t="str">
        <f ca="1">IFERROR(__xludf.DUMMYFUNCTION("""COMPUTED_VALUE"""),"Única")</f>
        <v>Única</v>
      </c>
      <c r="P540" s="33">
        <f ca="1">IFERROR(__xludf.DUMMYFUNCTION("""COMPUTED_VALUE"""),46201)</f>
        <v>46201</v>
      </c>
      <c r="Q540" s="33">
        <f ca="1">IFERROR(__xludf.DUMMYFUNCTION("""COMPUTED_VALUE"""),46201)</f>
        <v>46201</v>
      </c>
      <c r="R540" s="30">
        <f ca="1">IFERROR(__xludf.DUMMYFUNCTION("""COMPUTED_VALUE"""),1)</f>
        <v>1</v>
      </c>
      <c r="S540" s="30" t="str">
        <f ca="1">IFERROR(__xludf.DUMMYFUNCTION("""COMPUTED_VALUE"""),"Literatura")</f>
        <v>Literatura</v>
      </c>
      <c r="T540" s="30" t="str">
        <f ca="1">IFERROR(__xludf.DUMMYFUNCTION("""COMPUTED_VALUE"""),"Poesía")</f>
        <v>Poesía</v>
      </c>
      <c r="U540" s="30" t="str">
        <f ca="1">IFERROR(__xludf.DUMMYFUNCTION("""COMPUTED_VALUE"""),"Presentación artística")</f>
        <v>Presentación artística</v>
      </c>
      <c r="V540" s="30" t="str">
        <f ca="1">IFERROR(__xludf.DUMMYFUNCTION("""COMPUTED_VALUE"""),"Ninguna")</f>
        <v>Ninguna</v>
      </c>
      <c r="W540" s="30" t="str">
        <f ca="1">IFERROR(__xludf.DUMMYFUNCTION("""COMPUTED_VALUE"""),"Presencial")</f>
        <v>Presencial</v>
      </c>
      <c r="X540" s="30" t="str">
        <f ca="1">IFERROR(__xludf.DUMMYFUNCTION("""COMPUTED_VALUE"""),"Espacio a Cargo de la Secretaría")</f>
        <v>Espacio a Cargo de la Secretaría</v>
      </c>
      <c r="Y540" s="30" t="str">
        <f ca="1">IFERROR(__xludf.DUMMYFUNCTION("""COMPUTED_VALUE"""),"Museo Casa Diego Rivera")</f>
        <v>Museo Casa Diego Rivera</v>
      </c>
      <c r="Z540" s="30"/>
      <c r="AA540" s="30"/>
      <c r="AB540" s="30" t="b">
        <f ca="1">IFERROR(__xludf.DUMMYFUNCTION("""COMPUTED_VALUE"""),FALSE)</f>
        <v>0</v>
      </c>
      <c r="AC540" s="30"/>
      <c r="AD540" s="30" t="b">
        <f ca="1">IFERROR(__xludf.DUMMYFUNCTION("""COMPUTED_VALUE"""),FALSE)</f>
        <v>0</v>
      </c>
      <c r="AE540" s="30"/>
      <c r="AF540" s="30" t="b">
        <f ca="1">IFERROR(__xludf.DUMMYFUNCTION("""COMPUTED_VALUE"""),FALSE)</f>
        <v>0</v>
      </c>
      <c r="AG540" s="30"/>
      <c r="AH540" s="30" t="str">
        <f ca="1">IFERROR(__xludf.DUMMYFUNCTION("""COMPUTED_VALUE"""),"Sin costo")</f>
        <v>Sin costo</v>
      </c>
      <c r="AI540" s="30"/>
      <c r="AJ540" s="30"/>
      <c r="AK540" s="30"/>
      <c r="AL540" s="30" t="str">
        <f ca="1">IFERROR(__xludf.DUMMYFUNCTION("""COMPUTED_VALUE"""),"ccardonav@guanajuato.gob.mx")</f>
        <v>ccardonav@guanajuato.gob.mx</v>
      </c>
      <c r="AM540" s="30" t="str">
        <f ca="1">IFERROR(__xludf.DUMMYFUNCTION("""COMPUTED_VALUE"""),"Leer para crecer.")</f>
        <v>Leer para crecer.</v>
      </c>
      <c r="AN540" s="30" t="str">
        <f ca="1">IFERROR(__xludf.DUMMYFUNCTION("""COMPUTED_VALUE"""),"1 Tranquilidad")</f>
        <v>1 Tranquilidad</v>
      </c>
      <c r="AO540" s="30" t="str">
        <f ca="1">IFERROR(__xludf.DUMMYFUNCTION("""COMPUTED_VALUE"""),"1.2 Fortalecer prevención del delito")</f>
        <v>1.2 Fortalecer prevención del delito</v>
      </c>
      <c r="AP540" s="30" t="str">
        <f ca="1">IFERROR(__xludf.DUMMYFUNCTION("""COMPUTED_VALUE"""),"1.2.2 Fortalecimiento del tejido social")</f>
        <v>1.2.2 Fortalecimiento del tejido social</v>
      </c>
      <c r="AQ540" s="30" t="str">
        <f ca="1">IFERROR(__xludf.DUMMYFUNCTION("""COMPUTED_VALUE"""),"1.2.3.4 Promover una cultura de paz desde las expresiones artísticas y culturales")</f>
        <v>1.2.3.4 Promover una cultura de paz desde las expresiones artísticas y culturales</v>
      </c>
      <c r="AR540" s="30" t="str">
        <f ca="1">IFERROR(__xludf.DUMMYFUNCTION("""COMPUTED_VALUE"""),"Cooperación")</f>
        <v>Cooperación</v>
      </c>
      <c r="AS540" s="30"/>
      <c r="AT540" s="30" t="str">
        <f ca="1">IFERROR(__xludf.DUMMYFUNCTION("""COMPUTED_VALUE"""),"Fortalecimiento de la participación ciudadana y la mediación cultural")</f>
        <v>Fortalecimiento de la participación ciudadana y la mediación cultural</v>
      </c>
      <c r="AU540" s="30" t="str">
        <f ca="1">IFERROR(__xludf.DUMMYFUNCTION("""COMPUTED_VALUE"""),"Impulso a la ampliación de la oferta cultural en los territorios.")</f>
        <v>Impulso a la ampliación de la oferta cultural en los territorios.</v>
      </c>
      <c r="AV54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40" s="30" t="str">
        <f ca="1">IFERROR(__xludf.DUMMYFUNCTION("""COMPUTED_VALUE"""),"Incrementar en 25% la oferta cultural realizada en los municipios.")</f>
        <v>Incrementar en 25% la oferta cultural realizada en los municipios.</v>
      </c>
      <c r="AX540" s="30" t="str">
        <f ca="1">IFERROR(__xludf.DUMMYFUNCTION("""COMPUTED_VALUE"""),"Muestra artística")</f>
        <v>Muestra artística</v>
      </c>
      <c r="AY540" s="30" t="str">
        <f ca="1">IFERROR(__xludf.DUMMYFUNCTION("""COMPUTED_VALUE"""),"Formación")</f>
        <v>Formación</v>
      </c>
      <c r="AZ540" s="30" t="str">
        <f ca="1">IFERROR(__xludf.DUMMYFUNCTION("""COMPUTED_VALUE"""),"Formación")</f>
        <v>Formación</v>
      </c>
      <c r="BA540" s="30"/>
      <c r="BB540" s="30"/>
      <c r="BC540" s="30">
        <f ca="1">IFERROR(__xludf.DUMMYFUNCTION("""COMPUTED_VALUE"""),0)</f>
        <v>0</v>
      </c>
      <c r="BD540" s="30"/>
      <c r="BE540" s="30"/>
      <c r="BF540" s="30" t="b">
        <f ca="1">IFERROR(__xludf.DUMMYFUNCTION("""COMPUTED_VALUE"""),FALSE)</f>
        <v>0</v>
      </c>
      <c r="BG540" s="30"/>
      <c r="BH540" s="30"/>
      <c r="BI540" s="30"/>
      <c r="BJ540" s="30"/>
      <c r="BK540" s="30"/>
      <c r="BL540" s="30"/>
      <c r="BM540" s="30" t="str">
        <f ca="1">IFERROR(__xludf.DUMMYFUNCTION("""COMPUTED_VALUE"""),"No")</f>
        <v>No</v>
      </c>
      <c r="BN540" s="30"/>
      <c r="BO540" s="30" t="str">
        <f ca="1">IFERROR(__xludf.DUMMYFUNCTION("""COMPUTED_VALUE"""),"4fee0a01")</f>
        <v>4fee0a01</v>
      </c>
      <c r="BP540" s="29" t="str">
        <f ca="1">IFERROR(__xludf.DUMMYFUNCTION("""COMPUTED_VALUE"""),"Salamanca")</f>
        <v>Salamanca</v>
      </c>
      <c r="BQ540" s="30" t="str">
        <f ca="1">IFERROR(__xludf.DUMMYFUNCTION("""COMPUTED_VALUE"""),"Urbano")</f>
        <v>Urbano</v>
      </c>
      <c r="BR540" s="30">
        <f ca="1">IFERROR(__xludf.DUMMYFUNCTION("""COMPUTED_VALUE"""),181)</f>
        <v>181</v>
      </c>
      <c r="BS540" s="30" t="str">
        <f ca="1">IFERROR(__xludf.DUMMYFUNCTION("""COMPUTED_VALUE"""),"Salamanca")</f>
        <v>Salamanca</v>
      </c>
      <c r="BT540" s="30"/>
      <c r="BU540" s="30" t="str">
        <f ca="1">IFERROR(__xludf.DUMMYFUNCTION("""COMPUTED_VALUE"""),"Si")</f>
        <v>Si</v>
      </c>
      <c r="BV540" s="30" t="str">
        <f ca="1">IFERROR(__xludf.DUMMYFUNCTION("""COMPUTED_VALUE"""),"Si")</f>
        <v>Si</v>
      </c>
      <c r="BW540" s="30">
        <f ca="1">IFERROR(__xludf.DUMMYFUNCTION("""COMPUTED_VALUE"""),19)</f>
        <v>19</v>
      </c>
      <c r="BX540" s="30">
        <f ca="1">IFERROR(__xludf.DUMMYFUNCTION("""COMPUTED_VALUE"""),5)</f>
        <v>5</v>
      </c>
      <c r="BY540" s="30">
        <f ca="1">IFERROR(__xludf.DUMMYFUNCTION("""COMPUTED_VALUE"""),14)</f>
        <v>14</v>
      </c>
      <c r="BZ540" s="30" t="str">
        <f ca="1">IFERROR(__xludf.DUMMYFUNCTION("""COMPUTED_VALUE"""),"Salamanca")</f>
        <v>Salamanca</v>
      </c>
      <c r="CA540" s="30" t="str">
        <f ca="1">IFERROR(__xludf.DUMMYFUNCTION("""COMPUTED_VALUE"""),"No")</f>
        <v>No</v>
      </c>
      <c r="CB540" s="30" t="str">
        <f ca="1">IFERROR(__xludf.DUMMYFUNCTION("""COMPUTED_VALUE"""),"No")</f>
        <v>No</v>
      </c>
      <c r="CC540" s="30" t="str">
        <f ca="1">IFERROR(__xludf.DUMMYFUNCTION("""COMPUTED_VALUE"""),"8c6d105a")</f>
        <v>8c6d105a</v>
      </c>
      <c r="CD540" s="29" t="str">
        <f ca="1">IFERROR(__xludf.DUMMYFUNCTION("""COMPUTED_VALUE"""),"Jóvenes (18 a 29 años)")</f>
        <v>Jóvenes (18 a 29 años)</v>
      </c>
      <c r="CE540" s="30" t="str">
        <f ca="1">IFERROR(__xludf.DUMMYFUNCTION("""COMPUTED_VALUE"""),"Hombre")</f>
        <v>Hombre</v>
      </c>
      <c r="CF540" s="30" t="str">
        <f ca="1">IFERROR(__xludf.DUMMYFUNCTION("""COMPUTED_VALUE"""),"Ninguno (Población General)")</f>
        <v>Ninguno (Población General)</v>
      </c>
      <c r="CG540" s="30">
        <f ca="1">IFERROR(__xludf.DUMMYFUNCTION("""COMPUTED_VALUE"""),5)</f>
        <v>5</v>
      </c>
      <c r="CJ540" s="29"/>
      <c r="CM540" s="30" t="str">
        <f ca="1">IFERROR(__xludf.DUMMYFUNCTION("""COMPUTED_VALUE"""),"León")</f>
        <v>León</v>
      </c>
      <c r="CN540" s="32" t="e">
        <f ca="1"/>
        <v>#NAME?</v>
      </c>
      <c r="CO540" s="32" t="e">
        <f ca="1"/>
        <v>#NAME?</v>
      </c>
      <c r="CP540" s="32" t="e">
        <f ca="1"/>
        <v>#NAME?</v>
      </c>
      <c r="CQ540" s="32" t="e">
        <f ca="1"/>
        <v>#NAME?</v>
      </c>
      <c r="CR540" s="30" t="e">
        <f ca="1"/>
        <v>#NAME?</v>
      </c>
      <c r="CS540" s="30" t="str">
        <f ca="1">IFERROR(__xludf.DUMMYFUNCTION("""COMPUTED_VALUE"""),"Ninguno (Población General)")</f>
        <v>Ninguno (Población General)</v>
      </c>
    </row>
    <row r="541" spans="1:97" ht="13">
      <c r="A541" s="29" t="str">
        <f ca="1">IFERROR(__xludf.DUMMYFUNCTION("""COMPUTED_VALUE"""),"ACT-SCBM04283")</f>
        <v>ACT-SCBM04283</v>
      </c>
      <c r="B541" s="30" t="str">
        <f ca="1">IFERROR(__xludf.DUMMYFUNCTION("""COMPUTED_VALUE"""),"SC-261006-160521")</f>
        <v>SC-261006-160521</v>
      </c>
      <c r="C541" s="62">
        <f ca="1">IFERROR(__xludf.DUMMYFUNCTION("""COMPUTED_VALUE"""),46301.6703819444)</f>
        <v>46301.670381944401</v>
      </c>
      <c r="D541" s="30">
        <f ca="1">IFERROR(__xludf.DUMMYFUNCTION("""COMPUTED_VALUE"""),75)</f>
        <v>75</v>
      </c>
      <c r="E541" s="30" t="str">
        <f ca="1">IFERROR(__xludf.DUMMYFUNCTION("""COMPUTED_VALUE"""),"PB3567")</f>
        <v>PB3567</v>
      </c>
      <c r="F541" s="30" t="str">
        <f ca="1">IFERROR(__xludf.DUMMYFUNCTION("""COMPUTED_VALUE"""),"Formación e Investigación Artística")</f>
        <v>Formación e Investigación Artística</v>
      </c>
      <c r="G541" s="30" t="str">
        <f ca="1">IFERROR(__xludf.DUMMYFUNCTION("""COMPUTED_VALUE"""),"Cursos, talleres, y diplomados en la disciplina de las artes visuales, digitales y sonoras. Cine y sonorización.")</f>
        <v>Cursos, talleres, y diplomados en la disciplina de las artes visuales, digitales y sonoras. Cine y sonorización.</v>
      </c>
      <c r="H541" s="30" t="str">
        <f ca="1">IFERROR(__xludf.DUMMYFUNCTION("""COMPUTED_VALUE"""),"SUBSECRETARÍA DE DESARROLLO COMUNITARIO Y PROMOCIÓN PATRIMONIAL")</f>
        <v>SUBSECRETARÍA DE DESARROLLO COMUNITARIO Y PROMOCIÓN PATRIMONIAL</v>
      </c>
      <c r="I541" s="34" t="str">
        <f ca="1">IFERROR(__xludf.DUMMYFUNCTION("""COMPUTED_VALUE"""),"DIRECCIÓN GENERAL DE FORMACIÓN E INVESTIGACIÓN")</f>
        <v>DIRECCIÓN GENERAL DE FORMACIÓN E INVESTIGACIÓN</v>
      </c>
      <c r="J541" s="30" t="str">
        <f ca="1">IFERROR(__xludf.DUMMYFUNCTION("""COMPUTED_VALUE"""),"Cursos, talleres, diplomados realizados")</f>
        <v>Cursos, talleres, diplomados realizados</v>
      </c>
      <c r="K541" s="30">
        <f ca="1">IFERROR(__xludf.DUMMYFUNCTION("""COMPUTED_VALUE"""),4)</f>
        <v>4</v>
      </c>
      <c r="L541" s="30" t="str">
        <f ca="1">IFERROR(__xludf.DUMMYFUNCTION("""COMPUTED_VALUE"""),"Artística")</f>
        <v>Artística</v>
      </c>
      <c r="M541" s="30" t="str">
        <f ca="1">IFERROR(__xludf.DUMMYFUNCTION("""COMPUTED_VALUE"""),"Artes visuales.Sebastián Ruelas")</f>
        <v>Artes visuales.Sebastián Ruelas</v>
      </c>
      <c r="N541" s="30" t="str">
        <f ca="1">IFERROR(__xludf.DUMMYFUNCTION("""COMPUTED_VALUE"""),"Participación de Sebastián Ruelas en el Encuentro estatal de saberes locales")</f>
        <v>Participación de Sebastián Ruelas en el Encuentro estatal de saberes locales</v>
      </c>
      <c r="O541" s="30" t="str">
        <f ca="1">IFERROR(__xludf.DUMMYFUNCTION("""COMPUTED_VALUE"""),"Única")</f>
        <v>Única</v>
      </c>
      <c r="P541" s="33">
        <f ca="1">IFERROR(__xludf.DUMMYFUNCTION("""COMPUTED_VALUE"""),46178)</f>
        <v>46178</v>
      </c>
      <c r="Q541" s="33">
        <f ca="1">IFERROR(__xludf.DUMMYFUNCTION("""COMPUTED_VALUE"""),46178)</f>
        <v>46178</v>
      </c>
      <c r="R541" s="30">
        <f ca="1">IFERROR(__xludf.DUMMYFUNCTION("""COMPUTED_VALUE"""),1)</f>
        <v>1</v>
      </c>
      <c r="S541" s="30" t="str">
        <f ca="1">IFERROR(__xludf.DUMMYFUNCTION("""COMPUTED_VALUE"""),"Artes visuales")</f>
        <v>Artes visuales</v>
      </c>
      <c r="T541" s="30" t="str">
        <f ca="1">IFERROR(__xludf.DUMMYFUNCTION("""COMPUTED_VALUE"""),"Arte digital")</f>
        <v>Arte digital</v>
      </c>
      <c r="U541" s="30" t="str">
        <f ca="1">IFERROR(__xludf.DUMMYFUNCTION("""COMPUTED_VALUE"""),"Encuentro cultural")</f>
        <v>Encuentro cultural</v>
      </c>
      <c r="V541" s="30" t="str">
        <f ca="1">IFERROR(__xludf.DUMMYFUNCTION("""COMPUTED_VALUE"""),"Ninguna")</f>
        <v>Ninguna</v>
      </c>
      <c r="W541" s="30" t="str">
        <f ca="1">IFERROR(__xludf.DUMMYFUNCTION("""COMPUTED_VALUE"""),"Presencial")</f>
        <v>Presencial</v>
      </c>
      <c r="X541" s="30" t="str">
        <f ca="1">IFERROR(__xludf.DUMMYFUNCTION("""COMPUTED_VALUE"""),"Espacio préstamo a la Secretaría de Cultura")</f>
        <v>Espacio préstamo a la Secretaría de Cultura</v>
      </c>
      <c r="Y541" s="30"/>
      <c r="Z541" s="30"/>
      <c r="AA541" s="30"/>
      <c r="AB541" s="30" t="b">
        <f ca="1">IFERROR(__xludf.DUMMYFUNCTION("""COMPUTED_VALUE"""),FALSE)</f>
        <v>0</v>
      </c>
      <c r="AC541" s="30"/>
      <c r="AD541" s="30" t="b">
        <f ca="1">IFERROR(__xludf.DUMMYFUNCTION("""COMPUTED_VALUE"""),FALSE)</f>
        <v>0</v>
      </c>
      <c r="AE541" s="30"/>
      <c r="AF541" s="30" t="b">
        <f ca="1">IFERROR(__xludf.DUMMYFUNCTION("""COMPUTED_VALUE"""),FALSE)</f>
        <v>0</v>
      </c>
      <c r="AG541" s="30"/>
      <c r="AH541" s="30" t="str">
        <f ca="1">IFERROR(__xludf.DUMMYFUNCTION("""COMPUTED_VALUE"""),"Sin costo")</f>
        <v>Sin costo</v>
      </c>
      <c r="AI541" s="30"/>
      <c r="AJ541" s="30"/>
      <c r="AK541" s="30"/>
      <c r="AL541" s="30" t="str">
        <f ca="1">IFERROR(__xludf.DUMMYFUNCTION("""COMPUTED_VALUE"""),"claudia.ramirezm@guanajuato.gob.mx")</f>
        <v>claudia.ramirezm@guanajuato.gob.mx</v>
      </c>
      <c r="AM541" s="30" t="str">
        <f ca="1">IFERROR(__xludf.DUMMYFUNCTION("""COMPUTED_VALUE"""),"Actividades artísticas y culturales en zonas de alta marginación.")</f>
        <v>Actividades artísticas y culturales en zonas de alta marginación.</v>
      </c>
      <c r="AN541" s="30" t="str">
        <f ca="1">IFERROR(__xludf.DUMMYFUNCTION("""COMPUTED_VALUE"""),"1 Tranquilidad")</f>
        <v>1 Tranquilidad</v>
      </c>
      <c r="AO541" s="30" t="str">
        <f ca="1">IFERROR(__xludf.DUMMYFUNCTION("""COMPUTED_VALUE"""),"1.2 Fortalecer prevención del delito")</f>
        <v>1.2 Fortalecer prevención del delito</v>
      </c>
      <c r="AP541" s="30" t="str">
        <f ca="1">IFERROR(__xludf.DUMMYFUNCTION("""COMPUTED_VALUE"""),"1.2.2 Fortalecimiento del tejido social")</f>
        <v>1.2.2 Fortalecimiento del tejido social</v>
      </c>
      <c r="AQ541" s="30" t="str">
        <f ca="1">IFERROR(__xludf.DUMMYFUNCTION("""COMPUTED_VALUE"""),"1.2.3.4 Promover una cultura de paz desde las expresiones artísticas y culturales")</f>
        <v>1.2.3.4 Promover una cultura de paz desde las expresiones artísticas y culturales</v>
      </c>
      <c r="AR541" s="30" t="str">
        <f ca="1">IFERROR(__xludf.DUMMYFUNCTION("""COMPUTED_VALUE"""),"Inclusión")</f>
        <v>Inclusión</v>
      </c>
      <c r="AS541" s="30" t="str">
        <f ca="1">IFERROR(__xludf.DUMMYFUNCTION("""COMPUTED_VALUE"""),"Ninguno (Población General)")</f>
        <v>Ninguno (Población General)</v>
      </c>
      <c r="AT541" s="30" t="str">
        <f ca="1">IFERROR(__xludf.DUMMYFUNCTION("""COMPUTED_VALUE"""),"Impulso a la educación artística y a la profesionalización del sector cultural")</f>
        <v>Impulso a la educación artística y a la profesionalización del sector cultural</v>
      </c>
      <c r="AU541" s="30" t="str">
        <f ca="1">IFERROR(__xludf.DUMMYFUNCTION("""COMPUTED_VALUE"""),"Impulso a programas de formación y profesionalización para agentes culturales.")</f>
        <v>Impulso a programas de formación y profesionalización para agentes culturales.</v>
      </c>
      <c r="AV541"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41" s="30" t="str">
        <f ca="1">IFERROR(__xludf.DUMMYFUNCTION("""COMPUTED_VALUE"""),"Incrementar un 30% la oferta de formación y profesionalización para agentes culturales.")</f>
        <v>Incrementar un 30% la oferta de formación y profesionalización para agentes culturales.</v>
      </c>
      <c r="AX541" s="30" t="str">
        <f ca="1">IFERROR(__xludf.DUMMYFUNCTION("""COMPUTED_VALUE"""),"Encuentro cultural")</f>
        <v>Encuentro cultural</v>
      </c>
      <c r="AY541" s="30" t="str">
        <f ca="1">IFERROR(__xludf.DUMMYFUNCTION("""COMPUTED_VALUE"""),"Formación")</f>
        <v>Formación</v>
      </c>
      <c r="AZ541" s="30" t="str">
        <f ca="1">IFERROR(__xludf.DUMMYFUNCTION("""COMPUTED_VALUE"""),"Formación")</f>
        <v>Formación</v>
      </c>
      <c r="BA541" s="30" t="str">
        <f ca="1">IFERROR(__xludf.DUMMYFUNCTION("""COMPUTED_VALUE"""),"Participación de Sebastián Ruelas en el Encuentro estatal de saberes locales")</f>
        <v>Participación de Sebastián Ruelas en el Encuentro estatal de saberes locales</v>
      </c>
      <c r="BB541" s="30">
        <f ca="1">IFERROR(__xludf.DUMMYFUNCTION("""COMPUTED_VALUE"""),5)</f>
        <v>5</v>
      </c>
      <c r="BC541" s="30">
        <f ca="1">IFERROR(__xludf.DUMMYFUNCTION("""COMPUTED_VALUE"""),1)</f>
        <v>1</v>
      </c>
      <c r="BD541" s="30" t="str">
        <f ca="1">IFERROR(__xludf.DUMMYFUNCTION("""COMPUTED_VALUE"""),"Apoyado con anterioridad")</f>
        <v>Apoyado con anterioridad</v>
      </c>
      <c r="BE541" s="30" t="str">
        <f ca="1">IFERROR(__xludf.DUMMYFUNCTION("""COMPUTED_VALUE"""),"Sebastián Ruelas")</f>
        <v>Sebastián Ruelas</v>
      </c>
      <c r="BF541" s="30" t="b">
        <f ca="1">IFERROR(__xludf.DUMMYFUNCTION("""COMPUTED_VALUE"""),FALSE)</f>
        <v>0</v>
      </c>
      <c r="BG541" s="30"/>
      <c r="BH541" s="30"/>
      <c r="BI541" s="30"/>
      <c r="BJ541" s="30"/>
      <c r="BK541" s="30"/>
      <c r="BL541" s="30"/>
      <c r="BM541" s="30" t="str">
        <f ca="1">IFERROR(__xludf.DUMMYFUNCTION("""COMPUTED_VALUE"""),"No")</f>
        <v>No</v>
      </c>
      <c r="BN541" s="30"/>
      <c r="BO541" s="30" t="str">
        <f ca="1">IFERROR(__xludf.DUMMYFUNCTION("""COMPUTED_VALUE"""),"6e0d2de8")</f>
        <v>6e0d2de8</v>
      </c>
      <c r="BP541" s="29" t="str">
        <f ca="1">IFERROR(__xludf.DUMMYFUNCTION("""COMPUTED_VALUE"""),"León")</f>
        <v>León</v>
      </c>
      <c r="BQ541" s="30" t="str">
        <f ca="1">IFERROR(__xludf.DUMMYFUNCTION("""COMPUTED_VALUE"""),"Urbano")</f>
        <v>Urbano</v>
      </c>
      <c r="BR541" s="30"/>
      <c r="BS541" s="30"/>
      <c r="BT541" s="30"/>
      <c r="BU541" s="30" t="str">
        <f ca="1">IFERROR(__xludf.DUMMYFUNCTION("""COMPUTED_VALUE"""),"No")</f>
        <v>No</v>
      </c>
      <c r="BV541" s="30" t="str">
        <f ca="1">IFERROR(__xludf.DUMMYFUNCTION("""COMPUTED_VALUE"""),"No")</f>
        <v>No</v>
      </c>
      <c r="BW541" s="30">
        <f ca="1">IFERROR(__xludf.DUMMYFUNCTION("""COMPUTED_VALUE"""),9)</f>
        <v>9</v>
      </c>
      <c r="BX541" s="30">
        <f ca="1">IFERROR(__xludf.DUMMYFUNCTION("""COMPUTED_VALUE"""),9)</f>
        <v>9</v>
      </c>
      <c r="BY541" s="30">
        <f ca="1">IFERROR(__xludf.DUMMYFUNCTION("""COMPUTED_VALUE"""),0)</f>
        <v>0</v>
      </c>
      <c r="BZ541" s="30"/>
      <c r="CA541" s="30" t="str">
        <f ca="1">IFERROR(__xludf.DUMMYFUNCTION("""COMPUTED_VALUE"""),"No")</f>
        <v>No</v>
      </c>
      <c r="CB541" s="30" t="str">
        <f ca="1">IFERROR(__xludf.DUMMYFUNCTION("""COMPUTED_VALUE"""),"No")</f>
        <v>No</v>
      </c>
      <c r="CC541" s="30" t="str">
        <f ca="1">IFERROR(__xludf.DUMMYFUNCTION("""COMPUTED_VALUE"""),"ea75bb5a")</f>
        <v>ea75bb5a</v>
      </c>
      <c r="CD541" s="29" t="str">
        <f ca="1">IFERROR(__xludf.DUMMYFUNCTION("""COMPUTED_VALUE"""),"Adultos (30 a 59 años)")</f>
        <v>Adultos (30 a 59 años)</v>
      </c>
      <c r="CE541" s="30" t="str">
        <f ca="1">IFERROR(__xludf.DUMMYFUNCTION("""COMPUTED_VALUE"""),"Mujer")</f>
        <v>Mujer</v>
      </c>
      <c r="CF541" s="30" t="str">
        <f ca="1">IFERROR(__xludf.DUMMYFUNCTION("""COMPUTED_VALUE"""),"Ninguno (Población General)")</f>
        <v>Ninguno (Población General)</v>
      </c>
      <c r="CG541" s="30">
        <f ca="1">IFERROR(__xludf.DUMMYFUNCTION("""COMPUTED_VALUE"""),11)</f>
        <v>11</v>
      </c>
      <c r="CJ541" s="29"/>
      <c r="CM541" s="30" t="str">
        <f ca="1">IFERROR(__xludf.DUMMYFUNCTION("""COMPUTED_VALUE"""),"Salamanca")</f>
        <v>Salamanca</v>
      </c>
      <c r="CN541" s="32" t="e">
        <f ca="1"/>
        <v>#NAME?</v>
      </c>
      <c r="CO541" s="32" t="e">
        <f ca="1"/>
        <v>#NAME?</v>
      </c>
      <c r="CP541" s="32" t="e">
        <f ca="1"/>
        <v>#NAME?</v>
      </c>
      <c r="CQ541" s="32" t="e">
        <f ca="1"/>
        <v>#NAME?</v>
      </c>
      <c r="CR541" s="30" t="e">
        <f ca="1"/>
        <v>#NAME?</v>
      </c>
      <c r="CS541" s="30" t="str">
        <f ca="1">IFERROR(__xludf.DUMMYFUNCTION("""COMPUTED_VALUE"""),"Ninguno (Población General), Ninguno (Población General)")</f>
        <v>Ninguno (Población General), Ninguno (Población General)</v>
      </c>
    </row>
    <row r="542" spans="1:97" ht="13">
      <c r="A542" s="29" t="str">
        <f ca="1">IFERROR(__xludf.DUMMYFUNCTION("""COMPUTED_VALUE"""),"ACT-SCRU82988")</f>
        <v>ACT-SCRU82988</v>
      </c>
      <c r="B542" s="30" t="str">
        <f ca="1">IFERROR(__xludf.DUMMYFUNCTION("""COMPUTED_VALUE"""),"SC-261006-163532")</f>
        <v>SC-261006-163532</v>
      </c>
      <c r="C542" s="62">
        <f ca="1">IFERROR(__xludf.DUMMYFUNCTION("""COMPUTED_VALUE"""),46301.6913425925)</f>
        <v>46301.691342592501</v>
      </c>
      <c r="D542" s="30">
        <f ca="1">IFERROR(__xludf.DUMMYFUNCTION("""COMPUTED_VALUE"""),91)</f>
        <v>91</v>
      </c>
      <c r="E542" s="30" t="str">
        <f ca="1">IFERROR(__xludf.DUMMYFUNCTION("""COMPUTED_VALUE"""),"PB3572")</f>
        <v>PB3572</v>
      </c>
      <c r="F54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42"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542" s="30" t="str">
        <f ca="1">IFERROR(__xludf.DUMMYFUNCTION("""COMPUTED_VALUE"""),"SUBSECRETARÍA DE DESARROLLO Y PROMOCIÓN ARTÍSTICA Y CULTURAL")</f>
        <v>SUBSECRETARÍA DE DESARROLLO Y PROMOCIÓN ARTÍSTICA Y CULTURAL</v>
      </c>
      <c r="I542" s="34" t="str">
        <f ca="1">IFERROR(__xludf.DUMMYFUNCTION("""COMPUTED_VALUE"""),"DIRECCIÓN GENERAL DE MUSEOS, ARTES VISUALES Y EXPOSICIONES")</f>
        <v>DIRECCIÓN GENERAL DE MUSEOS, ARTES VISUALES Y EXPOSICIONES</v>
      </c>
      <c r="J542" s="30" t="str">
        <f ca="1">IFERROR(__xludf.DUMMYFUNCTION("""COMPUTED_VALUE"""),"Número de Exposiciones inauguradas")</f>
        <v>Número de Exposiciones inauguradas</v>
      </c>
      <c r="K542" s="30">
        <f ca="1">IFERROR(__xludf.DUMMYFUNCTION("""COMPUTED_VALUE"""),28)</f>
        <v>28</v>
      </c>
      <c r="L542" s="30" t="str">
        <f ca="1">IFERROR(__xludf.DUMMYFUNCTION("""COMPUTED_VALUE"""),"Artística")</f>
        <v>Artística</v>
      </c>
      <c r="M542" s="30" t="str">
        <f ca="1">IFERROR(__xludf.DUMMYFUNCTION("""COMPUTED_VALUE"""),"Inauguración de exposiciones: Programa de Artes Visuales de la edición 54 del festival Internacional Cervantino")</f>
        <v>Inauguración de exposiciones: Programa de Artes Visuales de la edición 54 del festival Internacional Cervantino</v>
      </c>
      <c r="N542" s="30" t="str">
        <f ca="1">IFERROR(__xludf.DUMMYFUNCTION("""COMPUTED_VALUE"""),"La edición 54 del Programa de Artes Visuales está dedicado a abordar las diferentes miradas sobre el territorio, no visto únicamente como un espacio físico sino también como un hábitat político, social, natural y cultural que se vive desde lo espacial, lo"&amp;" íntimo y lo colectivo.   El Programa de Artes Visuales de la edición 54 del Festival Internacional Cervantino, se conforma por 49 exposiciones en 8 municipios del Estado, con la participación de 14 instituciones aliadas en 35 recintos; con 30 proyectos e"&amp;"xpositivos que cuentan con participación de talento guanajuatense, con más de 100 artistas individuales y 8 colectivos originarios del Estado de Guanajuato. Asimismo, contamos con presencia de los estados de Jalisco, Ciudad de México, Nuevo León y de país"&amp;"es como Colombia, Estados Unidos, y de artistas, creadoras y creadores originarios o con vinculación a Francia, país invitado de honor en esta edición, a la cual se suma también la participación de espacios autogestivos del Estado con un total de 35 recin"&amp;"tos, aumentando su participación en 2025 de un total de 27 espacios, y cuyos proyectos expositivos estarán vigentes durante las fechas del Festival Internacional Cervantino.  En los espacios de la Dirección General de Museos, Artes Visuales y Exposiciones"&amp;" del Circuito Guanajuato de la Seretaría de Cultura se inauguraron 13 proyectos: Herbario del reino artificial. Sami E. Nicolle, Terra Nova. Pintura de Paisaje de la colección BBVA, Manuel Lozano. Topografías digitales, Un susurro de luz en el jardín, La "&amp;"tirra que dejamos. Andrés Gutiérrez, Miradas Convergentes. Luis Nishizawa, Puntos suspendidos en el espacio, Retazos de vida, La devoción ignaciana en Guanajuato, RE/vuelta. Héctor Zámora, Escenario desplegable: entre bípedos y cuadrúpedos, Periplo: Los P"&amp;"ortafolios Artes Gráficas y Fragmentos y complicidades.")</f>
        <v>La edición 54 del Programa de Artes Visuales está dedicado a abordar las diferentes miradas sobre el territorio, no visto únicamente como un espacio físico sino también como un hábitat político, social, natural y cultural que se vive desde lo espacial, lo íntimo y lo colectivo.   El Programa de Artes Visuales de la edición 54 del Festival Internacional Cervantino, se conforma por 49 exposiciones en 8 municipios del Estado, con la participación de 14 instituciones aliadas en 35 recintos; con 30 proyectos expositivos que cuentan con participación de talento guanajuatense, con más de 100 artistas individuales y 8 colectivos originarios del Estado de Guanajuato. Asimismo, contamos con presencia de los estados de Jalisco, Ciudad de México, Nuevo León y de países como Colombia, Estados Unidos, y de artistas, creadoras y creadores originarios o con vinculación a Francia, país invitado de honor en esta edición, a la cual se suma también la participación de espacios autogestivos del Estado con un total de 35 recintos, aumentando su participación en 2025 de un total de 27 espacios, y cuyos proyectos expositivos estarán vigentes durante las fechas del Festival Internacional Cervantino.  En los espacios de la Dirección General de Museos, Artes Visuales y Exposiciones del Circuito Guanajuato de la Seretaría de Cultura se inauguraron 13 proyectos: Herbario del reino artificial. Sami E. Nicolle, Terra Nova. Pintura de Paisaje de la colección BBVA, Manuel Lozano. Topografías digitales, Un susurro de luz en el jardín, La tirra que dejamos. Andrés Gutiérrez, Miradas Convergentes. Luis Nishizawa, Puntos suspendidos en el espacio, Retazos de vida, La devoción ignaciana en Guanajuato, RE/vuelta. Héctor Zámora, Escenario desplegable: entre bípedos y cuadrúpedos, Periplo: Los Portafolios Artes Gráficas y Fragmentos y complicidades.</v>
      </c>
      <c r="O542" s="30" t="str">
        <f ca="1">IFERROR(__xludf.DUMMYFUNCTION("""COMPUTED_VALUE"""),"Otras")</f>
        <v>Otras</v>
      </c>
      <c r="P542" s="33">
        <f ca="1">IFERROR(__xludf.DUMMYFUNCTION("""COMPUTED_VALUE"""),46298)</f>
        <v>46298</v>
      </c>
      <c r="Q542" s="33">
        <f ca="1">IFERROR(__xludf.DUMMYFUNCTION("""COMPUTED_VALUE"""),46480)</f>
        <v>46480</v>
      </c>
      <c r="R542" s="30">
        <f ca="1">IFERROR(__xludf.DUMMYFUNCTION("""COMPUTED_VALUE"""),1)</f>
        <v>1</v>
      </c>
      <c r="S542" s="30" t="str">
        <f ca="1">IFERROR(__xludf.DUMMYFUNCTION("""COMPUTED_VALUE"""),"Artes visuales")</f>
        <v>Artes visuales</v>
      </c>
      <c r="T542" s="30" t="str">
        <f ca="1">IFERROR(__xludf.DUMMYFUNCTION("""COMPUTED_VALUE"""),"Pintura")</f>
        <v>Pintura</v>
      </c>
      <c r="U542" s="30" t="str">
        <f ca="1">IFERROR(__xludf.DUMMYFUNCTION("""COMPUTED_VALUE"""),"Exposición")</f>
        <v>Exposición</v>
      </c>
      <c r="V542" s="30" t="str">
        <f ca="1">IFERROR(__xludf.DUMMYFUNCTION("""COMPUTED_VALUE"""),"Ninguna")</f>
        <v>Ninguna</v>
      </c>
      <c r="W542" s="30" t="str">
        <f ca="1">IFERROR(__xludf.DUMMYFUNCTION("""COMPUTED_VALUE"""),"Presencial")</f>
        <v>Presencial</v>
      </c>
      <c r="X542" s="30" t="str">
        <f ca="1">IFERROR(__xludf.DUMMYFUNCTION("""COMPUTED_VALUE"""),"Espacio a Cargo de la Secretaría")</f>
        <v>Espacio a Cargo de la Secretaría</v>
      </c>
      <c r="Y542" s="30" t="str">
        <f ca="1">IFERROR(__xludf.DUMMYFUNCTION("""COMPUTED_VALUE"""),"Museo Palacio de los Poderes")</f>
        <v>Museo Palacio de los Poderes</v>
      </c>
      <c r="Z542" s="30"/>
      <c r="AA542" s="30"/>
      <c r="AB542" s="30" t="b">
        <f ca="1">IFERROR(__xludf.DUMMYFUNCTION("""COMPUTED_VALUE"""),FALSE)</f>
        <v>0</v>
      </c>
      <c r="AC542" s="30"/>
      <c r="AD542" s="30" t="b">
        <f ca="1">IFERROR(__xludf.DUMMYFUNCTION("""COMPUTED_VALUE"""),TRUE)</f>
        <v>1</v>
      </c>
      <c r="AE542" s="30">
        <f ca="1">IFERROR(__xludf.DUMMYFUNCTION("""COMPUTED_VALUE"""),5)</f>
        <v>5</v>
      </c>
      <c r="AF542" s="30" t="b">
        <f ca="1">IFERROR(__xludf.DUMMYFUNCTION("""COMPUTED_VALUE"""),FALSE)</f>
        <v>0</v>
      </c>
      <c r="AG542" s="30"/>
      <c r="AH542" s="30" t="str">
        <f ca="1">IFERROR(__xludf.DUMMYFUNCTION("""COMPUTED_VALUE"""),"Sin costo")</f>
        <v>Sin costo</v>
      </c>
      <c r="AI542" s="30"/>
      <c r="AJ542" s="30"/>
      <c r="AK542" s="30"/>
      <c r="AL542" s="30" t="str">
        <f ca="1">IFERROR(__xludf.DUMMYFUNCTION("""COMPUTED_VALUE"""),"ccardonav@guanajuato.gob.mx")</f>
        <v>ccardonav@guanajuato.gob.mx</v>
      </c>
      <c r="AM542" s="30" t="str">
        <f ca="1">IFERROR(__xludf.DUMMYFUNCTION("""COMPUTED_VALUE"""),"Creación de la Secretaría de Cultura, con una visión social de la política cultural.")</f>
        <v>Creación de la Secretaría de Cultura, con una visión social de la política cultural.</v>
      </c>
      <c r="AN542" s="30" t="str">
        <f ca="1">IFERROR(__xludf.DUMMYFUNCTION("""COMPUTED_VALUE"""),"2 Igualdad")</f>
        <v>2 Igualdad</v>
      </c>
      <c r="AO542" s="30" t="str">
        <f ca="1">IFERROR(__xludf.DUMMYFUNCTION("""COMPUTED_VALUE"""),"2.4 Reducir brechas de desigualdad")</f>
        <v>2.4 Reducir brechas de desigualdad</v>
      </c>
      <c r="AP542" s="30" t="str">
        <f ca="1">IFERROR(__xludf.DUMMYFUNCTION("""COMPUTED_VALUE"""),"2.4.3 Descentralización de la oferta cultural")</f>
        <v>2.4.3 Descentralización de la oferta cultural</v>
      </c>
      <c r="AQ542" s="30" t="str">
        <f ca="1">IFERROR(__xludf.DUMMYFUNCTION("""COMPUTED_VALUE"""),"2.4.3.3 Incidir en el involucramiento de las personas con el ecosistema cultural")</f>
        <v>2.4.3.3 Incidir en el involucramiento de las personas con el ecosistema cultural</v>
      </c>
      <c r="AR542" s="30" t="str">
        <f ca="1">IFERROR(__xludf.DUMMYFUNCTION("""COMPUTED_VALUE"""),"Ninguno")</f>
        <v>Ninguno</v>
      </c>
      <c r="AS542" s="30"/>
      <c r="AT542" s="30" t="str">
        <f ca="1">IFERROR(__xludf.DUMMYFUNCTION("""COMPUTED_VALUE"""),"Fortalecimiento de la participación ciudadana y la mediación cultural")</f>
        <v>Fortalecimiento de la participación ciudadana y la mediación cultural</v>
      </c>
      <c r="AU542" s="30" t="str">
        <f ca="1">IFERROR(__xludf.DUMMYFUNCTION("""COMPUTED_VALUE"""),"Impulso a la ampliación de la oferta cultural en los territorios.")</f>
        <v>Impulso a la ampliación de la oferta cultural en los territorios.</v>
      </c>
      <c r="AV54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42" s="30" t="str">
        <f ca="1">IFERROR(__xludf.DUMMYFUNCTION("""COMPUTED_VALUE"""),"Incrementar en 25% la oferta cultural realizada en los municipios.")</f>
        <v>Incrementar en 25% la oferta cultural realizada en los municipios.</v>
      </c>
      <c r="AX542" s="30" t="str">
        <f ca="1">IFERROR(__xludf.DUMMYFUNCTION("""COMPUTED_VALUE"""),"Exposición")</f>
        <v>Exposición</v>
      </c>
      <c r="AY542" s="30" t="str">
        <f ca="1">IFERROR(__xludf.DUMMYFUNCTION("""COMPUTED_VALUE"""),"Circulación / Exhibición")</f>
        <v>Circulación / Exhibición</v>
      </c>
      <c r="AZ542" s="30"/>
      <c r="BA542" s="30"/>
      <c r="BB542" s="30"/>
      <c r="BC542" s="30">
        <f ca="1">IFERROR(__xludf.DUMMYFUNCTION("""COMPUTED_VALUE"""),0)</f>
        <v>0</v>
      </c>
      <c r="BD542" s="30"/>
      <c r="BE542" s="30"/>
      <c r="BF542" s="30" t="b">
        <f ca="1">IFERROR(__xludf.DUMMYFUNCTION("""COMPUTED_VALUE"""),TRUE)</f>
        <v>1</v>
      </c>
      <c r="BG542" s="30"/>
      <c r="BH542" s="30"/>
      <c r="BI542" s="30"/>
      <c r="BJ542" s="30"/>
      <c r="BK542" s="30"/>
      <c r="BL542" s="30"/>
      <c r="BM542" s="30" t="str">
        <f ca="1">IFERROR(__xludf.DUMMYFUNCTION("""COMPUTED_VALUE"""),"Sí")</f>
        <v>Sí</v>
      </c>
      <c r="BN542" s="30" t="str">
        <f ca="1">IFERROR(__xludf.DUMMYFUNCTION("""COMPUTED_VALUE"""),"Acompañamiento Técnico")</f>
        <v>Acompañamiento Técnico</v>
      </c>
      <c r="BO542" s="30" t="str">
        <f ca="1">IFERROR(__xludf.DUMMYFUNCTION("""COMPUTED_VALUE"""),"587ea571")</f>
        <v>587ea571</v>
      </c>
      <c r="BP542" s="29" t="str">
        <f ca="1">IFERROR(__xludf.DUMMYFUNCTION("""COMPUTED_VALUE"""),"Salamanca")</f>
        <v>Salamanca</v>
      </c>
      <c r="BQ542" s="30" t="str">
        <f ca="1">IFERROR(__xludf.DUMMYFUNCTION("""COMPUTED_VALUE"""),"Urbano")</f>
        <v>Urbano</v>
      </c>
      <c r="BR542" s="30">
        <f ca="1">IFERROR(__xludf.DUMMYFUNCTION("""COMPUTED_VALUE"""),181)</f>
        <v>181</v>
      </c>
      <c r="BS542" s="30" t="str">
        <f ca="1">IFERROR(__xludf.DUMMYFUNCTION("""COMPUTED_VALUE"""),"Salamanca")</f>
        <v>Salamanca</v>
      </c>
      <c r="BT542" s="30"/>
      <c r="BU542" s="30" t="str">
        <f ca="1">IFERROR(__xludf.DUMMYFUNCTION("""COMPUTED_VALUE"""),"Si")</f>
        <v>Si</v>
      </c>
      <c r="BV542" s="30" t="str">
        <f ca="1">IFERROR(__xludf.DUMMYFUNCTION("""COMPUTED_VALUE"""),"Si")</f>
        <v>Si</v>
      </c>
      <c r="BW542" s="30">
        <f ca="1">IFERROR(__xludf.DUMMYFUNCTION("""COMPUTED_VALUE"""),16)</f>
        <v>16</v>
      </c>
      <c r="BX542" s="30">
        <f ca="1">IFERROR(__xludf.DUMMYFUNCTION("""COMPUTED_VALUE"""),1)</f>
        <v>1</v>
      </c>
      <c r="BY542" s="30">
        <f ca="1">IFERROR(__xludf.DUMMYFUNCTION("""COMPUTED_VALUE"""),15)</f>
        <v>15</v>
      </c>
      <c r="BZ542" s="30" t="str">
        <f ca="1">IFERROR(__xludf.DUMMYFUNCTION("""COMPUTED_VALUE"""),"Salamanca")</f>
        <v>Salamanca</v>
      </c>
      <c r="CA542" s="30" t="str">
        <f ca="1">IFERROR(__xludf.DUMMYFUNCTION("""COMPUTED_VALUE"""),"No")</f>
        <v>No</v>
      </c>
      <c r="CB542" s="30" t="str">
        <f ca="1">IFERROR(__xludf.DUMMYFUNCTION("""COMPUTED_VALUE"""),"No")</f>
        <v>No</v>
      </c>
      <c r="CC542" s="30" t="str">
        <f ca="1">IFERROR(__xludf.DUMMYFUNCTION("""COMPUTED_VALUE"""),"167ad4aa")</f>
        <v>167ad4aa</v>
      </c>
      <c r="CD542" s="29" t="str">
        <f ca="1">IFERROR(__xludf.DUMMYFUNCTION("""COMPUTED_VALUE"""),"Adultos Mayores (60 años o más)")</f>
        <v>Adultos Mayores (60 años o más)</v>
      </c>
      <c r="CE542" s="30" t="str">
        <f ca="1">IFERROR(__xludf.DUMMYFUNCTION("""COMPUTED_VALUE"""),"No se cuenta con el dato")</f>
        <v>No se cuenta con el dato</v>
      </c>
      <c r="CF542" s="30" t="str">
        <f ca="1">IFERROR(__xludf.DUMMYFUNCTION("""COMPUTED_VALUE"""),"Ninguno (Población General)")</f>
        <v>Ninguno (Población General)</v>
      </c>
      <c r="CG542" s="30">
        <f ca="1">IFERROR(__xludf.DUMMYFUNCTION("""COMPUTED_VALUE"""),4)</f>
        <v>4</v>
      </c>
      <c r="CJ542" s="29"/>
      <c r="CM542" s="30" t="str">
        <f ca="1">IFERROR(__xludf.DUMMYFUNCTION("""COMPUTED_VALUE"""),"Salamanca")</f>
        <v>Salamanca</v>
      </c>
      <c r="CN542" s="32" t="e">
        <f ca="1"/>
        <v>#NAME?</v>
      </c>
      <c r="CO542" s="32" t="e">
        <f ca="1"/>
        <v>#NAME?</v>
      </c>
      <c r="CP542" s="32" t="e">
        <f ca="1"/>
        <v>#NAME?</v>
      </c>
      <c r="CQ542" s="32" t="e">
        <f ca="1"/>
        <v>#NAME?</v>
      </c>
      <c r="CR542" s="30" t="e">
        <f ca="1"/>
        <v>#NAME?</v>
      </c>
      <c r="CS542"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543" spans="1:97" ht="13">
      <c r="A543" s="29" t="str">
        <f ca="1">IFERROR(__xludf.DUMMYFUNCTION("""COMPUTED_VALUE"""),"ACT-SCIR27388")</f>
        <v>ACT-SCIR27388</v>
      </c>
      <c r="B543" s="30" t="str">
        <f ca="1">IFERROR(__xludf.DUMMYFUNCTION("""COMPUTED_VALUE"""),"SC-261007-104630")</f>
        <v>SC-261007-104630</v>
      </c>
      <c r="C543" s="62">
        <f ca="1">IFERROR(__xludf.DUMMYFUNCTION("""COMPUTED_VALUE"""),46302.4489583333)</f>
        <v>46302.448958333298</v>
      </c>
      <c r="D543" s="30">
        <f ca="1">IFERROR(__xludf.DUMMYFUNCTION("""COMPUTED_VALUE"""),92)</f>
        <v>92</v>
      </c>
      <c r="E543" s="30" t="str">
        <f ca="1">IFERROR(__xludf.DUMMYFUNCTION("""COMPUTED_VALUE"""),"PB3572")</f>
        <v>PB3572</v>
      </c>
      <c r="F54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4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43" s="30" t="str">
        <f ca="1">IFERROR(__xludf.DUMMYFUNCTION("""COMPUTED_VALUE"""),"SUBSECRETARÍA DE DESARROLLO Y PROMOCIÓN ARTÍSTICA Y CULTURAL")</f>
        <v>SUBSECRETARÍA DE DESARROLLO Y PROMOCIÓN ARTÍSTICA Y CULTURAL</v>
      </c>
      <c r="I543" s="34" t="str">
        <f ca="1">IFERROR(__xludf.DUMMYFUNCTION("""COMPUTED_VALUE"""),"DIRECCIÓN GENERAL DE MUSEOS, ARTES VISUALES Y EXPOSICIONES")</f>
        <v>DIRECCIÓN GENERAL DE MUSEOS, ARTES VISUALES Y EXPOSICIONES</v>
      </c>
      <c r="J543" s="30" t="str">
        <f ca="1">IFERROR(__xludf.DUMMYFUNCTION("""COMPUTED_VALUE"""),"Número de Actividades realizadas")</f>
        <v>Número de Actividades realizadas</v>
      </c>
      <c r="K543" s="30">
        <f ca="1">IFERROR(__xludf.DUMMYFUNCTION("""COMPUTED_VALUE"""),800)</f>
        <v>800</v>
      </c>
      <c r="L543" s="30" t="str">
        <f ca="1">IFERROR(__xludf.DUMMYFUNCTION("""COMPUTED_VALUE"""),"Cultural")</f>
        <v>Cultural</v>
      </c>
      <c r="M543" s="30" t="str">
        <f ca="1">IFERROR(__xludf.DUMMYFUNCTION("""COMPUTED_VALUE"""),"Visita guiada libre.")</f>
        <v>Visita guiada libre.</v>
      </c>
      <c r="N543" s="30" t="str">
        <f ca="1">IFERROR(__xludf.DUMMYFUNCTION("""COMPUTED_VALUE"""),"Recorrido guiado por el museo")</f>
        <v>Recorrido guiado por el museo</v>
      </c>
      <c r="O543" s="30" t="str">
        <f ca="1">IFERROR(__xludf.DUMMYFUNCTION("""COMPUTED_VALUE"""),"Única")</f>
        <v>Única</v>
      </c>
      <c r="P543" s="33">
        <f ca="1">IFERROR(__xludf.DUMMYFUNCTION("""COMPUTED_VALUE"""),46273)</f>
        <v>46273</v>
      </c>
      <c r="Q543" s="33">
        <f ca="1">IFERROR(__xludf.DUMMYFUNCTION("""COMPUTED_VALUE"""),46273)</f>
        <v>46273</v>
      </c>
      <c r="R543" s="30">
        <f ca="1">IFERROR(__xludf.DUMMYFUNCTION("""COMPUTED_VALUE"""),1)</f>
        <v>1</v>
      </c>
      <c r="S543" s="30" t="str">
        <f ca="1">IFERROR(__xludf.DUMMYFUNCTION("""COMPUTED_VALUE"""),"Cultura comunitaria")</f>
        <v>Cultura comunitaria</v>
      </c>
      <c r="T543" s="30" t="str">
        <f ca="1">IFERROR(__xludf.DUMMYFUNCTION("""COMPUTED_VALUE"""),"Mediación cultural")</f>
        <v>Mediación cultural</v>
      </c>
      <c r="U543" s="30" t="str">
        <f ca="1">IFERROR(__xludf.DUMMYFUNCTION("""COMPUTED_VALUE"""),"Visitas guiadas")</f>
        <v>Visitas guiadas</v>
      </c>
      <c r="V543" s="30" t="str">
        <f ca="1">IFERROR(__xludf.DUMMYFUNCTION("""COMPUTED_VALUE"""),"Ninguna")</f>
        <v>Ninguna</v>
      </c>
      <c r="W543" s="30" t="str">
        <f ca="1">IFERROR(__xludf.DUMMYFUNCTION("""COMPUTED_VALUE"""),"Presencial")</f>
        <v>Presencial</v>
      </c>
      <c r="X543" s="30" t="str">
        <f ca="1">IFERROR(__xludf.DUMMYFUNCTION("""COMPUTED_VALUE"""),"Espacio a Cargo de la Secretaría")</f>
        <v>Espacio a Cargo de la Secretaría</v>
      </c>
      <c r="Y543" s="30" t="str">
        <f ca="1">IFERROR(__xludf.DUMMYFUNCTION("""COMPUTED_VALUE"""),"Museo de Arte e Historia de Guanajuato, sala Feliciano Peña")</f>
        <v>Museo de Arte e Historia de Guanajuato, sala Feliciano Peña</v>
      </c>
      <c r="Z543" s="30"/>
      <c r="AA543" s="30"/>
      <c r="AB543" s="30" t="b">
        <f ca="1">IFERROR(__xludf.DUMMYFUNCTION("""COMPUTED_VALUE"""),FALSE)</f>
        <v>0</v>
      </c>
      <c r="AC543" s="30"/>
      <c r="AD543" s="30" t="b">
        <f ca="1">IFERROR(__xludf.DUMMYFUNCTION("""COMPUTED_VALUE"""),FALSE)</f>
        <v>0</v>
      </c>
      <c r="AE543" s="30"/>
      <c r="AF543" s="30" t="b">
        <f ca="1">IFERROR(__xludf.DUMMYFUNCTION("""COMPUTED_VALUE"""),FALSE)</f>
        <v>0</v>
      </c>
      <c r="AG543" s="30"/>
      <c r="AH543" s="30" t="str">
        <f ca="1">IFERROR(__xludf.DUMMYFUNCTION("""COMPUTED_VALUE"""),"Sin costo")</f>
        <v>Sin costo</v>
      </c>
      <c r="AI543" s="30"/>
      <c r="AJ543" s="30"/>
      <c r="AK543" s="30"/>
      <c r="AL543" s="30" t="str">
        <f ca="1">IFERROR(__xludf.DUMMYFUNCTION("""COMPUTED_VALUE"""),"ccardonav@guanajuato.gob.mx")</f>
        <v>ccardonav@guanajuato.gob.mx</v>
      </c>
      <c r="AM543" s="30" t="str">
        <f ca="1">IFERROR(__xludf.DUMMYFUNCTION("""COMPUTED_VALUE"""),"Arraigo y empoderamiento cultural de comunidades.")</f>
        <v>Arraigo y empoderamiento cultural de comunidades.</v>
      </c>
      <c r="AN543" s="30" t="str">
        <f ca="1">IFERROR(__xludf.DUMMYFUNCTION("""COMPUTED_VALUE"""),"2 Igualdad")</f>
        <v>2 Igualdad</v>
      </c>
      <c r="AO543" s="30" t="str">
        <f ca="1">IFERROR(__xludf.DUMMYFUNCTION("""COMPUTED_VALUE"""),"2.4 Reducir brechas de desigualdad")</f>
        <v>2.4 Reducir brechas de desigualdad</v>
      </c>
      <c r="AP543" s="30" t="str">
        <f ca="1">IFERROR(__xludf.DUMMYFUNCTION("""COMPUTED_VALUE"""),"2.4.3 Descentralización de la oferta cultural")</f>
        <v>2.4.3 Descentralización de la oferta cultural</v>
      </c>
      <c r="AQ543" s="30" t="str">
        <f ca="1">IFERROR(__xludf.DUMMYFUNCTION("""COMPUTED_VALUE"""),"2.4.3.3 Incidir en el involucramiento de las personas con el ecosistema cultural")</f>
        <v>2.4.3.3 Incidir en el involucramiento de las personas con el ecosistema cultural</v>
      </c>
      <c r="AR543" s="30" t="str">
        <f ca="1">IFERROR(__xludf.DUMMYFUNCTION("""COMPUTED_VALUE"""),"Cooperación")</f>
        <v>Cooperación</v>
      </c>
      <c r="AS543" s="30"/>
      <c r="AT543" s="30" t="str">
        <f ca="1">IFERROR(__xludf.DUMMYFUNCTION("""COMPUTED_VALUE"""),"Fortalecimiento de la participación ciudadana y la mediación cultural")</f>
        <v>Fortalecimiento de la participación ciudadana y la mediación cultural</v>
      </c>
      <c r="AU543" s="30" t="str">
        <f ca="1">IFERROR(__xludf.DUMMYFUNCTION("""COMPUTED_VALUE"""),"Impulso a la ampliación de la oferta cultural en los territorios.")</f>
        <v>Impulso a la ampliación de la oferta cultural en los territorios.</v>
      </c>
      <c r="AV54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43" s="30" t="str">
        <f ca="1">IFERROR(__xludf.DUMMYFUNCTION("""COMPUTED_VALUE"""),"Incrementar en 25% la oferta cultural realizada en los municipios.")</f>
        <v>Incrementar en 25% la oferta cultural realizada en los municipios.</v>
      </c>
      <c r="AX543" s="30" t="str">
        <f ca="1">IFERROR(__xludf.DUMMYFUNCTION("""COMPUTED_VALUE"""),"Visitas guiadas")</f>
        <v>Visitas guiadas</v>
      </c>
      <c r="AY543" s="30" t="str">
        <f ca="1">IFERROR(__xludf.DUMMYFUNCTION("""COMPUTED_VALUE"""),"Mediación")</f>
        <v>Mediación</v>
      </c>
      <c r="AZ543" s="30"/>
      <c r="BA543" s="30"/>
      <c r="BB543" s="30"/>
      <c r="BC543" s="30">
        <f ca="1">IFERROR(__xludf.DUMMYFUNCTION("""COMPUTED_VALUE"""),0)</f>
        <v>0</v>
      </c>
      <c r="BD543" s="30"/>
      <c r="BE543" s="30"/>
      <c r="BF543" s="30" t="b">
        <f ca="1">IFERROR(__xludf.DUMMYFUNCTION("""COMPUTED_VALUE"""),FALSE)</f>
        <v>0</v>
      </c>
      <c r="BG543" s="30"/>
      <c r="BH543" s="30"/>
      <c r="BI543" s="30"/>
      <c r="BJ543" s="30"/>
      <c r="BK543" s="30"/>
      <c r="BL543" s="30"/>
      <c r="BM543" s="30" t="str">
        <f ca="1">IFERROR(__xludf.DUMMYFUNCTION("""COMPUTED_VALUE"""),"No")</f>
        <v>No</v>
      </c>
      <c r="BN543" s="30"/>
      <c r="BO543" s="30" t="str">
        <f ca="1">IFERROR(__xludf.DUMMYFUNCTION("""COMPUTED_VALUE"""),"3da4db74")</f>
        <v>3da4db74</v>
      </c>
      <c r="BP543" s="29" t="str">
        <f ca="1">IFERROR(__xludf.DUMMYFUNCTION("""COMPUTED_VALUE"""),"Salamanca")</f>
        <v>Salamanca</v>
      </c>
      <c r="BQ543" s="30" t="str">
        <f ca="1">IFERROR(__xludf.DUMMYFUNCTION("""COMPUTED_VALUE"""),"Urbano")</f>
        <v>Urbano</v>
      </c>
      <c r="BR543" s="30">
        <f ca="1">IFERROR(__xludf.DUMMYFUNCTION("""COMPUTED_VALUE"""),181)</f>
        <v>181</v>
      </c>
      <c r="BS543" s="30" t="str">
        <f ca="1">IFERROR(__xludf.DUMMYFUNCTION("""COMPUTED_VALUE"""),"Salamanca")</f>
        <v>Salamanca</v>
      </c>
      <c r="BT543" s="30"/>
      <c r="BU543" s="30" t="str">
        <f ca="1">IFERROR(__xludf.DUMMYFUNCTION("""COMPUTED_VALUE"""),"Si")</f>
        <v>Si</v>
      </c>
      <c r="BV543" s="30" t="str">
        <f ca="1">IFERROR(__xludf.DUMMYFUNCTION("""COMPUTED_VALUE"""),"Si")</f>
        <v>Si</v>
      </c>
      <c r="BW543" s="30">
        <f ca="1">IFERROR(__xludf.DUMMYFUNCTION("""COMPUTED_VALUE"""),37)</f>
        <v>37</v>
      </c>
      <c r="BX543" s="30">
        <f ca="1">IFERROR(__xludf.DUMMYFUNCTION("""COMPUTED_VALUE"""),37)</f>
        <v>37</v>
      </c>
      <c r="BY543" s="30">
        <f ca="1">IFERROR(__xludf.DUMMYFUNCTION("""COMPUTED_VALUE"""),0)</f>
        <v>0</v>
      </c>
      <c r="BZ543" s="30" t="str">
        <f ca="1">IFERROR(__xludf.DUMMYFUNCTION("""COMPUTED_VALUE"""),"Salamanca")</f>
        <v>Salamanca</v>
      </c>
      <c r="CA543" s="30" t="str">
        <f ca="1">IFERROR(__xludf.DUMMYFUNCTION("""COMPUTED_VALUE"""),"No")</f>
        <v>No</v>
      </c>
      <c r="CB543" s="30" t="str">
        <f ca="1">IFERROR(__xludf.DUMMYFUNCTION("""COMPUTED_VALUE"""),"No")</f>
        <v>No</v>
      </c>
      <c r="CC543" s="30" t="str">
        <f ca="1">IFERROR(__xludf.DUMMYFUNCTION("""COMPUTED_VALUE"""),"87abe3c1")</f>
        <v>87abe3c1</v>
      </c>
      <c r="CD543" s="29" t="str">
        <f ca="1">IFERROR(__xludf.DUMMYFUNCTION("""COMPUTED_VALUE"""),"Niñas y Niños (6 a 12 años)")</f>
        <v>Niñas y Niños (6 a 12 años)</v>
      </c>
      <c r="CE543" s="30" t="str">
        <f ca="1">IFERROR(__xludf.DUMMYFUNCTION("""COMPUTED_VALUE"""),"No se cuenta con el dato")</f>
        <v>No se cuenta con el dato</v>
      </c>
      <c r="CF543" s="30" t="str">
        <f ca="1">IFERROR(__xludf.DUMMYFUNCTION("""COMPUTED_VALUE"""),"Ninguno (Población General)")</f>
        <v>Ninguno (Población General)</v>
      </c>
      <c r="CG543" s="30">
        <f ca="1">IFERROR(__xludf.DUMMYFUNCTION("""COMPUTED_VALUE"""),3)</f>
        <v>3</v>
      </c>
      <c r="CJ543" s="29"/>
      <c r="CM543" s="30" t="str">
        <f ca="1">IFERROR(__xludf.DUMMYFUNCTION("""COMPUTED_VALUE"""),"Salamanca")</f>
        <v>Salamanca</v>
      </c>
      <c r="CN543" s="32" t="e">
        <f ca="1"/>
        <v>#NAME?</v>
      </c>
      <c r="CO543" s="32" t="e">
        <f ca="1"/>
        <v>#NAME?</v>
      </c>
      <c r="CP543" s="32" t="e">
        <f ca="1"/>
        <v>#NAME?</v>
      </c>
      <c r="CQ543" s="32" t="e">
        <f ca="1"/>
        <v>#NAME?</v>
      </c>
      <c r="CR543" s="30" t="e">
        <f ca="1"/>
        <v>#NAME?</v>
      </c>
      <c r="CS543" s="30" t="str">
        <f ca="1">IFERROR(__xludf.DUMMYFUNCTION("""COMPUTED_VALUE"""),"Ninguno (Población General), Ninguno (Población General), Ninguno (Población General)")</f>
        <v>Ninguno (Población General), Ninguno (Población General), Ninguno (Población General)</v>
      </c>
    </row>
    <row r="544" spans="1:97" ht="13">
      <c r="A544" s="29" t="str">
        <f ca="1">IFERROR(__xludf.DUMMYFUNCTION("""COMPUTED_VALUE"""),"ACT-SCUZ23637")</f>
        <v>ACT-SCUZ23637</v>
      </c>
      <c r="B544" s="30" t="str">
        <f ca="1">IFERROR(__xludf.DUMMYFUNCTION("""COMPUTED_VALUE"""),"SC-261007-114157")</f>
        <v>SC-261007-114157</v>
      </c>
      <c r="C544" s="62">
        <f ca="1">IFERROR(__xludf.DUMMYFUNCTION("""COMPUTED_VALUE"""),46302.4874652777)</f>
        <v>46302.4874652777</v>
      </c>
      <c r="D544" s="30">
        <f ca="1">IFERROR(__xludf.DUMMYFUNCTION("""COMPUTED_VALUE"""),92)</f>
        <v>92</v>
      </c>
      <c r="E544" s="30" t="str">
        <f ca="1">IFERROR(__xludf.DUMMYFUNCTION("""COMPUTED_VALUE"""),"PB3572")</f>
        <v>PB3572</v>
      </c>
      <c r="F54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4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44" s="30" t="str">
        <f ca="1">IFERROR(__xludf.DUMMYFUNCTION("""COMPUTED_VALUE"""),"SUBSECRETARÍA DE DESARROLLO Y PROMOCIÓN ARTÍSTICA Y CULTURAL")</f>
        <v>SUBSECRETARÍA DE DESARROLLO Y PROMOCIÓN ARTÍSTICA Y CULTURAL</v>
      </c>
      <c r="I544" s="34" t="str">
        <f ca="1">IFERROR(__xludf.DUMMYFUNCTION("""COMPUTED_VALUE"""),"DIRECCIÓN GENERAL DE MUSEOS, ARTES VISUALES Y EXPOSICIONES")</f>
        <v>DIRECCIÓN GENERAL DE MUSEOS, ARTES VISUALES Y EXPOSICIONES</v>
      </c>
      <c r="J544" s="30" t="str">
        <f ca="1">IFERROR(__xludf.DUMMYFUNCTION("""COMPUTED_VALUE"""),"Número de Actividades realizadas")</f>
        <v>Número de Actividades realizadas</v>
      </c>
      <c r="K544" s="30">
        <f ca="1">IFERROR(__xludf.DUMMYFUNCTION("""COMPUTED_VALUE"""),800)</f>
        <v>800</v>
      </c>
      <c r="L544" s="30" t="str">
        <f ca="1">IFERROR(__xludf.DUMMYFUNCTION("""COMPUTED_VALUE"""),"Cultural")</f>
        <v>Cultural</v>
      </c>
      <c r="M544" s="30" t="str">
        <f ca="1">IFERROR(__xludf.DUMMYFUNCTION("""COMPUTED_VALUE"""),"Visita guiada libre.")</f>
        <v>Visita guiada libre.</v>
      </c>
      <c r="N544" s="30" t="str">
        <f ca="1">IFERROR(__xludf.DUMMYFUNCTION("""COMPUTED_VALUE"""),"Recorrido guiado por el museo")</f>
        <v>Recorrido guiado por el museo</v>
      </c>
      <c r="O544" s="30" t="str">
        <f ca="1">IFERROR(__xludf.DUMMYFUNCTION("""COMPUTED_VALUE"""),"Única")</f>
        <v>Única</v>
      </c>
      <c r="P544" s="33">
        <f ca="1">IFERROR(__xludf.DUMMYFUNCTION("""COMPUTED_VALUE"""),46273)</f>
        <v>46273</v>
      </c>
      <c r="Q544" s="33">
        <f ca="1">IFERROR(__xludf.DUMMYFUNCTION("""COMPUTED_VALUE"""),46273)</f>
        <v>46273</v>
      </c>
      <c r="R544" s="30">
        <f ca="1">IFERROR(__xludf.DUMMYFUNCTION("""COMPUTED_VALUE"""),1)</f>
        <v>1</v>
      </c>
      <c r="S544" s="30" t="str">
        <f ca="1">IFERROR(__xludf.DUMMYFUNCTION("""COMPUTED_VALUE"""),"Cultura comunitaria")</f>
        <v>Cultura comunitaria</v>
      </c>
      <c r="T544" s="30" t="str">
        <f ca="1">IFERROR(__xludf.DUMMYFUNCTION("""COMPUTED_VALUE"""),"Mediación cultural")</f>
        <v>Mediación cultural</v>
      </c>
      <c r="U544" s="30" t="str">
        <f ca="1">IFERROR(__xludf.DUMMYFUNCTION("""COMPUTED_VALUE"""),"Visitas guiadas")</f>
        <v>Visitas guiadas</v>
      </c>
      <c r="V544" s="30" t="str">
        <f ca="1">IFERROR(__xludf.DUMMYFUNCTION("""COMPUTED_VALUE"""),"Ninguna")</f>
        <v>Ninguna</v>
      </c>
      <c r="W544" s="30" t="str">
        <f ca="1">IFERROR(__xludf.DUMMYFUNCTION("""COMPUTED_VALUE"""),"Presencial")</f>
        <v>Presencial</v>
      </c>
      <c r="X544" s="30" t="str">
        <f ca="1">IFERROR(__xludf.DUMMYFUNCTION("""COMPUTED_VALUE"""),"Espacio a Cargo de la Secretaría")</f>
        <v>Espacio a Cargo de la Secretaría</v>
      </c>
      <c r="Y544" s="30" t="str">
        <f ca="1">IFERROR(__xludf.DUMMYFUNCTION("""COMPUTED_VALUE"""),"Museo de Arte e Historia de Guanajuato, sala Feliciano Peña")</f>
        <v>Museo de Arte e Historia de Guanajuato, sala Feliciano Peña</v>
      </c>
      <c r="Z544" s="30"/>
      <c r="AA544" s="30"/>
      <c r="AB544" s="30" t="b">
        <f ca="1">IFERROR(__xludf.DUMMYFUNCTION("""COMPUTED_VALUE"""),FALSE)</f>
        <v>0</v>
      </c>
      <c r="AC544" s="30"/>
      <c r="AD544" s="30" t="b">
        <f ca="1">IFERROR(__xludf.DUMMYFUNCTION("""COMPUTED_VALUE"""),FALSE)</f>
        <v>0</v>
      </c>
      <c r="AE544" s="30"/>
      <c r="AF544" s="30" t="b">
        <f ca="1">IFERROR(__xludf.DUMMYFUNCTION("""COMPUTED_VALUE"""),FALSE)</f>
        <v>0</v>
      </c>
      <c r="AG544" s="30"/>
      <c r="AH544" s="30" t="str">
        <f ca="1">IFERROR(__xludf.DUMMYFUNCTION("""COMPUTED_VALUE"""),"Sin costo")</f>
        <v>Sin costo</v>
      </c>
      <c r="AI544" s="30"/>
      <c r="AJ544" s="30"/>
      <c r="AK544" s="30"/>
      <c r="AL544" s="30" t="str">
        <f ca="1">IFERROR(__xludf.DUMMYFUNCTION("""COMPUTED_VALUE"""),"ccardonav@guanajuato.gob.mx")</f>
        <v>ccardonav@guanajuato.gob.mx</v>
      </c>
      <c r="AM544" s="30" t="str">
        <f ca="1">IFERROR(__xludf.DUMMYFUNCTION("""COMPUTED_VALUE"""),"Arraigo y empoderamiento cultural de comunidades.")</f>
        <v>Arraigo y empoderamiento cultural de comunidades.</v>
      </c>
      <c r="AN544" s="30" t="str">
        <f ca="1">IFERROR(__xludf.DUMMYFUNCTION("""COMPUTED_VALUE"""),"2 Igualdad")</f>
        <v>2 Igualdad</v>
      </c>
      <c r="AO544" s="30" t="str">
        <f ca="1">IFERROR(__xludf.DUMMYFUNCTION("""COMPUTED_VALUE"""),"2.4 Reducir brechas de desigualdad")</f>
        <v>2.4 Reducir brechas de desigualdad</v>
      </c>
      <c r="AP544" s="30" t="str">
        <f ca="1">IFERROR(__xludf.DUMMYFUNCTION("""COMPUTED_VALUE"""),"2.4.3 Descentralización de la oferta cultural")</f>
        <v>2.4.3 Descentralización de la oferta cultural</v>
      </c>
      <c r="AQ544" s="30" t="str">
        <f ca="1">IFERROR(__xludf.DUMMYFUNCTION("""COMPUTED_VALUE"""),"2.4.3.3 Incidir en el involucramiento de las personas con el ecosistema cultural")</f>
        <v>2.4.3.3 Incidir en el involucramiento de las personas con el ecosistema cultural</v>
      </c>
      <c r="AR544" s="30" t="str">
        <f ca="1">IFERROR(__xludf.DUMMYFUNCTION("""COMPUTED_VALUE"""),"Cooperación")</f>
        <v>Cooperación</v>
      </c>
      <c r="AS544" s="30"/>
      <c r="AT544" s="30" t="str">
        <f ca="1">IFERROR(__xludf.DUMMYFUNCTION("""COMPUTED_VALUE"""),"Fortalecimiento de la participación ciudadana y la mediación cultural")</f>
        <v>Fortalecimiento de la participación ciudadana y la mediación cultural</v>
      </c>
      <c r="AU544" s="30" t="str">
        <f ca="1">IFERROR(__xludf.DUMMYFUNCTION("""COMPUTED_VALUE"""),"Impulso a la ampliación de la oferta cultural en los territorios.")</f>
        <v>Impulso a la ampliación de la oferta cultural en los territorios.</v>
      </c>
      <c r="AV54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44" s="30" t="str">
        <f ca="1">IFERROR(__xludf.DUMMYFUNCTION("""COMPUTED_VALUE"""),"Incrementar en 25% la oferta cultural realizada en los municipios.")</f>
        <v>Incrementar en 25% la oferta cultural realizada en los municipios.</v>
      </c>
      <c r="AX544" s="30" t="str">
        <f ca="1">IFERROR(__xludf.DUMMYFUNCTION("""COMPUTED_VALUE"""),"Visitas guiadas")</f>
        <v>Visitas guiadas</v>
      </c>
      <c r="AY544" s="30" t="str">
        <f ca="1">IFERROR(__xludf.DUMMYFUNCTION("""COMPUTED_VALUE"""),"Mediación")</f>
        <v>Mediación</v>
      </c>
      <c r="AZ544" s="30"/>
      <c r="BA544" s="30"/>
      <c r="BB544" s="30"/>
      <c r="BC544" s="30">
        <f ca="1">IFERROR(__xludf.DUMMYFUNCTION("""COMPUTED_VALUE"""),0)</f>
        <v>0</v>
      </c>
      <c r="BD544" s="30"/>
      <c r="BE544" s="30"/>
      <c r="BF544" s="30" t="b">
        <f ca="1">IFERROR(__xludf.DUMMYFUNCTION("""COMPUTED_VALUE"""),FALSE)</f>
        <v>0</v>
      </c>
      <c r="BG544" s="30"/>
      <c r="BH544" s="30"/>
      <c r="BI544" s="30"/>
      <c r="BJ544" s="30"/>
      <c r="BK544" s="30"/>
      <c r="BL544" s="30"/>
      <c r="BM544" s="30" t="str">
        <f ca="1">IFERROR(__xludf.DUMMYFUNCTION("""COMPUTED_VALUE"""),"No")</f>
        <v>No</v>
      </c>
      <c r="BN544" s="30"/>
      <c r="BO544" s="30" t="str">
        <f ca="1">IFERROR(__xludf.DUMMYFUNCTION("""COMPUTED_VALUE"""),"8c3f24c8")</f>
        <v>8c3f24c8</v>
      </c>
      <c r="BP544" s="29" t="str">
        <f ca="1">IFERROR(__xludf.DUMMYFUNCTION("""COMPUTED_VALUE"""),"Apaseo el Grande")</f>
        <v>Apaseo el Grande</v>
      </c>
      <c r="BQ544" s="30" t="str">
        <f ca="1">IFERROR(__xludf.DUMMYFUNCTION("""COMPUTED_VALUE"""),"Urbano")</f>
        <v>Urbano</v>
      </c>
      <c r="BR544" s="30">
        <f ca="1">IFERROR(__xludf.DUMMYFUNCTION("""COMPUTED_VALUE"""),12)</f>
        <v>12</v>
      </c>
      <c r="BS544" s="30" t="str">
        <f ca="1">IFERROR(__xludf.DUMMYFUNCTION("""COMPUTED_VALUE"""),"Apaseo el Grande")</f>
        <v>Apaseo el Grande</v>
      </c>
      <c r="BT544" s="30"/>
      <c r="BU544" s="30" t="str">
        <f ca="1">IFERROR(__xludf.DUMMYFUNCTION("""COMPUTED_VALUE"""),"Si")</f>
        <v>Si</v>
      </c>
      <c r="BV544" s="30" t="str">
        <f ca="1">IFERROR(__xludf.DUMMYFUNCTION("""COMPUTED_VALUE"""),"Si")</f>
        <v>Si</v>
      </c>
      <c r="BW544" s="30">
        <f ca="1">IFERROR(__xludf.DUMMYFUNCTION("""COMPUTED_VALUE"""),20)</f>
        <v>20</v>
      </c>
      <c r="BX544" s="30">
        <f ca="1">IFERROR(__xludf.DUMMYFUNCTION("""COMPUTED_VALUE"""),20)</f>
        <v>20</v>
      </c>
      <c r="BY544" s="30">
        <f ca="1">IFERROR(__xludf.DUMMYFUNCTION("""COMPUTED_VALUE"""),0)</f>
        <v>0</v>
      </c>
      <c r="BZ544" s="30" t="str">
        <f ca="1">IFERROR(__xludf.DUMMYFUNCTION("""COMPUTED_VALUE"""),"Apaseo el Grande")</f>
        <v>Apaseo el Grande</v>
      </c>
      <c r="CA544" s="30" t="str">
        <f ca="1">IFERROR(__xludf.DUMMYFUNCTION("""COMPUTED_VALUE"""),"No")</f>
        <v>No</v>
      </c>
      <c r="CB544" s="30" t="str">
        <f ca="1">IFERROR(__xludf.DUMMYFUNCTION("""COMPUTED_VALUE"""),"No")</f>
        <v>No</v>
      </c>
      <c r="CC544" s="30" t="str">
        <f ca="1">IFERROR(__xludf.DUMMYFUNCTION("""COMPUTED_VALUE"""),"75c97a5e")</f>
        <v>75c97a5e</v>
      </c>
      <c r="CD544" s="29" t="str">
        <f ca="1">IFERROR(__xludf.DUMMYFUNCTION("""COMPUTED_VALUE"""),"Niñas y Niños (6 a 12 años)")</f>
        <v>Niñas y Niños (6 a 12 años)</v>
      </c>
      <c r="CE544" s="30" t="str">
        <f ca="1">IFERROR(__xludf.DUMMYFUNCTION("""COMPUTED_VALUE"""),"No se cuenta con el dato")</f>
        <v>No se cuenta con el dato</v>
      </c>
      <c r="CF544" s="30" t="str">
        <f ca="1">IFERROR(__xludf.DUMMYFUNCTION("""COMPUTED_VALUE"""),"Ninguno (Población General)")</f>
        <v>Ninguno (Población General)</v>
      </c>
      <c r="CG544" s="30">
        <f ca="1">IFERROR(__xludf.DUMMYFUNCTION("""COMPUTED_VALUE"""),13)</f>
        <v>13</v>
      </c>
      <c r="CJ544" s="29"/>
      <c r="CM544" s="30" t="str">
        <f ca="1">IFERROR(__xludf.DUMMYFUNCTION("""COMPUTED_VALUE"""),"León")</f>
        <v>León</v>
      </c>
      <c r="CN544" s="32" t="e">
        <f ca="1"/>
        <v>#NAME?</v>
      </c>
      <c r="CO544" s="32" t="e">
        <f ca="1"/>
        <v>#NAME?</v>
      </c>
      <c r="CP544" s="32" t="e">
        <f ca="1"/>
        <v>#NAME?</v>
      </c>
      <c r="CQ544" s="32" t="e">
        <f ca="1"/>
        <v>#NAME?</v>
      </c>
      <c r="CR544" s="30" t="e">
        <f ca="1"/>
        <v>#NAME?</v>
      </c>
      <c r="CS544" s="30" t="str">
        <f ca="1">IFERROR(__xludf.DUMMYFUNCTION("""COMPUTED_VALUE"""),"Ninguno (Población General)")</f>
        <v>Ninguno (Población General)</v>
      </c>
    </row>
    <row r="545" spans="1:97" ht="13">
      <c r="A545" s="29" t="str">
        <f ca="1">IFERROR(__xludf.DUMMYFUNCTION("""COMPUTED_VALUE"""),"ACT-SCJH49562")</f>
        <v>ACT-SCJH49562</v>
      </c>
      <c r="B545" s="30" t="str">
        <f ca="1">IFERROR(__xludf.DUMMYFUNCTION("""COMPUTED_VALUE"""),"SC-261007-115005")</f>
        <v>SC-261007-115005</v>
      </c>
      <c r="C545" s="62">
        <f ca="1">IFERROR(__xludf.DUMMYFUNCTION("""COMPUTED_VALUE"""),46302.4931134259)</f>
        <v>46302.493113425902</v>
      </c>
      <c r="D545" s="30">
        <f ca="1">IFERROR(__xludf.DUMMYFUNCTION("""COMPUTED_VALUE"""),92)</f>
        <v>92</v>
      </c>
      <c r="E545" s="30" t="str">
        <f ca="1">IFERROR(__xludf.DUMMYFUNCTION("""COMPUTED_VALUE"""),"PB3572")</f>
        <v>PB3572</v>
      </c>
      <c r="F54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4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45" s="30" t="str">
        <f ca="1">IFERROR(__xludf.DUMMYFUNCTION("""COMPUTED_VALUE"""),"SUBSECRETARÍA DE DESARROLLO Y PROMOCIÓN ARTÍSTICA Y CULTURAL")</f>
        <v>SUBSECRETARÍA DE DESARROLLO Y PROMOCIÓN ARTÍSTICA Y CULTURAL</v>
      </c>
      <c r="I545" s="34" t="str">
        <f ca="1">IFERROR(__xludf.DUMMYFUNCTION("""COMPUTED_VALUE"""),"DIRECCIÓN GENERAL DE MUSEOS, ARTES VISUALES Y EXPOSICIONES")</f>
        <v>DIRECCIÓN GENERAL DE MUSEOS, ARTES VISUALES Y EXPOSICIONES</v>
      </c>
      <c r="J545" s="30" t="str">
        <f ca="1">IFERROR(__xludf.DUMMYFUNCTION("""COMPUTED_VALUE"""),"Número de Actividades realizadas")</f>
        <v>Número de Actividades realizadas</v>
      </c>
      <c r="K545" s="30">
        <f ca="1">IFERROR(__xludf.DUMMYFUNCTION("""COMPUTED_VALUE"""),800)</f>
        <v>800</v>
      </c>
      <c r="L545" s="30" t="str">
        <f ca="1">IFERROR(__xludf.DUMMYFUNCTION("""COMPUTED_VALUE"""),"Cultural")</f>
        <v>Cultural</v>
      </c>
      <c r="M545" s="30" t="str">
        <f ca="1">IFERROR(__xludf.DUMMYFUNCTION("""COMPUTED_VALUE"""),"Recorrido Guiado ""UNIVERSIDAD TECNOLÓGICA""")</f>
        <v>Recorrido Guiado "UNIVERSIDAD TECNOLÓGICA"</v>
      </c>
      <c r="N545" s="30" t="str">
        <f ca="1">IFERROR(__xludf.DUMMYFUNCTION("""COMPUTED_VALUE"""),"Visita mediada")</f>
        <v>Visita mediada</v>
      </c>
      <c r="O545" s="30" t="str">
        <f ca="1">IFERROR(__xludf.DUMMYFUNCTION("""COMPUTED_VALUE"""),"Única")</f>
        <v>Única</v>
      </c>
      <c r="P545" s="33">
        <f ca="1">IFERROR(__xludf.DUMMYFUNCTION("""COMPUTED_VALUE"""),46275)</f>
        <v>46275</v>
      </c>
      <c r="Q545" s="33">
        <f ca="1">IFERROR(__xludf.DUMMYFUNCTION("""COMPUTED_VALUE"""),46275)</f>
        <v>46275</v>
      </c>
      <c r="R545" s="30">
        <f ca="1">IFERROR(__xludf.DUMMYFUNCTION("""COMPUTED_VALUE"""),1)</f>
        <v>1</v>
      </c>
      <c r="S545" s="30" t="str">
        <f ca="1">IFERROR(__xludf.DUMMYFUNCTION("""COMPUTED_VALUE"""),"Cultura comunitaria")</f>
        <v>Cultura comunitaria</v>
      </c>
      <c r="T545" s="30" t="str">
        <f ca="1">IFERROR(__xludf.DUMMYFUNCTION("""COMPUTED_VALUE"""),"Formación comunitaria")</f>
        <v>Formación comunitaria</v>
      </c>
      <c r="U545" s="30" t="str">
        <f ca="1">IFERROR(__xludf.DUMMYFUNCTION("""COMPUTED_VALUE"""),"Visitas escolares")</f>
        <v>Visitas escolares</v>
      </c>
      <c r="V545" s="30" t="str">
        <f ca="1">IFERROR(__xludf.DUMMYFUNCTION("""COMPUTED_VALUE"""),"Ninguna")</f>
        <v>Ninguna</v>
      </c>
      <c r="W545" s="30" t="str">
        <f ca="1">IFERROR(__xludf.DUMMYFUNCTION("""COMPUTED_VALUE"""),"Presencial")</f>
        <v>Presencial</v>
      </c>
      <c r="X545" s="30" t="str">
        <f ca="1">IFERROR(__xludf.DUMMYFUNCTION("""COMPUTED_VALUE"""),"Espacio a Cargo de la Secretaría")</f>
        <v>Espacio a Cargo de la Secretaría</v>
      </c>
      <c r="Y545" s="30" t="str">
        <f ca="1">IFERROR(__xludf.DUMMYFUNCTION("""COMPUTED_VALUE"""),"Museo de Arte e Historia de Guanajuato, sala Feliciano Peña")</f>
        <v>Museo de Arte e Historia de Guanajuato, sala Feliciano Peña</v>
      </c>
      <c r="Z545" s="30"/>
      <c r="AA545" s="30"/>
      <c r="AB545" s="30" t="b">
        <f ca="1">IFERROR(__xludf.DUMMYFUNCTION("""COMPUTED_VALUE"""),FALSE)</f>
        <v>0</v>
      </c>
      <c r="AC545" s="30"/>
      <c r="AD545" s="30" t="b">
        <f ca="1">IFERROR(__xludf.DUMMYFUNCTION("""COMPUTED_VALUE"""),FALSE)</f>
        <v>0</v>
      </c>
      <c r="AE545" s="30"/>
      <c r="AF545" s="30" t="b">
        <f ca="1">IFERROR(__xludf.DUMMYFUNCTION("""COMPUTED_VALUE"""),FALSE)</f>
        <v>0</v>
      </c>
      <c r="AG545" s="30"/>
      <c r="AH545" s="30" t="str">
        <f ca="1">IFERROR(__xludf.DUMMYFUNCTION("""COMPUTED_VALUE"""),"Sin costo")</f>
        <v>Sin costo</v>
      </c>
      <c r="AI545" s="30"/>
      <c r="AJ545" s="30"/>
      <c r="AK545" s="30"/>
      <c r="AL545" s="30" t="str">
        <f ca="1">IFERROR(__xludf.DUMMYFUNCTION("""COMPUTED_VALUE"""),"ccardonav@guanajuato.gob.mx")</f>
        <v>ccardonav@guanajuato.gob.mx</v>
      </c>
      <c r="AM545" s="30" t="str">
        <f ca="1">IFERROR(__xludf.DUMMYFUNCTION("""COMPUTED_VALUE"""),"Arraigo y empoderamiento cultural de comunidades.")</f>
        <v>Arraigo y empoderamiento cultural de comunidades.</v>
      </c>
      <c r="AN545" s="30" t="str">
        <f ca="1">IFERROR(__xludf.DUMMYFUNCTION("""COMPUTED_VALUE"""),"2 Igualdad")</f>
        <v>2 Igualdad</v>
      </c>
      <c r="AO545" s="30" t="str">
        <f ca="1">IFERROR(__xludf.DUMMYFUNCTION("""COMPUTED_VALUE"""),"2.4 Reducir brechas de desigualdad")</f>
        <v>2.4 Reducir brechas de desigualdad</v>
      </c>
      <c r="AP545" s="30" t="str">
        <f ca="1">IFERROR(__xludf.DUMMYFUNCTION("""COMPUTED_VALUE"""),"2.4.3 Descentralización de la oferta cultural")</f>
        <v>2.4.3 Descentralización de la oferta cultural</v>
      </c>
      <c r="AQ545" s="30" t="str">
        <f ca="1">IFERROR(__xludf.DUMMYFUNCTION("""COMPUTED_VALUE"""),"2.4.3.3 Incidir en el involucramiento de las personas con el ecosistema cultural")</f>
        <v>2.4.3.3 Incidir en el involucramiento de las personas con el ecosistema cultural</v>
      </c>
      <c r="AR545" s="30" t="str">
        <f ca="1">IFERROR(__xludf.DUMMYFUNCTION("""COMPUTED_VALUE"""),"Cooperación")</f>
        <v>Cooperación</v>
      </c>
      <c r="AS545" s="30"/>
      <c r="AT545" s="30" t="str">
        <f ca="1">IFERROR(__xludf.DUMMYFUNCTION("""COMPUTED_VALUE"""),"Fortalecimiento de la participación ciudadana y la mediación cultural")</f>
        <v>Fortalecimiento de la participación ciudadana y la mediación cultural</v>
      </c>
      <c r="AU545" s="30" t="str">
        <f ca="1">IFERROR(__xludf.DUMMYFUNCTION("""COMPUTED_VALUE"""),"Impulso a la ampliación de la oferta cultural en los territorios.")</f>
        <v>Impulso a la ampliación de la oferta cultural en los territorios.</v>
      </c>
      <c r="AV54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45" s="30" t="str">
        <f ca="1">IFERROR(__xludf.DUMMYFUNCTION("""COMPUTED_VALUE"""),"Incrementar en 25% la oferta cultural realizada en los municipios.")</f>
        <v>Incrementar en 25% la oferta cultural realizada en los municipios.</v>
      </c>
      <c r="AX545" s="30" t="str">
        <f ca="1">IFERROR(__xludf.DUMMYFUNCTION("""COMPUTED_VALUE"""),"Visitas escolares")</f>
        <v>Visitas escolares</v>
      </c>
      <c r="AY545" s="30" t="str">
        <f ca="1">IFERROR(__xludf.DUMMYFUNCTION("""COMPUTED_VALUE"""),"Mediación")</f>
        <v>Mediación</v>
      </c>
      <c r="AZ545" s="30"/>
      <c r="BA545" s="30"/>
      <c r="BB545" s="30"/>
      <c r="BC545" s="30">
        <f ca="1">IFERROR(__xludf.DUMMYFUNCTION("""COMPUTED_VALUE"""),0)</f>
        <v>0</v>
      </c>
      <c r="BD545" s="30"/>
      <c r="BE545" s="30"/>
      <c r="BF545" s="30" t="b">
        <f ca="1">IFERROR(__xludf.DUMMYFUNCTION("""COMPUTED_VALUE"""),FALSE)</f>
        <v>0</v>
      </c>
      <c r="BG545" s="30"/>
      <c r="BH545" s="30"/>
      <c r="BI545" s="30"/>
      <c r="BJ545" s="30"/>
      <c r="BK545" s="30"/>
      <c r="BL545" s="30"/>
      <c r="BM545" s="30" t="str">
        <f ca="1">IFERROR(__xludf.DUMMYFUNCTION("""COMPUTED_VALUE"""),"No")</f>
        <v>No</v>
      </c>
      <c r="BN545" s="30"/>
      <c r="BO545" s="30" t="str">
        <f ca="1">IFERROR(__xludf.DUMMYFUNCTION("""COMPUTED_VALUE"""),"d964b109")</f>
        <v>d964b109</v>
      </c>
      <c r="BP545" s="29" t="str">
        <f ca="1">IFERROR(__xludf.DUMMYFUNCTION("""COMPUTED_VALUE"""),"León")</f>
        <v>León</v>
      </c>
      <c r="BQ545" s="30" t="str">
        <f ca="1">IFERROR(__xludf.DUMMYFUNCTION("""COMPUTED_VALUE"""),"Urbano")</f>
        <v>Urbano</v>
      </c>
      <c r="BR545" s="30"/>
      <c r="BS545" s="30"/>
      <c r="BT545" s="30"/>
      <c r="BU545" s="30" t="str">
        <f ca="1">IFERROR(__xludf.DUMMYFUNCTION("""COMPUTED_VALUE"""),"No")</f>
        <v>No</v>
      </c>
      <c r="BV545" s="30" t="str">
        <f ca="1">IFERROR(__xludf.DUMMYFUNCTION("""COMPUTED_VALUE"""),"No")</f>
        <v>No</v>
      </c>
      <c r="BW545" s="30">
        <f ca="1">IFERROR(__xludf.DUMMYFUNCTION("""COMPUTED_VALUE"""),19)</f>
        <v>19</v>
      </c>
      <c r="BX545" s="30"/>
      <c r="BY545" s="30">
        <f ca="1">IFERROR(__xludf.DUMMYFUNCTION("""COMPUTED_VALUE"""),19)</f>
        <v>19</v>
      </c>
      <c r="BZ545" s="30"/>
      <c r="CA545" s="30" t="str">
        <f ca="1">IFERROR(__xludf.DUMMYFUNCTION("""COMPUTED_VALUE"""),"No")</f>
        <v>No</v>
      </c>
      <c r="CB545" s="30" t="str">
        <f ca="1">IFERROR(__xludf.DUMMYFUNCTION("""COMPUTED_VALUE"""),"No")</f>
        <v>No</v>
      </c>
      <c r="CC545" s="30" t="str">
        <f ca="1">IFERROR(__xludf.DUMMYFUNCTION("""COMPUTED_VALUE"""),"cf1ee51f")</f>
        <v>cf1ee51f</v>
      </c>
      <c r="CD545" s="29" t="str">
        <f ca="1">IFERROR(__xludf.DUMMYFUNCTION("""COMPUTED_VALUE"""),"Jóvenes (18 a 29 años)")</f>
        <v>Jóvenes (18 a 29 años)</v>
      </c>
      <c r="CE545" s="30" t="str">
        <f ca="1">IFERROR(__xludf.DUMMYFUNCTION("""COMPUTED_VALUE"""),"No se cuenta con el dato")</f>
        <v>No se cuenta con el dato</v>
      </c>
      <c r="CF545" s="30" t="str">
        <f ca="1">IFERROR(__xludf.DUMMYFUNCTION("""COMPUTED_VALUE"""),"Ninguno (Población General)")</f>
        <v>Ninguno (Población General)</v>
      </c>
      <c r="CG545" s="30">
        <f ca="1">IFERROR(__xludf.DUMMYFUNCTION("""COMPUTED_VALUE"""),40)</f>
        <v>40</v>
      </c>
      <c r="CJ545" s="29"/>
      <c r="CM545" s="30" t="str">
        <f ca="1">IFERROR(__xludf.DUMMYFUNCTION("""COMPUTED_VALUE"""),"Salamanca")</f>
        <v>Salamanca</v>
      </c>
      <c r="CN545" s="32" t="e">
        <f ca="1"/>
        <v>#NAME?</v>
      </c>
      <c r="CO545" s="32" t="e">
        <f ca="1"/>
        <v>#NAME?</v>
      </c>
      <c r="CP545" s="32" t="e">
        <f ca="1"/>
        <v>#NAME?</v>
      </c>
      <c r="CQ545" s="32" t="e">
        <f ca="1"/>
        <v>#NAME?</v>
      </c>
      <c r="CR545" s="30" t="e">
        <f ca="1"/>
        <v>#NAME?</v>
      </c>
      <c r="CS545" s="30" t="str">
        <f ca="1">IFERROR(__xludf.DUMMYFUNCTION("""COMPUTED_VALUE"""),"Ninguno (Población General), Ninguno (Población General), Ninguno (Población General), Ninguno (Población General)")</f>
        <v>Ninguno (Población General), Ninguno (Población General), Ninguno (Población General), Ninguno (Población General)</v>
      </c>
    </row>
    <row r="546" spans="1:97" ht="13">
      <c r="A546" s="29" t="str">
        <f ca="1">IFERROR(__xludf.DUMMYFUNCTION("""COMPUTED_VALUE"""),"ACT-SCPD16906")</f>
        <v>ACT-SCPD16906</v>
      </c>
      <c r="B546" s="30" t="str">
        <f ca="1">IFERROR(__xludf.DUMMYFUNCTION("""COMPUTED_VALUE"""),"SC-261007-115509")</f>
        <v>SC-261007-115509</v>
      </c>
      <c r="C546" s="62">
        <f ca="1">IFERROR(__xludf.DUMMYFUNCTION("""COMPUTED_VALUE"""),46302.4966319444)</f>
        <v>46302.496631944399</v>
      </c>
      <c r="D546" s="30">
        <f ca="1">IFERROR(__xludf.DUMMYFUNCTION("""COMPUTED_VALUE"""),74)</f>
        <v>74</v>
      </c>
      <c r="E546" s="30" t="str">
        <f ca="1">IFERROR(__xludf.DUMMYFUNCTION("""COMPUTED_VALUE"""),"PB3567")</f>
        <v>PB3567</v>
      </c>
      <c r="F546" s="30" t="str">
        <f ca="1">IFERROR(__xludf.DUMMYFUNCTION("""COMPUTED_VALUE"""),"Formación e Investigación Artística")</f>
        <v>Formación e Investigación Artística</v>
      </c>
      <c r="G546" s="30" t="str">
        <f ca="1">IFERROR(__xludf.DUMMYFUNCTION("""COMPUTED_VALUE"""),"Cursos, talleres, y diplomados en los distintos ámbitos de la gestión cultura. Gestión de recursos y elaboración de proyectos.")</f>
        <v>Cursos, talleres, y diplomados en los distintos ámbitos de la gestión cultura. Gestión de recursos y elaboración de proyectos.</v>
      </c>
      <c r="H546" s="30" t="str">
        <f ca="1">IFERROR(__xludf.DUMMYFUNCTION("""COMPUTED_VALUE"""),"SUBSECRETARÍA DE DESARROLLO COMUNITARIO Y PROMOCIÓN PATRIMONIAL")</f>
        <v>SUBSECRETARÍA DE DESARROLLO COMUNITARIO Y PROMOCIÓN PATRIMONIAL</v>
      </c>
      <c r="I546" s="34" t="str">
        <f ca="1">IFERROR(__xludf.DUMMYFUNCTION("""COMPUTED_VALUE"""),"DIRECCIÓN GENERAL DE FORMACIÓN E INVESTIGACIÓN")</f>
        <v>DIRECCIÓN GENERAL DE FORMACIÓN E INVESTIGACIÓN</v>
      </c>
      <c r="J546" s="30" t="str">
        <f ca="1">IFERROR(__xludf.DUMMYFUNCTION("""COMPUTED_VALUE"""),"Cursos, talleres, diplomados realizados")</f>
        <v>Cursos, talleres, diplomados realizados</v>
      </c>
      <c r="K546" s="30">
        <f ca="1">IFERROR(__xludf.DUMMYFUNCTION("""COMPUTED_VALUE"""),2)</f>
        <v>2</v>
      </c>
      <c r="L546" s="30" t="str">
        <f ca="1">IFERROR(__xludf.DUMMYFUNCTION("""COMPUTED_VALUE"""),"Cultural")</f>
        <v>Cultural</v>
      </c>
      <c r="M546" s="30" t="str">
        <f ca="1">IFERROR(__xludf.DUMMYFUNCTION("""COMPUTED_VALUE"""),"Taller de ""Certificación de Mujeres al Frente""")</f>
        <v>Taller de "Certificación de Mujeres al Frente"</v>
      </c>
      <c r="N546" s="30" t="str">
        <f ca="1">IFERROR(__xludf.DUMMYFUNCTION("""COMPUTED_VALUE"""),"El taller y programa de ""Mujeres al Frente"" es un proceso de capacitación y certificación enfocado en el empoderamiento económico, personal y la profesionalización de mujeres emprendedoras y creadoras.")</f>
        <v>El taller y programa de "Mujeres al Frente" es un proceso de capacitación y certificación enfocado en el empoderamiento económico, personal y la profesionalización de mujeres emprendedoras y creadoras.</v>
      </c>
      <c r="O546" s="30" t="str">
        <f ca="1">IFERROR(__xludf.DUMMYFUNCTION("""COMPUTED_VALUE"""),"Única")</f>
        <v>Única</v>
      </c>
      <c r="P546" s="33">
        <f ca="1">IFERROR(__xludf.DUMMYFUNCTION("""COMPUTED_VALUE"""),46062)</f>
        <v>46062</v>
      </c>
      <c r="Q546" s="33">
        <f ca="1">IFERROR(__xludf.DUMMYFUNCTION("""COMPUTED_VALUE"""),46062)</f>
        <v>46062</v>
      </c>
      <c r="R546" s="30">
        <f ca="1">IFERROR(__xludf.DUMMYFUNCTION("""COMPUTED_VALUE"""),1)</f>
        <v>1</v>
      </c>
      <c r="S546" s="30" t="str">
        <f ca="1">IFERROR(__xludf.DUMMYFUNCTION("""COMPUTED_VALUE"""),"Cultura comunitaria")</f>
        <v>Cultura comunitaria</v>
      </c>
      <c r="T546" s="30" t="str">
        <f ca="1">IFERROR(__xludf.DUMMYFUNCTION("""COMPUTED_VALUE"""),"Gestión cultural")</f>
        <v>Gestión cultural</v>
      </c>
      <c r="U546" s="30" t="str">
        <f ca="1">IFERROR(__xludf.DUMMYFUNCTION("""COMPUTED_VALUE"""),"Taller")</f>
        <v>Taller</v>
      </c>
      <c r="V546" s="30" t="str">
        <f ca="1">IFERROR(__xludf.DUMMYFUNCTION("""COMPUTED_VALUE"""),"Ninguna")</f>
        <v>Ninguna</v>
      </c>
      <c r="W546" s="30" t="str">
        <f ca="1">IFERROR(__xludf.DUMMYFUNCTION("""COMPUTED_VALUE"""),"Presencial")</f>
        <v>Presencial</v>
      </c>
      <c r="X546" s="30" t="str">
        <f ca="1">IFERROR(__xludf.DUMMYFUNCTION("""COMPUTED_VALUE"""),"Espacio préstamo a la Secretaría de Cultura")</f>
        <v>Espacio préstamo a la Secretaría de Cultura</v>
      </c>
      <c r="Y546" s="30"/>
      <c r="Z546" s="30"/>
      <c r="AA546" s="30"/>
      <c r="AB546" s="30" t="b">
        <f ca="1">IFERROR(__xludf.DUMMYFUNCTION("""COMPUTED_VALUE"""),FALSE)</f>
        <v>0</v>
      </c>
      <c r="AC546" s="30"/>
      <c r="AD546" s="30" t="b">
        <f ca="1">IFERROR(__xludf.DUMMYFUNCTION("""COMPUTED_VALUE"""),FALSE)</f>
        <v>0</v>
      </c>
      <c r="AE546" s="30"/>
      <c r="AF546" s="30" t="b">
        <f ca="1">IFERROR(__xludf.DUMMYFUNCTION("""COMPUTED_VALUE"""),FALSE)</f>
        <v>0</v>
      </c>
      <c r="AG546" s="30"/>
      <c r="AH546" s="30" t="str">
        <f ca="1">IFERROR(__xludf.DUMMYFUNCTION("""COMPUTED_VALUE"""),"Sin costo")</f>
        <v>Sin costo</v>
      </c>
      <c r="AI546" s="30"/>
      <c r="AJ546" s="30"/>
      <c r="AK546" s="30"/>
      <c r="AL546" s="30" t="str">
        <f ca="1">IFERROR(__xludf.DUMMYFUNCTION("""COMPUTED_VALUE"""),"claudia.ramirezm@guanajuato.gob.mx")</f>
        <v>claudia.ramirezm@guanajuato.gob.mx</v>
      </c>
      <c r="AM546"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546" s="30" t="str">
        <f ca="1">IFERROR(__xludf.DUMMYFUNCTION("""COMPUTED_VALUE"""),"2 Igualdad")</f>
        <v>2 Igualdad</v>
      </c>
      <c r="AO546" s="30" t="str">
        <f ca="1">IFERROR(__xludf.DUMMYFUNCTION("""COMPUTED_VALUE"""),"2.2 Fortalecer cohesión social")</f>
        <v>2.2 Fortalecer cohesión social</v>
      </c>
      <c r="AP546" s="30" t="str">
        <f ca="1">IFERROR(__xludf.DUMMYFUNCTION("""COMPUTED_VALUE"""),"2.2 Fortalecer cohesión social")</f>
        <v>2.2 Fortalecer cohesión social</v>
      </c>
      <c r="AQ546" s="30" t="str">
        <f ca="1">IFERROR(__xludf.DUMMYFUNCTION("""COMPUTED_VALUE"""),"2.2.3.2 Promover la participación de grupos prioritarios en actividades culturales")</f>
        <v>2.2.3.2 Promover la participación de grupos prioritarios en actividades culturales</v>
      </c>
      <c r="AR546" s="30" t="str">
        <f ca="1">IFERROR(__xludf.DUMMYFUNCTION("""COMPUTED_VALUE"""),"Inclusión")</f>
        <v>Inclusión</v>
      </c>
      <c r="AS546" s="30" t="str">
        <f ca="1">IFERROR(__xludf.DUMMYFUNCTION("""COMPUTED_VALUE"""),"Ninguno (Población General)")</f>
        <v>Ninguno (Población General)</v>
      </c>
      <c r="AT546" s="30" t="str">
        <f ca="1">IFERROR(__xludf.DUMMYFUNCTION("""COMPUTED_VALUE"""),"Impulso a la educación artística y a la profesionalización del sector cultural")</f>
        <v>Impulso a la educación artística y a la profesionalización del sector cultural</v>
      </c>
      <c r="AU546" s="30" t="str">
        <f ca="1">IFERROR(__xludf.DUMMYFUNCTION("""COMPUTED_VALUE"""),"Impulso a programas de formación y profesionalización para agentes culturales.")</f>
        <v>Impulso a programas de formación y profesionalización para agentes culturales.</v>
      </c>
      <c r="AV546"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46" s="30" t="str">
        <f ca="1">IFERROR(__xludf.DUMMYFUNCTION("""COMPUTED_VALUE"""),"Incrementar un 30% la oferta de formación y profesionalización para agentes culturales.")</f>
        <v>Incrementar un 30% la oferta de formación y profesionalización para agentes culturales.</v>
      </c>
      <c r="AX546" s="30" t="str">
        <f ca="1">IFERROR(__xludf.DUMMYFUNCTION("""COMPUTED_VALUE"""),"Taller")</f>
        <v>Taller</v>
      </c>
      <c r="AY546" s="30" t="str">
        <f ca="1">IFERROR(__xludf.DUMMYFUNCTION("""COMPUTED_VALUE"""),"Formación")</f>
        <v>Formación</v>
      </c>
      <c r="AZ546" s="30" t="str">
        <f ca="1">IFERROR(__xludf.DUMMYFUNCTION("""COMPUTED_VALUE"""),"Formación")</f>
        <v>Formación</v>
      </c>
      <c r="BA546" s="30"/>
      <c r="BB546" s="30">
        <f ca="1">IFERROR(__xludf.DUMMYFUNCTION("""COMPUTED_VALUE"""),5)</f>
        <v>5</v>
      </c>
      <c r="BC546" s="30">
        <f ca="1">IFERROR(__xludf.DUMMYFUNCTION("""COMPUTED_VALUE"""),0)</f>
        <v>0</v>
      </c>
      <c r="BD546" s="30"/>
      <c r="BE546" s="30"/>
      <c r="BF546" s="30" t="b">
        <f ca="1">IFERROR(__xludf.DUMMYFUNCTION("""COMPUTED_VALUE"""),FALSE)</f>
        <v>0</v>
      </c>
      <c r="BG546" s="30"/>
      <c r="BH546" s="30"/>
      <c r="BI546" s="30"/>
      <c r="BJ546" s="30"/>
      <c r="BK546" s="30"/>
      <c r="BL546" s="30"/>
      <c r="BM546" s="30" t="str">
        <f ca="1">IFERROR(__xludf.DUMMYFUNCTION("""COMPUTED_VALUE"""),"No")</f>
        <v>No</v>
      </c>
      <c r="BN546" s="30"/>
      <c r="BO546" s="30" t="str">
        <f ca="1">IFERROR(__xludf.DUMMYFUNCTION("""COMPUTED_VALUE"""),"9354ff18")</f>
        <v>9354ff18</v>
      </c>
      <c r="BP546" s="29" t="str">
        <f ca="1">IFERROR(__xludf.DUMMYFUNCTION("""COMPUTED_VALUE"""),"León")</f>
        <v>León</v>
      </c>
      <c r="BQ546" s="30" t="str">
        <f ca="1">IFERROR(__xludf.DUMMYFUNCTION("""COMPUTED_VALUE"""),"Urbano")</f>
        <v>Urbano</v>
      </c>
      <c r="BR546" s="30"/>
      <c r="BS546" s="30"/>
      <c r="BT546" s="30"/>
      <c r="BU546" s="30" t="str">
        <f ca="1">IFERROR(__xludf.DUMMYFUNCTION("""COMPUTED_VALUE"""),"No")</f>
        <v>No</v>
      </c>
      <c r="BV546" s="30" t="str">
        <f ca="1">IFERROR(__xludf.DUMMYFUNCTION("""COMPUTED_VALUE"""),"No")</f>
        <v>No</v>
      </c>
      <c r="BW546" s="30">
        <f ca="1">IFERROR(__xludf.DUMMYFUNCTION("""COMPUTED_VALUE"""),235)</f>
        <v>235</v>
      </c>
      <c r="BX546" s="30">
        <f ca="1">IFERROR(__xludf.DUMMYFUNCTION("""COMPUTED_VALUE"""),5)</f>
        <v>5</v>
      </c>
      <c r="BY546" s="30">
        <f ca="1">IFERROR(__xludf.DUMMYFUNCTION("""COMPUTED_VALUE"""),230)</f>
        <v>230</v>
      </c>
      <c r="BZ546" s="30"/>
      <c r="CA546" s="30" t="str">
        <f ca="1">IFERROR(__xludf.DUMMYFUNCTION("""COMPUTED_VALUE"""),"No")</f>
        <v>No</v>
      </c>
      <c r="CB546" s="30" t="str">
        <f ca="1">IFERROR(__xludf.DUMMYFUNCTION("""COMPUTED_VALUE"""),"No")</f>
        <v>No</v>
      </c>
      <c r="CC546" s="30" t="str">
        <f ca="1">IFERROR(__xludf.DUMMYFUNCTION("""COMPUTED_VALUE"""),"163f4bc6")</f>
        <v>163f4bc6</v>
      </c>
      <c r="CD546" s="29" t="str">
        <f ca="1">IFERROR(__xludf.DUMMYFUNCTION("""COMPUTED_VALUE"""),"Adultos Mayores (60 años o más)")</f>
        <v>Adultos Mayores (60 años o más)</v>
      </c>
      <c r="CE546" s="30" t="str">
        <f ca="1">IFERROR(__xludf.DUMMYFUNCTION("""COMPUTED_VALUE"""),"No se cuenta con el dato")</f>
        <v>No se cuenta con el dato</v>
      </c>
      <c r="CF546" s="30" t="str">
        <f ca="1">IFERROR(__xludf.DUMMYFUNCTION("""COMPUTED_VALUE"""),"Ninguno (Población General)")</f>
        <v>Ninguno (Población General)</v>
      </c>
      <c r="CG546" s="30">
        <f ca="1">IFERROR(__xludf.DUMMYFUNCTION("""COMPUTED_VALUE"""),15)</f>
        <v>15</v>
      </c>
      <c r="CJ546" s="29"/>
      <c r="CM546" s="30" t="str">
        <f ca="1">IFERROR(__xludf.DUMMYFUNCTION("""COMPUTED_VALUE"""),"Salamanca")</f>
        <v>Salamanca</v>
      </c>
      <c r="CN546" s="32" t="e">
        <f ca="1"/>
        <v>#NAME?</v>
      </c>
      <c r="CO546" s="32" t="e">
        <f ca="1"/>
        <v>#NAME?</v>
      </c>
      <c r="CP546" s="32" t="e">
        <f ca="1"/>
        <v>#NAME?</v>
      </c>
      <c r="CQ546" s="32" t="e">
        <f ca="1"/>
        <v>#NAME?</v>
      </c>
      <c r="CR546" s="30" t="e">
        <f ca="1"/>
        <v>#NAME?</v>
      </c>
      <c r="CS546" s="30" t="str">
        <f ca="1">IFERROR(__xludf.DUMMYFUNCTION("""COMPUTED_VALUE"""),"Ninguno (Población General), Ninguno (Población General), Ninguno (Población General), Ninguno (Población General), Ninguno (Población General)")</f>
        <v>Ninguno (Población General), Ninguno (Población General), Ninguno (Población General), Ninguno (Población General), Ninguno (Población General)</v>
      </c>
    </row>
    <row r="547" spans="1:97" ht="13">
      <c r="A547" s="29" t="str">
        <f ca="1">IFERROR(__xludf.DUMMYFUNCTION("""COMPUTED_VALUE"""),"ACT-SCEV04930")</f>
        <v>ACT-SCEV04930</v>
      </c>
      <c r="B547" s="30" t="str">
        <f ca="1">IFERROR(__xludf.DUMMYFUNCTION("""COMPUTED_VALUE"""),"SC-261007-120638")</f>
        <v>SC-261007-120638</v>
      </c>
      <c r="C547" s="62">
        <f ca="1">IFERROR(__xludf.DUMMYFUNCTION("""COMPUTED_VALUE"""),46302.5046064814)</f>
        <v>46302.504606481401</v>
      </c>
      <c r="D547" s="30">
        <f ca="1">IFERROR(__xludf.DUMMYFUNCTION("""COMPUTED_VALUE"""),72)</f>
        <v>72</v>
      </c>
      <c r="E547" s="30" t="str">
        <f ca="1">IFERROR(__xludf.DUMMYFUNCTION("""COMPUTED_VALUE"""),"PB3567")</f>
        <v>PB3567</v>
      </c>
      <c r="F547" s="30" t="str">
        <f ca="1">IFERROR(__xludf.DUMMYFUNCTION("""COMPUTED_VALUE"""),"Formación e Investigación Artística")</f>
        <v>Formación e Investigación Artística</v>
      </c>
      <c r="G547" s="30" t="str">
        <f ca="1">IFERROR(__xludf.DUMMYFUNCTION("""COMPUTED_VALUE"""),"Cursos, talleres, y diplomados en la disciplina de las artes plásticas, sobre distintas técnicas del grabado")</f>
        <v>Cursos, talleres, y diplomados en la disciplina de las artes plásticas, sobre distintas técnicas del grabado</v>
      </c>
      <c r="H547" s="30" t="str">
        <f ca="1">IFERROR(__xludf.DUMMYFUNCTION("""COMPUTED_VALUE"""),"SUBSECRETARÍA DE DESARROLLO COMUNITARIO Y PROMOCIÓN PATRIMONIAL")</f>
        <v>SUBSECRETARÍA DE DESARROLLO COMUNITARIO Y PROMOCIÓN PATRIMONIAL</v>
      </c>
      <c r="I547" s="34" t="str">
        <f ca="1">IFERROR(__xludf.DUMMYFUNCTION("""COMPUTED_VALUE"""),"DIRECCIÓN GENERAL DE FORMACIÓN E INVESTIGACIÓN")</f>
        <v>DIRECCIÓN GENERAL DE FORMACIÓN E INVESTIGACIÓN</v>
      </c>
      <c r="J547" s="30" t="str">
        <f ca="1">IFERROR(__xludf.DUMMYFUNCTION("""COMPUTED_VALUE"""),"Cursos, talleres, diplomados realizados")</f>
        <v>Cursos, talleres, diplomados realizados</v>
      </c>
      <c r="K547" s="30">
        <f ca="1">IFERROR(__xludf.DUMMYFUNCTION("""COMPUTED_VALUE"""),4)</f>
        <v>4</v>
      </c>
      <c r="L547" s="30" t="str">
        <f ca="1">IFERROR(__xludf.DUMMYFUNCTION("""COMPUTED_VALUE"""),"Artística")</f>
        <v>Artística</v>
      </c>
      <c r="M547" s="30" t="str">
        <f ca="1">IFERROR(__xludf.DUMMYFUNCTION("""COMPUTED_VALUE"""),"Taller de Mezzotinta a color")</f>
        <v>Taller de Mezzotinta a color</v>
      </c>
      <c r="N547" s="30" t="str">
        <f ca="1">IFERROR(__xludf.DUMMYFUNCTION("""COMPUTED_VALUE"""),"Este taller enseña a transformar una idea en una serie de estampas profesionales. En un inicio, los participantes preparan y graban su diseño sobre la placa para obtener las primeras pruebas de estado y ajustar detalles. Posteriormente, experimentan con c"&amp;"olor y tintas hasta hallar el acabado ideal, imprimen su tiraje definitivo numerado y concluyen con la revisión final, el firmado de las obras y la presentación de sus resultados.")</f>
        <v>Este taller enseña a transformar una idea en una serie de estampas profesionales. En un inicio, los participantes preparan y graban su diseño sobre la placa para obtener las primeras pruebas de estado y ajustar detalles. Posteriormente, experimentan con color y tintas hasta hallar el acabado ideal, imprimen su tiraje definitivo numerado y concluyen con la revisión final, el firmado de las obras y la presentación de sus resultados.</v>
      </c>
      <c r="O547" s="30" t="str">
        <f ca="1">IFERROR(__xludf.DUMMYFUNCTION("""COMPUTED_VALUE"""),"Diaria")</f>
        <v>Diaria</v>
      </c>
      <c r="P547" s="33">
        <f ca="1">IFERROR(__xludf.DUMMYFUNCTION("""COMPUTED_VALUE"""),46263)</f>
        <v>46263</v>
      </c>
      <c r="Q547" s="33">
        <f ca="1">IFERROR(__xludf.DUMMYFUNCTION("""COMPUTED_VALUE"""),46285)</f>
        <v>46285</v>
      </c>
      <c r="R547" s="30">
        <f ca="1">IFERROR(__xludf.DUMMYFUNCTION("""COMPUTED_VALUE"""),20)</f>
        <v>20</v>
      </c>
      <c r="S547" s="30" t="str">
        <f ca="1">IFERROR(__xludf.DUMMYFUNCTION("""COMPUTED_VALUE"""),"Artes visuales")</f>
        <v>Artes visuales</v>
      </c>
      <c r="T547" s="30" t="str">
        <f ca="1">IFERROR(__xludf.DUMMYFUNCTION("""COMPUTED_VALUE"""),"Grabado")</f>
        <v>Grabado</v>
      </c>
      <c r="U547" s="30" t="str">
        <f ca="1">IFERROR(__xludf.DUMMYFUNCTION("""COMPUTED_VALUE"""),"Taller")</f>
        <v>Taller</v>
      </c>
      <c r="V547" s="30" t="str">
        <f ca="1">IFERROR(__xludf.DUMMYFUNCTION("""COMPUTED_VALUE"""),"Ninguna")</f>
        <v>Ninguna</v>
      </c>
      <c r="W547" s="30" t="str">
        <f ca="1">IFERROR(__xludf.DUMMYFUNCTION("""COMPUTED_VALUE"""),"Presencial")</f>
        <v>Presencial</v>
      </c>
      <c r="X547" s="30" t="str">
        <f ca="1">IFERROR(__xludf.DUMMYFUNCTION("""COMPUTED_VALUE"""),"Espacio préstamo a la Secretaría de Cultura")</f>
        <v>Espacio préstamo a la Secretaría de Cultura</v>
      </c>
      <c r="Y547" s="30"/>
      <c r="Z547" s="30"/>
      <c r="AA547" s="30"/>
      <c r="AB547" s="30" t="b">
        <f ca="1">IFERROR(__xludf.DUMMYFUNCTION("""COMPUTED_VALUE"""),FALSE)</f>
        <v>0</v>
      </c>
      <c r="AC547" s="30"/>
      <c r="AD547" s="30" t="b">
        <f ca="1">IFERROR(__xludf.DUMMYFUNCTION("""COMPUTED_VALUE"""),TRUE)</f>
        <v>1</v>
      </c>
      <c r="AE547" s="30">
        <f ca="1">IFERROR(__xludf.DUMMYFUNCTION("""COMPUTED_VALUE"""),1)</f>
        <v>1</v>
      </c>
      <c r="AF547" s="30" t="b">
        <f ca="1">IFERROR(__xludf.DUMMYFUNCTION("""COMPUTED_VALUE"""),FALSE)</f>
        <v>0</v>
      </c>
      <c r="AG547" s="30"/>
      <c r="AH547" s="30" t="str">
        <f ca="1">IFERROR(__xludf.DUMMYFUNCTION("""COMPUTED_VALUE"""),"Sin costo")</f>
        <v>Sin costo</v>
      </c>
      <c r="AI547" s="30"/>
      <c r="AJ547" s="30"/>
      <c r="AK547" s="30"/>
      <c r="AL547" s="30" t="str">
        <f ca="1">IFERROR(__xludf.DUMMYFUNCTION("""COMPUTED_VALUE"""),"claudia.ramirezm@guanajuato.gob.mx")</f>
        <v>claudia.ramirezm@guanajuato.gob.mx</v>
      </c>
      <c r="AM547" s="30" t="str">
        <f ca="1">IFERROR(__xludf.DUMMYFUNCTION("""COMPUTED_VALUE"""),"Mayor inversión en conservación del patrimonio artístico y cultural.")</f>
        <v>Mayor inversión en conservación del patrimonio artístico y cultural.</v>
      </c>
      <c r="AN547" s="30" t="str">
        <f ca="1">IFERROR(__xludf.DUMMYFUNCTION("""COMPUTED_VALUE"""),"2 Igualdad")</f>
        <v>2 Igualdad</v>
      </c>
      <c r="AO547" s="30" t="str">
        <f ca="1">IFERROR(__xludf.DUMMYFUNCTION("""COMPUTED_VALUE"""),"2.2 Fortalecer cohesión social")</f>
        <v>2.2 Fortalecer cohesión social</v>
      </c>
      <c r="AP547" s="30" t="str">
        <f ca="1">IFERROR(__xludf.DUMMYFUNCTION("""COMPUTED_VALUE"""),"2.2 Fortalecer cohesión social")</f>
        <v>2.2 Fortalecer cohesión social</v>
      </c>
      <c r="AQ547" s="30" t="str">
        <f ca="1">IFERROR(__xludf.DUMMYFUNCTION("""COMPUTED_VALUE"""),"2.2.3.2 Promover la participación de grupos prioritarios en actividades culturales")</f>
        <v>2.2.3.2 Promover la participación de grupos prioritarios en actividades culturales</v>
      </c>
      <c r="AR547" s="30" t="str">
        <f ca="1">IFERROR(__xludf.DUMMYFUNCTION("""COMPUTED_VALUE"""),"Inclusión")</f>
        <v>Inclusión</v>
      </c>
      <c r="AS547" s="30" t="str">
        <f ca="1">IFERROR(__xludf.DUMMYFUNCTION("""COMPUTED_VALUE"""),"Ninguno (Población General)")</f>
        <v>Ninguno (Población General)</v>
      </c>
      <c r="AT547" s="30" t="str">
        <f ca="1">IFERROR(__xludf.DUMMYFUNCTION("""COMPUTED_VALUE"""),"Impulso a la educación artística y a la profesionalización del sector cultural")</f>
        <v>Impulso a la educación artística y a la profesionalización del sector cultural</v>
      </c>
      <c r="AU547" s="30" t="str">
        <f ca="1">IFERROR(__xludf.DUMMYFUNCTION("""COMPUTED_VALUE"""),"Impulso a programas de formación y profesionalización para agentes culturales.")</f>
        <v>Impulso a programas de formación y profesionalización para agentes culturales.</v>
      </c>
      <c r="AV547"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47" s="30" t="str">
        <f ca="1">IFERROR(__xludf.DUMMYFUNCTION("""COMPUTED_VALUE"""),"Incrementar un 30% la oferta de formación y profesionalización para agentes culturales.")</f>
        <v>Incrementar un 30% la oferta de formación y profesionalización para agentes culturales.</v>
      </c>
      <c r="AX547" s="30" t="str">
        <f ca="1">IFERROR(__xludf.DUMMYFUNCTION("""COMPUTED_VALUE"""),"Taller")</f>
        <v>Taller</v>
      </c>
      <c r="AY547" s="30" t="str">
        <f ca="1">IFERROR(__xludf.DUMMYFUNCTION("""COMPUTED_VALUE"""),"Formación")</f>
        <v>Formación</v>
      </c>
      <c r="AZ547" s="30" t="str">
        <f ca="1">IFERROR(__xludf.DUMMYFUNCTION("""COMPUTED_VALUE"""),"Formación")</f>
        <v>Formación</v>
      </c>
      <c r="BA547" s="30" t="str">
        <f ca="1">IFERROR(__xludf.DUMMYFUNCTION("""COMPUTED_VALUE"""),"Otorgar a las personas participantes del taller los conocimientos sobre la técnica calcográfica también llamada “a la manera negra” que da la posibilidad de crear imágenes ricas en semitonos, negros aterciopelados y aproximaciones al color a través del en"&amp;"tintado a la poupée.")</f>
        <v>Otorgar a las personas participantes del taller los conocimientos sobre la técnica calcográfica también llamada “a la manera negra” que da la posibilidad de crear imágenes ricas en semitonos, negros aterciopelados y aproximaciones al color a través del entintado a la poupée.</v>
      </c>
      <c r="BB547" s="30">
        <f ca="1">IFERROR(__xludf.DUMMYFUNCTION("""COMPUTED_VALUE"""),5)</f>
        <v>5</v>
      </c>
      <c r="BC547" s="30">
        <f ca="1">IFERROR(__xludf.DUMMYFUNCTION("""COMPUTED_VALUE"""),1)</f>
        <v>1</v>
      </c>
      <c r="BD547" s="30" t="str">
        <f ca="1">IFERROR(__xludf.DUMMYFUNCTION("""COMPUTED_VALUE"""),"Nuevo")</f>
        <v>Nuevo</v>
      </c>
      <c r="BE547" s="30" t="str">
        <f ca="1">IFERROR(__xludf.DUMMYFUNCTION("""COMPUTED_VALUE"""),"Oliver Esquivel")</f>
        <v>Oliver Esquivel</v>
      </c>
      <c r="BF547" s="30" t="b">
        <f ca="1">IFERROR(__xludf.DUMMYFUNCTION("""COMPUTED_VALUE"""),TRUE)</f>
        <v>1</v>
      </c>
      <c r="BG547" s="30" t="str">
        <f ca="1">IFERROR(__xludf.DUMMYFUNCTION("""COMPUTED_VALUE"""),"Económico")</f>
        <v>Económico</v>
      </c>
      <c r="BH547" s="30">
        <f ca="1">IFERROR(__xludf.DUMMYFUNCTION("""COMPUTED_VALUE"""),38140)</f>
        <v>38140</v>
      </c>
      <c r="BI547" s="30"/>
      <c r="BJ547" s="30"/>
      <c r="BK547" s="30"/>
      <c r="BL547" s="30"/>
      <c r="BM547" s="30" t="str">
        <f ca="1">IFERROR(__xludf.DUMMYFUNCTION("""COMPUTED_VALUE"""),"No")</f>
        <v>No</v>
      </c>
      <c r="BN547" s="30"/>
      <c r="BO547" s="30" t="str">
        <f ca="1">IFERROR(__xludf.DUMMYFUNCTION("""COMPUTED_VALUE"""),"dc7d9cf9")</f>
        <v>dc7d9cf9</v>
      </c>
      <c r="BP547" s="29" t="str">
        <f ca="1">IFERROR(__xludf.DUMMYFUNCTION("""COMPUTED_VALUE"""),"Jerécuaro")</f>
        <v>Jerécuaro</v>
      </c>
      <c r="BQ547" s="30" t="str">
        <f ca="1">IFERROR(__xludf.DUMMYFUNCTION("""COMPUTED_VALUE"""),"Urbano")</f>
        <v>Urbano</v>
      </c>
      <c r="BR547" s="30">
        <f ca="1">IFERROR(__xludf.DUMMYFUNCTION("""COMPUTED_VALUE"""),86)</f>
        <v>86</v>
      </c>
      <c r="BS547" s="30" t="str">
        <f ca="1">IFERROR(__xludf.DUMMYFUNCTION("""COMPUTED_VALUE"""),"Jerecuaro")</f>
        <v>Jerecuaro</v>
      </c>
      <c r="BT547" s="30"/>
      <c r="BU547" s="30" t="str">
        <f ca="1">IFERROR(__xludf.DUMMYFUNCTION("""COMPUTED_VALUE"""),"Si")</f>
        <v>Si</v>
      </c>
      <c r="BV547" s="30" t="str">
        <f ca="1">IFERROR(__xludf.DUMMYFUNCTION("""COMPUTED_VALUE"""),"No")</f>
        <v>No</v>
      </c>
      <c r="BW547" s="30">
        <f ca="1">IFERROR(__xludf.DUMMYFUNCTION("""COMPUTED_VALUE"""),26)</f>
        <v>26</v>
      </c>
      <c r="BX547" s="30">
        <f ca="1">IFERROR(__xludf.DUMMYFUNCTION("""COMPUTED_VALUE"""),26)</f>
        <v>26</v>
      </c>
      <c r="BY547" s="30">
        <f ca="1">IFERROR(__xludf.DUMMYFUNCTION("""COMPUTED_VALUE"""),0)</f>
        <v>0</v>
      </c>
      <c r="BZ547" s="30" t="str">
        <f ca="1">IFERROR(__xludf.DUMMYFUNCTION("""COMPUTED_VALUE"""),"Jerecuaro")</f>
        <v>Jerecuaro</v>
      </c>
      <c r="CA547" s="30" t="str">
        <f ca="1">IFERROR(__xludf.DUMMYFUNCTION("""COMPUTED_VALUE"""),"No")</f>
        <v>No</v>
      </c>
      <c r="CB547" s="30" t="str">
        <f ca="1">IFERROR(__xludf.DUMMYFUNCTION("""COMPUTED_VALUE"""),"No")</f>
        <v>No</v>
      </c>
      <c r="CC547" s="30" t="str">
        <f ca="1">IFERROR(__xludf.DUMMYFUNCTION("""COMPUTED_VALUE"""),"d8322ba3")</f>
        <v>d8322ba3</v>
      </c>
      <c r="CD547" s="29" t="str">
        <f ca="1">IFERROR(__xludf.DUMMYFUNCTION("""COMPUTED_VALUE"""),"Niñas y Niños (6 a 12 años)")</f>
        <v>Niñas y Niños (6 a 12 años)</v>
      </c>
      <c r="CE547" s="30" t="str">
        <f ca="1">IFERROR(__xludf.DUMMYFUNCTION("""COMPUTED_VALUE"""),"No se cuenta con el dato")</f>
        <v>No se cuenta con el dato</v>
      </c>
      <c r="CF547" s="30" t="str">
        <f ca="1">IFERROR(__xludf.DUMMYFUNCTION("""COMPUTED_VALUE"""),"Ninguno (Población General)")</f>
        <v>Ninguno (Población General)</v>
      </c>
      <c r="CG547" s="30">
        <f ca="1">IFERROR(__xludf.DUMMYFUNCTION("""COMPUTED_VALUE"""),13)</f>
        <v>13</v>
      </c>
      <c r="CJ547" s="29"/>
      <c r="CM547" s="30" t="str">
        <f ca="1">IFERROR(__xludf.DUMMYFUNCTION("""COMPUTED_VALUE"""),"Apaseo el Grande")</f>
        <v>Apaseo el Grande</v>
      </c>
      <c r="CN547" s="32" t="e">
        <f ca="1"/>
        <v>#NAME?</v>
      </c>
      <c r="CO547" s="32" t="e">
        <f ca="1"/>
        <v>#NAME?</v>
      </c>
      <c r="CP547" s="32" t="e">
        <f ca="1"/>
        <v>#NAME?</v>
      </c>
      <c r="CQ547" s="32" t="e">
        <f ca="1"/>
        <v>#NAME?</v>
      </c>
      <c r="CR547" s="30" t="e">
        <f ca="1"/>
        <v>#NAME?</v>
      </c>
      <c r="CS547" s="30" t="str">
        <f ca="1">IFERROR(__xludf.DUMMYFUNCTION("""COMPUTED_VALUE"""),"Población General")</f>
        <v>Población General</v>
      </c>
    </row>
    <row r="548" spans="1:97" ht="13">
      <c r="A548" s="29" t="str">
        <f ca="1">IFERROR(__xludf.DUMMYFUNCTION("""COMPUTED_VALUE"""),"ACT-SCFX97585")</f>
        <v>ACT-SCFX97585</v>
      </c>
      <c r="B548" s="30" t="str">
        <f ca="1">IFERROR(__xludf.DUMMYFUNCTION("""COMPUTED_VALUE"""),"SC-261007-122905")</f>
        <v>SC-261007-122905</v>
      </c>
      <c r="C548" s="62">
        <f ca="1">IFERROR(__xludf.DUMMYFUNCTION("""COMPUTED_VALUE"""),46302.5201967592)</f>
        <v>46302.5201967592</v>
      </c>
      <c r="D548" s="30">
        <f ca="1">IFERROR(__xludf.DUMMYFUNCTION("""COMPUTED_VALUE"""),73)</f>
        <v>73</v>
      </c>
      <c r="E548" s="30" t="str">
        <f ca="1">IFERROR(__xludf.DUMMYFUNCTION("""COMPUTED_VALUE"""),"PB3567")</f>
        <v>PB3567</v>
      </c>
      <c r="F548" s="30" t="str">
        <f ca="1">IFERROR(__xludf.DUMMYFUNCTION("""COMPUTED_VALUE"""),"Formación e Investigación Artística")</f>
        <v>Formación e Investigación Artística</v>
      </c>
      <c r="G548" s="30" t="str">
        <f ca="1">IFERROR(__xludf.DUMMYFUNCTION("""COMPUTED_VALUE"""),"Cursos, talleres, y diplomados en patrimonio cultural inmaterial, sobre territorio y comunidad.")</f>
        <v>Cursos, talleres, y diplomados en patrimonio cultural inmaterial, sobre territorio y comunidad.</v>
      </c>
      <c r="H548" s="30" t="str">
        <f ca="1">IFERROR(__xludf.DUMMYFUNCTION("""COMPUTED_VALUE"""),"SUBSECRETARÍA DE DESARROLLO COMUNITARIO Y PROMOCIÓN PATRIMONIAL")</f>
        <v>SUBSECRETARÍA DE DESARROLLO COMUNITARIO Y PROMOCIÓN PATRIMONIAL</v>
      </c>
      <c r="I548" s="34" t="str">
        <f ca="1">IFERROR(__xludf.DUMMYFUNCTION("""COMPUTED_VALUE"""),"DIRECCIÓN GENERAL DE FORMACIÓN E INVESTIGACIÓN")</f>
        <v>DIRECCIÓN GENERAL DE FORMACIÓN E INVESTIGACIÓN</v>
      </c>
      <c r="J548" s="30" t="str">
        <f ca="1">IFERROR(__xludf.DUMMYFUNCTION("""COMPUTED_VALUE"""),"Cursos, talleres, diplomados realizados")</f>
        <v>Cursos, talleres, diplomados realizados</v>
      </c>
      <c r="K548" s="30">
        <f ca="1">IFERROR(__xludf.DUMMYFUNCTION("""COMPUTED_VALUE"""),2)</f>
        <v>2</v>
      </c>
      <c r="L548" s="30" t="str">
        <f ca="1">IFERROR(__xludf.DUMMYFUNCTION("""COMPUTED_VALUE"""),"Cultural")</f>
        <v>Cultural</v>
      </c>
      <c r="M548" s="30" t="str">
        <f ca="1">IFERROR(__xludf.DUMMYFUNCTION("""COMPUTED_VALUE"""),"Diplomado Pedagogías de lo corporal: Saberes locales; Cuerpo y Aprendizaje intuitivo")</f>
        <v>Diplomado Pedagogías de lo corporal: Saberes locales; Cuerpo y Aprendizaje intuitivo</v>
      </c>
      <c r="N548" s="30" t="str">
        <f ca="1">IFERROR(__xludf.DUMMYFUNCTION("""COMPUTED_VALUE"""),"El diplomado aborda las relaciones de la experiencia con la construcción del mundo a partir de aprendizajes vinculados al cuerpo, a las inteligencias diversificadas y los saberes que se despliegan de dichas experiencias, enlazando narrativas históricas, c"&amp;"ulturales, tradicionales, afectivas y corporales.")</f>
        <v>El diplomado aborda las relaciones de la experiencia con la construcción del mundo a partir de aprendizajes vinculados al cuerpo, a las inteligencias diversificadas y los saberes que se despliegan de dichas experiencias, enlazando narrativas históricas, culturales, tradicionales, afectivas y corporales.</v>
      </c>
      <c r="O548" s="30" t="str">
        <f ca="1">IFERROR(__xludf.DUMMYFUNCTION("""COMPUTED_VALUE"""),"Diaria")</f>
        <v>Diaria</v>
      </c>
      <c r="P548" s="33">
        <f ca="1">IFERROR(__xludf.DUMMYFUNCTION("""COMPUTED_VALUE"""),46175)</f>
        <v>46175</v>
      </c>
      <c r="Q548" s="33">
        <f ca="1">IFERROR(__xludf.DUMMYFUNCTION("""COMPUTED_VALUE"""),46280)</f>
        <v>46280</v>
      </c>
      <c r="R548" s="30">
        <f ca="1">IFERROR(__xludf.DUMMYFUNCTION("""COMPUTED_VALUE"""),30)</f>
        <v>30</v>
      </c>
      <c r="S548" s="30" t="str">
        <f ca="1">IFERROR(__xludf.DUMMYFUNCTION("""COMPUTED_VALUE"""),"Multidisciplinario")</f>
        <v>Multidisciplinario</v>
      </c>
      <c r="T548" s="30" t="str">
        <f ca="1">IFERROR(__xludf.DUMMYFUNCTION("""COMPUTED_VALUE"""),"Interdisciplinario")</f>
        <v>Interdisciplinario</v>
      </c>
      <c r="U548" s="30" t="str">
        <f ca="1">IFERROR(__xludf.DUMMYFUNCTION("""COMPUTED_VALUE"""),"Diplomado")</f>
        <v>Diplomado</v>
      </c>
      <c r="V548" s="30" t="str">
        <f ca="1">IFERROR(__xludf.DUMMYFUNCTION("""COMPUTED_VALUE"""),"Ninguna")</f>
        <v>Ninguna</v>
      </c>
      <c r="W548" s="30" t="str">
        <f ca="1">IFERROR(__xludf.DUMMYFUNCTION("""COMPUTED_VALUE"""),"Híbrido")</f>
        <v>Híbrido</v>
      </c>
      <c r="X548" s="30" t="str">
        <f ca="1">IFERROR(__xludf.DUMMYFUNCTION("""COMPUTED_VALUE"""),"Espacio préstamo a la Secretaría de Cultura")</f>
        <v>Espacio préstamo a la Secretaría de Cultura</v>
      </c>
      <c r="Y548" s="30"/>
      <c r="Z548" s="30"/>
      <c r="AA548" s="30"/>
      <c r="AB548" s="30" t="b">
        <f ca="1">IFERROR(__xludf.DUMMYFUNCTION("""COMPUTED_VALUE"""),FALSE)</f>
        <v>0</v>
      </c>
      <c r="AC548" s="30"/>
      <c r="AD548" s="30" t="b">
        <f ca="1">IFERROR(__xludf.DUMMYFUNCTION("""COMPUTED_VALUE"""),TRUE)</f>
        <v>1</v>
      </c>
      <c r="AE548" s="30">
        <f ca="1">IFERROR(__xludf.DUMMYFUNCTION("""COMPUTED_VALUE"""),1)</f>
        <v>1</v>
      </c>
      <c r="AF548" s="30" t="b">
        <f ca="1">IFERROR(__xludf.DUMMYFUNCTION("""COMPUTED_VALUE"""),FALSE)</f>
        <v>0</v>
      </c>
      <c r="AG548" s="30"/>
      <c r="AH548" s="30" t="str">
        <f ca="1">IFERROR(__xludf.DUMMYFUNCTION("""COMPUTED_VALUE"""),"Sin costo")</f>
        <v>Sin costo</v>
      </c>
      <c r="AI548" s="30"/>
      <c r="AJ548" s="30"/>
      <c r="AK548" s="30"/>
      <c r="AL548" s="30" t="str">
        <f ca="1">IFERROR(__xludf.DUMMYFUNCTION("""COMPUTED_VALUE"""),"claudia.ramirezm@guanajuato.gob.mx")</f>
        <v>claudia.ramirezm@guanajuato.gob.mx</v>
      </c>
      <c r="AM548" s="30" t="str">
        <f ca="1">IFERROR(__xludf.DUMMYFUNCTION("""COMPUTED_VALUE"""),"Mayor inversión en conservación del patrimonio artístico y cultural.")</f>
        <v>Mayor inversión en conservación del patrimonio artístico y cultural.</v>
      </c>
      <c r="AN548" s="30" t="str">
        <f ca="1">IFERROR(__xludf.DUMMYFUNCTION("""COMPUTED_VALUE"""),"2 Igualdad")</f>
        <v>2 Igualdad</v>
      </c>
      <c r="AO548" s="30" t="str">
        <f ca="1">IFERROR(__xludf.DUMMYFUNCTION("""COMPUTED_VALUE"""),"2.2 Fortalecer cohesión social")</f>
        <v>2.2 Fortalecer cohesión social</v>
      </c>
      <c r="AP548" s="30" t="str">
        <f ca="1">IFERROR(__xludf.DUMMYFUNCTION("""COMPUTED_VALUE"""),"2.2 Fortalecer cohesión social")</f>
        <v>2.2 Fortalecer cohesión social</v>
      </c>
      <c r="AQ548" s="30" t="str">
        <f ca="1">IFERROR(__xludf.DUMMYFUNCTION("""COMPUTED_VALUE"""),"2.2.3.2 Promover la participación de grupos prioritarios en actividades culturales")</f>
        <v>2.2.3.2 Promover la participación de grupos prioritarios en actividades culturales</v>
      </c>
      <c r="AR548" s="30" t="str">
        <f ca="1">IFERROR(__xludf.DUMMYFUNCTION("""COMPUTED_VALUE"""),"Inclusión")</f>
        <v>Inclusión</v>
      </c>
      <c r="AS548" s="30" t="str">
        <f ca="1">IFERROR(__xludf.DUMMYFUNCTION("""COMPUTED_VALUE"""),"Ninguno (Población General)")</f>
        <v>Ninguno (Población General)</v>
      </c>
      <c r="AT548" s="30" t="str">
        <f ca="1">IFERROR(__xludf.DUMMYFUNCTION("""COMPUTED_VALUE"""),"Impulso a la educación artística y a la profesionalización del sector cultural")</f>
        <v>Impulso a la educación artística y a la profesionalización del sector cultural</v>
      </c>
      <c r="AU548" s="30" t="str">
        <f ca="1">IFERROR(__xludf.DUMMYFUNCTION("""COMPUTED_VALUE"""),"Impulso a programas de formación y profesionalización para agentes culturales.")</f>
        <v>Impulso a programas de formación y profesionalización para agentes culturales.</v>
      </c>
      <c r="AV548"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48" s="30" t="str">
        <f ca="1">IFERROR(__xludf.DUMMYFUNCTION("""COMPUTED_VALUE"""),"Incrementar un 30% la oferta de formación y profesionalización para agentes culturales.")</f>
        <v>Incrementar un 30% la oferta de formación y profesionalización para agentes culturales.</v>
      </c>
      <c r="AX548" s="30" t="str">
        <f ca="1">IFERROR(__xludf.DUMMYFUNCTION("""COMPUTED_VALUE"""),"Diplomado")</f>
        <v>Diplomado</v>
      </c>
      <c r="AY548" s="30" t="str">
        <f ca="1">IFERROR(__xludf.DUMMYFUNCTION("""COMPUTED_VALUE"""),"Formación")</f>
        <v>Formación</v>
      </c>
      <c r="AZ548" s="30" t="str">
        <f ca="1">IFERROR(__xludf.DUMMYFUNCTION("""COMPUTED_VALUE"""),"Formación")</f>
        <v>Formación</v>
      </c>
      <c r="BA548" s="30" t="str">
        <f ca="1">IFERROR(__xludf.DUMMYFUNCTION("""COMPUTED_VALUE"""),"Con el objetivo de traducirlo en proyectos de investigación, pedagógicos y creativos que vinculen al cuerpo desde una perspectiva más amplia, considerando otros cuerpos y no exclusivamente el apartado material humano, sino mas allá de lo humano y lo mater"&amp;"ial.")</f>
        <v>Con el objetivo de traducirlo en proyectos de investigación, pedagógicos y creativos que vinculen al cuerpo desde una perspectiva más amplia, considerando otros cuerpos y no exclusivamente el apartado material humano, sino mas allá de lo humano y lo material.</v>
      </c>
      <c r="BB548" s="30">
        <f ca="1">IFERROR(__xludf.DUMMYFUNCTION("""COMPUTED_VALUE"""),5)</f>
        <v>5</v>
      </c>
      <c r="BC548" s="30">
        <f ca="1">IFERROR(__xludf.DUMMYFUNCTION("""COMPUTED_VALUE"""),5)</f>
        <v>5</v>
      </c>
      <c r="BD548" s="30" t="str">
        <f ca="1">IFERROR(__xludf.DUMMYFUNCTION("""COMPUTED_VALUE"""),"Nuevo")</f>
        <v>Nuevo</v>
      </c>
      <c r="BE548" s="30" t="str">
        <f ca="1">IFERROR(__xludf.DUMMYFUNCTION("""COMPUTED_VALUE"""),"Edith Medina Paz, Zayra Espíritu, Melissa García Aguirre, Isaura Leonardo")</f>
        <v>Edith Medina Paz, Zayra Espíritu, Melissa García Aguirre, Isaura Leonardo</v>
      </c>
      <c r="BF548" s="30" t="b">
        <f ca="1">IFERROR(__xludf.DUMMYFUNCTION("""COMPUTED_VALUE"""),TRUE)</f>
        <v>1</v>
      </c>
      <c r="BG548" s="30" t="str">
        <f ca="1">IFERROR(__xludf.DUMMYFUNCTION("""COMPUTED_VALUE"""),"Económico")</f>
        <v>Económico</v>
      </c>
      <c r="BH548" s="30">
        <f ca="1">IFERROR(__xludf.DUMMYFUNCTION("""COMPUTED_VALUE"""),66336)</f>
        <v>66336</v>
      </c>
      <c r="BI548" s="30"/>
      <c r="BJ548" s="30"/>
      <c r="BK548" s="30"/>
      <c r="BL548" s="30"/>
      <c r="BM548" s="30" t="str">
        <f ca="1">IFERROR(__xludf.DUMMYFUNCTION("""COMPUTED_VALUE"""),"No")</f>
        <v>No</v>
      </c>
      <c r="BN548" s="30"/>
      <c r="BO548" s="30" t="str">
        <f ca="1">IFERROR(__xludf.DUMMYFUNCTION("""COMPUTED_VALUE"""),"771784ad")</f>
        <v>771784ad</v>
      </c>
      <c r="BP548" s="29" t="str">
        <f ca="1">IFERROR(__xludf.DUMMYFUNCTION("""COMPUTED_VALUE"""),"León")</f>
        <v>León</v>
      </c>
      <c r="BQ548" s="30" t="str">
        <f ca="1">IFERROR(__xludf.DUMMYFUNCTION("""COMPUTED_VALUE"""),"Urbano")</f>
        <v>Urbano</v>
      </c>
      <c r="BR548" s="30"/>
      <c r="BS548" s="30"/>
      <c r="BT548" s="30"/>
      <c r="BU548" s="30" t="str">
        <f ca="1">IFERROR(__xludf.DUMMYFUNCTION("""COMPUTED_VALUE"""),"No")</f>
        <v>No</v>
      </c>
      <c r="BV548" s="30" t="str">
        <f ca="1">IFERROR(__xludf.DUMMYFUNCTION("""COMPUTED_VALUE"""),"No")</f>
        <v>No</v>
      </c>
      <c r="BW548" s="30">
        <f ca="1">IFERROR(__xludf.DUMMYFUNCTION("""COMPUTED_VALUE"""),426)</f>
        <v>426</v>
      </c>
      <c r="BX548" s="30">
        <f ca="1">IFERROR(__xludf.DUMMYFUNCTION("""COMPUTED_VALUE"""),87)</f>
        <v>87</v>
      </c>
      <c r="BY548" s="30">
        <f ca="1">IFERROR(__xludf.DUMMYFUNCTION("""COMPUTED_VALUE"""),339)</f>
        <v>339</v>
      </c>
      <c r="BZ548" s="30"/>
      <c r="CA548" s="30" t="str">
        <f ca="1">IFERROR(__xludf.DUMMYFUNCTION("""COMPUTED_VALUE"""),"No")</f>
        <v>No</v>
      </c>
      <c r="CB548" s="30" t="str">
        <f ca="1">IFERROR(__xludf.DUMMYFUNCTION("""COMPUTED_VALUE"""),"No")</f>
        <v>No</v>
      </c>
      <c r="CC548" s="30" t="str">
        <f ca="1">IFERROR(__xludf.DUMMYFUNCTION("""COMPUTED_VALUE"""),"b444b6b3")</f>
        <v>b444b6b3</v>
      </c>
      <c r="CD548" s="29" t="str">
        <f ca="1">IFERROR(__xludf.DUMMYFUNCTION("""COMPUTED_VALUE"""),"Adultos Mayores (60 años o más)")</f>
        <v>Adultos Mayores (60 años o más)</v>
      </c>
      <c r="CE548" s="30" t="str">
        <f ca="1">IFERROR(__xludf.DUMMYFUNCTION("""COMPUTED_VALUE"""),"No se cuenta con el dato")</f>
        <v>No se cuenta con el dato</v>
      </c>
      <c r="CF548" s="30" t="str">
        <f ca="1">IFERROR(__xludf.DUMMYFUNCTION("""COMPUTED_VALUE"""),"Ninguno (Población General)")</f>
        <v>Ninguno (Población General)</v>
      </c>
      <c r="CG548" s="30">
        <f ca="1">IFERROR(__xludf.DUMMYFUNCTION("""COMPUTED_VALUE"""),3)</f>
        <v>3</v>
      </c>
      <c r="CJ548" s="29"/>
      <c r="CM548" s="30" t="str">
        <f ca="1">IFERROR(__xludf.DUMMYFUNCTION("""COMPUTED_VALUE"""),"León")</f>
        <v>León</v>
      </c>
      <c r="CN548" s="32" t="e">
        <f ca="1"/>
        <v>#NAME?</v>
      </c>
      <c r="CO548" s="32" t="e">
        <f ca="1"/>
        <v>#NAME?</v>
      </c>
      <c r="CP548" s="32" t="e">
        <f ca="1"/>
        <v>#NAME?</v>
      </c>
      <c r="CQ548" s="32" t="e">
        <f ca="1"/>
        <v>#NAME?</v>
      </c>
      <c r="CR548" s="30" t="e">
        <f ca="1"/>
        <v>#NAME?</v>
      </c>
      <c r="CS548" s="30" t="str">
        <f ca="1">IFERROR(__xludf.DUMMYFUNCTION("""COMPUTED_VALUE"""),"Ninguno (Población General)")</f>
        <v>Ninguno (Población General)</v>
      </c>
    </row>
    <row r="549" spans="1:97" ht="13">
      <c r="A549" s="29" t="str">
        <f ca="1">IFERROR(__xludf.DUMMYFUNCTION("""COMPUTED_VALUE"""),"ACT-SCLW62426")</f>
        <v>ACT-SCLW62426</v>
      </c>
      <c r="B549" s="30" t="str">
        <f ca="1">IFERROR(__xludf.DUMMYFUNCTION("""COMPUTED_VALUE"""),"SC-261007-121902")</f>
        <v>SC-261007-121902</v>
      </c>
      <c r="C549" s="62">
        <f ca="1">IFERROR(__xludf.DUMMYFUNCTION("""COMPUTED_VALUE"""),46302.5132175926)</f>
        <v>46302.513217592597</v>
      </c>
      <c r="D549" s="30">
        <f ca="1">IFERROR(__xludf.DUMMYFUNCTION("""COMPUTED_VALUE"""),92)</f>
        <v>92</v>
      </c>
      <c r="E549" s="30" t="str">
        <f ca="1">IFERROR(__xludf.DUMMYFUNCTION("""COMPUTED_VALUE"""),"PB3572")</f>
        <v>PB3572</v>
      </c>
      <c r="F54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4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49" s="30" t="str">
        <f ca="1">IFERROR(__xludf.DUMMYFUNCTION("""COMPUTED_VALUE"""),"SUBSECRETARÍA DE DESARROLLO Y PROMOCIÓN ARTÍSTICA Y CULTURAL")</f>
        <v>SUBSECRETARÍA DE DESARROLLO Y PROMOCIÓN ARTÍSTICA Y CULTURAL</v>
      </c>
      <c r="I549" s="34" t="str">
        <f ca="1">IFERROR(__xludf.DUMMYFUNCTION("""COMPUTED_VALUE"""),"DIRECCIÓN GENERAL DE MUSEOS, ARTES VISUALES Y EXPOSICIONES")</f>
        <v>DIRECCIÓN GENERAL DE MUSEOS, ARTES VISUALES Y EXPOSICIONES</v>
      </c>
      <c r="J549" s="30" t="str">
        <f ca="1">IFERROR(__xludf.DUMMYFUNCTION("""COMPUTED_VALUE"""),"Número de Actividades realizadas")</f>
        <v>Número de Actividades realizadas</v>
      </c>
      <c r="K549" s="30">
        <f ca="1">IFERROR(__xludf.DUMMYFUNCTION("""COMPUTED_VALUE"""),800)</f>
        <v>800</v>
      </c>
      <c r="L549" s="30" t="str">
        <f ca="1">IFERROR(__xludf.DUMMYFUNCTION("""COMPUTED_VALUE"""),"Artística")</f>
        <v>Artística</v>
      </c>
      <c r="M549" s="30" t="str">
        <f ca="1">IFERROR(__xludf.DUMMYFUNCTION("""COMPUTED_VALUE"""),"Rompecabezas del arcano mayor")</f>
        <v>Rompecabezas del arcano mayor</v>
      </c>
      <c r="N549" s="30" t="str">
        <f ca="1">IFERROR(__xludf.DUMMYFUNCTION("""COMPUTED_VALUE"""),"Actividad artística de taller familiar, corresponsabilidad con la exposición bajo el signo de saturno.")</f>
        <v>Actividad artística de taller familiar, corresponsabilidad con la exposición bajo el signo de saturno.</v>
      </c>
      <c r="O549" s="30" t="str">
        <f ca="1">IFERROR(__xludf.DUMMYFUNCTION("""COMPUTED_VALUE"""),"Única")</f>
        <v>Única</v>
      </c>
      <c r="P549" s="33">
        <f ca="1">IFERROR(__xludf.DUMMYFUNCTION("""COMPUTED_VALUE"""),46233)</f>
        <v>46233</v>
      </c>
      <c r="Q549" s="33">
        <f ca="1">IFERROR(__xludf.DUMMYFUNCTION("""COMPUTED_VALUE"""),46233)</f>
        <v>46233</v>
      </c>
      <c r="R549" s="30">
        <f ca="1">IFERROR(__xludf.DUMMYFUNCTION("""COMPUTED_VALUE"""),1)</f>
        <v>1</v>
      </c>
      <c r="S549" s="30" t="str">
        <f ca="1">IFERROR(__xludf.DUMMYFUNCTION("""COMPUTED_VALUE"""),"Cultura comunitaria")</f>
        <v>Cultura comunitaria</v>
      </c>
      <c r="T549" s="30" t="str">
        <f ca="1">IFERROR(__xludf.DUMMYFUNCTION("""COMPUTED_VALUE"""),"Mediación cultural")</f>
        <v>Mediación cultural</v>
      </c>
      <c r="U549" s="30" t="str">
        <f ca="1">IFERROR(__xludf.DUMMYFUNCTION("""COMPUTED_VALUE"""),"Taller")</f>
        <v>Taller</v>
      </c>
      <c r="V549" s="30" t="str">
        <f ca="1">IFERROR(__xludf.DUMMYFUNCTION("""COMPUTED_VALUE"""),"Ninguna")</f>
        <v>Ninguna</v>
      </c>
      <c r="W549" s="30" t="str">
        <f ca="1">IFERROR(__xludf.DUMMYFUNCTION("""COMPUTED_VALUE"""),"Presencial")</f>
        <v>Presencial</v>
      </c>
      <c r="X549" s="30" t="str">
        <f ca="1">IFERROR(__xludf.DUMMYFUNCTION("""COMPUTED_VALUE"""),"Espacio a Cargo de la Secretaría")</f>
        <v>Espacio a Cargo de la Secretaría</v>
      </c>
      <c r="Y549" s="30" t="str">
        <f ca="1">IFERROR(__xludf.DUMMYFUNCTION("""COMPUTED_VALUE"""),"Museo de Arte e Historia de Guanajuato, sala Feliciano Peña")</f>
        <v>Museo de Arte e Historia de Guanajuato, sala Feliciano Peña</v>
      </c>
      <c r="Z549" s="30"/>
      <c r="AA549" s="30"/>
      <c r="AB549" s="30" t="b">
        <f ca="1">IFERROR(__xludf.DUMMYFUNCTION("""COMPUTED_VALUE"""),FALSE)</f>
        <v>0</v>
      </c>
      <c r="AC549" s="30"/>
      <c r="AD549" s="30" t="b">
        <f ca="1">IFERROR(__xludf.DUMMYFUNCTION("""COMPUTED_VALUE"""),FALSE)</f>
        <v>0</v>
      </c>
      <c r="AE549" s="30"/>
      <c r="AF549" s="30" t="b">
        <f ca="1">IFERROR(__xludf.DUMMYFUNCTION("""COMPUTED_VALUE"""),FALSE)</f>
        <v>0</v>
      </c>
      <c r="AG549" s="30"/>
      <c r="AH549" s="30" t="str">
        <f ca="1">IFERROR(__xludf.DUMMYFUNCTION("""COMPUTED_VALUE"""),"Sin costo")</f>
        <v>Sin costo</v>
      </c>
      <c r="AI549" s="30"/>
      <c r="AJ549" s="30"/>
      <c r="AK549" s="30"/>
      <c r="AL549" s="30" t="str">
        <f ca="1">IFERROR(__xludf.DUMMYFUNCTION("""COMPUTED_VALUE"""),"ccardonav@guanajuato.gob.mx")</f>
        <v>ccardonav@guanajuato.gob.mx</v>
      </c>
      <c r="AM549" s="30" t="str">
        <f ca="1">IFERROR(__xludf.DUMMYFUNCTION("""COMPUTED_VALUE"""),"Arraigo y empoderamiento cultural de comunidades.")</f>
        <v>Arraigo y empoderamiento cultural de comunidades.</v>
      </c>
      <c r="AN549" s="30" t="str">
        <f ca="1">IFERROR(__xludf.DUMMYFUNCTION("""COMPUTED_VALUE"""),"2 Igualdad")</f>
        <v>2 Igualdad</v>
      </c>
      <c r="AO549" s="30" t="str">
        <f ca="1">IFERROR(__xludf.DUMMYFUNCTION("""COMPUTED_VALUE"""),"2.4 Reducir brechas de desigualdad")</f>
        <v>2.4 Reducir brechas de desigualdad</v>
      </c>
      <c r="AP549" s="30" t="str">
        <f ca="1">IFERROR(__xludf.DUMMYFUNCTION("""COMPUTED_VALUE"""),"2.4.3 Descentralización de la oferta cultural")</f>
        <v>2.4.3 Descentralización de la oferta cultural</v>
      </c>
      <c r="AQ549" s="30" t="str">
        <f ca="1">IFERROR(__xludf.DUMMYFUNCTION("""COMPUTED_VALUE"""),"2.4.3.1 Impulsar el desarrollo artístico y cultural entre infancias y juventudes")</f>
        <v>2.4.3.1 Impulsar el desarrollo artístico y cultural entre infancias y juventudes</v>
      </c>
      <c r="AR549" s="30" t="str">
        <f ca="1">IFERROR(__xludf.DUMMYFUNCTION("""COMPUTED_VALUE"""),"Cooperación")</f>
        <v>Cooperación</v>
      </c>
      <c r="AS549" s="30"/>
      <c r="AT549" s="30" t="str">
        <f ca="1">IFERROR(__xludf.DUMMYFUNCTION("""COMPUTED_VALUE"""),"Fortalecimiento de la participación ciudadana y la mediación cultural")</f>
        <v>Fortalecimiento de la participación ciudadana y la mediación cultural</v>
      </c>
      <c r="AU549" s="30" t="str">
        <f ca="1">IFERROR(__xludf.DUMMYFUNCTION("""COMPUTED_VALUE"""),"Impulso a la ampliación de la oferta cultural en los territorios.")</f>
        <v>Impulso a la ampliación de la oferta cultural en los territorios.</v>
      </c>
      <c r="AV54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49" s="30" t="str">
        <f ca="1">IFERROR(__xludf.DUMMYFUNCTION("""COMPUTED_VALUE"""),"Incrementar en 25% la oferta cultural realizada en los municipios.")</f>
        <v>Incrementar en 25% la oferta cultural realizada en los municipios.</v>
      </c>
      <c r="AX549" s="30" t="str">
        <f ca="1">IFERROR(__xludf.DUMMYFUNCTION("""COMPUTED_VALUE"""),"Taller")</f>
        <v>Taller</v>
      </c>
      <c r="AY549" s="30" t="str">
        <f ca="1">IFERROR(__xludf.DUMMYFUNCTION("""COMPUTED_VALUE"""),"Mediación")</f>
        <v>Mediación</v>
      </c>
      <c r="AZ549" s="30"/>
      <c r="BA549" s="30"/>
      <c r="BB549" s="30"/>
      <c r="BC549" s="30">
        <f ca="1">IFERROR(__xludf.DUMMYFUNCTION("""COMPUTED_VALUE"""),0)</f>
        <v>0</v>
      </c>
      <c r="BD549" s="30"/>
      <c r="BE549" s="30"/>
      <c r="BF549" s="30" t="b">
        <f ca="1">IFERROR(__xludf.DUMMYFUNCTION("""COMPUTED_VALUE"""),FALSE)</f>
        <v>0</v>
      </c>
      <c r="BG549" s="30"/>
      <c r="BH549" s="30"/>
      <c r="BI549" s="30"/>
      <c r="BJ549" s="30"/>
      <c r="BK549" s="30"/>
      <c r="BL549" s="30"/>
      <c r="BM549" s="30" t="str">
        <f ca="1">IFERROR(__xludf.DUMMYFUNCTION("""COMPUTED_VALUE"""),"No")</f>
        <v>No</v>
      </c>
      <c r="BN549" s="30"/>
      <c r="BO549" s="30" t="str">
        <f ca="1">IFERROR(__xludf.DUMMYFUNCTION("""COMPUTED_VALUE"""),"9c983222")</f>
        <v>9c983222</v>
      </c>
      <c r="BP549" s="29" t="str">
        <f ca="1">IFERROR(__xludf.DUMMYFUNCTION("""COMPUTED_VALUE"""),"Guanajuato")</f>
        <v>Guanajuato</v>
      </c>
      <c r="BQ549" s="30" t="str">
        <f ca="1">IFERROR(__xludf.DUMMYFUNCTION("""COMPUTED_VALUE"""),"Urbano")</f>
        <v>Urbano</v>
      </c>
      <c r="BR549" s="30"/>
      <c r="BS549" s="30"/>
      <c r="BT549" s="30"/>
      <c r="BU549" s="30" t="str">
        <f ca="1">IFERROR(__xludf.DUMMYFUNCTION("""COMPUTED_VALUE"""),"No")</f>
        <v>No</v>
      </c>
      <c r="BV549" s="30" t="str">
        <f ca="1">IFERROR(__xludf.DUMMYFUNCTION("""COMPUTED_VALUE"""),"No")</f>
        <v>No</v>
      </c>
      <c r="BW549" s="30">
        <f ca="1">IFERROR(__xludf.DUMMYFUNCTION("""COMPUTED_VALUE"""),887)</f>
        <v>887</v>
      </c>
      <c r="BX549" s="30">
        <f ca="1">IFERROR(__xludf.DUMMYFUNCTION("""COMPUTED_VALUE"""),87)</f>
        <v>87</v>
      </c>
      <c r="BY549" s="30">
        <f ca="1">IFERROR(__xludf.DUMMYFUNCTION("""COMPUTED_VALUE"""),800)</f>
        <v>800</v>
      </c>
      <c r="BZ549" s="30"/>
      <c r="CA549" s="30" t="str">
        <f ca="1">IFERROR(__xludf.DUMMYFUNCTION("""COMPUTED_VALUE"""),"No")</f>
        <v>No</v>
      </c>
      <c r="CB549" s="30" t="str">
        <f ca="1">IFERROR(__xludf.DUMMYFUNCTION("""COMPUTED_VALUE"""),"No")</f>
        <v>No</v>
      </c>
      <c r="CC549" s="30" t="str">
        <f ca="1">IFERROR(__xludf.DUMMYFUNCTION("""COMPUTED_VALUE"""),"de53db39")</f>
        <v>de53db39</v>
      </c>
      <c r="CD549" s="29" t="str">
        <f ca="1">IFERROR(__xludf.DUMMYFUNCTION("""COMPUTED_VALUE"""),"Niñas y Niños (6 a 12 años)")</f>
        <v>Niñas y Niños (6 a 12 años)</v>
      </c>
      <c r="CE549" s="30" t="str">
        <f ca="1">IFERROR(__xludf.DUMMYFUNCTION("""COMPUTED_VALUE"""),"No se cuenta con el dato")</f>
        <v>No se cuenta con el dato</v>
      </c>
      <c r="CF549" s="30" t="str">
        <f ca="1">IFERROR(__xludf.DUMMYFUNCTION("""COMPUTED_VALUE"""),"Ninguno (Población General)")</f>
        <v>Ninguno (Población General)</v>
      </c>
      <c r="CG549" s="30">
        <f ca="1">IFERROR(__xludf.DUMMYFUNCTION("""COMPUTED_VALUE"""),9)</f>
        <v>9</v>
      </c>
      <c r="CJ549" s="29"/>
      <c r="CM549" s="30" t="str">
        <f ca="1">IFERROR(__xludf.DUMMYFUNCTION("""COMPUTED_VALUE"""),"León")</f>
        <v>León</v>
      </c>
      <c r="CN549" s="32" t="e">
        <f ca="1"/>
        <v>#NAME?</v>
      </c>
      <c r="CO549" s="32" t="e">
        <f ca="1"/>
        <v>#NAME?</v>
      </c>
      <c r="CP549" s="32" t="e">
        <f ca="1"/>
        <v>#NAME?</v>
      </c>
      <c r="CQ549" s="32" t="e">
        <f ca="1"/>
        <v>#NAME?</v>
      </c>
      <c r="CR549" s="30" t="e">
        <f ca="1"/>
        <v>#NAME?</v>
      </c>
      <c r="CS549" s="30" t="str">
        <f ca="1">IFERROR(__xludf.DUMMYFUNCTION("""COMPUTED_VALUE"""),"NNA (Niñas, Niños y Adolescentes), NNA (Niñas, Niños y Adolescentes), NNA (Niñas, Niños y Adolescentes)")</f>
        <v>NNA (Niñas, Niños y Adolescentes), NNA (Niñas, Niños y Adolescentes), NNA (Niñas, Niños y Adolescentes)</v>
      </c>
    </row>
    <row r="550" spans="1:97" ht="13">
      <c r="A550" s="29" t="str">
        <f ca="1">IFERROR(__xludf.DUMMYFUNCTION("""COMPUTED_VALUE"""),"ACT-SCJU55686")</f>
        <v>ACT-SCJU55686</v>
      </c>
      <c r="B550" s="30" t="str">
        <f ca="1">IFERROR(__xludf.DUMMYFUNCTION("""COMPUTED_VALUE"""),"SC-261007-130546")</f>
        <v>SC-261007-130546</v>
      </c>
      <c r="C550" s="62">
        <f ca="1">IFERROR(__xludf.DUMMYFUNCTION("""COMPUTED_VALUE"""),46302.5456712962)</f>
        <v>46302.545671296197</v>
      </c>
      <c r="D550" s="30">
        <f ca="1">IFERROR(__xludf.DUMMYFUNCTION("""COMPUTED_VALUE"""),2)</f>
        <v>2</v>
      </c>
      <c r="E550" s="30" t="str">
        <f ca="1">IFERROR(__xludf.DUMMYFUNCTION("""COMPUTED_VALUE"""),"QC4102")</f>
        <v>QC4102</v>
      </c>
      <c r="F550" s="30" t="str">
        <f ca="1">IFERROR(__xludf.DUMMYFUNCTION("""COMPUTED_VALUE"""),"Fondo Estatal para la Cultura y las Artes")</f>
        <v>Fondo Estatal para la Cultura y las Artes</v>
      </c>
      <c r="G550" s="30" t="str">
        <f ca="1">IFERROR(__xludf.DUMMYFUNCTION("""COMPUTED_VALUE"""),"Apoyos económicos a personas físicas y morales para la producción de proyectos culturales y artísticos, en disciplinas como artes visuales, escénicas, música, arte sonoro, literatura, medios audiovisuales e interdisciplina, festivales y espacios independi"&amp;"entes.")</f>
        <v>Apoyos económicos a personas físicas y morales para la producción de proyectos culturales y artísticos, en disciplinas como artes visuales, escénicas, música, arte sonoro, literatura, medios audiovisuales e interdisciplina, festivales y espacios independientes.</v>
      </c>
      <c r="H550" s="30" t="str">
        <f ca="1">IFERROR(__xludf.DUMMYFUNCTION("""COMPUTED_VALUE"""),"SUBSECRETARÍA DE DESARROLLO Y PROMOCIÓN ARTÍSTICA Y CULTURAL")</f>
        <v>SUBSECRETARÍA DE DESARROLLO Y PROMOCIÓN ARTÍSTICA Y CULTURAL</v>
      </c>
      <c r="I550" s="34" t="str">
        <f ca="1">IFERROR(__xludf.DUMMYFUNCTION("""COMPUTED_VALUE"""),"SIN ASIGNAR")</f>
        <v>SIN ASIGNAR</v>
      </c>
      <c r="J550" s="30" t="str">
        <f ca="1">IFERROR(__xludf.DUMMYFUNCTION("""COMPUTED_VALUE"""),"Proyectos culturales apoyados")</f>
        <v>Proyectos culturales apoyados</v>
      </c>
      <c r="K550" s="30">
        <f ca="1">IFERROR(__xludf.DUMMYFUNCTION("""COMPUTED_VALUE"""),15)</f>
        <v>15</v>
      </c>
      <c r="L550" s="30" t="str">
        <f ca="1">IFERROR(__xludf.DUMMYFUNCTION("""COMPUTED_VALUE"""),"Artística")</f>
        <v>Artística</v>
      </c>
      <c r="M550" s="30" t="str">
        <f ca="1">IFERROR(__xludf.DUMMYFUNCTION("""COMPUTED_VALUE"""),"Taller de Inteligencia Artificial, datos y cuerpo")</f>
        <v>Taller de Inteligencia Artificial, datos y cuerpo</v>
      </c>
      <c r="N550" s="30" t="str">
        <f ca="1">IFERROR(__xludf.DUMMYFUNCTION("""COMPUTED_VALUE"""),"Este taller explora la relación entre la tecnología digital, los datos y la creación artística mediante la inteligencia artificial")</f>
        <v>Este taller explora la relación entre la tecnología digital, los datos y la creación artística mediante la inteligencia artificial</v>
      </c>
      <c r="O550" s="30" t="str">
        <f ca="1">IFERROR(__xludf.DUMMYFUNCTION("""COMPUTED_VALUE"""),"Diaria")</f>
        <v>Diaria</v>
      </c>
      <c r="P550" s="33">
        <f ca="1">IFERROR(__xludf.DUMMYFUNCTION("""COMPUTED_VALUE"""),46276)</f>
        <v>46276</v>
      </c>
      <c r="Q550" s="33">
        <f ca="1">IFERROR(__xludf.DUMMYFUNCTION("""COMPUTED_VALUE"""),46284)</f>
        <v>46284</v>
      </c>
      <c r="R550" s="30">
        <f ca="1">IFERROR(__xludf.DUMMYFUNCTION("""COMPUTED_VALUE"""),8)</f>
        <v>8</v>
      </c>
      <c r="S550" s="30" t="str">
        <f ca="1">IFERROR(__xludf.DUMMYFUNCTION("""COMPUTED_VALUE"""),"Artes visuales")</f>
        <v>Artes visuales</v>
      </c>
      <c r="T550" s="30" t="str">
        <f ca="1">IFERROR(__xludf.DUMMYFUNCTION("""COMPUTED_VALUE"""),"Arte digital")</f>
        <v>Arte digital</v>
      </c>
      <c r="U550" s="30" t="str">
        <f ca="1">IFERROR(__xludf.DUMMYFUNCTION("""COMPUTED_VALUE"""),"Taller")</f>
        <v>Taller</v>
      </c>
      <c r="V550" s="30" t="str">
        <f ca="1">IFERROR(__xludf.DUMMYFUNCTION("""COMPUTED_VALUE"""),"Ninguna")</f>
        <v>Ninguna</v>
      </c>
      <c r="W550" s="30" t="str">
        <f ca="1">IFERROR(__xludf.DUMMYFUNCTION("""COMPUTED_VALUE"""),"Virtual")</f>
        <v>Virtual</v>
      </c>
      <c r="X550" s="30" t="str">
        <f ca="1">IFERROR(__xludf.DUMMYFUNCTION("""COMPUTED_VALUE"""),"Espacio préstamo a la Secretaría de Cultura")</f>
        <v>Espacio préstamo a la Secretaría de Cultura</v>
      </c>
      <c r="Y550" s="30"/>
      <c r="Z550" s="30"/>
      <c r="AA550" s="30"/>
      <c r="AB550" s="30" t="b">
        <f ca="1">IFERROR(__xludf.DUMMYFUNCTION("""COMPUTED_VALUE"""),FALSE)</f>
        <v>0</v>
      </c>
      <c r="AC550" s="30"/>
      <c r="AD550" s="30" t="b">
        <f ca="1">IFERROR(__xludf.DUMMYFUNCTION("""COMPUTED_VALUE"""),FALSE)</f>
        <v>0</v>
      </c>
      <c r="AE550" s="30"/>
      <c r="AF550" s="30" t="b">
        <f ca="1">IFERROR(__xludf.DUMMYFUNCTION("""COMPUTED_VALUE"""),FALSE)</f>
        <v>0</v>
      </c>
      <c r="AG550" s="30"/>
      <c r="AH550" s="30" t="str">
        <f ca="1">IFERROR(__xludf.DUMMYFUNCTION("""COMPUTED_VALUE"""),"Sin costo")</f>
        <v>Sin costo</v>
      </c>
      <c r="AI550" s="30"/>
      <c r="AJ550" s="30"/>
      <c r="AK550" s="30"/>
      <c r="AL550" s="30" t="str">
        <f ca="1">IFERROR(__xludf.DUMMYFUNCTION("""COMPUTED_VALUE"""),"claudia.ramirezm@guanajuato.gob.mx")</f>
        <v>claudia.ramirezm@guanajuato.gob.mx</v>
      </c>
      <c r="AM550" s="30" t="str">
        <f ca="1">IFERROR(__xludf.DUMMYFUNCTION("""COMPUTED_VALUE"""),"Mayor inversión en conservación del patrimonio artístico y cultural.")</f>
        <v>Mayor inversión en conservación del patrimonio artístico y cultural.</v>
      </c>
      <c r="AN550" s="30" t="str">
        <f ca="1">IFERROR(__xludf.DUMMYFUNCTION("""COMPUTED_VALUE"""),"2 Igualdad")</f>
        <v>2 Igualdad</v>
      </c>
      <c r="AO550" s="30" t="str">
        <f ca="1">IFERROR(__xludf.DUMMYFUNCTION("""COMPUTED_VALUE"""),"2.2 Fortalecer cohesión social")</f>
        <v>2.2 Fortalecer cohesión social</v>
      </c>
      <c r="AP550" s="30" t="str">
        <f ca="1">IFERROR(__xludf.DUMMYFUNCTION("""COMPUTED_VALUE"""),"2.2 Fortalecer cohesión social")</f>
        <v>2.2 Fortalecer cohesión social</v>
      </c>
      <c r="AQ550" s="30" t="str">
        <f ca="1">IFERROR(__xludf.DUMMYFUNCTION("""COMPUTED_VALUE"""),"2.2.3.2 Promover la participación de grupos prioritarios en actividades culturales")</f>
        <v>2.2.3.2 Promover la participación de grupos prioritarios en actividades culturales</v>
      </c>
      <c r="AR550" s="30" t="str">
        <f ca="1">IFERROR(__xludf.DUMMYFUNCTION("""COMPUTED_VALUE"""),"Inclusión")</f>
        <v>Inclusión</v>
      </c>
      <c r="AS550" s="30" t="str">
        <f ca="1">IFERROR(__xludf.DUMMYFUNCTION("""COMPUTED_VALUE"""),"Ninguno (Población General)")</f>
        <v>Ninguno (Población General)</v>
      </c>
      <c r="AT550" s="30" t="str">
        <f ca="1">IFERROR(__xludf.DUMMYFUNCTION("""COMPUTED_VALUE"""),"Impulso a la educación artística y a la profesionalización del sector cultural")</f>
        <v>Impulso a la educación artística y a la profesionalización del sector cultural</v>
      </c>
      <c r="AU550" s="30" t="str">
        <f ca="1">IFERROR(__xludf.DUMMYFUNCTION("""COMPUTED_VALUE"""),"Impulso a programas de formación y profesionalización para agentes culturales.")</f>
        <v>Impulso a programas de formación y profesionalización para agentes culturales.</v>
      </c>
      <c r="AV550"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0" s="30" t="str">
        <f ca="1">IFERROR(__xludf.DUMMYFUNCTION("""COMPUTED_VALUE"""),"Incrementar un 30% la oferta de formación y profesionalización para agentes culturales.")</f>
        <v>Incrementar un 30% la oferta de formación y profesionalización para agentes culturales.</v>
      </c>
      <c r="AX550" s="30" t="str">
        <f ca="1">IFERROR(__xludf.DUMMYFUNCTION("""COMPUTED_VALUE"""),"Taller")</f>
        <v>Taller</v>
      </c>
      <c r="AY550" s="30" t="str">
        <f ca="1">IFERROR(__xludf.DUMMYFUNCTION("""COMPUTED_VALUE"""),"Formación")</f>
        <v>Formación</v>
      </c>
      <c r="AZ550" s="30" t="str">
        <f ca="1">IFERROR(__xludf.DUMMYFUNCTION("""COMPUTED_VALUE"""),"Formación")</f>
        <v>Formación</v>
      </c>
      <c r="BA550" s="30"/>
      <c r="BB550" s="30">
        <f ca="1">IFERROR(__xludf.DUMMYFUNCTION("""COMPUTED_VALUE"""),5)</f>
        <v>5</v>
      </c>
      <c r="BC550" s="30">
        <f ca="1">IFERROR(__xludf.DUMMYFUNCTION("""COMPUTED_VALUE"""),1)</f>
        <v>1</v>
      </c>
      <c r="BD550" s="30"/>
      <c r="BE550" s="30"/>
      <c r="BF550" s="30" t="b">
        <f ca="1">IFERROR(__xludf.DUMMYFUNCTION("""COMPUTED_VALUE"""),FALSE)</f>
        <v>0</v>
      </c>
      <c r="BG550" s="30"/>
      <c r="BH550" s="30"/>
      <c r="BI550" s="30"/>
      <c r="BJ550" s="30"/>
      <c r="BK550" s="30"/>
      <c r="BL550" s="30"/>
      <c r="BM550" s="30" t="str">
        <f ca="1">IFERROR(__xludf.DUMMYFUNCTION("""COMPUTED_VALUE"""),"No")</f>
        <v>No</v>
      </c>
      <c r="BN550" s="30"/>
      <c r="BO550" s="30" t="str">
        <f ca="1">IFERROR(__xludf.DUMMYFUNCTION("""COMPUTED_VALUE"""),"99d33322")</f>
        <v>99d33322</v>
      </c>
      <c r="BP550" s="29" t="str">
        <f ca="1">IFERROR(__xludf.DUMMYFUNCTION("""COMPUTED_VALUE"""),"Jerécuaro")</f>
        <v>Jerécuaro</v>
      </c>
      <c r="BQ550" s="30" t="str">
        <f ca="1">IFERROR(__xludf.DUMMYFUNCTION("""COMPUTED_VALUE"""),"Urbano")</f>
        <v>Urbano</v>
      </c>
      <c r="BR550" s="30">
        <f ca="1">IFERROR(__xludf.DUMMYFUNCTION("""COMPUTED_VALUE"""),86)</f>
        <v>86</v>
      </c>
      <c r="BS550" s="30" t="str">
        <f ca="1">IFERROR(__xludf.DUMMYFUNCTION("""COMPUTED_VALUE"""),"Jerecuaro")</f>
        <v>Jerecuaro</v>
      </c>
      <c r="BT550" s="30"/>
      <c r="BU550" s="30" t="str">
        <f ca="1">IFERROR(__xludf.DUMMYFUNCTION("""COMPUTED_VALUE"""),"Si")</f>
        <v>Si</v>
      </c>
      <c r="BV550" s="30" t="str">
        <f ca="1">IFERROR(__xludf.DUMMYFUNCTION("""COMPUTED_VALUE"""),"No")</f>
        <v>No</v>
      </c>
      <c r="BW550" s="30">
        <f ca="1">IFERROR(__xludf.DUMMYFUNCTION("""COMPUTED_VALUE"""),379)</f>
        <v>379</v>
      </c>
      <c r="BX550" s="30">
        <f ca="1">IFERROR(__xludf.DUMMYFUNCTION("""COMPUTED_VALUE"""),26)</f>
        <v>26</v>
      </c>
      <c r="BY550" s="30">
        <f ca="1">IFERROR(__xludf.DUMMYFUNCTION("""COMPUTED_VALUE"""),353)</f>
        <v>353</v>
      </c>
      <c r="BZ550" s="30" t="str">
        <f ca="1">IFERROR(__xludf.DUMMYFUNCTION("""COMPUTED_VALUE"""),"Jerecuaro")</f>
        <v>Jerecuaro</v>
      </c>
      <c r="CA550" s="30" t="str">
        <f ca="1">IFERROR(__xludf.DUMMYFUNCTION("""COMPUTED_VALUE"""),"No")</f>
        <v>No</v>
      </c>
      <c r="CB550" s="30" t="str">
        <f ca="1">IFERROR(__xludf.DUMMYFUNCTION("""COMPUTED_VALUE"""),"No")</f>
        <v>No</v>
      </c>
      <c r="CC550" s="30" t="str">
        <f ca="1">IFERROR(__xludf.DUMMYFUNCTION("""COMPUTED_VALUE"""),"b675fdc0")</f>
        <v>b675fdc0</v>
      </c>
      <c r="CD550" s="29" t="str">
        <f ca="1">IFERROR(__xludf.DUMMYFUNCTION("""COMPUTED_VALUE"""),"Jóvenes (18 a 29 años)")</f>
        <v>Jóvenes (18 a 29 años)</v>
      </c>
      <c r="CE550" s="30" t="str">
        <f ca="1">IFERROR(__xludf.DUMMYFUNCTION("""COMPUTED_VALUE"""),"Hombre")</f>
        <v>Hombre</v>
      </c>
      <c r="CF550" s="30" t="str">
        <f ca="1">IFERROR(__xludf.DUMMYFUNCTION("""COMPUTED_VALUE"""),"Ninguno (Población General)")</f>
        <v>Ninguno (Población General)</v>
      </c>
      <c r="CG550" s="30">
        <f ca="1">IFERROR(__xludf.DUMMYFUNCTION("""COMPUTED_VALUE"""),6)</f>
        <v>6</v>
      </c>
      <c r="CJ550" s="29"/>
      <c r="CM550" s="30" t="str">
        <f ca="1">IFERROR(__xludf.DUMMYFUNCTION("""COMPUTED_VALUE"""),"León, Guanajuato")</f>
        <v>León, Guanajuato</v>
      </c>
      <c r="CN550" s="32" t="e">
        <f ca="1"/>
        <v>#NAME?</v>
      </c>
      <c r="CO550" s="32" t="e">
        <f ca="1"/>
        <v>#NAME?</v>
      </c>
      <c r="CP550" s="32" t="e">
        <f ca="1"/>
        <v>#NAME?</v>
      </c>
      <c r="CQ550" s="32" t="e">
        <f ca="1"/>
        <v>#NAME?</v>
      </c>
      <c r="CR550" s="30" t="e">
        <f ca="1"/>
        <v>#NAME?</v>
      </c>
      <c r="CS550" s="30" t="str">
        <f ca="1">IFERROR(__xludf.DUMMYFUNCTION("""COMPUTED_VALUE"""),"Población General")</f>
        <v>Población General</v>
      </c>
    </row>
    <row r="551" spans="1:97" ht="13">
      <c r="A551" s="29" t="str">
        <f ca="1">IFERROR(__xludf.DUMMYFUNCTION("""COMPUTED_VALUE"""),"ACT-SCYI89333")</f>
        <v>ACT-SCYI89333</v>
      </c>
      <c r="B551" s="30" t="str">
        <f ca="1">IFERROR(__xludf.DUMMYFUNCTION("""COMPUTED_VALUE"""),"SC-261007-032406")</f>
        <v>SC-261007-032406</v>
      </c>
      <c r="C551" s="62">
        <f ca="1">IFERROR(__xludf.DUMMYFUNCTION("""COMPUTED_VALUE"""),46302.1417361111)</f>
        <v>46302.141736111102</v>
      </c>
      <c r="D551" s="30">
        <f ca="1">IFERROR(__xludf.DUMMYFUNCTION("""COMPUTED_VALUE"""),26)</f>
        <v>26</v>
      </c>
      <c r="E551" s="30" t="str">
        <f ca="1">IFERROR(__xludf.DUMMYFUNCTION("""COMPUTED_VALUE"""),"QC4047")</f>
        <v>QC4047</v>
      </c>
      <c r="F551" s="30" t="str">
        <f ca="1">IFERROR(__xludf.DUMMYFUNCTION("""COMPUTED_VALUE"""),"Vientos Musicales para la Gente")</f>
        <v>Vientos Musicales para la Gente</v>
      </c>
      <c r="G551" s="30" t="str">
        <f ca="1">IFERROR(__xludf.DUMMYFUNCTION("""COMPUTED_VALUE"""),"Capacitación docente y a personas beneficiarias de ensambles representativos en temas especializados a través de la enseñanza por competencias.")</f>
        <v>Capacitación docente y a personas beneficiarias de ensambles representativos en temas especializados a través de la enseñanza por competencias.</v>
      </c>
      <c r="H551" s="30" t="str">
        <f ca="1">IFERROR(__xludf.DUMMYFUNCTION("""COMPUTED_VALUE"""),"SUBSECRETARÍA DE DESARROLLO COMUNITARIO Y PROMOCIÓN PATRIMONIAL")</f>
        <v>SUBSECRETARÍA DE DESARROLLO COMUNITARIO Y PROMOCIÓN PATRIMONIAL</v>
      </c>
      <c r="I551" s="34" t="str">
        <f ca="1">IFERROR(__xludf.DUMMYFUNCTION("""COMPUTED_VALUE"""),"DIRECCIÓN GENERAL DE FORMACIÓN E INVESTIGACIÓN")</f>
        <v>DIRECCIÓN GENERAL DE FORMACIÓN E INVESTIGACIÓN</v>
      </c>
      <c r="J551" s="30" t="str">
        <f ca="1">IFERROR(__xludf.DUMMYFUNCTION("""COMPUTED_VALUE"""),"Personas capacitadas")</f>
        <v>Personas capacitadas</v>
      </c>
      <c r="K551" s="30">
        <f ca="1">IFERROR(__xludf.DUMMYFUNCTION("""COMPUTED_VALUE"""),400)</f>
        <v>400</v>
      </c>
      <c r="L551" s="30" t="str">
        <f ca="1">IFERROR(__xludf.DUMMYFUNCTION("""COMPUTED_VALUE"""),"Cultural")</f>
        <v>Cultural</v>
      </c>
      <c r="M551" s="30" t="str">
        <f ca="1">IFERROR(__xludf.DUMMYFUNCTION("""COMPUTED_VALUE"""),"Capacitación en temas específicos a docentes y ensambles de representación del Programa Vientos Musicales para la Gente")</f>
        <v>Capacitación en temas específicos a docentes y ensambles de representación del Programa Vientos Musicales para la Gente</v>
      </c>
      <c r="N551" s="30" t="str">
        <f ca="1">IFERROR(__xludf.DUMMYFUNCTION("""COMPUTED_VALUE"""),"Capacitación continua a docentes en temas específicos a través de la ensañanza por competencias")</f>
        <v>Capacitación continua a docentes en temas específicos a través de la ensañanza por competencias</v>
      </c>
      <c r="O551" s="30" t="str">
        <f ca="1">IFERROR(__xludf.DUMMYFUNCTION("""COMPUTED_VALUE"""),"Otras")</f>
        <v>Otras</v>
      </c>
      <c r="P551" s="33">
        <f ca="1">IFERROR(__xludf.DUMMYFUNCTION("""COMPUTED_VALUE"""),46070)</f>
        <v>46070</v>
      </c>
      <c r="Q551" s="33">
        <f ca="1">IFERROR(__xludf.DUMMYFUNCTION("""COMPUTED_VALUE"""),46112)</f>
        <v>46112</v>
      </c>
      <c r="R551" s="30">
        <f ca="1">IFERROR(__xludf.DUMMYFUNCTION("""COMPUTED_VALUE"""),11)</f>
        <v>11</v>
      </c>
      <c r="S551" s="30" t="str">
        <f ca="1">IFERROR(__xludf.DUMMYFUNCTION("""COMPUTED_VALUE"""),"Música")</f>
        <v>Música</v>
      </c>
      <c r="T551" s="30" t="str">
        <f ca="1">IFERROR(__xludf.DUMMYFUNCTION("""COMPUTED_VALUE"""),"Formación musical, instrumental o coral")</f>
        <v>Formación musical, instrumental o coral</v>
      </c>
      <c r="U551" s="30" t="str">
        <f ca="1">IFERROR(__xludf.DUMMYFUNCTION("""COMPUTED_VALUE"""),"Capacitación")</f>
        <v>Capacitación</v>
      </c>
      <c r="V551" s="30" t="str">
        <f ca="1">IFERROR(__xludf.DUMMYFUNCTION("""COMPUTED_VALUE"""),"Ninguna")</f>
        <v>Ninguna</v>
      </c>
      <c r="W551" s="30" t="str">
        <f ca="1">IFERROR(__xludf.DUMMYFUNCTION("""COMPUTED_VALUE"""),"Híbrido")</f>
        <v>Híbrido</v>
      </c>
      <c r="X551" s="30" t="str">
        <f ca="1">IFERROR(__xludf.DUMMYFUNCTION("""COMPUTED_VALUE"""),"Espacio a Cargo de la Secretaría")</f>
        <v>Espacio a Cargo de la Secretaría</v>
      </c>
      <c r="Y551" s="30" t="str">
        <f ca="1">IFERROR(__xludf.DUMMYFUNCTION("""COMPUTED_VALUE"""),"Centro de las Artes de Guanajuato")</f>
        <v>Centro de las Artes de Guanajuato</v>
      </c>
      <c r="Z551" s="30" t="str">
        <f ca="1">IFERROR(__xludf.DUMMYFUNCTION("""COMPUTED_VALUE"""),"Centro de las Artes de Guanajuato")</f>
        <v>Centro de las Artes de Guanajuato</v>
      </c>
      <c r="AA551" s="30"/>
      <c r="AB551" s="30" t="b">
        <f ca="1">IFERROR(__xludf.DUMMYFUNCTION("""COMPUTED_VALUE"""),FALSE)</f>
        <v>0</v>
      </c>
      <c r="AC551" s="30"/>
      <c r="AD551" s="30" t="b">
        <f ca="1">IFERROR(__xludf.DUMMYFUNCTION("""COMPUTED_VALUE"""),TRUE)</f>
        <v>1</v>
      </c>
      <c r="AE551" s="30">
        <f ca="1">IFERROR(__xludf.DUMMYFUNCTION("""COMPUTED_VALUE"""),37)</f>
        <v>37</v>
      </c>
      <c r="AF551" s="30" t="b">
        <f ca="1">IFERROR(__xludf.DUMMYFUNCTION("""COMPUTED_VALUE"""),FALSE)</f>
        <v>0</v>
      </c>
      <c r="AG551" s="30"/>
      <c r="AH551" s="30" t="str">
        <f ca="1">IFERROR(__xludf.DUMMYFUNCTION("""COMPUTED_VALUE"""),"Sin costo")</f>
        <v>Sin costo</v>
      </c>
      <c r="AI551" s="30"/>
      <c r="AJ551" s="30"/>
      <c r="AK551" s="30"/>
      <c r="AL551" s="30" t="str">
        <f ca="1">IFERROR(__xludf.DUMMYFUNCTION("""COMPUTED_VALUE"""),"adriana.escamilla.vm@gmail.com")</f>
        <v>adriana.escamilla.vm@gmail.com</v>
      </c>
      <c r="AM551" s="30" t="str">
        <f ca="1">IFERROR(__xludf.DUMMYFUNCTION("""COMPUTED_VALUE"""),"Educación: Arte, cultura, activación física y deporte de calidad en todas las escuelas.")</f>
        <v>Educación: Arte, cultura, activación física y deporte de calidad en todas las escuelas.</v>
      </c>
      <c r="AN551" s="30" t="str">
        <f ca="1">IFERROR(__xludf.DUMMYFUNCTION("""COMPUTED_VALUE"""),"4 Vocación")</f>
        <v>4 Vocación</v>
      </c>
      <c r="AO551" s="30" t="str">
        <f ca="1">IFERROR(__xludf.DUMMYFUNCTION("""COMPUTED_VALUE"""),"4.4 Reforzar competencias lectoras y lógico matemáticas")</f>
        <v>4.4 Reforzar competencias lectoras y lógico matemáticas</v>
      </c>
      <c r="AP551" s="30" t="str">
        <f ca="1">IFERROR(__xludf.DUMMYFUNCTION("""COMPUTED_VALUE"""),"4.4.1 Competencias y habilidades")</f>
        <v>4.4.1 Competencias y habilidades</v>
      </c>
      <c r="AQ551" s="30" t="str">
        <f ca="1">IFERROR(__xludf.DUMMYFUNCTION("""COMPUTED_VALUE"""),"4.4.1 Competencias y habilidades")</f>
        <v>4.4.1 Competencias y habilidades</v>
      </c>
      <c r="AR551" s="30" t="str">
        <f ca="1">IFERROR(__xludf.DUMMYFUNCTION("""COMPUTED_VALUE"""),"Ninguno")</f>
        <v>Ninguno</v>
      </c>
      <c r="AS551" s="30" t="str">
        <f ca="1">IFERROR(__xludf.DUMMYFUNCTION("""COMPUTED_VALUE"""),"Ninguno (Población General)")</f>
        <v>Ninguno (Población General)</v>
      </c>
      <c r="AT551" s="30" t="str">
        <f ca="1">IFERROR(__xludf.DUMMYFUNCTION("""COMPUTED_VALUE"""),"Impulso a la educación artística y a la profesionalización del sector cultural")</f>
        <v>Impulso a la educación artística y a la profesionalización del sector cultural</v>
      </c>
      <c r="AU551" s="30" t="str">
        <f ca="1">IFERROR(__xludf.DUMMYFUNCTION("""COMPUTED_VALUE"""),"Impulso a programas de formación y profesionalización para agentes culturales.")</f>
        <v>Impulso a programas de formación y profesionalización para agentes culturales.</v>
      </c>
      <c r="AV551"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1" s="30" t="str">
        <f ca="1">IFERROR(__xludf.DUMMYFUNCTION("""COMPUTED_VALUE"""),"Incrementar un 30% la oferta de formación y profesionalización para agentes culturales.")</f>
        <v>Incrementar un 30% la oferta de formación y profesionalización para agentes culturales.</v>
      </c>
      <c r="AX551" s="30" t="str">
        <f ca="1">IFERROR(__xludf.DUMMYFUNCTION("""COMPUTED_VALUE"""),"Programa formativo modular")</f>
        <v>Programa formativo modular</v>
      </c>
      <c r="AY551" s="30" t="str">
        <f ca="1">IFERROR(__xludf.DUMMYFUNCTION("""COMPUTED_VALUE"""),"Formación")</f>
        <v>Formación</v>
      </c>
      <c r="AZ551" s="30" t="str">
        <f ca="1">IFERROR(__xludf.DUMMYFUNCTION("""COMPUTED_VALUE"""),"Formación")</f>
        <v>Formación</v>
      </c>
      <c r="BA551" s="30" t="str">
        <f ca="1">IFERROR(__xludf.DUMMYFUNCTION("""COMPUTED_VALUE"""),"Capacitación continua a docentes en temas específicos a través de la ensañanza por competencias")</f>
        <v>Capacitación continua a docentes en temas específicos a través de la ensañanza por competencias</v>
      </c>
      <c r="BB551" s="30"/>
      <c r="BC551" s="30">
        <f ca="1">IFERROR(__xludf.DUMMYFUNCTION("""COMPUTED_VALUE"""),37)</f>
        <v>37</v>
      </c>
      <c r="BD551" s="30" t="str">
        <f ca="1">IFERROR(__xludf.DUMMYFUNCTION("""COMPUTED_VALUE"""),"Apoyado con anterioridad")</f>
        <v>Apoyado con anterioridad</v>
      </c>
      <c r="BE551" s="30"/>
      <c r="BF551" s="30" t="b">
        <f ca="1">IFERROR(__xludf.DUMMYFUNCTION("""COMPUTED_VALUE"""),TRUE)</f>
        <v>1</v>
      </c>
      <c r="BG551" s="30" t="str">
        <f ca="1">IFERROR(__xludf.DUMMYFUNCTION("""COMPUTED_VALUE"""),"Especie")</f>
        <v>Especie</v>
      </c>
      <c r="BH551" s="30"/>
      <c r="BI551" s="30"/>
      <c r="BJ551" s="30"/>
      <c r="BK551" s="30"/>
      <c r="BL551" s="30"/>
      <c r="BM551" s="30" t="str">
        <f ca="1">IFERROR(__xludf.DUMMYFUNCTION("""COMPUTED_VALUE"""),"No")</f>
        <v>No</v>
      </c>
      <c r="BN551" s="30" t="str">
        <f ca="1">IFERROR(__xludf.DUMMYFUNCTION("""COMPUTED_VALUE"""),"Acompañamiento Técnico")</f>
        <v>Acompañamiento Técnico</v>
      </c>
      <c r="BO551" s="30" t="str">
        <f ca="1">IFERROR(__xludf.DUMMYFUNCTION("""COMPUTED_VALUE"""),"53abb9b2")</f>
        <v>53abb9b2</v>
      </c>
      <c r="BP551" s="29" t="str">
        <f ca="1">IFERROR(__xludf.DUMMYFUNCTION("""COMPUTED_VALUE"""),"Apaseo el Grande")</f>
        <v>Apaseo el Grande</v>
      </c>
      <c r="BQ551" s="30" t="str">
        <f ca="1">IFERROR(__xludf.DUMMYFUNCTION("""COMPUTED_VALUE"""),"Urbano")</f>
        <v>Urbano</v>
      </c>
      <c r="BR551" s="30">
        <f ca="1">IFERROR(__xludf.DUMMYFUNCTION("""COMPUTED_VALUE"""),12)</f>
        <v>12</v>
      </c>
      <c r="BS551" s="30" t="str">
        <f ca="1">IFERROR(__xludf.DUMMYFUNCTION("""COMPUTED_VALUE"""),"Apaseo el Grande")</f>
        <v>Apaseo el Grande</v>
      </c>
      <c r="BT551" s="30"/>
      <c r="BU551" s="30" t="str">
        <f ca="1">IFERROR(__xludf.DUMMYFUNCTION("""COMPUTED_VALUE"""),"Si")</f>
        <v>Si</v>
      </c>
      <c r="BV551" s="30" t="str">
        <f ca="1">IFERROR(__xludf.DUMMYFUNCTION("""COMPUTED_VALUE"""),"Si")</f>
        <v>Si</v>
      </c>
      <c r="BW551" s="30">
        <f ca="1">IFERROR(__xludf.DUMMYFUNCTION("""COMPUTED_VALUE"""),164)</f>
        <v>164</v>
      </c>
      <c r="BX551" s="30">
        <f ca="1">IFERROR(__xludf.DUMMYFUNCTION("""COMPUTED_VALUE"""),20)</f>
        <v>20</v>
      </c>
      <c r="BY551" s="30">
        <f ca="1">IFERROR(__xludf.DUMMYFUNCTION("""COMPUTED_VALUE"""),144)</f>
        <v>144</v>
      </c>
      <c r="BZ551" s="30" t="str">
        <f ca="1">IFERROR(__xludf.DUMMYFUNCTION("""COMPUTED_VALUE"""),"Apaseo el Grande")</f>
        <v>Apaseo el Grande</v>
      </c>
      <c r="CA551" s="30" t="str">
        <f ca="1">IFERROR(__xludf.DUMMYFUNCTION("""COMPUTED_VALUE"""),"No")</f>
        <v>No</v>
      </c>
      <c r="CB551" s="30" t="str">
        <f ca="1">IFERROR(__xludf.DUMMYFUNCTION("""COMPUTED_VALUE"""),"No")</f>
        <v>No</v>
      </c>
      <c r="CC551" s="30" t="str">
        <f ca="1">IFERROR(__xludf.DUMMYFUNCTION("""COMPUTED_VALUE"""),"a2c3f068")</f>
        <v>a2c3f068</v>
      </c>
      <c r="CD551" s="29" t="str">
        <f ca="1">IFERROR(__xludf.DUMMYFUNCTION("""COMPUTED_VALUE"""),"Adultos (30 a 59 años)")</f>
        <v>Adultos (30 a 59 años)</v>
      </c>
      <c r="CE551" s="30" t="str">
        <f ca="1">IFERROR(__xludf.DUMMYFUNCTION("""COMPUTED_VALUE"""),"Mujer")</f>
        <v>Mujer</v>
      </c>
      <c r="CF551" s="30" t="str">
        <f ca="1">IFERROR(__xludf.DUMMYFUNCTION("""COMPUTED_VALUE"""),"Ninguno (Población General)")</f>
        <v>Ninguno (Población General)</v>
      </c>
      <c r="CG551" s="30">
        <f ca="1">IFERROR(__xludf.DUMMYFUNCTION("""COMPUTED_VALUE"""),3)</f>
        <v>3</v>
      </c>
      <c r="CJ551" s="29"/>
      <c r="CM551" s="30" t="str">
        <f ca="1">IFERROR(__xludf.DUMMYFUNCTION("""COMPUTED_VALUE"""),"Jerécuaro")</f>
        <v>Jerécuaro</v>
      </c>
      <c r="CN551" s="32" t="e">
        <f ca="1"/>
        <v>#NAME?</v>
      </c>
      <c r="CO551" s="32" t="e">
        <f ca="1"/>
        <v>#NAME?</v>
      </c>
      <c r="CP551" s="32" t="e">
        <f ca="1"/>
        <v>#NAME?</v>
      </c>
      <c r="CQ551" s="32" t="e">
        <f ca="1"/>
        <v>#NAME?</v>
      </c>
      <c r="CR551" s="30" t="e">
        <f ca="1"/>
        <v>#NAME?</v>
      </c>
      <c r="CS551" s="30" t="str">
        <f ca="1">IFERROR(__xludf.DUMMYFUNCTION("""COMPUTED_VALUE"""),"Población General")</f>
        <v>Población General</v>
      </c>
    </row>
    <row r="552" spans="1:97" ht="13">
      <c r="A552" s="29" t="str">
        <f ca="1">IFERROR(__xludf.DUMMYFUNCTION("""COMPUTED_VALUE"""),"ACT-SCIN39392")</f>
        <v>ACT-SCIN39392</v>
      </c>
      <c r="B552" s="30" t="str">
        <f ca="1">IFERROR(__xludf.DUMMYFUNCTION("""COMPUTED_VALUE"""),"SC-261007-041143")</f>
        <v>SC-261007-041143</v>
      </c>
      <c r="C552" s="62">
        <f ca="1">IFERROR(__xludf.DUMMYFUNCTION("""COMPUTED_VALUE"""),46302.1748032407)</f>
        <v>46302.174803240698</v>
      </c>
      <c r="D552" s="30">
        <f ca="1">IFERROR(__xludf.DUMMYFUNCTION("""COMPUTED_VALUE"""),25)</f>
        <v>25</v>
      </c>
      <c r="E552" s="30" t="str">
        <f ca="1">IFERROR(__xludf.DUMMYFUNCTION("""COMPUTED_VALUE"""),"QC4047")</f>
        <v>QC4047</v>
      </c>
      <c r="F552" s="30" t="str">
        <f ca="1">IFERROR(__xludf.DUMMYFUNCTION("""COMPUTED_VALUE"""),"Vientos Musicales para la Gente")</f>
        <v>Vientos Musicales para la Gente</v>
      </c>
      <c r="G552" s="30" t="str">
        <f ca="1">IFERROR(__xludf.DUMMYFUNCTION("""COMPUTED_VALUE"""),"Capacitación a alumnado en el método multinivel en ensambles corales")</f>
        <v>Capacitación a alumnado en el método multinivel en ensambles corales</v>
      </c>
      <c r="H552" s="30" t="str">
        <f ca="1">IFERROR(__xludf.DUMMYFUNCTION("""COMPUTED_VALUE"""),"SUBSECRETARÍA DE DESARROLLO COMUNITARIO Y PROMOCIÓN PATRIMONIAL")</f>
        <v>SUBSECRETARÍA DE DESARROLLO COMUNITARIO Y PROMOCIÓN PATRIMONIAL</v>
      </c>
      <c r="I552" s="34" t="str">
        <f ca="1">IFERROR(__xludf.DUMMYFUNCTION("""COMPUTED_VALUE"""),"DIRECCIÓN GENERAL DE FORMACIÓN E INVESTIGACIÓN")</f>
        <v>DIRECCIÓN GENERAL DE FORMACIÓN E INVESTIGACIÓN</v>
      </c>
      <c r="J552" s="30" t="str">
        <f ca="1">IFERROR(__xludf.DUMMYFUNCTION("""COMPUTED_VALUE"""),"Personas capacitadas")</f>
        <v>Personas capacitadas</v>
      </c>
      <c r="K552" s="30">
        <f ca="1">IFERROR(__xludf.DUMMYFUNCTION("""COMPUTED_VALUE"""),700)</f>
        <v>700</v>
      </c>
      <c r="L552" s="30" t="str">
        <f ca="1">IFERROR(__xludf.DUMMYFUNCTION("""COMPUTED_VALUE"""),"Cultural")</f>
        <v>Cultural</v>
      </c>
      <c r="M552" s="30" t="str">
        <f ca="1">IFERROR(__xludf.DUMMYFUNCTION("""COMPUTED_VALUE"""),"Formación musical a NNAJ en Ensambles Corales del Programa Vientos Musicales para la Gente")</f>
        <v>Formación musical a NNAJ en Ensambles Corales del Programa Vientos Musicales para la Gente</v>
      </c>
      <c r="N552" s="30" t="str">
        <f ca="1">IFERROR(__xludf.DUMMYFUNCTION("""COMPUTED_VALUE"""),"Capacitación a alumnado en el método multinivel de Ensambles Corales")</f>
        <v>Capacitación a alumnado en el método multinivel de Ensambles Corales</v>
      </c>
      <c r="O552" s="30" t="str">
        <f ca="1">IFERROR(__xludf.DUMMYFUNCTION("""COMPUTED_VALUE"""),"Otras")</f>
        <v>Otras</v>
      </c>
      <c r="P552" s="33">
        <f ca="1">IFERROR(__xludf.DUMMYFUNCTION("""COMPUTED_VALUE"""),46101)</f>
        <v>46101</v>
      </c>
      <c r="Q552" s="33">
        <f ca="1">IFERROR(__xludf.DUMMYFUNCTION("""COMPUTED_VALUE"""),46203)</f>
        <v>46203</v>
      </c>
      <c r="R552" s="30">
        <f ca="1">IFERROR(__xludf.DUMMYFUNCTION("""COMPUTED_VALUE"""),170)</f>
        <v>170</v>
      </c>
      <c r="S552" s="30" t="str">
        <f ca="1">IFERROR(__xludf.DUMMYFUNCTION("""COMPUTED_VALUE"""),"Música")</f>
        <v>Música</v>
      </c>
      <c r="T552" s="30" t="str">
        <f ca="1">IFERROR(__xludf.DUMMYFUNCTION("""COMPUTED_VALUE"""),"Formación musical, instrumental o coral")</f>
        <v>Formación musical, instrumental o coral</v>
      </c>
      <c r="U552" s="30" t="str">
        <f ca="1">IFERROR(__xludf.DUMMYFUNCTION("""COMPUTED_VALUE"""),"Capacitación")</f>
        <v>Capacitación</v>
      </c>
      <c r="V552" s="30" t="str">
        <f ca="1">IFERROR(__xludf.DUMMYFUNCTION("""COMPUTED_VALUE"""),"Ninguna")</f>
        <v>Ninguna</v>
      </c>
      <c r="W552" s="30" t="str">
        <f ca="1">IFERROR(__xludf.DUMMYFUNCTION("""COMPUTED_VALUE"""),"Presencial")</f>
        <v>Presencial</v>
      </c>
      <c r="X552" s="30" t="str">
        <f ca="1">IFERROR(__xludf.DUMMYFUNCTION("""COMPUTED_VALUE"""),"Otros Espacios Culturales")</f>
        <v>Otros Espacios Culturales</v>
      </c>
      <c r="Y552" s="30" t="str">
        <f ca="1">IFERROR(__xludf.DUMMYFUNCTION("""COMPUTED_VALUE"""),"Casa de cultura , Escuelas")</f>
        <v>Casa de cultura , Escuelas</v>
      </c>
      <c r="Z552" s="30"/>
      <c r="AA552" s="30"/>
      <c r="AB552" s="30" t="b">
        <f ca="1">IFERROR(__xludf.DUMMYFUNCTION("""COMPUTED_VALUE"""),FALSE)</f>
        <v>0</v>
      </c>
      <c r="AC552" s="30"/>
      <c r="AD552" s="30" t="b">
        <f ca="1">IFERROR(__xludf.DUMMYFUNCTION("""COMPUTED_VALUE"""),TRUE)</f>
        <v>1</v>
      </c>
      <c r="AE552" s="30">
        <f ca="1">IFERROR(__xludf.DUMMYFUNCTION("""COMPUTED_VALUE"""),37)</f>
        <v>37</v>
      </c>
      <c r="AF552" s="30" t="b">
        <f ca="1">IFERROR(__xludf.DUMMYFUNCTION("""COMPUTED_VALUE"""),FALSE)</f>
        <v>0</v>
      </c>
      <c r="AG552" s="30"/>
      <c r="AH552" s="30" t="str">
        <f ca="1">IFERROR(__xludf.DUMMYFUNCTION("""COMPUTED_VALUE"""),"Sin costo")</f>
        <v>Sin costo</v>
      </c>
      <c r="AI552" s="30"/>
      <c r="AJ552" s="30"/>
      <c r="AK552" s="30"/>
      <c r="AL552" s="30" t="str">
        <f ca="1">IFERROR(__xludf.DUMMYFUNCTION("""COMPUTED_VALUE"""),"adriana.escamilla.vm@gmail.com")</f>
        <v>adriana.escamilla.vm@gmail.com</v>
      </c>
      <c r="AM552" s="30" t="str">
        <f ca="1">IFERROR(__xludf.DUMMYFUNCTION("""COMPUTED_VALUE"""),"Educación: Arte, cultura, activación física y deporte de calidad en todas las escuelas.")</f>
        <v>Educación: Arte, cultura, activación física y deporte de calidad en todas las escuelas.</v>
      </c>
      <c r="AN552" s="30" t="str">
        <f ca="1">IFERROR(__xludf.DUMMYFUNCTION("""COMPUTED_VALUE"""),"4 Vocación")</f>
        <v>4 Vocación</v>
      </c>
      <c r="AO552" s="30" t="str">
        <f ca="1">IFERROR(__xludf.DUMMYFUNCTION("""COMPUTED_VALUE"""),"4.4 Reforzar competencias lectoras y lógico matemáticas")</f>
        <v>4.4 Reforzar competencias lectoras y lógico matemáticas</v>
      </c>
      <c r="AP552" s="30" t="str">
        <f ca="1">IFERROR(__xludf.DUMMYFUNCTION("""COMPUTED_VALUE"""),"4.4.1 Competencias y habilidades")</f>
        <v>4.4.1 Competencias y habilidades</v>
      </c>
      <c r="AQ552" s="30" t="str">
        <f ca="1">IFERROR(__xludf.DUMMYFUNCTION("""COMPUTED_VALUE"""),"4.4.1 Competencias y habilidades")</f>
        <v>4.4.1 Competencias y habilidades</v>
      </c>
      <c r="AR552" s="30" t="str">
        <f ca="1">IFERROR(__xludf.DUMMYFUNCTION("""COMPUTED_VALUE"""),"Inclusión")</f>
        <v>Inclusión</v>
      </c>
      <c r="AS552" s="30" t="str">
        <f ca="1">IFERROR(__xludf.DUMMYFUNCTION("""COMPUTED_VALUE"""),"NNA (Niñas, Niños y Adolescentes)")</f>
        <v>NNA (Niñas, Niños y Adolescentes)</v>
      </c>
      <c r="AT552" s="30" t="str">
        <f ca="1">IFERROR(__xludf.DUMMYFUNCTION("""COMPUTED_VALUE"""),"Impulso a la educación artística y a la profesionalización del sector cultural")</f>
        <v>Impulso a la educación artística y a la profesionalización del sector cultural</v>
      </c>
      <c r="AU552" s="30" t="str">
        <f ca="1">IFERROR(__xludf.DUMMYFUNCTION("""COMPUTED_VALUE"""),"Impulso a programas de formación y profesionalización para agentes culturales.")</f>
        <v>Impulso a programas de formación y profesionalización para agentes culturales.</v>
      </c>
      <c r="AV552"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2" s="30" t="str">
        <f ca="1">IFERROR(__xludf.DUMMYFUNCTION("""COMPUTED_VALUE"""),"Incrementar un 30% la oferta de formación y profesionalización para agentes culturales.")</f>
        <v>Incrementar un 30% la oferta de formación y profesionalización para agentes culturales.</v>
      </c>
      <c r="AX552" s="30" t="str">
        <f ca="1">IFERROR(__xludf.DUMMYFUNCTION("""COMPUTED_VALUE"""),"Capacitación")</f>
        <v>Capacitación</v>
      </c>
      <c r="AY552" s="30" t="str">
        <f ca="1">IFERROR(__xludf.DUMMYFUNCTION("""COMPUTED_VALUE"""),"Formación")</f>
        <v>Formación</v>
      </c>
      <c r="AZ552" s="30" t="str">
        <f ca="1">IFERROR(__xludf.DUMMYFUNCTION("""COMPUTED_VALUE"""),"Formación")</f>
        <v>Formación</v>
      </c>
      <c r="BA552" s="30" t="str">
        <f ca="1">IFERROR(__xludf.DUMMYFUNCTION("""COMPUTED_VALUE"""),"Capacitación a alumnado en el método multinivel de Ensambles Corales")</f>
        <v>Capacitación a alumnado en el método multinivel de Ensambles Corales</v>
      </c>
      <c r="BB552" s="30"/>
      <c r="BC552" s="30">
        <f ca="1">IFERROR(__xludf.DUMMYFUNCTION("""COMPUTED_VALUE"""),0)</f>
        <v>0</v>
      </c>
      <c r="BD552" s="30"/>
      <c r="BE552" s="30"/>
      <c r="BF552" s="30" t="b">
        <f ca="1">IFERROR(__xludf.DUMMYFUNCTION("""COMPUTED_VALUE"""),TRUE)</f>
        <v>1</v>
      </c>
      <c r="BG552" s="30" t="str">
        <f ca="1">IFERROR(__xludf.DUMMYFUNCTION("""COMPUTED_VALUE"""),"Capacitación técnica")</f>
        <v>Capacitación técnica</v>
      </c>
      <c r="BH552" s="30"/>
      <c r="BI552" s="30"/>
      <c r="BJ552" s="30"/>
      <c r="BK552" s="30"/>
      <c r="BL552" s="30" t="str">
        <f ca="1">IFERROR(__xludf.DUMMYFUNCTION("""COMPUTED_VALUE"""),"Convenio de colaboración con las Instancias Culturales Municipales para el préstamo de espacios y el resgurado de instrumentos musicales del Programa")</f>
        <v>Convenio de colaboración con las Instancias Culturales Municipales para el préstamo de espacios y el resgurado de instrumentos musicales del Programa</v>
      </c>
      <c r="BM552" s="30" t="str">
        <f ca="1">IFERROR(__xludf.DUMMYFUNCTION("""COMPUTED_VALUE"""),"Sí")</f>
        <v>Sí</v>
      </c>
      <c r="BN552" s="30" t="str">
        <f ca="1">IFERROR(__xludf.DUMMYFUNCTION("""COMPUTED_VALUE"""),"Gestión de recursos materiales")</f>
        <v>Gestión de recursos materiales</v>
      </c>
      <c r="BO552" s="30" t="str">
        <f ca="1">IFERROR(__xludf.DUMMYFUNCTION("""COMPUTED_VALUE"""),"c7463ab4")</f>
        <v>c7463ab4</v>
      </c>
      <c r="BP552" s="29" t="str">
        <f ca="1">IFERROR(__xludf.DUMMYFUNCTION("""COMPUTED_VALUE"""),"Cuerámaro")</f>
        <v>Cuerámaro</v>
      </c>
      <c r="BQ552" s="30" t="str">
        <f ca="1">IFERROR(__xludf.DUMMYFUNCTION("""COMPUTED_VALUE"""),"Urbano")</f>
        <v>Urbano</v>
      </c>
      <c r="BR552" s="30">
        <f ca="1">IFERROR(__xludf.DUMMYFUNCTION("""COMPUTED_VALUE"""),39)</f>
        <v>39</v>
      </c>
      <c r="BS552" s="30" t="str">
        <f ca="1">IFERROR(__xludf.DUMMYFUNCTION("""COMPUTED_VALUE"""),"Cueramaro")</f>
        <v>Cueramaro</v>
      </c>
      <c r="BT552" s="30"/>
      <c r="BU552" s="30" t="str">
        <f ca="1">IFERROR(__xludf.DUMMYFUNCTION("""COMPUTED_VALUE"""),"Si")</f>
        <v>Si</v>
      </c>
      <c r="BV552" s="30" t="str">
        <f ca="1">IFERROR(__xludf.DUMMYFUNCTION("""COMPUTED_VALUE"""),"No")</f>
        <v>No</v>
      </c>
      <c r="BW552" s="30">
        <f ca="1">IFERROR(__xludf.DUMMYFUNCTION("""COMPUTED_VALUE"""),81)</f>
        <v>81</v>
      </c>
      <c r="BX552" s="30">
        <f ca="1">IFERROR(__xludf.DUMMYFUNCTION("""COMPUTED_VALUE"""),11)</f>
        <v>11</v>
      </c>
      <c r="BY552" s="30">
        <f ca="1">IFERROR(__xludf.DUMMYFUNCTION("""COMPUTED_VALUE"""),70)</f>
        <v>70</v>
      </c>
      <c r="BZ552" s="30" t="str">
        <f ca="1">IFERROR(__xludf.DUMMYFUNCTION("""COMPUTED_VALUE"""),"Cueramaro")</f>
        <v>Cueramaro</v>
      </c>
      <c r="CA552" s="30" t="str">
        <f ca="1">IFERROR(__xludf.DUMMYFUNCTION("""COMPUTED_VALUE"""),"No")</f>
        <v>No</v>
      </c>
      <c r="CB552" s="30" t="str">
        <f ca="1">IFERROR(__xludf.DUMMYFUNCTION("""COMPUTED_VALUE"""),"No")</f>
        <v>No</v>
      </c>
      <c r="CC552" s="30" t="str">
        <f ca="1">IFERROR(__xludf.DUMMYFUNCTION("""COMPUTED_VALUE"""),"69a9a1b0")</f>
        <v>69a9a1b0</v>
      </c>
      <c r="CD552" s="29" t="str">
        <f ca="1">IFERROR(__xludf.DUMMYFUNCTION("""COMPUTED_VALUE"""),"Jóvenes (18 a 29 años)")</f>
        <v>Jóvenes (18 a 29 años)</v>
      </c>
      <c r="CE552" s="30" t="str">
        <f ca="1">IFERROR(__xludf.DUMMYFUNCTION("""COMPUTED_VALUE"""),"Hombre")</f>
        <v>Hombre</v>
      </c>
      <c r="CF552" s="30" t="str">
        <f ca="1">IFERROR(__xludf.DUMMYFUNCTION("""COMPUTED_VALUE"""),"Ninguno (Población General)")</f>
        <v>Ninguno (Población General)</v>
      </c>
      <c r="CG552" s="30">
        <f ca="1">IFERROR(__xludf.DUMMYFUNCTION("""COMPUTED_VALUE"""),5)</f>
        <v>5</v>
      </c>
      <c r="CJ552" s="29"/>
      <c r="CM552" s="30" t="str">
        <f ca="1">IFERROR(__xludf.DUMMYFUNCTION("""COMPUTED_VALUE"""),"Apaseo el Grande, Cuerámaro")</f>
        <v>Apaseo el Grande, Cuerámaro</v>
      </c>
      <c r="CN552" s="32" t="e">
        <f ca="1"/>
        <v>#NAME?</v>
      </c>
      <c r="CO552" s="32" t="e">
        <f ca="1"/>
        <v>#NAME?</v>
      </c>
      <c r="CP552" s="32" t="e">
        <f ca="1"/>
        <v>#NAME?</v>
      </c>
      <c r="CQ552" s="32" t="e">
        <f ca="1"/>
        <v>#NAME?</v>
      </c>
      <c r="CR552" s="30" t="e">
        <f ca="1"/>
        <v>#NAME?</v>
      </c>
      <c r="CS552" s="30" t="str">
        <f ca="1">IFERROR(__xludf.DUMMYFUNCTION("""COMPUTED_VALUE"""),"Población General")</f>
        <v>Población General</v>
      </c>
    </row>
    <row r="553" spans="1:97" ht="13">
      <c r="A553" s="29" t="str">
        <f ca="1">IFERROR(__xludf.DUMMYFUNCTION("""COMPUTED_VALUE"""),"ACT-SCKI42814")</f>
        <v>ACT-SCKI42814</v>
      </c>
      <c r="B553" s="30" t="str">
        <f ca="1">IFERROR(__xludf.DUMMYFUNCTION("""COMPUTED_VALUE"""),"SC-261007-125808")</f>
        <v>SC-261007-125808</v>
      </c>
      <c r="C553" s="62">
        <f ca="1">IFERROR(__xludf.DUMMYFUNCTION("""COMPUTED_VALUE"""),46302.5403703703)</f>
        <v>46302.540370370298</v>
      </c>
      <c r="D553" s="30">
        <f ca="1">IFERROR(__xludf.DUMMYFUNCTION("""COMPUTED_VALUE"""),92)</f>
        <v>92</v>
      </c>
      <c r="E553" s="30" t="str">
        <f ca="1">IFERROR(__xludf.DUMMYFUNCTION("""COMPUTED_VALUE"""),"PB3572")</f>
        <v>PB3572</v>
      </c>
      <c r="F55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5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53" s="30" t="str">
        <f ca="1">IFERROR(__xludf.DUMMYFUNCTION("""COMPUTED_VALUE"""),"SUBSECRETARÍA DE DESARROLLO Y PROMOCIÓN ARTÍSTICA Y CULTURAL")</f>
        <v>SUBSECRETARÍA DE DESARROLLO Y PROMOCIÓN ARTÍSTICA Y CULTURAL</v>
      </c>
      <c r="I553" s="34" t="str">
        <f ca="1">IFERROR(__xludf.DUMMYFUNCTION("""COMPUTED_VALUE"""),"DIRECCIÓN GENERAL DE MUSEOS, ARTES VISUALES Y EXPOSICIONES")</f>
        <v>DIRECCIÓN GENERAL DE MUSEOS, ARTES VISUALES Y EXPOSICIONES</v>
      </c>
      <c r="J553" s="30" t="str">
        <f ca="1">IFERROR(__xludf.DUMMYFUNCTION("""COMPUTED_VALUE"""),"Número de Actividades realizadas")</f>
        <v>Número de Actividades realizadas</v>
      </c>
      <c r="K553" s="30">
        <f ca="1">IFERROR(__xludf.DUMMYFUNCTION("""COMPUTED_VALUE"""),800)</f>
        <v>800</v>
      </c>
      <c r="L553" s="30" t="str">
        <f ca="1">IFERROR(__xludf.DUMMYFUNCTION("""COMPUTED_VALUE"""),"Cultural")</f>
        <v>Cultural</v>
      </c>
      <c r="M553" s="30" t="str">
        <f ca="1">IFERROR(__xludf.DUMMYFUNCTION("""COMPUTED_VALUE"""),"Recorrido guiado ""IBERO""")</f>
        <v>Recorrido guiado "IBERO"</v>
      </c>
      <c r="N553" s="30" t="str">
        <f ca="1">IFERROR(__xludf.DUMMYFUNCTION("""COMPUTED_VALUE"""),"Recorrido guiado por el museo")</f>
        <v>Recorrido guiado por el museo</v>
      </c>
      <c r="O553" s="30" t="str">
        <f ca="1">IFERROR(__xludf.DUMMYFUNCTION("""COMPUTED_VALUE"""),"Única")</f>
        <v>Única</v>
      </c>
      <c r="P553" s="33">
        <f ca="1">IFERROR(__xludf.DUMMYFUNCTION("""COMPUTED_VALUE"""),46282)</f>
        <v>46282</v>
      </c>
      <c r="Q553" s="33">
        <f ca="1">IFERROR(__xludf.DUMMYFUNCTION("""COMPUTED_VALUE"""),46282)</f>
        <v>46282</v>
      </c>
      <c r="R553" s="30">
        <f ca="1">IFERROR(__xludf.DUMMYFUNCTION("""COMPUTED_VALUE"""),1)</f>
        <v>1</v>
      </c>
      <c r="S553" s="30" t="str">
        <f ca="1">IFERROR(__xludf.DUMMYFUNCTION("""COMPUTED_VALUE"""),"Cultura comunitaria")</f>
        <v>Cultura comunitaria</v>
      </c>
      <c r="T553" s="30" t="str">
        <f ca="1">IFERROR(__xludf.DUMMYFUNCTION("""COMPUTED_VALUE"""),"Mediación cultural")</f>
        <v>Mediación cultural</v>
      </c>
      <c r="U553" s="30" t="str">
        <f ca="1">IFERROR(__xludf.DUMMYFUNCTION("""COMPUTED_VALUE"""),"Visitas escolares")</f>
        <v>Visitas escolares</v>
      </c>
      <c r="V553" s="30" t="str">
        <f ca="1">IFERROR(__xludf.DUMMYFUNCTION("""COMPUTED_VALUE"""),"Ninguna")</f>
        <v>Ninguna</v>
      </c>
      <c r="W553" s="30" t="str">
        <f ca="1">IFERROR(__xludf.DUMMYFUNCTION("""COMPUTED_VALUE"""),"Presencial")</f>
        <v>Presencial</v>
      </c>
      <c r="X553" s="30" t="str">
        <f ca="1">IFERROR(__xludf.DUMMYFUNCTION("""COMPUTED_VALUE"""),"Espacio a Cargo de la Secretaría")</f>
        <v>Espacio a Cargo de la Secretaría</v>
      </c>
      <c r="Y553" s="30" t="str">
        <f ca="1">IFERROR(__xludf.DUMMYFUNCTION("""COMPUTED_VALUE"""),"Museo de Arte e Historia de Guanajuato, sala Feliciano Peña")</f>
        <v>Museo de Arte e Historia de Guanajuato, sala Feliciano Peña</v>
      </c>
      <c r="Z553" s="30"/>
      <c r="AA553" s="30"/>
      <c r="AB553" s="30" t="b">
        <f ca="1">IFERROR(__xludf.DUMMYFUNCTION("""COMPUTED_VALUE"""),FALSE)</f>
        <v>0</v>
      </c>
      <c r="AC553" s="30"/>
      <c r="AD553" s="30" t="b">
        <f ca="1">IFERROR(__xludf.DUMMYFUNCTION("""COMPUTED_VALUE"""),FALSE)</f>
        <v>0</v>
      </c>
      <c r="AE553" s="30"/>
      <c r="AF553" s="30" t="b">
        <f ca="1">IFERROR(__xludf.DUMMYFUNCTION("""COMPUTED_VALUE"""),FALSE)</f>
        <v>0</v>
      </c>
      <c r="AG553" s="30"/>
      <c r="AH553" s="30" t="str">
        <f ca="1">IFERROR(__xludf.DUMMYFUNCTION("""COMPUTED_VALUE"""),"Sin costo")</f>
        <v>Sin costo</v>
      </c>
      <c r="AI553" s="30"/>
      <c r="AJ553" s="30"/>
      <c r="AK553" s="30"/>
      <c r="AL553" s="30" t="str">
        <f ca="1">IFERROR(__xludf.DUMMYFUNCTION("""COMPUTED_VALUE"""),"ccardonav@guanajuato.gob.mx")</f>
        <v>ccardonav@guanajuato.gob.mx</v>
      </c>
      <c r="AM553" s="30" t="str">
        <f ca="1">IFERROR(__xludf.DUMMYFUNCTION("""COMPUTED_VALUE"""),"Arraigo y empoderamiento cultural de comunidades.")</f>
        <v>Arraigo y empoderamiento cultural de comunidades.</v>
      </c>
      <c r="AN553" s="30" t="str">
        <f ca="1">IFERROR(__xludf.DUMMYFUNCTION("""COMPUTED_VALUE"""),"2 Igualdad")</f>
        <v>2 Igualdad</v>
      </c>
      <c r="AO553" s="30" t="str">
        <f ca="1">IFERROR(__xludf.DUMMYFUNCTION("""COMPUTED_VALUE"""),"2.4 Reducir brechas de desigualdad")</f>
        <v>2.4 Reducir brechas de desigualdad</v>
      </c>
      <c r="AP553" s="30" t="str">
        <f ca="1">IFERROR(__xludf.DUMMYFUNCTION("""COMPUTED_VALUE"""),"2.4.3 Descentralización de la oferta cultural")</f>
        <v>2.4.3 Descentralización de la oferta cultural</v>
      </c>
      <c r="AQ553" s="30" t="str">
        <f ca="1">IFERROR(__xludf.DUMMYFUNCTION("""COMPUTED_VALUE"""),"2.4.3.3 Incidir en el involucramiento de las personas con el ecosistema cultural")</f>
        <v>2.4.3.3 Incidir en el involucramiento de las personas con el ecosistema cultural</v>
      </c>
      <c r="AR553" s="30" t="str">
        <f ca="1">IFERROR(__xludf.DUMMYFUNCTION("""COMPUTED_VALUE"""),"Cooperación")</f>
        <v>Cooperación</v>
      </c>
      <c r="AS553" s="30"/>
      <c r="AT553" s="30" t="str">
        <f ca="1">IFERROR(__xludf.DUMMYFUNCTION("""COMPUTED_VALUE"""),"Fortalecimiento de la participación ciudadana y la mediación cultural")</f>
        <v>Fortalecimiento de la participación ciudadana y la mediación cultural</v>
      </c>
      <c r="AU553" s="30" t="str">
        <f ca="1">IFERROR(__xludf.DUMMYFUNCTION("""COMPUTED_VALUE"""),"Impulso a la ampliación de la oferta cultural en los territorios.")</f>
        <v>Impulso a la ampliación de la oferta cultural en los territorios.</v>
      </c>
      <c r="AV55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53" s="30" t="str">
        <f ca="1">IFERROR(__xludf.DUMMYFUNCTION("""COMPUTED_VALUE"""),"Incrementar en 25% la oferta cultural realizada en los municipios.")</f>
        <v>Incrementar en 25% la oferta cultural realizada en los municipios.</v>
      </c>
      <c r="AX553" s="30" t="str">
        <f ca="1">IFERROR(__xludf.DUMMYFUNCTION("""COMPUTED_VALUE"""),"Visitas escolares")</f>
        <v>Visitas escolares</v>
      </c>
      <c r="AY553" s="30" t="str">
        <f ca="1">IFERROR(__xludf.DUMMYFUNCTION("""COMPUTED_VALUE"""),"Mediación")</f>
        <v>Mediación</v>
      </c>
      <c r="AZ553" s="30"/>
      <c r="BA553" s="30"/>
      <c r="BB553" s="30"/>
      <c r="BC553" s="30">
        <f ca="1">IFERROR(__xludf.DUMMYFUNCTION("""COMPUTED_VALUE"""),0)</f>
        <v>0</v>
      </c>
      <c r="BD553" s="30"/>
      <c r="BE553" s="30"/>
      <c r="BF553" s="30" t="b">
        <f ca="1">IFERROR(__xludf.DUMMYFUNCTION("""COMPUTED_VALUE"""),FALSE)</f>
        <v>0</v>
      </c>
      <c r="BG553" s="30"/>
      <c r="BH553" s="30"/>
      <c r="BI553" s="30"/>
      <c r="BJ553" s="30"/>
      <c r="BK553" s="30"/>
      <c r="BL553" s="30"/>
      <c r="BM553" s="30" t="str">
        <f ca="1">IFERROR(__xludf.DUMMYFUNCTION("""COMPUTED_VALUE"""),"No")</f>
        <v>No</v>
      </c>
      <c r="BN553" s="30"/>
      <c r="BO553" s="30" t="str">
        <f ca="1">IFERROR(__xludf.DUMMYFUNCTION("""COMPUTED_VALUE"""),"d893b9db")</f>
        <v>d893b9db</v>
      </c>
      <c r="BP553" s="29" t="str">
        <f ca="1">IFERROR(__xludf.DUMMYFUNCTION("""COMPUTED_VALUE"""),"Guanajuato")</f>
        <v>Guanajuato</v>
      </c>
      <c r="BQ553" s="30" t="str">
        <f ca="1">IFERROR(__xludf.DUMMYFUNCTION("""COMPUTED_VALUE"""),"Urbano")</f>
        <v>Urbano</v>
      </c>
      <c r="BR553" s="30">
        <f ca="1">IFERROR(__xludf.DUMMYFUNCTION("""COMPUTED_VALUE"""),49)</f>
        <v>49</v>
      </c>
      <c r="BS553" s="30" t="str">
        <f ca="1">IFERROR(__xludf.DUMMYFUNCTION("""COMPUTED_VALUE"""),"Guanajuato")</f>
        <v>Guanajuato</v>
      </c>
      <c r="BT553" s="30"/>
      <c r="BU553" s="30" t="str">
        <f ca="1">IFERROR(__xludf.DUMMYFUNCTION("""COMPUTED_VALUE"""),"Si")</f>
        <v>Si</v>
      </c>
      <c r="BV553" s="30" t="str">
        <f ca="1">IFERROR(__xludf.DUMMYFUNCTION("""COMPUTED_VALUE"""),"Si")</f>
        <v>Si</v>
      </c>
      <c r="BW553" s="30">
        <f ca="1">IFERROR(__xludf.DUMMYFUNCTION("""COMPUTED_VALUE"""),1878)</f>
        <v>1878</v>
      </c>
      <c r="BX553" s="30">
        <f ca="1">IFERROR(__xludf.DUMMYFUNCTION("""COMPUTED_VALUE"""),16)</f>
        <v>16</v>
      </c>
      <c r="BY553" s="30">
        <f ca="1">IFERROR(__xludf.DUMMYFUNCTION("""COMPUTED_VALUE"""),1862)</f>
        <v>1862</v>
      </c>
      <c r="BZ553" s="30" t="str">
        <f ca="1">IFERROR(__xludf.DUMMYFUNCTION("""COMPUTED_VALUE"""),"Guanajuato")</f>
        <v>Guanajuato</v>
      </c>
      <c r="CA553" s="30" t="str">
        <f ca="1">IFERROR(__xludf.DUMMYFUNCTION("""COMPUTED_VALUE"""),"No")</f>
        <v>No</v>
      </c>
      <c r="CB553" s="30" t="str">
        <f ca="1">IFERROR(__xludf.DUMMYFUNCTION("""COMPUTED_VALUE"""),"No")</f>
        <v>No</v>
      </c>
      <c r="CC553" s="30" t="str">
        <f ca="1">IFERROR(__xludf.DUMMYFUNCTION("""COMPUTED_VALUE"""),"72492a7a")</f>
        <v>72492a7a</v>
      </c>
      <c r="CD553" s="29" t="str">
        <f ca="1">IFERROR(__xludf.DUMMYFUNCTION("""COMPUTED_VALUE"""),"Adultos (30 a 59 años)")</f>
        <v>Adultos (30 a 59 años)</v>
      </c>
      <c r="CE553" s="30" t="str">
        <f ca="1">IFERROR(__xludf.DUMMYFUNCTION("""COMPUTED_VALUE"""),"Mujer")</f>
        <v>Mujer</v>
      </c>
      <c r="CF553" s="30" t="str">
        <f ca="1">IFERROR(__xludf.DUMMYFUNCTION("""COMPUTED_VALUE"""),"Ninguno (Población General)")</f>
        <v>Ninguno (Población General)</v>
      </c>
      <c r="CG553" s="30">
        <f ca="1">IFERROR(__xludf.DUMMYFUNCTION("""COMPUTED_VALUE"""),4)</f>
        <v>4</v>
      </c>
      <c r="CJ553" s="29"/>
      <c r="CM553" s="30" t="str">
        <f ca="1">IFERROR(__xludf.DUMMYFUNCTION("""COMPUTED_VALUE"""),"Guanajuato")</f>
        <v>Guanajuato</v>
      </c>
      <c r="CN553" s="32" t="e">
        <f ca="1"/>
        <v>#NAME?</v>
      </c>
      <c r="CO553" s="32" t="e">
        <f ca="1"/>
        <v>#NAME?</v>
      </c>
      <c r="CP553" s="32" t="e">
        <f ca="1"/>
        <v>#NAME?</v>
      </c>
      <c r="CQ553" s="32" t="e">
        <f ca="1"/>
        <v>#NAME?</v>
      </c>
      <c r="CR553" s="30" t="e">
        <f ca="1"/>
        <v>#NAME?</v>
      </c>
      <c r="CS553" s="30" t="str">
        <f ca="1">IFERROR(__xludf.DUMMYFUNCTION("""COMPUTED_VALUE"""),"Población General")</f>
        <v>Población General</v>
      </c>
    </row>
    <row r="554" spans="1:97" ht="13">
      <c r="A554" s="29" t="str">
        <f ca="1">IFERROR(__xludf.DUMMYFUNCTION("""COMPUTED_VALUE"""),"ACT-SCLE86988")</f>
        <v>ACT-SCLE86988</v>
      </c>
      <c r="B554" s="30" t="str">
        <f ca="1">IFERROR(__xludf.DUMMYFUNCTION("""COMPUTED_VALUE"""),"SC-261007-051454")</f>
        <v>SC-261007-051454</v>
      </c>
      <c r="C554" s="62">
        <f ca="1">IFERROR(__xludf.DUMMYFUNCTION("""COMPUTED_VALUE"""),46302.2186805555)</f>
        <v>46302.218680555503</v>
      </c>
      <c r="D554" s="30">
        <f ca="1">IFERROR(__xludf.DUMMYFUNCTION("""COMPUTED_VALUE"""),26)</f>
        <v>26</v>
      </c>
      <c r="E554" s="30" t="str">
        <f ca="1">IFERROR(__xludf.DUMMYFUNCTION("""COMPUTED_VALUE"""),"QC4047")</f>
        <v>QC4047</v>
      </c>
      <c r="F554" s="30" t="str">
        <f ca="1">IFERROR(__xludf.DUMMYFUNCTION("""COMPUTED_VALUE"""),"Vientos Musicales para la Gente")</f>
        <v>Vientos Musicales para la Gente</v>
      </c>
      <c r="G554" s="30" t="str">
        <f ca="1">IFERROR(__xludf.DUMMYFUNCTION("""COMPUTED_VALUE"""),"Capacitación docente y a personas beneficiarias de ensambles representativos en temas especializados a través de la enseñanza por competencias.")</f>
        <v>Capacitación docente y a personas beneficiarias de ensambles representativos en temas especializados a través de la enseñanza por competencias.</v>
      </c>
      <c r="H554" s="30" t="str">
        <f ca="1">IFERROR(__xludf.DUMMYFUNCTION("""COMPUTED_VALUE"""),"SUBSECRETARÍA DE DESARROLLO COMUNITARIO Y PROMOCIÓN PATRIMONIAL")</f>
        <v>SUBSECRETARÍA DE DESARROLLO COMUNITARIO Y PROMOCIÓN PATRIMONIAL</v>
      </c>
      <c r="I554" s="34" t="str">
        <f ca="1">IFERROR(__xludf.DUMMYFUNCTION("""COMPUTED_VALUE"""),"DIRECCIÓN GENERAL DE FORMACIÓN E INVESTIGACIÓN")</f>
        <v>DIRECCIÓN GENERAL DE FORMACIÓN E INVESTIGACIÓN</v>
      </c>
      <c r="J554" s="30" t="str">
        <f ca="1">IFERROR(__xludf.DUMMYFUNCTION("""COMPUTED_VALUE"""),"Personas capacitadas")</f>
        <v>Personas capacitadas</v>
      </c>
      <c r="K554" s="30">
        <f ca="1">IFERROR(__xludf.DUMMYFUNCTION("""COMPUTED_VALUE"""),400)</f>
        <v>400</v>
      </c>
      <c r="L554" s="30" t="str">
        <f ca="1">IFERROR(__xludf.DUMMYFUNCTION("""COMPUTED_VALUE"""),"Artística")</f>
        <v>Artística</v>
      </c>
      <c r="M554" s="30" t="str">
        <f ca="1">IFERROR(__xludf.DUMMYFUNCTION("""COMPUTED_VALUE"""),"Presentación en Conmemoración a pacientes Oncológicas, mamás de Oncopedriatría, Embarazas, Lactantes y otras especialidades")</f>
        <v>Presentación en Conmemoración a pacientes Oncológicas, mamás de Oncopedriatría, Embarazas, Lactantes y otras especialidades</v>
      </c>
      <c r="N554" s="30" t="str">
        <f ca="1">IFERROR(__xludf.DUMMYFUNCTION("""COMPUTED_VALUE"""),"Presentación por parte del quintento de la Orquesta Juvenil de León")</f>
        <v>Presentación por parte del quintento de la Orquesta Juvenil de León</v>
      </c>
      <c r="O554" s="30" t="str">
        <f ca="1">IFERROR(__xludf.DUMMYFUNCTION("""COMPUTED_VALUE"""),"Única")</f>
        <v>Única</v>
      </c>
      <c r="P554" s="33">
        <f ca="1">IFERROR(__xludf.DUMMYFUNCTION("""COMPUTED_VALUE"""),46157)</f>
        <v>46157</v>
      </c>
      <c r="Q554" s="33">
        <f ca="1">IFERROR(__xludf.DUMMYFUNCTION("""COMPUTED_VALUE"""),46173)</f>
        <v>46173</v>
      </c>
      <c r="R554" s="30">
        <f ca="1">IFERROR(__xludf.DUMMYFUNCTION("""COMPUTED_VALUE"""),1)</f>
        <v>1</v>
      </c>
      <c r="S554" s="30" t="str">
        <f ca="1">IFERROR(__xludf.DUMMYFUNCTION("""COMPUTED_VALUE"""),"Música")</f>
        <v>Música</v>
      </c>
      <c r="T554" s="30" t="str">
        <f ca="1">IFERROR(__xludf.DUMMYFUNCTION("""COMPUTED_VALUE"""),"Formación musical, instrumental o coral")</f>
        <v>Formación musical, instrumental o coral</v>
      </c>
      <c r="U554" s="30" t="str">
        <f ca="1">IFERROR(__xludf.DUMMYFUNCTION("""COMPUTED_VALUE"""),"Presentación artística")</f>
        <v>Presentación artística</v>
      </c>
      <c r="V554" s="30" t="str">
        <f ca="1">IFERROR(__xludf.DUMMYFUNCTION("""COMPUTED_VALUE"""),"Ninguna")</f>
        <v>Ninguna</v>
      </c>
      <c r="W554" s="30" t="str">
        <f ca="1">IFERROR(__xludf.DUMMYFUNCTION("""COMPUTED_VALUE"""),"Presencial")</f>
        <v>Presencial</v>
      </c>
      <c r="X554" s="30" t="str">
        <f ca="1">IFERROR(__xludf.DUMMYFUNCTION("""COMPUTED_VALUE"""),"Espacio Público")</f>
        <v>Espacio Público</v>
      </c>
      <c r="Y554" s="30"/>
      <c r="Z554" s="30" t="str">
        <f ca="1">IFERROR(__xludf.DUMMYFUNCTION("""COMPUTED_VALUE"""),"Auditorio del Hospital General de León")</f>
        <v>Auditorio del Hospital General de León</v>
      </c>
      <c r="AA554" s="30"/>
      <c r="AB554" s="30" t="b">
        <f ca="1">IFERROR(__xludf.DUMMYFUNCTION("""COMPUTED_VALUE"""),FALSE)</f>
        <v>0</v>
      </c>
      <c r="AC554" s="30"/>
      <c r="AD554" s="30" t="b">
        <f ca="1">IFERROR(__xludf.DUMMYFUNCTION("""COMPUTED_VALUE"""),FALSE)</f>
        <v>0</v>
      </c>
      <c r="AE554" s="30"/>
      <c r="AF554" s="30" t="b">
        <f ca="1">IFERROR(__xludf.DUMMYFUNCTION("""COMPUTED_VALUE"""),FALSE)</f>
        <v>0</v>
      </c>
      <c r="AG554" s="30"/>
      <c r="AH554" s="30" t="str">
        <f ca="1">IFERROR(__xludf.DUMMYFUNCTION("""COMPUTED_VALUE"""),"Sin costo")</f>
        <v>Sin costo</v>
      </c>
      <c r="AI554" s="30"/>
      <c r="AJ554" s="30"/>
      <c r="AK554" s="30"/>
      <c r="AL554" s="30" t="str">
        <f ca="1">IFERROR(__xludf.DUMMYFUNCTION("""COMPUTED_VALUE"""),"adriana.escamilla.vm@gmail.com")</f>
        <v>adriana.escamilla.vm@gmail.com</v>
      </c>
      <c r="AM554" s="30" t="str">
        <f ca="1">IFERROR(__xludf.DUMMYFUNCTION("""COMPUTED_VALUE"""),"Educación: Arte, cultura, activación física y deporte de calidad en todas las escuelas.")</f>
        <v>Educación: Arte, cultura, activación física y deporte de calidad en todas las escuelas.</v>
      </c>
      <c r="AN554" s="30" t="str">
        <f ca="1">IFERROR(__xludf.DUMMYFUNCTION("""COMPUTED_VALUE"""),"4 Vocación")</f>
        <v>4 Vocación</v>
      </c>
      <c r="AO554" s="30" t="str">
        <f ca="1">IFERROR(__xludf.DUMMYFUNCTION("""COMPUTED_VALUE"""),"4.4 Reforzar competencias lectoras y lógico matemáticas")</f>
        <v>4.4 Reforzar competencias lectoras y lógico matemáticas</v>
      </c>
      <c r="AP554" s="30" t="str">
        <f ca="1">IFERROR(__xludf.DUMMYFUNCTION("""COMPUTED_VALUE"""),"4.4.1 Competencias y habilidades")</f>
        <v>4.4.1 Competencias y habilidades</v>
      </c>
      <c r="AQ554" s="30" t="str">
        <f ca="1">IFERROR(__xludf.DUMMYFUNCTION("""COMPUTED_VALUE"""),"4.4.1 Competencias y habilidades")</f>
        <v>4.4.1 Competencias y habilidades</v>
      </c>
      <c r="AR554" s="30" t="str">
        <f ca="1">IFERROR(__xludf.DUMMYFUNCTION("""COMPUTED_VALUE"""),"Ninguno")</f>
        <v>Ninguno</v>
      </c>
      <c r="AS554" s="30" t="str">
        <f ca="1">IFERROR(__xludf.DUMMYFUNCTION("""COMPUTED_VALUE"""),"NNA (Niñas, Niños y Adolescentes)")</f>
        <v>NNA (Niñas, Niños y Adolescentes)</v>
      </c>
      <c r="AT554" s="30" t="str">
        <f ca="1">IFERROR(__xludf.DUMMYFUNCTION("""COMPUTED_VALUE"""),"Impulso a la educación artística y a la profesionalización del sector cultural")</f>
        <v>Impulso a la educación artística y a la profesionalización del sector cultural</v>
      </c>
      <c r="AU554" s="30" t="str">
        <f ca="1">IFERROR(__xludf.DUMMYFUNCTION("""COMPUTED_VALUE"""),"Impulso a programas de formación y profesionalización para agentes culturales.")</f>
        <v>Impulso a programas de formación y profesionalización para agentes culturales.</v>
      </c>
      <c r="AV554"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4" s="30" t="str">
        <f ca="1">IFERROR(__xludf.DUMMYFUNCTION("""COMPUTED_VALUE"""),"Incrementar un 30% la oferta de formación y profesionalización para agentes culturales.")</f>
        <v>Incrementar un 30% la oferta de formación y profesionalización para agentes culturales.</v>
      </c>
      <c r="AX554" s="30" t="str">
        <f ca="1">IFERROR(__xludf.DUMMYFUNCTION("""COMPUTED_VALUE"""),"Presentación artística")</f>
        <v>Presentación artística</v>
      </c>
      <c r="AY554" s="30" t="str">
        <f ca="1">IFERROR(__xludf.DUMMYFUNCTION("""COMPUTED_VALUE"""),"Formación")</f>
        <v>Formación</v>
      </c>
      <c r="AZ554" s="30" t="str">
        <f ca="1">IFERROR(__xludf.DUMMYFUNCTION("""COMPUTED_VALUE"""),"Formación")</f>
        <v>Formación</v>
      </c>
      <c r="BA554" s="30" t="str">
        <f ca="1">IFERROR(__xludf.DUMMYFUNCTION("""COMPUTED_VALUE"""),"Capacitación en temas específicos a ensambles de representación del Programa")</f>
        <v>Capacitación en temas específicos a ensambles de representación del Programa</v>
      </c>
      <c r="BB554" s="30"/>
      <c r="BC554" s="30">
        <f ca="1">IFERROR(__xludf.DUMMYFUNCTION("""COMPUTED_VALUE"""),0)</f>
        <v>0</v>
      </c>
      <c r="BD554" s="30"/>
      <c r="BE554" s="30"/>
      <c r="BF554" s="30" t="b">
        <f ca="1">IFERROR(__xludf.DUMMYFUNCTION("""COMPUTED_VALUE"""),FALSE)</f>
        <v>0</v>
      </c>
      <c r="BG554" s="30"/>
      <c r="BH554" s="30"/>
      <c r="BI554" s="30"/>
      <c r="BJ554" s="30"/>
      <c r="BK554" s="30"/>
      <c r="BL554" s="30" t="str">
        <f ca="1">IFERROR(__xludf.DUMMYFUNCTION("""COMPUTED_VALUE"""),"Colaboración con el Hospital General de León")</f>
        <v>Colaboración con el Hospital General de León</v>
      </c>
      <c r="BM554" s="30" t="str">
        <f ca="1">IFERROR(__xludf.DUMMYFUNCTION("""COMPUTED_VALUE"""),"Sí")</f>
        <v>Sí</v>
      </c>
      <c r="BN554" s="30" t="str">
        <f ca="1">IFERROR(__xludf.DUMMYFUNCTION("""COMPUTED_VALUE"""),"Acompañamiento Técnico")</f>
        <v>Acompañamiento Técnico</v>
      </c>
      <c r="BO554" s="30" t="str">
        <f ca="1">IFERROR(__xludf.DUMMYFUNCTION("""COMPUTED_VALUE"""),"5ae78c2b")</f>
        <v>5ae78c2b</v>
      </c>
      <c r="BP554" s="29" t="str">
        <f ca="1">IFERROR(__xludf.DUMMYFUNCTION("""COMPUTED_VALUE"""),"León")</f>
        <v>León</v>
      </c>
      <c r="BQ554" s="30" t="str">
        <f ca="1">IFERROR(__xludf.DUMMYFUNCTION("""COMPUTED_VALUE"""),"Urbano")</f>
        <v>Urbano</v>
      </c>
      <c r="BR554" s="30"/>
      <c r="BS554" s="30"/>
      <c r="BT554" s="30"/>
      <c r="BU554" s="30" t="str">
        <f ca="1">IFERROR(__xludf.DUMMYFUNCTION("""COMPUTED_VALUE"""),"No")</f>
        <v>No</v>
      </c>
      <c r="BV554" s="30" t="str">
        <f ca="1">IFERROR(__xludf.DUMMYFUNCTION("""COMPUTED_VALUE"""),"No")</f>
        <v>No</v>
      </c>
      <c r="BW554" s="30">
        <f ca="1">IFERROR(__xludf.DUMMYFUNCTION("""COMPUTED_VALUE"""),10)</f>
        <v>10</v>
      </c>
      <c r="BX554" s="30"/>
      <c r="BY554" s="30">
        <f ca="1">IFERROR(__xludf.DUMMYFUNCTION("""COMPUTED_VALUE"""),10)</f>
        <v>10</v>
      </c>
      <c r="BZ554" s="30"/>
      <c r="CA554" s="30" t="str">
        <f ca="1">IFERROR(__xludf.DUMMYFUNCTION("""COMPUTED_VALUE"""),"No")</f>
        <v>No</v>
      </c>
      <c r="CB554" s="30" t="str">
        <f ca="1">IFERROR(__xludf.DUMMYFUNCTION("""COMPUTED_VALUE"""),"No")</f>
        <v>No</v>
      </c>
      <c r="CC554" s="30" t="str">
        <f ca="1">IFERROR(__xludf.DUMMYFUNCTION("""COMPUTED_VALUE"""),"5ab90c5f")</f>
        <v>5ab90c5f</v>
      </c>
      <c r="CD554" s="29" t="str">
        <f ca="1">IFERROR(__xludf.DUMMYFUNCTION("""COMPUTED_VALUE"""),"Niñas y Niños (6 a 12 años)")</f>
        <v>Niñas y Niños (6 a 12 años)</v>
      </c>
      <c r="CE554" s="30" t="str">
        <f ca="1">IFERROR(__xludf.DUMMYFUNCTION("""COMPUTED_VALUE"""),"No se cuenta con el dato")</f>
        <v>No se cuenta con el dato</v>
      </c>
      <c r="CF554" s="30" t="str">
        <f ca="1">IFERROR(__xludf.DUMMYFUNCTION("""COMPUTED_VALUE"""),"Ninguno (Población General)")</f>
        <v>Ninguno (Población General)</v>
      </c>
      <c r="CG554" s="30">
        <f ca="1">IFERROR(__xludf.DUMMYFUNCTION("""COMPUTED_VALUE"""),12345)</f>
        <v>12345</v>
      </c>
      <c r="CJ554" s="29"/>
      <c r="CM554" s="30" t="str">
        <f ca="1">IFERROR(__xludf.DUMMYFUNCTION("""COMPUTED_VALUE"""),"")</f>
        <v/>
      </c>
      <c r="CN554" s="32" t="e">
        <f ca="1"/>
        <v>#NAME?</v>
      </c>
      <c r="CO554" s="32" t="e">
        <f ca="1"/>
        <v>#NAME?</v>
      </c>
      <c r="CP554" s="32" t="e">
        <f ca="1"/>
        <v>#NAME?</v>
      </c>
      <c r="CQ554" s="32" t="e">
        <f ca="1"/>
        <v>#NAME?</v>
      </c>
      <c r="CR554" s="30" t="e">
        <f ca="1"/>
        <v>#NAME?</v>
      </c>
      <c r="CS554" s="30" t="str">
        <f ca="1">IFERROR(__xludf.DUMMYFUNCTION("""COMPUTED_VALUE"""),"Población General")</f>
        <v>Población General</v>
      </c>
    </row>
    <row r="555" spans="1:97" ht="13">
      <c r="A555" s="29" t="str">
        <f ca="1">IFERROR(__xludf.DUMMYFUNCTION("""COMPUTED_VALUE"""),"ACT-SCZR98192")</f>
        <v>ACT-SCZR98192</v>
      </c>
      <c r="B555" s="30" t="str">
        <f ca="1">IFERROR(__xludf.DUMMYFUNCTION("""COMPUTED_VALUE"""),"SC-261007-053648")</f>
        <v>SC-261007-053648</v>
      </c>
      <c r="C555" s="62">
        <f ca="1">IFERROR(__xludf.DUMMYFUNCTION("""COMPUTED_VALUE"""),46302.2338888888)</f>
        <v>46302.233888888797</v>
      </c>
      <c r="D555" s="30">
        <f ca="1">IFERROR(__xludf.DUMMYFUNCTION("""COMPUTED_VALUE"""),24)</f>
        <v>24</v>
      </c>
      <c r="E555" s="30" t="str">
        <f ca="1">IFERROR(__xludf.DUMMYFUNCTION("""COMPUTED_VALUE"""),"QC4047")</f>
        <v>QC4047</v>
      </c>
      <c r="F555" s="30" t="str">
        <f ca="1">IFERROR(__xludf.DUMMYFUNCTION("""COMPUTED_VALUE"""),"Vientos Musicales para la Gente")</f>
        <v>Vientos Musicales para la Gente</v>
      </c>
      <c r="G555" s="30" t="str">
        <f ca="1">IFERROR(__xludf.DUMMYFUNCTION("""COMPUTED_VALUE"""),"Capacitación a alumnado en el método multinivel en Bandas Sinfónicas, Orquestas Sinfónicas y Camerata")</f>
        <v>Capacitación a alumnado en el método multinivel en Bandas Sinfónicas, Orquestas Sinfónicas y Camerata</v>
      </c>
      <c r="H555" s="30" t="str">
        <f ca="1">IFERROR(__xludf.DUMMYFUNCTION("""COMPUTED_VALUE"""),"SUBSECRETARÍA DE DESARROLLO COMUNITARIO Y PROMOCIÓN PATRIMONIAL")</f>
        <v>SUBSECRETARÍA DE DESARROLLO COMUNITARIO Y PROMOCIÓN PATRIMONIAL</v>
      </c>
      <c r="I555" s="34" t="str">
        <f ca="1">IFERROR(__xludf.DUMMYFUNCTION("""COMPUTED_VALUE"""),"DIRECCIÓN GENERAL DE FORMACIÓN E INVESTIGACIÓN")</f>
        <v>DIRECCIÓN GENERAL DE FORMACIÓN E INVESTIGACIÓN</v>
      </c>
      <c r="J555" s="30" t="str">
        <f ca="1">IFERROR(__xludf.DUMMYFUNCTION("""COMPUTED_VALUE"""),"Personas capacitadas")</f>
        <v>Personas capacitadas</v>
      </c>
      <c r="K555" s="30">
        <f ca="1">IFERROR(__xludf.DUMMYFUNCTION("""COMPUTED_VALUE"""),1240)</f>
        <v>1240</v>
      </c>
      <c r="L555" s="30" t="str">
        <f ca="1">IFERROR(__xludf.DUMMYFUNCTION("""COMPUTED_VALUE"""),"Artística")</f>
        <v>Artística</v>
      </c>
      <c r="M555" s="30" t="str">
        <f ca="1">IFERROR(__xludf.DUMMYFUNCTION("""COMPUTED_VALUE"""),"Presentación del Encuentro de Orquestas")</f>
        <v>Presentación del Encuentro de Orquestas</v>
      </c>
      <c r="N555" s="30" t="str">
        <f ca="1">IFERROR(__xludf.DUMMYFUNCTION("""COMPUTED_VALUE"""),"Presentación de la Orquesta Sinfónica de León y Orquesta Cedros UP, Orquesta Trinitate Philarmonia")</f>
        <v>Presentación de la Orquesta Sinfónica de León y Orquesta Cedros UP, Orquesta Trinitate Philarmonia</v>
      </c>
      <c r="O555" s="30" t="str">
        <f ca="1">IFERROR(__xludf.DUMMYFUNCTION("""COMPUTED_VALUE"""),"Otras")</f>
        <v>Otras</v>
      </c>
      <c r="P555" s="33">
        <f ca="1">IFERROR(__xludf.DUMMYFUNCTION("""COMPUTED_VALUE"""),46193)</f>
        <v>46193</v>
      </c>
      <c r="Q555" s="33">
        <f ca="1">IFERROR(__xludf.DUMMYFUNCTION("""COMPUTED_VALUE"""),46194)</f>
        <v>46194</v>
      </c>
      <c r="R555" s="30">
        <f ca="1">IFERROR(__xludf.DUMMYFUNCTION("""COMPUTED_VALUE"""),1)</f>
        <v>1</v>
      </c>
      <c r="S555" s="30" t="str">
        <f ca="1">IFERROR(__xludf.DUMMYFUNCTION("""COMPUTED_VALUE"""),"Música")</f>
        <v>Música</v>
      </c>
      <c r="T555" s="30" t="str">
        <f ca="1">IFERROR(__xludf.DUMMYFUNCTION("""COMPUTED_VALUE"""),"Formación musical, instrumental o coral")</f>
        <v>Formación musical, instrumental o coral</v>
      </c>
      <c r="U555" s="30" t="str">
        <f ca="1">IFERROR(__xludf.DUMMYFUNCTION("""COMPUTED_VALUE"""),"Presentación artística")</f>
        <v>Presentación artística</v>
      </c>
      <c r="V555" s="30" t="str">
        <f ca="1">IFERROR(__xludf.DUMMYFUNCTION("""COMPUTED_VALUE"""),"Ninguna")</f>
        <v>Ninguna</v>
      </c>
      <c r="W555" s="30" t="str">
        <f ca="1">IFERROR(__xludf.DUMMYFUNCTION("""COMPUTED_VALUE"""),"Presencial")</f>
        <v>Presencial</v>
      </c>
      <c r="X555" s="30" t="str">
        <f ca="1">IFERROR(__xludf.DUMMYFUNCTION("""COMPUTED_VALUE"""),"Otros Espacios Culturales")</f>
        <v>Otros Espacios Culturales</v>
      </c>
      <c r="Y555" s="30" t="str">
        <f ca="1">IFERROR(__xludf.DUMMYFUNCTION("""COMPUTED_VALUE"""),"Academia Renacimiento y Trinitate Philarmonia , Teatro Juárez")</f>
        <v>Academia Renacimiento y Trinitate Philarmonia , Teatro Juárez</v>
      </c>
      <c r="Z555" s="30"/>
      <c r="AA555" s="30"/>
      <c r="AB555" s="30" t="b">
        <f ca="1">IFERROR(__xludf.DUMMYFUNCTION("""COMPUTED_VALUE"""),FALSE)</f>
        <v>0</v>
      </c>
      <c r="AC555" s="30"/>
      <c r="AD555" s="30" t="b">
        <f ca="1">IFERROR(__xludf.DUMMYFUNCTION("""COMPUTED_VALUE"""),FALSE)</f>
        <v>0</v>
      </c>
      <c r="AE555" s="30"/>
      <c r="AF555" s="30" t="b">
        <f ca="1">IFERROR(__xludf.DUMMYFUNCTION("""COMPUTED_VALUE"""),FALSE)</f>
        <v>0</v>
      </c>
      <c r="AG555" s="30"/>
      <c r="AH555" s="30" t="str">
        <f ca="1">IFERROR(__xludf.DUMMYFUNCTION("""COMPUTED_VALUE"""),"Sin costo")</f>
        <v>Sin costo</v>
      </c>
      <c r="AI555" s="30"/>
      <c r="AJ555" s="30"/>
      <c r="AK555" s="30"/>
      <c r="AL555" s="30" t="str">
        <f ca="1">IFERROR(__xludf.DUMMYFUNCTION("""COMPUTED_VALUE"""),"adriana.escamilla.vm@gmail.com")</f>
        <v>adriana.escamilla.vm@gmail.com</v>
      </c>
      <c r="AM555" s="30" t="str">
        <f ca="1">IFERROR(__xludf.DUMMYFUNCTION("""COMPUTED_VALUE"""),"Educación: Arte, cultura, activación física y deporte de calidad en todas las escuelas.")</f>
        <v>Educación: Arte, cultura, activación física y deporte de calidad en todas las escuelas.</v>
      </c>
      <c r="AN555" s="30" t="str">
        <f ca="1">IFERROR(__xludf.DUMMYFUNCTION("""COMPUTED_VALUE"""),"4 Vocación")</f>
        <v>4 Vocación</v>
      </c>
      <c r="AO555" s="30" t="str">
        <f ca="1">IFERROR(__xludf.DUMMYFUNCTION("""COMPUTED_VALUE"""),"4.4 Reforzar competencias lectoras y lógico matemáticas")</f>
        <v>4.4 Reforzar competencias lectoras y lógico matemáticas</v>
      </c>
      <c r="AP555" s="30" t="str">
        <f ca="1">IFERROR(__xludf.DUMMYFUNCTION("""COMPUTED_VALUE"""),"4.4.1 Competencias y habilidades")</f>
        <v>4.4.1 Competencias y habilidades</v>
      </c>
      <c r="AQ555" s="30" t="str">
        <f ca="1">IFERROR(__xludf.DUMMYFUNCTION("""COMPUTED_VALUE"""),"4.4.1 Competencias y habilidades")</f>
        <v>4.4.1 Competencias y habilidades</v>
      </c>
      <c r="AR555" s="30" t="str">
        <f ca="1">IFERROR(__xludf.DUMMYFUNCTION("""COMPUTED_VALUE"""),"Inclusión")</f>
        <v>Inclusión</v>
      </c>
      <c r="AS555" s="30" t="str">
        <f ca="1">IFERROR(__xludf.DUMMYFUNCTION("""COMPUTED_VALUE"""),"NNA (Niñas, Niños y Adolescentes)")</f>
        <v>NNA (Niñas, Niños y Adolescentes)</v>
      </c>
      <c r="AT555" s="30" t="str">
        <f ca="1">IFERROR(__xludf.DUMMYFUNCTION("""COMPUTED_VALUE"""),"Impulso a la educación artística y a la profesionalización del sector cultural")</f>
        <v>Impulso a la educación artística y a la profesionalización del sector cultural</v>
      </c>
      <c r="AU555" s="30" t="str">
        <f ca="1">IFERROR(__xludf.DUMMYFUNCTION("""COMPUTED_VALUE"""),"Impulso a programas de formación y profesionalización para agentes culturales.")</f>
        <v>Impulso a programas de formación y profesionalización para agentes culturales.</v>
      </c>
      <c r="AV555"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5" s="30" t="str">
        <f ca="1">IFERROR(__xludf.DUMMYFUNCTION("""COMPUTED_VALUE"""),"Incrementar un 30% la oferta de formación y profesionalización para agentes culturales.")</f>
        <v>Incrementar un 30% la oferta de formación y profesionalización para agentes culturales.</v>
      </c>
      <c r="AX555" s="30" t="str">
        <f ca="1">IFERROR(__xludf.DUMMYFUNCTION("""COMPUTED_VALUE"""),"Presentación artística")</f>
        <v>Presentación artística</v>
      </c>
      <c r="AY555" s="30" t="str">
        <f ca="1">IFERROR(__xludf.DUMMYFUNCTION("""COMPUTED_VALUE"""),"Formación")</f>
        <v>Formación</v>
      </c>
      <c r="AZ555" s="30" t="str">
        <f ca="1">IFERROR(__xludf.DUMMYFUNCTION("""COMPUTED_VALUE"""),"Formación")</f>
        <v>Formación</v>
      </c>
      <c r="BA555" s="30"/>
      <c r="BB555" s="30"/>
      <c r="BC555" s="30">
        <f ca="1">IFERROR(__xludf.DUMMYFUNCTION("""COMPUTED_VALUE"""),0)</f>
        <v>0</v>
      </c>
      <c r="BD555" s="30"/>
      <c r="BE555" s="30"/>
      <c r="BF555" s="30" t="b">
        <f ca="1">IFERROR(__xludf.DUMMYFUNCTION("""COMPUTED_VALUE"""),FALSE)</f>
        <v>0</v>
      </c>
      <c r="BG555" s="30"/>
      <c r="BH555" s="30"/>
      <c r="BI555" s="30"/>
      <c r="BJ555" s="30"/>
      <c r="BK555" s="30"/>
      <c r="BL555" s="30" t="str">
        <f ca="1">IFERROR(__xludf.DUMMYFUNCTION("""COMPUTED_VALUE"""),"Colaboración con la Orquesta Cedros UP y la Orquesta Trinitate Philarmonia")</f>
        <v>Colaboración con la Orquesta Cedros UP y la Orquesta Trinitate Philarmonia</v>
      </c>
      <c r="BM555" s="30" t="str">
        <f ca="1">IFERROR(__xludf.DUMMYFUNCTION("""COMPUTED_VALUE"""),"Sí")</f>
        <v>Sí</v>
      </c>
      <c r="BN555" s="30" t="str">
        <f ca="1">IFERROR(__xludf.DUMMYFUNCTION("""COMPUTED_VALUE"""),"Acompañamiento Técnico")</f>
        <v>Acompañamiento Técnico</v>
      </c>
      <c r="BO555" s="30" t="str">
        <f ca="1">IFERROR(__xludf.DUMMYFUNCTION("""COMPUTED_VALUE"""),"660145da")</f>
        <v>660145da</v>
      </c>
      <c r="BP555" s="29" t="str">
        <f ca="1">IFERROR(__xludf.DUMMYFUNCTION("""COMPUTED_VALUE"""),"León")</f>
        <v>León</v>
      </c>
      <c r="BQ555" s="30" t="str">
        <f ca="1">IFERROR(__xludf.DUMMYFUNCTION("""COMPUTED_VALUE"""),"Urbano")</f>
        <v>Urbano</v>
      </c>
      <c r="BR555" s="30"/>
      <c r="BS555" s="30"/>
      <c r="BT555" s="30"/>
      <c r="BU555" s="30" t="str">
        <f ca="1">IFERROR(__xludf.DUMMYFUNCTION("""COMPUTED_VALUE"""),"No")</f>
        <v>No</v>
      </c>
      <c r="BV555" s="30" t="str">
        <f ca="1">IFERROR(__xludf.DUMMYFUNCTION("""COMPUTED_VALUE"""),"No")</f>
        <v>No</v>
      </c>
      <c r="BW555" s="30">
        <f ca="1">IFERROR(__xludf.DUMMYFUNCTION("""COMPUTED_VALUE"""),86)</f>
        <v>86</v>
      </c>
      <c r="BX555" s="30"/>
      <c r="BY555" s="30">
        <f ca="1">IFERROR(__xludf.DUMMYFUNCTION("""COMPUTED_VALUE"""),86)</f>
        <v>86</v>
      </c>
      <c r="BZ555" s="30"/>
      <c r="CA555" s="30" t="str">
        <f ca="1">IFERROR(__xludf.DUMMYFUNCTION("""COMPUTED_VALUE"""),"No")</f>
        <v>No</v>
      </c>
      <c r="CB555" s="30" t="str">
        <f ca="1">IFERROR(__xludf.DUMMYFUNCTION("""COMPUTED_VALUE"""),"No")</f>
        <v>No</v>
      </c>
      <c r="CC555" s="30" t="str">
        <f ca="1">IFERROR(__xludf.DUMMYFUNCTION("""COMPUTED_VALUE"""),"c9618568")</f>
        <v>c9618568</v>
      </c>
      <c r="CD555" s="29" t="str">
        <f ca="1">IFERROR(__xludf.DUMMYFUNCTION("""COMPUTED_VALUE"""),"Adolescentes (13 a 17 años)")</f>
        <v>Adolescentes (13 a 17 años)</v>
      </c>
      <c r="CE555" s="30" t="str">
        <f ca="1">IFERROR(__xludf.DUMMYFUNCTION("""COMPUTED_VALUE"""),"No se cuenta con el dato")</f>
        <v>No se cuenta con el dato</v>
      </c>
      <c r="CF555" s="30" t="str">
        <f ca="1">IFERROR(__xludf.DUMMYFUNCTION("""COMPUTED_VALUE"""),"Ninguno (Población General)")</f>
        <v>Ninguno (Población General)</v>
      </c>
      <c r="CG555" s="30">
        <f ca="1">IFERROR(__xludf.DUMMYFUNCTION("""COMPUTED_VALUE"""),6120)</f>
        <v>6120</v>
      </c>
      <c r="CJ555" s="29"/>
      <c r="CM555" s="30" t="str">
        <f ca="1">IFERROR(__xludf.DUMMYFUNCTION("""COMPUTED_VALUE"""),"León")</f>
        <v>León</v>
      </c>
      <c r="CN555" s="32" t="e">
        <f ca="1"/>
        <v>#NAME?</v>
      </c>
      <c r="CO555" s="32" t="e">
        <f ca="1"/>
        <v>#NAME?</v>
      </c>
      <c r="CP555" s="32" t="e">
        <f ca="1"/>
        <v>#NAME?</v>
      </c>
      <c r="CQ555" s="32" t="e">
        <f ca="1"/>
        <v>#NAME?</v>
      </c>
      <c r="CR555" s="30" t="e">
        <f ca="1"/>
        <v>#NAME?</v>
      </c>
      <c r="CS555" s="30" t="str">
        <f ca="1">IFERROR(__xludf.DUMMYFUNCTION("""COMPUTED_VALUE"""),"Ninguno (Población General)")</f>
        <v>Ninguno (Población General)</v>
      </c>
    </row>
    <row r="556" spans="1:97" ht="13">
      <c r="A556" s="29" t="str">
        <f ca="1">IFERROR(__xludf.DUMMYFUNCTION("""COMPUTED_VALUE"""),"ACT-SCLJ26393")</f>
        <v>ACT-SCLJ26393</v>
      </c>
      <c r="B556" s="30" t="str">
        <f ca="1">IFERROR(__xludf.DUMMYFUNCTION("""COMPUTED_VALUE"""),"SC-261007-060154")</f>
        <v>SC-261007-060154</v>
      </c>
      <c r="C556" s="62">
        <f ca="1">IFERROR(__xludf.DUMMYFUNCTION("""COMPUTED_VALUE"""),46302.2513194444)</f>
        <v>46302.251319444404</v>
      </c>
      <c r="D556" s="30">
        <f ca="1">IFERROR(__xludf.DUMMYFUNCTION("""COMPUTED_VALUE"""),24)</f>
        <v>24</v>
      </c>
      <c r="E556" s="30" t="str">
        <f ca="1">IFERROR(__xludf.DUMMYFUNCTION("""COMPUTED_VALUE"""),"QC4047")</f>
        <v>QC4047</v>
      </c>
      <c r="F556" s="30" t="str">
        <f ca="1">IFERROR(__xludf.DUMMYFUNCTION("""COMPUTED_VALUE"""),"Vientos Musicales para la Gente")</f>
        <v>Vientos Musicales para la Gente</v>
      </c>
      <c r="G556" s="30" t="str">
        <f ca="1">IFERROR(__xludf.DUMMYFUNCTION("""COMPUTED_VALUE"""),"Capacitación a alumnado en el método multinivel en Bandas Sinfónicas, Orquestas Sinfónicas y Camerata")</f>
        <v>Capacitación a alumnado en el método multinivel en Bandas Sinfónicas, Orquestas Sinfónicas y Camerata</v>
      </c>
      <c r="H556" s="30" t="str">
        <f ca="1">IFERROR(__xludf.DUMMYFUNCTION("""COMPUTED_VALUE"""),"SUBSECRETARÍA DE DESARROLLO COMUNITARIO Y PROMOCIÓN PATRIMONIAL")</f>
        <v>SUBSECRETARÍA DE DESARROLLO COMUNITARIO Y PROMOCIÓN PATRIMONIAL</v>
      </c>
      <c r="I556" s="34" t="str">
        <f ca="1">IFERROR(__xludf.DUMMYFUNCTION("""COMPUTED_VALUE"""),"DIRECCIÓN GENERAL DE FORMACIÓN E INVESTIGACIÓN")</f>
        <v>DIRECCIÓN GENERAL DE FORMACIÓN E INVESTIGACIÓN</v>
      </c>
      <c r="J556" s="30" t="str">
        <f ca="1">IFERROR(__xludf.DUMMYFUNCTION("""COMPUTED_VALUE"""),"Personas capacitadas")</f>
        <v>Personas capacitadas</v>
      </c>
      <c r="K556" s="30">
        <f ca="1">IFERROR(__xludf.DUMMYFUNCTION("""COMPUTED_VALUE"""),1240)</f>
        <v>1240</v>
      </c>
      <c r="L556" s="30" t="str">
        <f ca="1">IFERROR(__xludf.DUMMYFUNCTION("""COMPUTED_VALUE"""),"Artística")</f>
        <v>Artística</v>
      </c>
      <c r="M556" s="30" t="str">
        <f ca="1">IFERROR(__xludf.DUMMYFUNCTION("""COMPUTED_VALUE"""),"Presentaciones musicales de cierre primer semestre - meta 1")</f>
        <v>Presentaciones musicales de cierre primer semestre - meta 1</v>
      </c>
      <c r="N556" s="30" t="str">
        <f ca="1">IFERROR(__xludf.DUMMYFUNCTION("""COMPUTED_VALUE"""),"Presentaciones musicales en municipios como parte de las actividades del cierre semestral")</f>
        <v>Presentaciones musicales en municipios como parte de las actividades del cierre semestral</v>
      </c>
      <c r="O556" s="30" t="str">
        <f ca="1">IFERROR(__xludf.DUMMYFUNCTION("""COMPUTED_VALUE"""),"Mensual")</f>
        <v>Mensual</v>
      </c>
      <c r="P556" s="33">
        <f ca="1">IFERROR(__xludf.DUMMYFUNCTION("""COMPUTED_VALUE"""),46174)</f>
        <v>46174</v>
      </c>
      <c r="Q556" s="33">
        <f ca="1">IFERROR(__xludf.DUMMYFUNCTION("""COMPUTED_VALUE"""),46203)</f>
        <v>46203</v>
      </c>
      <c r="R556" s="30">
        <f ca="1">IFERROR(__xludf.DUMMYFUNCTION("""COMPUTED_VALUE"""),1)</f>
        <v>1</v>
      </c>
      <c r="S556" s="30" t="str">
        <f ca="1">IFERROR(__xludf.DUMMYFUNCTION("""COMPUTED_VALUE"""),"Música")</f>
        <v>Música</v>
      </c>
      <c r="T556" s="30" t="str">
        <f ca="1">IFERROR(__xludf.DUMMYFUNCTION("""COMPUTED_VALUE"""),"Formación musical, instrumental o coral")</f>
        <v>Formación musical, instrumental o coral</v>
      </c>
      <c r="U556" s="30" t="str">
        <f ca="1">IFERROR(__xludf.DUMMYFUNCTION("""COMPUTED_VALUE"""),"Presentación artística")</f>
        <v>Presentación artística</v>
      </c>
      <c r="V556" s="30" t="str">
        <f ca="1">IFERROR(__xludf.DUMMYFUNCTION("""COMPUTED_VALUE"""),"Ninguna")</f>
        <v>Ninguna</v>
      </c>
      <c r="W556" s="30" t="str">
        <f ca="1">IFERROR(__xludf.DUMMYFUNCTION("""COMPUTED_VALUE"""),"Presencial")</f>
        <v>Presencial</v>
      </c>
      <c r="X556" s="30" t="str">
        <f ca="1">IFERROR(__xludf.DUMMYFUNCTION("""COMPUTED_VALUE"""),"Espacio Privado")</f>
        <v>Espacio Privado</v>
      </c>
      <c r="Y556" s="30"/>
      <c r="Z556" s="30" t="str">
        <f ca="1">IFERROR(__xludf.DUMMYFUNCTION("""COMPUTED_VALUE"""),"Escuela Primaria Héroes de México")</f>
        <v>Escuela Primaria Héroes de México</v>
      </c>
      <c r="AA556" s="30"/>
      <c r="AB556" s="30" t="b">
        <f ca="1">IFERROR(__xludf.DUMMYFUNCTION("""COMPUTED_VALUE"""),FALSE)</f>
        <v>0</v>
      </c>
      <c r="AC556" s="30"/>
      <c r="AD556" s="30" t="b">
        <f ca="1">IFERROR(__xludf.DUMMYFUNCTION("""COMPUTED_VALUE"""),FALSE)</f>
        <v>0</v>
      </c>
      <c r="AE556" s="30"/>
      <c r="AF556" s="30" t="b">
        <f ca="1">IFERROR(__xludf.DUMMYFUNCTION("""COMPUTED_VALUE"""),FALSE)</f>
        <v>0</v>
      </c>
      <c r="AG556" s="30"/>
      <c r="AH556" s="30" t="str">
        <f ca="1">IFERROR(__xludf.DUMMYFUNCTION("""COMPUTED_VALUE"""),"Sin costo")</f>
        <v>Sin costo</v>
      </c>
      <c r="AI556" s="30"/>
      <c r="AJ556" s="30"/>
      <c r="AK556" s="30"/>
      <c r="AL556" s="30" t="str">
        <f ca="1">IFERROR(__xludf.DUMMYFUNCTION("""COMPUTED_VALUE"""),"adriana.escamilla.vm@gmail.com")</f>
        <v>adriana.escamilla.vm@gmail.com</v>
      </c>
      <c r="AM556" s="30" t="str">
        <f ca="1">IFERROR(__xludf.DUMMYFUNCTION("""COMPUTED_VALUE"""),"Educación: Arte, cultura, activación física y deporte de calidad en todas las escuelas.")</f>
        <v>Educación: Arte, cultura, activación física y deporte de calidad en todas las escuelas.</v>
      </c>
      <c r="AN556" s="30" t="str">
        <f ca="1">IFERROR(__xludf.DUMMYFUNCTION("""COMPUTED_VALUE"""),"4 Vocación")</f>
        <v>4 Vocación</v>
      </c>
      <c r="AO556" s="30" t="str">
        <f ca="1">IFERROR(__xludf.DUMMYFUNCTION("""COMPUTED_VALUE"""),"4.4 Reforzar competencias lectoras y lógico matemáticas")</f>
        <v>4.4 Reforzar competencias lectoras y lógico matemáticas</v>
      </c>
      <c r="AP556" s="30" t="str">
        <f ca="1">IFERROR(__xludf.DUMMYFUNCTION("""COMPUTED_VALUE"""),"4.4.1 Competencias y habilidades")</f>
        <v>4.4.1 Competencias y habilidades</v>
      </c>
      <c r="AQ556" s="30" t="str">
        <f ca="1">IFERROR(__xludf.DUMMYFUNCTION("""COMPUTED_VALUE"""),"4.4.1 Competencias y habilidades")</f>
        <v>4.4.1 Competencias y habilidades</v>
      </c>
      <c r="AR556" s="30" t="str">
        <f ca="1">IFERROR(__xludf.DUMMYFUNCTION("""COMPUTED_VALUE"""),"Inclusión")</f>
        <v>Inclusión</v>
      </c>
      <c r="AS556" s="30" t="str">
        <f ca="1">IFERROR(__xludf.DUMMYFUNCTION("""COMPUTED_VALUE"""),"NNA (Niñas, Niños y Adolescentes)")</f>
        <v>NNA (Niñas, Niños y Adolescentes)</v>
      </c>
      <c r="AT556" s="30" t="str">
        <f ca="1">IFERROR(__xludf.DUMMYFUNCTION("""COMPUTED_VALUE"""),"Impulso a la educación artística y a la profesionalización del sector cultural")</f>
        <v>Impulso a la educación artística y a la profesionalización del sector cultural</v>
      </c>
      <c r="AU556" s="30" t="str">
        <f ca="1">IFERROR(__xludf.DUMMYFUNCTION("""COMPUTED_VALUE"""),"Impulso a programas de formación y profesionalización para agentes culturales.")</f>
        <v>Impulso a programas de formación y profesionalización para agentes culturales.</v>
      </c>
      <c r="AV556"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6" s="30" t="str">
        <f ca="1">IFERROR(__xludf.DUMMYFUNCTION("""COMPUTED_VALUE"""),"Incrementar un 30% la oferta de formación y profesionalización para agentes culturales.")</f>
        <v>Incrementar un 30% la oferta de formación y profesionalización para agentes culturales.</v>
      </c>
      <c r="AX556" s="30" t="str">
        <f ca="1">IFERROR(__xludf.DUMMYFUNCTION("""COMPUTED_VALUE"""),"Presentación artística")</f>
        <v>Presentación artística</v>
      </c>
      <c r="AY556" s="30" t="str">
        <f ca="1">IFERROR(__xludf.DUMMYFUNCTION("""COMPUTED_VALUE"""),"Formación")</f>
        <v>Formación</v>
      </c>
      <c r="AZ556" s="30" t="str">
        <f ca="1">IFERROR(__xludf.DUMMYFUNCTION("""COMPUTED_VALUE"""),"Formación")</f>
        <v>Formación</v>
      </c>
      <c r="BA556" s="30"/>
      <c r="BB556" s="30"/>
      <c r="BC556" s="30">
        <f ca="1">IFERROR(__xludf.DUMMYFUNCTION("""COMPUTED_VALUE"""),0)</f>
        <v>0</v>
      </c>
      <c r="BD556" s="30"/>
      <c r="BE556" s="30"/>
      <c r="BF556" s="30" t="b">
        <f ca="1">IFERROR(__xludf.DUMMYFUNCTION("""COMPUTED_VALUE"""),FALSE)</f>
        <v>0</v>
      </c>
      <c r="BG556" s="30"/>
      <c r="BH556" s="30"/>
      <c r="BI556" s="30"/>
      <c r="BJ556" s="30"/>
      <c r="BK556" s="30"/>
      <c r="BL556" s="30" t="str">
        <f ca="1">IFERROR(__xludf.DUMMYFUNCTION("""COMPUTED_VALUE"""),"Colaboración para el prestámo del espacio con la Escuela Primaria Héroes de México del municipio de Jerécuaro")</f>
        <v>Colaboración para el prestámo del espacio con la Escuela Primaria Héroes de México del municipio de Jerécuaro</v>
      </c>
      <c r="BM556" s="30" t="str">
        <f ca="1">IFERROR(__xludf.DUMMYFUNCTION("""COMPUTED_VALUE"""),"Sí")</f>
        <v>Sí</v>
      </c>
      <c r="BN556" s="30" t="str">
        <f ca="1">IFERROR(__xludf.DUMMYFUNCTION("""COMPUTED_VALUE"""),"Acompañamiento Técnico")</f>
        <v>Acompañamiento Técnico</v>
      </c>
      <c r="BO556" s="30" t="str">
        <f ca="1">IFERROR(__xludf.DUMMYFUNCTION("""COMPUTED_VALUE"""),"4cd2c418")</f>
        <v>4cd2c418</v>
      </c>
      <c r="BP556" s="29" t="str">
        <f ca="1">IFERROR(__xludf.DUMMYFUNCTION("""COMPUTED_VALUE"""),"León")</f>
        <v>León</v>
      </c>
      <c r="BQ556" s="30" t="str">
        <f ca="1">IFERROR(__xludf.DUMMYFUNCTION("""COMPUTED_VALUE"""),"Urbano")</f>
        <v>Urbano</v>
      </c>
      <c r="BR556" s="30"/>
      <c r="BS556" s="30"/>
      <c r="BT556" s="30"/>
      <c r="BU556" s="30" t="str">
        <f ca="1">IFERROR(__xludf.DUMMYFUNCTION("""COMPUTED_VALUE"""),"No")</f>
        <v>No</v>
      </c>
      <c r="BV556" s="30" t="str">
        <f ca="1">IFERROR(__xludf.DUMMYFUNCTION("""COMPUTED_VALUE"""),"No")</f>
        <v>No</v>
      </c>
      <c r="BW556" s="30">
        <f ca="1">IFERROR(__xludf.DUMMYFUNCTION("""COMPUTED_VALUE"""),15)</f>
        <v>15</v>
      </c>
      <c r="BX556" s="30"/>
      <c r="BY556" s="30">
        <f ca="1">IFERROR(__xludf.DUMMYFUNCTION("""COMPUTED_VALUE"""),15)</f>
        <v>15</v>
      </c>
      <c r="BZ556" s="30"/>
      <c r="CA556" s="30" t="str">
        <f ca="1">IFERROR(__xludf.DUMMYFUNCTION("""COMPUTED_VALUE"""),"No")</f>
        <v>No</v>
      </c>
      <c r="CB556" s="30" t="str">
        <f ca="1">IFERROR(__xludf.DUMMYFUNCTION("""COMPUTED_VALUE"""),"No")</f>
        <v>No</v>
      </c>
      <c r="CC556" s="30" t="str">
        <f ca="1">IFERROR(__xludf.DUMMYFUNCTION("""COMPUTED_VALUE"""),"c25fe6e5")</f>
        <v>c25fe6e5</v>
      </c>
      <c r="CD556" s="29" t="str">
        <f ca="1">IFERROR(__xludf.DUMMYFUNCTION("""COMPUTED_VALUE"""),"Jóvenes (18 a 29 años)")</f>
        <v>Jóvenes (18 a 29 años)</v>
      </c>
      <c r="CE556" s="30" t="str">
        <f ca="1">IFERROR(__xludf.DUMMYFUNCTION("""COMPUTED_VALUE"""),"No se cuenta con el dato")</f>
        <v>No se cuenta con el dato</v>
      </c>
      <c r="CF556" s="30" t="str">
        <f ca="1">IFERROR(__xludf.DUMMYFUNCTION("""COMPUTED_VALUE"""),"Ninguno (Población General)")</f>
        <v>Ninguno (Población General)</v>
      </c>
      <c r="CG556" s="30">
        <f ca="1">IFERROR(__xludf.DUMMYFUNCTION("""COMPUTED_VALUE"""),11078)</f>
        <v>11078</v>
      </c>
      <c r="CJ556" s="29"/>
      <c r="CM556" s="30" t="str">
        <f ca="1">IFERROR(__xludf.DUMMYFUNCTION("""COMPUTED_VALUE"""),"León")</f>
        <v>León</v>
      </c>
      <c r="CN556" s="32" t="e">
        <f ca="1"/>
        <v>#NAME?</v>
      </c>
      <c r="CO556" s="32" t="e">
        <f ca="1"/>
        <v>#NAME?</v>
      </c>
      <c r="CP556" s="32" t="e">
        <f ca="1"/>
        <v>#NAME?</v>
      </c>
      <c r="CQ556" s="32" t="e">
        <f ca="1"/>
        <v>#NAME?</v>
      </c>
      <c r="CR556" s="30" t="e">
        <f ca="1"/>
        <v>#NAME?</v>
      </c>
      <c r="CS556" s="30" t="str">
        <f ca="1">IFERROR(__xludf.DUMMYFUNCTION("""COMPUTED_VALUE"""),"Ninguno (Población General)")</f>
        <v>Ninguno (Población General)</v>
      </c>
    </row>
    <row r="557" spans="1:97" ht="13">
      <c r="A557" s="29" t="str">
        <f ca="1">IFERROR(__xludf.DUMMYFUNCTION("""COMPUTED_VALUE"""),"ACT-SCDB29664")</f>
        <v>ACT-SCDB29664</v>
      </c>
      <c r="B557" s="30" t="str">
        <f ca="1">IFERROR(__xludf.DUMMYFUNCTION("""COMPUTED_VALUE"""),"SC-261007-061625")</f>
        <v>SC-261007-061625</v>
      </c>
      <c r="C557" s="62">
        <f ca="1">IFERROR(__xludf.DUMMYFUNCTION("""COMPUTED_VALUE"""),46302.2614004629)</f>
        <v>46302.261400462899</v>
      </c>
      <c r="D557" s="30">
        <f ca="1">IFERROR(__xludf.DUMMYFUNCTION("""COMPUTED_VALUE"""),25)</f>
        <v>25</v>
      </c>
      <c r="E557" s="30" t="str">
        <f ca="1">IFERROR(__xludf.DUMMYFUNCTION("""COMPUTED_VALUE"""),"QC4047")</f>
        <v>QC4047</v>
      </c>
      <c r="F557" s="30" t="str">
        <f ca="1">IFERROR(__xludf.DUMMYFUNCTION("""COMPUTED_VALUE"""),"Vientos Musicales para la Gente")</f>
        <v>Vientos Musicales para la Gente</v>
      </c>
      <c r="G557" s="30" t="str">
        <f ca="1">IFERROR(__xludf.DUMMYFUNCTION("""COMPUTED_VALUE"""),"Capacitación a alumnado en el método multinivel en ensambles corales")</f>
        <v>Capacitación a alumnado en el método multinivel en ensambles corales</v>
      </c>
      <c r="H557" s="30" t="str">
        <f ca="1">IFERROR(__xludf.DUMMYFUNCTION("""COMPUTED_VALUE"""),"SUBSECRETARÍA DE DESARROLLO COMUNITARIO Y PROMOCIÓN PATRIMONIAL")</f>
        <v>SUBSECRETARÍA DE DESARROLLO COMUNITARIO Y PROMOCIÓN PATRIMONIAL</v>
      </c>
      <c r="I557" s="34" t="str">
        <f ca="1">IFERROR(__xludf.DUMMYFUNCTION("""COMPUTED_VALUE"""),"DIRECCIÓN GENERAL DE FORMACIÓN E INVESTIGACIÓN")</f>
        <v>DIRECCIÓN GENERAL DE FORMACIÓN E INVESTIGACIÓN</v>
      </c>
      <c r="J557" s="30" t="str">
        <f ca="1">IFERROR(__xludf.DUMMYFUNCTION("""COMPUTED_VALUE"""),"Personas capacitadas")</f>
        <v>Personas capacitadas</v>
      </c>
      <c r="K557" s="30">
        <f ca="1">IFERROR(__xludf.DUMMYFUNCTION("""COMPUTED_VALUE"""),700)</f>
        <v>700</v>
      </c>
      <c r="L557" s="30" t="str">
        <f ca="1">IFERROR(__xludf.DUMMYFUNCTION("""COMPUTED_VALUE"""),"Artística")</f>
        <v>Artística</v>
      </c>
      <c r="M557" s="30" t="str">
        <f ca="1">IFERROR(__xludf.DUMMYFUNCTION("""COMPUTED_VALUE"""),"Presentaciones musicales de cierre primer semestre - meta 2")</f>
        <v>Presentaciones musicales de cierre primer semestre - meta 2</v>
      </c>
      <c r="N557" s="30" t="str">
        <f ca="1">IFERROR(__xludf.DUMMYFUNCTION("""COMPUTED_VALUE"""),"Presentaciones musicales en municipios como parte de las actividades del cierre semestral")</f>
        <v>Presentaciones musicales en municipios como parte de las actividades del cierre semestral</v>
      </c>
      <c r="O557" s="30" t="str">
        <f ca="1">IFERROR(__xludf.DUMMYFUNCTION("""COMPUTED_VALUE"""),"Mensual")</f>
        <v>Mensual</v>
      </c>
      <c r="P557" s="33">
        <f ca="1">IFERROR(__xludf.DUMMYFUNCTION("""COMPUTED_VALUE"""),46174)</f>
        <v>46174</v>
      </c>
      <c r="Q557" s="33">
        <f ca="1">IFERROR(__xludf.DUMMYFUNCTION("""COMPUTED_VALUE"""),46203)</f>
        <v>46203</v>
      </c>
      <c r="R557" s="30">
        <f ca="1">IFERROR(__xludf.DUMMYFUNCTION("""COMPUTED_VALUE"""),1)</f>
        <v>1</v>
      </c>
      <c r="S557" s="30" t="str">
        <f ca="1">IFERROR(__xludf.DUMMYFUNCTION("""COMPUTED_VALUE"""),"Música")</f>
        <v>Música</v>
      </c>
      <c r="T557" s="30" t="str">
        <f ca="1">IFERROR(__xludf.DUMMYFUNCTION("""COMPUTED_VALUE"""),"Formación musical, instrumental o coral")</f>
        <v>Formación musical, instrumental o coral</v>
      </c>
      <c r="U557" s="30" t="str">
        <f ca="1">IFERROR(__xludf.DUMMYFUNCTION("""COMPUTED_VALUE"""),"Presentación artística")</f>
        <v>Presentación artística</v>
      </c>
      <c r="V557" s="30" t="str">
        <f ca="1">IFERROR(__xludf.DUMMYFUNCTION("""COMPUTED_VALUE"""),"Ninguna")</f>
        <v>Ninguna</v>
      </c>
      <c r="W557" s="30" t="str">
        <f ca="1">IFERROR(__xludf.DUMMYFUNCTION("""COMPUTED_VALUE"""),"Presencial")</f>
        <v>Presencial</v>
      </c>
      <c r="X557" s="30" t="str">
        <f ca="1">IFERROR(__xludf.DUMMYFUNCTION("""COMPUTED_VALUE"""),"Espacio Público")</f>
        <v>Espacio Público</v>
      </c>
      <c r="Y557" s="30"/>
      <c r="Z557" s="30" t="str">
        <f ca="1">IFERROR(__xludf.DUMMYFUNCTION("""COMPUTED_VALUE"""),"Casa de la cultura y Jardín Principal")</f>
        <v>Casa de la cultura y Jardín Principal</v>
      </c>
      <c r="AA557" s="30"/>
      <c r="AB557" s="30" t="b">
        <f ca="1">IFERROR(__xludf.DUMMYFUNCTION("""COMPUTED_VALUE"""),FALSE)</f>
        <v>0</v>
      </c>
      <c r="AC557" s="30"/>
      <c r="AD557" s="30" t="b">
        <f ca="1">IFERROR(__xludf.DUMMYFUNCTION("""COMPUTED_VALUE"""),FALSE)</f>
        <v>0</v>
      </c>
      <c r="AE557" s="30"/>
      <c r="AF557" s="30" t="b">
        <f ca="1">IFERROR(__xludf.DUMMYFUNCTION("""COMPUTED_VALUE"""),FALSE)</f>
        <v>0</v>
      </c>
      <c r="AG557" s="30"/>
      <c r="AH557" s="30" t="str">
        <f ca="1">IFERROR(__xludf.DUMMYFUNCTION("""COMPUTED_VALUE"""),"Sin costo")</f>
        <v>Sin costo</v>
      </c>
      <c r="AI557" s="30"/>
      <c r="AJ557" s="30"/>
      <c r="AK557" s="30"/>
      <c r="AL557" s="30" t="str">
        <f ca="1">IFERROR(__xludf.DUMMYFUNCTION("""COMPUTED_VALUE"""),"adriana.escamilla.vm@gmail.com")</f>
        <v>adriana.escamilla.vm@gmail.com</v>
      </c>
      <c r="AM557" s="30" t="str">
        <f ca="1">IFERROR(__xludf.DUMMYFUNCTION("""COMPUTED_VALUE"""),"Educación: Arte, cultura, activación física y deporte de calidad en todas las escuelas.")</f>
        <v>Educación: Arte, cultura, activación física y deporte de calidad en todas las escuelas.</v>
      </c>
      <c r="AN557" s="30" t="str">
        <f ca="1">IFERROR(__xludf.DUMMYFUNCTION("""COMPUTED_VALUE"""),"4 Vocación")</f>
        <v>4 Vocación</v>
      </c>
      <c r="AO557" s="30" t="str">
        <f ca="1">IFERROR(__xludf.DUMMYFUNCTION("""COMPUTED_VALUE"""),"4.4 Reforzar competencias lectoras y lógico matemáticas")</f>
        <v>4.4 Reforzar competencias lectoras y lógico matemáticas</v>
      </c>
      <c r="AP557" s="30" t="str">
        <f ca="1">IFERROR(__xludf.DUMMYFUNCTION("""COMPUTED_VALUE"""),"4.4.1 Competencias y habilidades")</f>
        <v>4.4.1 Competencias y habilidades</v>
      </c>
      <c r="AQ557" s="30" t="str">
        <f ca="1">IFERROR(__xludf.DUMMYFUNCTION("""COMPUTED_VALUE"""),"4.4.1 Competencias y habilidades")</f>
        <v>4.4.1 Competencias y habilidades</v>
      </c>
      <c r="AR557" s="30" t="str">
        <f ca="1">IFERROR(__xludf.DUMMYFUNCTION("""COMPUTED_VALUE"""),"Inclusión")</f>
        <v>Inclusión</v>
      </c>
      <c r="AS557" s="30" t="str">
        <f ca="1">IFERROR(__xludf.DUMMYFUNCTION("""COMPUTED_VALUE"""),"NNA (Niñas, Niños y Adolescentes)")</f>
        <v>NNA (Niñas, Niños y Adolescentes)</v>
      </c>
      <c r="AT557" s="30" t="str">
        <f ca="1">IFERROR(__xludf.DUMMYFUNCTION("""COMPUTED_VALUE"""),"Impulso a la educación artística y a la profesionalización del sector cultural")</f>
        <v>Impulso a la educación artística y a la profesionalización del sector cultural</v>
      </c>
      <c r="AU557" s="30" t="str">
        <f ca="1">IFERROR(__xludf.DUMMYFUNCTION("""COMPUTED_VALUE"""),"Impulso a programas de formación y profesionalización para agentes culturales.")</f>
        <v>Impulso a programas de formación y profesionalización para agentes culturales.</v>
      </c>
      <c r="AV557"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7" s="30" t="str">
        <f ca="1">IFERROR(__xludf.DUMMYFUNCTION("""COMPUTED_VALUE"""),"Incrementar un 30% la oferta de formación y profesionalización para agentes culturales.")</f>
        <v>Incrementar un 30% la oferta de formación y profesionalización para agentes culturales.</v>
      </c>
      <c r="AX557" s="30" t="str">
        <f ca="1">IFERROR(__xludf.DUMMYFUNCTION("""COMPUTED_VALUE"""),"Presentación artística")</f>
        <v>Presentación artística</v>
      </c>
      <c r="AY557" s="30" t="str">
        <f ca="1">IFERROR(__xludf.DUMMYFUNCTION("""COMPUTED_VALUE"""),"Formación")</f>
        <v>Formación</v>
      </c>
      <c r="AZ557" s="30" t="str">
        <f ca="1">IFERROR(__xludf.DUMMYFUNCTION("""COMPUTED_VALUE"""),"Formación")</f>
        <v>Formación</v>
      </c>
      <c r="BA557" s="30"/>
      <c r="BB557" s="30"/>
      <c r="BC557" s="30">
        <f ca="1">IFERROR(__xludf.DUMMYFUNCTION("""COMPUTED_VALUE"""),0)</f>
        <v>0</v>
      </c>
      <c r="BD557" s="30"/>
      <c r="BE557" s="30"/>
      <c r="BF557" s="30" t="b">
        <f ca="1">IFERROR(__xludf.DUMMYFUNCTION("""COMPUTED_VALUE"""),FALSE)</f>
        <v>0</v>
      </c>
      <c r="BG557" s="30"/>
      <c r="BH557" s="30"/>
      <c r="BI557" s="30"/>
      <c r="BJ557" s="30"/>
      <c r="BK557" s="30"/>
      <c r="BL557" s="30" t="str">
        <f ca="1">IFERROR(__xludf.DUMMYFUNCTION("""COMPUTED_VALUE"""),"Colaboración para el préstamo del espacio con Casa de Cultura de Apaseo el Grande y Jardín Principal en Cuerámaro")</f>
        <v>Colaboración para el préstamo del espacio con Casa de Cultura de Apaseo el Grande y Jardín Principal en Cuerámaro</v>
      </c>
      <c r="BM557" s="30" t="str">
        <f ca="1">IFERROR(__xludf.DUMMYFUNCTION("""COMPUTED_VALUE"""),"Sí")</f>
        <v>Sí</v>
      </c>
      <c r="BN557" s="30" t="str">
        <f ca="1">IFERROR(__xludf.DUMMYFUNCTION("""COMPUTED_VALUE"""),"Acompañamiento Técnico")</f>
        <v>Acompañamiento Técnico</v>
      </c>
      <c r="BO557" s="30" t="str">
        <f ca="1">IFERROR(__xludf.DUMMYFUNCTION("""COMPUTED_VALUE"""),"22188bd5")</f>
        <v>22188bd5</v>
      </c>
      <c r="BP557" s="29" t="str">
        <f ca="1">IFERROR(__xludf.DUMMYFUNCTION("""COMPUTED_VALUE"""),"León")</f>
        <v>León</v>
      </c>
      <c r="BQ557" s="30" t="str">
        <f ca="1">IFERROR(__xludf.DUMMYFUNCTION("""COMPUTED_VALUE"""),"Urbano")</f>
        <v>Urbano</v>
      </c>
      <c r="BR557" s="30"/>
      <c r="BS557" s="30"/>
      <c r="BT557" s="30"/>
      <c r="BU557" s="30" t="str">
        <f ca="1">IFERROR(__xludf.DUMMYFUNCTION("""COMPUTED_VALUE"""),"No")</f>
        <v>No</v>
      </c>
      <c r="BV557" s="30" t="str">
        <f ca="1">IFERROR(__xludf.DUMMYFUNCTION("""COMPUTED_VALUE"""),"No")</f>
        <v>No</v>
      </c>
      <c r="BW557" s="30">
        <f ca="1">IFERROR(__xludf.DUMMYFUNCTION("""COMPUTED_VALUE"""),10)</f>
        <v>10</v>
      </c>
      <c r="BX557" s="30"/>
      <c r="BY557" s="30">
        <f ca="1">IFERROR(__xludf.DUMMYFUNCTION("""COMPUTED_VALUE"""),10)</f>
        <v>10</v>
      </c>
      <c r="BZ557" s="30"/>
      <c r="CA557" s="30" t="str">
        <f ca="1">IFERROR(__xludf.DUMMYFUNCTION("""COMPUTED_VALUE"""),"No")</f>
        <v>No</v>
      </c>
      <c r="CB557" s="30" t="str">
        <f ca="1">IFERROR(__xludf.DUMMYFUNCTION("""COMPUTED_VALUE"""),"No")</f>
        <v>No</v>
      </c>
      <c r="CC557" s="30" t="str">
        <f ca="1">IFERROR(__xludf.DUMMYFUNCTION("""COMPUTED_VALUE"""),"88c91ef0")</f>
        <v>88c91ef0</v>
      </c>
      <c r="CD557" s="29" t="str">
        <f ca="1">IFERROR(__xludf.DUMMYFUNCTION("""COMPUTED_VALUE"""),"Adultos (30 a 59 años)")</f>
        <v>Adultos (30 a 59 años)</v>
      </c>
      <c r="CE557" s="30" t="str">
        <f ca="1">IFERROR(__xludf.DUMMYFUNCTION("""COMPUTED_VALUE"""),"No se cuenta con el dato")</f>
        <v>No se cuenta con el dato</v>
      </c>
      <c r="CF557" s="30" t="str">
        <f ca="1">IFERROR(__xludf.DUMMYFUNCTION("""COMPUTED_VALUE"""),"Ninguno (Población General)")</f>
        <v>Ninguno (Población General)</v>
      </c>
      <c r="CG557" s="30">
        <f ca="1">IFERROR(__xludf.DUMMYFUNCTION("""COMPUTED_VALUE"""),14244)</f>
        <v>14244</v>
      </c>
      <c r="CJ557" s="29"/>
      <c r="CM557" s="30" t="str">
        <f ca="1">IFERROR(__xludf.DUMMYFUNCTION("""COMPUTED_VALUE"""),"León")</f>
        <v>León</v>
      </c>
      <c r="CN557" s="32" t="e">
        <f ca="1"/>
        <v>#NAME?</v>
      </c>
      <c r="CO557" s="32" t="e">
        <f ca="1"/>
        <v>#NAME?</v>
      </c>
      <c r="CP557" s="32" t="e">
        <f ca="1"/>
        <v>#NAME?</v>
      </c>
      <c r="CQ557" s="32" t="e">
        <f ca="1"/>
        <v>#NAME?</v>
      </c>
      <c r="CR557" s="30" t="e">
        <f ca="1"/>
        <v>#NAME?</v>
      </c>
      <c r="CS557" s="30" t="str">
        <f ca="1">IFERROR(__xludf.DUMMYFUNCTION("""COMPUTED_VALUE"""),"Ninguno (Población General)")</f>
        <v>Ninguno (Población General)</v>
      </c>
    </row>
    <row r="558" spans="1:97" ht="13">
      <c r="A558" s="29" t="str">
        <f ca="1">IFERROR(__xludf.DUMMYFUNCTION("""COMPUTED_VALUE"""),"ACT-SCPP14762")</f>
        <v>ACT-SCPP14762</v>
      </c>
      <c r="B558" s="30" t="str">
        <f ca="1">IFERROR(__xludf.DUMMYFUNCTION("""COMPUTED_VALUE"""),"SC-261007-063337")</f>
        <v>SC-261007-063337</v>
      </c>
      <c r="C558" s="62">
        <f ca="1">IFERROR(__xludf.DUMMYFUNCTION("""COMPUTED_VALUE"""),46302.2733449074)</f>
        <v>46302.2733449074</v>
      </c>
      <c r="D558" s="30">
        <f ca="1">IFERROR(__xludf.DUMMYFUNCTION("""COMPUTED_VALUE"""),26)</f>
        <v>26</v>
      </c>
      <c r="E558" s="30" t="str">
        <f ca="1">IFERROR(__xludf.DUMMYFUNCTION("""COMPUTED_VALUE"""),"QC4047")</f>
        <v>QC4047</v>
      </c>
      <c r="F558" s="30" t="str">
        <f ca="1">IFERROR(__xludf.DUMMYFUNCTION("""COMPUTED_VALUE"""),"Vientos Musicales para la Gente")</f>
        <v>Vientos Musicales para la Gente</v>
      </c>
      <c r="G558" s="30" t="str">
        <f ca="1">IFERROR(__xludf.DUMMYFUNCTION("""COMPUTED_VALUE"""),"Capacitación docente y a personas beneficiarias de ensambles representativos en temas especializados a través de la enseñanza por competencias.")</f>
        <v>Capacitación docente y a personas beneficiarias de ensambles representativos en temas especializados a través de la enseñanza por competencias.</v>
      </c>
      <c r="H558" s="30" t="str">
        <f ca="1">IFERROR(__xludf.DUMMYFUNCTION("""COMPUTED_VALUE"""),"SUBSECRETARÍA DE DESARROLLO COMUNITARIO Y PROMOCIÓN PATRIMONIAL")</f>
        <v>SUBSECRETARÍA DE DESARROLLO COMUNITARIO Y PROMOCIÓN PATRIMONIAL</v>
      </c>
      <c r="I558" s="34" t="str">
        <f ca="1">IFERROR(__xludf.DUMMYFUNCTION("""COMPUTED_VALUE"""),"DIRECCIÓN GENERAL DE FORMACIÓN E INVESTIGACIÓN")</f>
        <v>DIRECCIÓN GENERAL DE FORMACIÓN E INVESTIGACIÓN</v>
      </c>
      <c r="J558" s="30" t="str">
        <f ca="1">IFERROR(__xludf.DUMMYFUNCTION("""COMPUTED_VALUE"""),"Personas capacitadas")</f>
        <v>Personas capacitadas</v>
      </c>
      <c r="K558" s="30">
        <f ca="1">IFERROR(__xludf.DUMMYFUNCTION("""COMPUTED_VALUE"""),400)</f>
        <v>400</v>
      </c>
      <c r="L558" s="30" t="str">
        <f ca="1">IFERROR(__xludf.DUMMYFUNCTION("""COMPUTED_VALUE"""),"Artística")</f>
        <v>Artística</v>
      </c>
      <c r="M558" s="30" t="str">
        <f ca="1">IFERROR(__xludf.DUMMYFUNCTION("""COMPUTED_VALUE"""),"Concierto en la presentación del programa del 54 Festival Internacional Cervantino")</f>
        <v>Concierto en la presentación del programa del 54 Festival Internacional Cervantino</v>
      </c>
      <c r="N558" s="30" t="str">
        <f ca="1">IFERROR(__xludf.DUMMYFUNCTION("""COMPUTED_VALUE"""),"Participación de alumnado de la Orquesta Juvenil, docentes del Programa e invitados especiales:")</f>
        <v>Participación de alumnado de la Orquesta Juvenil, docentes del Programa e invitados especiales:</v>
      </c>
      <c r="O558" s="30" t="str">
        <f ca="1">IFERROR(__xludf.DUMMYFUNCTION("""COMPUTED_VALUE"""),"Única")</f>
        <v>Única</v>
      </c>
      <c r="P558" s="33">
        <f ca="1">IFERROR(__xludf.DUMMYFUNCTION("""COMPUTED_VALUE"""),46203)</f>
        <v>46203</v>
      </c>
      <c r="Q558" s="33">
        <f ca="1">IFERROR(__xludf.DUMMYFUNCTION("""COMPUTED_VALUE"""),46203)</f>
        <v>46203</v>
      </c>
      <c r="R558" s="30">
        <f ca="1">IFERROR(__xludf.DUMMYFUNCTION("""COMPUTED_VALUE"""),1)</f>
        <v>1</v>
      </c>
      <c r="S558" s="30" t="str">
        <f ca="1">IFERROR(__xludf.DUMMYFUNCTION("""COMPUTED_VALUE"""),"Música")</f>
        <v>Música</v>
      </c>
      <c r="T558" s="30" t="str">
        <f ca="1">IFERROR(__xludf.DUMMYFUNCTION("""COMPUTED_VALUE"""),"Formación musical, instrumental o coral")</f>
        <v>Formación musical, instrumental o coral</v>
      </c>
      <c r="U558" s="30" t="str">
        <f ca="1">IFERROR(__xludf.DUMMYFUNCTION("""COMPUTED_VALUE"""),"Presentación artística")</f>
        <v>Presentación artística</v>
      </c>
      <c r="V558" s="30" t="str">
        <f ca="1">IFERROR(__xludf.DUMMYFUNCTION("""COMPUTED_VALUE"""),"Ninguna")</f>
        <v>Ninguna</v>
      </c>
      <c r="W558" s="30" t="str">
        <f ca="1">IFERROR(__xludf.DUMMYFUNCTION("""COMPUTED_VALUE"""),"Presencial")</f>
        <v>Presencial</v>
      </c>
      <c r="X558" s="30" t="str">
        <f ca="1">IFERROR(__xludf.DUMMYFUNCTION("""COMPUTED_VALUE"""),"Espacio Público")</f>
        <v>Espacio Público</v>
      </c>
      <c r="Y558" s="30"/>
      <c r="Z558" s="30" t="str">
        <f ca="1">IFERROR(__xludf.DUMMYFUNCTION("""COMPUTED_VALUE"""),"Auditorio del Estado de Guanajuato")</f>
        <v>Auditorio del Estado de Guanajuato</v>
      </c>
      <c r="AA558" s="30"/>
      <c r="AB558" s="30" t="b">
        <f ca="1">IFERROR(__xludf.DUMMYFUNCTION("""COMPUTED_VALUE"""),FALSE)</f>
        <v>0</v>
      </c>
      <c r="AC558" s="30"/>
      <c r="AD558" s="30" t="b">
        <f ca="1">IFERROR(__xludf.DUMMYFUNCTION("""COMPUTED_VALUE"""),FALSE)</f>
        <v>0</v>
      </c>
      <c r="AE558" s="30"/>
      <c r="AF558" s="30" t="b">
        <f ca="1">IFERROR(__xludf.DUMMYFUNCTION("""COMPUTED_VALUE"""),FALSE)</f>
        <v>0</v>
      </c>
      <c r="AG558" s="30"/>
      <c r="AH558" s="30" t="str">
        <f ca="1">IFERROR(__xludf.DUMMYFUNCTION("""COMPUTED_VALUE"""),"Sin costo")</f>
        <v>Sin costo</v>
      </c>
      <c r="AI558" s="30"/>
      <c r="AJ558" s="30"/>
      <c r="AK558" s="30"/>
      <c r="AL558" s="30" t="str">
        <f ca="1">IFERROR(__xludf.DUMMYFUNCTION("""COMPUTED_VALUE"""),"adriana.escamilla.vm@gmail.com")</f>
        <v>adriana.escamilla.vm@gmail.com</v>
      </c>
      <c r="AM558" s="30" t="str">
        <f ca="1">IFERROR(__xludf.DUMMYFUNCTION("""COMPUTED_VALUE"""),"Educación: Arte, cultura, activación física y deporte de calidad en todas las escuelas.")</f>
        <v>Educación: Arte, cultura, activación física y deporte de calidad en todas las escuelas.</v>
      </c>
      <c r="AN558" s="30" t="str">
        <f ca="1">IFERROR(__xludf.DUMMYFUNCTION("""COMPUTED_VALUE"""),"4 Vocación")</f>
        <v>4 Vocación</v>
      </c>
      <c r="AO558" s="30" t="str">
        <f ca="1">IFERROR(__xludf.DUMMYFUNCTION("""COMPUTED_VALUE"""),"4.4 Reforzar competencias lectoras y lógico matemáticas")</f>
        <v>4.4 Reforzar competencias lectoras y lógico matemáticas</v>
      </c>
      <c r="AP558" s="30" t="str">
        <f ca="1">IFERROR(__xludf.DUMMYFUNCTION("""COMPUTED_VALUE"""),"4.4.1 Competencias y habilidades")</f>
        <v>4.4.1 Competencias y habilidades</v>
      </c>
      <c r="AQ558" s="30" t="str">
        <f ca="1">IFERROR(__xludf.DUMMYFUNCTION("""COMPUTED_VALUE"""),"4.4.1 Competencias y habilidades")</f>
        <v>4.4.1 Competencias y habilidades</v>
      </c>
      <c r="AR558" s="30" t="str">
        <f ca="1">IFERROR(__xludf.DUMMYFUNCTION("""COMPUTED_VALUE"""),"Inclusión")</f>
        <v>Inclusión</v>
      </c>
      <c r="AS558" s="30" t="str">
        <f ca="1">IFERROR(__xludf.DUMMYFUNCTION("""COMPUTED_VALUE"""),"NNA (Niñas, Niños y Adolescentes)")</f>
        <v>NNA (Niñas, Niños y Adolescentes)</v>
      </c>
      <c r="AT558" s="30" t="str">
        <f ca="1">IFERROR(__xludf.DUMMYFUNCTION("""COMPUTED_VALUE"""),"Impulso a la educación artística y a la profesionalización del sector cultural")</f>
        <v>Impulso a la educación artística y a la profesionalización del sector cultural</v>
      </c>
      <c r="AU558" s="30" t="str">
        <f ca="1">IFERROR(__xludf.DUMMYFUNCTION("""COMPUTED_VALUE"""),"Impulso a programas de formación y profesionalización para agentes culturales.")</f>
        <v>Impulso a programas de formación y profesionalización para agentes culturales.</v>
      </c>
      <c r="AV558" s="30" t="str">
        <f ca="1">IFERROR(__xludf.DUMMYFUNCTION("""COMPUTED_VALUE"""),"Promover alianzas para becas y estímulos con enfoque en grupos prioritarios y municipios con menor acceso a programas de formación.")</f>
        <v>Promover alianzas para becas y estímulos con enfoque en grupos prioritarios y municipios con menor acceso a programas de formación.</v>
      </c>
      <c r="AW558" s="30" t="str">
        <f ca="1">IFERROR(__xludf.DUMMYFUNCTION("""COMPUTED_VALUE"""),"Incrementar un 30% la oferta de formación y profesionalización para agentes culturales.")</f>
        <v>Incrementar un 30% la oferta de formación y profesionalización para agentes culturales.</v>
      </c>
      <c r="AX558" s="30" t="str">
        <f ca="1">IFERROR(__xludf.DUMMYFUNCTION("""COMPUTED_VALUE"""),"Presentación artística")</f>
        <v>Presentación artística</v>
      </c>
      <c r="AY558" s="30" t="str">
        <f ca="1">IFERROR(__xludf.DUMMYFUNCTION("""COMPUTED_VALUE"""),"Formación")</f>
        <v>Formación</v>
      </c>
      <c r="AZ558" s="30" t="str">
        <f ca="1">IFERROR(__xludf.DUMMYFUNCTION("""COMPUTED_VALUE"""),"Formación")</f>
        <v>Formación</v>
      </c>
      <c r="BA558" s="30"/>
      <c r="BB558" s="30"/>
      <c r="BC558" s="30">
        <f ca="1">IFERROR(__xludf.DUMMYFUNCTION("""COMPUTED_VALUE"""),0)</f>
        <v>0</v>
      </c>
      <c r="BD558" s="30"/>
      <c r="BE558" s="30"/>
      <c r="BF558" s="30" t="b">
        <f ca="1">IFERROR(__xludf.DUMMYFUNCTION("""COMPUTED_VALUE"""),FALSE)</f>
        <v>0</v>
      </c>
      <c r="BG558" s="30"/>
      <c r="BH558" s="30"/>
      <c r="BI558" s="30"/>
      <c r="BJ558" s="30"/>
      <c r="BK558" s="30"/>
      <c r="BL558" s="30" t="str">
        <f ca="1">IFERROR(__xludf.DUMMYFUNCTION("""COMPUTED_VALUE"""),"Colaboración con la administración del Festival Internacional Cervantino")</f>
        <v>Colaboración con la administración del Festival Internacional Cervantino</v>
      </c>
      <c r="BM558" s="30" t="str">
        <f ca="1">IFERROR(__xludf.DUMMYFUNCTION("""COMPUTED_VALUE"""),"Sí")</f>
        <v>Sí</v>
      </c>
      <c r="BN558" s="30" t="str">
        <f ca="1">IFERROR(__xludf.DUMMYFUNCTION("""COMPUTED_VALUE"""),"Acompañamiento Técnico")</f>
        <v>Acompañamiento Técnico</v>
      </c>
      <c r="BO558" s="30" t="str">
        <f ca="1">IFERROR(__xludf.DUMMYFUNCTION("""COMPUTED_VALUE"""),"fc6d9a38")</f>
        <v>fc6d9a38</v>
      </c>
      <c r="BP558" s="29" t="str">
        <f ca="1">IFERROR(__xludf.DUMMYFUNCTION("""COMPUTED_VALUE"""),"León")</f>
        <v>León</v>
      </c>
      <c r="BQ558" s="30" t="str">
        <f ca="1">IFERROR(__xludf.DUMMYFUNCTION("""COMPUTED_VALUE"""),"Urbano")</f>
        <v>Urbano</v>
      </c>
      <c r="BR558" s="30"/>
      <c r="BS558" s="30"/>
      <c r="BT558" s="30"/>
      <c r="BU558" s="30" t="str">
        <f ca="1">IFERROR(__xludf.DUMMYFUNCTION("""COMPUTED_VALUE"""),"No")</f>
        <v>No</v>
      </c>
      <c r="BV558" s="30" t="str">
        <f ca="1">IFERROR(__xludf.DUMMYFUNCTION("""COMPUTED_VALUE"""),"No")</f>
        <v>No</v>
      </c>
      <c r="BW558" s="30">
        <f ca="1">IFERROR(__xludf.DUMMYFUNCTION("""COMPUTED_VALUE"""),34)</f>
        <v>34</v>
      </c>
      <c r="BX558" s="30"/>
      <c r="BY558" s="30">
        <f ca="1">IFERROR(__xludf.DUMMYFUNCTION("""COMPUTED_VALUE"""),34)</f>
        <v>34</v>
      </c>
      <c r="BZ558" s="30"/>
      <c r="CA558" s="30" t="str">
        <f ca="1">IFERROR(__xludf.DUMMYFUNCTION("""COMPUTED_VALUE"""),"No")</f>
        <v>No</v>
      </c>
      <c r="CB558" s="30" t="str">
        <f ca="1">IFERROR(__xludf.DUMMYFUNCTION("""COMPUTED_VALUE"""),"No")</f>
        <v>No</v>
      </c>
      <c r="CC558" s="30" t="str">
        <f ca="1">IFERROR(__xludf.DUMMYFUNCTION("""COMPUTED_VALUE"""),"4cff18b8")</f>
        <v>4cff18b8</v>
      </c>
      <c r="CD558" s="29" t="str">
        <f ca="1">IFERROR(__xludf.DUMMYFUNCTION("""COMPUTED_VALUE"""),"Adultos Mayores (60 años o más)")</f>
        <v>Adultos Mayores (60 años o más)</v>
      </c>
      <c r="CE558" s="30" t="str">
        <f ca="1">IFERROR(__xludf.DUMMYFUNCTION("""COMPUTED_VALUE"""),"No se cuenta con el dato")</f>
        <v>No se cuenta con el dato</v>
      </c>
      <c r="CF558" s="30" t="str">
        <f ca="1">IFERROR(__xludf.DUMMYFUNCTION("""COMPUTED_VALUE"""),"Ninguno (Población General)")</f>
        <v>Ninguno (Población General)</v>
      </c>
      <c r="CG558" s="30">
        <f ca="1">IFERROR(__xludf.DUMMYFUNCTION("""COMPUTED_VALUE"""),8968)</f>
        <v>8968</v>
      </c>
      <c r="CJ558" s="29"/>
      <c r="CM558" s="30" t="str">
        <f ca="1">IFERROR(__xludf.DUMMYFUNCTION("""COMPUTED_VALUE"""),"León")</f>
        <v>León</v>
      </c>
      <c r="CN558" s="32" t="e">
        <f ca="1"/>
        <v>#NAME?</v>
      </c>
      <c r="CO558" s="32" t="e">
        <f ca="1"/>
        <v>#NAME?</v>
      </c>
      <c r="CP558" s="32" t="e">
        <f ca="1"/>
        <v>#NAME?</v>
      </c>
      <c r="CQ558" s="32" t="e">
        <f ca="1"/>
        <v>#NAME?</v>
      </c>
      <c r="CR558" s="30" t="e">
        <f ca="1"/>
        <v>#NAME?</v>
      </c>
      <c r="CS558" s="30" t="str">
        <f ca="1">IFERROR(__xludf.DUMMYFUNCTION("""COMPUTED_VALUE"""),"Ninguno (Población General)")</f>
        <v>Ninguno (Población General)</v>
      </c>
    </row>
    <row r="559" spans="1:97" ht="13">
      <c r="A559" s="29" t="str">
        <f ca="1">IFERROR(__xludf.DUMMYFUNCTION("""COMPUTED_VALUE"""),"ACT-SCUH59864")</f>
        <v>ACT-SCUH59864</v>
      </c>
      <c r="B559" s="30" t="str">
        <f ca="1">IFERROR(__xludf.DUMMYFUNCTION("""COMPUTED_VALUE"""),"SC-261007-172952")</f>
        <v>SC-261007-172952</v>
      </c>
      <c r="C559" s="62">
        <f ca="1">IFERROR(__xludf.DUMMYFUNCTION("""COMPUTED_VALUE"""),46302.729074074)</f>
        <v>46302.729074073999</v>
      </c>
      <c r="D559" s="30">
        <f ca="1">IFERROR(__xludf.DUMMYFUNCTION("""COMPUTED_VALUE"""),85)</f>
        <v>85</v>
      </c>
      <c r="E559" s="30" t="str">
        <f ca="1">IFERROR(__xludf.DUMMYFUNCTION("""COMPUTED_VALUE"""),"PB3569")</f>
        <v>PB3569</v>
      </c>
      <c r="F559" s="30" t="str">
        <f ca="1">IFERROR(__xludf.DUMMYFUNCTION("""COMPUTED_VALUE"""),"Coordinación artística y operativa de la Banda de Música del Estado de Guanajuato")</f>
        <v>Coordinación artística y operativa de la Banda de Música del Estado de Guanajuato</v>
      </c>
      <c r="G559" s="30" t="str">
        <f ca="1">IFERROR(__xludf.DUMMYFUNCTION("""COMPUTED_VALUE"""),"Conciertos de la Banda de Música del Estado de Guanajuato en municipios del estado.")</f>
        <v>Conciertos de la Banda de Música del Estado de Guanajuato en municipios del estado.</v>
      </c>
      <c r="H559" s="30" t="str">
        <f ca="1">IFERROR(__xludf.DUMMYFUNCTION("""COMPUTED_VALUE"""),"SUBSECRETARÍA DE DESARROLLO Y PROMOCIÓN ARTÍSTICA Y CULTURAL")</f>
        <v>SUBSECRETARÍA DE DESARROLLO Y PROMOCIÓN ARTÍSTICA Y CULTURAL</v>
      </c>
      <c r="I559" s="34" t="str">
        <f ca="1">IFERROR(__xludf.DUMMYFUNCTION("""COMPUTED_VALUE"""),"DIRECCIÓN GENERAL DE PRODUCCIÓN ARTÍSTICA")</f>
        <v>DIRECCIÓN GENERAL DE PRODUCCIÓN ARTÍSTICA</v>
      </c>
      <c r="J559" s="30" t="str">
        <f ca="1">IFERROR(__xludf.DUMMYFUNCTION("""COMPUTED_VALUE"""),"Conciertos")</f>
        <v>Conciertos</v>
      </c>
      <c r="K559" s="30">
        <f ca="1">IFERROR(__xludf.DUMMYFUNCTION("""COMPUTED_VALUE"""),25)</f>
        <v>25</v>
      </c>
      <c r="L559" s="30" t="str">
        <f ca="1">IFERROR(__xludf.DUMMYFUNCTION("""COMPUTED_VALUE"""),"Cultural")</f>
        <v>Cultural</v>
      </c>
      <c r="M559" s="30" t="str">
        <f ca="1">IFERROR(__xludf.DUMMYFUNCTION("""COMPUTED_VALUE"""),"Presentación artística")</f>
        <v>Presentación artística</v>
      </c>
      <c r="N559" s="30" t="str">
        <f ca="1">IFERROR(__xludf.DUMMYFUNCTION("""COMPUTED_VALUE"""),"Concierto de música")</f>
        <v>Concierto de música</v>
      </c>
      <c r="O559" s="30" t="str">
        <f ca="1">IFERROR(__xludf.DUMMYFUNCTION("""COMPUTED_VALUE"""),"Única")</f>
        <v>Única</v>
      </c>
      <c r="P559" s="33">
        <f ca="1">IFERROR(__xludf.DUMMYFUNCTION("""COMPUTED_VALUE"""),46302)</f>
        <v>46302</v>
      </c>
      <c r="Q559" s="33">
        <f ca="1">IFERROR(__xludf.DUMMYFUNCTION("""COMPUTED_VALUE"""),46302)</f>
        <v>46302</v>
      </c>
      <c r="R559" s="30">
        <f ca="1">IFERROR(__xludf.DUMMYFUNCTION("""COMPUTED_VALUE"""),1)</f>
        <v>1</v>
      </c>
      <c r="S559" s="30" t="str">
        <f ca="1">IFERROR(__xludf.DUMMYFUNCTION("""COMPUTED_VALUE"""),"Música")</f>
        <v>Música</v>
      </c>
      <c r="T559" s="30" t="str">
        <f ca="1">IFERROR(__xludf.DUMMYFUNCTION("""COMPUTED_VALUE"""),"Música tradicional")</f>
        <v>Música tradicional</v>
      </c>
      <c r="U559" s="30" t="str">
        <f ca="1">IFERROR(__xludf.DUMMYFUNCTION("""COMPUTED_VALUE"""),"Presentación artística")</f>
        <v>Presentación artística</v>
      </c>
      <c r="V559" s="30" t="str">
        <f ca="1">IFERROR(__xludf.DUMMYFUNCTION("""COMPUTED_VALUE"""),"Ninguna")</f>
        <v>Ninguna</v>
      </c>
      <c r="W559" s="30" t="str">
        <f ca="1">IFERROR(__xludf.DUMMYFUNCTION("""COMPUTED_VALUE"""),"Presencial")</f>
        <v>Presencial</v>
      </c>
      <c r="X559" s="30" t="str">
        <f ca="1">IFERROR(__xludf.DUMMYFUNCTION("""COMPUTED_VALUE"""),"Espacio Público")</f>
        <v>Espacio Público</v>
      </c>
      <c r="Y559" s="30"/>
      <c r="Z559" s="30" t="str">
        <f ca="1">IFERROR(__xludf.DUMMYFUNCTION("""COMPUTED_VALUE"""),"Jardín de la Unión")</f>
        <v>Jardín de la Unión</v>
      </c>
      <c r="AA559" s="30"/>
      <c r="AB559" s="30" t="b">
        <f ca="1">IFERROR(__xludf.DUMMYFUNCTION("""COMPUTED_VALUE"""),FALSE)</f>
        <v>0</v>
      </c>
      <c r="AC559" s="30"/>
      <c r="AD559" s="30" t="b">
        <f ca="1">IFERROR(__xludf.DUMMYFUNCTION("""COMPUTED_VALUE"""),FALSE)</f>
        <v>0</v>
      </c>
      <c r="AE559" s="30"/>
      <c r="AF559" s="30" t="b">
        <f ca="1">IFERROR(__xludf.DUMMYFUNCTION("""COMPUTED_VALUE"""),FALSE)</f>
        <v>0</v>
      </c>
      <c r="AG559" s="30"/>
      <c r="AH559" s="30" t="str">
        <f ca="1">IFERROR(__xludf.DUMMYFUNCTION("""COMPUTED_VALUE"""),"Sin costo")</f>
        <v>Sin costo</v>
      </c>
      <c r="AI559" s="30"/>
      <c r="AJ559" s="30"/>
      <c r="AK559" s="30"/>
      <c r="AL559" s="30" t="str">
        <f ca="1">IFERROR(__xludf.DUMMYFUNCTION("""COMPUTED_VALUE"""),"machagoya@guanajuato.gob.mx")</f>
        <v>machagoya@guanajuato.gob.mx</v>
      </c>
      <c r="AM559" s="30" t="str">
        <f ca="1">IFERROR(__xludf.DUMMYFUNCTION("""COMPUTED_VALUE"""),"Seguridad y Paz: Rescate y recuperación de espacios públicos en municipios y zonas con alta incidencia delictiva.")</f>
        <v>Seguridad y Paz: Rescate y recuperación de espacios públicos en municipios y zonas con alta incidencia delictiva.</v>
      </c>
      <c r="AN559" s="30" t="str">
        <f ca="1">IFERROR(__xludf.DUMMYFUNCTION("""COMPUTED_VALUE"""),"2 Igualdad")</f>
        <v>2 Igualdad</v>
      </c>
      <c r="AO559" s="30" t="str">
        <f ca="1">IFERROR(__xludf.DUMMYFUNCTION("""COMPUTED_VALUE"""),"2.2 Fortalecer cohesión social")</f>
        <v>2.2 Fortalecer cohesión social</v>
      </c>
      <c r="AP559" s="30" t="str">
        <f ca="1">IFERROR(__xludf.DUMMYFUNCTION("""COMPUTED_VALUE"""),"2.2.1 Participación social comunitaria")</f>
        <v>2.2.1 Participación social comunitaria</v>
      </c>
      <c r="AQ559" s="30" t="str">
        <f ca="1">IFERROR(__xludf.DUMMYFUNCTION("""COMPUTED_VALUE"""),"2.2.1 Participación social comunitaria")</f>
        <v>2.2.1 Participación social comunitaria</v>
      </c>
      <c r="AR559" s="30" t="str">
        <f ca="1">IFERROR(__xludf.DUMMYFUNCTION("""COMPUTED_VALUE"""),"Inclusión")</f>
        <v>Inclusión</v>
      </c>
      <c r="AS559" s="30" t="str">
        <f ca="1">IFERROR(__xludf.DUMMYFUNCTION("""COMPUTED_VALUE"""),"Ninguno (Población General)")</f>
        <v>Ninguno (Población General)</v>
      </c>
      <c r="AT559" s="30" t="str">
        <f ca="1">IFERROR(__xludf.DUMMYFUNCTION("""COMPUTED_VALUE"""),"Fortalecimiento de la participación ciudadana y la mediación cultural")</f>
        <v>Fortalecimiento de la participación ciudadana y la mediación cultural</v>
      </c>
      <c r="AU559" s="30" t="str">
        <f ca="1">IFERROR(__xludf.DUMMYFUNCTION("""COMPUTED_VALUE"""),"Impulso a la ampliación de la oferta cultural en los territorios.")</f>
        <v>Impulso a la ampliación de la oferta cultural en los territorios.</v>
      </c>
      <c r="AV55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59" s="30" t="str">
        <f ca="1">IFERROR(__xludf.DUMMYFUNCTION("""COMPUTED_VALUE"""),"Incrementar en 25% la oferta cultural realizada en los municipios.")</f>
        <v>Incrementar en 25% la oferta cultural realizada en los municipios.</v>
      </c>
      <c r="AX559" s="30" t="str">
        <f ca="1">IFERROR(__xludf.DUMMYFUNCTION("""COMPUTED_VALUE"""),"Presentación artística")</f>
        <v>Presentación artística</v>
      </c>
      <c r="AY559" s="30" t="str">
        <f ca="1">IFERROR(__xludf.DUMMYFUNCTION("""COMPUTED_VALUE"""),"N/A")</f>
        <v>N/A</v>
      </c>
      <c r="AZ559" s="30"/>
      <c r="BA559" s="30"/>
      <c r="BB559" s="30"/>
      <c r="BC559" s="30">
        <f ca="1">IFERROR(__xludf.DUMMYFUNCTION("""COMPUTED_VALUE"""),0)</f>
        <v>0</v>
      </c>
      <c r="BD559" s="30"/>
      <c r="BE559" s="30"/>
      <c r="BF559" s="30" t="b">
        <f ca="1">IFERROR(__xludf.DUMMYFUNCTION("""COMPUTED_VALUE"""),FALSE)</f>
        <v>0</v>
      </c>
      <c r="BG559" s="30"/>
      <c r="BH559" s="30"/>
      <c r="BI559" s="30"/>
      <c r="BJ559" s="30"/>
      <c r="BK559" s="30"/>
      <c r="BL559" s="30"/>
      <c r="BM559" s="30" t="str">
        <f ca="1">IFERROR(__xludf.DUMMYFUNCTION("""COMPUTED_VALUE"""),"No")</f>
        <v>No</v>
      </c>
      <c r="BN559" s="30"/>
      <c r="BO559" s="30" t="str">
        <f ca="1">IFERROR(__xludf.DUMMYFUNCTION("""COMPUTED_VALUE"""),"8515ccd9")</f>
        <v>8515ccd9</v>
      </c>
      <c r="BP559" s="29" t="str">
        <f ca="1">IFERROR(__xludf.DUMMYFUNCTION("""COMPUTED_VALUE"""),"León")</f>
        <v>León</v>
      </c>
      <c r="BQ559" s="30" t="str">
        <f ca="1">IFERROR(__xludf.DUMMYFUNCTION("""COMPUTED_VALUE"""),"Urbano")</f>
        <v>Urbano</v>
      </c>
      <c r="BR559" s="30"/>
      <c r="BS559" s="30"/>
      <c r="BT559" s="30"/>
      <c r="BU559" s="30" t="str">
        <f ca="1">IFERROR(__xludf.DUMMYFUNCTION("""COMPUTED_VALUE"""),"No")</f>
        <v>No</v>
      </c>
      <c r="BV559" s="30" t="str">
        <f ca="1">IFERROR(__xludf.DUMMYFUNCTION("""COMPUTED_VALUE"""),"No")</f>
        <v>No</v>
      </c>
      <c r="BW559" s="30">
        <f ca="1">IFERROR(__xludf.DUMMYFUNCTION("""COMPUTED_VALUE"""),15)</f>
        <v>15</v>
      </c>
      <c r="BX559" s="30"/>
      <c r="BY559" s="30">
        <f ca="1">IFERROR(__xludf.DUMMYFUNCTION("""COMPUTED_VALUE"""),15)</f>
        <v>15</v>
      </c>
      <c r="BZ559" s="30"/>
      <c r="CA559" s="30" t="str">
        <f ca="1">IFERROR(__xludf.DUMMYFUNCTION("""COMPUTED_VALUE"""),"No")</f>
        <v>No</v>
      </c>
      <c r="CB559" s="30" t="str">
        <f ca="1">IFERROR(__xludf.DUMMYFUNCTION("""COMPUTED_VALUE"""),"No")</f>
        <v>No</v>
      </c>
      <c r="CC559" s="30" t="str">
        <f ca="1">IFERROR(__xludf.DUMMYFUNCTION("""COMPUTED_VALUE"""),"15c49a74")</f>
        <v>15c49a74</v>
      </c>
      <c r="CD559" s="29" t="str">
        <f ca="1">IFERROR(__xludf.DUMMYFUNCTION("""COMPUTED_VALUE"""),"Primera Infancia (0 a 5 años)")</f>
        <v>Primera Infancia (0 a 5 años)</v>
      </c>
      <c r="CE559" s="30" t="str">
        <f ca="1">IFERROR(__xludf.DUMMYFUNCTION("""COMPUTED_VALUE"""),"No se cuenta con el dato")</f>
        <v>No se cuenta con el dato</v>
      </c>
      <c r="CF559" s="30" t="str">
        <f ca="1">IFERROR(__xludf.DUMMYFUNCTION("""COMPUTED_VALUE"""),"Ninguno (Población General)")</f>
        <v>Ninguno (Población General)</v>
      </c>
      <c r="CG559" s="30">
        <f ca="1">IFERROR(__xludf.DUMMYFUNCTION("""COMPUTED_VALUE"""),5586)</f>
        <v>5586</v>
      </c>
      <c r="CJ559" s="29"/>
      <c r="CM559" s="30" t="str">
        <f ca="1">IFERROR(__xludf.DUMMYFUNCTION("""COMPUTED_VALUE"""),"León")</f>
        <v>León</v>
      </c>
      <c r="CN559" s="32" t="e">
        <f ca="1"/>
        <v>#NAME?</v>
      </c>
      <c r="CO559" s="32" t="e">
        <f ca="1"/>
        <v>#NAME?</v>
      </c>
      <c r="CP559" s="32" t="e">
        <f ca="1"/>
        <v>#NAME?</v>
      </c>
      <c r="CQ559" s="32" t="e">
        <f ca="1"/>
        <v>#NAME?</v>
      </c>
      <c r="CR559" s="30" t="e">
        <f ca="1"/>
        <v>#NAME?</v>
      </c>
      <c r="CS559" s="30" t="str">
        <f ca="1">IFERROR(__xludf.DUMMYFUNCTION("""COMPUTED_VALUE"""),"Ninguno (Población General)")</f>
        <v>Ninguno (Población General)</v>
      </c>
    </row>
    <row r="560" spans="1:97" ht="13">
      <c r="A560" s="29" t="str">
        <f ca="1">IFERROR(__xludf.DUMMYFUNCTION("""COMPUTED_VALUE"""),"ACT-SCID00018")</f>
        <v>ACT-SCID00018</v>
      </c>
      <c r="B560" s="30" t="str">
        <f ca="1">IFERROR(__xludf.DUMMYFUNCTION("""COMPUTED_VALUE"""),"SC-261013-104924")</f>
        <v>SC-261013-104924</v>
      </c>
      <c r="C560" s="62">
        <f ca="1">IFERROR(__xludf.DUMMYFUNCTION("""COMPUTED_VALUE"""),46308.4509722222)</f>
        <v>46308.450972222199</v>
      </c>
      <c r="D560" s="30">
        <f ca="1">IFERROR(__xludf.DUMMYFUNCTION("""COMPUTED_VALUE"""),92)</f>
        <v>92</v>
      </c>
      <c r="E560" s="30" t="str">
        <f ca="1">IFERROR(__xludf.DUMMYFUNCTION("""COMPUTED_VALUE"""),"PB3572")</f>
        <v>PB3572</v>
      </c>
      <c r="F56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0" s="30" t="str">
        <f ca="1">IFERROR(__xludf.DUMMYFUNCTION("""COMPUTED_VALUE"""),"SUBSECRETARÍA DE DESARROLLO Y PROMOCIÓN ARTÍSTICA Y CULTURAL")</f>
        <v>SUBSECRETARÍA DE DESARROLLO Y PROMOCIÓN ARTÍSTICA Y CULTURAL</v>
      </c>
      <c r="I560" s="34" t="str">
        <f ca="1">IFERROR(__xludf.DUMMYFUNCTION("""COMPUTED_VALUE"""),"DIRECCIÓN GENERAL DE MUSEOS, ARTES VISUALES Y EXPOSICIONES")</f>
        <v>DIRECCIÓN GENERAL DE MUSEOS, ARTES VISUALES Y EXPOSICIONES</v>
      </c>
      <c r="J560" s="30" t="str">
        <f ca="1">IFERROR(__xludf.DUMMYFUNCTION("""COMPUTED_VALUE"""),"Número de Actividades realizadas")</f>
        <v>Número de Actividades realizadas</v>
      </c>
      <c r="K560" s="30">
        <f ca="1">IFERROR(__xludf.DUMMYFUNCTION("""COMPUTED_VALUE"""),800)</f>
        <v>800</v>
      </c>
      <c r="L560" s="30" t="str">
        <f ca="1">IFERROR(__xludf.DUMMYFUNCTION("""COMPUTED_VALUE"""),"Cultural")</f>
        <v>Cultural</v>
      </c>
      <c r="M560" s="30" t="str">
        <f ca="1">IFERROR(__xludf.DUMMYFUNCTION("""COMPUTED_VALUE"""),"Visita escolar ""CETIS33""")</f>
        <v>Visita escolar "CETIS33"</v>
      </c>
      <c r="N560" s="30" t="str">
        <f ca="1">IFERROR(__xludf.DUMMYFUNCTION("""COMPUTED_VALUE"""),"Recorrido guiado por el museo")</f>
        <v>Recorrido guiado por el museo</v>
      </c>
      <c r="O560" s="30" t="str">
        <f ca="1">IFERROR(__xludf.DUMMYFUNCTION("""COMPUTED_VALUE"""),"Única")</f>
        <v>Única</v>
      </c>
      <c r="P560" s="33">
        <f ca="1">IFERROR(__xludf.DUMMYFUNCTION("""COMPUTED_VALUE"""),46288)</f>
        <v>46288</v>
      </c>
      <c r="Q560" s="33">
        <f ca="1">IFERROR(__xludf.DUMMYFUNCTION("""COMPUTED_VALUE"""),46288)</f>
        <v>46288</v>
      </c>
      <c r="R560" s="30">
        <f ca="1">IFERROR(__xludf.DUMMYFUNCTION("""COMPUTED_VALUE"""),1)</f>
        <v>1</v>
      </c>
      <c r="S560" s="30" t="str">
        <f ca="1">IFERROR(__xludf.DUMMYFUNCTION("""COMPUTED_VALUE"""),"Cultura comunitaria")</f>
        <v>Cultura comunitaria</v>
      </c>
      <c r="T560" s="30" t="str">
        <f ca="1">IFERROR(__xludf.DUMMYFUNCTION("""COMPUTED_VALUE"""),"Mediación cultural")</f>
        <v>Mediación cultural</v>
      </c>
      <c r="U560" s="30" t="str">
        <f ca="1">IFERROR(__xludf.DUMMYFUNCTION("""COMPUTED_VALUE"""),"Visitas escolares")</f>
        <v>Visitas escolares</v>
      </c>
      <c r="V560" s="30" t="str">
        <f ca="1">IFERROR(__xludf.DUMMYFUNCTION("""COMPUTED_VALUE"""),"Ninguna")</f>
        <v>Ninguna</v>
      </c>
      <c r="W560" s="30" t="str">
        <f ca="1">IFERROR(__xludf.DUMMYFUNCTION("""COMPUTED_VALUE"""),"Presencial")</f>
        <v>Presencial</v>
      </c>
      <c r="X560" s="30" t="str">
        <f ca="1">IFERROR(__xludf.DUMMYFUNCTION("""COMPUTED_VALUE"""),"Espacio a Cargo de la Secretaría")</f>
        <v>Espacio a Cargo de la Secretaría</v>
      </c>
      <c r="Y560" s="30" t="str">
        <f ca="1">IFERROR(__xludf.DUMMYFUNCTION("""COMPUTED_VALUE"""),"Museo de Arte e Historia de Guanajuato, sala Feliciano Peña")</f>
        <v>Museo de Arte e Historia de Guanajuato, sala Feliciano Peña</v>
      </c>
      <c r="Z560" s="30"/>
      <c r="AA560" s="30"/>
      <c r="AB560" s="30" t="b">
        <f ca="1">IFERROR(__xludf.DUMMYFUNCTION("""COMPUTED_VALUE"""),FALSE)</f>
        <v>0</v>
      </c>
      <c r="AC560" s="30"/>
      <c r="AD560" s="30" t="b">
        <f ca="1">IFERROR(__xludf.DUMMYFUNCTION("""COMPUTED_VALUE"""),FALSE)</f>
        <v>0</v>
      </c>
      <c r="AE560" s="30"/>
      <c r="AF560" s="30" t="b">
        <f ca="1">IFERROR(__xludf.DUMMYFUNCTION("""COMPUTED_VALUE"""),FALSE)</f>
        <v>0</v>
      </c>
      <c r="AG560" s="30"/>
      <c r="AH560" s="30" t="str">
        <f ca="1">IFERROR(__xludf.DUMMYFUNCTION("""COMPUTED_VALUE"""),"Sin costo")</f>
        <v>Sin costo</v>
      </c>
      <c r="AI560" s="30"/>
      <c r="AJ560" s="30"/>
      <c r="AK560" s="30"/>
      <c r="AL560" s="30" t="str">
        <f ca="1">IFERROR(__xludf.DUMMYFUNCTION("""COMPUTED_VALUE"""),"ccardonav@guanajuato.gob.mx")</f>
        <v>ccardonav@guanajuato.gob.mx</v>
      </c>
      <c r="AM560" s="30" t="str">
        <f ca="1">IFERROR(__xludf.DUMMYFUNCTION("""COMPUTED_VALUE"""),"Arraigo y empoderamiento cultural de comunidades.")</f>
        <v>Arraigo y empoderamiento cultural de comunidades.</v>
      </c>
      <c r="AN560" s="30" t="str">
        <f ca="1">IFERROR(__xludf.DUMMYFUNCTION("""COMPUTED_VALUE"""),"2 Igualdad")</f>
        <v>2 Igualdad</v>
      </c>
      <c r="AO560" s="30" t="str">
        <f ca="1">IFERROR(__xludf.DUMMYFUNCTION("""COMPUTED_VALUE"""),"2.4 Reducir brechas de desigualdad")</f>
        <v>2.4 Reducir brechas de desigualdad</v>
      </c>
      <c r="AP560" s="30" t="str">
        <f ca="1">IFERROR(__xludf.DUMMYFUNCTION("""COMPUTED_VALUE"""),"2.4.3 Descentralización de la oferta cultural")</f>
        <v>2.4.3 Descentralización de la oferta cultural</v>
      </c>
      <c r="AQ560" s="30" t="str">
        <f ca="1">IFERROR(__xludf.DUMMYFUNCTION("""COMPUTED_VALUE"""),"2.4.3.3 Incidir en el involucramiento de las personas con el ecosistema cultural")</f>
        <v>2.4.3.3 Incidir en el involucramiento de las personas con el ecosistema cultural</v>
      </c>
      <c r="AR560" s="30" t="str">
        <f ca="1">IFERROR(__xludf.DUMMYFUNCTION("""COMPUTED_VALUE"""),"Cooperación")</f>
        <v>Cooperación</v>
      </c>
      <c r="AS560" s="30"/>
      <c r="AT560" s="30" t="str">
        <f ca="1">IFERROR(__xludf.DUMMYFUNCTION("""COMPUTED_VALUE"""),"Fortalecimiento de la participación ciudadana y la mediación cultural")</f>
        <v>Fortalecimiento de la participación ciudadana y la mediación cultural</v>
      </c>
      <c r="AU560" s="30" t="str">
        <f ca="1">IFERROR(__xludf.DUMMYFUNCTION("""COMPUTED_VALUE"""),"Impulso a la ampliación de la oferta cultural en los territorios.")</f>
        <v>Impulso a la ampliación de la oferta cultural en los territorios.</v>
      </c>
      <c r="AV56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0" s="30" t="str">
        <f ca="1">IFERROR(__xludf.DUMMYFUNCTION("""COMPUTED_VALUE"""),"Incrementar en 25% la oferta cultural realizada en los municipios.")</f>
        <v>Incrementar en 25% la oferta cultural realizada en los municipios.</v>
      </c>
      <c r="AX560" s="30" t="str">
        <f ca="1">IFERROR(__xludf.DUMMYFUNCTION("""COMPUTED_VALUE"""),"Visitas escolares")</f>
        <v>Visitas escolares</v>
      </c>
      <c r="AY560" s="30" t="str">
        <f ca="1">IFERROR(__xludf.DUMMYFUNCTION("""COMPUTED_VALUE"""),"Mediación")</f>
        <v>Mediación</v>
      </c>
      <c r="AZ560" s="30"/>
      <c r="BA560" s="30"/>
      <c r="BB560" s="30"/>
      <c r="BC560" s="30">
        <f ca="1">IFERROR(__xludf.DUMMYFUNCTION("""COMPUTED_VALUE"""),0)</f>
        <v>0</v>
      </c>
      <c r="BD560" s="30"/>
      <c r="BE560" s="30"/>
      <c r="BF560" s="30" t="b">
        <f ca="1">IFERROR(__xludf.DUMMYFUNCTION("""COMPUTED_VALUE"""),FALSE)</f>
        <v>0</v>
      </c>
      <c r="BG560" s="30"/>
      <c r="BH560" s="30"/>
      <c r="BI560" s="30"/>
      <c r="BJ560" s="30"/>
      <c r="BK560" s="30"/>
      <c r="BL560" s="30"/>
      <c r="BM560" s="30" t="str">
        <f ca="1">IFERROR(__xludf.DUMMYFUNCTION("""COMPUTED_VALUE"""),"No")</f>
        <v>No</v>
      </c>
      <c r="BN560" s="30"/>
      <c r="BO560" s="30" t="str">
        <f ca="1">IFERROR(__xludf.DUMMYFUNCTION("""COMPUTED_VALUE"""),"1a72d095")</f>
        <v>1a72d095</v>
      </c>
      <c r="BP560" s="29" t="str">
        <f ca="1">IFERROR(__xludf.DUMMYFUNCTION("""COMPUTED_VALUE"""),"León")</f>
        <v>León</v>
      </c>
      <c r="BQ560" s="30" t="str">
        <f ca="1">IFERROR(__xludf.DUMMYFUNCTION("""COMPUTED_VALUE"""),"Urbano")</f>
        <v>Urbano</v>
      </c>
      <c r="BR560" s="30"/>
      <c r="BS560" s="30"/>
      <c r="BT560" s="30"/>
      <c r="BU560" s="30" t="str">
        <f ca="1">IFERROR(__xludf.DUMMYFUNCTION("""COMPUTED_VALUE"""),"No")</f>
        <v>No</v>
      </c>
      <c r="BV560" s="30" t="str">
        <f ca="1">IFERROR(__xludf.DUMMYFUNCTION("""COMPUTED_VALUE"""),"No")</f>
        <v>No</v>
      </c>
      <c r="BW560" s="30">
        <f ca="1">IFERROR(__xludf.DUMMYFUNCTION("""COMPUTED_VALUE"""),21)</f>
        <v>21</v>
      </c>
      <c r="BX560" s="30"/>
      <c r="BY560" s="30">
        <f ca="1">IFERROR(__xludf.DUMMYFUNCTION("""COMPUTED_VALUE"""),21)</f>
        <v>21</v>
      </c>
      <c r="BZ560" s="30"/>
      <c r="CA560" s="30" t="str">
        <f ca="1">IFERROR(__xludf.DUMMYFUNCTION("""COMPUTED_VALUE"""),"No")</f>
        <v>No</v>
      </c>
      <c r="CB560" s="30" t="str">
        <f ca="1">IFERROR(__xludf.DUMMYFUNCTION("""COMPUTED_VALUE"""),"No")</f>
        <v>No</v>
      </c>
      <c r="CC560" s="30" t="str">
        <f ca="1">IFERROR(__xludf.DUMMYFUNCTION("""COMPUTED_VALUE"""),"83a887ea")</f>
        <v>83a887ea</v>
      </c>
      <c r="CD560" s="29" t="str">
        <f ca="1">IFERROR(__xludf.DUMMYFUNCTION("""COMPUTED_VALUE"""),"Niñas y Niños (6 a 12 años)")</f>
        <v>Niñas y Niños (6 a 12 años)</v>
      </c>
      <c r="CE560" s="30" t="str">
        <f ca="1">IFERROR(__xludf.DUMMYFUNCTION("""COMPUTED_VALUE"""),"No se cuenta con el dato")</f>
        <v>No se cuenta con el dato</v>
      </c>
      <c r="CF560" s="30" t="str">
        <f ca="1">IFERROR(__xludf.DUMMYFUNCTION("""COMPUTED_VALUE"""),"Ninguno (Población General)")</f>
        <v>Ninguno (Población General)</v>
      </c>
      <c r="CG560" s="30">
        <f ca="1">IFERROR(__xludf.DUMMYFUNCTION("""COMPUTED_VALUE"""),2745)</f>
        <v>2745</v>
      </c>
      <c r="CJ560" s="29"/>
      <c r="CM560" s="30" t="str">
        <f ca="1">IFERROR(__xludf.DUMMYFUNCTION("""COMPUTED_VALUE"""),"León")</f>
        <v>León</v>
      </c>
      <c r="CN560" s="32" t="e">
        <f ca="1"/>
        <v>#NAME?</v>
      </c>
      <c r="CO560" s="32" t="e">
        <f ca="1"/>
        <v>#NAME?</v>
      </c>
      <c r="CP560" s="32" t="e">
        <f ca="1"/>
        <v>#NAME?</v>
      </c>
      <c r="CQ560" s="32" t="e">
        <f ca="1"/>
        <v>#NAME?</v>
      </c>
      <c r="CR560" s="30" t="e">
        <f ca="1"/>
        <v>#NAME?</v>
      </c>
      <c r="CS560" s="30" t="str">
        <f ca="1">IFERROR(__xludf.DUMMYFUNCTION("""COMPUTED_VALUE"""),"Ninguno (Población General)")</f>
        <v>Ninguno (Población General)</v>
      </c>
    </row>
    <row r="561" spans="1:97" ht="13">
      <c r="A561" s="29" t="str">
        <f ca="1">IFERROR(__xludf.DUMMYFUNCTION("""COMPUTED_VALUE"""),"ACT-SCQG28945")</f>
        <v>ACT-SCQG28945</v>
      </c>
      <c r="B561" s="30" t="str">
        <f ca="1">IFERROR(__xludf.DUMMYFUNCTION("""COMPUTED_VALUE"""),"SC-261014-122853")</f>
        <v>SC-261014-122853</v>
      </c>
      <c r="C561" s="62">
        <f ca="1">IFERROR(__xludf.DUMMYFUNCTION("""COMPUTED_VALUE"""),46309.5200578703)</f>
        <v>46309.520057870301</v>
      </c>
      <c r="D561" s="30">
        <f ca="1">IFERROR(__xludf.DUMMYFUNCTION("""COMPUTED_VALUE"""),92)</f>
        <v>92</v>
      </c>
      <c r="E561" s="30" t="str">
        <f ca="1">IFERROR(__xludf.DUMMYFUNCTION("""COMPUTED_VALUE"""),"PB3572")</f>
        <v>PB3572</v>
      </c>
      <c r="F56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1" s="30" t="str">
        <f ca="1">IFERROR(__xludf.DUMMYFUNCTION("""COMPUTED_VALUE"""),"SUBSECRETARÍA DE DESARROLLO Y PROMOCIÓN ARTÍSTICA Y CULTURAL")</f>
        <v>SUBSECRETARÍA DE DESARROLLO Y PROMOCIÓN ARTÍSTICA Y CULTURAL</v>
      </c>
      <c r="I561" s="34" t="str">
        <f ca="1">IFERROR(__xludf.DUMMYFUNCTION("""COMPUTED_VALUE"""),"DIRECCIÓN GENERAL DE MUSEOS, ARTES VISUALES Y EXPOSICIONES")</f>
        <v>DIRECCIÓN GENERAL DE MUSEOS, ARTES VISUALES Y EXPOSICIONES</v>
      </c>
      <c r="J561" s="30" t="str">
        <f ca="1">IFERROR(__xludf.DUMMYFUNCTION("""COMPUTED_VALUE"""),"Número de Actividades realizadas")</f>
        <v>Número de Actividades realizadas</v>
      </c>
      <c r="K561" s="30">
        <f ca="1">IFERROR(__xludf.DUMMYFUNCTION("""COMPUTED_VALUE"""),800)</f>
        <v>800</v>
      </c>
      <c r="L561" s="30" t="str">
        <f ca="1">IFERROR(__xludf.DUMMYFUNCTION("""COMPUTED_VALUE"""),"Cultural")</f>
        <v>Cultural</v>
      </c>
      <c r="M561" s="30" t="str">
        <f ca="1">IFERROR(__xludf.DUMMYFUNCTION("""COMPUTED_VALUE"""),"Visita Escolar ""BACHILLERATO INTEGRAL""")</f>
        <v>Visita Escolar "BACHILLERATO INTEGRAL"</v>
      </c>
      <c r="N561" s="30" t="str">
        <f ca="1">IFERROR(__xludf.DUMMYFUNCTION("""COMPUTED_VALUE"""),"Recorrido guiado por el museo")</f>
        <v>Recorrido guiado por el museo</v>
      </c>
      <c r="O561" s="30" t="str">
        <f ca="1">IFERROR(__xludf.DUMMYFUNCTION("""COMPUTED_VALUE"""),"Única")</f>
        <v>Única</v>
      </c>
      <c r="P561" s="33">
        <f ca="1">IFERROR(__xludf.DUMMYFUNCTION("""COMPUTED_VALUE"""),46288)</f>
        <v>46288</v>
      </c>
      <c r="Q561" s="33">
        <f ca="1">IFERROR(__xludf.DUMMYFUNCTION("""COMPUTED_VALUE"""),46288)</f>
        <v>46288</v>
      </c>
      <c r="R561" s="30">
        <f ca="1">IFERROR(__xludf.DUMMYFUNCTION("""COMPUTED_VALUE"""),1)</f>
        <v>1</v>
      </c>
      <c r="S561" s="30" t="str">
        <f ca="1">IFERROR(__xludf.DUMMYFUNCTION("""COMPUTED_VALUE"""),"Cultura comunitaria")</f>
        <v>Cultura comunitaria</v>
      </c>
      <c r="T561" s="30" t="str">
        <f ca="1">IFERROR(__xludf.DUMMYFUNCTION("""COMPUTED_VALUE"""),"Formación comunitaria")</f>
        <v>Formación comunitaria</v>
      </c>
      <c r="U561" s="30" t="str">
        <f ca="1">IFERROR(__xludf.DUMMYFUNCTION("""COMPUTED_VALUE"""),"Visitas escolares")</f>
        <v>Visitas escolares</v>
      </c>
      <c r="V561" s="30" t="str">
        <f ca="1">IFERROR(__xludf.DUMMYFUNCTION("""COMPUTED_VALUE"""),"Ninguna")</f>
        <v>Ninguna</v>
      </c>
      <c r="W561" s="30" t="str">
        <f ca="1">IFERROR(__xludf.DUMMYFUNCTION("""COMPUTED_VALUE"""),"Presencial")</f>
        <v>Presencial</v>
      </c>
      <c r="X561" s="30" t="str">
        <f ca="1">IFERROR(__xludf.DUMMYFUNCTION("""COMPUTED_VALUE"""),"Espacio a Cargo de la Secretaría")</f>
        <v>Espacio a Cargo de la Secretaría</v>
      </c>
      <c r="Y561" s="30" t="str">
        <f ca="1">IFERROR(__xludf.DUMMYFUNCTION("""COMPUTED_VALUE"""),"Museo de Arte e Historia de Guanajuato, sala Feliciano Peña")</f>
        <v>Museo de Arte e Historia de Guanajuato, sala Feliciano Peña</v>
      </c>
      <c r="Z561" s="30"/>
      <c r="AA561" s="30"/>
      <c r="AB561" s="30" t="b">
        <f ca="1">IFERROR(__xludf.DUMMYFUNCTION("""COMPUTED_VALUE"""),FALSE)</f>
        <v>0</v>
      </c>
      <c r="AC561" s="30"/>
      <c r="AD561" s="30" t="b">
        <f ca="1">IFERROR(__xludf.DUMMYFUNCTION("""COMPUTED_VALUE"""),FALSE)</f>
        <v>0</v>
      </c>
      <c r="AE561" s="30"/>
      <c r="AF561" s="30" t="b">
        <f ca="1">IFERROR(__xludf.DUMMYFUNCTION("""COMPUTED_VALUE"""),FALSE)</f>
        <v>0</v>
      </c>
      <c r="AG561" s="30"/>
      <c r="AH561" s="30" t="str">
        <f ca="1">IFERROR(__xludf.DUMMYFUNCTION("""COMPUTED_VALUE"""),"Sin costo")</f>
        <v>Sin costo</v>
      </c>
      <c r="AI561" s="30"/>
      <c r="AJ561" s="30"/>
      <c r="AK561" s="30"/>
      <c r="AL561" s="30" t="str">
        <f ca="1">IFERROR(__xludf.DUMMYFUNCTION("""COMPUTED_VALUE"""),"ccardonav@guanajuato.gob.mx")</f>
        <v>ccardonav@guanajuato.gob.mx</v>
      </c>
      <c r="AM561" s="30" t="str">
        <f ca="1">IFERROR(__xludf.DUMMYFUNCTION("""COMPUTED_VALUE"""),"Arraigo y empoderamiento cultural de comunidades.")</f>
        <v>Arraigo y empoderamiento cultural de comunidades.</v>
      </c>
      <c r="AN561" s="30" t="str">
        <f ca="1">IFERROR(__xludf.DUMMYFUNCTION("""COMPUTED_VALUE"""),"2 Igualdad")</f>
        <v>2 Igualdad</v>
      </c>
      <c r="AO561" s="30" t="str">
        <f ca="1">IFERROR(__xludf.DUMMYFUNCTION("""COMPUTED_VALUE"""),"2.4 Reducir brechas de desigualdad")</f>
        <v>2.4 Reducir brechas de desigualdad</v>
      </c>
      <c r="AP561" s="30" t="str">
        <f ca="1">IFERROR(__xludf.DUMMYFUNCTION("""COMPUTED_VALUE"""),"2.4.3 Descentralización de la oferta cultural")</f>
        <v>2.4.3 Descentralización de la oferta cultural</v>
      </c>
      <c r="AQ561" s="30" t="str">
        <f ca="1">IFERROR(__xludf.DUMMYFUNCTION("""COMPUTED_VALUE"""),"2.4.3.3 Incidir en el involucramiento de las personas con el ecosistema cultural")</f>
        <v>2.4.3.3 Incidir en el involucramiento de las personas con el ecosistema cultural</v>
      </c>
      <c r="AR561" s="30" t="str">
        <f ca="1">IFERROR(__xludf.DUMMYFUNCTION("""COMPUTED_VALUE"""),"Cooperación")</f>
        <v>Cooperación</v>
      </c>
      <c r="AS561" s="30"/>
      <c r="AT561" s="30" t="str">
        <f ca="1">IFERROR(__xludf.DUMMYFUNCTION("""COMPUTED_VALUE"""),"Fortalecimiento de la participación ciudadana y la mediación cultural")</f>
        <v>Fortalecimiento de la participación ciudadana y la mediación cultural</v>
      </c>
      <c r="AU561" s="30" t="str">
        <f ca="1">IFERROR(__xludf.DUMMYFUNCTION("""COMPUTED_VALUE"""),"Impulso a la ampliación de la oferta cultural en los territorios.")</f>
        <v>Impulso a la ampliación de la oferta cultural en los territorios.</v>
      </c>
      <c r="AV56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1" s="30" t="str">
        <f ca="1">IFERROR(__xludf.DUMMYFUNCTION("""COMPUTED_VALUE"""),"Incrementar en 25% la oferta cultural realizada en los municipios.")</f>
        <v>Incrementar en 25% la oferta cultural realizada en los municipios.</v>
      </c>
      <c r="AX561" s="30" t="str">
        <f ca="1">IFERROR(__xludf.DUMMYFUNCTION("""COMPUTED_VALUE"""),"Visitas escolares")</f>
        <v>Visitas escolares</v>
      </c>
      <c r="AY561" s="30" t="str">
        <f ca="1">IFERROR(__xludf.DUMMYFUNCTION("""COMPUTED_VALUE"""),"Mediación")</f>
        <v>Mediación</v>
      </c>
      <c r="AZ561" s="30"/>
      <c r="BA561" s="30"/>
      <c r="BB561" s="30"/>
      <c r="BC561" s="30">
        <f ca="1">IFERROR(__xludf.DUMMYFUNCTION("""COMPUTED_VALUE"""),0)</f>
        <v>0</v>
      </c>
      <c r="BD561" s="30"/>
      <c r="BE561" s="30"/>
      <c r="BF561" s="30" t="b">
        <f ca="1">IFERROR(__xludf.DUMMYFUNCTION("""COMPUTED_VALUE"""),FALSE)</f>
        <v>0</v>
      </c>
      <c r="BG561" s="30"/>
      <c r="BH561" s="30"/>
      <c r="BI561" s="30"/>
      <c r="BJ561" s="30"/>
      <c r="BK561" s="30"/>
      <c r="BL561" s="30"/>
      <c r="BM561" s="30" t="str">
        <f ca="1">IFERROR(__xludf.DUMMYFUNCTION("""COMPUTED_VALUE"""),"No")</f>
        <v>No</v>
      </c>
      <c r="BN561" s="30"/>
      <c r="BO561" s="30" t="str">
        <f ca="1">IFERROR(__xludf.DUMMYFUNCTION("""COMPUTED_VALUE"""),"11a40578")</f>
        <v>11a40578</v>
      </c>
      <c r="BP561" s="29" t="str">
        <f ca="1">IFERROR(__xludf.DUMMYFUNCTION("""COMPUTED_VALUE"""),"León")</f>
        <v>León</v>
      </c>
      <c r="BQ561" s="30" t="str">
        <f ca="1">IFERROR(__xludf.DUMMYFUNCTION("""COMPUTED_VALUE"""),"Urbano")</f>
        <v>Urbano</v>
      </c>
      <c r="BR561" s="30"/>
      <c r="BS561" s="30"/>
      <c r="BT561" s="30"/>
      <c r="BU561" s="30" t="str">
        <f ca="1">IFERROR(__xludf.DUMMYFUNCTION("""COMPUTED_VALUE"""),"No")</f>
        <v>No</v>
      </c>
      <c r="BV561" s="30" t="str">
        <f ca="1">IFERROR(__xludf.DUMMYFUNCTION("""COMPUTED_VALUE"""),"No")</f>
        <v>No</v>
      </c>
      <c r="BW561" s="30">
        <f ca="1">IFERROR(__xludf.DUMMYFUNCTION("""COMPUTED_VALUE"""),21)</f>
        <v>21</v>
      </c>
      <c r="BX561" s="30"/>
      <c r="BY561" s="30">
        <f ca="1">IFERROR(__xludf.DUMMYFUNCTION("""COMPUTED_VALUE"""),21)</f>
        <v>21</v>
      </c>
      <c r="BZ561" s="30"/>
      <c r="CA561" s="30" t="str">
        <f ca="1">IFERROR(__xludf.DUMMYFUNCTION("""COMPUTED_VALUE"""),"No")</f>
        <v>No</v>
      </c>
      <c r="CB561" s="30" t="str">
        <f ca="1">IFERROR(__xludf.DUMMYFUNCTION("""COMPUTED_VALUE"""),"No")</f>
        <v>No</v>
      </c>
      <c r="CC561" s="30" t="str">
        <f ca="1">IFERROR(__xludf.DUMMYFUNCTION("""COMPUTED_VALUE"""),"891233cf")</f>
        <v>891233cf</v>
      </c>
      <c r="CD561" s="29" t="str">
        <f ca="1">IFERROR(__xludf.DUMMYFUNCTION("""COMPUTED_VALUE"""),"Adolescentes (13 a 17 años)")</f>
        <v>Adolescentes (13 a 17 años)</v>
      </c>
      <c r="CE561" s="30" t="str">
        <f ca="1">IFERROR(__xludf.DUMMYFUNCTION("""COMPUTED_VALUE"""),"No se cuenta con el dato")</f>
        <v>No se cuenta con el dato</v>
      </c>
      <c r="CF561" s="30" t="str">
        <f ca="1">IFERROR(__xludf.DUMMYFUNCTION("""COMPUTED_VALUE"""),"Ninguno (Población General)")</f>
        <v>Ninguno (Población General)</v>
      </c>
      <c r="CG561" s="30">
        <f ca="1">IFERROR(__xludf.DUMMYFUNCTION("""COMPUTED_VALUE"""),3080)</f>
        <v>3080</v>
      </c>
      <c r="CJ561" s="29"/>
      <c r="CM561" s="30" t="str">
        <f ca="1">IFERROR(__xludf.DUMMYFUNCTION("""COMPUTED_VALUE"""),"León")</f>
        <v>León</v>
      </c>
      <c r="CN561" s="32" t="e">
        <f ca="1"/>
        <v>#NAME?</v>
      </c>
      <c r="CO561" s="32" t="e">
        <f ca="1"/>
        <v>#NAME?</v>
      </c>
      <c r="CP561" s="32" t="e">
        <f ca="1"/>
        <v>#NAME?</v>
      </c>
      <c r="CQ561" s="32" t="e">
        <f ca="1"/>
        <v>#NAME?</v>
      </c>
      <c r="CR561" s="30" t="e">
        <f ca="1"/>
        <v>#NAME?</v>
      </c>
      <c r="CS561" s="30" t="str">
        <f ca="1">IFERROR(__xludf.DUMMYFUNCTION("""COMPUTED_VALUE"""),"Ninguno (Población General)")</f>
        <v>Ninguno (Población General)</v>
      </c>
    </row>
    <row r="562" spans="1:97" ht="13">
      <c r="A562" s="29" t="str">
        <f ca="1">IFERROR(__xludf.DUMMYFUNCTION("""COMPUTED_VALUE"""),"ACT-SCXA33583")</f>
        <v>ACT-SCXA33583</v>
      </c>
      <c r="B562" s="30" t="str">
        <f ca="1">IFERROR(__xludf.DUMMYFUNCTION("""COMPUTED_VALUE"""),"SC-261014-124638")</f>
        <v>SC-261014-124638</v>
      </c>
      <c r="C562" s="62">
        <f ca="1">IFERROR(__xludf.DUMMYFUNCTION("""COMPUTED_VALUE"""),46309.5323842592)</f>
        <v>46309.532384259197</v>
      </c>
      <c r="D562" s="30">
        <f ca="1">IFERROR(__xludf.DUMMYFUNCTION("""COMPUTED_VALUE"""),92)</f>
        <v>92</v>
      </c>
      <c r="E562" s="30" t="str">
        <f ca="1">IFERROR(__xludf.DUMMYFUNCTION("""COMPUTED_VALUE"""),"PB3572")</f>
        <v>PB3572</v>
      </c>
      <c r="F56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2" s="30" t="str">
        <f ca="1">IFERROR(__xludf.DUMMYFUNCTION("""COMPUTED_VALUE"""),"SUBSECRETARÍA DE DESARROLLO Y PROMOCIÓN ARTÍSTICA Y CULTURAL")</f>
        <v>SUBSECRETARÍA DE DESARROLLO Y PROMOCIÓN ARTÍSTICA Y CULTURAL</v>
      </c>
      <c r="I562" s="34" t="str">
        <f ca="1">IFERROR(__xludf.DUMMYFUNCTION("""COMPUTED_VALUE"""),"DIRECCIÓN GENERAL DE MUSEOS, ARTES VISUALES Y EXPOSICIONES")</f>
        <v>DIRECCIÓN GENERAL DE MUSEOS, ARTES VISUALES Y EXPOSICIONES</v>
      </c>
      <c r="J562" s="30" t="str">
        <f ca="1">IFERROR(__xludf.DUMMYFUNCTION("""COMPUTED_VALUE"""),"Número de Actividades realizadas")</f>
        <v>Número de Actividades realizadas</v>
      </c>
      <c r="K562" s="30">
        <f ca="1">IFERROR(__xludf.DUMMYFUNCTION("""COMPUTED_VALUE"""),800)</f>
        <v>800</v>
      </c>
      <c r="L562" s="30" t="str">
        <f ca="1">IFERROR(__xludf.DUMMYFUNCTION("""COMPUTED_VALUE"""),"Cultural")</f>
        <v>Cultural</v>
      </c>
      <c r="M562" s="30" t="str">
        <f ca="1">IFERROR(__xludf.DUMMYFUNCTION("""COMPUTED_VALUE"""),"VISITA ESPECIAL ENCUENTRO DE MUSEOS")</f>
        <v>VISITA ESPECIAL ENCUENTRO DE MUSEOS</v>
      </c>
      <c r="N562" s="30" t="str">
        <f ca="1">IFERROR(__xludf.DUMMYFUNCTION("""COMPUTED_VALUE"""),"Recorrido guiado por el museo")</f>
        <v>Recorrido guiado por el museo</v>
      </c>
      <c r="O562" s="30" t="str">
        <f ca="1">IFERROR(__xludf.DUMMYFUNCTION("""COMPUTED_VALUE"""),"Única")</f>
        <v>Única</v>
      </c>
      <c r="P562" s="33">
        <f ca="1">IFERROR(__xludf.DUMMYFUNCTION("""COMPUTED_VALUE"""),46293)</f>
        <v>46293</v>
      </c>
      <c r="Q562" s="33">
        <f ca="1">IFERROR(__xludf.DUMMYFUNCTION("""COMPUTED_VALUE"""),46293)</f>
        <v>46293</v>
      </c>
      <c r="R562" s="30">
        <f ca="1">IFERROR(__xludf.DUMMYFUNCTION("""COMPUTED_VALUE"""),1)</f>
        <v>1</v>
      </c>
      <c r="S562" s="30" t="str">
        <f ca="1">IFERROR(__xludf.DUMMYFUNCTION("""COMPUTED_VALUE"""),"Cultura comunitaria")</f>
        <v>Cultura comunitaria</v>
      </c>
      <c r="T562" s="30" t="str">
        <f ca="1">IFERROR(__xludf.DUMMYFUNCTION("""COMPUTED_VALUE"""),"Mediación cultural")</f>
        <v>Mediación cultural</v>
      </c>
      <c r="U562" s="30" t="str">
        <f ca="1">IFERROR(__xludf.DUMMYFUNCTION("""COMPUTED_VALUE"""),"Visitas guiadas")</f>
        <v>Visitas guiadas</v>
      </c>
      <c r="V562" s="30" t="str">
        <f ca="1">IFERROR(__xludf.DUMMYFUNCTION("""COMPUTED_VALUE"""),"Ninguna")</f>
        <v>Ninguna</v>
      </c>
      <c r="W562" s="30" t="str">
        <f ca="1">IFERROR(__xludf.DUMMYFUNCTION("""COMPUTED_VALUE"""),"Presencial")</f>
        <v>Presencial</v>
      </c>
      <c r="X562" s="30" t="str">
        <f ca="1">IFERROR(__xludf.DUMMYFUNCTION("""COMPUTED_VALUE"""),"Espacio a Cargo de la Secretaría")</f>
        <v>Espacio a Cargo de la Secretaría</v>
      </c>
      <c r="Y562" s="30" t="str">
        <f ca="1">IFERROR(__xludf.DUMMYFUNCTION("""COMPUTED_VALUE"""),"Museo de Arte e Historia de Guanajuato, sala Feliciano Peña")</f>
        <v>Museo de Arte e Historia de Guanajuato, sala Feliciano Peña</v>
      </c>
      <c r="Z562" s="30"/>
      <c r="AA562" s="30"/>
      <c r="AB562" s="30" t="b">
        <f ca="1">IFERROR(__xludf.DUMMYFUNCTION("""COMPUTED_VALUE"""),FALSE)</f>
        <v>0</v>
      </c>
      <c r="AC562" s="30"/>
      <c r="AD562" s="30" t="b">
        <f ca="1">IFERROR(__xludf.DUMMYFUNCTION("""COMPUTED_VALUE"""),FALSE)</f>
        <v>0</v>
      </c>
      <c r="AE562" s="30"/>
      <c r="AF562" s="30" t="b">
        <f ca="1">IFERROR(__xludf.DUMMYFUNCTION("""COMPUTED_VALUE"""),FALSE)</f>
        <v>0</v>
      </c>
      <c r="AG562" s="30"/>
      <c r="AH562" s="30" t="str">
        <f ca="1">IFERROR(__xludf.DUMMYFUNCTION("""COMPUTED_VALUE"""),"Sin costo")</f>
        <v>Sin costo</v>
      </c>
      <c r="AI562" s="30"/>
      <c r="AJ562" s="30"/>
      <c r="AK562" s="30"/>
      <c r="AL562" s="30" t="str">
        <f ca="1">IFERROR(__xludf.DUMMYFUNCTION("""COMPUTED_VALUE"""),"ccardonav@guanajuato.gob.mx")</f>
        <v>ccardonav@guanajuato.gob.mx</v>
      </c>
      <c r="AM562" s="30" t="str">
        <f ca="1">IFERROR(__xludf.DUMMYFUNCTION("""COMPUTED_VALUE"""),"Arraigo y empoderamiento cultural de comunidades.")</f>
        <v>Arraigo y empoderamiento cultural de comunidades.</v>
      </c>
      <c r="AN562" s="30" t="str">
        <f ca="1">IFERROR(__xludf.DUMMYFUNCTION("""COMPUTED_VALUE"""),"2 Igualdad")</f>
        <v>2 Igualdad</v>
      </c>
      <c r="AO562" s="30" t="str">
        <f ca="1">IFERROR(__xludf.DUMMYFUNCTION("""COMPUTED_VALUE"""),"2.4 Reducir brechas de desigualdad")</f>
        <v>2.4 Reducir brechas de desigualdad</v>
      </c>
      <c r="AP562" s="30" t="str">
        <f ca="1">IFERROR(__xludf.DUMMYFUNCTION("""COMPUTED_VALUE"""),"2.4.3 Descentralización de la oferta cultural")</f>
        <v>2.4.3 Descentralización de la oferta cultural</v>
      </c>
      <c r="AQ562" s="30" t="str">
        <f ca="1">IFERROR(__xludf.DUMMYFUNCTION("""COMPUTED_VALUE"""),"2.4.3.3 Incidir en el involucramiento de las personas con el ecosistema cultural")</f>
        <v>2.4.3.3 Incidir en el involucramiento de las personas con el ecosistema cultural</v>
      </c>
      <c r="AR562" s="30" t="str">
        <f ca="1">IFERROR(__xludf.DUMMYFUNCTION("""COMPUTED_VALUE"""),"Cooperación")</f>
        <v>Cooperación</v>
      </c>
      <c r="AS562" s="30"/>
      <c r="AT562" s="30" t="str">
        <f ca="1">IFERROR(__xludf.DUMMYFUNCTION("""COMPUTED_VALUE"""),"Fortalecimiento de la participación ciudadana y la mediación cultural")</f>
        <v>Fortalecimiento de la participación ciudadana y la mediación cultural</v>
      </c>
      <c r="AU562" s="30" t="str">
        <f ca="1">IFERROR(__xludf.DUMMYFUNCTION("""COMPUTED_VALUE"""),"Impulso a la ampliación de la oferta cultural en los territorios.")</f>
        <v>Impulso a la ampliación de la oferta cultural en los territorios.</v>
      </c>
      <c r="AV56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2" s="30" t="str">
        <f ca="1">IFERROR(__xludf.DUMMYFUNCTION("""COMPUTED_VALUE"""),"Incrementar en 25% la oferta cultural realizada en los municipios.")</f>
        <v>Incrementar en 25% la oferta cultural realizada en los municipios.</v>
      </c>
      <c r="AX562" s="30" t="str">
        <f ca="1">IFERROR(__xludf.DUMMYFUNCTION("""COMPUTED_VALUE"""),"Visitas guiadas")</f>
        <v>Visitas guiadas</v>
      </c>
      <c r="AY562" s="30" t="str">
        <f ca="1">IFERROR(__xludf.DUMMYFUNCTION("""COMPUTED_VALUE"""),"Mediación")</f>
        <v>Mediación</v>
      </c>
      <c r="AZ562" s="30"/>
      <c r="BA562" s="30"/>
      <c r="BB562" s="30"/>
      <c r="BC562" s="30">
        <f ca="1">IFERROR(__xludf.DUMMYFUNCTION("""COMPUTED_VALUE"""),0)</f>
        <v>0</v>
      </c>
      <c r="BD562" s="30"/>
      <c r="BE562" s="30"/>
      <c r="BF562" s="30" t="b">
        <f ca="1">IFERROR(__xludf.DUMMYFUNCTION("""COMPUTED_VALUE"""),FALSE)</f>
        <v>0</v>
      </c>
      <c r="BG562" s="30"/>
      <c r="BH562" s="30"/>
      <c r="BI562" s="30"/>
      <c r="BJ562" s="30"/>
      <c r="BK562" s="30"/>
      <c r="BL562" s="30"/>
      <c r="BM562" s="30" t="str">
        <f ca="1">IFERROR(__xludf.DUMMYFUNCTION("""COMPUTED_VALUE"""),"No")</f>
        <v>No</v>
      </c>
      <c r="BN562" s="30"/>
      <c r="BO562" s="30" t="str">
        <f ca="1">IFERROR(__xludf.DUMMYFUNCTION("""COMPUTED_VALUE"""),"d76aa026")</f>
        <v>d76aa026</v>
      </c>
      <c r="BP562" s="29" t="str">
        <f ca="1">IFERROR(__xludf.DUMMYFUNCTION("""COMPUTED_VALUE"""),"León")</f>
        <v>León</v>
      </c>
      <c r="BQ562" s="30" t="str">
        <f ca="1">IFERROR(__xludf.DUMMYFUNCTION("""COMPUTED_VALUE"""),"Urbano")</f>
        <v>Urbano</v>
      </c>
      <c r="BR562" s="30"/>
      <c r="BS562" s="30"/>
      <c r="BT562" s="30"/>
      <c r="BU562" s="30" t="str">
        <f ca="1">IFERROR(__xludf.DUMMYFUNCTION("""COMPUTED_VALUE"""),"No")</f>
        <v>No</v>
      </c>
      <c r="BV562" s="30" t="str">
        <f ca="1">IFERROR(__xludf.DUMMYFUNCTION("""COMPUTED_VALUE"""),"No")</f>
        <v>No</v>
      </c>
      <c r="BW562" s="30">
        <f ca="1">IFERROR(__xludf.DUMMYFUNCTION("""COMPUTED_VALUE"""),10)</f>
        <v>10</v>
      </c>
      <c r="BX562" s="30"/>
      <c r="BY562" s="30">
        <f ca="1">IFERROR(__xludf.DUMMYFUNCTION("""COMPUTED_VALUE"""),10)</f>
        <v>10</v>
      </c>
      <c r="BZ562" s="30"/>
      <c r="CA562" s="30" t="str">
        <f ca="1">IFERROR(__xludf.DUMMYFUNCTION("""COMPUTED_VALUE"""),"No")</f>
        <v>No</v>
      </c>
      <c r="CB562" s="30" t="str">
        <f ca="1">IFERROR(__xludf.DUMMYFUNCTION("""COMPUTED_VALUE"""),"No")</f>
        <v>No</v>
      </c>
      <c r="CC562" s="30" t="str">
        <f ca="1">IFERROR(__xludf.DUMMYFUNCTION("""COMPUTED_VALUE"""),"a653caef")</f>
        <v>a653caef</v>
      </c>
      <c r="CD562" s="29" t="str">
        <f ca="1">IFERROR(__xludf.DUMMYFUNCTION("""COMPUTED_VALUE"""),"Jóvenes (18 a 29 años)")</f>
        <v>Jóvenes (18 a 29 años)</v>
      </c>
      <c r="CE562" s="30" t="str">
        <f ca="1">IFERROR(__xludf.DUMMYFUNCTION("""COMPUTED_VALUE"""),"No se cuenta con el dato")</f>
        <v>No se cuenta con el dato</v>
      </c>
      <c r="CF562" s="30" t="str">
        <f ca="1">IFERROR(__xludf.DUMMYFUNCTION("""COMPUTED_VALUE"""),"Ninguno (Población General)")</f>
        <v>Ninguno (Población General)</v>
      </c>
      <c r="CG562" s="30">
        <f ca="1">IFERROR(__xludf.DUMMYFUNCTION("""COMPUTED_VALUE"""),8212)</f>
        <v>8212</v>
      </c>
      <c r="CJ562" s="29"/>
      <c r="CM562" s="30" t="str">
        <f ca="1">IFERROR(__xludf.DUMMYFUNCTION("""COMPUTED_VALUE"""),"León")</f>
        <v>León</v>
      </c>
      <c r="CN562" s="32" t="e">
        <f ca="1"/>
        <v>#NAME?</v>
      </c>
      <c r="CO562" s="32" t="e">
        <f ca="1"/>
        <v>#NAME?</v>
      </c>
      <c r="CP562" s="32" t="e">
        <f ca="1"/>
        <v>#NAME?</v>
      </c>
      <c r="CQ562" s="32" t="e">
        <f ca="1"/>
        <v>#NAME?</v>
      </c>
      <c r="CR562" s="30" t="e">
        <f ca="1"/>
        <v>#NAME?</v>
      </c>
      <c r="CS562" s="30" t="str">
        <f ca="1">IFERROR(__xludf.DUMMYFUNCTION("""COMPUTED_VALUE"""),"Ninguno (Población General)")</f>
        <v>Ninguno (Población General)</v>
      </c>
    </row>
    <row r="563" spans="1:97" ht="13">
      <c r="A563" s="29" t="str">
        <f ca="1">IFERROR(__xludf.DUMMYFUNCTION("""COMPUTED_VALUE"""),"ACT-SCCS60210")</f>
        <v>ACT-SCCS60210</v>
      </c>
      <c r="B563" s="30" t="str">
        <f ca="1">IFERROR(__xludf.DUMMYFUNCTION("""COMPUTED_VALUE"""),"SC-261014-144306")</f>
        <v>SC-261014-144306</v>
      </c>
      <c r="C563" s="62">
        <f ca="1">IFERROR(__xludf.DUMMYFUNCTION("""COMPUTED_VALUE"""),46309.6132638888)</f>
        <v>46309.613263888801</v>
      </c>
      <c r="D563" s="30">
        <f ca="1">IFERROR(__xludf.DUMMYFUNCTION("""COMPUTED_VALUE"""),92)</f>
        <v>92</v>
      </c>
      <c r="E563" s="30" t="str">
        <f ca="1">IFERROR(__xludf.DUMMYFUNCTION("""COMPUTED_VALUE"""),"PB3572")</f>
        <v>PB3572</v>
      </c>
      <c r="F56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3" s="30" t="str">
        <f ca="1">IFERROR(__xludf.DUMMYFUNCTION("""COMPUTED_VALUE"""),"SUBSECRETARÍA DE DESARROLLO Y PROMOCIÓN ARTÍSTICA Y CULTURAL")</f>
        <v>SUBSECRETARÍA DE DESARROLLO Y PROMOCIÓN ARTÍSTICA Y CULTURAL</v>
      </c>
      <c r="I563" s="34" t="str">
        <f ca="1">IFERROR(__xludf.DUMMYFUNCTION("""COMPUTED_VALUE"""),"DIRECCIÓN GENERAL DE MUSEOS, ARTES VISUALES Y EXPOSICIONES")</f>
        <v>DIRECCIÓN GENERAL DE MUSEOS, ARTES VISUALES Y EXPOSICIONES</v>
      </c>
      <c r="J563" s="30" t="str">
        <f ca="1">IFERROR(__xludf.DUMMYFUNCTION("""COMPUTED_VALUE"""),"Número de Actividades realizadas")</f>
        <v>Número de Actividades realizadas</v>
      </c>
      <c r="K563" s="30">
        <f ca="1">IFERROR(__xludf.DUMMYFUNCTION("""COMPUTED_VALUE"""),800)</f>
        <v>800</v>
      </c>
      <c r="L563" s="30" t="str">
        <f ca="1">IFERROR(__xludf.DUMMYFUNCTION("""COMPUTED_VALUE"""),"Cultural")</f>
        <v>Cultural</v>
      </c>
      <c r="M563" s="30" t="str">
        <f ca="1">IFERROR(__xludf.DUMMYFUNCTION("""COMPUTED_VALUE"""),"Visita Escolar ""CETIS 21""")</f>
        <v>Visita Escolar "CETIS 21"</v>
      </c>
      <c r="N563" s="30" t="str">
        <f ca="1">IFERROR(__xludf.DUMMYFUNCTION("""COMPUTED_VALUE"""),"Recorrido guiado por el museo")</f>
        <v>Recorrido guiado por el museo</v>
      </c>
      <c r="O563" s="30" t="str">
        <f ca="1">IFERROR(__xludf.DUMMYFUNCTION("""COMPUTED_VALUE"""),"Única")</f>
        <v>Única</v>
      </c>
      <c r="P563" s="33">
        <f ca="1">IFERROR(__xludf.DUMMYFUNCTION("""COMPUTED_VALUE"""),46294)</f>
        <v>46294</v>
      </c>
      <c r="Q563" s="33">
        <f ca="1">IFERROR(__xludf.DUMMYFUNCTION("""COMPUTED_VALUE"""),46294)</f>
        <v>46294</v>
      </c>
      <c r="R563" s="30">
        <f ca="1">IFERROR(__xludf.DUMMYFUNCTION("""COMPUTED_VALUE"""),1)</f>
        <v>1</v>
      </c>
      <c r="S563" s="30" t="str">
        <f ca="1">IFERROR(__xludf.DUMMYFUNCTION("""COMPUTED_VALUE"""),"Cultura comunitaria")</f>
        <v>Cultura comunitaria</v>
      </c>
      <c r="T563" s="30" t="str">
        <f ca="1">IFERROR(__xludf.DUMMYFUNCTION("""COMPUTED_VALUE"""),"Mediación cultural")</f>
        <v>Mediación cultural</v>
      </c>
      <c r="U563" s="30" t="str">
        <f ca="1">IFERROR(__xludf.DUMMYFUNCTION("""COMPUTED_VALUE"""),"Visitas escolares")</f>
        <v>Visitas escolares</v>
      </c>
      <c r="V563" s="30" t="str">
        <f ca="1">IFERROR(__xludf.DUMMYFUNCTION("""COMPUTED_VALUE"""),"Ninguna")</f>
        <v>Ninguna</v>
      </c>
      <c r="W563" s="30" t="str">
        <f ca="1">IFERROR(__xludf.DUMMYFUNCTION("""COMPUTED_VALUE"""),"Presencial")</f>
        <v>Presencial</v>
      </c>
      <c r="X563" s="30" t="str">
        <f ca="1">IFERROR(__xludf.DUMMYFUNCTION("""COMPUTED_VALUE"""),"Espacio a Cargo de la Secretaría")</f>
        <v>Espacio a Cargo de la Secretaría</v>
      </c>
      <c r="Y563" s="30" t="str">
        <f ca="1">IFERROR(__xludf.DUMMYFUNCTION("""COMPUTED_VALUE"""),"Museo de Arte e Historia de Guanajuato, sala Feliciano Peña")</f>
        <v>Museo de Arte e Historia de Guanajuato, sala Feliciano Peña</v>
      </c>
      <c r="Z563" s="30"/>
      <c r="AA563" s="30"/>
      <c r="AB563" s="30" t="b">
        <f ca="1">IFERROR(__xludf.DUMMYFUNCTION("""COMPUTED_VALUE"""),FALSE)</f>
        <v>0</v>
      </c>
      <c r="AC563" s="30"/>
      <c r="AD563" s="30" t="b">
        <f ca="1">IFERROR(__xludf.DUMMYFUNCTION("""COMPUTED_VALUE"""),FALSE)</f>
        <v>0</v>
      </c>
      <c r="AE563" s="30"/>
      <c r="AF563" s="30" t="b">
        <f ca="1">IFERROR(__xludf.DUMMYFUNCTION("""COMPUTED_VALUE"""),FALSE)</f>
        <v>0</v>
      </c>
      <c r="AG563" s="30"/>
      <c r="AH563" s="30" t="str">
        <f ca="1">IFERROR(__xludf.DUMMYFUNCTION("""COMPUTED_VALUE"""),"Sin costo")</f>
        <v>Sin costo</v>
      </c>
      <c r="AI563" s="30"/>
      <c r="AJ563" s="30"/>
      <c r="AK563" s="30"/>
      <c r="AL563" s="30" t="str">
        <f ca="1">IFERROR(__xludf.DUMMYFUNCTION("""COMPUTED_VALUE"""),"ccardonav@guanajuato.gob.mx")</f>
        <v>ccardonav@guanajuato.gob.mx</v>
      </c>
      <c r="AM563" s="30" t="str">
        <f ca="1">IFERROR(__xludf.DUMMYFUNCTION("""COMPUTED_VALUE"""),"Arraigo y empoderamiento cultural de comunidades.")</f>
        <v>Arraigo y empoderamiento cultural de comunidades.</v>
      </c>
      <c r="AN563" s="30" t="str">
        <f ca="1">IFERROR(__xludf.DUMMYFUNCTION("""COMPUTED_VALUE"""),"2 Igualdad")</f>
        <v>2 Igualdad</v>
      </c>
      <c r="AO563" s="30" t="str">
        <f ca="1">IFERROR(__xludf.DUMMYFUNCTION("""COMPUTED_VALUE"""),"2.4 Reducir brechas de desigualdad")</f>
        <v>2.4 Reducir brechas de desigualdad</v>
      </c>
      <c r="AP563" s="30" t="str">
        <f ca="1">IFERROR(__xludf.DUMMYFUNCTION("""COMPUTED_VALUE"""),"2.4.3 Descentralización de la oferta cultural")</f>
        <v>2.4.3 Descentralización de la oferta cultural</v>
      </c>
      <c r="AQ563" s="30" t="str">
        <f ca="1">IFERROR(__xludf.DUMMYFUNCTION("""COMPUTED_VALUE"""),"2.4.3.3 Incidir en el involucramiento de las personas con el ecosistema cultural")</f>
        <v>2.4.3.3 Incidir en el involucramiento de las personas con el ecosistema cultural</v>
      </c>
      <c r="AR563" s="30" t="str">
        <f ca="1">IFERROR(__xludf.DUMMYFUNCTION("""COMPUTED_VALUE"""),"Cooperación")</f>
        <v>Cooperación</v>
      </c>
      <c r="AS563" s="30"/>
      <c r="AT563" s="30" t="str">
        <f ca="1">IFERROR(__xludf.DUMMYFUNCTION("""COMPUTED_VALUE"""),"Fortalecimiento de la participación ciudadana y la mediación cultural")</f>
        <v>Fortalecimiento de la participación ciudadana y la mediación cultural</v>
      </c>
      <c r="AU563" s="30" t="str">
        <f ca="1">IFERROR(__xludf.DUMMYFUNCTION("""COMPUTED_VALUE"""),"Impulso a la ampliación de la oferta cultural en los territorios.")</f>
        <v>Impulso a la ampliación de la oferta cultural en los territorios.</v>
      </c>
      <c r="AV56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3" s="30" t="str">
        <f ca="1">IFERROR(__xludf.DUMMYFUNCTION("""COMPUTED_VALUE"""),"Incrementar en 25% la oferta cultural realizada en los municipios.")</f>
        <v>Incrementar en 25% la oferta cultural realizada en los municipios.</v>
      </c>
      <c r="AX563" s="30" t="str">
        <f ca="1">IFERROR(__xludf.DUMMYFUNCTION("""COMPUTED_VALUE"""),"Visitas escolares")</f>
        <v>Visitas escolares</v>
      </c>
      <c r="AY563" s="30" t="str">
        <f ca="1">IFERROR(__xludf.DUMMYFUNCTION("""COMPUTED_VALUE"""),"Mediación")</f>
        <v>Mediación</v>
      </c>
      <c r="AZ563" s="30"/>
      <c r="BA563" s="30"/>
      <c r="BB563" s="30"/>
      <c r="BC563" s="30">
        <f ca="1">IFERROR(__xludf.DUMMYFUNCTION("""COMPUTED_VALUE"""),0)</f>
        <v>0</v>
      </c>
      <c r="BD563" s="30"/>
      <c r="BE563" s="30"/>
      <c r="BF563" s="30" t="b">
        <f ca="1">IFERROR(__xludf.DUMMYFUNCTION("""COMPUTED_VALUE"""),FALSE)</f>
        <v>0</v>
      </c>
      <c r="BG563" s="30"/>
      <c r="BH563" s="30"/>
      <c r="BI563" s="30"/>
      <c r="BJ563" s="30"/>
      <c r="BK563" s="30"/>
      <c r="BL563" s="30"/>
      <c r="BM563" s="30" t="str">
        <f ca="1">IFERROR(__xludf.DUMMYFUNCTION("""COMPUTED_VALUE"""),"No")</f>
        <v>No</v>
      </c>
      <c r="BN563" s="30"/>
      <c r="BO563" s="30" t="str">
        <f ca="1">IFERROR(__xludf.DUMMYFUNCTION("""COMPUTED_VALUE"""),"d097d9aa")</f>
        <v>d097d9aa</v>
      </c>
      <c r="BP563" s="29" t="str">
        <f ca="1">IFERROR(__xludf.DUMMYFUNCTION("""COMPUTED_VALUE"""),"León")</f>
        <v>León</v>
      </c>
      <c r="BQ563" s="30" t="str">
        <f ca="1">IFERROR(__xludf.DUMMYFUNCTION("""COMPUTED_VALUE"""),"Urbano")</f>
        <v>Urbano</v>
      </c>
      <c r="BR563" s="30"/>
      <c r="BS563" s="30"/>
      <c r="BT563" s="30"/>
      <c r="BU563" s="30" t="str">
        <f ca="1">IFERROR(__xludf.DUMMYFUNCTION("""COMPUTED_VALUE"""),"No")</f>
        <v>No</v>
      </c>
      <c r="BV563" s="30" t="str">
        <f ca="1">IFERROR(__xludf.DUMMYFUNCTION("""COMPUTED_VALUE"""),"No")</f>
        <v>No</v>
      </c>
      <c r="BW563" s="30">
        <f ca="1">IFERROR(__xludf.DUMMYFUNCTION("""COMPUTED_VALUE"""),27)</f>
        <v>27</v>
      </c>
      <c r="BX563" s="30"/>
      <c r="BY563" s="30">
        <f ca="1">IFERROR(__xludf.DUMMYFUNCTION("""COMPUTED_VALUE"""),27)</f>
        <v>27</v>
      </c>
      <c r="BZ563" s="30"/>
      <c r="CA563" s="30" t="str">
        <f ca="1">IFERROR(__xludf.DUMMYFUNCTION("""COMPUTED_VALUE"""),"No")</f>
        <v>No</v>
      </c>
      <c r="CB563" s="30" t="str">
        <f ca="1">IFERROR(__xludf.DUMMYFUNCTION("""COMPUTED_VALUE"""),"No")</f>
        <v>No</v>
      </c>
      <c r="CC563" s="30" t="str">
        <f ca="1">IFERROR(__xludf.DUMMYFUNCTION("""COMPUTED_VALUE"""),"ae77f995")</f>
        <v>ae77f995</v>
      </c>
      <c r="CD563" s="29" t="str">
        <f ca="1">IFERROR(__xludf.DUMMYFUNCTION("""COMPUTED_VALUE"""),"Adultos (30 a 59 años)")</f>
        <v>Adultos (30 a 59 años)</v>
      </c>
      <c r="CE563" s="30" t="str">
        <f ca="1">IFERROR(__xludf.DUMMYFUNCTION("""COMPUTED_VALUE"""),"No se cuenta con el dato")</f>
        <v>No se cuenta con el dato</v>
      </c>
      <c r="CF563" s="30" t="str">
        <f ca="1">IFERROR(__xludf.DUMMYFUNCTION("""COMPUTED_VALUE"""),"Ninguno (Población General)")</f>
        <v>Ninguno (Población General)</v>
      </c>
      <c r="CG563" s="30">
        <f ca="1">IFERROR(__xludf.DUMMYFUNCTION("""COMPUTED_VALUE"""),2769)</f>
        <v>2769</v>
      </c>
      <c r="CJ563" s="29"/>
      <c r="CM563" s="30" t="str">
        <f ca="1">IFERROR(__xludf.DUMMYFUNCTION("""COMPUTED_VALUE"""),"León")</f>
        <v>León</v>
      </c>
      <c r="CN563" s="32" t="e">
        <f ca="1"/>
        <v>#NAME?</v>
      </c>
      <c r="CO563" s="32" t="e">
        <f ca="1"/>
        <v>#NAME?</v>
      </c>
      <c r="CP563" s="32" t="e">
        <f ca="1"/>
        <v>#NAME?</v>
      </c>
      <c r="CQ563" s="32" t="e">
        <f ca="1"/>
        <v>#NAME?</v>
      </c>
      <c r="CR563" s="30" t="e">
        <f ca="1"/>
        <v>#NAME?</v>
      </c>
      <c r="CS563" s="30" t="str">
        <f ca="1">IFERROR(__xludf.DUMMYFUNCTION("""COMPUTED_VALUE"""),"Ninguno (Población General)")</f>
        <v>Ninguno (Población General)</v>
      </c>
    </row>
    <row r="564" spans="1:97" ht="13">
      <c r="A564" s="29" t="str">
        <f ca="1">IFERROR(__xludf.DUMMYFUNCTION("""COMPUTED_VALUE"""),"ACT-SCTO13032")</f>
        <v>ACT-SCTO13032</v>
      </c>
      <c r="B564" s="30" t="str">
        <f ca="1">IFERROR(__xludf.DUMMYFUNCTION("""COMPUTED_VALUE"""),"SC-261014-144616")</f>
        <v>SC-261014-144616</v>
      </c>
      <c r="C564" s="62">
        <f ca="1">IFERROR(__xludf.DUMMYFUNCTION("""COMPUTED_VALUE"""),46309.6154629629)</f>
        <v>46309.615462962902</v>
      </c>
      <c r="D564" s="30">
        <f ca="1">IFERROR(__xludf.DUMMYFUNCTION("""COMPUTED_VALUE"""),92)</f>
        <v>92</v>
      </c>
      <c r="E564" s="30" t="str">
        <f ca="1">IFERROR(__xludf.DUMMYFUNCTION("""COMPUTED_VALUE"""),"PB3572")</f>
        <v>PB3572</v>
      </c>
      <c r="F56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4" s="30" t="str">
        <f ca="1">IFERROR(__xludf.DUMMYFUNCTION("""COMPUTED_VALUE"""),"SUBSECRETARÍA DE DESARROLLO Y PROMOCIÓN ARTÍSTICA Y CULTURAL")</f>
        <v>SUBSECRETARÍA DE DESARROLLO Y PROMOCIÓN ARTÍSTICA Y CULTURAL</v>
      </c>
      <c r="I564" s="34" t="str">
        <f ca="1">IFERROR(__xludf.DUMMYFUNCTION("""COMPUTED_VALUE"""),"DIRECCIÓN GENERAL DE MUSEOS, ARTES VISUALES Y EXPOSICIONES")</f>
        <v>DIRECCIÓN GENERAL DE MUSEOS, ARTES VISUALES Y EXPOSICIONES</v>
      </c>
      <c r="J564" s="30" t="str">
        <f ca="1">IFERROR(__xludf.DUMMYFUNCTION("""COMPUTED_VALUE"""),"Número de Actividades realizadas")</f>
        <v>Número de Actividades realizadas</v>
      </c>
      <c r="K564" s="30">
        <f ca="1">IFERROR(__xludf.DUMMYFUNCTION("""COMPUTED_VALUE"""),800)</f>
        <v>800</v>
      </c>
      <c r="L564" s="30" t="str">
        <f ca="1">IFERROR(__xludf.DUMMYFUNCTION("""COMPUTED_VALUE"""),"Cultural")</f>
        <v>Cultural</v>
      </c>
      <c r="M564" s="30" t="str">
        <f ca="1">IFERROR(__xludf.DUMMYFUNCTION("""COMPUTED_VALUE"""),"Visita ""Universidad La Salle""")</f>
        <v>Visita "Universidad La Salle"</v>
      </c>
      <c r="N564" s="30" t="str">
        <f ca="1">IFERROR(__xludf.DUMMYFUNCTION("""COMPUTED_VALUE"""),"Recorrido guiado por el museo")</f>
        <v>Recorrido guiado por el museo</v>
      </c>
      <c r="O564" s="30" t="str">
        <f ca="1">IFERROR(__xludf.DUMMYFUNCTION("""COMPUTED_VALUE"""),"Única")</f>
        <v>Única</v>
      </c>
      <c r="P564" s="33">
        <f ca="1">IFERROR(__xludf.DUMMYFUNCTION("""COMPUTED_VALUE"""),46295)</f>
        <v>46295</v>
      </c>
      <c r="Q564" s="33">
        <f ca="1">IFERROR(__xludf.DUMMYFUNCTION("""COMPUTED_VALUE"""),46295)</f>
        <v>46295</v>
      </c>
      <c r="R564" s="30">
        <f ca="1">IFERROR(__xludf.DUMMYFUNCTION("""COMPUTED_VALUE"""),1)</f>
        <v>1</v>
      </c>
      <c r="S564" s="30" t="str">
        <f ca="1">IFERROR(__xludf.DUMMYFUNCTION("""COMPUTED_VALUE"""),"Cultura comunitaria")</f>
        <v>Cultura comunitaria</v>
      </c>
      <c r="T564" s="30" t="str">
        <f ca="1">IFERROR(__xludf.DUMMYFUNCTION("""COMPUTED_VALUE"""),"Formación comunitaria")</f>
        <v>Formación comunitaria</v>
      </c>
      <c r="U564" s="30" t="str">
        <f ca="1">IFERROR(__xludf.DUMMYFUNCTION("""COMPUTED_VALUE"""),"Visitas escolares")</f>
        <v>Visitas escolares</v>
      </c>
      <c r="V564" s="30" t="str">
        <f ca="1">IFERROR(__xludf.DUMMYFUNCTION("""COMPUTED_VALUE"""),"Ninguna")</f>
        <v>Ninguna</v>
      </c>
      <c r="W564" s="30" t="str">
        <f ca="1">IFERROR(__xludf.DUMMYFUNCTION("""COMPUTED_VALUE"""),"Presencial")</f>
        <v>Presencial</v>
      </c>
      <c r="X564" s="30" t="str">
        <f ca="1">IFERROR(__xludf.DUMMYFUNCTION("""COMPUTED_VALUE"""),"Espacio a Cargo de la Secretaría")</f>
        <v>Espacio a Cargo de la Secretaría</v>
      </c>
      <c r="Y564" s="30" t="str">
        <f ca="1">IFERROR(__xludf.DUMMYFUNCTION("""COMPUTED_VALUE"""),"Museo de Arte e Historia de Guanajuato, sala Feliciano Peña")</f>
        <v>Museo de Arte e Historia de Guanajuato, sala Feliciano Peña</v>
      </c>
      <c r="Z564" s="30"/>
      <c r="AA564" s="30"/>
      <c r="AB564" s="30" t="b">
        <f ca="1">IFERROR(__xludf.DUMMYFUNCTION("""COMPUTED_VALUE"""),FALSE)</f>
        <v>0</v>
      </c>
      <c r="AC564" s="30"/>
      <c r="AD564" s="30" t="b">
        <f ca="1">IFERROR(__xludf.DUMMYFUNCTION("""COMPUTED_VALUE"""),FALSE)</f>
        <v>0</v>
      </c>
      <c r="AE564" s="30"/>
      <c r="AF564" s="30" t="b">
        <f ca="1">IFERROR(__xludf.DUMMYFUNCTION("""COMPUTED_VALUE"""),FALSE)</f>
        <v>0</v>
      </c>
      <c r="AG564" s="30"/>
      <c r="AH564" s="30" t="str">
        <f ca="1">IFERROR(__xludf.DUMMYFUNCTION("""COMPUTED_VALUE"""),"Sin costo")</f>
        <v>Sin costo</v>
      </c>
      <c r="AI564" s="30"/>
      <c r="AJ564" s="30"/>
      <c r="AK564" s="30"/>
      <c r="AL564" s="30" t="str">
        <f ca="1">IFERROR(__xludf.DUMMYFUNCTION("""COMPUTED_VALUE"""),"ccardonav@guanajuato.gob.mx")</f>
        <v>ccardonav@guanajuato.gob.mx</v>
      </c>
      <c r="AM564" s="30" t="str">
        <f ca="1">IFERROR(__xludf.DUMMYFUNCTION("""COMPUTED_VALUE"""),"Arraigo y empoderamiento cultural de comunidades.")</f>
        <v>Arraigo y empoderamiento cultural de comunidades.</v>
      </c>
      <c r="AN564" s="30" t="str">
        <f ca="1">IFERROR(__xludf.DUMMYFUNCTION("""COMPUTED_VALUE"""),"2 Igualdad")</f>
        <v>2 Igualdad</v>
      </c>
      <c r="AO564" s="30" t="str">
        <f ca="1">IFERROR(__xludf.DUMMYFUNCTION("""COMPUTED_VALUE"""),"2.4 Reducir brechas de desigualdad")</f>
        <v>2.4 Reducir brechas de desigualdad</v>
      </c>
      <c r="AP564" s="30" t="str">
        <f ca="1">IFERROR(__xludf.DUMMYFUNCTION("""COMPUTED_VALUE"""),"2.4.3 Descentralización de la oferta cultural")</f>
        <v>2.4.3 Descentralización de la oferta cultural</v>
      </c>
      <c r="AQ564" s="30" t="str">
        <f ca="1">IFERROR(__xludf.DUMMYFUNCTION("""COMPUTED_VALUE"""),"2.4.3.3 Incidir en el involucramiento de las personas con el ecosistema cultural")</f>
        <v>2.4.3.3 Incidir en el involucramiento de las personas con el ecosistema cultural</v>
      </c>
      <c r="AR564" s="30" t="str">
        <f ca="1">IFERROR(__xludf.DUMMYFUNCTION("""COMPUTED_VALUE"""),"Cooperación")</f>
        <v>Cooperación</v>
      </c>
      <c r="AS564" s="30"/>
      <c r="AT564" s="30" t="str">
        <f ca="1">IFERROR(__xludf.DUMMYFUNCTION("""COMPUTED_VALUE"""),"Fortalecimiento de la participación ciudadana y la mediación cultural")</f>
        <v>Fortalecimiento de la participación ciudadana y la mediación cultural</v>
      </c>
      <c r="AU564" s="30" t="str">
        <f ca="1">IFERROR(__xludf.DUMMYFUNCTION("""COMPUTED_VALUE"""),"Impulso a la ampliación de la oferta cultural en los territorios.")</f>
        <v>Impulso a la ampliación de la oferta cultural en los territorios.</v>
      </c>
      <c r="AV56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4" s="30" t="str">
        <f ca="1">IFERROR(__xludf.DUMMYFUNCTION("""COMPUTED_VALUE"""),"Incrementar en 25% la oferta cultural realizada en los municipios.")</f>
        <v>Incrementar en 25% la oferta cultural realizada en los municipios.</v>
      </c>
      <c r="AX564" s="30" t="str">
        <f ca="1">IFERROR(__xludf.DUMMYFUNCTION("""COMPUTED_VALUE"""),"Visitas escolares")</f>
        <v>Visitas escolares</v>
      </c>
      <c r="AY564" s="30" t="str">
        <f ca="1">IFERROR(__xludf.DUMMYFUNCTION("""COMPUTED_VALUE"""),"Mediación")</f>
        <v>Mediación</v>
      </c>
      <c r="AZ564" s="30"/>
      <c r="BA564" s="30"/>
      <c r="BB564" s="30"/>
      <c r="BC564" s="30">
        <f ca="1">IFERROR(__xludf.DUMMYFUNCTION("""COMPUTED_VALUE"""),0)</f>
        <v>0</v>
      </c>
      <c r="BD564" s="30"/>
      <c r="BE564" s="30"/>
      <c r="BF564" s="30" t="b">
        <f ca="1">IFERROR(__xludf.DUMMYFUNCTION("""COMPUTED_VALUE"""),FALSE)</f>
        <v>0</v>
      </c>
      <c r="BG564" s="30"/>
      <c r="BH564" s="30"/>
      <c r="BI564" s="30"/>
      <c r="BJ564" s="30"/>
      <c r="BK564" s="30"/>
      <c r="BL564" s="30"/>
      <c r="BM564" s="30" t="str">
        <f ca="1">IFERROR(__xludf.DUMMYFUNCTION("""COMPUTED_VALUE"""),"No")</f>
        <v>No</v>
      </c>
      <c r="BN564" s="30"/>
      <c r="BO564" s="30" t="str">
        <f ca="1">IFERROR(__xludf.DUMMYFUNCTION("""COMPUTED_VALUE"""),"a0021896")</f>
        <v>a0021896</v>
      </c>
      <c r="BP564" s="29" t="str">
        <f ca="1">IFERROR(__xludf.DUMMYFUNCTION("""COMPUTED_VALUE"""),"León")</f>
        <v>León</v>
      </c>
      <c r="BQ564" s="30" t="str">
        <f ca="1">IFERROR(__xludf.DUMMYFUNCTION("""COMPUTED_VALUE"""),"Urbano")</f>
        <v>Urbano</v>
      </c>
      <c r="BR564" s="30"/>
      <c r="BS564" s="30"/>
      <c r="BT564" s="30"/>
      <c r="BU564" s="30" t="str">
        <f ca="1">IFERROR(__xludf.DUMMYFUNCTION("""COMPUTED_VALUE"""),"No")</f>
        <v>No</v>
      </c>
      <c r="BV564" s="30" t="str">
        <f ca="1">IFERROR(__xludf.DUMMYFUNCTION("""COMPUTED_VALUE"""),"No")</f>
        <v>No</v>
      </c>
      <c r="BW564" s="30">
        <f ca="1">IFERROR(__xludf.DUMMYFUNCTION("""COMPUTED_VALUE"""),26)</f>
        <v>26</v>
      </c>
      <c r="BX564" s="30">
        <f ca="1">IFERROR(__xludf.DUMMYFUNCTION("""COMPUTED_VALUE"""),26)</f>
        <v>26</v>
      </c>
      <c r="BY564" s="30">
        <f ca="1">IFERROR(__xludf.DUMMYFUNCTION("""COMPUTED_VALUE"""),0)</f>
        <v>0</v>
      </c>
      <c r="BZ564" s="30"/>
      <c r="CA564" s="30" t="str">
        <f ca="1">IFERROR(__xludf.DUMMYFUNCTION("""COMPUTED_VALUE"""),"No")</f>
        <v>No</v>
      </c>
      <c r="CB564" s="30" t="str">
        <f ca="1">IFERROR(__xludf.DUMMYFUNCTION("""COMPUTED_VALUE"""),"No")</f>
        <v>No</v>
      </c>
      <c r="CC564" s="30" t="str">
        <f ca="1">IFERROR(__xludf.DUMMYFUNCTION("""COMPUTED_VALUE"""),"67a82961")</f>
        <v>67a82961</v>
      </c>
      <c r="CD564" s="29" t="str">
        <f ca="1">IFERROR(__xludf.DUMMYFUNCTION("""COMPUTED_VALUE"""),"Adultos Mayores (60 años o más)")</f>
        <v>Adultos Mayores (60 años o más)</v>
      </c>
      <c r="CE564" s="30" t="str">
        <f ca="1">IFERROR(__xludf.DUMMYFUNCTION("""COMPUTED_VALUE"""),"No se cuenta con el dato")</f>
        <v>No se cuenta con el dato</v>
      </c>
      <c r="CF564" s="30" t="str">
        <f ca="1">IFERROR(__xludf.DUMMYFUNCTION("""COMPUTED_VALUE"""),"Ninguno (Población General)")</f>
        <v>Ninguno (Población General)</v>
      </c>
      <c r="CG564" s="30">
        <f ca="1">IFERROR(__xludf.DUMMYFUNCTION("""COMPUTED_VALUE"""),2481)</f>
        <v>2481</v>
      </c>
      <c r="CJ564" s="29"/>
      <c r="CM564" s="30" t="str">
        <f ca="1">IFERROR(__xludf.DUMMYFUNCTION("""COMPUTED_VALUE"""),"León")</f>
        <v>León</v>
      </c>
      <c r="CN564" s="32" t="e">
        <f ca="1"/>
        <v>#NAME?</v>
      </c>
      <c r="CO564" s="32" t="e">
        <f ca="1"/>
        <v>#NAME?</v>
      </c>
      <c r="CP564" s="32" t="e">
        <f ca="1"/>
        <v>#NAME?</v>
      </c>
      <c r="CQ564" s="32" t="e">
        <f ca="1"/>
        <v>#NAME?</v>
      </c>
      <c r="CR564" s="30" t="e">
        <f ca="1"/>
        <v>#NAME?</v>
      </c>
      <c r="CS564" s="30" t="str">
        <f ca="1">IFERROR(__xludf.DUMMYFUNCTION("""COMPUTED_VALUE"""),"Ninguno (Población General)")</f>
        <v>Ninguno (Población General)</v>
      </c>
    </row>
    <row r="565" spans="1:97" ht="13">
      <c r="A565" s="29" t="str">
        <f ca="1">IFERROR(__xludf.DUMMYFUNCTION("""COMPUTED_VALUE"""),"ACT-SCBL64940")</f>
        <v>ACT-SCBL64940</v>
      </c>
      <c r="B565" s="30" t="str">
        <f ca="1">IFERROR(__xludf.DUMMYFUNCTION("""COMPUTED_VALUE"""),"SC-261014-151357")</f>
        <v>SC-261014-151357</v>
      </c>
      <c r="C565" s="62">
        <f ca="1">IFERROR(__xludf.DUMMYFUNCTION("""COMPUTED_VALUE"""),46309.6346875)</f>
        <v>46309.634687500002</v>
      </c>
      <c r="D565" s="30">
        <f ca="1">IFERROR(__xludf.DUMMYFUNCTION("""COMPUTED_VALUE"""),92)</f>
        <v>92</v>
      </c>
      <c r="E565" s="30" t="str">
        <f ca="1">IFERROR(__xludf.DUMMYFUNCTION("""COMPUTED_VALUE"""),"PB3572")</f>
        <v>PB3572</v>
      </c>
      <c r="F56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5" s="30" t="str">
        <f ca="1">IFERROR(__xludf.DUMMYFUNCTION("""COMPUTED_VALUE"""),"SUBSECRETARÍA DE DESARROLLO Y PROMOCIÓN ARTÍSTICA Y CULTURAL")</f>
        <v>SUBSECRETARÍA DE DESARROLLO Y PROMOCIÓN ARTÍSTICA Y CULTURAL</v>
      </c>
      <c r="I565" s="34" t="str">
        <f ca="1">IFERROR(__xludf.DUMMYFUNCTION("""COMPUTED_VALUE"""),"DIRECCIÓN GENERAL DE MUSEOS, ARTES VISUALES Y EXPOSICIONES")</f>
        <v>DIRECCIÓN GENERAL DE MUSEOS, ARTES VISUALES Y EXPOSICIONES</v>
      </c>
      <c r="J565" s="30" t="str">
        <f ca="1">IFERROR(__xludf.DUMMYFUNCTION("""COMPUTED_VALUE"""),"Número de Actividades realizadas")</f>
        <v>Número de Actividades realizadas</v>
      </c>
      <c r="K565" s="30">
        <f ca="1">IFERROR(__xludf.DUMMYFUNCTION("""COMPUTED_VALUE"""),800)</f>
        <v>800</v>
      </c>
      <c r="L565" s="30" t="str">
        <f ca="1">IFERROR(__xludf.DUMMYFUNCTION("""COMPUTED_VALUE"""),"Cultural")</f>
        <v>Cultural</v>
      </c>
      <c r="M565" s="30" t="str">
        <f ca="1">IFERROR(__xludf.DUMMYFUNCTION("""COMPUTED_VALUE"""),"Visita escolar ""UG""")</f>
        <v>Visita escolar "UG"</v>
      </c>
      <c r="N565" s="30" t="str">
        <f ca="1">IFERROR(__xludf.DUMMYFUNCTION("""COMPUTED_VALUE"""),"Recorrido guiado por el museo")</f>
        <v>Recorrido guiado por el museo</v>
      </c>
      <c r="O565" s="30" t="str">
        <f ca="1">IFERROR(__xludf.DUMMYFUNCTION("""COMPUTED_VALUE"""),"Única")</f>
        <v>Única</v>
      </c>
      <c r="P565" s="33">
        <f ca="1">IFERROR(__xludf.DUMMYFUNCTION("""COMPUTED_VALUE"""),46295)</f>
        <v>46295</v>
      </c>
      <c r="Q565" s="33">
        <f ca="1">IFERROR(__xludf.DUMMYFUNCTION("""COMPUTED_VALUE"""),46295)</f>
        <v>46295</v>
      </c>
      <c r="R565" s="30">
        <f ca="1">IFERROR(__xludf.DUMMYFUNCTION("""COMPUTED_VALUE"""),1)</f>
        <v>1</v>
      </c>
      <c r="S565" s="30" t="str">
        <f ca="1">IFERROR(__xludf.DUMMYFUNCTION("""COMPUTED_VALUE"""),"Cultura comunitaria")</f>
        <v>Cultura comunitaria</v>
      </c>
      <c r="T565" s="30" t="str">
        <f ca="1">IFERROR(__xludf.DUMMYFUNCTION("""COMPUTED_VALUE"""),"Formación comunitaria")</f>
        <v>Formación comunitaria</v>
      </c>
      <c r="U565" s="30" t="str">
        <f ca="1">IFERROR(__xludf.DUMMYFUNCTION("""COMPUTED_VALUE"""),"Visitas escolares")</f>
        <v>Visitas escolares</v>
      </c>
      <c r="V565" s="30" t="str">
        <f ca="1">IFERROR(__xludf.DUMMYFUNCTION("""COMPUTED_VALUE"""),"Ninguna")</f>
        <v>Ninguna</v>
      </c>
      <c r="W565" s="30" t="str">
        <f ca="1">IFERROR(__xludf.DUMMYFUNCTION("""COMPUTED_VALUE"""),"Presencial")</f>
        <v>Presencial</v>
      </c>
      <c r="X565" s="30" t="str">
        <f ca="1">IFERROR(__xludf.DUMMYFUNCTION("""COMPUTED_VALUE"""),"Espacio a Cargo de la Secretaría")</f>
        <v>Espacio a Cargo de la Secretaría</v>
      </c>
      <c r="Y565" s="30" t="str">
        <f ca="1">IFERROR(__xludf.DUMMYFUNCTION("""COMPUTED_VALUE"""),"Museo de Arte e Historia de Guanajuato, sala Feliciano Peña")</f>
        <v>Museo de Arte e Historia de Guanajuato, sala Feliciano Peña</v>
      </c>
      <c r="Z565" s="30"/>
      <c r="AA565" s="30"/>
      <c r="AB565" s="30" t="b">
        <f ca="1">IFERROR(__xludf.DUMMYFUNCTION("""COMPUTED_VALUE"""),FALSE)</f>
        <v>0</v>
      </c>
      <c r="AC565" s="30"/>
      <c r="AD565" s="30" t="b">
        <f ca="1">IFERROR(__xludf.DUMMYFUNCTION("""COMPUTED_VALUE"""),FALSE)</f>
        <v>0</v>
      </c>
      <c r="AE565" s="30"/>
      <c r="AF565" s="30" t="b">
        <f ca="1">IFERROR(__xludf.DUMMYFUNCTION("""COMPUTED_VALUE"""),FALSE)</f>
        <v>0</v>
      </c>
      <c r="AG565" s="30"/>
      <c r="AH565" s="30" t="str">
        <f ca="1">IFERROR(__xludf.DUMMYFUNCTION("""COMPUTED_VALUE"""),"Sin costo")</f>
        <v>Sin costo</v>
      </c>
      <c r="AI565" s="30"/>
      <c r="AJ565" s="30"/>
      <c r="AK565" s="30"/>
      <c r="AL565" s="30" t="str">
        <f ca="1">IFERROR(__xludf.DUMMYFUNCTION("""COMPUTED_VALUE"""),"ccardonav@guanajuato.gob.mx")</f>
        <v>ccardonav@guanajuato.gob.mx</v>
      </c>
      <c r="AM565" s="30" t="str">
        <f ca="1">IFERROR(__xludf.DUMMYFUNCTION("""COMPUTED_VALUE"""),"Arraigo y empoderamiento cultural de comunidades.")</f>
        <v>Arraigo y empoderamiento cultural de comunidades.</v>
      </c>
      <c r="AN565" s="30" t="str">
        <f ca="1">IFERROR(__xludf.DUMMYFUNCTION("""COMPUTED_VALUE"""),"2 Igualdad")</f>
        <v>2 Igualdad</v>
      </c>
      <c r="AO565" s="30" t="str">
        <f ca="1">IFERROR(__xludf.DUMMYFUNCTION("""COMPUTED_VALUE"""),"2.4 Reducir brechas de desigualdad")</f>
        <v>2.4 Reducir brechas de desigualdad</v>
      </c>
      <c r="AP565" s="30" t="str">
        <f ca="1">IFERROR(__xludf.DUMMYFUNCTION("""COMPUTED_VALUE"""),"2.4.3 Descentralización de la oferta cultural")</f>
        <v>2.4.3 Descentralización de la oferta cultural</v>
      </c>
      <c r="AQ565" s="30" t="str">
        <f ca="1">IFERROR(__xludf.DUMMYFUNCTION("""COMPUTED_VALUE"""),"2.4.3.3 Incidir en el involucramiento de las personas con el ecosistema cultural")</f>
        <v>2.4.3.3 Incidir en el involucramiento de las personas con el ecosistema cultural</v>
      </c>
      <c r="AR565" s="30" t="str">
        <f ca="1">IFERROR(__xludf.DUMMYFUNCTION("""COMPUTED_VALUE"""),"Cooperación")</f>
        <v>Cooperación</v>
      </c>
      <c r="AS565" s="30"/>
      <c r="AT565" s="30" t="str">
        <f ca="1">IFERROR(__xludf.DUMMYFUNCTION("""COMPUTED_VALUE"""),"Fortalecimiento de la participación ciudadana y la mediación cultural")</f>
        <v>Fortalecimiento de la participación ciudadana y la mediación cultural</v>
      </c>
      <c r="AU565" s="30" t="str">
        <f ca="1">IFERROR(__xludf.DUMMYFUNCTION("""COMPUTED_VALUE"""),"Impulso a la ampliación de la oferta cultural en los territorios.")</f>
        <v>Impulso a la ampliación de la oferta cultural en los territorios.</v>
      </c>
      <c r="AV56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5" s="30" t="str">
        <f ca="1">IFERROR(__xludf.DUMMYFUNCTION("""COMPUTED_VALUE"""),"Incrementar en 25% la oferta cultural realizada en los municipios.")</f>
        <v>Incrementar en 25% la oferta cultural realizada en los municipios.</v>
      </c>
      <c r="AX565" s="30" t="str">
        <f ca="1">IFERROR(__xludf.DUMMYFUNCTION("""COMPUTED_VALUE"""),"Visitas escolares")</f>
        <v>Visitas escolares</v>
      </c>
      <c r="AY565" s="30" t="str">
        <f ca="1">IFERROR(__xludf.DUMMYFUNCTION("""COMPUTED_VALUE"""),"Mediación")</f>
        <v>Mediación</v>
      </c>
      <c r="AZ565" s="30"/>
      <c r="BA565" s="30"/>
      <c r="BB565" s="30"/>
      <c r="BC565" s="30">
        <f ca="1">IFERROR(__xludf.DUMMYFUNCTION("""COMPUTED_VALUE"""),0)</f>
        <v>0</v>
      </c>
      <c r="BD565" s="30"/>
      <c r="BE565" s="30"/>
      <c r="BF565" s="30" t="b">
        <f ca="1">IFERROR(__xludf.DUMMYFUNCTION("""COMPUTED_VALUE"""),FALSE)</f>
        <v>0</v>
      </c>
      <c r="BG565" s="30"/>
      <c r="BH565" s="30"/>
      <c r="BI565" s="30"/>
      <c r="BJ565" s="30"/>
      <c r="BK565" s="30"/>
      <c r="BL565" s="30"/>
      <c r="BM565" s="30" t="str">
        <f ca="1">IFERROR(__xludf.DUMMYFUNCTION("""COMPUTED_VALUE"""),"No")</f>
        <v>No</v>
      </c>
      <c r="BN565" s="30"/>
      <c r="BO565" s="30" t="str">
        <f ca="1">IFERROR(__xludf.DUMMYFUNCTION("""COMPUTED_VALUE"""),"0b961fd4")</f>
        <v>0b961fd4</v>
      </c>
      <c r="BP565" s="29" t="str">
        <f ca="1">IFERROR(__xludf.DUMMYFUNCTION("""COMPUTED_VALUE"""),"Guanajuato")</f>
        <v>Guanajuato</v>
      </c>
      <c r="BQ565" s="30" t="str">
        <f ca="1">IFERROR(__xludf.DUMMYFUNCTION("""COMPUTED_VALUE"""),"Urbano")</f>
        <v>Urbano</v>
      </c>
      <c r="BR565" s="30"/>
      <c r="BS565" s="30"/>
      <c r="BT565" s="30"/>
      <c r="BU565" s="30" t="str">
        <f ca="1">IFERROR(__xludf.DUMMYFUNCTION("""COMPUTED_VALUE"""),"No")</f>
        <v>No</v>
      </c>
      <c r="BV565" s="30" t="str">
        <f ca="1">IFERROR(__xludf.DUMMYFUNCTION("""COMPUTED_VALUE"""),"No")</f>
        <v>No</v>
      </c>
      <c r="BW565" s="30">
        <f ca="1">IFERROR(__xludf.DUMMYFUNCTION("""COMPUTED_VALUE"""),77)</f>
        <v>77</v>
      </c>
      <c r="BX565" s="30"/>
      <c r="BY565" s="30">
        <f ca="1">IFERROR(__xludf.DUMMYFUNCTION("""COMPUTED_VALUE"""),77)</f>
        <v>77</v>
      </c>
      <c r="BZ565" s="30"/>
      <c r="CA565" s="30" t="str">
        <f ca="1">IFERROR(__xludf.DUMMYFUNCTION("""COMPUTED_VALUE"""),"No")</f>
        <v>No</v>
      </c>
      <c r="CB565" s="30" t="str">
        <f ca="1">IFERROR(__xludf.DUMMYFUNCTION("""COMPUTED_VALUE"""),"No")</f>
        <v>No</v>
      </c>
      <c r="CC565" s="30" t="str">
        <f ca="1">IFERROR(__xludf.DUMMYFUNCTION("""COMPUTED_VALUE"""),"cef97e2d")</f>
        <v>cef97e2d</v>
      </c>
      <c r="CD565" s="29" t="str">
        <f ca="1">IFERROR(__xludf.DUMMYFUNCTION("""COMPUTED_VALUE"""),"Niñas y Niños (6 a 12 años)")</f>
        <v>Niñas y Niños (6 a 12 años)</v>
      </c>
      <c r="CE565" s="30" t="str">
        <f ca="1">IFERROR(__xludf.DUMMYFUNCTION("""COMPUTED_VALUE"""),"No se cuenta con el dato")</f>
        <v>No se cuenta con el dato</v>
      </c>
      <c r="CF565" s="30" t="str">
        <f ca="1">IFERROR(__xludf.DUMMYFUNCTION("""COMPUTED_VALUE"""),"Ninguno (Población General)")</f>
        <v>Ninguno (Población General)</v>
      </c>
      <c r="CG565" s="30">
        <f ca="1">IFERROR(__xludf.DUMMYFUNCTION("""COMPUTED_VALUE"""),11)</f>
        <v>11</v>
      </c>
      <c r="CJ565" s="29"/>
      <c r="CM565" s="30" t="str">
        <f ca="1">IFERROR(__xludf.DUMMYFUNCTION("""COMPUTED_VALUE"""),"León")</f>
        <v>León</v>
      </c>
      <c r="CN565" s="32" t="e">
        <f ca="1"/>
        <v>#NAME?</v>
      </c>
      <c r="CO565" s="32" t="e">
        <f ca="1"/>
        <v>#NAME?</v>
      </c>
      <c r="CP565" s="32" t="e">
        <f ca="1"/>
        <v>#NAME?</v>
      </c>
      <c r="CQ565" s="32" t="e">
        <f ca="1"/>
        <v>#NAME?</v>
      </c>
      <c r="CR565" s="30" t="e">
        <f ca="1"/>
        <v>#NAME?</v>
      </c>
      <c r="CS565" s="30" t="str">
        <f ca="1">IFERROR(__xludf.DUMMYFUNCTION("""COMPUTED_VALUE"""),"Ninguno (Población General), Ninguno (Población General)")</f>
        <v>Ninguno (Población General), Ninguno (Población General)</v>
      </c>
    </row>
    <row r="566" spans="1:97" ht="13">
      <c r="A566" s="29" t="str">
        <f ca="1">IFERROR(__xludf.DUMMYFUNCTION("""COMPUTED_VALUE"""),"ACT-SCVB22709")</f>
        <v>ACT-SCVB22709</v>
      </c>
      <c r="B566" s="30" t="str">
        <f ca="1">IFERROR(__xludf.DUMMYFUNCTION("""COMPUTED_VALUE"""),"SC-261014-152210")</f>
        <v>SC-261014-152210</v>
      </c>
      <c r="C566" s="62">
        <f ca="1">IFERROR(__xludf.DUMMYFUNCTION("""COMPUTED_VALUE"""),46309.6403935185)</f>
        <v>46309.640393518501</v>
      </c>
      <c r="D566" s="30">
        <f ca="1">IFERROR(__xludf.DUMMYFUNCTION("""COMPUTED_VALUE"""),92)</f>
        <v>92</v>
      </c>
      <c r="E566" s="30" t="str">
        <f ca="1">IFERROR(__xludf.DUMMYFUNCTION("""COMPUTED_VALUE"""),"PB3572")</f>
        <v>PB3572</v>
      </c>
      <c r="F56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6" s="30" t="str">
        <f ca="1">IFERROR(__xludf.DUMMYFUNCTION("""COMPUTED_VALUE"""),"SUBSECRETARÍA DE DESARROLLO Y PROMOCIÓN ARTÍSTICA Y CULTURAL")</f>
        <v>SUBSECRETARÍA DE DESARROLLO Y PROMOCIÓN ARTÍSTICA Y CULTURAL</v>
      </c>
      <c r="I566" s="34" t="str">
        <f ca="1">IFERROR(__xludf.DUMMYFUNCTION("""COMPUTED_VALUE"""),"DIRECCIÓN GENERAL DE MUSEOS, ARTES VISUALES Y EXPOSICIONES")</f>
        <v>DIRECCIÓN GENERAL DE MUSEOS, ARTES VISUALES Y EXPOSICIONES</v>
      </c>
      <c r="J566" s="30" t="str">
        <f ca="1">IFERROR(__xludf.DUMMYFUNCTION("""COMPUTED_VALUE"""),"Número de Actividades realizadas")</f>
        <v>Número de Actividades realizadas</v>
      </c>
      <c r="K566" s="30">
        <f ca="1">IFERROR(__xludf.DUMMYFUNCTION("""COMPUTED_VALUE"""),800)</f>
        <v>800</v>
      </c>
      <c r="L566" s="30" t="str">
        <f ca="1">IFERROR(__xludf.DUMMYFUNCTION("""COMPUTED_VALUE"""),"Cultural")</f>
        <v>Cultural</v>
      </c>
      <c r="M566" s="30" t="str">
        <f ca="1">IFERROR(__xludf.DUMMYFUNCTION("""COMPUTED_VALUE"""),"Visita guiada UG")</f>
        <v>Visita guiada UG</v>
      </c>
      <c r="N566" s="30" t="str">
        <f ca="1">IFERROR(__xludf.DUMMYFUNCTION("""COMPUTED_VALUE"""),"Recorrido guiado por el museo")</f>
        <v>Recorrido guiado por el museo</v>
      </c>
      <c r="O566" s="30" t="str">
        <f ca="1">IFERROR(__xludf.DUMMYFUNCTION("""COMPUTED_VALUE"""),"Única")</f>
        <v>Única</v>
      </c>
      <c r="P566" s="33">
        <f ca="1">IFERROR(__xludf.DUMMYFUNCTION("""COMPUTED_VALUE"""),46295)</f>
        <v>46295</v>
      </c>
      <c r="Q566" s="33">
        <f ca="1">IFERROR(__xludf.DUMMYFUNCTION("""COMPUTED_VALUE"""),46295)</f>
        <v>46295</v>
      </c>
      <c r="R566" s="30">
        <f ca="1">IFERROR(__xludf.DUMMYFUNCTION("""COMPUTED_VALUE"""),1)</f>
        <v>1</v>
      </c>
      <c r="S566" s="30" t="str">
        <f ca="1">IFERROR(__xludf.DUMMYFUNCTION("""COMPUTED_VALUE"""),"Cultura comunitaria")</f>
        <v>Cultura comunitaria</v>
      </c>
      <c r="T566" s="30" t="str">
        <f ca="1">IFERROR(__xludf.DUMMYFUNCTION("""COMPUTED_VALUE"""),"Formación comunitaria")</f>
        <v>Formación comunitaria</v>
      </c>
      <c r="U566" s="30" t="str">
        <f ca="1">IFERROR(__xludf.DUMMYFUNCTION("""COMPUTED_VALUE"""),"Visitas escolares")</f>
        <v>Visitas escolares</v>
      </c>
      <c r="V566" s="30" t="str">
        <f ca="1">IFERROR(__xludf.DUMMYFUNCTION("""COMPUTED_VALUE"""),"Ninguna")</f>
        <v>Ninguna</v>
      </c>
      <c r="W566" s="30" t="str">
        <f ca="1">IFERROR(__xludf.DUMMYFUNCTION("""COMPUTED_VALUE"""),"Presencial")</f>
        <v>Presencial</v>
      </c>
      <c r="X566" s="30" t="str">
        <f ca="1">IFERROR(__xludf.DUMMYFUNCTION("""COMPUTED_VALUE"""),"Espacio a Cargo de la Secretaría")</f>
        <v>Espacio a Cargo de la Secretaría</v>
      </c>
      <c r="Y566" s="30" t="str">
        <f ca="1">IFERROR(__xludf.DUMMYFUNCTION("""COMPUTED_VALUE"""),"Museo de Arte e Historia de Guanajuato, sala Feliciano Peña")</f>
        <v>Museo de Arte e Historia de Guanajuato, sala Feliciano Peña</v>
      </c>
      <c r="Z566" s="30"/>
      <c r="AA566" s="30"/>
      <c r="AB566" s="30" t="b">
        <f ca="1">IFERROR(__xludf.DUMMYFUNCTION("""COMPUTED_VALUE"""),FALSE)</f>
        <v>0</v>
      </c>
      <c r="AC566" s="30"/>
      <c r="AD566" s="30" t="b">
        <f ca="1">IFERROR(__xludf.DUMMYFUNCTION("""COMPUTED_VALUE"""),FALSE)</f>
        <v>0</v>
      </c>
      <c r="AE566" s="30"/>
      <c r="AF566" s="30" t="b">
        <f ca="1">IFERROR(__xludf.DUMMYFUNCTION("""COMPUTED_VALUE"""),FALSE)</f>
        <v>0</v>
      </c>
      <c r="AG566" s="30"/>
      <c r="AH566" s="30" t="str">
        <f ca="1">IFERROR(__xludf.DUMMYFUNCTION("""COMPUTED_VALUE"""),"Sin costo")</f>
        <v>Sin costo</v>
      </c>
      <c r="AI566" s="30"/>
      <c r="AJ566" s="30"/>
      <c r="AK566" s="30"/>
      <c r="AL566" s="30" t="str">
        <f ca="1">IFERROR(__xludf.DUMMYFUNCTION("""COMPUTED_VALUE"""),"ccardonav@guanajuato.gob.mx")</f>
        <v>ccardonav@guanajuato.gob.mx</v>
      </c>
      <c r="AM566" s="30" t="str">
        <f ca="1">IFERROR(__xludf.DUMMYFUNCTION("""COMPUTED_VALUE"""),"Arraigo y empoderamiento cultural de comunidades.")</f>
        <v>Arraigo y empoderamiento cultural de comunidades.</v>
      </c>
      <c r="AN566" s="30" t="str">
        <f ca="1">IFERROR(__xludf.DUMMYFUNCTION("""COMPUTED_VALUE"""),"2 Igualdad")</f>
        <v>2 Igualdad</v>
      </c>
      <c r="AO566" s="30" t="str">
        <f ca="1">IFERROR(__xludf.DUMMYFUNCTION("""COMPUTED_VALUE"""),"2.4 Reducir brechas de desigualdad")</f>
        <v>2.4 Reducir brechas de desigualdad</v>
      </c>
      <c r="AP566" s="30" t="str">
        <f ca="1">IFERROR(__xludf.DUMMYFUNCTION("""COMPUTED_VALUE"""),"2.4.3 Descentralización de la oferta cultural")</f>
        <v>2.4.3 Descentralización de la oferta cultural</v>
      </c>
      <c r="AQ566" s="30" t="str">
        <f ca="1">IFERROR(__xludf.DUMMYFUNCTION("""COMPUTED_VALUE"""),"2.4.3.3 Incidir en el involucramiento de las personas con el ecosistema cultural")</f>
        <v>2.4.3.3 Incidir en el involucramiento de las personas con el ecosistema cultural</v>
      </c>
      <c r="AR566" s="30" t="str">
        <f ca="1">IFERROR(__xludf.DUMMYFUNCTION("""COMPUTED_VALUE"""),"Cooperación")</f>
        <v>Cooperación</v>
      </c>
      <c r="AS566" s="30"/>
      <c r="AT566" s="30" t="str">
        <f ca="1">IFERROR(__xludf.DUMMYFUNCTION("""COMPUTED_VALUE"""),"Fortalecimiento de la participación ciudadana y la mediación cultural")</f>
        <v>Fortalecimiento de la participación ciudadana y la mediación cultural</v>
      </c>
      <c r="AU566" s="30" t="str">
        <f ca="1">IFERROR(__xludf.DUMMYFUNCTION("""COMPUTED_VALUE"""),"Impulso a la ampliación de la oferta cultural en los territorios.")</f>
        <v>Impulso a la ampliación de la oferta cultural en los territorios.</v>
      </c>
      <c r="AV56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6" s="30" t="str">
        <f ca="1">IFERROR(__xludf.DUMMYFUNCTION("""COMPUTED_VALUE"""),"Incrementar en 25% la oferta cultural realizada en los municipios.")</f>
        <v>Incrementar en 25% la oferta cultural realizada en los municipios.</v>
      </c>
      <c r="AX566" s="30" t="str">
        <f ca="1">IFERROR(__xludf.DUMMYFUNCTION("""COMPUTED_VALUE"""),"Visitas escolares")</f>
        <v>Visitas escolares</v>
      </c>
      <c r="AY566" s="30" t="str">
        <f ca="1">IFERROR(__xludf.DUMMYFUNCTION("""COMPUTED_VALUE"""),"Mediación")</f>
        <v>Mediación</v>
      </c>
      <c r="AZ566" s="30"/>
      <c r="BA566" s="30"/>
      <c r="BB566" s="30"/>
      <c r="BC566" s="30">
        <f ca="1">IFERROR(__xludf.DUMMYFUNCTION("""COMPUTED_VALUE"""),0)</f>
        <v>0</v>
      </c>
      <c r="BD566" s="30"/>
      <c r="BE566" s="30"/>
      <c r="BF566" s="30" t="b">
        <f ca="1">IFERROR(__xludf.DUMMYFUNCTION("""COMPUTED_VALUE"""),FALSE)</f>
        <v>0</v>
      </c>
      <c r="BG566" s="30"/>
      <c r="BH566" s="30"/>
      <c r="BI566" s="30"/>
      <c r="BJ566" s="30"/>
      <c r="BK566" s="30"/>
      <c r="BL566" s="30"/>
      <c r="BM566" s="30" t="str">
        <f ca="1">IFERROR(__xludf.DUMMYFUNCTION("""COMPUTED_VALUE"""),"No")</f>
        <v>No</v>
      </c>
      <c r="BN566" s="30"/>
      <c r="BO566" s="30" t="str">
        <f ca="1">IFERROR(__xludf.DUMMYFUNCTION("""COMPUTED_VALUE"""),"1395c929")</f>
        <v>1395c929</v>
      </c>
      <c r="BP566" s="29" t="str">
        <f ca="1">IFERROR(__xludf.DUMMYFUNCTION("""COMPUTED_VALUE"""),"Guanajuato")</f>
        <v>Guanajuato</v>
      </c>
      <c r="BQ566" s="30" t="str">
        <f ca="1">IFERROR(__xludf.DUMMYFUNCTION("""COMPUTED_VALUE"""),"Urbano")</f>
        <v>Urbano</v>
      </c>
      <c r="BR566" s="30"/>
      <c r="BS566" s="30"/>
      <c r="BT566" s="30"/>
      <c r="BU566" s="30" t="str">
        <f ca="1">IFERROR(__xludf.DUMMYFUNCTION("""COMPUTED_VALUE"""),"No")</f>
        <v>No</v>
      </c>
      <c r="BV566" s="30" t="str">
        <f ca="1">IFERROR(__xludf.DUMMYFUNCTION("""COMPUTED_VALUE"""),"No")</f>
        <v>No</v>
      </c>
      <c r="BW566" s="30">
        <f ca="1">IFERROR(__xludf.DUMMYFUNCTION("""COMPUTED_VALUE"""),708)</f>
        <v>708</v>
      </c>
      <c r="BX566" s="30"/>
      <c r="BY566" s="30">
        <f ca="1">IFERROR(__xludf.DUMMYFUNCTION("""COMPUTED_VALUE"""),708)</f>
        <v>708</v>
      </c>
      <c r="BZ566" s="30"/>
      <c r="CA566" s="30" t="str">
        <f ca="1">IFERROR(__xludf.DUMMYFUNCTION("""COMPUTED_VALUE"""),"No")</f>
        <v>No</v>
      </c>
      <c r="CB566" s="30" t="str">
        <f ca="1">IFERROR(__xludf.DUMMYFUNCTION("""COMPUTED_VALUE"""),"No")</f>
        <v>No</v>
      </c>
      <c r="CC566" s="30" t="str">
        <f ca="1">IFERROR(__xludf.DUMMYFUNCTION("""COMPUTED_VALUE"""),"1a3ac82e")</f>
        <v>1a3ac82e</v>
      </c>
      <c r="CD566" s="29" t="str">
        <f ca="1">IFERROR(__xludf.DUMMYFUNCTION("""COMPUTED_VALUE"""),"Niñas y Niños (6 a 12 años)")</f>
        <v>Niñas y Niños (6 a 12 años)</v>
      </c>
      <c r="CE566" s="30" t="str">
        <f ca="1">IFERROR(__xludf.DUMMYFUNCTION("""COMPUTED_VALUE"""),"No se cuenta con el dato")</f>
        <v>No se cuenta con el dato</v>
      </c>
      <c r="CF566" s="30" t="str">
        <f ca="1">IFERROR(__xludf.DUMMYFUNCTION("""COMPUTED_VALUE"""),"Ninguno (Población General)")</f>
        <v>Ninguno (Población General)</v>
      </c>
      <c r="CG566" s="30">
        <f ca="1">IFERROR(__xludf.DUMMYFUNCTION("""COMPUTED_VALUE"""),13)</f>
        <v>13</v>
      </c>
      <c r="CJ566" s="29"/>
      <c r="CM566" s="30" t="str">
        <f ca="1">IFERROR(__xludf.DUMMYFUNCTION("""COMPUTED_VALUE"""),"")</f>
        <v/>
      </c>
      <c r="CN566" s="32" t="e">
        <f ca="1"/>
        <v>#NAME?</v>
      </c>
      <c r="CO566" s="32" t="e">
        <f ca="1"/>
        <v>#NAME?</v>
      </c>
      <c r="CP566" s="32" t="e">
        <f ca="1"/>
        <v>#NAME?</v>
      </c>
      <c r="CQ566" s="32" t="e">
        <f ca="1"/>
        <v>#NAME?</v>
      </c>
      <c r="CR566" s="30" t="e">
        <f ca="1"/>
        <v>#NAME?</v>
      </c>
      <c r="CS566" s="30" t="str">
        <f ca="1">IFERROR(__xludf.DUMMYFUNCTION("""COMPUTED_VALUE"""),"Ninguno (Población General)")</f>
        <v>Ninguno (Población General)</v>
      </c>
    </row>
    <row r="567" spans="1:97" ht="13">
      <c r="A567" s="29" t="str">
        <f ca="1">IFERROR(__xludf.DUMMYFUNCTION("""COMPUTED_VALUE"""),"ACT-SCPY05941")</f>
        <v>ACT-SCPY05941</v>
      </c>
      <c r="B567" s="30" t="str">
        <f ca="1">IFERROR(__xludf.DUMMYFUNCTION("""COMPUTED_VALUE"""),"SC-261015-102920")</f>
        <v>SC-261015-102920</v>
      </c>
      <c r="C567" s="62">
        <f ca="1">IFERROR(__xludf.DUMMYFUNCTION("""COMPUTED_VALUE"""),46310.437037037)</f>
        <v>46310.437037037002</v>
      </c>
      <c r="D567" s="30">
        <f ca="1">IFERROR(__xludf.DUMMYFUNCTION("""COMPUTED_VALUE"""),92)</f>
        <v>92</v>
      </c>
      <c r="E567" s="30" t="str">
        <f ca="1">IFERROR(__xludf.DUMMYFUNCTION("""COMPUTED_VALUE"""),"PB3572")</f>
        <v>PB3572</v>
      </c>
      <c r="F56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7" s="30" t="str">
        <f ca="1">IFERROR(__xludf.DUMMYFUNCTION("""COMPUTED_VALUE"""),"SUBSECRETARÍA DE DESARROLLO Y PROMOCIÓN ARTÍSTICA Y CULTURAL")</f>
        <v>SUBSECRETARÍA DE DESARROLLO Y PROMOCIÓN ARTÍSTICA Y CULTURAL</v>
      </c>
      <c r="I567" s="34" t="str">
        <f ca="1">IFERROR(__xludf.DUMMYFUNCTION("""COMPUTED_VALUE"""),"DIRECCIÓN GENERAL DE MUSEOS, ARTES VISUALES Y EXPOSICIONES")</f>
        <v>DIRECCIÓN GENERAL DE MUSEOS, ARTES VISUALES Y EXPOSICIONES</v>
      </c>
      <c r="J567" s="30" t="str">
        <f ca="1">IFERROR(__xludf.DUMMYFUNCTION("""COMPUTED_VALUE"""),"Número de Actividades realizadas")</f>
        <v>Número de Actividades realizadas</v>
      </c>
      <c r="K567" s="30">
        <f ca="1">IFERROR(__xludf.DUMMYFUNCTION("""COMPUTED_VALUE"""),800)</f>
        <v>800</v>
      </c>
      <c r="L567" s="30" t="str">
        <f ca="1">IFERROR(__xludf.DUMMYFUNCTION("""COMPUTED_VALUE"""),"Cultural")</f>
        <v>Cultural</v>
      </c>
      <c r="M567" s="30" t="str">
        <f ca="1">IFERROR(__xludf.DUMMYFUNCTION("""COMPUTED_VALUE"""),"Visita escolar ""UG""")</f>
        <v>Visita escolar "UG"</v>
      </c>
      <c r="N567" s="30" t="str">
        <f ca="1">IFERROR(__xludf.DUMMYFUNCTION("""COMPUTED_VALUE"""),"Recorrido guiado por el museo")</f>
        <v>Recorrido guiado por el museo</v>
      </c>
      <c r="O567" s="30" t="str">
        <f ca="1">IFERROR(__xludf.DUMMYFUNCTION("""COMPUTED_VALUE"""),"Única")</f>
        <v>Única</v>
      </c>
      <c r="P567" s="33">
        <f ca="1">IFERROR(__xludf.DUMMYFUNCTION("""COMPUTED_VALUE"""),46295)</f>
        <v>46295</v>
      </c>
      <c r="Q567" s="33">
        <f ca="1">IFERROR(__xludf.DUMMYFUNCTION("""COMPUTED_VALUE"""),46295)</f>
        <v>46295</v>
      </c>
      <c r="R567" s="30">
        <f ca="1">IFERROR(__xludf.DUMMYFUNCTION("""COMPUTED_VALUE"""),1)</f>
        <v>1</v>
      </c>
      <c r="S567" s="30" t="str">
        <f ca="1">IFERROR(__xludf.DUMMYFUNCTION("""COMPUTED_VALUE"""),"Cultura comunitaria")</f>
        <v>Cultura comunitaria</v>
      </c>
      <c r="T567" s="30" t="str">
        <f ca="1">IFERROR(__xludf.DUMMYFUNCTION("""COMPUTED_VALUE"""),"Mediación cultural")</f>
        <v>Mediación cultural</v>
      </c>
      <c r="U567" s="30" t="str">
        <f ca="1">IFERROR(__xludf.DUMMYFUNCTION("""COMPUTED_VALUE"""),"Visitas escolares")</f>
        <v>Visitas escolares</v>
      </c>
      <c r="V567" s="30" t="str">
        <f ca="1">IFERROR(__xludf.DUMMYFUNCTION("""COMPUTED_VALUE"""),"Ninguna")</f>
        <v>Ninguna</v>
      </c>
      <c r="W567" s="30" t="str">
        <f ca="1">IFERROR(__xludf.DUMMYFUNCTION("""COMPUTED_VALUE"""),"Presencial")</f>
        <v>Presencial</v>
      </c>
      <c r="X567" s="30" t="str">
        <f ca="1">IFERROR(__xludf.DUMMYFUNCTION("""COMPUTED_VALUE"""),"Espacio a Cargo de la Secretaría")</f>
        <v>Espacio a Cargo de la Secretaría</v>
      </c>
      <c r="Y567" s="30" t="str">
        <f ca="1">IFERROR(__xludf.DUMMYFUNCTION("""COMPUTED_VALUE"""),"Museo de Arte e Historia de Guanajuato, sala Feliciano Peña")</f>
        <v>Museo de Arte e Historia de Guanajuato, sala Feliciano Peña</v>
      </c>
      <c r="Z567" s="30"/>
      <c r="AA567" s="30"/>
      <c r="AB567" s="30" t="b">
        <f ca="1">IFERROR(__xludf.DUMMYFUNCTION("""COMPUTED_VALUE"""),FALSE)</f>
        <v>0</v>
      </c>
      <c r="AC567" s="30"/>
      <c r="AD567" s="30" t="b">
        <f ca="1">IFERROR(__xludf.DUMMYFUNCTION("""COMPUTED_VALUE"""),FALSE)</f>
        <v>0</v>
      </c>
      <c r="AE567" s="30"/>
      <c r="AF567" s="30" t="b">
        <f ca="1">IFERROR(__xludf.DUMMYFUNCTION("""COMPUTED_VALUE"""),FALSE)</f>
        <v>0</v>
      </c>
      <c r="AG567" s="30"/>
      <c r="AH567" s="30" t="str">
        <f ca="1">IFERROR(__xludf.DUMMYFUNCTION("""COMPUTED_VALUE"""),"Sin costo")</f>
        <v>Sin costo</v>
      </c>
      <c r="AI567" s="30"/>
      <c r="AJ567" s="30"/>
      <c r="AK567" s="30"/>
      <c r="AL567" s="30" t="str">
        <f ca="1">IFERROR(__xludf.DUMMYFUNCTION("""COMPUTED_VALUE"""),"ccardonav@guanajuato.gob.mx")</f>
        <v>ccardonav@guanajuato.gob.mx</v>
      </c>
      <c r="AM567" s="30" t="str">
        <f ca="1">IFERROR(__xludf.DUMMYFUNCTION("""COMPUTED_VALUE"""),"Arraigo y empoderamiento cultural de comunidades.")</f>
        <v>Arraigo y empoderamiento cultural de comunidades.</v>
      </c>
      <c r="AN567" s="30" t="str">
        <f ca="1">IFERROR(__xludf.DUMMYFUNCTION("""COMPUTED_VALUE"""),"2 Igualdad")</f>
        <v>2 Igualdad</v>
      </c>
      <c r="AO567" s="30" t="str">
        <f ca="1">IFERROR(__xludf.DUMMYFUNCTION("""COMPUTED_VALUE"""),"2.4 Reducir brechas de desigualdad")</f>
        <v>2.4 Reducir brechas de desigualdad</v>
      </c>
      <c r="AP567" s="30" t="str">
        <f ca="1">IFERROR(__xludf.DUMMYFUNCTION("""COMPUTED_VALUE"""),"2.4.3 Descentralización de la oferta cultural")</f>
        <v>2.4.3 Descentralización de la oferta cultural</v>
      </c>
      <c r="AQ567" s="30" t="str">
        <f ca="1">IFERROR(__xludf.DUMMYFUNCTION("""COMPUTED_VALUE"""),"2.4.3.3 Incidir en el involucramiento de las personas con el ecosistema cultural")</f>
        <v>2.4.3.3 Incidir en el involucramiento de las personas con el ecosistema cultural</v>
      </c>
      <c r="AR567" s="30" t="str">
        <f ca="1">IFERROR(__xludf.DUMMYFUNCTION("""COMPUTED_VALUE"""),"Cooperación")</f>
        <v>Cooperación</v>
      </c>
      <c r="AS567" s="30"/>
      <c r="AT567" s="30" t="str">
        <f ca="1">IFERROR(__xludf.DUMMYFUNCTION("""COMPUTED_VALUE"""),"Fortalecimiento de la participación ciudadana y la mediación cultural")</f>
        <v>Fortalecimiento de la participación ciudadana y la mediación cultural</v>
      </c>
      <c r="AU567" s="30" t="str">
        <f ca="1">IFERROR(__xludf.DUMMYFUNCTION("""COMPUTED_VALUE"""),"Impulso a la ampliación de la oferta cultural en los territorios.")</f>
        <v>Impulso a la ampliación de la oferta cultural en los territorios.</v>
      </c>
      <c r="AV56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7" s="30" t="str">
        <f ca="1">IFERROR(__xludf.DUMMYFUNCTION("""COMPUTED_VALUE"""),"Incrementar en 25% la oferta cultural realizada en los municipios.")</f>
        <v>Incrementar en 25% la oferta cultural realizada en los municipios.</v>
      </c>
      <c r="AX567" s="30" t="str">
        <f ca="1">IFERROR(__xludf.DUMMYFUNCTION("""COMPUTED_VALUE"""),"Visitas escolares")</f>
        <v>Visitas escolares</v>
      </c>
      <c r="AY567" s="30" t="str">
        <f ca="1">IFERROR(__xludf.DUMMYFUNCTION("""COMPUTED_VALUE"""),"Mediación")</f>
        <v>Mediación</v>
      </c>
      <c r="AZ567" s="30"/>
      <c r="BA567" s="30"/>
      <c r="BB567" s="30"/>
      <c r="BC567" s="30">
        <f ca="1">IFERROR(__xludf.DUMMYFUNCTION("""COMPUTED_VALUE"""),0)</f>
        <v>0</v>
      </c>
      <c r="BD567" s="30"/>
      <c r="BE567" s="30"/>
      <c r="BF567" s="30" t="b">
        <f ca="1">IFERROR(__xludf.DUMMYFUNCTION("""COMPUTED_VALUE"""),FALSE)</f>
        <v>0</v>
      </c>
      <c r="BG567" s="30"/>
      <c r="BH567" s="30"/>
      <c r="BI567" s="30"/>
      <c r="BJ567" s="30"/>
      <c r="BK567" s="30"/>
      <c r="BL567" s="30"/>
      <c r="BM567" s="30" t="str">
        <f ca="1">IFERROR(__xludf.DUMMYFUNCTION("""COMPUTED_VALUE"""),"No")</f>
        <v>No</v>
      </c>
      <c r="BN567" s="30"/>
      <c r="BO567" s="30" t="str">
        <f ca="1">IFERROR(__xludf.DUMMYFUNCTION("""COMPUTED_VALUE"""),"0da5f660")</f>
        <v>0da5f660</v>
      </c>
      <c r="BP567" s="29" t="str">
        <f ca="1">IFERROR(__xludf.DUMMYFUNCTION("""COMPUTED_VALUE"""),"Guanajuato")</f>
        <v>Guanajuato</v>
      </c>
      <c r="BQ567" s="30" t="str">
        <f ca="1">IFERROR(__xludf.DUMMYFUNCTION("""COMPUTED_VALUE"""),"Urbano")</f>
        <v>Urbano</v>
      </c>
      <c r="BR567" s="30"/>
      <c r="BS567" s="30"/>
      <c r="BT567" s="30"/>
      <c r="BU567" s="30" t="str">
        <f ca="1">IFERROR(__xludf.DUMMYFUNCTION("""COMPUTED_VALUE"""),"No")</f>
        <v>No</v>
      </c>
      <c r="BV567" s="30" t="str">
        <f ca="1">IFERROR(__xludf.DUMMYFUNCTION("""COMPUTED_VALUE"""),"No")</f>
        <v>No</v>
      </c>
      <c r="BW567" s="30">
        <f ca="1">IFERROR(__xludf.DUMMYFUNCTION("""COMPUTED_VALUE"""),43)</f>
        <v>43</v>
      </c>
      <c r="BX567" s="30"/>
      <c r="BY567" s="30">
        <f ca="1">IFERROR(__xludf.DUMMYFUNCTION("""COMPUTED_VALUE"""),43)</f>
        <v>43</v>
      </c>
      <c r="BZ567" s="30"/>
      <c r="CA567" s="30" t="str">
        <f ca="1">IFERROR(__xludf.DUMMYFUNCTION("""COMPUTED_VALUE"""),"No")</f>
        <v>No</v>
      </c>
      <c r="CB567" s="30" t="str">
        <f ca="1">IFERROR(__xludf.DUMMYFUNCTION("""COMPUTED_VALUE"""),"No")</f>
        <v>No</v>
      </c>
      <c r="CC567" s="30" t="str">
        <f ca="1">IFERROR(__xludf.DUMMYFUNCTION("""COMPUTED_VALUE"""),"0d21a4e8")</f>
        <v>0d21a4e8</v>
      </c>
      <c r="CD567" s="29" t="str">
        <f ca="1">IFERROR(__xludf.DUMMYFUNCTION("""COMPUTED_VALUE"""),"Adultos (30 a 59 años)")</f>
        <v>Adultos (30 a 59 años)</v>
      </c>
      <c r="CE567" s="30" t="str">
        <f ca="1">IFERROR(__xludf.DUMMYFUNCTION("""COMPUTED_VALUE"""),"No se cuenta con el dato")</f>
        <v>No se cuenta con el dato</v>
      </c>
      <c r="CF567" s="30" t="str">
        <f ca="1">IFERROR(__xludf.DUMMYFUNCTION("""COMPUTED_VALUE"""),"Ninguno (Población General)")</f>
        <v>Ninguno (Población General)</v>
      </c>
      <c r="CG567" s="30">
        <f ca="1">IFERROR(__xludf.DUMMYFUNCTION("""COMPUTED_VALUE"""),130)</f>
        <v>130</v>
      </c>
      <c r="CJ567" s="29"/>
      <c r="CM567" s="30" t="str">
        <f ca="1">IFERROR(__xludf.DUMMYFUNCTION("""COMPUTED_VALUE"""),"")</f>
        <v/>
      </c>
      <c r="CN567" s="32" t="e">
        <f ca="1"/>
        <v>#NAME?</v>
      </c>
      <c r="CO567" s="32" t="e">
        <f ca="1"/>
        <v>#NAME?</v>
      </c>
      <c r="CP567" s="32" t="e">
        <f ca="1"/>
        <v>#NAME?</v>
      </c>
      <c r="CQ567" s="32" t="e">
        <f ca="1"/>
        <v>#NAME?</v>
      </c>
      <c r="CR567" s="30" t="e">
        <f ca="1"/>
        <v>#NAME?</v>
      </c>
      <c r="CS567" s="30" t="str">
        <f ca="1">IFERROR(__xludf.DUMMYFUNCTION("""COMPUTED_VALUE"""),"Ninguno (Población General)")</f>
        <v>Ninguno (Población General)</v>
      </c>
    </row>
    <row r="568" spans="1:97" ht="13">
      <c r="A568" s="29" t="str">
        <f ca="1">IFERROR(__xludf.DUMMYFUNCTION("""COMPUTED_VALUE"""),"ACT-SCNB74103")</f>
        <v>ACT-SCNB74103</v>
      </c>
      <c r="B568" s="30" t="str">
        <f ca="1">IFERROR(__xludf.DUMMYFUNCTION("""COMPUTED_VALUE"""),"SC-261015-104032")</f>
        <v>SC-261015-104032</v>
      </c>
      <c r="C568" s="62">
        <f ca="1">IFERROR(__xludf.DUMMYFUNCTION("""COMPUTED_VALUE"""),46310.4448148148)</f>
        <v>46310.4448148148</v>
      </c>
      <c r="D568" s="30">
        <f ca="1">IFERROR(__xludf.DUMMYFUNCTION("""COMPUTED_VALUE"""),92)</f>
        <v>92</v>
      </c>
      <c r="E568" s="30" t="str">
        <f ca="1">IFERROR(__xludf.DUMMYFUNCTION("""COMPUTED_VALUE"""),"PB3572")</f>
        <v>PB3572</v>
      </c>
      <c r="F56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8" s="30" t="str">
        <f ca="1">IFERROR(__xludf.DUMMYFUNCTION("""COMPUTED_VALUE"""),"SUBSECRETARÍA DE DESARROLLO Y PROMOCIÓN ARTÍSTICA Y CULTURAL")</f>
        <v>SUBSECRETARÍA DE DESARROLLO Y PROMOCIÓN ARTÍSTICA Y CULTURAL</v>
      </c>
      <c r="I568" s="34" t="str">
        <f ca="1">IFERROR(__xludf.DUMMYFUNCTION("""COMPUTED_VALUE"""),"DIRECCIÓN GENERAL DE MUSEOS, ARTES VISUALES Y EXPOSICIONES")</f>
        <v>DIRECCIÓN GENERAL DE MUSEOS, ARTES VISUALES Y EXPOSICIONES</v>
      </c>
      <c r="J568" s="30" t="str">
        <f ca="1">IFERROR(__xludf.DUMMYFUNCTION("""COMPUTED_VALUE"""),"Número de Actividades realizadas")</f>
        <v>Número de Actividades realizadas</v>
      </c>
      <c r="K568" s="30">
        <f ca="1">IFERROR(__xludf.DUMMYFUNCTION("""COMPUTED_VALUE"""),800)</f>
        <v>800</v>
      </c>
      <c r="L568" s="30" t="str">
        <f ca="1">IFERROR(__xludf.DUMMYFUNCTION("""COMPUTED_VALUE"""),"Cultural")</f>
        <v>Cultural</v>
      </c>
      <c r="M568" s="30" t="str">
        <f ca="1">IFERROR(__xludf.DUMMYFUNCTION("""COMPUTED_VALUE"""),"Visita Escolar ""CETIS 21""")</f>
        <v>Visita Escolar "CETIS 21"</v>
      </c>
      <c r="N568" s="30" t="str">
        <f ca="1">IFERROR(__xludf.DUMMYFUNCTION("""COMPUTED_VALUE"""),"Recorrido guiado por el museo")</f>
        <v>Recorrido guiado por el museo</v>
      </c>
      <c r="O568" s="30" t="str">
        <f ca="1">IFERROR(__xludf.DUMMYFUNCTION("""COMPUTED_VALUE"""),"Única")</f>
        <v>Única</v>
      </c>
      <c r="P568" s="33">
        <f ca="1">IFERROR(__xludf.DUMMYFUNCTION("""COMPUTED_VALUE"""),46295)</f>
        <v>46295</v>
      </c>
      <c r="Q568" s="33">
        <f ca="1">IFERROR(__xludf.DUMMYFUNCTION("""COMPUTED_VALUE"""),46295)</f>
        <v>46295</v>
      </c>
      <c r="R568" s="30">
        <f ca="1">IFERROR(__xludf.DUMMYFUNCTION("""COMPUTED_VALUE"""),1)</f>
        <v>1</v>
      </c>
      <c r="S568" s="30" t="str">
        <f ca="1">IFERROR(__xludf.DUMMYFUNCTION("""COMPUTED_VALUE"""),"Cultura comunitaria")</f>
        <v>Cultura comunitaria</v>
      </c>
      <c r="T568" s="30" t="str">
        <f ca="1">IFERROR(__xludf.DUMMYFUNCTION("""COMPUTED_VALUE"""),"Mediación cultural")</f>
        <v>Mediación cultural</v>
      </c>
      <c r="U568" s="30" t="str">
        <f ca="1">IFERROR(__xludf.DUMMYFUNCTION("""COMPUTED_VALUE"""),"Visitas escolares")</f>
        <v>Visitas escolares</v>
      </c>
      <c r="V568" s="30" t="str">
        <f ca="1">IFERROR(__xludf.DUMMYFUNCTION("""COMPUTED_VALUE"""),"Ninguna")</f>
        <v>Ninguna</v>
      </c>
      <c r="W568" s="30" t="str">
        <f ca="1">IFERROR(__xludf.DUMMYFUNCTION("""COMPUTED_VALUE"""),"Presencial")</f>
        <v>Presencial</v>
      </c>
      <c r="X568" s="30" t="str">
        <f ca="1">IFERROR(__xludf.DUMMYFUNCTION("""COMPUTED_VALUE"""),"Espacio a Cargo de la Secretaría")</f>
        <v>Espacio a Cargo de la Secretaría</v>
      </c>
      <c r="Y568" s="30" t="str">
        <f ca="1">IFERROR(__xludf.DUMMYFUNCTION("""COMPUTED_VALUE"""),"Museo de Arte e Historia de Guanajuato, sala Feliciano Peña")</f>
        <v>Museo de Arte e Historia de Guanajuato, sala Feliciano Peña</v>
      </c>
      <c r="Z568" s="30"/>
      <c r="AA568" s="30"/>
      <c r="AB568" s="30" t="b">
        <f ca="1">IFERROR(__xludf.DUMMYFUNCTION("""COMPUTED_VALUE"""),FALSE)</f>
        <v>0</v>
      </c>
      <c r="AC568" s="30"/>
      <c r="AD568" s="30" t="b">
        <f ca="1">IFERROR(__xludf.DUMMYFUNCTION("""COMPUTED_VALUE"""),FALSE)</f>
        <v>0</v>
      </c>
      <c r="AE568" s="30"/>
      <c r="AF568" s="30" t="b">
        <f ca="1">IFERROR(__xludf.DUMMYFUNCTION("""COMPUTED_VALUE"""),FALSE)</f>
        <v>0</v>
      </c>
      <c r="AG568" s="30"/>
      <c r="AH568" s="30" t="str">
        <f ca="1">IFERROR(__xludf.DUMMYFUNCTION("""COMPUTED_VALUE"""),"Sin costo")</f>
        <v>Sin costo</v>
      </c>
      <c r="AI568" s="30"/>
      <c r="AJ568" s="30"/>
      <c r="AK568" s="30"/>
      <c r="AL568" s="30" t="str">
        <f ca="1">IFERROR(__xludf.DUMMYFUNCTION("""COMPUTED_VALUE"""),"ccardonav@guanajuato.gob.mx")</f>
        <v>ccardonav@guanajuato.gob.mx</v>
      </c>
      <c r="AM568" s="30" t="str">
        <f ca="1">IFERROR(__xludf.DUMMYFUNCTION("""COMPUTED_VALUE"""),"Arraigo y empoderamiento cultural de comunidades.")</f>
        <v>Arraigo y empoderamiento cultural de comunidades.</v>
      </c>
      <c r="AN568" s="30" t="str">
        <f ca="1">IFERROR(__xludf.DUMMYFUNCTION("""COMPUTED_VALUE"""),"2 Igualdad")</f>
        <v>2 Igualdad</v>
      </c>
      <c r="AO568" s="30" t="str">
        <f ca="1">IFERROR(__xludf.DUMMYFUNCTION("""COMPUTED_VALUE"""),"2.4 Reducir brechas de desigualdad")</f>
        <v>2.4 Reducir brechas de desigualdad</v>
      </c>
      <c r="AP568" s="30" t="str">
        <f ca="1">IFERROR(__xludf.DUMMYFUNCTION("""COMPUTED_VALUE"""),"2.4.3 Descentralización de la oferta cultural")</f>
        <v>2.4.3 Descentralización de la oferta cultural</v>
      </c>
      <c r="AQ568" s="30" t="str">
        <f ca="1">IFERROR(__xludf.DUMMYFUNCTION("""COMPUTED_VALUE"""),"2.4.3.3 Incidir en el involucramiento de las personas con el ecosistema cultural")</f>
        <v>2.4.3.3 Incidir en el involucramiento de las personas con el ecosistema cultural</v>
      </c>
      <c r="AR568" s="30" t="str">
        <f ca="1">IFERROR(__xludf.DUMMYFUNCTION("""COMPUTED_VALUE"""),"Cooperación")</f>
        <v>Cooperación</v>
      </c>
      <c r="AS568" s="30"/>
      <c r="AT568" s="30" t="str">
        <f ca="1">IFERROR(__xludf.DUMMYFUNCTION("""COMPUTED_VALUE"""),"Fortalecimiento de la participación ciudadana y la mediación cultural")</f>
        <v>Fortalecimiento de la participación ciudadana y la mediación cultural</v>
      </c>
      <c r="AU568" s="30" t="str">
        <f ca="1">IFERROR(__xludf.DUMMYFUNCTION("""COMPUTED_VALUE"""),"Impulso a la ampliación de la oferta cultural en los territorios.")</f>
        <v>Impulso a la ampliación de la oferta cultural en los territorios.</v>
      </c>
      <c r="AV56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8" s="30" t="str">
        <f ca="1">IFERROR(__xludf.DUMMYFUNCTION("""COMPUTED_VALUE"""),"Incrementar en 25% la oferta cultural realizada en los municipios.")</f>
        <v>Incrementar en 25% la oferta cultural realizada en los municipios.</v>
      </c>
      <c r="AX568" s="30" t="str">
        <f ca="1">IFERROR(__xludf.DUMMYFUNCTION("""COMPUTED_VALUE"""),"Visitas escolares")</f>
        <v>Visitas escolares</v>
      </c>
      <c r="AY568" s="30" t="str">
        <f ca="1">IFERROR(__xludf.DUMMYFUNCTION("""COMPUTED_VALUE"""),"Mediación")</f>
        <v>Mediación</v>
      </c>
      <c r="AZ568" s="30"/>
      <c r="BA568" s="30"/>
      <c r="BB568" s="30"/>
      <c r="BC568" s="30">
        <f ca="1">IFERROR(__xludf.DUMMYFUNCTION("""COMPUTED_VALUE"""),0)</f>
        <v>0</v>
      </c>
      <c r="BD568" s="30"/>
      <c r="BE568" s="30"/>
      <c r="BF568" s="30" t="b">
        <f ca="1">IFERROR(__xludf.DUMMYFUNCTION("""COMPUTED_VALUE"""),FALSE)</f>
        <v>0</v>
      </c>
      <c r="BG568" s="30"/>
      <c r="BH568" s="30"/>
      <c r="BI568" s="30"/>
      <c r="BJ568" s="30"/>
      <c r="BK568" s="30"/>
      <c r="BL568" s="30"/>
      <c r="BM568" s="30" t="str">
        <f ca="1">IFERROR(__xludf.DUMMYFUNCTION("""COMPUTED_VALUE"""),"No")</f>
        <v>No</v>
      </c>
      <c r="BN568" s="30"/>
      <c r="BO568" s="30" t="str">
        <f ca="1">IFERROR(__xludf.DUMMYFUNCTION("""COMPUTED_VALUE"""),"ff7882a9")</f>
        <v>ff7882a9</v>
      </c>
      <c r="BP568" s="29" t="str">
        <f ca="1">IFERROR(__xludf.DUMMYFUNCTION("""COMPUTED_VALUE"""),"León")</f>
        <v>León</v>
      </c>
      <c r="BQ568" s="30" t="str">
        <f ca="1">IFERROR(__xludf.DUMMYFUNCTION("""COMPUTED_VALUE"""),"Urbano")</f>
        <v>Urbano</v>
      </c>
      <c r="BR568" s="30"/>
      <c r="BS568" s="30"/>
      <c r="BT568" s="30"/>
      <c r="BU568" s="30" t="str">
        <f ca="1">IFERROR(__xludf.DUMMYFUNCTION("""COMPUTED_VALUE"""),"No")</f>
        <v>No</v>
      </c>
      <c r="BV568" s="30" t="str">
        <f ca="1">IFERROR(__xludf.DUMMYFUNCTION("""COMPUTED_VALUE"""),"No")</f>
        <v>No</v>
      </c>
      <c r="BW568" s="30">
        <f ca="1">IFERROR(__xludf.DUMMYFUNCTION("""COMPUTED_VALUE"""),36)</f>
        <v>36</v>
      </c>
      <c r="BX568" s="30">
        <f ca="1">IFERROR(__xludf.DUMMYFUNCTION("""COMPUTED_VALUE"""),36)</f>
        <v>36</v>
      </c>
      <c r="BY568" s="30">
        <f ca="1">IFERROR(__xludf.DUMMYFUNCTION("""COMPUTED_VALUE"""),0)</f>
        <v>0</v>
      </c>
      <c r="BZ568" s="30"/>
      <c r="CA568" s="30" t="str">
        <f ca="1">IFERROR(__xludf.DUMMYFUNCTION("""COMPUTED_VALUE"""),"No")</f>
        <v>No</v>
      </c>
      <c r="CB568" s="30" t="str">
        <f ca="1">IFERROR(__xludf.DUMMYFUNCTION("""COMPUTED_VALUE"""),"No")</f>
        <v>No</v>
      </c>
      <c r="CC568" s="30" t="str">
        <f ca="1">IFERROR(__xludf.DUMMYFUNCTION("""COMPUTED_VALUE"""),"cda19b53")</f>
        <v>cda19b53</v>
      </c>
      <c r="CD568" s="29" t="str">
        <f ca="1">IFERROR(__xludf.DUMMYFUNCTION("""COMPUTED_VALUE"""),"Adultos (30 a 59 años)")</f>
        <v>Adultos (30 a 59 años)</v>
      </c>
      <c r="CE568" s="30" t="str">
        <f ca="1">IFERROR(__xludf.DUMMYFUNCTION("""COMPUTED_VALUE"""),"No se cuenta con el dato")</f>
        <v>No se cuenta con el dato</v>
      </c>
      <c r="CF568" s="30" t="str">
        <f ca="1">IFERROR(__xludf.DUMMYFUNCTION("""COMPUTED_VALUE"""),"Ninguno (Población General)")</f>
        <v>Ninguno (Población General)</v>
      </c>
      <c r="CG568" s="30">
        <f ca="1">IFERROR(__xludf.DUMMYFUNCTION("""COMPUTED_VALUE"""),36)</f>
        <v>36</v>
      </c>
      <c r="CJ568" s="29"/>
      <c r="CM568" s="30" t="str">
        <f ca="1">IFERROR(__xludf.DUMMYFUNCTION("""COMPUTED_VALUE"""),"")</f>
        <v/>
      </c>
      <c r="CN568" s="32" t="e">
        <f ca="1"/>
        <v>#NAME?</v>
      </c>
      <c r="CO568" s="32" t="e">
        <f ca="1"/>
        <v>#NAME?</v>
      </c>
      <c r="CP568" s="32" t="e">
        <f ca="1"/>
        <v>#NAME?</v>
      </c>
      <c r="CQ568" s="32" t="e">
        <f ca="1"/>
        <v>#NAME?</v>
      </c>
      <c r="CR568" s="30" t="e">
        <f ca="1"/>
        <v>#NAME?</v>
      </c>
      <c r="CS568" s="30" t="str">
        <f ca="1">IFERROR(__xludf.DUMMYFUNCTION("""COMPUTED_VALUE"""),"Ninguno (Población General)")</f>
        <v>Ninguno (Población General)</v>
      </c>
    </row>
    <row r="569" spans="1:97" ht="13">
      <c r="A569" s="29" t="str">
        <f ca="1">IFERROR(__xludf.DUMMYFUNCTION("""COMPUTED_VALUE"""),"ACT-SCKP12636")</f>
        <v>ACT-SCKP12636</v>
      </c>
      <c r="B569" s="30" t="str">
        <f ca="1">IFERROR(__xludf.DUMMYFUNCTION("""COMPUTED_VALUE"""),"SC-261015-104540")</f>
        <v>SC-261015-104540</v>
      </c>
      <c r="C569" s="62">
        <f ca="1">IFERROR(__xludf.DUMMYFUNCTION("""COMPUTED_VALUE"""),46310.4483796296)</f>
        <v>46310.448379629597</v>
      </c>
      <c r="D569" s="30">
        <f ca="1">IFERROR(__xludf.DUMMYFUNCTION("""COMPUTED_VALUE"""),92)</f>
        <v>92</v>
      </c>
      <c r="E569" s="30" t="str">
        <f ca="1">IFERROR(__xludf.DUMMYFUNCTION("""COMPUTED_VALUE"""),"PB3572")</f>
        <v>PB3572</v>
      </c>
      <c r="F56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6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69" s="30" t="str">
        <f ca="1">IFERROR(__xludf.DUMMYFUNCTION("""COMPUTED_VALUE"""),"SUBSECRETARÍA DE DESARROLLO Y PROMOCIÓN ARTÍSTICA Y CULTURAL")</f>
        <v>SUBSECRETARÍA DE DESARROLLO Y PROMOCIÓN ARTÍSTICA Y CULTURAL</v>
      </c>
      <c r="I569" s="34" t="str">
        <f ca="1">IFERROR(__xludf.DUMMYFUNCTION("""COMPUTED_VALUE"""),"DIRECCIÓN GENERAL DE MUSEOS, ARTES VISUALES Y EXPOSICIONES")</f>
        <v>DIRECCIÓN GENERAL DE MUSEOS, ARTES VISUALES Y EXPOSICIONES</v>
      </c>
      <c r="J569" s="30" t="str">
        <f ca="1">IFERROR(__xludf.DUMMYFUNCTION("""COMPUTED_VALUE"""),"Número de Actividades realizadas")</f>
        <v>Número de Actividades realizadas</v>
      </c>
      <c r="K569" s="30">
        <f ca="1">IFERROR(__xludf.DUMMYFUNCTION("""COMPUTED_VALUE"""),800)</f>
        <v>800</v>
      </c>
      <c r="L569" s="30" t="str">
        <f ca="1">IFERROR(__xludf.DUMMYFUNCTION("""COMPUTED_VALUE"""),"Cultural")</f>
        <v>Cultural</v>
      </c>
      <c r="M569" s="30" t="str">
        <f ca="1">IFERROR(__xludf.DUMMYFUNCTION("""COMPUTED_VALUE"""),"Visita escolar "" LA SALLE ARQ""")</f>
        <v>Visita escolar " LA SALLE ARQ"</v>
      </c>
      <c r="N569" s="30" t="str">
        <f ca="1">IFERROR(__xludf.DUMMYFUNCTION("""COMPUTED_VALUE"""),"Recorrido guiado por el museo")</f>
        <v>Recorrido guiado por el museo</v>
      </c>
      <c r="O569" s="30" t="str">
        <f ca="1">IFERROR(__xludf.DUMMYFUNCTION("""COMPUTED_VALUE"""),"Única")</f>
        <v>Única</v>
      </c>
      <c r="P569" s="33">
        <f ca="1">IFERROR(__xludf.DUMMYFUNCTION("""COMPUTED_VALUE"""),46295)</f>
        <v>46295</v>
      </c>
      <c r="Q569" s="33">
        <f ca="1">IFERROR(__xludf.DUMMYFUNCTION("""COMPUTED_VALUE"""),46295)</f>
        <v>46295</v>
      </c>
      <c r="R569" s="30">
        <f ca="1">IFERROR(__xludf.DUMMYFUNCTION("""COMPUTED_VALUE"""),1)</f>
        <v>1</v>
      </c>
      <c r="S569" s="30" t="str">
        <f ca="1">IFERROR(__xludf.DUMMYFUNCTION("""COMPUTED_VALUE"""),"Cultura comunitaria")</f>
        <v>Cultura comunitaria</v>
      </c>
      <c r="T569" s="30" t="str">
        <f ca="1">IFERROR(__xludf.DUMMYFUNCTION("""COMPUTED_VALUE"""),"Mediación cultural")</f>
        <v>Mediación cultural</v>
      </c>
      <c r="U569" s="30" t="str">
        <f ca="1">IFERROR(__xludf.DUMMYFUNCTION("""COMPUTED_VALUE"""),"Visitas escolares")</f>
        <v>Visitas escolares</v>
      </c>
      <c r="V569" s="30" t="str">
        <f ca="1">IFERROR(__xludf.DUMMYFUNCTION("""COMPUTED_VALUE"""),"Ninguna")</f>
        <v>Ninguna</v>
      </c>
      <c r="W569" s="30" t="str">
        <f ca="1">IFERROR(__xludf.DUMMYFUNCTION("""COMPUTED_VALUE"""),"Presencial")</f>
        <v>Presencial</v>
      </c>
      <c r="X569" s="30" t="str">
        <f ca="1">IFERROR(__xludf.DUMMYFUNCTION("""COMPUTED_VALUE"""),"Espacio a Cargo de la Secretaría")</f>
        <v>Espacio a Cargo de la Secretaría</v>
      </c>
      <c r="Y569" s="30" t="str">
        <f ca="1">IFERROR(__xludf.DUMMYFUNCTION("""COMPUTED_VALUE"""),"Museo de Arte e Historia de Guanajuato, sala Feliciano Peña")</f>
        <v>Museo de Arte e Historia de Guanajuato, sala Feliciano Peña</v>
      </c>
      <c r="Z569" s="30"/>
      <c r="AA569" s="30"/>
      <c r="AB569" s="30" t="b">
        <f ca="1">IFERROR(__xludf.DUMMYFUNCTION("""COMPUTED_VALUE"""),FALSE)</f>
        <v>0</v>
      </c>
      <c r="AC569" s="30"/>
      <c r="AD569" s="30" t="b">
        <f ca="1">IFERROR(__xludf.DUMMYFUNCTION("""COMPUTED_VALUE"""),FALSE)</f>
        <v>0</v>
      </c>
      <c r="AE569" s="30"/>
      <c r="AF569" s="30" t="b">
        <f ca="1">IFERROR(__xludf.DUMMYFUNCTION("""COMPUTED_VALUE"""),FALSE)</f>
        <v>0</v>
      </c>
      <c r="AG569" s="30"/>
      <c r="AH569" s="30" t="str">
        <f ca="1">IFERROR(__xludf.DUMMYFUNCTION("""COMPUTED_VALUE"""),"Sin costo")</f>
        <v>Sin costo</v>
      </c>
      <c r="AI569" s="30"/>
      <c r="AJ569" s="30"/>
      <c r="AK569" s="30"/>
      <c r="AL569" s="30" t="str">
        <f ca="1">IFERROR(__xludf.DUMMYFUNCTION("""COMPUTED_VALUE"""),"ccardonav@guanajuato.gob.mx")</f>
        <v>ccardonav@guanajuato.gob.mx</v>
      </c>
      <c r="AM569" s="30" t="str">
        <f ca="1">IFERROR(__xludf.DUMMYFUNCTION("""COMPUTED_VALUE"""),"Arraigo y empoderamiento cultural de comunidades.")</f>
        <v>Arraigo y empoderamiento cultural de comunidades.</v>
      </c>
      <c r="AN569" s="30" t="str">
        <f ca="1">IFERROR(__xludf.DUMMYFUNCTION("""COMPUTED_VALUE"""),"2 Igualdad")</f>
        <v>2 Igualdad</v>
      </c>
      <c r="AO569" s="30" t="str">
        <f ca="1">IFERROR(__xludf.DUMMYFUNCTION("""COMPUTED_VALUE"""),"2.4 Reducir brechas de desigualdad")</f>
        <v>2.4 Reducir brechas de desigualdad</v>
      </c>
      <c r="AP569" s="30" t="str">
        <f ca="1">IFERROR(__xludf.DUMMYFUNCTION("""COMPUTED_VALUE"""),"2.4.3 Descentralización de la oferta cultural")</f>
        <v>2.4.3 Descentralización de la oferta cultural</v>
      </c>
      <c r="AQ569" s="30" t="str">
        <f ca="1">IFERROR(__xludf.DUMMYFUNCTION("""COMPUTED_VALUE"""),"2.4.3.3 Incidir en el involucramiento de las personas con el ecosistema cultural")</f>
        <v>2.4.3.3 Incidir en el involucramiento de las personas con el ecosistema cultural</v>
      </c>
      <c r="AR569" s="30" t="str">
        <f ca="1">IFERROR(__xludf.DUMMYFUNCTION("""COMPUTED_VALUE"""),"Cooperación")</f>
        <v>Cooperación</v>
      </c>
      <c r="AS569" s="30"/>
      <c r="AT569" s="30" t="str">
        <f ca="1">IFERROR(__xludf.DUMMYFUNCTION("""COMPUTED_VALUE"""),"Fortalecimiento de la participación ciudadana y la mediación cultural")</f>
        <v>Fortalecimiento de la participación ciudadana y la mediación cultural</v>
      </c>
      <c r="AU569" s="30" t="str">
        <f ca="1">IFERROR(__xludf.DUMMYFUNCTION("""COMPUTED_VALUE"""),"Impulso a la ampliación de la oferta cultural en los territorios.")</f>
        <v>Impulso a la ampliación de la oferta cultural en los territorios.</v>
      </c>
      <c r="AV56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69" s="30" t="str">
        <f ca="1">IFERROR(__xludf.DUMMYFUNCTION("""COMPUTED_VALUE"""),"Incrementar en 25% la oferta cultural realizada en los municipios.")</f>
        <v>Incrementar en 25% la oferta cultural realizada en los municipios.</v>
      </c>
      <c r="AX569" s="30" t="str">
        <f ca="1">IFERROR(__xludf.DUMMYFUNCTION("""COMPUTED_VALUE"""),"Visitas escolares")</f>
        <v>Visitas escolares</v>
      </c>
      <c r="AY569" s="30" t="str">
        <f ca="1">IFERROR(__xludf.DUMMYFUNCTION("""COMPUTED_VALUE"""),"Mediación")</f>
        <v>Mediación</v>
      </c>
      <c r="AZ569" s="30"/>
      <c r="BA569" s="30"/>
      <c r="BB569" s="30"/>
      <c r="BC569" s="30">
        <f ca="1">IFERROR(__xludf.DUMMYFUNCTION("""COMPUTED_VALUE"""),0)</f>
        <v>0</v>
      </c>
      <c r="BD569" s="30"/>
      <c r="BE569" s="30"/>
      <c r="BF569" s="30" t="b">
        <f ca="1">IFERROR(__xludf.DUMMYFUNCTION("""COMPUTED_VALUE"""),FALSE)</f>
        <v>0</v>
      </c>
      <c r="BG569" s="30"/>
      <c r="BH569" s="30"/>
      <c r="BI569" s="30"/>
      <c r="BJ569" s="30"/>
      <c r="BK569" s="30"/>
      <c r="BL569" s="30"/>
      <c r="BM569" s="30" t="str">
        <f ca="1">IFERROR(__xludf.DUMMYFUNCTION("""COMPUTED_VALUE"""),"No")</f>
        <v>No</v>
      </c>
      <c r="BN569" s="30"/>
      <c r="BO569" s="30" t="str">
        <f ca="1">IFERROR(__xludf.DUMMYFUNCTION("""COMPUTED_VALUE"""),"3ecceb5a")</f>
        <v>3ecceb5a</v>
      </c>
      <c r="BP569" s="29" t="str">
        <f ca="1">IFERROR(__xludf.DUMMYFUNCTION("""COMPUTED_VALUE"""),"León")</f>
        <v>León</v>
      </c>
      <c r="BQ569" s="30" t="str">
        <f ca="1">IFERROR(__xludf.DUMMYFUNCTION("""COMPUTED_VALUE"""),"Urbano")</f>
        <v>Urbano</v>
      </c>
      <c r="BR569" s="30"/>
      <c r="BS569" s="30"/>
      <c r="BT569" s="30"/>
      <c r="BU569" s="30" t="str">
        <f ca="1">IFERROR(__xludf.DUMMYFUNCTION("""COMPUTED_VALUE"""),"No")</f>
        <v>No</v>
      </c>
      <c r="BV569" s="30" t="str">
        <f ca="1">IFERROR(__xludf.DUMMYFUNCTION("""COMPUTED_VALUE"""),"No")</f>
        <v>No</v>
      </c>
      <c r="BW569" s="30">
        <f ca="1">IFERROR(__xludf.DUMMYFUNCTION("""COMPUTED_VALUE"""),4)</f>
        <v>4</v>
      </c>
      <c r="BX569" s="30">
        <f ca="1">IFERROR(__xludf.DUMMYFUNCTION("""COMPUTED_VALUE"""),4)</f>
        <v>4</v>
      </c>
      <c r="BY569" s="30">
        <f ca="1">IFERROR(__xludf.DUMMYFUNCTION("""COMPUTED_VALUE"""),0)</f>
        <v>0</v>
      </c>
      <c r="BZ569" s="30"/>
      <c r="CA569" s="30" t="str">
        <f ca="1">IFERROR(__xludf.DUMMYFUNCTION("""COMPUTED_VALUE"""),"No")</f>
        <v>No</v>
      </c>
      <c r="CB569" s="30" t="str">
        <f ca="1">IFERROR(__xludf.DUMMYFUNCTION("""COMPUTED_VALUE"""),"No")</f>
        <v>No</v>
      </c>
      <c r="CC569" s="30" t="str">
        <f ca="1">IFERROR(__xludf.DUMMYFUNCTION("""COMPUTED_VALUE"""),"e44916ec")</f>
        <v>e44916ec</v>
      </c>
      <c r="CD569" s="29" t="str">
        <f ca="1">IFERROR(__xludf.DUMMYFUNCTION("""COMPUTED_VALUE"""),"Adultos (30 a 59 años)")</f>
        <v>Adultos (30 a 59 años)</v>
      </c>
      <c r="CE569" s="30" t="str">
        <f ca="1">IFERROR(__xludf.DUMMYFUNCTION("""COMPUTED_VALUE"""),"No se cuenta con el dato")</f>
        <v>No se cuenta con el dato</v>
      </c>
      <c r="CF569" s="30" t="str">
        <f ca="1">IFERROR(__xludf.DUMMYFUNCTION("""COMPUTED_VALUE"""),"Ninguno (Población General)")</f>
        <v>Ninguno (Población General)</v>
      </c>
      <c r="CG569" s="30">
        <f ca="1">IFERROR(__xludf.DUMMYFUNCTION("""COMPUTED_VALUE"""),15)</f>
        <v>15</v>
      </c>
      <c r="CJ569" s="29"/>
      <c r="CM569" s="30" t="str">
        <f ca="1">IFERROR(__xludf.DUMMYFUNCTION("""COMPUTED_VALUE"""),"")</f>
        <v/>
      </c>
      <c r="CN569" s="32" t="e">
        <f ca="1"/>
        <v>#NAME?</v>
      </c>
      <c r="CO569" s="32" t="e">
        <f ca="1"/>
        <v>#NAME?</v>
      </c>
      <c r="CP569" s="32" t="e">
        <f ca="1"/>
        <v>#NAME?</v>
      </c>
      <c r="CQ569" s="32" t="e">
        <f ca="1"/>
        <v>#NAME?</v>
      </c>
      <c r="CR569" s="30" t="e">
        <f ca="1"/>
        <v>#NAME?</v>
      </c>
      <c r="CS569" s="30" t="str">
        <f ca="1">IFERROR(__xludf.DUMMYFUNCTION("""COMPUTED_VALUE"""),"Población General")</f>
        <v>Población General</v>
      </c>
    </row>
    <row r="570" spans="1:97" ht="13">
      <c r="A570" s="29" t="str">
        <f ca="1">IFERROR(__xludf.DUMMYFUNCTION("""COMPUTED_VALUE"""),"ACT-SCDB57542")</f>
        <v>ACT-SCDB57542</v>
      </c>
      <c r="B570" s="30" t="str">
        <f ca="1">IFERROR(__xludf.DUMMYFUNCTION("""COMPUTED_VALUE"""),"SC-261015-111103")</f>
        <v>SC-261015-111103</v>
      </c>
      <c r="C570" s="62">
        <f ca="1">IFERROR(__xludf.DUMMYFUNCTION("""COMPUTED_VALUE"""),46310.4660069444)</f>
        <v>46310.4660069444</v>
      </c>
      <c r="D570" s="30">
        <f ca="1">IFERROR(__xludf.DUMMYFUNCTION("""COMPUTED_VALUE"""),92)</f>
        <v>92</v>
      </c>
      <c r="E570" s="30" t="str">
        <f ca="1">IFERROR(__xludf.DUMMYFUNCTION("""COMPUTED_VALUE"""),"PB3572")</f>
        <v>PB3572</v>
      </c>
      <c r="F57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7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70" s="30" t="str">
        <f ca="1">IFERROR(__xludf.DUMMYFUNCTION("""COMPUTED_VALUE"""),"SUBSECRETARÍA DE DESARROLLO Y PROMOCIÓN ARTÍSTICA Y CULTURAL")</f>
        <v>SUBSECRETARÍA DE DESARROLLO Y PROMOCIÓN ARTÍSTICA Y CULTURAL</v>
      </c>
      <c r="I570" s="34" t="str">
        <f ca="1">IFERROR(__xludf.DUMMYFUNCTION("""COMPUTED_VALUE"""),"DIRECCIÓN GENERAL DE MUSEOS, ARTES VISUALES Y EXPOSICIONES")</f>
        <v>DIRECCIÓN GENERAL DE MUSEOS, ARTES VISUALES Y EXPOSICIONES</v>
      </c>
      <c r="J570" s="30" t="str">
        <f ca="1">IFERROR(__xludf.DUMMYFUNCTION("""COMPUTED_VALUE"""),"Número de Actividades realizadas")</f>
        <v>Número de Actividades realizadas</v>
      </c>
      <c r="K570" s="30">
        <f ca="1">IFERROR(__xludf.DUMMYFUNCTION("""COMPUTED_VALUE"""),800)</f>
        <v>800</v>
      </c>
      <c r="L570" s="30" t="str">
        <f ca="1">IFERROR(__xludf.DUMMYFUNCTION("""COMPUTED_VALUE"""),"Artística")</f>
        <v>Artística</v>
      </c>
      <c r="M570" s="30" t="str">
        <f ca="1">IFERROR(__xludf.DUMMYFUNCTION("""COMPUTED_VALUE"""),"Carretilla de cuarzo")</f>
        <v>Carretilla de cuarzo</v>
      </c>
      <c r="N570" s="30" t="str">
        <f ca="1">IFERROR(__xludf.DUMMYFUNCTION("""COMPUTED_VALUE"""),"Actividad artística de taller familiar, corresponsabilidad con la exposición permanente de cultura regional")</f>
        <v>Actividad artística de taller familiar, corresponsabilidad con la exposición permanente de cultura regional</v>
      </c>
      <c r="O570" s="30" t="str">
        <f ca="1">IFERROR(__xludf.DUMMYFUNCTION("""COMPUTED_VALUE"""),"Semanal")</f>
        <v>Semanal</v>
      </c>
      <c r="P570" s="33">
        <f ca="1">IFERROR(__xludf.DUMMYFUNCTION("""COMPUTED_VALUE"""),46270)</f>
        <v>46270</v>
      </c>
      <c r="Q570" s="33">
        <f ca="1">IFERROR(__xludf.DUMMYFUNCTION("""COMPUTED_VALUE"""),46292)</f>
        <v>46292</v>
      </c>
      <c r="R570" s="30">
        <f ca="1">IFERROR(__xludf.DUMMYFUNCTION("""COMPUTED_VALUE"""),3)</f>
        <v>3</v>
      </c>
      <c r="S570" s="30" t="str">
        <f ca="1">IFERROR(__xludf.DUMMYFUNCTION("""COMPUTED_VALUE"""),"Cultura comunitaria")</f>
        <v>Cultura comunitaria</v>
      </c>
      <c r="T570" s="30" t="str">
        <f ca="1">IFERROR(__xludf.DUMMYFUNCTION("""COMPUTED_VALUE"""),"Mediación cultural")</f>
        <v>Mediación cultural</v>
      </c>
      <c r="U570" s="30" t="str">
        <f ca="1">IFERROR(__xludf.DUMMYFUNCTION("""COMPUTED_VALUE"""),"Taller")</f>
        <v>Taller</v>
      </c>
      <c r="V570" s="30" t="str">
        <f ca="1">IFERROR(__xludf.DUMMYFUNCTION("""COMPUTED_VALUE"""),"Ninguna")</f>
        <v>Ninguna</v>
      </c>
      <c r="W570" s="30" t="str">
        <f ca="1">IFERROR(__xludf.DUMMYFUNCTION("""COMPUTED_VALUE"""),"Presencial")</f>
        <v>Presencial</v>
      </c>
      <c r="X570" s="30" t="str">
        <f ca="1">IFERROR(__xludf.DUMMYFUNCTION("""COMPUTED_VALUE"""),"Espacio a Cargo de la Secretaría")</f>
        <v>Espacio a Cargo de la Secretaría</v>
      </c>
      <c r="Y570" s="30" t="str">
        <f ca="1">IFERROR(__xludf.DUMMYFUNCTION("""COMPUTED_VALUE"""),"Museo de Arte e Historia de Guanajuato, sala Feliciano Peña")</f>
        <v>Museo de Arte e Historia de Guanajuato, sala Feliciano Peña</v>
      </c>
      <c r="Z570" s="30"/>
      <c r="AA570" s="30"/>
      <c r="AB570" s="30" t="b">
        <f ca="1">IFERROR(__xludf.DUMMYFUNCTION("""COMPUTED_VALUE"""),FALSE)</f>
        <v>0</v>
      </c>
      <c r="AC570" s="30"/>
      <c r="AD570" s="30" t="b">
        <f ca="1">IFERROR(__xludf.DUMMYFUNCTION("""COMPUTED_VALUE"""),FALSE)</f>
        <v>0</v>
      </c>
      <c r="AE570" s="30"/>
      <c r="AF570" s="30" t="b">
        <f ca="1">IFERROR(__xludf.DUMMYFUNCTION("""COMPUTED_VALUE"""),FALSE)</f>
        <v>0</v>
      </c>
      <c r="AG570" s="30"/>
      <c r="AH570" s="30" t="str">
        <f ca="1">IFERROR(__xludf.DUMMYFUNCTION("""COMPUTED_VALUE"""),"Sin costo")</f>
        <v>Sin costo</v>
      </c>
      <c r="AI570" s="30"/>
      <c r="AJ570" s="30"/>
      <c r="AK570" s="30"/>
      <c r="AL570" s="30" t="str">
        <f ca="1">IFERROR(__xludf.DUMMYFUNCTION("""COMPUTED_VALUE"""),"ccardonav@guanajuato.gob.mx")</f>
        <v>ccardonav@guanajuato.gob.mx</v>
      </c>
      <c r="AM570" s="30" t="str">
        <f ca="1">IFERROR(__xludf.DUMMYFUNCTION("""COMPUTED_VALUE"""),"Arraigo y empoderamiento cultural de comunidades.")</f>
        <v>Arraigo y empoderamiento cultural de comunidades.</v>
      </c>
      <c r="AN570" s="30" t="str">
        <f ca="1">IFERROR(__xludf.DUMMYFUNCTION("""COMPUTED_VALUE"""),"2 Igualdad")</f>
        <v>2 Igualdad</v>
      </c>
      <c r="AO570" s="30" t="str">
        <f ca="1">IFERROR(__xludf.DUMMYFUNCTION("""COMPUTED_VALUE"""),"2.4 Reducir brechas de desigualdad")</f>
        <v>2.4 Reducir brechas de desigualdad</v>
      </c>
      <c r="AP570" s="30" t="str">
        <f ca="1">IFERROR(__xludf.DUMMYFUNCTION("""COMPUTED_VALUE"""),"2.4.3 Descentralización de la oferta cultural")</f>
        <v>2.4.3 Descentralización de la oferta cultural</v>
      </c>
      <c r="AQ570" s="30" t="str">
        <f ca="1">IFERROR(__xludf.DUMMYFUNCTION("""COMPUTED_VALUE"""),"2.4.3.3 Incidir en el involucramiento de las personas con el ecosistema cultural")</f>
        <v>2.4.3.3 Incidir en el involucramiento de las personas con el ecosistema cultural</v>
      </c>
      <c r="AR570" s="30" t="str">
        <f ca="1">IFERROR(__xludf.DUMMYFUNCTION("""COMPUTED_VALUE"""),"Cooperación")</f>
        <v>Cooperación</v>
      </c>
      <c r="AS570" s="30"/>
      <c r="AT570" s="30" t="str">
        <f ca="1">IFERROR(__xludf.DUMMYFUNCTION("""COMPUTED_VALUE"""),"Fortalecimiento de la participación ciudadana y la mediación cultural")</f>
        <v>Fortalecimiento de la participación ciudadana y la mediación cultural</v>
      </c>
      <c r="AU570" s="30" t="str">
        <f ca="1">IFERROR(__xludf.DUMMYFUNCTION("""COMPUTED_VALUE"""),"Impulso a la ampliación de la oferta cultural en los territorios.")</f>
        <v>Impulso a la ampliación de la oferta cultural en los territorios.</v>
      </c>
      <c r="AV57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0" s="30" t="str">
        <f ca="1">IFERROR(__xludf.DUMMYFUNCTION("""COMPUTED_VALUE"""),"Incrementar en 25% la oferta cultural realizada en los municipios.")</f>
        <v>Incrementar en 25% la oferta cultural realizada en los municipios.</v>
      </c>
      <c r="AX570" s="30" t="str">
        <f ca="1">IFERROR(__xludf.DUMMYFUNCTION("""COMPUTED_VALUE"""),"Taller")</f>
        <v>Taller</v>
      </c>
      <c r="AY570" s="30" t="str">
        <f ca="1">IFERROR(__xludf.DUMMYFUNCTION("""COMPUTED_VALUE"""),"Formación")</f>
        <v>Formación</v>
      </c>
      <c r="AZ570" s="30" t="str">
        <f ca="1">IFERROR(__xludf.DUMMYFUNCTION("""COMPUTED_VALUE"""),"Formación")</f>
        <v>Formación</v>
      </c>
      <c r="BA570" s="30"/>
      <c r="BB570" s="30"/>
      <c r="BC570" s="30">
        <f ca="1">IFERROR(__xludf.DUMMYFUNCTION("""COMPUTED_VALUE"""),0)</f>
        <v>0</v>
      </c>
      <c r="BD570" s="30"/>
      <c r="BE570" s="30"/>
      <c r="BF570" s="30" t="b">
        <f ca="1">IFERROR(__xludf.DUMMYFUNCTION("""COMPUTED_VALUE"""),FALSE)</f>
        <v>0</v>
      </c>
      <c r="BG570" s="30"/>
      <c r="BH570" s="30"/>
      <c r="BI570" s="30"/>
      <c r="BJ570" s="30"/>
      <c r="BK570" s="30"/>
      <c r="BL570" s="30"/>
      <c r="BM570" s="30" t="str">
        <f ca="1">IFERROR(__xludf.DUMMYFUNCTION("""COMPUTED_VALUE"""),"No")</f>
        <v>No</v>
      </c>
      <c r="BN570" s="30"/>
      <c r="BO570" s="30" t="str">
        <f ca="1">IFERROR(__xludf.DUMMYFUNCTION("""COMPUTED_VALUE"""),"6a83f6bd")</f>
        <v>6a83f6bd</v>
      </c>
      <c r="BP570" s="29" t="str">
        <f ca="1">IFERROR(__xludf.DUMMYFUNCTION("""COMPUTED_VALUE"""),"León")</f>
        <v>León</v>
      </c>
      <c r="BQ570" s="30" t="str">
        <f ca="1">IFERROR(__xludf.DUMMYFUNCTION("""COMPUTED_VALUE"""),"Urbano")</f>
        <v>Urbano</v>
      </c>
      <c r="BR570" s="30"/>
      <c r="BS570" s="30"/>
      <c r="BT570" s="30"/>
      <c r="BU570" s="30" t="str">
        <f ca="1">IFERROR(__xludf.DUMMYFUNCTION("""COMPUTED_VALUE"""),"No")</f>
        <v>No</v>
      </c>
      <c r="BV570" s="30" t="str">
        <f ca="1">IFERROR(__xludf.DUMMYFUNCTION("""COMPUTED_VALUE"""),"No")</f>
        <v>No</v>
      </c>
      <c r="BW570" s="30">
        <f ca="1">IFERROR(__xludf.DUMMYFUNCTION("""COMPUTED_VALUE"""),4)</f>
        <v>4</v>
      </c>
      <c r="BX570" s="30">
        <f ca="1">IFERROR(__xludf.DUMMYFUNCTION("""COMPUTED_VALUE"""),4)</f>
        <v>4</v>
      </c>
      <c r="BY570" s="30">
        <f ca="1">IFERROR(__xludf.DUMMYFUNCTION("""COMPUTED_VALUE"""),0)</f>
        <v>0</v>
      </c>
      <c r="BZ570" s="30"/>
      <c r="CA570" s="30" t="str">
        <f ca="1">IFERROR(__xludf.DUMMYFUNCTION("""COMPUTED_VALUE"""),"No")</f>
        <v>No</v>
      </c>
      <c r="CB570" s="30" t="str">
        <f ca="1">IFERROR(__xludf.DUMMYFUNCTION("""COMPUTED_VALUE"""),"No")</f>
        <v>No</v>
      </c>
      <c r="CC570" s="30" t="str">
        <f ca="1">IFERROR(__xludf.DUMMYFUNCTION("""COMPUTED_VALUE"""),"439b942a")</f>
        <v>439b942a</v>
      </c>
      <c r="CD570" s="29" t="str">
        <f ca="1">IFERROR(__xludf.DUMMYFUNCTION("""COMPUTED_VALUE"""),"Adultos (30 a 59 años)")</f>
        <v>Adultos (30 a 59 años)</v>
      </c>
      <c r="CE570" s="30" t="str">
        <f ca="1">IFERROR(__xludf.DUMMYFUNCTION("""COMPUTED_VALUE"""),"No se cuenta con el dato")</f>
        <v>No se cuenta con el dato</v>
      </c>
      <c r="CF570" s="30" t="str">
        <f ca="1">IFERROR(__xludf.DUMMYFUNCTION("""COMPUTED_VALUE"""),"Ninguno (Población General)")</f>
        <v>Ninguno (Población General)</v>
      </c>
      <c r="CG570" s="30">
        <f ca="1">IFERROR(__xludf.DUMMYFUNCTION("""COMPUTED_VALUE"""),15)</f>
        <v>15</v>
      </c>
      <c r="CJ570" s="29"/>
      <c r="CM570" s="30" t="str">
        <f ca="1">IFERROR(__xludf.DUMMYFUNCTION("""COMPUTED_VALUE"""),"Guanajuato")</f>
        <v>Guanajuato</v>
      </c>
      <c r="CN570" s="32" t="e">
        <f ca="1"/>
        <v>#NAME?</v>
      </c>
      <c r="CO570" s="32" t="e">
        <f ca="1"/>
        <v>#NAME?</v>
      </c>
      <c r="CP570" s="32" t="e">
        <f ca="1"/>
        <v>#NAME?</v>
      </c>
      <c r="CQ570" s="32" t="e">
        <f ca="1"/>
        <v>#NAME?</v>
      </c>
      <c r="CR570" s="30" t="e">
        <f ca="1"/>
        <v>#NAME?</v>
      </c>
      <c r="CS570" s="30" t="str">
        <f ca="1">IFERROR(__xludf.DUMMYFUNCTION("""COMPUTED_VALUE"""),"Ninguno (Población General)")</f>
        <v>Ninguno (Población General)</v>
      </c>
    </row>
    <row r="571" spans="1:97" ht="13">
      <c r="A571" s="29" t="str">
        <f ca="1">IFERROR(__xludf.DUMMYFUNCTION("""COMPUTED_VALUE"""),"ACT-SCYQ40561")</f>
        <v>ACT-SCYQ40561</v>
      </c>
      <c r="B571" s="30" t="str">
        <f ca="1">IFERROR(__xludf.DUMMYFUNCTION("""COMPUTED_VALUE"""),"SC-261015-145935")</f>
        <v>SC-261015-145935</v>
      </c>
      <c r="C571" s="62">
        <f ca="1">IFERROR(__xludf.DUMMYFUNCTION("""COMPUTED_VALUE"""),46310.6247106481)</f>
        <v>46310.624710648102</v>
      </c>
      <c r="D571" s="30">
        <f ca="1">IFERROR(__xludf.DUMMYFUNCTION("""COMPUTED_VALUE"""),50)</f>
        <v>50</v>
      </c>
      <c r="E571" s="30" t="str">
        <f ca="1">IFERROR(__xludf.DUMMYFUNCTION("""COMPUTED_VALUE"""),"PB3562")</f>
        <v>PB3562</v>
      </c>
      <c r="F571" s="30" t="str">
        <f ca="1">IFERROR(__xludf.DUMMYFUNCTION("""COMPUTED_VALUE"""),"Integración de nodos creativos y formativos")</f>
        <v>Integración de nodos creativos y formativos</v>
      </c>
      <c r="G571" s="30" t="str">
        <f ca="1">IFERROR(__xludf.DUMMYFUNCTION("""COMPUTED_VALUE"""),"Cursos y talleres para promotores culturales e instructores de casas de la cultura")</f>
        <v>Cursos y talleres para promotores culturales e instructores de casas de la cultura</v>
      </c>
      <c r="H571" s="30" t="str">
        <f ca="1">IFERROR(__xludf.DUMMYFUNCTION("""COMPUTED_VALUE"""),"SUBSECRETARÍA DE DESARROLLO COMUNITARIO Y PROMOCIÓN PATRIMONIAL")</f>
        <v>SUBSECRETARÍA DE DESARROLLO COMUNITARIO Y PROMOCIÓN PATRIMONIAL</v>
      </c>
      <c r="I571" s="34" t="str">
        <f ca="1">IFERROR(__xludf.DUMMYFUNCTION("""COMPUTED_VALUE"""),"DIRECCIÓN GENERAL DE VINCULACIÓN Y DESARROLLO CULTURAL")</f>
        <v>DIRECCIÓN GENERAL DE VINCULACIÓN Y DESARROLLO CULTURAL</v>
      </c>
      <c r="J571" s="30" t="str">
        <f ca="1">IFERROR(__xludf.DUMMYFUNCTION("""COMPUTED_VALUE"""),"Cursos y talleres realizados")</f>
        <v>Cursos y talleres realizados</v>
      </c>
      <c r="K571" s="30">
        <f ca="1">IFERROR(__xludf.DUMMYFUNCTION("""COMPUTED_VALUE"""),138)</f>
        <v>138</v>
      </c>
      <c r="L571" s="30" t="str">
        <f ca="1">IFERROR(__xludf.DUMMYFUNCTION("""COMPUTED_VALUE"""),"Cultural")</f>
        <v>Cultural</v>
      </c>
      <c r="M571" s="30" t="str">
        <f ca="1">IFERROR(__xludf.DUMMYFUNCTION("""COMPUTED_VALUE"""),"Cursos y talleres para promotores culturales e instructores de casas de la cultura")</f>
        <v>Cursos y talleres para promotores culturales e instructores de casas de la cultura</v>
      </c>
      <c r="N571" s="30" t="str">
        <f ca="1">IFERROR(__xludf.DUMMYFUNCTION("""COMPUTED_VALUE"""),"Cursos y talleres para promotores culturales e instructores de casas de la cultura")</f>
        <v>Cursos y talleres para promotores culturales e instructores de casas de la cultura</v>
      </c>
      <c r="O571" s="30" t="str">
        <f ca="1">IFERROR(__xludf.DUMMYFUNCTION("""COMPUTED_VALUE"""),"Otras")</f>
        <v>Otras</v>
      </c>
      <c r="P571" s="33">
        <f ca="1">IFERROR(__xludf.DUMMYFUNCTION("""COMPUTED_VALUE"""),46062)</f>
        <v>46062</v>
      </c>
      <c r="Q571" s="33">
        <f ca="1">IFERROR(__xludf.DUMMYFUNCTION("""COMPUTED_VALUE"""),46374)</f>
        <v>46374</v>
      </c>
      <c r="R571" s="30">
        <f ca="1">IFERROR(__xludf.DUMMYFUNCTION("""COMPUTED_VALUE"""),8)</f>
        <v>8</v>
      </c>
      <c r="S571" s="30" t="str">
        <f ca="1">IFERROR(__xludf.DUMMYFUNCTION("""COMPUTED_VALUE"""),"Cultura comunitaria")</f>
        <v>Cultura comunitaria</v>
      </c>
      <c r="T571" s="30" t="str">
        <f ca="1">IFERROR(__xludf.DUMMYFUNCTION("""COMPUTED_VALUE"""),"Gestión cultural")</f>
        <v>Gestión cultural</v>
      </c>
      <c r="U571" s="30" t="str">
        <f ca="1">IFERROR(__xludf.DUMMYFUNCTION("""COMPUTED_VALUE"""),"Taller")</f>
        <v>Taller</v>
      </c>
      <c r="V571" s="30" t="str">
        <f ca="1">IFERROR(__xludf.DUMMYFUNCTION("""COMPUTED_VALUE"""),"Ninguna")</f>
        <v>Ninguna</v>
      </c>
      <c r="W571" s="30" t="str">
        <f ca="1">IFERROR(__xludf.DUMMYFUNCTION("""COMPUTED_VALUE"""),"Híbrido")</f>
        <v>Híbrido</v>
      </c>
      <c r="X571" s="30" t="str">
        <f ca="1">IFERROR(__xludf.DUMMYFUNCTION("""COMPUTED_VALUE"""),"Otros Espacios Culturales")</f>
        <v>Otros Espacios Culturales</v>
      </c>
      <c r="Y571" s="30" t="str">
        <f ca="1">IFERROR(__xludf.DUMMYFUNCTION("""COMPUTED_VALUE"""),"Casa de cultura")</f>
        <v>Casa de cultura</v>
      </c>
      <c r="Z571" s="30"/>
      <c r="AA571" s="30"/>
      <c r="AB571" s="30" t="b">
        <f ca="1">IFERROR(__xludf.DUMMYFUNCTION("""COMPUTED_VALUE"""),FALSE)</f>
        <v>0</v>
      </c>
      <c r="AC571" s="30"/>
      <c r="AD571" s="30" t="b">
        <f ca="1">IFERROR(__xludf.DUMMYFUNCTION("""COMPUTED_VALUE"""),FALSE)</f>
        <v>0</v>
      </c>
      <c r="AE571" s="30"/>
      <c r="AF571" s="30" t="b">
        <f ca="1">IFERROR(__xludf.DUMMYFUNCTION("""COMPUTED_VALUE"""),FALSE)</f>
        <v>0</v>
      </c>
      <c r="AG571" s="30"/>
      <c r="AH571" s="30" t="str">
        <f ca="1">IFERROR(__xludf.DUMMYFUNCTION("""COMPUTED_VALUE"""),"Sin costo")</f>
        <v>Sin costo</v>
      </c>
      <c r="AI571" s="30"/>
      <c r="AJ571" s="30"/>
      <c r="AK571" s="30"/>
      <c r="AL571" s="30" t="str">
        <f ca="1">IFERROR(__xludf.DUMMYFUNCTION("""COMPUTED_VALUE"""),"augalde@guanajuato.gob.mx")</f>
        <v>augalde@guanajuato.gob.mx</v>
      </c>
      <c r="AM571"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571" s="30" t="str">
        <f ca="1">IFERROR(__xludf.DUMMYFUNCTION("""COMPUTED_VALUE"""),"2 Igualdad")</f>
        <v>2 Igualdad</v>
      </c>
      <c r="AO571" s="30" t="str">
        <f ca="1">IFERROR(__xludf.DUMMYFUNCTION("""COMPUTED_VALUE"""),"2.4 Reducir brechas de desigualdad")</f>
        <v>2.4 Reducir brechas de desigualdad</v>
      </c>
      <c r="AP571" s="30" t="str">
        <f ca="1">IFERROR(__xludf.DUMMYFUNCTION("""COMPUTED_VALUE"""),"2.4.3 Descentralización de la oferta cultural")</f>
        <v>2.4.3 Descentralización de la oferta cultural</v>
      </c>
      <c r="AQ571" s="30" t="str">
        <f ca="1">IFERROR(__xludf.DUMMYFUNCTION("""COMPUTED_VALUE"""),"2.4.3.3 Incidir en el involucramiento de las personas con el ecosistema cultural")</f>
        <v>2.4.3.3 Incidir en el involucramiento de las personas con el ecosistema cultural</v>
      </c>
      <c r="AR571" s="30" t="str">
        <f ca="1">IFERROR(__xludf.DUMMYFUNCTION("""COMPUTED_VALUE"""),"Ninguno")</f>
        <v>Ninguno</v>
      </c>
      <c r="AS571" s="30"/>
      <c r="AT571" s="30" t="str">
        <f ca="1">IFERROR(__xludf.DUMMYFUNCTION("""COMPUTED_VALUE"""),"Fortalecimiento de la participación ciudadana y la mediación cultural")</f>
        <v>Fortalecimiento de la participación ciudadana y la mediación cultural</v>
      </c>
      <c r="AU571" s="30" t="str">
        <f ca="1">IFERROR(__xludf.DUMMYFUNCTION("""COMPUTED_VALUE"""),"Fortalecimiento del diálogo, la mediación y las capacidades de las redes comunitarias.")</f>
        <v>Fortalecimiento del diálogo, la mediación y las capacidades de las redes comunitarias.</v>
      </c>
      <c r="AV571" s="30" t="str">
        <f ca="1">IFERROR(__xludf.DUMMYFUNCTION("""COMPUTED_VALUE"""),"Fortalecer las capacidades de autoridades locales y estatales")</f>
        <v>Fortalecer las capacidades de autoridades locales y estatales</v>
      </c>
      <c r="AW571" s="30" t="str">
        <f ca="1">IFERROR(__xludf.DUMMYFUNCTION("""COMPUTED_VALUE"""),"Incrementar en 25% la oferta cultural realizada en los municipios.")</f>
        <v>Incrementar en 25% la oferta cultural realizada en los municipios.</v>
      </c>
      <c r="AX571" s="30" t="str">
        <f ca="1">IFERROR(__xludf.DUMMYFUNCTION("""COMPUTED_VALUE"""),"Taller")</f>
        <v>Taller</v>
      </c>
      <c r="AY571" s="30" t="str">
        <f ca="1">IFERROR(__xludf.DUMMYFUNCTION("""COMPUTED_VALUE"""),"Formación")</f>
        <v>Formación</v>
      </c>
      <c r="AZ571" s="30" t="str">
        <f ca="1">IFERROR(__xludf.DUMMYFUNCTION("""COMPUTED_VALUE"""),"Formación")</f>
        <v>Formación</v>
      </c>
      <c r="BA571" s="30"/>
      <c r="BB571" s="30"/>
      <c r="BC571" s="30">
        <f ca="1">IFERROR(__xludf.DUMMYFUNCTION("""COMPUTED_VALUE"""),0)</f>
        <v>0</v>
      </c>
      <c r="BD571" s="30"/>
      <c r="BE571" s="30"/>
      <c r="BF571" s="30" t="b">
        <f ca="1">IFERROR(__xludf.DUMMYFUNCTION("""COMPUTED_VALUE"""),FALSE)</f>
        <v>0</v>
      </c>
      <c r="BG571" s="30"/>
      <c r="BH571" s="30"/>
      <c r="BI571" s="30"/>
      <c r="BJ571" s="30"/>
      <c r="BK571" s="30"/>
      <c r="BL571" s="30"/>
      <c r="BM571" s="30" t="str">
        <f ca="1">IFERROR(__xludf.DUMMYFUNCTION("""COMPUTED_VALUE"""),"Sí")</f>
        <v>Sí</v>
      </c>
      <c r="BN571" s="30" t="str">
        <f ca="1">IFERROR(__xludf.DUMMYFUNCTION("""COMPUTED_VALUE"""),"Acompañamiento Técnico")</f>
        <v>Acompañamiento Técnico</v>
      </c>
      <c r="BO571" s="30" t="str">
        <f ca="1">IFERROR(__xludf.DUMMYFUNCTION("""COMPUTED_VALUE"""),"7f0d4ed1")</f>
        <v>7f0d4ed1</v>
      </c>
      <c r="BP571" s="29" t="str">
        <f ca="1">IFERROR(__xludf.DUMMYFUNCTION("""COMPUTED_VALUE"""),"León")</f>
        <v>León</v>
      </c>
      <c r="BQ571" s="30" t="str">
        <f ca="1">IFERROR(__xludf.DUMMYFUNCTION("""COMPUTED_VALUE"""),"Urbano")</f>
        <v>Urbano</v>
      </c>
      <c r="BR571" s="30"/>
      <c r="BS571" s="30"/>
      <c r="BT571" s="30"/>
      <c r="BU571" s="30" t="str">
        <f ca="1">IFERROR(__xludf.DUMMYFUNCTION("""COMPUTED_VALUE"""),"No")</f>
        <v>No</v>
      </c>
      <c r="BV571" s="30" t="str">
        <f ca="1">IFERROR(__xludf.DUMMYFUNCTION("""COMPUTED_VALUE"""),"No")</f>
        <v>No</v>
      </c>
      <c r="BW571" s="30">
        <f ca="1">IFERROR(__xludf.DUMMYFUNCTION("""COMPUTED_VALUE"""),5)</f>
        <v>5</v>
      </c>
      <c r="BX571" s="30">
        <f ca="1">IFERROR(__xludf.DUMMYFUNCTION("""COMPUTED_VALUE"""),5)</f>
        <v>5</v>
      </c>
      <c r="BY571" s="30">
        <f ca="1">IFERROR(__xludf.DUMMYFUNCTION("""COMPUTED_VALUE"""),0)</f>
        <v>0</v>
      </c>
      <c r="BZ571" s="30"/>
      <c r="CA571" s="30" t="str">
        <f ca="1">IFERROR(__xludf.DUMMYFUNCTION("""COMPUTED_VALUE"""),"No")</f>
        <v>No</v>
      </c>
      <c r="CB571" s="30" t="str">
        <f ca="1">IFERROR(__xludf.DUMMYFUNCTION("""COMPUTED_VALUE"""),"No")</f>
        <v>No</v>
      </c>
      <c r="CC571" s="30" t="str">
        <f ca="1">IFERROR(__xludf.DUMMYFUNCTION("""COMPUTED_VALUE"""),"e56c0ff3")</f>
        <v>e56c0ff3</v>
      </c>
      <c r="CD571" s="29" t="str">
        <f ca="1">IFERROR(__xludf.DUMMYFUNCTION("""COMPUTED_VALUE"""),"Adultos (30 a 59 años)")</f>
        <v>Adultos (30 a 59 años)</v>
      </c>
      <c r="CE571" s="30" t="str">
        <f ca="1">IFERROR(__xludf.DUMMYFUNCTION("""COMPUTED_VALUE"""),"No se cuenta con el dato")</f>
        <v>No se cuenta con el dato</v>
      </c>
      <c r="CF571" s="30" t="str">
        <f ca="1">IFERROR(__xludf.DUMMYFUNCTION("""COMPUTED_VALUE"""),"Ninguno (Población General)")</f>
        <v>Ninguno (Población General)</v>
      </c>
      <c r="CG571" s="30">
        <f ca="1">IFERROR(__xludf.DUMMYFUNCTION("""COMPUTED_VALUE"""),22)</f>
        <v>22</v>
      </c>
      <c r="CJ571" s="29"/>
      <c r="CM571" s="30" t="str">
        <f ca="1">IFERROR(__xludf.DUMMYFUNCTION("""COMPUTED_VALUE"""),"Guanajuato")</f>
        <v>Guanajuato</v>
      </c>
      <c r="CN571" s="32" t="e">
        <f ca="1"/>
        <v>#NAME?</v>
      </c>
      <c r="CO571" s="32" t="e">
        <f ca="1"/>
        <v>#NAME?</v>
      </c>
      <c r="CP571" s="32" t="e">
        <f ca="1"/>
        <v>#NAME?</v>
      </c>
      <c r="CQ571" s="32" t="e">
        <f ca="1"/>
        <v>#NAME?</v>
      </c>
      <c r="CR571" s="30" t="e">
        <f ca="1"/>
        <v>#NAME?</v>
      </c>
      <c r="CS571" s="30" t="str">
        <f ca="1">IFERROR(__xludf.DUMMYFUNCTION("""COMPUTED_VALUE"""),"Ninguno (Población General)")</f>
        <v>Ninguno (Población General)</v>
      </c>
    </row>
    <row r="572" spans="1:97" ht="13">
      <c r="A572" s="29" t="str">
        <f ca="1">IFERROR(__xludf.DUMMYFUNCTION("""COMPUTED_VALUE"""),"ACT-SCQN95689")</f>
        <v>ACT-SCQN95689</v>
      </c>
      <c r="B572" s="30" t="str">
        <f ca="1">IFERROR(__xludf.DUMMYFUNCTION("""COMPUTED_VALUE"""),"SC-261016-131302")</f>
        <v>SC-261016-131302</v>
      </c>
      <c r="C572" s="62">
        <f ca="1">IFERROR(__xludf.DUMMYFUNCTION("""COMPUTED_VALUE"""),46311.5507175925)</f>
        <v>46311.550717592501</v>
      </c>
      <c r="D572" s="30">
        <f ca="1">IFERROR(__xludf.DUMMYFUNCTION("""COMPUTED_VALUE"""),51)</f>
        <v>51</v>
      </c>
      <c r="E572" s="30" t="str">
        <f ca="1">IFERROR(__xludf.DUMMYFUNCTION("""COMPUTED_VALUE"""),"PB3562")</f>
        <v>PB3562</v>
      </c>
      <c r="F572" s="30" t="str">
        <f ca="1">IFERROR(__xludf.DUMMYFUNCTION("""COMPUTED_VALUE"""),"Integración de nodos creativos y formativos")</f>
        <v>Integración de nodos creativos y formativos</v>
      </c>
      <c r="G572" s="30" t="str">
        <f ca="1">IFERROR(__xludf.DUMMYFUNCTION("""COMPUTED_VALUE"""),"Talleres de educación artística y cultural no formales impartidos en casas de cultura y salones culturales")</f>
        <v>Talleres de educación artística y cultural no formales impartidos en casas de cultura y salones culturales</v>
      </c>
      <c r="H572" s="30" t="str">
        <f ca="1">IFERROR(__xludf.DUMMYFUNCTION("""COMPUTED_VALUE"""),"SUBSECRETARÍA DE DESARROLLO COMUNITARIO Y PROMOCIÓN PATRIMONIAL")</f>
        <v>SUBSECRETARÍA DE DESARROLLO COMUNITARIO Y PROMOCIÓN PATRIMONIAL</v>
      </c>
      <c r="I572" s="34" t="str">
        <f ca="1">IFERROR(__xludf.DUMMYFUNCTION("""COMPUTED_VALUE"""),"DIRECCIÓN GENERAL DE VINCULACIÓN Y DESARROLLO CULTURAL")</f>
        <v>DIRECCIÓN GENERAL DE VINCULACIÓN Y DESARROLLO CULTURAL</v>
      </c>
      <c r="J572" s="30" t="str">
        <f ca="1">IFERROR(__xludf.DUMMYFUNCTION("""COMPUTED_VALUE"""),"Talleres realizados")</f>
        <v>Talleres realizados</v>
      </c>
      <c r="K572" s="30">
        <f ca="1">IFERROR(__xludf.DUMMYFUNCTION("""COMPUTED_VALUE"""),3800)</f>
        <v>3800</v>
      </c>
      <c r="L572" s="30" t="str">
        <f ca="1">IFERROR(__xludf.DUMMYFUNCTION("""COMPUTED_VALUE"""),"Artística")</f>
        <v>Artística</v>
      </c>
      <c r="M572" s="30" t="str">
        <f ca="1">IFERROR(__xludf.DUMMYFUNCTION("""COMPUTED_VALUE"""),"Talleres de educación artística y cultural no formales impartidos en casas de cultura y salones culturales")</f>
        <v>Talleres de educación artística y cultural no formales impartidos en casas de cultura y salones culturales</v>
      </c>
      <c r="N572" s="30" t="str">
        <f ca="1">IFERROR(__xludf.DUMMYFUNCTION("""COMPUTED_VALUE"""),"Talleres de educación artística y cultural no formales impartidos en casas de cultura y salones culturales")</f>
        <v>Talleres de educación artística y cultural no formales impartidos en casas de cultura y salones culturales</v>
      </c>
      <c r="O572" s="30" t="str">
        <f ca="1">IFERROR(__xludf.DUMMYFUNCTION("""COMPUTED_VALUE"""),"Otras")</f>
        <v>Otras</v>
      </c>
      <c r="P572" s="33">
        <f ca="1">IFERROR(__xludf.DUMMYFUNCTION("""COMPUTED_VALUE"""),46034)</f>
        <v>46034</v>
      </c>
      <c r="Q572" s="33">
        <f ca="1">IFERROR(__xludf.DUMMYFUNCTION("""COMPUTED_VALUE"""),46053)</f>
        <v>46053</v>
      </c>
      <c r="R572" s="30">
        <f ca="1">IFERROR(__xludf.DUMMYFUNCTION("""COMPUTED_VALUE"""),687)</f>
        <v>687</v>
      </c>
      <c r="S572" s="30" t="str">
        <f ca="1">IFERROR(__xludf.DUMMYFUNCTION("""COMPUTED_VALUE"""),"Artes visuales")</f>
        <v>Artes visuales</v>
      </c>
      <c r="T572" s="30" t="str">
        <f ca="1">IFERROR(__xludf.DUMMYFUNCTION("""COMPUTED_VALUE"""),"Pintura")</f>
        <v>Pintura</v>
      </c>
      <c r="U572" s="30" t="str">
        <f ca="1">IFERROR(__xludf.DUMMYFUNCTION("""COMPUTED_VALUE"""),"Taller")</f>
        <v>Taller</v>
      </c>
      <c r="V572" s="30" t="str">
        <f ca="1">IFERROR(__xludf.DUMMYFUNCTION("""COMPUTED_VALUE"""),"Ninguna")</f>
        <v>Ninguna</v>
      </c>
      <c r="W572" s="30" t="str">
        <f ca="1">IFERROR(__xludf.DUMMYFUNCTION("""COMPUTED_VALUE"""),"Presencial")</f>
        <v>Presencial</v>
      </c>
      <c r="X572" s="30" t="str">
        <f ca="1">IFERROR(__xludf.DUMMYFUNCTION("""COMPUTED_VALUE"""),"Otros Espacios Culturales")</f>
        <v>Otros Espacios Culturales</v>
      </c>
      <c r="Y572" s="30" t="str">
        <f ca="1">IFERROR(__xludf.DUMMYFUNCTION("""COMPUTED_VALUE"""),"Casa de cultura")</f>
        <v>Casa de cultura</v>
      </c>
      <c r="Z572" s="30"/>
      <c r="AA572" s="30"/>
      <c r="AB572" s="30" t="b">
        <f ca="1">IFERROR(__xludf.DUMMYFUNCTION("""COMPUTED_VALUE"""),FALSE)</f>
        <v>0</v>
      </c>
      <c r="AC572" s="30"/>
      <c r="AD572" s="30" t="b">
        <f ca="1">IFERROR(__xludf.DUMMYFUNCTION("""COMPUTED_VALUE"""),FALSE)</f>
        <v>0</v>
      </c>
      <c r="AE572" s="30">
        <f ca="1">IFERROR(__xludf.DUMMYFUNCTION("""COMPUTED_VALUE"""),1)</f>
        <v>1</v>
      </c>
      <c r="AF572" s="30" t="b">
        <f ca="1">IFERROR(__xludf.DUMMYFUNCTION("""COMPUTED_VALUE"""),FALSE)</f>
        <v>0</v>
      </c>
      <c r="AG572" s="30"/>
      <c r="AH572" s="30" t="str">
        <f ca="1">IFERROR(__xludf.DUMMYFUNCTION("""COMPUTED_VALUE"""),"Sin costo")</f>
        <v>Sin costo</v>
      </c>
      <c r="AI572" s="30"/>
      <c r="AJ572" s="30"/>
      <c r="AK572" s="30"/>
      <c r="AL572" s="30" t="str">
        <f ca="1">IFERROR(__xludf.DUMMYFUNCTION("""COMPUTED_VALUE"""),"augalde@guanajuato.gob.mx")</f>
        <v>augalde@guanajuato.gob.mx</v>
      </c>
      <c r="AM572" s="30" t="str">
        <f ca="1">IFERROR(__xludf.DUMMYFUNCTION("""COMPUTED_VALUE"""),"Fortalecer la vinculación y el trabajo con casas de cultura y centros culturales municipales.")</f>
        <v>Fortalecer la vinculación y el trabajo con casas de cultura y centros culturales municipales.</v>
      </c>
      <c r="AN572" s="30" t="str">
        <f ca="1">IFERROR(__xludf.DUMMYFUNCTION("""COMPUTED_VALUE"""),"2 Igualdad")</f>
        <v>2 Igualdad</v>
      </c>
      <c r="AO572" s="30" t="str">
        <f ca="1">IFERROR(__xludf.DUMMYFUNCTION("""COMPUTED_VALUE"""),"2.4 Reducir brechas de desigualdad")</f>
        <v>2.4 Reducir brechas de desigualdad</v>
      </c>
      <c r="AP572" s="30" t="str">
        <f ca="1">IFERROR(__xludf.DUMMYFUNCTION("""COMPUTED_VALUE"""),"2.4.3 Descentralización de la oferta cultural")</f>
        <v>2.4.3 Descentralización de la oferta cultural</v>
      </c>
      <c r="AQ572" s="30" t="str">
        <f ca="1">IFERROR(__xludf.DUMMYFUNCTION("""COMPUTED_VALUE"""),"2.4.3.3 Incidir en el involucramiento de las personas con el ecosistema cultural")</f>
        <v>2.4.3.3 Incidir en el involucramiento de las personas con el ecosistema cultural</v>
      </c>
      <c r="AR572" s="30" t="str">
        <f ca="1">IFERROR(__xludf.DUMMYFUNCTION("""COMPUTED_VALUE"""),"Ninguno")</f>
        <v>Ninguno</v>
      </c>
      <c r="AS572" s="30"/>
      <c r="AT572" s="30" t="str">
        <f ca="1">IFERROR(__xludf.DUMMYFUNCTION("""COMPUTED_VALUE"""),"Fortalecimiento de la participación ciudadana y la mediación cultural")</f>
        <v>Fortalecimiento de la participación ciudadana y la mediación cultural</v>
      </c>
      <c r="AU572" s="30" t="str">
        <f ca="1">IFERROR(__xludf.DUMMYFUNCTION("""COMPUTED_VALUE"""),"Impulso a la ampliación de la oferta cultural en los territorios.")</f>
        <v>Impulso a la ampliación de la oferta cultural en los territorios.</v>
      </c>
      <c r="AV57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2" s="30" t="str">
        <f ca="1">IFERROR(__xludf.DUMMYFUNCTION("""COMPUTED_VALUE"""),"Incrementar en 25% la oferta cultural realizada en los municipios.")</f>
        <v>Incrementar en 25% la oferta cultural realizada en los municipios.</v>
      </c>
      <c r="AX572" s="30" t="str">
        <f ca="1">IFERROR(__xludf.DUMMYFUNCTION("""COMPUTED_VALUE"""),"Taller")</f>
        <v>Taller</v>
      </c>
      <c r="AY572" s="30" t="str">
        <f ca="1">IFERROR(__xludf.DUMMYFUNCTION("""COMPUTED_VALUE"""),"Formación")</f>
        <v>Formación</v>
      </c>
      <c r="AZ572" s="30" t="str">
        <f ca="1">IFERROR(__xludf.DUMMYFUNCTION("""COMPUTED_VALUE"""),"Formación")</f>
        <v>Formación</v>
      </c>
      <c r="BA572" s="30"/>
      <c r="BB572" s="30"/>
      <c r="BC572" s="30">
        <f ca="1">IFERROR(__xludf.DUMMYFUNCTION("""COMPUTED_VALUE"""),0)</f>
        <v>0</v>
      </c>
      <c r="BD572" s="30"/>
      <c r="BE572" s="30"/>
      <c r="BF572" s="30" t="b">
        <f ca="1">IFERROR(__xludf.DUMMYFUNCTION("""COMPUTED_VALUE"""),TRUE)</f>
        <v>1</v>
      </c>
      <c r="BG572" s="30" t="str">
        <f ca="1">IFERROR(__xludf.DUMMYFUNCTION("""COMPUTED_VALUE"""),"Económico")</f>
        <v>Económico</v>
      </c>
      <c r="BH572" s="30"/>
      <c r="BI572" s="30"/>
      <c r="BJ572" s="30"/>
      <c r="BK572" s="30"/>
      <c r="BL572" s="30" t="str">
        <f ca="1">IFERROR(__xludf.DUMMYFUNCTION("""COMPUTED_VALUE"""),"Subsidios")</f>
        <v>Subsidios</v>
      </c>
      <c r="BM572" s="30" t="str">
        <f ca="1">IFERROR(__xludf.DUMMYFUNCTION("""COMPUTED_VALUE"""),"Sí")</f>
        <v>Sí</v>
      </c>
      <c r="BN572" s="30" t="str">
        <f ca="1">IFERROR(__xludf.DUMMYFUNCTION("""COMPUTED_VALUE"""),"Gestión de recursos económicos")</f>
        <v>Gestión de recursos económicos</v>
      </c>
      <c r="BO572" s="30" t="str">
        <f ca="1">IFERROR(__xludf.DUMMYFUNCTION("""COMPUTED_VALUE"""),"15dbe9db")</f>
        <v>15dbe9db</v>
      </c>
      <c r="BP572" s="29" t="str">
        <f ca="1">IFERROR(__xludf.DUMMYFUNCTION("""COMPUTED_VALUE"""),"Uriangato")</f>
        <v>Uriangato</v>
      </c>
      <c r="BQ572" s="30" t="str">
        <f ca="1">IFERROR(__xludf.DUMMYFUNCTION("""COMPUTED_VALUE"""),"Urbano")</f>
        <v>Urbano</v>
      </c>
      <c r="BR572" s="30"/>
      <c r="BS572" s="30"/>
      <c r="BT572" s="30"/>
      <c r="BU572" s="30" t="str">
        <f ca="1">IFERROR(__xludf.DUMMYFUNCTION("""COMPUTED_VALUE"""),"No")</f>
        <v>No</v>
      </c>
      <c r="BV572" s="30" t="str">
        <f ca="1">IFERROR(__xludf.DUMMYFUNCTION("""COMPUTED_VALUE"""),"No")</f>
        <v>No</v>
      </c>
      <c r="BW572" s="30">
        <f ca="1">IFERROR(__xludf.DUMMYFUNCTION("""COMPUTED_VALUE"""),12542)</f>
        <v>12542</v>
      </c>
      <c r="BX572" s="30"/>
      <c r="BY572" s="30">
        <f ca="1">IFERROR(__xludf.DUMMYFUNCTION("""COMPUTED_VALUE"""),12542)</f>
        <v>12542</v>
      </c>
      <c r="BZ572" s="30"/>
      <c r="CA572" s="30" t="str">
        <f ca="1">IFERROR(__xludf.DUMMYFUNCTION("""COMPUTED_VALUE"""),"No")</f>
        <v>No</v>
      </c>
      <c r="CB572" s="30" t="str">
        <f ca="1">IFERROR(__xludf.DUMMYFUNCTION("""COMPUTED_VALUE"""),"No")</f>
        <v>No</v>
      </c>
      <c r="CC572" s="30" t="str">
        <f ca="1">IFERROR(__xludf.DUMMYFUNCTION("""COMPUTED_VALUE"""),"0242522f")</f>
        <v>0242522f</v>
      </c>
      <c r="CD572" s="29" t="str">
        <f ca="1">IFERROR(__xludf.DUMMYFUNCTION("""COMPUTED_VALUE"""),"Niñas y Niños (6 a 12 años)")</f>
        <v>Niñas y Niños (6 a 12 años)</v>
      </c>
      <c r="CE572" s="30" t="str">
        <f ca="1">IFERROR(__xludf.DUMMYFUNCTION("""COMPUTED_VALUE"""),"No se cuenta con el dato")</f>
        <v>No se cuenta con el dato</v>
      </c>
      <c r="CF572" s="30" t="str">
        <f ca="1">IFERROR(__xludf.DUMMYFUNCTION("""COMPUTED_VALUE"""),"Ninguno (Población General)")</f>
        <v>Ninguno (Población General)</v>
      </c>
      <c r="CG572" s="30">
        <f ca="1">IFERROR(__xludf.DUMMYFUNCTION("""COMPUTED_VALUE"""),3)</f>
        <v>3</v>
      </c>
      <c r="CJ572" s="29"/>
      <c r="CM572" s="30" t="str">
        <f ca="1">IFERROR(__xludf.DUMMYFUNCTION("""COMPUTED_VALUE"""),"")</f>
        <v/>
      </c>
      <c r="CN572" s="32" t="e">
        <f ca="1"/>
        <v>#NAME?</v>
      </c>
      <c r="CO572" s="32" t="e">
        <f ca="1"/>
        <v>#NAME?</v>
      </c>
      <c r="CP572" s="32" t="e">
        <f ca="1"/>
        <v>#NAME?</v>
      </c>
      <c r="CQ572" s="32" t="e">
        <f ca="1"/>
        <v>#NAME?</v>
      </c>
      <c r="CR572" s="30" t="e">
        <f ca="1"/>
        <v>#NAME?</v>
      </c>
      <c r="CS572" s="30" t="str">
        <f ca="1">IFERROR(__xludf.DUMMYFUNCTION("""COMPUTED_VALUE"""),"Ninguno (Población General)")</f>
        <v>Ninguno (Población General)</v>
      </c>
    </row>
    <row r="573" spans="1:97" ht="13">
      <c r="A573" s="29" t="str">
        <f ca="1">IFERROR(__xludf.DUMMYFUNCTION("""COMPUTED_VALUE"""),"ACT-SCVZ93952")</f>
        <v>ACT-SCVZ93952</v>
      </c>
      <c r="B573" s="30" t="str">
        <f ca="1">IFERROR(__xludf.DUMMYFUNCTION("""COMPUTED_VALUE"""),"SC-261016-143248")</f>
        <v>SC-261016-143248</v>
      </c>
      <c r="C573" s="62">
        <f ca="1">IFERROR(__xludf.DUMMYFUNCTION("""COMPUTED_VALUE"""),46311.6061111111)</f>
        <v>46311.606111111098</v>
      </c>
      <c r="D573" s="30">
        <f ca="1">IFERROR(__xludf.DUMMYFUNCTION("""COMPUTED_VALUE"""),52)</f>
        <v>52</v>
      </c>
      <c r="E573" s="30" t="str">
        <f ca="1">IFERROR(__xludf.DUMMYFUNCTION("""COMPUTED_VALUE"""),"PB3562")</f>
        <v>PB3562</v>
      </c>
      <c r="F573" s="30" t="str">
        <f ca="1">IFERROR(__xludf.DUMMYFUNCTION("""COMPUTED_VALUE"""),"Integración de nodos creativos y formativos")</f>
        <v>Integración de nodos creativos y formativos</v>
      </c>
      <c r="G573" s="30" t="str">
        <f ca="1">IFERROR(__xludf.DUMMYFUNCTION("""COMPUTED_VALUE"""),"Cursos y talleres de formación lectora para bibliotecarios, niños narradores y escritores, padres de familia y promotores de lectura")</f>
        <v>Cursos y talleres de formación lectora para bibliotecarios, niños narradores y escritores, padres de familia y promotores de lectura</v>
      </c>
      <c r="H573" s="30" t="str">
        <f ca="1">IFERROR(__xludf.DUMMYFUNCTION("""COMPUTED_VALUE"""),"SUBSECRETARÍA DE DESARROLLO COMUNITARIO Y PROMOCIÓN PATRIMONIAL")</f>
        <v>SUBSECRETARÍA DE DESARROLLO COMUNITARIO Y PROMOCIÓN PATRIMONIAL</v>
      </c>
      <c r="I573" s="34" t="str">
        <f ca="1">IFERROR(__xludf.DUMMYFUNCTION("""COMPUTED_VALUE"""),"DIRECCIÓN GENERAL DE VINCULACIÓN Y DESARROLLO CULTURAL")</f>
        <v>DIRECCIÓN GENERAL DE VINCULACIÓN Y DESARROLLO CULTURAL</v>
      </c>
      <c r="J573" s="30" t="str">
        <f ca="1">IFERROR(__xludf.DUMMYFUNCTION("""COMPUTED_VALUE"""),"Cursos y talleres realizados")</f>
        <v>Cursos y talleres realizados</v>
      </c>
      <c r="K573" s="30">
        <f ca="1">IFERROR(__xludf.DUMMYFUNCTION("""COMPUTED_VALUE"""),90)</f>
        <v>90</v>
      </c>
      <c r="L573" s="30" t="str">
        <f ca="1">IFERROR(__xludf.DUMMYFUNCTION("""COMPUTED_VALUE"""),"Artística")</f>
        <v>Artística</v>
      </c>
      <c r="M573" s="30" t="str">
        <f ca="1">IFERROR(__xludf.DUMMYFUNCTION("""COMPUTED_VALUE"""),"Cursos y talleres de formación lectora para bibliotecarios, niños narradores y escritores, padres de familia y promotores de lectura")</f>
        <v>Cursos y talleres de formación lectora para bibliotecarios, niños narradores y escritores, padres de familia y promotores de lectura</v>
      </c>
      <c r="N573" s="30" t="str">
        <f ca="1">IFERROR(__xludf.DUMMYFUNCTION("""COMPUTED_VALUE"""),"Cursos y talleres de formación lectora para bibliotecarios, niños narradores y escritores, padres de familia y promotores de lectura")</f>
        <v>Cursos y talleres de formación lectora para bibliotecarios, niños narradores y escritores, padres de familia y promotores de lectura</v>
      </c>
      <c r="O573" s="30" t="str">
        <f ca="1">IFERROR(__xludf.DUMMYFUNCTION("""COMPUTED_VALUE"""),"Mensual")</f>
        <v>Mensual</v>
      </c>
      <c r="P573" s="33">
        <f ca="1">IFERROR(__xludf.DUMMYFUNCTION("""COMPUTED_VALUE"""),46055)</f>
        <v>46055</v>
      </c>
      <c r="Q573" s="33">
        <f ca="1">IFERROR(__xludf.DUMMYFUNCTION("""COMPUTED_VALUE"""),46081)</f>
        <v>46081</v>
      </c>
      <c r="R573" s="30">
        <f ca="1">IFERROR(__xludf.DUMMYFUNCTION("""COMPUTED_VALUE"""),12)</f>
        <v>12</v>
      </c>
      <c r="S573" s="30" t="str">
        <f ca="1">IFERROR(__xludf.DUMMYFUNCTION("""COMPUTED_VALUE"""),"Literatura")</f>
        <v>Literatura</v>
      </c>
      <c r="T573" s="30" t="str">
        <f ca="1">IFERROR(__xludf.DUMMYFUNCTION("""COMPUTED_VALUE"""),"Narrativa")</f>
        <v>Narrativa</v>
      </c>
      <c r="U573" s="30" t="str">
        <f ca="1">IFERROR(__xludf.DUMMYFUNCTION("""COMPUTED_VALUE"""),"Taller")</f>
        <v>Taller</v>
      </c>
      <c r="V573" s="30" t="str">
        <f ca="1">IFERROR(__xludf.DUMMYFUNCTION("""COMPUTED_VALUE"""),"Ninguna")</f>
        <v>Ninguna</v>
      </c>
      <c r="W573" s="30" t="str">
        <f ca="1">IFERROR(__xludf.DUMMYFUNCTION("""COMPUTED_VALUE"""),"Presencial")</f>
        <v>Presencial</v>
      </c>
      <c r="X573" s="30" t="str">
        <f ca="1">IFERROR(__xludf.DUMMYFUNCTION("""COMPUTED_VALUE"""),"Otros Espacios Culturales")</f>
        <v>Otros Espacios Culturales</v>
      </c>
      <c r="Y573" s="30" t="str">
        <f ca="1">IFERROR(__xludf.DUMMYFUNCTION("""COMPUTED_VALUE"""),"Red de Bibliotecas Públicas")</f>
        <v>Red de Bibliotecas Públicas</v>
      </c>
      <c r="Z573" s="30"/>
      <c r="AA573" s="30"/>
      <c r="AB573" s="30" t="b">
        <f ca="1">IFERROR(__xludf.DUMMYFUNCTION("""COMPUTED_VALUE"""),FALSE)</f>
        <v>0</v>
      </c>
      <c r="AC573" s="30"/>
      <c r="AD573" s="30" t="b">
        <f ca="1">IFERROR(__xludf.DUMMYFUNCTION("""COMPUTED_VALUE"""),TRUE)</f>
        <v>1</v>
      </c>
      <c r="AE573" s="30">
        <f ca="1">IFERROR(__xludf.DUMMYFUNCTION("""COMPUTED_VALUE"""),1)</f>
        <v>1</v>
      </c>
      <c r="AF573" s="30" t="b">
        <f ca="1">IFERROR(__xludf.DUMMYFUNCTION("""COMPUTED_VALUE"""),FALSE)</f>
        <v>0</v>
      </c>
      <c r="AG573" s="30"/>
      <c r="AH573" s="30" t="str">
        <f ca="1">IFERROR(__xludf.DUMMYFUNCTION("""COMPUTED_VALUE"""),"Sin costo")</f>
        <v>Sin costo</v>
      </c>
      <c r="AI573" s="30"/>
      <c r="AJ573" s="30"/>
      <c r="AK573" s="30"/>
      <c r="AL573" s="30" t="str">
        <f ca="1">IFERROR(__xludf.DUMMYFUNCTION("""COMPUTED_VALUE"""),"augalde@guanajuato.gob.mx")</f>
        <v>augalde@guanajuato.gob.mx</v>
      </c>
      <c r="AM573" s="30" t="str">
        <f ca="1">IFERROR(__xludf.DUMMYFUNCTION("""COMPUTED_VALUE"""),"Leer para crecer.")</f>
        <v>Leer para crecer.</v>
      </c>
      <c r="AN573" s="30" t="str">
        <f ca="1">IFERROR(__xludf.DUMMYFUNCTION("""COMPUTED_VALUE"""),"4 Vocación")</f>
        <v>4 Vocación</v>
      </c>
      <c r="AO573" s="30" t="str">
        <f ca="1">IFERROR(__xludf.DUMMYFUNCTION("""COMPUTED_VALUE"""),"4.4 Reforzar competencias lectoras y lógico matemáticas")</f>
        <v>4.4 Reforzar competencias lectoras y lógico matemáticas</v>
      </c>
      <c r="AP573" s="30" t="str">
        <f ca="1">IFERROR(__xludf.DUMMYFUNCTION("""COMPUTED_VALUE"""),"4.4.2 Competencias lectoras")</f>
        <v>4.4.2 Competencias lectoras</v>
      </c>
      <c r="AQ573" s="30" t="str">
        <f ca="1">IFERROR(__xludf.DUMMYFUNCTION("""COMPUTED_VALUE"""),"4.4.2 Fomentar el hábito lector")</f>
        <v>4.4.2 Fomentar el hábito lector</v>
      </c>
      <c r="AR573" s="30" t="str">
        <f ca="1">IFERROR(__xludf.DUMMYFUNCTION("""COMPUTED_VALUE"""),"Ninguno")</f>
        <v>Ninguno</v>
      </c>
      <c r="AS573" s="30"/>
      <c r="AT573" s="30" t="str">
        <f ca="1">IFERROR(__xludf.DUMMYFUNCTION("""COMPUTED_VALUE"""),"Fortalecimiento de la participación ciudadana y la mediación cultural")</f>
        <v>Fortalecimiento de la participación ciudadana y la mediación cultural</v>
      </c>
      <c r="AU573" s="30" t="str">
        <f ca="1">IFERROR(__xludf.DUMMYFUNCTION("""COMPUTED_VALUE"""),"Impulso a la ampliación de la oferta cultural en los territorios.")</f>
        <v>Impulso a la ampliación de la oferta cultural en los territorios.</v>
      </c>
      <c r="AV57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3" s="30" t="str">
        <f ca="1">IFERROR(__xludf.DUMMYFUNCTION("""COMPUTED_VALUE"""),"Incrementar en 25% la oferta cultural realizada en los municipios.")</f>
        <v>Incrementar en 25% la oferta cultural realizada en los municipios.</v>
      </c>
      <c r="AX573" s="30" t="str">
        <f ca="1">IFERROR(__xludf.DUMMYFUNCTION("""COMPUTED_VALUE"""),"Taller")</f>
        <v>Taller</v>
      </c>
      <c r="AY573" s="30" t="str">
        <f ca="1">IFERROR(__xludf.DUMMYFUNCTION("""COMPUTED_VALUE"""),"Formación")</f>
        <v>Formación</v>
      </c>
      <c r="AZ573" s="30" t="str">
        <f ca="1">IFERROR(__xludf.DUMMYFUNCTION("""COMPUTED_VALUE"""),"Formación")</f>
        <v>Formación</v>
      </c>
      <c r="BA573" s="30"/>
      <c r="BB573" s="30"/>
      <c r="BC573" s="30">
        <f ca="1">IFERROR(__xludf.DUMMYFUNCTION("""COMPUTED_VALUE"""),0)</f>
        <v>0</v>
      </c>
      <c r="BD573" s="30"/>
      <c r="BE573" s="30"/>
      <c r="BF573" s="30" t="b">
        <f ca="1">IFERROR(__xludf.DUMMYFUNCTION("""COMPUTED_VALUE"""),FALSE)</f>
        <v>0</v>
      </c>
      <c r="BG573" s="30"/>
      <c r="BH573" s="30"/>
      <c r="BI573" s="30"/>
      <c r="BJ573" s="30"/>
      <c r="BK573" s="30"/>
      <c r="BL573" s="30"/>
      <c r="BM573" s="30" t="str">
        <f ca="1">IFERROR(__xludf.DUMMYFUNCTION("""COMPUTED_VALUE"""),"Sí")</f>
        <v>Sí</v>
      </c>
      <c r="BN573" s="30" t="str">
        <f ca="1">IFERROR(__xludf.DUMMYFUNCTION("""COMPUTED_VALUE"""),"Acompañamiento Técnico")</f>
        <v>Acompañamiento Técnico</v>
      </c>
      <c r="BO573" s="30" t="str">
        <f ca="1">IFERROR(__xludf.DUMMYFUNCTION("""COMPUTED_VALUE"""),"fbf883d1")</f>
        <v>fbf883d1</v>
      </c>
      <c r="BP573" s="29" t="str">
        <f ca="1">IFERROR(__xludf.DUMMYFUNCTION("""COMPUTED_VALUE"""),"Guanajuato")</f>
        <v>Guanajuato</v>
      </c>
      <c r="BQ573" s="30" t="str">
        <f ca="1">IFERROR(__xludf.DUMMYFUNCTION("""COMPUTED_VALUE"""),"Urbano")</f>
        <v>Urbano</v>
      </c>
      <c r="BR573" s="30"/>
      <c r="BS573" s="30"/>
      <c r="BT573" s="30"/>
      <c r="BU573" s="30" t="str">
        <f ca="1">IFERROR(__xludf.DUMMYFUNCTION("""COMPUTED_VALUE"""),"No")</f>
        <v>No</v>
      </c>
      <c r="BV573" s="30" t="str">
        <f ca="1">IFERROR(__xludf.DUMMYFUNCTION("""COMPUTED_VALUE"""),"No")</f>
        <v>No</v>
      </c>
      <c r="BW573" s="30">
        <f ca="1">IFERROR(__xludf.DUMMYFUNCTION("""COMPUTED_VALUE"""),5)</f>
        <v>5</v>
      </c>
      <c r="BX573" s="30"/>
      <c r="BY573" s="30">
        <f ca="1">IFERROR(__xludf.DUMMYFUNCTION("""COMPUTED_VALUE"""),5)</f>
        <v>5</v>
      </c>
      <c r="BZ573" s="30"/>
      <c r="CA573" s="30" t="str">
        <f ca="1">IFERROR(__xludf.DUMMYFUNCTION("""COMPUTED_VALUE"""),"No")</f>
        <v>No</v>
      </c>
      <c r="CB573" s="30" t="str">
        <f ca="1">IFERROR(__xludf.DUMMYFUNCTION("""COMPUTED_VALUE"""),"No")</f>
        <v>No</v>
      </c>
      <c r="CC573" s="30" t="str">
        <f ca="1">IFERROR(__xludf.DUMMYFUNCTION("""COMPUTED_VALUE"""),"fd53b889")</f>
        <v>fd53b889</v>
      </c>
      <c r="CD573" s="29" t="str">
        <f ca="1">IFERROR(__xludf.DUMMYFUNCTION("""COMPUTED_VALUE"""),"Adultos (30 a 59 años)")</f>
        <v>Adultos (30 a 59 años)</v>
      </c>
      <c r="CE573" s="30" t="str">
        <f ca="1">IFERROR(__xludf.DUMMYFUNCTION("""COMPUTED_VALUE"""),"No se cuenta con el dato")</f>
        <v>No se cuenta con el dato</v>
      </c>
      <c r="CF573" s="30" t="str">
        <f ca="1">IFERROR(__xludf.DUMMYFUNCTION("""COMPUTED_VALUE"""),"Ninguno (Población General)")</f>
        <v>Ninguno (Población General)</v>
      </c>
      <c r="CG573" s="30">
        <f ca="1">IFERROR(__xludf.DUMMYFUNCTION("""COMPUTED_VALUE"""),24)</f>
        <v>24</v>
      </c>
      <c r="CJ573" s="29"/>
      <c r="CM573" s="30" t="str">
        <f ca="1">IFERROR(__xludf.DUMMYFUNCTION("""COMPUTED_VALUE"""),"Guanajuato")</f>
        <v>Guanajuato</v>
      </c>
      <c r="CN573" s="32" t="e">
        <f ca="1"/>
        <v>#NAME?</v>
      </c>
      <c r="CO573" s="32" t="e">
        <f ca="1"/>
        <v>#NAME?</v>
      </c>
      <c r="CP573" s="32" t="e">
        <f ca="1"/>
        <v>#NAME?</v>
      </c>
      <c r="CQ573" s="32" t="e">
        <f ca="1"/>
        <v>#NAME?</v>
      </c>
      <c r="CR573" s="30" t="e">
        <f ca="1"/>
        <v>#NAME?</v>
      </c>
      <c r="CS573" s="30" t="str">
        <f ca="1">IFERROR(__xludf.DUMMYFUNCTION("""COMPUTED_VALUE"""),"Ninguno (Población General)")</f>
        <v>Ninguno (Población General)</v>
      </c>
    </row>
    <row r="574" spans="1:97" ht="13">
      <c r="A574" s="29" t="str">
        <f ca="1">IFERROR(__xludf.DUMMYFUNCTION("""COMPUTED_VALUE"""),"ACT-SCKK85034")</f>
        <v>ACT-SCKK85034</v>
      </c>
      <c r="B574" s="30" t="str">
        <f ca="1">IFERROR(__xludf.DUMMYFUNCTION("""COMPUTED_VALUE"""),"SC-261016-145913")</f>
        <v>SC-261016-145913</v>
      </c>
      <c r="C574" s="62">
        <f ca="1">IFERROR(__xludf.DUMMYFUNCTION("""COMPUTED_VALUE"""),46311.6244560185)</f>
        <v>46311.6244560185</v>
      </c>
      <c r="D574" s="30">
        <f ca="1">IFERROR(__xludf.DUMMYFUNCTION("""COMPUTED_VALUE"""),53)</f>
        <v>53</v>
      </c>
      <c r="E574" s="30" t="str">
        <f ca="1">IFERROR(__xludf.DUMMYFUNCTION("""COMPUTED_VALUE"""),"PB3562")</f>
        <v>PB3562</v>
      </c>
      <c r="F574" s="30" t="str">
        <f ca="1">IFERROR(__xludf.DUMMYFUNCTION("""COMPUTED_VALUE"""),"Integración de nodos creativos y formativos")</f>
        <v>Integración de nodos creativos y formativos</v>
      </c>
      <c r="G574" s="30" t="str">
        <f ca="1">IFERROR(__xludf.DUMMYFUNCTION("""COMPUTED_VALUE"""),"Talleres de seguimiento a la implementación del programa curricular para la asignatura de artes en la educación básica")</f>
        <v>Talleres de seguimiento a la implementación del programa curricular para la asignatura de artes en la educación básica</v>
      </c>
      <c r="H574" s="30" t="str">
        <f ca="1">IFERROR(__xludf.DUMMYFUNCTION("""COMPUTED_VALUE"""),"SUBSECRETARÍA DE DESARROLLO COMUNITARIO Y PROMOCIÓN PATRIMONIAL")</f>
        <v>SUBSECRETARÍA DE DESARROLLO COMUNITARIO Y PROMOCIÓN PATRIMONIAL</v>
      </c>
      <c r="I574" s="34" t="str">
        <f ca="1">IFERROR(__xludf.DUMMYFUNCTION("""COMPUTED_VALUE"""),"DIRECCIÓN GENERAL DE VINCULACIÓN Y DESARROLLO CULTURAL")</f>
        <v>DIRECCIÓN GENERAL DE VINCULACIÓN Y DESARROLLO CULTURAL</v>
      </c>
      <c r="J574" s="30" t="str">
        <f ca="1">IFERROR(__xludf.DUMMYFUNCTION("""COMPUTED_VALUE"""),"Talleres realizados")</f>
        <v>Talleres realizados</v>
      </c>
      <c r="K574" s="30">
        <f ca="1">IFERROR(__xludf.DUMMYFUNCTION("""COMPUTED_VALUE"""),20)</f>
        <v>20</v>
      </c>
      <c r="L574" s="30" t="str">
        <f ca="1">IFERROR(__xludf.DUMMYFUNCTION("""COMPUTED_VALUE"""),"Artística")</f>
        <v>Artística</v>
      </c>
      <c r="M574" s="30" t="str">
        <f ca="1">IFERROR(__xludf.DUMMYFUNCTION("""COMPUTED_VALUE"""),"Talleres de seguimiento a la implementación del programa curricular para la asignatura de artes en la educación básica")</f>
        <v>Talleres de seguimiento a la implementación del programa curricular para la asignatura de artes en la educación básica</v>
      </c>
      <c r="N574" s="30" t="str">
        <f ca="1">IFERROR(__xludf.DUMMYFUNCTION("""COMPUTED_VALUE"""),"Talleres de seguimiento a la implementación del programa curricular para la asignatura de artes en la educación básica")</f>
        <v>Talleres de seguimiento a la implementación del programa curricular para la asignatura de artes en la educación básica</v>
      </c>
      <c r="O574" s="30" t="str">
        <f ca="1">IFERROR(__xludf.DUMMYFUNCTION("""COMPUTED_VALUE"""),"Anual")</f>
        <v>Anual</v>
      </c>
      <c r="P574" s="33">
        <f ca="1">IFERROR(__xludf.DUMMYFUNCTION("""COMPUTED_VALUE"""),46272)</f>
        <v>46272</v>
      </c>
      <c r="Q574" s="33">
        <f ca="1">IFERROR(__xludf.DUMMYFUNCTION("""COMPUTED_VALUE"""),46325)</f>
        <v>46325</v>
      </c>
      <c r="R574" s="30">
        <f ca="1">IFERROR(__xludf.DUMMYFUNCTION("""COMPUTED_VALUE"""),3)</f>
        <v>3</v>
      </c>
      <c r="S574" s="30" t="str">
        <f ca="1">IFERROR(__xludf.DUMMYFUNCTION("""COMPUTED_VALUE"""),"Artes visuales")</f>
        <v>Artes visuales</v>
      </c>
      <c r="T574" s="30" t="str">
        <f ca="1">IFERROR(__xludf.DUMMYFUNCTION("""COMPUTED_VALUE"""),"Pintura")</f>
        <v>Pintura</v>
      </c>
      <c r="U574" s="30" t="str">
        <f ca="1">IFERROR(__xludf.DUMMYFUNCTION("""COMPUTED_VALUE"""),"Taller")</f>
        <v>Taller</v>
      </c>
      <c r="V574" s="30" t="str">
        <f ca="1">IFERROR(__xludf.DUMMYFUNCTION("""COMPUTED_VALUE"""),"Ninguna")</f>
        <v>Ninguna</v>
      </c>
      <c r="W574" s="30" t="str">
        <f ca="1">IFERROR(__xludf.DUMMYFUNCTION("""COMPUTED_VALUE"""),"Presencial")</f>
        <v>Presencial</v>
      </c>
      <c r="X574" s="30" t="str">
        <f ca="1">IFERROR(__xludf.DUMMYFUNCTION("""COMPUTED_VALUE"""),"Espacio Público")</f>
        <v>Espacio Público</v>
      </c>
      <c r="Y574" s="30" t="str">
        <f ca="1">IFERROR(__xludf.DUMMYFUNCTION("""COMPUTED_VALUE"""),"Escuelas públicas")</f>
        <v>Escuelas públicas</v>
      </c>
      <c r="Z574" s="30" t="str">
        <f ca="1">IFERROR(__xludf.DUMMYFUNCTION("""COMPUTED_VALUE"""),"Escuelas públicas")</f>
        <v>Escuelas públicas</v>
      </c>
      <c r="AA574" s="30"/>
      <c r="AB574" s="30" t="b">
        <f ca="1">IFERROR(__xludf.DUMMYFUNCTION("""COMPUTED_VALUE"""),FALSE)</f>
        <v>0</v>
      </c>
      <c r="AC574" s="30"/>
      <c r="AD574" s="30" t="b">
        <f ca="1">IFERROR(__xludf.DUMMYFUNCTION("""COMPUTED_VALUE"""),TRUE)</f>
        <v>1</v>
      </c>
      <c r="AE574" s="30">
        <f ca="1">IFERROR(__xludf.DUMMYFUNCTION("""COMPUTED_VALUE"""),1)</f>
        <v>1</v>
      </c>
      <c r="AF574" s="30" t="b">
        <f ca="1">IFERROR(__xludf.DUMMYFUNCTION("""COMPUTED_VALUE"""),FALSE)</f>
        <v>0</v>
      </c>
      <c r="AG574" s="30"/>
      <c r="AH574" s="30" t="str">
        <f ca="1">IFERROR(__xludf.DUMMYFUNCTION("""COMPUTED_VALUE"""),"Sin costo")</f>
        <v>Sin costo</v>
      </c>
      <c r="AI574" s="30"/>
      <c r="AJ574" s="30"/>
      <c r="AK574" s="30"/>
      <c r="AL574" s="30" t="str">
        <f ca="1">IFERROR(__xludf.DUMMYFUNCTION("""COMPUTED_VALUE"""),"augalde@guanajuato.gob.mx")</f>
        <v>augalde@guanajuato.gob.mx</v>
      </c>
      <c r="AM574"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574" s="30" t="str">
        <f ca="1">IFERROR(__xludf.DUMMYFUNCTION("""COMPUTED_VALUE"""),"2 Igualdad")</f>
        <v>2 Igualdad</v>
      </c>
      <c r="AO574" s="30" t="str">
        <f ca="1">IFERROR(__xludf.DUMMYFUNCTION("""COMPUTED_VALUE"""),"2.4 Reducir brechas de desigualdad")</f>
        <v>2.4 Reducir brechas de desigualdad</v>
      </c>
      <c r="AP574" s="30" t="str">
        <f ca="1">IFERROR(__xludf.DUMMYFUNCTION("""COMPUTED_VALUE"""),"2.4.3 Descentralización de la oferta cultural")</f>
        <v>2.4.3 Descentralización de la oferta cultural</v>
      </c>
      <c r="AQ574" s="30" t="str">
        <f ca="1">IFERROR(__xludf.DUMMYFUNCTION("""COMPUTED_VALUE"""),"2.4.3.1 Impulsar el desarrollo artístico y cultural entre infancias y juventudes")</f>
        <v>2.4.3.1 Impulsar el desarrollo artístico y cultural entre infancias y juventudes</v>
      </c>
      <c r="AR574" s="30" t="str">
        <f ca="1">IFERROR(__xludf.DUMMYFUNCTION("""COMPUTED_VALUE"""),"Ninguno")</f>
        <v>Ninguno</v>
      </c>
      <c r="AS574" s="30"/>
      <c r="AT574" s="30" t="str">
        <f ca="1">IFERROR(__xludf.DUMMYFUNCTION("""COMPUTED_VALUE"""),"Fortalecimiento de la participación ciudadana y la mediación cultural")</f>
        <v>Fortalecimiento de la participación ciudadana y la mediación cultural</v>
      </c>
      <c r="AU574" s="30" t="str">
        <f ca="1">IFERROR(__xludf.DUMMYFUNCTION("""COMPUTED_VALUE"""),"Impulso a la ampliación de la oferta cultural en los territorios.")</f>
        <v>Impulso a la ampliación de la oferta cultural en los territorios.</v>
      </c>
      <c r="AV57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4" s="30" t="str">
        <f ca="1">IFERROR(__xludf.DUMMYFUNCTION("""COMPUTED_VALUE"""),"Incrementar en 25% la oferta cultural realizada en los municipios.")</f>
        <v>Incrementar en 25% la oferta cultural realizada en los municipios.</v>
      </c>
      <c r="AX574" s="30" t="str">
        <f ca="1">IFERROR(__xludf.DUMMYFUNCTION("""COMPUTED_VALUE"""),"Taller")</f>
        <v>Taller</v>
      </c>
      <c r="AY574" s="30" t="str">
        <f ca="1">IFERROR(__xludf.DUMMYFUNCTION("""COMPUTED_VALUE"""),"Formación")</f>
        <v>Formación</v>
      </c>
      <c r="AZ574" s="30" t="str">
        <f ca="1">IFERROR(__xludf.DUMMYFUNCTION("""COMPUTED_VALUE"""),"Formación")</f>
        <v>Formación</v>
      </c>
      <c r="BA574" s="30"/>
      <c r="BB574" s="30"/>
      <c r="BC574" s="30">
        <f ca="1">IFERROR(__xludf.DUMMYFUNCTION("""COMPUTED_VALUE"""),0)</f>
        <v>0</v>
      </c>
      <c r="BD574" s="30"/>
      <c r="BE574" s="30"/>
      <c r="BF574" s="30" t="b">
        <f ca="1">IFERROR(__xludf.DUMMYFUNCTION("""COMPUTED_VALUE"""),FALSE)</f>
        <v>0</v>
      </c>
      <c r="BG574" s="30"/>
      <c r="BH574" s="30"/>
      <c r="BI574" s="30"/>
      <c r="BJ574" s="30"/>
      <c r="BK574" s="30"/>
      <c r="BL574" s="30"/>
      <c r="BM574" s="30" t="str">
        <f ca="1">IFERROR(__xludf.DUMMYFUNCTION("""COMPUTED_VALUE"""),"Sí")</f>
        <v>Sí</v>
      </c>
      <c r="BN574" s="30" t="str">
        <f ca="1">IFERROR(__xludf.DUMMYFUNCTION("""COMPUTED_VALUE"""),"Acompañamiento Técnico")</f>
        <v>Acompañamiento Técnico</v>
      </c>
      <c r="BO574" s="30" t="str">
        <f ca="1">IFERROR(__xludf.DUMMYFUNCTION("""COMPUTED_VALUE"""),"d3419531")</f>
        <v>d3419531</v>
      </c>
      <c r="BP574" s="29" t="str">
        <f ca="1">IFERROR(__xludf.DUMMYFUNCTION("""COMPUTED_VALUE"""),"Guanajuato")</f>
        <v>Guanajuato</v>
      </c>
      <c r="BQ574" s="30" t="str">
        <f ca="1">IFERROR(__xludf.DUMMYFUNCTION("""COMPUTED_VALUE"""),"Urbano")</f>
        <v>Urbano</v>
      </c>
      <c r="BR574" s="30"/>
      <c r="BS574" s="30"/>
      <c r="BT574" s="30"/>
      <c r="BU574" s="30" t="str">
        <f ca="1">IFERROR(__xludf.DUMMYFUNCTION("""COMPUTED_VALUE"""),"No")</f>
        <v>No</v>
      </c>
      <c r="BV574" s="30" t="str">
        <f ca="1">IFERROR(__xludf.DUMMYFUNCTION("""COMPUTED_VALUE"""),"No")</f>
        <v>No</v>
      </c>
      <c r="BW574" s="30">
        <f ca="1">IFERROR(__xludf.DUMMYFUNCTION("""COMPUTED_VALUE"""),15)</f>
        <v>15</v>
      </c>
      <c r="BX574" s="30">
        <f ca="1">IFERROR(__xludf.DUMMYFUNCTION("""COMPUTED_VALUE"""),15)</f>
        <v>15</v>
      </c>
      <c r="BY574" s="30">
        <f ca="1">IFERROR(__xludf.DUMMYFUNCTION("""COMPUTED_VALUE"""),0)</f>
        <v>0</v>
      </c>
      <c r="BZ574" s="30"/>
      <c r="CA574" s="30" t="str">
        <f ca="1">IFERROR(__xludf.DUMMYFUNCTION("""COMPUTED_VALUE"""),"No")</f>
        <v>No</v>
      </c>
      <c r="CB574" s="30" t="str">
        <f ca="1">IFERROR(__xludf.DUMMYFUNCTION("""COMPUTED_VALUE"""),"No")</f>
        <v>No</v>
      </c>
      <c r="CC574" s="30" t="str">
        <f ca="1">IFERROR(__xludf.DUMMYFUNCTION("""COMPUTED_VALUE"""),"b6538586")</f>
        <v>b6538586</v>
      </c>
      <c r="CD574" s="29" t="str">
        <f ca="1">IFERROR(__xludf.DUMMYFUNCTION("""COMPUTED_VALUE"""),"Niñas y Niños (6 a 12 años)")</f>
        <v>Niñas y Niños (6 a 12 años)</v>
      </c>
      <c r="CE574" s="30" t="str">
        <f ca="1">IFERROR(__xludf.DUMMYFUNCTION("""COMPUTED_VALUE"""),"No se cuenta con el dato")</f>
        <v>No se cuenta con el dato</v>
      </c>
      <c r="CF574" s="30" t="str">
        <f ca="1">IFERROR(__xludf.DUMMYFUNCTION("""COMPUTED_VALUE"""),"Ninguno (Población General)")</f>
        <v>Ninguno (Población General)</v>
      </c>
      <c r="CG574" s="30">
        <f ca="1">IFERROR(__xludf.DUMMYFUNCTION("""COMPUTED_VALUE"""),5)</f>
        <v>5</v>
      </c>
      <c r="CJ574" s="29"/>
      <c r="CM574" s="30" t="str">
        <f ca="1">IFERROR(__xludf.DUMMYFUNCTION("""COMPUTED_VALUE"""),"León")</f>
        <v>León</v>
      </c>
      <c r="CN574" s="32" t="e">
        <f ca="1"/>
        <v>#NAME?</v>
      </c>
      <c r="CO574" s="32" t="e">
        <f ca="1"/>
        <v>#NAME?</v>
      </c>
      <c r="CP574" s="32" t="e">
        <f ca="1"/>
        <v>#NAME?</v>
      </c>
      <c r="CQ574" s="32" t="e">
        <f ca="1"/>
        <v>#NAME?</v>
      </c>
      <c r="CR574" s="30" t="e">
        <f ca="1"/>
        <v>#NAME?</v>
      </c>
      <c r="CS574" s="30" t="str">
        <f ca="1">IFERROR(__xludf.DUMMYFUNCTION("""COMPUTED_VALUE"""),"Ninguno (Población General)")</f>
        <v>Ninguno (Población General)</v>
      </c>
    </row>
    <row r="575" spans="1:97" ht="13">
      <c r="A575" s="29" t="str">
        <f ca="1">IFERROR(__xludf.DUMMYFUNCTION("""COMPUTED_VALUE"""),"ACT-SCNL75473")</f>
        <v>ACT-SCNL75473</v>
      </c>
      <c r="B575" s="30" t="str">
        <f ca="1">IFERROR(__xludf.DUMMYFUNCTION("""COMPUTED_VALUE"""),"SC-261021-113012")</f>
        <v>SC-261021-113012</v>
      </c>
      <c r="C575" s="62">
        <f ca="1">IFERROR(__xludf.DUMMYFUNCTION("""COMPUTED_VALUE"""),46316.4793055555)</f>
        <v>46316.479305555498</v>
      </c>
      <c r="D575" s="30">
        <f ca="1">IFERROR(__xludf.DUMMYFUNCTION("""COMPUTED_VALUE"""),91)</f>
        <v>91</v>
      </c>
      <c r="E575" s="30" t="str">
        <f ca="1">IFERROR(__xludf.DUMMYFUNCTION("""COMPUTED_VALUE"""),"PB3572")</f>
        <v>PB3572</v>
      </c>
      <c r="F57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75"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575" s="30" t="str">
        <f ca="1">IFERROR(__xludf.DUMMYFUNCTION("""COMPUTED_VALUE"""),"SUBSECRETARÍA DE DESARROLLO Y PROMOCIÓN ARTÍSTICA Y CULTURAL")</f>
        <v>SUBSECRETARÍA DE DESARROLLO Y PROMOCIÓN ARTÍSTICA Y CULTURAL</v>
      </c>
      <c r="I575" s="34" t="str">
        <f ca="1">IFERROR(__xludf.DUMMYFUNCTION("""COMPUTED_VALUE"""),"DIRECCIÓN GENERAL DE MUSEOS, ARTES VISUALES Y EXPOSICIONES")</f>
        <v>DIRECCIÓN GENERAL DE MUSEOS, ARTES VISUALES Y EXPOSICIONES</v>
      </c>
      <c r="J575" s="30" t="str">
        <f ca="1">IFERROR(__xludf.DUMMYFUNCTION("""COMPUTED_VALUE"""),"Número de Exposiciones inauguradas")</f>
        <v>Número de Exposiciones inauguradas</v>
      </c>
      <c r="K575" s="30">
        <f ca="1">IFERROR(__xludf.DUMMYFUNCTION("""COMPUTED_VALUE"""),28)</f>
        <v>28</v>
      </c>
      <c r="L575" s="30" t="str">
        <f ca="1">IFERROR(__xludf.DUMMYFUNCTION("""COMPUTED_VALUE"""),"Artística")</f>
        <v>Artística</v>
      </c>
      <c r="M575" s="30" t="str">
        <f ca="1">IFERROR(__xludf.DUMMYFUNCTION("""COMPUTED_VALUE"""),"Exposición: Escenario Plegable: entre bípedos y cuadrúpedos. Cosa Rapozo y Exposición: Terra Nova. Pintura de Paisaje en la colección BBVA")</f>
        <v>Exposición: Escenario Plegable: entre bípedos y cuadrúpedos. Cosa Rapozo y Exposición: Terra Nova. Pintura de Paisaje en la colección BBVA</v>
      </c>
      <c r="N575" s="30" t="str">
        <f ca="1">IFERROR(__xludf.DUMMYFUNCTION("""COMPUTED_VALUE"""),"Escenario Plegable: entre bípedos y cuadrúpedos parte de una investigación sobre las ficciones culturales que han sostenido la separación entre lo humano y lo animal, así como sobre las formas en que ciertos cuerpos han sido construidos históricamente com"&amp;"o alteridad.  La instalación traslada la lógica de la maqueta y el diorama a la escala del espacio público. Distintas plataformas fragmentan el paisaje y distribuyen en él figuras bípedas y cuadrúpedas junto a árboles, vegetación y cuerpos de agua reducid"&amp;"os a formas esquemáticas.             Terra Nova recurre a la idea de los territorios por descubrir para abordar la pintura de paisaje como un espacio de exploración artística e imaginativa. Las obras reunidas en esta exposición trazan geografías reales, "&amp;"evocadas o imaginadas, revelando la manera en que distintos artistas mexicanos del siglo XX interpretaron su entorno y expandieron los límites de la representación del paisaje. A través de un recorrido que va de la tradición figurativa a las visiones surr"&amp;"ealistas y fantásticas, hasta las posibilidades expresivas de la abstracción, la muestra ofrece una mirada diversa sobre uno de los géneros fundamentales de la pintura mexicana. En estas obras, el paisaje aparece como naturaleza idealizada, fuerza telúric"&amp;"a, territorio simbólico o escenario de reflexión sobre la transformación del entorno y los desafíos ecológicos contemporáneos. Con piezas de artistas clave como Dr. Atl, David Alfaro Siqueiros, Carlos Orozco Romero, Jorge González Camarena, Gunther Gerzso"&amp;", Joy Laville y Miguel Castro Leñero, entre otros, Terra Nova propone un diálogo entre arte, territorio e imaginación, invitando al público a descubrir nuevas formas de mirar el paisaje mexicano.")</f>
        <v>Escenario Plegable: entre bípedos y cuadrúpedos parte de una investigación sobre las ficciones culturales que han sostenido la separación entre lo humano y lo animal, así como sobre las formas en que ciertos cuerpos han sido construidos históricamente como alteridad.  La instalación traslada la lógica de la maqueta y el diorama a la escala del espacio público. Distintas plataformas fragmentan el paisaje y distribuyen en él figuras bípedas y cuadrúpedas junto a árboles, vegetación y cuerpos de agua reducidos a formas esquemáticas.             Terra Nova recurre a la idea de los territorios por descubrir para abordar la pintura de paisaje como un espacio de exploración artística e imaginativa. Las obras reunidas en esta exposición trazan geografías reales, evocadas o imaginadas, revelando la manera en que distintos artistas mexicanos del siglo XX interpretaron su entorno y expandieron los límites de la representación del paisaje. A través de un recorrido que va de la tradición figurativa a las visiones surrealistas y fantásticas, hasta las posibilidades expresivas de la abstracción, la muestra ofrece una mirada diversa sobre uno de los géneros fundamentales de la pintura mexicana. En estas obras, el paisaje aparece como naturaleza idealizada, fuerza telúrica, territorio simbólico o escenario de reflexión sobre la transformación del entorno y los desafíos ecológicos contemporáneos. Con piezas de artistas clave como Dr. Atl, David Alfaro Siqueiros, Carlos Orozco Romero, Jorge González Camarena, Gunther Gerzso, Joy Laville y Miguel Castro Leñero, entre otros, Terra Nova propone un diálogo entre arte, territorio e imaginación, invitando al público a descubrir nuevas formas de mirar el paisaje mexicano.</v>
      </c>
      <c r="O575" s="30" t="str">
        <f ca="1">IFERROR(__xludf.DUMMYFUNCTION("""COMPUTED_VALUE"""),"Otras")</f>
        <v>Otras</v>
      </c>
      <c r="P575" s="33">
        <f ca="1">IFERROR(__xludf.DUMMYFUNCTION("""COMPUTED_VALUE"""),46301)</f>
        <v>46301</v>
      </c>
      <c r="Q575" s="33">
        <f ca="1">IFERROR(__xludf.DUMMYFUNCTION("""COMPUTED_VALUE"""),46488)</f>
        <v>46488</v>
      </c>
      <c r="R575" s="30">
        <f ca="1">IFERROR(__xludf.DUMMYFUNCTION("""COMPUTED_VALUE"""),1)</f>
        <v>1</v>
      </c>
      <c r="S575" s="30" t="str">
        <f ca="1">IFERROR(__xludf.DUMMYFUNCTION("""COMPUTED_VALUE"""),"Artes visuales")</f>
        <v>Artes visuales</v>
      </c>
      <c r="T575" s="30" t="str">
        <f ca="1">IFERROR(__xludf.DUMMYFUNCTION("""COMPUTED_VALUE"""),"Instalación")</f>
        <v>Instalación</v>
      </c>
      <c r="U575" s="30" t="str">
        <f ca="1">IFERROR(__xludf.DUMMYFUNCTION("""COMPUTED_VALUE"""),"Exposición")</f>
        <v>Exposición</v>
      </c>
      <c r="V575" s="30" t="str">
        <f ca="1">IFERROR(__xludf.DUMMYFUNCTION("""COMPUTED_VALUE"""),"Ninguna")</f>
        <v>Ninguna</v>
      </c>
      <c r="W575" s="30" t="str">
        <f ca="1">IFERROR(__xludf.DUMMYFUNCTION("""COMPUTED_VALUE"""),"Presencial")</f>
        <v>Presencial</v>
      </c>
      <c r="X575" s="30" t="str">
        <f ca="1">IFERROR(__xludf.DUMMYFUNCTION("""COMPUTED_VALUE"""),"Espacio a Cargo de la Secretaría")</f>
        <v>Espacio a Cargo de la Secretaría</v>
      </c>
      <c r="Y575" s="30" t="str">
        <f ca="1">IFERROR(__xludf.DUMMYFUNCTION("""COMPUTED_VALUE"""),"Museo Casa Diego Rivera , Plaza San Fernanado")</f>
        <v>Museo Casa Diego Rivera , Plaza San Fernanado</v>
      </c>
      <c r="Z575" s="30"/>
      <c r="AA575" s="30"/>
      <c r="AB575" s="30" t="b">
        <f ca="1">IFERROR(__xludf.DUMMYFUNCTION("""COMPUTED_VALUE"""),FALSE)</f>
        <v>0</v>
      </c>
      <c r="AC575" s="30"/>
      <c r="AD575" s="30" t="b">
        <f ca="1">IFERROR(__xludf.DUMMYFUNCTION("""COMPUTED_VALUE"""),TRUE)</f>
        <v>1</v>
      </c>
      <c r="AE575" s="30">
        <f ca="1">IFERROR(__xludf.DUMMYFUNCTION("""COMPUTED_VALUE"""),2)</f>
        <v>2</v>
      </c>
      <c r="AF575" s="30" t="b">
        <f ca="1">IFERROR(__xludf.DUMMYFUNCTION("""COMPUTED_VALUE"""),FALSE)</f>
        <v>0</v>
      </c>
      <c r="AG575" s="30"/>
      <c r="AH575" s="30" t="str">
        <f ca="1">IFERROR(__xludf.DUMMYFUNCTION("""COMPUTED_VALUE"""),"Sin costo")</f>
        <v>Sin costo</v>
      </c>
      <c r="AI575" s="30"/>
      <c r="AJ575" s="30"/>
      <c r="AK575" s="30"/>
      <c r="AL575" s="30" t="str">
        <f ca="1">IFERROR(__xludf.DUMMYFUNCTION("""COMPUTED_VALUE"""),"ccardonav@guanajuato.gob.mx")</f>
        <v>ccardonav@guanajuato.gob.mx</v>
      </c>
      <c r="AM575" s="30" t="str">
        <f ca="1">IFERROR(__xludf.DUMMYFUNCTION("""COMPUTED_VALUE"""),"Creación de la Secretaría de Cultura, con una visión social de la política cultural.")</f>
        <v>Creación de la Secretaría de Cultura, con una visión social de la política cultural.</v>
      </c>
      <c r="AN575" s="30" t="str">
        <f ca="1">IFERROR(__xludf.DUMMYFUNCTION("""COMPUTED_VALUE"""),"2 Igualdad")</f>
        <v>2 Igualdad</v>
      </c>
      <c r="AO575" s="30" t="str">
        <f ca="1">IFERROR(__xludf.DUMMYFUNCTION("""COMPUTED_VALUE"""),"2.4 Reducir brechas de desigualdad")</f>
        <v>2.4 Reducir brechas de desigualdad</v>
      </c>
      <c r="AP575" s="30" t="str">
        <f ca="1">IFERROR(__xludf.DUMMYFUNCTION("""COMPUTED_VALUE"""),"2.4.3 Descentralización de la oferta cultural")</f>
        <v>2.4.3 Descentralización de la oferta cultural</v>
      </c>
      <c r="AQ575" s="30" t="str">
        <f ca="1">IFERROR(__xludf.DUMMYFUNCTION("""COMPUTED_VALUE"""),"2.4.3.3 Incidir en el involucramiento de las personas con el ecosistema cultural")</f>
        <v>2.4.3.3 Incidir en el involucramiento de las personas con el ecosistema cultural</v>
      </c>
      <c r="AR575" s="30" t="str">
        <f ca="1">IFERROR(__xludf.DUMMYFUNCTION("""COMPUTED_VALUE"""),"Ninguno")</f>
        <v>Ninguno</v>
      </c>
      <c r="AS575" s="30"/>
      <c r="AT575" s="30" t="str">
        <f ca="1">IFERROR(__xludf.DUMMYFUNCTION("""COMPUTED_VALUE"""),"Fortalecimiento de la participación ciudadana y la mediación cultural")</f>
        <v>Fortalecimiento de la participación ciudadana y la mediación cultural</v>
      </c>
      <c r="AU575" s="30" t="str">
        <f ca="1">IFERROR(__xludf.DUMMYFUNCTION("""COMPUTED_VALUE"""),"Impulso a la ampliación de la oferta cultural en los territorios.")</f>
        <v>Impulso a la ampliación de la oferta cultural en los territorios.</v>
      </c>
      <c r="AV57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5" s="30" t="str">
        <f ca="1">IFERROR(__xludf.DUMMYFUNCTION("""COMPUTED_VALUE"""),"Incrementar en 25% la oferta cultural realizada en los municipios.")</f>
        <v>Incrementar en 25% la oferta cultural realizada en los municipios.</v>
      </c>
      <c r="AX575" s="30" t="str">
        <f ca="1">IFERROR(__xludf.DUMMYFUNCTION("""COMPUTED_VALUE"""),"Exposición")</f>
        <v>Exposición</v>
      </c>
      <c r="AY575" s="30" t="str">
        <f ca="1">IFERROR(__xludf.DUMMYFUNCTION("""COMPUTED_VALUE"""),"Circulación / Exhibición")</f>
        <v>Circulación / Exhibición</v>
      </c>
      <c r="AZ575" s="30"/>
      <c r="BA575" s="30"/>
      <c r="BB575" s="30"/>
      <c r="BC575" s="30">
        <f ca="1">IFERROR(__xludf.DUMMYFUNCTION("""COMPUTED_VALUE"""),0)</f>
        <v>0</v>
      </c>
      <c r="BD575" s="30"/>
      <c r="BE575" s="30"/>
      <c r="BF575" s="30" t="b">
        <f ca="1">IFERROR(__xludf.DUMMYFUNCTION("""COMPUTED_VALUE"""),FALSE)</f>
        <v>0</v>
      </c>
      <c r="BG575" s="30"/>
      <c r="BH575" s="30"/>
      <c r="BI575" s="30"/>
      <c r="BJ575" s="30"/>
      <c r="BK575" s="30"/>
      <c r="BL575" s="30"/>
      <c r="BM575" s="30" t="str">
        <f ca="1">IFERROR(__xludf.DUMMYFUNCTION("""COMPUTED_VALUE"""),"Sí")</f>
        <v>Sí</v>
      </c>
      <c r="BN575" s="30"/>
      <c r="BO575" s="30" t="str">
        <f ca="1">IFERROR(__xludf.DUMMYFUNCTION("""COMPUTED_VALUE"""),"6f288e2c")</f>
        <v>6f288e2c</v>
      </c>
      <c r="BP575" s="29" t="str">
        <f ca="1">IFERROR(__xludf.DUMMYFUNCTION("""COMPUTED_VALUE"""),"Guanajuato")</f>
        <v>Guanajuato</v>
      </c>
      <c r="BQ575" s="30" t="str">
        <f ca="1">IFERROR(__xludf.DUMMYFUNCTION("""COMPUTED_VALUE"""),"Urbano")</f>
        <v>Urbano</v>
      </c>
      <c r="BR575" s="30"/>
      <c r="BS575" s="30"/>
      <c r="BT575" s="30"/>
      <c r="BU575" s="30" t="str">
        <f ca="1">IFERROR(__xludf.DUMMYFUNCTION("""COMPUTED_VALUE"""),"No")</f>
        <v>No</v>
      </c>
      <c r="BV575" s="30" t="str">
        <f ca="1">IFERROR(__xludf.DUMMYFUNCTION("""COMPUTED_VALUE"""),"No")</f>
        <v>No</v>
      </c>
      <c r="BW575" s="30">
        <f ca="1">IFERROR(__xludf.DUMMYFUNCTION("""COMPUTED_VALUE"""),23)</f>
        <v>23</v>
      </c>
      <c r="BX575" s="30">
        <f ca="1">IFERROR(__xludf.DUMMYFUNCTION("""COMPUTED_VALUE"""),23)</f>
        <v>23</v>
      </c>
      <c r="BY575" s="30">
        <f ca="1">IFERROR(__xludf.DUMMYFUNCTION("""COMPUTED_VALUE"""),0)</f>
        <v>0</v>
      </c>
      <c r="BZ575" s="30"/>
      <c r="CA575" s="30" t="str">
        <f ca="1">IFERROR(__xludf.DUMMYFUNCTION("""COMPUTED_VALUE"""),"No")</f>
        <v>No</v>
      </c>
      <c r="CB575" s="30" t="str">
        <f ca="1">IFERROR(__xludf.DUMMYFUNCTION("""COMPUTED_VALUE"""),"No")</f>
        <v>No</v>
      </c>
      <c r="CC575" s="30" t="str">
        <f ca="1">IFERROR(__xludf.DUMMYFUNCTION("""COMPUTED_VALUE"""),"65a66b4b")</f>
        <v>65a66b4b</v>
      </c>
      <c r="CD575" s="29" t="str">
        <f ca="1">IFERROR(__xludf.DUMMYFUNCTION("""COMPUTED_VALUE"""),"Adultos (30 a 59 años)")</f>
        <v>Adultos (30 a 59 años)</v>
      </c>
      <c r="CE575" s="30" t="str">
        <f ca="1">IFERROR(__xludf.DUMMYFUNCTION("""COMPUTED_VALUE"""),"No se cuenta con el dato")</f>
        <v>No se cuenta con el dato</v>
      </c>
      <c r="CF575" s="30" t="str">
        <f ca="1">IFERROR(__xludf.DUMMYFUNCTION("""COMPUTED_VALUE"""),"Ninguno (Población General)")</f>
        <v>Ninguno (Población General)</v>
      </c>
      <c r="CG575" s="30">
        <f ca="1">IFERROR(__xludf.DUMMYFUNCTION("""COMPUTED_VALUE"""),28)</f>
        <v>28</v>
      </c>
      <c r="CJ575" s="29"/>
      <c r="CM575" s="30" t="str">
        <f ca="1">IFERROR(__xludf.DUMMYFUNCTION("""COMPUTED_VALUE"""),"León")</f>
        <v>León</v>
      </c>
      <c r="CN575" s="32" t="e">
        <f ca="1"/>
        <v>#NAME?</v>
      </c>
      <c r="CO575" s="32" t="e">
        <f ca="1"/>
        <v>#NAME?</v>
      </c>
      <c r="CP575" s="32" t="e">
        <f ca="1"/>
        <v>#NAME?</v>
      </c>
      <c r="CQ575" s="32" t="e">
        <f ca="1"/>
        <v>#NAME?</v>
      </c>
      <c r="CR575" s="30" t="e">
        <f ca="1"/>
        <v>#NAME?</v>
      </c>
      <c r="CS575" s="30" t="str">
        <f ca="1">IFERROR(__xludf.DUMMYFUNCTION("""COMPUTED_VALUE"""),"Ninguno (Población General)")</f>
        <v>Ninguno (Población General)</v>
      </c>
    </row>
    <row r="576" spans="1:97" ht="13">
      <c r="A576" s="29" t="str">
        <f ca="1">IFERROR(__xludf.DUMMYFUNCTION("""COMPUTED_VALUE"""),"ACT-SCTR53613")</f>
        <v>ACT-SCTR53613</v>
      </c>
      <c r="B576" s="30" t="str">
        <f ca="1">IFERROR(__xludf.DUMMYFUNCTION("""COMPUTED_VALUE"""),"SC-261021-114744")</f>
        <v>SC-261021-114744</v>
      </c>
      <c r="C576" s="62">
        <f ca="1">IFERROR(__xludf.DUMMYFUNCTION("""COMPUTED_VALUE"""),46316.4914814814)</f>
        <v>46316.491481481396</v>
      </c>
      <c r="D576" s="30">
        <f ca="1">IFERROR(__xludf.DUMMYFUNCTION("""COMPUTED_VALUE"""),91)</f>
        <v>91</v>
      </c>
      <c r="E576" s="30" t="str">
        <f ca="1">IFERROR(__xludf.DUMMYFUNCTION("""COMPUTED_VALUE"""),"PB3572")</f>
        <v>PB3572</v>
      </c>
      <c r="F57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76" s="30" t="str">
        <f ca="1">IFERROR(__xludf.DUMMYFUNCTION("""COMPUTED_VALUE"""),"Exposiciones permanentes y la producción de exposiciones temporales de los museos adscritos a la Secretaria de Cultura de Guanajuato")</f>
        <v>Exposiciones permanentes y la producción de exposiciones temporales de los museos adscritos a la Secretaria de Cultura de Guanajuato</v>
      </c>
      <c r="H576" s="30" t="str">
        <f ca="1">IFERROR(__xludf.DUMMYFUNCTION("""COMPUTED_VALUE"""),"SUBSECRETARÍA DE DESARROLLO Y PROMOCIÓN ARTÍSTICA Y CULTURAL")</f>
        <v>SUBSECRETARÍA DE DESARROLLO Y PROMOCIÓN ARTÍSTICA Y CULTURAL</v>
      </c>
      <c r="I576" s="34" t="str">
        <f ca="1">IFERROR(__xludf.DUMMYFUNCTION("""COMPUTED_VALUE"""),"DIRECCIÓN GENERAL DE MUSEOS, ARTES VISUALES Y EXPOSICIONES")</f>
        <v>DIRECCIÓN GENERAL DE MUSEOS, ARTES VISUALES Y EXPOSICIONES</v>
      </c>
      <c r="J576" s="30" t="str">
        <f ca="1">IFERROR(__xludf.DUMMYFUNCTION("""COMPUTED_VALUE"""),"Número de Exposiciones inauguradas")</f>
        <v>Número de Exposiciones inauguradas</v>
      </c>
      <c r="K576" s="30">
        <f ca="1">IFERROR(__xludf.DUMMYFUNCTION("""COMPUTED_VALUE"""),28)</f>
        <v>28</v>
      </c>
      <c r="L576" s="30" t="str">
        <f ca="1">IFERROR(__xludf.DUMMYFUNCTION("""COMPUTED_VALUE"""),"Artística")</f>
        <v>Artística</v>
      </c>
      <c r="M576" s="30" t="str">
        <f ca="1">IFERROR(__xludf.DUMMYFUNCTION("""COMPUTED_VALUE"""),"Exposición: RE/vuelta. Héctor Zamora")</f>
        <v>Exposición: RE/vuelta. Héctor Zamora</v>
      </c>
      <c r="N576" s="30" t="str">
        <f ca="1">IFERROR(__xludf.DUMMYFUNCTION("""COMPUTED_VALUE"""),"En 2015, Zamora presentó en Brasil una instalación/acción titulada REviraVOLTA, que consistía en una interpretación rítmica y musical colectiva a partir de los implementos tradicionales usados en la elaboración de las típicas nieves mexicanas de diversos "&amp;"sabores. Esta delicadeza culinaria tradicional es posible gracias a un sencillo proceso: se vierte la pulpa de diferentes frutas en contenedores metálicos, que a su vez se introducen en contenedores de madera más grandes rellenos con hielo y sal. Cuando s"&amp;"e hace girar el contenedor metálico restregándolo contra el hielo, la temperatura de la pulpa disminuye drásticamente hasta que se congela. En el caso de la acción ideada por el artista, el papel de los productores de nieve estaba a cargo de un grupo de m"&amp;"úsicos que con actitud festiva ejecutaban una pieza inspirada en los ritmos del contexto cultural en que se presentaban. De tal manera, en el Centro Cultural Banco do Brasil en Brasilia el estilo musical se basó en una batucada compuesta por el instrument"&amp;"ista André Hosoi. El resultado de la acción, una cantidad importante de nieves de diferentes sabores, se ofreció luego en una mesa colocada al centro de las estaciones de trabajo de los músicos, de donde la gente podía servirse libremente para completar e"&amp;"l ritual.")</f>
        <v>En 2015, Zamora presentó en Brasil una instalación/acción titulada REviraVOLTA, que consistía en una interpretación rítmica y musical colectiva a partir de los implementos tradicionales usados en la elaboración de las típicas nieves mexicanas de diversos sabores. Esta delicadeza culinaria tradicional es posible gracias a un sencillo proceso: se vierte la pulpa de diferentes frutas en contenedores metálicos, que a su vez se introducen en contenedores de madera más grandes rellenos con hielo y sal. Cuando se hace girar el contenedor metálico restregándolo contra el hielo, la temperatura de la pulpa disminuye drásticamente hasta que se congela. En el caso de la acción ideada por el artista, el papel de los productores de nieve estaba a cargo de un grupo de músicos que con actitud festiva ejecutaban una pieza inspirada en los ritmos del contexto cultural en que se presentaban. De tal manera, en el Centro Cultural Banco do Brasil en Brasilia el estilo musical se basó en una batucada compuesta por el instrumentista André Hosoi. El resultado de la acción, una cantidad importante de nieves de diferentes sabores, se ofreció luego en una mesa colocada al centro de las estaciones de trabajo de los músicos, de donde la gente podía servirse libremente para completar el ritual.</v>
      </c>
      <c r="O576" s="30" t="str">
        <f ca="1">IFERROR(__xludf.DUMMYFUNCTION("""COMPUTED_VALUE"""),"Única")</f>
        <v>Única</v>
      </c>
      <c r="P576" s="33">
        <f ca="1">IFERROR(__xludf.DUMMYFUNCTION("""COMPUTED_VALUE"""),46306)</f>
        <v>46306</v>
      </c>
      <c r="Q576" s="33">
        <f ca="1">IFERROR(__xludf.DUMMYFUNCTION("""COMPUTED_VALUE"""),46306)</f>
        <v>46306</v>
      </c>
      <c r="R576" s="30">
        <f ca="1">IFERROR(__xludf.DUMMYFUNCTION("""COMPUTED_VALUE"""),1)</f>
        <v>1</v>
      </c>
      <c r="S576" s="30" t="str">
        <f ca="1">IFERROR(__xludf.DUMMYFUNCTION("""COMPUTED_VALUE"""),"Multidisciplinario")</f>
        <v>Multidisciplinario</v>
      </c>
      <c r="T576" s="30" t="str">
        <f ca="1">IFERROR(__xludf.DUMMYFUNCTION("""COMPUTED_VALUE"""),"Interdisciplinario")</f>
        <v>Interdisciplinario</v>
      </c>
      <c r="U576" s="30" t="str">
        <f ca="1">IFERROR(__xludf.DUMMYFUNCTION("""COMPUTED_VALUE"""),"Exposición")</f>
        <v>Exposición</v>
      </c>
      <c r="V576" s="30" t="str">
        <f ca="1">IFERROR(__xludf.DUMMYFUNCTION("""COMPUTED_VALUE"""),"Ninguna")</f>
        <v>Ninguna</v>
      </c>
      <c r="W576" s="30" t="str">
        <f ca="1">IFERROR(__xludf.DUMMYFUNCTION("""COMPUTED_VALUE"""),"Presencial")</f>
        <v>Presencial</v>
      </c>
      <c r="X576" s="30" t="str">
        <f ca="1">IFERROR(__xludf.DUMMYFUNCTION("""COMPUTED_VALUE"""),"Espacio a Cargo de la Secretaría")</f>
        <v>Espacio a Cargo de la Secretaría</v>
      </c>
      <c r="Y576" s="30" t="str">
        <f ca="1">IFERROR(__xludf.DUMMYFUNCTION("""COMPUTED_VALUE"""),"Museo Regional de Guanajuato Alhóndiga de Granaditas")</f>
        <v>Museo Regional de Guanajuato Alhóndiga de Granaditas</v>
      </c>
      <c r="Z576" s="30"/>
      <c r="AA576" s="30"/>
      <c r="AB576" s="30" t="b">
        <f ca="1">IFERROR(__xludf.DUMMYFUNCTION("""COMPUTED_VALUE"""),FALSE)</f>
        <v>0</v>
      </c>
      <c r="AC576" s="30"/>
      <c r="AD576" s="30" t="b">
        <f ca="1">IFERROR(__xludf.DUMMYFUNCTION("""COMPUTED_VALUE"""),TRUE)</f>
        <v>1</v>
      </c>
      <c r="AE576" s="30">
        <f ca="1">IFERROR(__xludf.DUMMYFUNCTION("""COMPUTED_VALUE"""),2)</f>
        <v>2</v>
      </c>
      <c r="AF576" s="30" t="b">
        <f ca="1">IFERROR(__xludf.DUMMYFUNCTION("""COMPUTED_VALUE"""),FALSE)</f>
        <v>0</v>
      </c>
      <c r="AG576" s="30"/>
      <c r="AH576" s="30" t="str">
        <f ca="1">IFERROR(__xludf.DUMMYFUNCTION("""COMPUTED_VALUE"""),"Sin costo")</f>
        <v>Sin costo</v>
      </c>
      <c r="AI576" s="30"/>
      <c r="AJ576" s="30"/>
      <c r="AK576" s="30"/>
      <c r="AL576" s="30" t="str">
        <f ca="1">IFERROR(__xludf.DUMMYFUNCTION("""COMPUTED_VALUE"""),"ccardonav@guanajuato.gob.mx")</f>
        <v>ccardonav@guanajuato.gob.mx</v>
      </c>
      <c r="AM576" s="30" t="str">
        <f ca="1">IFERROR(__xludf.DUMMYFUNCTION("""COMPUTED_VALUE"""),"Creación de la Secretaría de Cultura, con una visión social de la política cultural.")</f>
        <v>Creación de la Secretaría de Cultura, con una visión social de la política cultural.</v>
      </c>
      <c r="AN576" s="30" t="str">
        <f ca="1">IFERROR(__xludf.DUMMYFUNCTION("""COMPUTED_VALUE"""),"2 Igualdad")</f>
        <v>2 Igualdad</v>
      </c>
      <c r="AO576" s="30" t="str">
        <f ca="1">IFERROR(__xludf.DUMMYFUNCTION("""COMPUTED_VALUE"""),"2.4 Reducir brechas de desigualdad")</f>
        <v>2.4 Reducir brechas de desigualdad</v>
      </c>
      <c r="AP576" s="30" t="str">
        <f ca="1">IFERROR(__xludf.DUMMYFUNCTION("""COMPUTED_VALUE"""),"2.4.3 Descentralización de la oferta cultural")</f>
        <v>2.4.3 Descentralización de la oferta cultural</v>
      </c>
      <c r="AQ576" s="30" t="str">
        <f ca="1">IFERROR(__xludf.DUMMYFUNCTION("""COMPUTED_VALUE"""),"2.4.3.3 Incidir en el involucramiento de las personas con el ecosistema cultural")</f>
        <v>2.4.3.3 Incidir en el involucramiento de las personas con el ecosistema cultural</v>
      </c>
      <c r="AR576" s="30" t="str">
        <f ca="1">IFERROR(__xludf.DUMMYFUNCTION("""COMPUTED_VALUE"""),"Ninguno")</f>
        <v>Ninguno</v>
      </c>
      <c r="AS576" s="30"/>
      <c r="AT576" s="30" t="str">
        <f ca="1">IFERROR(__xludf.DUMMYFUNCTION("""COMPUTED_VALUE"""),"Fortalecimiento de la participación ciudadana y la mediación cultural")</f>
        <v>Fortalecimiento de la participación ciudadana y la mediación cultural</v>
      </c>
      <c r="AU576" s="30" t="str">
        <f ca="1">IFERROR(__xludf.DUMMYFUNCTION("""COMPUTED_VALUE"""),"Impulso a la ampliación de la oferta cultural en los territorios.")</f>
        <v>Impulso a la ampliación de la oferta cultural en los territorios.</v>
      </c>
      <c r="AV57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6" s="30" t="str">
        <f ca="1">IFERROR(__xludf.DUMMYFUNCTION("""COMPUTED_VALUE"""),"Incrementar en 25% la oferta cultural realizada en los municipios.")</f>
        <v>Incrementar en 25% la oferta cultural realizada en los municipios.</v>
      </c>
      <c r="AX576" s="30" t="str">
        <f ca="1">IFERROR(__xludf.DUMMYFUNCTION("""COMPUTED_VALUE"""),"Exposición")</f>
        <v>Exposición</v>
      </c>
      <c r="AY576" s="30" t="str">
        <f ca="1">IFERROR(__xludf.DUMMYFUNCTION("""COMPUTED_VALUE"""),"Circulación / Exhibición")</f>
        <v>Circulación / Exhibición</v>
      </c>
      <c r="AZ576" s="30"/>
      <c r="BA576" s="30"/>
      <c r="BB576" s="30"/>
      <c r="BC576" s="30">
        <f ca="1">IFERROR(__xludf.DUMMYFUNCTION("""COMPUTED_VALUE"""),0)</f>
        <v>0</v>
      </c>
      <c r="BD576" s="30"/>
      <c r="BE576" s="30"/>
      <c r="BF576" s="30" t="b">
        <f ca="1">IFERROR(__xludf.DUMMYFUNCTION("""COMPUTED_VALUE"""),FALSE)</f>
        <v>0</v>
      </c>
      <c r="BG576" s="30"/>
      <c r="BH576" s="30"/>
      <c r="BI576" s="30"/>
      <c r="BJ576" s="30"/>
      <c r="BK576" s="30"/>
      <c r="BL576" s="30"/>
      <c r="BM576" s="30" t="str">
        <f ca="1">IFERROR(__xludf.DUMMYFUNCTION("""COMPUTED_VALUE"""),"No")</f>
        <v>No</v>
      </c>
      <c r="BN576" s="30"/>
      <c r="BO576" s="30" t="str">
        <f ca="1">IFERROR(__xludf.DUMMYFUNCTION("""COMPUTED_VALUE"""),"7591733f")</f>
        <v>7591733f</v>
      </c>
      <c r="BP576" s="29" t="str">
        <f ca="1">IFERROR(__xludf.DUMMYFUNCTION("""COMPUTED_VALUE"""),"Guanajuato")</f>
        <v>Guanajuato</v>
      </c>
      <c r="BQ576" s="30" t="str">
        <f ca="1">IFERROR(__xludf.DUMMYFUNCTION("""COMPUTED_VALUE"""),"Urbano")</f>
        <v>Urbano</v>
      </c>
      <c r="BR576" s="30"/>
      <c r="BS576" s="30"/>
      <c r="BT576" s="30"/>
      <c r="BU576" s="30" t="str">
        <f ca="1">IFERROR(__xludf.DUMMYFUNCTION("""COMPUTED_VALUE"""),"No")</f>
        <v>No</v>
      </c>
      <c r="BV576" s="30" t="str">
        <f ca="1">IFERROR(__xludf.DUMMYFUNCTION("""COMPUTED_VALUE"""),"No")</f>
        <v>No</v>
      </c>
      <c r="BW576" s="30">
        <f ca="1">IFERROR(__xludf.DUMMYFUNCTION("""COMPUTED_VALUE"""),11)</f>
        <v>11</v>
      </c>
      <c r="BX576" s="30">
        <f ca="1">IFERROR(__xludf.DUMMYFUNCTION("""COMPUTED_VALUE"""),11)</f>
        <v>11</v>
      </c>
      <c r="BY576" s="30">
        <f ca="1">IFERROR(__xludf.DUMMYFUNCTION("""COMPUTED_VALUE"""),0)</f>
        <v>0</v>
      </c>
      <c r="BZ576" s="30"/>
      <c r="CA576" s="30" t="str">
        <f ca="1">IFERROR(__xludf.DUMMYFUNCTION("""COMPUTED_VALUE"""),"No")</f>
        <v>No</v>
      </c>
      <c r="CB576" s="30" t="str">
        <f ca="1">IFERROR(__xludf.DUMMYFUNCTION("""COMPUTED_VALUE"""),"No")</f>
        <v>No</v>
      </c>
      <c r="CC576" s="30" t="str">
        <f ca="1">IFERROR(__xludf.DUMMYFUNCTION("""COMPUTED_VALUE"""),"95f61f99")</f>
        <v>95f61f99</v>
      </c>
      <c r="CD576" s="29" t="str">
        <f ca="1">IFERROR(__xludf.DUMMYFUNCTION("""COMPUTED_VALUE"""),"Jóvenes (18 a 29 años)")</f>
        <v>Jóvenes (18 a 29 años)</v>
      </c>
      <c r="CE576" s="30" t="str">
        <f ca="1">IFERROR(__xludf.DUMMYFUNCTION("""COMPUTED_VALUE"""),"No se cuenta con el dato")</f>
        <v>No se cuenta con el dato</v>
      </c>
      <c r="CF576" s="30" t="str">
        <f ca="1">IFERROR(__xludf.DUMMYFUNCTION("""COMPUTED_VALUE"""),"Ninguno (Población General)")</f>
        <v>Ninguno (Población General)</v>
      </c>
      <c r="CG576" s="30">
        <f ca="1">IFERROR(__xludf.DUMMYFUNCTION("""COMPUTED_VALUE"""),26)</f>
        <v>26</v>
      </c>
      <c r="CJ576" s="29"/>
      <c r="CM576" s="30" t="str">
        <f ca="1">IFERROR(__xludf.DUMMYFUNCTION("""COMPUTED_VALUE"""),"León")</f>
        <v>León</v>
      </c>
      <c r="CN576" s="32" t="e">
        <f ca="1"/>
        <v>#NAME?</v>
      </c>
      <c r="CO576" s="32" t="e">
        <f ca="1"/>
        <v>#NAME?</v>
      </c>
      <c r="CP576" s="32" t="e">
        <f ca="1"/>
        <v>#NAME?</v>
      </c>
      <c r="CQ576" s="32" t="e">
        <f ca="1"/>
        <v>#NAME?</v>
      </c>
      <c r="CR576" s="30" t="e">
        <f ca="1"/>
        <v>#NAME?</v>
      </c>
      <c r="CS576" s="30" t="str">
        <f ca="1">IFERROR(__xludf.DUMMYFUNCTION("""COMPUTED_VALUE"""),"Ninguno (Población General)")</f>
        <v>Ninguno (Población General)</v>
      </c>
    </row>
    <row r="577" spans="1:97" ht="13">
      <c r="A577" s="29" t="str">
        <f ca="1">IFERROR(__xludf.DUMMYFUNCTION("""COMPUTED_VALUE"""),"ACT-SCYY07745")</f>
        <v>ACT-SCYY07745</v>
      </c>
      <c r="B577" s="30" t="str">
        <f ca="1">IFERROR(__xludf.DUMMYFUNCTION("""COMPUTED_VALUE"""),"SC-261021-142145")</f>
        <v>SC-261021-142145</v>
      </c>
      <c r="C577" s="62">
        <f ca="1">IFERROR(__xludf.DUMMYFUNCTION("""COMPUTED_VALUE"""),46316.5984375)</f>
        <v>46316.598437499997</v>
      </c>
      <c r="D577" s="30">
        <f ca="1">IFERROR(__xludf.DUMMYFUNCTION("""COMPUTED_VALUE"""),54)</f>
        <v>54</v>
      </c>
      <c r="E577" s="30" t="str">
        <f ca="1">IFERROR(__xludf.DUMMYFUNCTION("""COMPUTED_VALUE"""),"PB3562")</f>
        <v>PB3562</v>
      </c>
      <c r="F577" s="30" t="str">
        <f ca="1">IFERROR(__xludf.DUMMYFUNCTION("""COMPUTED_VALUE"""),"Integración de nodos creativos y formativos")</f>
        <v>Integración de nodos creativos y formativos</v>
      </c>
      <c r="G577" s="30" t="str">
        <f ca="1">IFERROR(__xludf.DUMMYFUNCTION("""COMPUTED_VALUE"""),"Capacitaciones en danza folclórica dirigido a directores, maestros y ejecutantes del estado de Guanajuato")</f>
        <v>Capacitaciones en danza folclórica dirigido a directores, maestros y ejecutantes del estado de Guanajuato</v>
      </c>
      <c r="H577" s="30" t="str">
        <f ca="1">IFERROR(__xludf.DUMMYFUNCTION("""COMPUTED_VALUE"""),"SUBSECRETARÍA DE DESARROLLO COMUNITARIO Y PROMOCIÓN PATRIMONIAL")</f>
        <v>SUBSECRETARÍA DE DESARROLLO COMUNITARIO Y PROMOCIÓN PATRIMONIAL</v>
      </c>
      <c r="I577" s="34" t="str">
        <f ca="1">IFERROR(__xludf.DUMMYFUNCTION("""COMPUTED_VALUE"""),"DIRECCIÓN GENERAL DE VINCULACIÓN Y DESARROLLO CULTURAL")</f>
        <v>DIRECCIÓN GENERAL DE VINCULACIÓN Y DESARROLLO CULTURAL</v>
      </c>
      <c r="J577" s="30" t="str">
        <f ca="1">IFERROR(__xludf.DUMMYFUNCTION("""COMPUTED_VALUE"""),"Capacitaciones realizadas")</f>
        <v>Capacitaciones realizadas</v>
      </c>
      <c r="K577" s="30">
        <f ca="1">IFERROR(__xludf.DUMMYFUNCTION("""COMPUTED_VALUE"""),2)</f>
        <v>2</v>
      </c>
      <c r="L577" s="30" t="str">
        <f ca="1">IFERROR(__xludf.DUMMYFUNCTION("""COMPUTED_VALUE"""),"Artística")</f>
        <v>Artística</v>
      </c>
      <c r="M577" s="30" t="str">
        <f ca="1">IFERROR(__xludf.DUMMYFUNCTION("""COMPUTED_VALUE"""),"Capacitaciones en danza folclórica")</f>
        <v>Capacitaciones en danza folclórica</v>
      </c>
      <c r="N577" s="30" t="str">
        <f ca="1">IFERROR(__xludf.DUMMYFUNCTION("""COMPUTED_VALUE"""),"Capacitaciones en danza folclórica dirigido a directores, maestros y ejecutantes del estado de Guanajuato")</f>
        <v>Capacitaciones en danza folclórica dirigido a directores, maestros y ejecutantes del estado de Guanajuato</v>
      </c>
      <c r="O577" s="30" t="str">
        <f ca="1">IFERROR(__xludf.DUMMYFUNCTION("""COMPUTED_VALUE"""),"Otras")</f>
        <v>Otras</v>
      </c>
      <c r="P577" s="33">
        <f ca="1">IFERROR(__xludf.DUMMYFUNCTION("""COMPUTED_VALUE"""),46113)</f>
        <v>46113</v>
      </c>
      <c r="Q577" s="33">
        <f ca="1">IFERROR(__xludf.DUMMYFUNCTION("""COMPUTED_VALUE"""),46265)</f>
        <v>46265</v>
      </c>
      <c r="R577" s="30">
        <f ca="1">IFERROR(__xludf.DUMMYFUNCTION("""COMPUTED_VALUE"""),2)</f>
        <v>2</v>
      </c>
      <c r="S577" s="30" t="str">
        <f ca="1">IFERROR(__xludf.DUMMYFUNCTION("""COMPUTED_VALUE"""),"Artes escénicas")</f>
        <v>Artes escénicas</v>
      </c>
      <c r="T577" s="30" t="str">
        <f ca="1">IFERROR(__xludf.DUMMYFUNCTION("""COMPUTED_VALUE"""),"Danza folklórica")</f>
        <v>Danza folklórica</v>
      </c>
      <c r="U577" s="30" t="str">
        <f ca="1">IFERROR(__xludf.DUMMYFUNCTION("""COMPUTED_VALUE"""),"Capacitación")</f>
        <v>Capacitación</v>
      </c>
      <c r="V577" s="30" t="str">
        <f ca="1">IFERROR(__xludf.DUMMYFUNCTION("""COMPUTED_VALUE"""),"Ninguna")</f>
        <v>Ninguna</v>
      </c>
      <c r="W577" s="30" t="str">
        <f ca="1">IFERROR(__xludf.DUMMYFUNCTION("""COMPUTED_VALUE"""),"Presencial")</f>
        <v>Presencial</v>
      </c>
      <c r="X577" s="30" t="str">
        <f ca="1">IFERROR(__xludf.DUMMYFUNCTION("""COMPUTED_VALUE"""),"Otros Espacios Culturales")</f>
        <v>Otros Espacios Culturales</v>
      </c>
      <c r="Y577" s="30" t="str">
        <f ca="1">IFERROR(__xludf.DUMMYFUNCTION("""COMPUTED_VALUE"""),"Casa de cultura")</f>
        <v>Casa de cultura</v>
      </c>
      <c r="Z577" s="30"/>
      <c r="AA577" s="30"/>
      <c r="AB577" s="30" t="b">
        <f ca="1">IFERROR(__xludf.DUMMYFUNCTION("""COMPUTED_VALUE"""),FALSE)</f>
        <v>0</v>
      </c>
      <c r="AC577" s="30"/>
      <c r="AD577" s="30" t="b">
        <f ca="1">IFERROR(__xludf.DUMMYFUNCTION("""COMPUTED_VALUE"""),TRUE)</f>
        <v>1</v>
      </c>
      <c r="AE577" s="30">
        <f ca="1">IFERROR(__xludf.DUMMYFUNCTION("""COMPUTED_VALUE"""),6)</f>
        <v>6</v>
      </c>
      <c r="AF577" s="30" t="b">
        <f ca="1">IFERROR(__xludf.DUMMYFUNCTION("""COMPUTED_VALUE"""),FALSE)</f>
        <v>0</v>
      </c>
      <c r="AG577" s="30"/>
      <c r="AH577" s="30" t="str">
        <f ca="1">IFERROR(__xludf.DUMMYFUNCTION("""COMPUTED_VALUE"""),"Sin costo")</f>
        <v>Sin costo</v>
      </c>
      <c r="AI577" s="30"/>
      <c r="AJ577" s="30"/>
      <c r="AK577" s="30"/>
      <c r="AL577" s="30" t="str">
        <f ca="1">IFERROR(__xludf.DUMMYFUNCTION("""COMPUTED_VALUE"""),"augalde@guanajuato.gob.mx")</f>
        <v>augalde@guanajuato.gob.mx</v>
      </c>
      <c r="AM577"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577" s="30" t="str">
        <f ca="1">IFERROR(__xludf.DUMMYFUNCTION("""COMPUTED_VALUE"""),"4 Vocación")</f>
        <v>4 Vocación</v>
      </c>
      <c r="AO577" s="30" t="str">
        <f ca="1">IFERROR(__xludf.DUMMYFUNCTION("""COMPUTED_VALUE"""),"4.4 Reforzar competencias lectoras y lógico matemáticas")</f>
        <v>4.4 Reforzar competencias lectoras y lógico matemáticas</v>
      </c>
      <c r="AP577" s="30" t="str">
        <f ca="1">IFERROR(__xludf.DUMMYFUNCTION("""COMPUTED_VALUE"""),"4.4.1 Competencias y habilidades")</f>
        <v>4.4.1 Competencias y habilidades</v>
      </c>
      <c r="AQ577" s="30" t="str">
        <f ca="1">IFERROR(__xludf.DUMMYFUNCTION("""COMPUTED_VALUE"""),"4.4.1 Competencias y habilidades")</f>
        <v>4.4.1 Competencias y habilidades</v>
      </c>
      <c r="AR577" s="30" t="str">
        <f ca="1">IFERROR(__xludf.DUMMYFUNCTION("""COMPUTED_VALUE"""),"Ninguno")</f>
        <v>Ninguno</v>
      </c>
      <c r="AS577" s="30"/>
      <c r="AT577" s="30" t="str">
        <f ca="1">IFERROR(__xludf.DUMMYFUNCTION("""COMPUTED_VALUE"""),"Fortalecimiento de la participación ciudadana y la mediación cultural")</f>
        <v>Fortalecimiento de la participación ciudadana y la mediación cultural</v>
      </c>
      <c r="AU577" s="30" t="str">
        <f ca="1">IFERROR(__xludf.DUMMYFUNCTION("""COMPUTED_VALUE"""),"Impulso a la ampliación de la oferta cultural en los territorios.")</f>
        <v>Impulso a la ampliación de la oferta cultural en los territorios.</v>
      </c>
      <c r="AV57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7" s="30" t="str">
        <f ca="1">IFERROR(__xludf.DUMMYFUNCTION("""COMPUTED_VALUE"""),"Incrementar en 25% la oferta cultural realizada en los municipios.")</f>
        <v>Incrementar en 25% la oferta cultural realizada en los municipios.</v>
      </c>
      <c r="AX577" s="30" t="str">
        <f ca="1">IFERROR(__xludf.DUMMYFUNCTION("""COMPUTED_VALUE"""),"Capacitación")</f>
        <v>Capacitación</v>
      </c>
      <c r="AY577" s="30" t="str">
        <f ca="1">IFERROR(__xludf.DUMMYFUNCTION("""COMPUTED_VALUE"""),"Formación")</f>
        <v>Formación</v>
      </c>
      <c r="AZ577" s="30" t="str">
        <f ca="1">IFERROR(__xludf.DUMMYFUNCTION("""COMPUTED_VALUE"""),"Formación")</f>
        <v>Formación</v>
      </c>
      <c r="BA577" s="30"/>
      <c r="BB577" s="30"/>
      <c r="BC577" s="30">
        <f ca="1">IFERROR(__xludf.DUMMYFUNCTION("""COMPUTED_VALUE"""),336)</f>
        <v>336</v>
      </c>
      <c r="BD577" s="30" t="str">
        <f ca="1">IFERROR(__xludf.DUMMYFUNCTION("""COMPUTED_VALUE"""),"Apoyado con anterioridad")</f>
        <v>Apoyado con anterioridad</v>
      </c>
      <c r="BE577" s="30"/>
      <c r="BF577" s="30" t="b">
        <f ca="1">IFERROR(__xludf.DUMMYFUNCTION("""COMPUTED_VALUE"""),FALSE)</f>
        <v>0</v>
      </c>
      <c r="BG577" s="30"/>
      <c r="BH577" s="30"/>
      <c r="BI577" s="30"/>
      <c r="BJ577" s="30"/>
      <c r="BK577" s="30"/>
      <c r="BL577" s="30"/>
      <c r="BM577" s="30" t="str">
        <f ca="1">IFERROR(__xludf.DUMMYFUNCTION("""COMPUTED_VALUE"""),"Sí")</f>
        <v>Sí</v>
      </c>
      <c r="BN577" s="30" t="str">
        <f ca="1">IFERROR(__xludf.DUMMYFUNCTION("""COMPUTED_VALUE"""),"Acompañamiento Técnico")</f>
        <v>Acompañamiento Técnico</v>
      </c>
      <c r="BO577" s="30" t="str">
        <f ca="1">IFERROR(__xludf.DUMMYFUNCTION("""COMPUTED_VALUE"""),"c35cf418")</f>
        <v>c35cf418</v>
      </c>
      <c r="BP577" s="29" t="str">
        <f ca="1">IFERROR(__xludf.DUMMYFUNCTION("""COMPUTED_VALUE"""),"Guanajuato")</f>
        <v>Guanajuato</v>
      </c>
      <c r="BQ577" s="30" t="str">
        <f ca="1">IFERROR(__xludf.DUMMYFUNCTION("""COMPUTED_VALUE"""),"Urbano")</f>
        <v>Urbano</v>
      </c>
      <c r="BR577" s="30"/>
      <c r="BS577" s="30"/>
      <c r="BT577" s="30"/>
      <c r="BU577" s="30" t="str">
        <f ca="1">IFERROR(__xludf.DUMMYFUNCTION("""COMPUTED_VALUE"""),"No")</f>
        <v>No</v>
      </c>
      <c r="BV577" s="30" t="str">
        <f ca="1">IFERROR(__xludf.DUMMYFUNCTION("""COMPUTED_VALUE"""),"No")</f>
        <v>No</v>
      </c>
      <c r="BW577" s="30">
        <f ca="1">IFERROR(__xludf.DUMMYFUNCTION("""COMPUTED_VALUE"""),4)</f>
        <v>4</v>
      </c>
      <c r="BX577" s="30">
        <f ca="1">IFERROR(__xludf.DUMMYFUNCTION("""COMPUTED_VALUE"""),4)</f>
        <v>4</v>
      </c>
      <c r="BY577" s="30">
        <f ca="1">IFERROR(__xludf.DUMMYFUNCTION("""COMPUTED_VALUE"""),0)</f>
        <v>0</v>
      </c>
      <c r="BZ577" s="30"/>
      <c r="CA577" s="30" t="str">
        <f ca="1">IFERROR(__xludf.DUMMYFUNCTION("""COMPUTED_VALUE"""),"No")</f>
        <v>No</v>
      </c>
      <c r="CB577" s="30" t="str">
        <f ca="1">IFERROR(__xludf.DUMMYFUNCTION("""COMPUTED_VALUE"""),"No")</f>
        <v>No</v>
      </c>
      <c r="CC577" s="30" t="str">
        <f ca="1">IFERROR(__xludf.DUMMYFUNCTION("""COMPUTED_VALUE"""),"73a51e3e")</f>
        <v>73a51e3e</v>
      </c>
      <c r="CD577" s="29" t="str">
        <f ca="1">IFERROR(__xludf.DUMMYFUNCTION("""COMPUTED_VALUE"""),"Niñas y Niños (6 a 12 años)")</f>
        <v>Niñas y Niños (6 a 12 años)</v>
      </c>
      <c r="CE577" s="30" t="str">
        <f ca="1">IFERROR(__xludf.DUMMYFUNCTION("""COMPUTED_VALUE"""),"No se cuenta con el dato")</f>
        <v>No se cuenta con el dato</v>
      </c>
      <c r="CF577" s="30" t="str">
        <f ca="1">IFERROR(__xludf.DUMMYFUNCTION("""COMPUTED_VALUE"""),"Ninguno (Población General)")</f>
        <v>Ninguno (Población General)</v>
      </c>
      <c r="CG577" s="30">
        <f ca="1">IFERROR(__xludf.DUMMYFUNCTION("""COMPUTED_VALUE"""),4)</f>
        <v>4</v>
      </c>
      <c r="CJ577" s="29"/>
      <c r="CM577" s="30" t="str">
        <f ca="1">IFERROR(__xludf.DUMMYFUNCTION("""COMPUTED_VALUE"""),"León")</f>
        <v>León</v>
      </c>
      <c r="CN577" s="32" t="e">
        <f ca="1"/>
        <v>#NAME?</v>
      </c>
      <c r="CO577" s="32" t="e">
        <f ca="1"/>
        <v>#NAME?</v>
      </c>
      <c r="CP577" s="32" t="e">
        <f ca="1"/>
        <v>#NAME?</v>
      </c>
      <c r="CQ577" s="32" t="e">
        <f ca="1"/>
        <v>#NAME?</v>
      </c>
      <c r="CR577" s="30" t="e">
        <f ca="1"/>
        <v>#NAME?</v>
      </c>
      <c r="CS577" s="30" t="str">
        <f ca="1">IFERROR(__xludf.DUMMYFUNCTION("""COMPUTED_VALUE"""),"Ninguno (Población General)")</f>
        <v>Ninguno (Población General)</v>
      </c>
    </row>
    <row r="578" spans="1:97" ht="13">
      <c r="A578" s="29" t="str">
        <f ca="1">IFERROR(__xludf.DUMMYFUNCTION("""COMPUTED_VALUE"""),"ACT-SCBG58553")</f>
        <v>ACT-SCBG58553</v>
      </c>
      <c r="B578" s="30" t="str">
        <f ca="1">IFERROR(__xludf.DUMMYFUNCTION("""COMPUTED_VALUE"""),"SC-261021-123342")</f>
        <v>SC-261021-123342</v>
      </c>
      <c r="C578" s="62">
        <f ca="1">IFERROR(__xludf.DUMMYFUNCTION("""COMPUTED_VALUE"""),46316.5234027777)</f>
        <v>46316.523402777697</v>
      </c>
      <c r="D578" s="30">
        <f ca="1">IFERROR(__xludf.DUMMYFUNCTION("""COMPUTED_VALUE"""),92)</f>
        <v>92</v>
      </c>
      <c r="E578" s="30" t="str">
        <f ca="1">IFERROR(__xludf.DUMMYFUNCTION("""COMPUTED_VALUE"""),"PB3572")</f>
        <v>PB3572</v>
      </c>
      <c r="F57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7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78" s="30" t="str">
        <f ca="1">IFERROR(__xludf.DUMMYFUNCTION("""COMPUTED_VALUE"""),"SUBSECRETARÍA DE DESARROLLO Y PROMOCIÓN ARTÍSTICA Y CULTURAL")</f>
        <v>SUBSECRETARÍA DE DESARROLLO Y PROMOCIÓN ARTÍSTICA Y CULTURAL</v>
      </c>
      <c r="I578" s="34" t="str">
        <f ca="1">IFERROR(__xludf.DUMMYFUNCTION("""COMPUTED_VALUE"""),"DIRECCIÓN GENERAL DE MUSEOS, ARTES VISUALES Y EXPOSICIONES")</f>
        <v>DIRECCIÓN GENERAL DE MUSEOS, ARTES VISUALES Y EXPOSICIONES</v>
      </c>
      <c r="J578" s="30" t="str">
        <f ca="1">IFERROR(__xludf.DUMMYFUNCTION("""COMPUTED_VALUE"""),"Número de Actividades realizadas")</f>
        <v>Número de Actividades realizadas</v>
      </c>
      <c r="K578" s="30">
        <f ca="1">IFERROR(__xludf.DUMMYFUNCTION("""COMPUTED_VALUE"""),800)</f>
        <v>800</v>
      </c>
      <c r="L578" s="30" t="str">
        <f ca="1">IFERROR(__xludf.DUMMYFUNCTION("""COMPUTED_VALUE"""),"Artística")</f>
        <v>Artística</v>
      </c>
      <c r="M578" s="30" t="str">
        <f ca="1">IFERROR(__xludf.DUMMYFUNCTION("""COMPUTED_VALUE"""),"Fideos a la chupícuaro")</f>
        <v>Fideos a la chupícuaro</v>
      </c>
      <c r="N578" s="30" t="str">
        <f ca="1">IFERROR(__xludf.DUMMYFUNCTION("""COMPUTED_VALUE"""),"Actividad artística de taller familiar, corresponsabilidad con la exposición permanente de cultura regional")</f>
        <v>Actividad artística de taller familiar, corresponsabilidad con la exposición permanente de cultura regional</v>
      </c>
      <c r="O578" s="30" t="str">
        <f ca="1">IFERROR(__xludf.DUMMYFUNCTION("""COMPUTED_VALUE"""),"Semanal")</f>
        <v>Semanal</v>
      </c>
      <c r="P578" s="33">
        <f ca="1">IFERROR(__xludf.DUMMYFUNCTION("""COMPUTED_VALUE"""),46270)</f>
        <v>46270</v>
      </c>
      <c r="Q578" s="33">
        <f ca="1">IFERROR(__xludf.DUMMYFUNCTION("""COMPUTED_VALUE"""),46292)</f>
        <v>46292</v>
      </c>
      <c r="R578" s="30">
        <f ca="1">IFERROR(__xludf.DUMMYFUNCTION("""COMPUTED_VALUE"""),3)</f>
        <v>3</v>
      </c>
      <c r="S578" s="30" t="str">
        <f ca="1">IFERROR(__xludf.DUMMYFUNCTION("""COMPUTED_VALUE"""),"Cultura comunitaria")</f>
        <v>Cultura comunitaria</v>
      </c>
      <c r="T578" s="30" t="str">
        <f ca="1">IFERROR(__xludf.DUMMYFUNCTION("""COMPUTED_VALUE"""),"Mediación cultural")</f>
        <v>Mediación cultural</v>
      </c>
      <c r="U578" s="30" t="str">
        <f ca="1">IFERROR(__xludf.DUMMYFUNCTION("""COMPUTED_VALUE"""),"Taller")</f>
        <v>Taller</v>
      </c>
      <c r="V578" s="30" t="str">
        <f ca="1">IFERROR(__xludf.DUMMYFUNCTION("""COMPUTED_VALUE"""),"Ninguna")</f>
        <v>Ninguna</v>
      </c>
      <c r="W578" s="30" t="str">
        <f ca="1">IFERROR(__xludf.DUMMYFUNCTION("""COMPUTED_VALUE"""),"Presencial")</f>
        <v>Presencial</v>
      </c>
      <c r="X578" s="30" t="str">
        <f ca="1">IFERROR(__xludf.DUMMYFUNCTION("""COMPUTED_VALUE"""),"Espacio a Cargo de la Secretaría")</f>
        <v>Espacio a Cargo de la Secretaría</v>
      </c>
      <c r="Y578" s="30" t="str">
        <f ca="1">IFERROR(__xludf.DUMMYFUNCTION("""COMPUTED_VALUE"""),"Museo de Arte e Historia de Guanajuato, sala Feliciano Peña")</f>
        <v>Museo de Arte e Historia de Guanajuato, sala Feliciano Peña</v>
      </c>
      <c r="Z578" s="30"/>
      <c r="AA578" s="30"/>
      <c r="AB578" s="30" t="b">
        <f ca="1">IFERROR(__xludf.DUMMYFUNCTION("""COMPUTED_VALUE"""),FALSE)</f>
        <v>0</v>
      </c>
      <c r="AC578" s="30"/>
      <c r="AD578" s="30" t="b">
        <f ca="1">IFERROR(__xludf.DUMMYFUNCTION("""COMPUTED_VALUE"""),FALSE)</f>
        <v>0</v>
      </c>
      <c r="AE578" s="30"/>
      <c r="AF578" s="30" t="b">
        <f ca="1">IFERROR(__xludf.DUMMYFUNCTION("""COMPUTED_VALUE"""),FALSE)</f>
        <v>0</v>
      </c>
      <c r="AG578" s="30"/>
      <c r="AH578" s="30" t="str">
        <f ca="1">IFERROR(__xludf.DUMMYFUNCTION("""COMPUTED_VALUE"""),"Sin costo")</f>
        <v>Sin costo</v>
      </c>
      <c r="AI578" s="30"/>
      <c r="AJ578" s="30"/>
      <c r="AK578" s="30"/>
      <c r="AL578" s="30" t="str">
        <f ca="1">IFERROR(__xludf.DUMMYFUNCTION("""COMPUTED_VALUE"""),"ccardonav@guanajuato.gob.mx")</f>
        <v>ccardonav@guanajuato.gob.mx</v>
      </c>
      <c r="AM578" s="30" t="str">
        <f ca="1">IFERROR(__xludf.DUMMYFUNCTION("""COMPUTED_VALUE"""),"Arraigo y empoderamiento cultural de comunidades.")</f>
        <v>Arraigo y empoderamiento cultural de comunidades.</v>
      </c>
      <c r="AN578" s="30" t="str">
        <f ca="1">IFERROR(__xludf.DUMMYFUNCTION("""COMPUTED_VALUE"""),"2 Igualdad")</f>
        <v>2 Igualdad</v>
      </c>
      <c r="AO578" s="30" t="str">
        <f ca="1">IFERROR(__xludf.DUMMYFUNCTION("""COMPUTED_VALUE"""),"2.4 Reducir brechas de desigualdad")</f>
        <v>2.4 Reducir brechas de desigualdad</v>
      </c>
      <c r="AP578" s="30" t="str">
        <f ca="1">IFERROR(__xludf.DUMMYFUNCTION("""COMPUTED_VALUE"""),"2.4.3 Descentralización de la oferta cultural")</f>
        <v>2.4.3 Descentralización de la oferta cultural</v>
      </c>
      <c r="AQ578" s="30" t="str">
        <f ca="1">IFERROR(__xludf.DUMMYFUNCTION("""COMPUTED_VALUE"""),"2.4.3.3 Incidir en el involucramiento de las personas con el ecosistema cultural")</f>
        <v>2.4.3.3 Incidir en el involucramiento de las personas con el ecosistema cultural</v>
      </c>
      <c r="AR578" s="30" t="str">
        <f ca="1">IFERROR(__xludf.DUMMYFUNCTION("""COMPUTED_VALUE"""),"Ninguno")</f>
        <v>Ninguno</v>
      </c>
      <c r="AS578" s="30"/>
      <c r="AT578" s="30" t="str">
        <f ca="1">IFERROR(__xludf.DUMMYFUNCTION("""COMPUTED_VALUE"""),"Fortalecimiento de la participación ciudadana y la mediación cultural")</f>
        <v>Fortalecimiento de la participación ciudadana y la mediación cultural</v>
      </c>
      <c r="AU578" s="30" t="str">
        <f ca="1">IFERROR(__xludf.DUMMYFUNCTION("""COMPUTED_VALUE"""),"Impulso a la ampliación de la oferta cultural en los territorios.")</f>
        <v>Impulso a la ampliación de la oferta cultural en los territorios.</v>
      </c>
      <c r="AV57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8" s="30" t="str">
        <f ca="1">IFERROR(__xludf.DUMMYFUNCTION("""COMPUTED_VALUE"""),"Incrementar en 25% la oferta cultural realizada en los municipios.")</f>
        <v>Incrementar en 25% la oferta cultural realizada en los municipios.</v>
      </c>
      <c r="AX578" s="30" t="str">
        <f ca="1">IFERROR(__xludf.DUMMYFUNCTION("""COMPUTED_VALUE"""),"Taller")</f>
        <v>Taller</v>
      </c>
      <c r="AY578" s="30" t="str">
        <f ca="1">IFERROR(__xludf.DUMMYFUNCTION("""COMPUTED_VALUE"""),"Formación")</f>
        <v>Formación</v>
      </c>
      <c r="AZ578" s="30" t="str">
        <f ca="1">IFERROR(__xludf.DUMMYFUNCTION("""COMPUTED_VALUE"""),"Formación")</f>
        <v>Formación</v>
      </c>
      <c r="BA578" s="30"/>
      <c r="BB578" s="30"/>
      <c r="BC578" s="30">
        <f ca="1">IFERROR(__xludf.DUMMYFUNCTION("""COMPUTED_VALUE"""),0)</f>
        <v>0</v>
      </c>
      <c r="BD578" s="30"/>
      <c r="BE578" s="30"/>
      <c r="BF578" s="30" t="b">
        <f ca="1">IFERROR(__xludf.DUMMYFUNCTION("""COMPUTED_VALUE"""),FALSE)</f>
        <v>0</v>
      </c>
      <c r="BG578" s="30"/>
      <c r="BH578" s="30"/>
      <c r="BI578" s="30"/>
      <c r="BJ578" s="30"/>
      <c r="BK578" s="30"/>
      <c r="BL578" s="30"/>
      <c r="BM578" s="30" t="str">
        <f ca="1">IFERROR(__xludf.DUMMYFUNCTION("""COMPUTED_VALUE"""),"No")</f>
        <v>No</v>
      </c>
      <c r="BN578" s="30"/>
      <c r="BO578" s="30" t="str">
        <f ca="1">IFERROR(__xludf.DUMMYFUNCTION("""COMPUTED_VALUE"""),"e3d4c5dc")</f>
        <v>e3d4c5dc</v>
      </c>
      <c r="BP578" s="29" t="str">
        <f ca="1">IFERROR(__xludf.DUMMYFUNCTION("""COMPUTED_VALUE"""),"Guanajuato")</f>
        <v>Guanajuato</v>
      </c>
      <c r="BQ578" s="30" t="str">
        <f ca="1">IFERROR(__xludf.DUMMYFUNCTION("""COMPUTED_VALUE"""),"Urbano")</f>
        <v>Urbano</v>
      </c>
      <c r="BR578" s="30"/>
      <c r="BS578" s="30"/>
      <c r="BT578" s="30"/>
      <c r="BU578" s="30" t="str">
        <f ca="1">IFERROR(__xludf.DUMMYFUNCTION("""COMPUTED_VALUE"""),"No")</f>
        <v>No</v>
      </c>
      <c r="BV578" s="30" t="str">
        <f ca="1">IFERROR(__xludf.DUMMYFUNCTION("""COMPUTED_VALUE"""),"No")</f>
        <v>No</v>
      </c>
      <c r="BW578" s="30">
        <f ca="1">IFERROR(__xludf.DUMMYFUNCTION("""COMPUTED_VALUE"""),14)</f>
        <v>14</v>
      </c>
      <c r="BX578" s="30">
        <f ca="1">IFERROR(__xludf.DUMMYFUNCTION("""COMPUTED_VALUE"""),14)</f>
        <v>14</v>
      </c>
      <c r="BY578" s="30">
        <f ca="1">IFERROR(__xludf.DUMMYFUNCTION("""COMPUTED_VALUE"""),0)</f>
        <v>0</v>
      </c>
      <c r="BZ578" s="30"/>
      <c r="CA578" s="30" t="str">
        <f ca="1">IFERROR(__xludf.DUMMYFUNCTION("""COMPUTED_VALUE"""),"No")</f>
        <v>No</v>
      </c>
      <c r="CB578" s="30" t="str">
        <f ca="1">IFERROR(__xludf.DUMMYFUNCTION("""COMPUTED_VALUE"""),"No")</f>
        <v>No</v>
      </c>
      <c r="CC578" s="30" t="str">
        <f ca="1">IFERROR(__xludf.DUMMYFUNCTION("""COMPUTED_VALUE"""),"3c5e63f2")</f>
        <v>3c5e63f2</v>
      </c>
      <c r="CD578" s="29" t="str">
        <f ca="1">IFERROR(__xludf.DUMMYFUNCTION("""COMPUTED_VALUE"""),"Niñas y Niños (6 a 12 años)")</f>
        <v>Niñas y Niños (6 a 12 años)</v>
      </c>
      <c r="CE578" s="30" t="str">
        <f ca="1">IFERROR(__xludf.DUMMYFUNCTION("""COMPUTED_VALUE"""),"No se cuenta con el dato")</f>
        <v>No se cuenta con el dato</v>
      </c>
      <c r="CF578" s="30" t="str">
        <f ca="1">IFERROR(__xludf.DUMMYFUNCTION("""COMPUTED_VALUE"""),"Ninguno (Población General)")</f>
        <v>Ninguno (Población General)</v>
      </c>
      <c r="CG578" s="30">
        <f ca="1">IFERROR(__xludf.DUMMYFUNCTION("""COMPUTED_VALUE"""),40)</f>
        <v>40</v>
      </c>
      <c r="CJ578" s="29"/>
      <c r="CM578" s="30" t="str">
        <f ca="1">IFERROR(__xludf.DUMMYFUNCTION("""COMPUTED_VALUE"""),"Uriangato")</f>
        <v>Uriangato</v>
      </c>
      <c r="CN578" s="32" t="e">
        <f ca="1"/>
        <v>#NAME?</v>
      </c>
      <c r="CO578" s="32" t="e">
        <f ca="1"/>
        <v>#NAME?</v>
      </c>
      <c r="CP578" s="32" t="e">
        <f ca="1"/>
        <v>#NAME?</v>
      </c>
      <c r="CQ578" s="32" t="e">
        <f ca="1"/>
        <v>#NAME?</v>
      </c>
      <c r="CR578" s="30" t="e">
        <f ca="1"/>
        <v>#NAME?</v>
      </c>
      <c r="CS578" s="30" t="str">
        <f ca="1">IFERROR(__xludf.DUMMYFUNCTION("""COMPUTED_VALUE"""),"Ninguno (Población General)")</f>
        <v>Ninguno (Población General)</v>
      </c>
    </row>
    <row r="579" spans="1:97" ht="13">
      <c r="A579" s="29" t="str">
        <f ca="1">IFERROR(__xludf.DUMMYFUNCTION("""COMPUTED_VALUE"""),"ACT-SCSM54851")</f>
        <v>ACT-SCSM54851</v>
      </c>
      <c r="B579" s="30" t="str">
        <f ca="1">IFERROR(__xludf.DUMMYFUNCTION("""COMPUTED_VALUE"""),"SC-261021-165627")</f>
        <v>SC-261021-165627</v>
      </c>
      <c r="C579" s="62">
        <f ca="1">IFERROR(__xludf.DUMMYFUNCTION("""COMPUTED_VALUE"""),46316.7058680555)</f>
        <v>46316.705868055498</v>
      </c>
      <c r="D579" s="30">
        <f ca="1">IFERROR(__xludf.DUMMYFUNCTION("""COMPUTED_VALUE"""),92)</f>
        <v>92</v>
      </c>
      <c r="E579" s="30" t="str">
        <f ca="1">IFERROR(__xludf.DUMMYFUNCTION("""COMPUTED_VALUE"""),"PB3572")</f>
        <v>PB3572</v>
      </c>
      <c r="F57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7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79" s="30" t="str">
        <f ca="1">IFERROR(__xludf.DUMMYFUNCTION("""COMPUTED_VALUE"""),"SUBSECRETARÍA DE DESARROLLO Y PROMOCIÓN ARTÍSTICA Y CULTURAL")</f>
        <v>SUBSECRETARÍA DE DESARROLLO Y PROMOCIÓN ARTÍSTICA Y CULTURAL</v>
      </c>
      <c r="I579" s="34" t="str">
        <f ca="1">IFERROR(__xludf.DUMMYFUNCTION("""COMPUTED_VALUE"""),"DIRECCIÓN GENERAL DE MUSEOS, ARTES VISUALES Y EXPOSICIONES")</f>
        <v>DIRECCIÓN GENERAL DE MUSEOS, ARTES VISUALES Y EXPOSICIONES</v>
      </c>
      <c r="J579" s="30" t="str">
        <f ca="1">IFERROR(__xludf.DUMMYFUNCTION("""COMPUTED_VALUE"""),"Número de Actividades realizadas")</f>
        <v>Número de Actividades realizadas</v>
      </c>
      <c r="K579" s="30">
        <f ca="1">IFERROR(__xludf.DUMMYFUNCTION("""COMPUTED_VALUE"""),800)</f>
        <v>800</v>
      </c>
      <c r="L579" s="30" t="str">
        <f ca="1">IFERROR(__xludf.DUMMYFUNCTION("""COMPUTED_VALUE"""),"Artística")</f>
        <v>Artística</v>
      </c>
      <c r="M579" s="30" t="str">
        <f ca="1">IFERROR(__xludf.DUMMYFUNCTION("""COMPUTED_VALUE"""),"El grito geométrico")</f>
        <v>El grito geométrico</v>
      </c>
      <c r="N579" s="30" t="str">
        <f ca="1">IFERROR(__xludf.DUMMYFUNCTION("""COMPUTED_VALUE"""),"Actividad artística de taller familiar, corresponsabilidad con la exposición permanente de jardin de las esculturas")</f>
        <v>Actividad artística de taller familiar, corresponsabilidad con la exposición permanente de jardin de las esculturas</v>
      </c>
      <c r="O579" s="30" t="str">
        <f ca="1">IFERROR(__xludf.DUMMYFUNCTION("""COMPUTED_VALUE"""),"Semanal")</f>
        <v>Semanal</v>
      </c>
      <c r="P579" s="33">
        <f ca="1">IFERROR(__xludf.DUMMYFUNCTION("""COMPUTED_VALUE"""),46270)</f>
        <v>46270</v>
      </c>
      <c r="Q579" s="33">
        <f ca="1">IFERROR(__xludf.DUMMYFUNCTION("""COMPUTED_VALUE"""),46292)</f>
        <v>46292</v>
      </c>
      <c r="R579" s="30">
        <f ca="1">IFERROR(__xludf.DUMMYFUNCTION("""COMPUTED_VALUE"""),4)</f>
        <v>4</v>
      </c>
      <c r="S579" s="30" t="str">
        <f ca="1">IFERROR(__xludf.DUMMYFUNCTION("""COMPUTED_VALUE"""),"Cultura comunitaria")</f>
        <v>Cultura comunitaria</v>
      </c>
      <c r="T579" s="30" t="str">
        <f ca="1">IFERROR(__xludf.DUMMYFUNCTION("""COMPUTED_VALUE"""),"Mediación cultural")</f>
        <v>Mediación cultural</v>
      </c>
      <c r="U579" s="30" t="str">
        <f ca="1">IFERROR(__xludf.DUMMYFUNCTION("""COMPUTED_VALUE"""),"Taller")</f>
        <v>Taller</v>
      </c>
      <c r="V579" s="30" t="str">
        <f ca="1">IFERROR(__xludf.DUMMYFUNCTION("""COMPUTED_VALUE"""),"Ninguna")</f>
        <v>Ninguna</v>
      </c>
      <c r="W579" s="30" t="str">
        <f ca="1">IFERROR(__xludf.DUMMYFUNCTION("""COMPUTED_VALUE"""),"Presencial")</f>
        <v>Presencial</v>
      </c>
      <c r="X579" s="30" t="str">
        <f ca="1">IFERROR(__xludf.DUMMYFUNCTION("""COMPUTED_VALUE"""),"Espacio a Cargo de la Secretaría")</f>
        <v>Espacio a Cargo de la Secretaría</v>
      </c>
      <c r="Y579" s="30" t="str">
        <f ca="1">IFERROR(__xludf.DUMMYFUNCTION("""COMPUTED_VALUE"""),"Museo de Arte e Historia de Guanajuato, sala Feliciano Peña")</f>
        <v>Museo de Arte e Historia de Guanajuato, sala Feliciano Peña</v>
      </c>
      <c r="Z579" s="30"/>
      <c r="AA579" s="30"/>
      <c r="AB579" s="30" t="b">
        <f ca="1">IFERROR(__xludf.DUMMYFUNCTION("""COMPUTED_VALUE"""),FALSE)</f>
        <v>0</v>
      </c>
      <c r="AC579" s="30"/>
      <c r="AD579" s="30" t="b">
        <f ca="1">IFERROR(__xludf.DUMMYFUNCTION("""COMPUTED_VALUE"""),FALSE)</f>
        <v>0</v>
      </c>
      <c r="AE579" s="30"/>
      <c r="AF579" s="30" t="b">
        <f ca="1">IFERROR(__xludf.DUMMYFUNCTION("""COMPUTED_VALUE"""),FALSE)</f>
        <v>0</v>
      </c>
      <c r="AG579" s="30"/>
      <c r="AH579" s="30" t="str">
        <f ca="1">IFERROR(__xludf.DUMMYFUNCTION("""COMPUTED_VALUE"""),"Sin costo")</f>
        <v>Sin costo</v>
      </c>
      <c r="AI579" s="30"/>
      <c r="AJ579" s="30"/>
      <c r="AK579" s="30"/>
      <c r="AL579" s="30" t="str">
        <f ca="1">IFERROR(__xludf.DUMMYFUNCTION("""COMPUTED_VALUE"""),"ccardonav@guanajuato.gob.mx")</f>
        <v>ccardonav@guanajuato.gob.mx</v>
      </c>
      <c r="AM579" s="30" t="str">
        <f ca="1">IFERROR(__xludf.DUMMYFUNCTION("""COMPUTED_VALUE"""),"Arraigo y empoderamiento cultural de comunidades.")</f>
        <v>Arraigo y empoderamiento cultural de comunidades.</v>
      </c>
      <c r="AN579" s="30" t="str">
        <f ca="1">IFERROR(__xludf.DUMMYFUNCTION("""COMPUTED_VALUE"""),"2 Igualdad")</f>
        <v>2 Igualdad</v>
      </c>
      <c r="AO579" s="30" t="str">
        <f ca="1">IFERROR(__xludf.DUMMYFUNCTION("""COMPUTED_VALUE"""),"2.4 Reducir brechas de desigualdad")</f>
        <v>2.4 Reducir brechas de desigualdad</v>
      </c>
      <c r="AP579" s="30" t="str">
        <f ca="1">IFERROR(__xludf.DUMMYFUNCTION("""COMPUTED_VALUE"""),"2.4.3 Descentralización de la oferta cultural")</f>
        <v>2.4.3 Descentralización de la oferta cultural</v>
      </c>
      <c r="AQ579" s="30" t="str">
        <f ca="1">IFERROR(__xludf.DUMMYFUNCTION("""COMPUTED_VALUE"""),"2.4.3.3 Incidir en el involucramiento de las personas con el ecosistema cultural")</f>
        <v>2.4.3.3 Incidir en el involucramiento de las personas con el ecosistema cultural</v>
      </c>
      <c r="AR579" s="30" t="str">
        <f ca="1">IFERROR(__xludf.DUMMYFUNCTION("""COMPUTED_VALUE"""),"Ninguno")</f>
        <v>Ninguno</v>
      </c>
      <c r="AS579" s="30"/>
      <c r="AT579" s="30" t="str">
        <f ca="1">IFERROR(__xludf.DUMMYFUNCTION("""COMPUTED_VALUE"""),"Fortalecimiento de la participación ciudadana y la mediación cultural")</f>
        <v>Fortalecimiento de la participación ciudadana y la mediación cultural</v>
      </c>
      <c r="AU579" s="30" t="str">
        <f ca="1">IFERROR(__xludf.DUMMYFUNCTION("""COMPUTED_VALUE"""),"Impulso a la ampliación de la oferta cultural en los territorios.")</f>
        <v>Impulso a la ampliación de la oferta cultural en los territorios.</v>
      </c>
      <c r="AV57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79" s="30" t="str">
        <f ca="1">IFERROR(__xludf.DUMMYFUNCTION("""COMPUTED_VALUE"""),"Incrementar en 25% la oferta cultural realizada en los municipios.")</f>
        <v>Incrementar en 25% la oferta cultural realizada en los municipios.</v>
      </c>
      <c r="AX579" s="30" t="str">
        <f ca="1">IFERROR(__xludf.DUMMYFUNCTION("""COMPUTED_VALUE"""),"Taller")</f>
        <v>Taller</v>
      </c>
      <c r="AY579" s="30" t="str">
        <f ca="1">IFERROR(__xludf.DUMMYFUNCTION("""COMPUTED_VALUE"""),"Formación")</f>
        <v>Formación</v>
      </c>
      <c r="AZ579" s="30" t="str">
        <f ca="1">IFERROR(__xludf.DUMMYFUNCTION("""COMPUTED_VALUE"""),"Formación")</f>
        <v>Formación</v>
      </c>
      <c r="BA579" s="30"/>
      <c r="BB579" s="30"/>
      <c r="BC579" s="30">
        <f ca="1">IFERROR(__xludf.DUMMYFUNCTION("""COMPUTED_VALUE"""),0)</f>
        <v>0</v>
      </c>
      <c r="BD579" s="30"/>
      <c r="BE579" s="30"/>
      <c r="BF579" s="30" t="b">
        <f ca="1">IFERROR(__xludf.DUMMYFUNCTION("""COMPUTED_VALUE"""),FALSE)</f>
        <v>0</v>
      </c>
      <c r="BG579" s="30"/>
      <c r="BH579" s="30"/>
      <c r="BI579" s="30"/>
      <c r="BJ579" s="30"/>
      <c r="BK579" s="30"/>
      <c r="BL579" s="30"/>
      <c r="BM579" s="30" t="str">
        <f ca="1">IFERROR(__xludf.DUMMYFUNCTION("""COMPUTED_VALUE"""),"No")</f>
        <v>No</v>
      </c>
      <c r="BN579" s="30"/>
      <c r="BO579" s="30" t="str">
        <f ca="1">IFERROR(__xludf.DUMMYFUNCTION("""COMPUTED_VALUE"""),"db65a049")</f>
        <v>db65a049</v>
      </c>
      <c r="BP579" s="29" t="str">
        <f ca="1">IFERROR(__xludf.DUMMYFUNCTION("""COMPUTED_VALUE"""),"Guanajuato")</f>
        <v>Guanajuato</v>
      </c>
      <c r="BQ579" s="30" t="str">
        <f ca="1">IFERROR(__xludf.DUMMYFUNCTION("""COMPUTED_VALUE"""),"Urbano")</f>
        <v>Urbano</v>
      </c>
      <c r="BR579" s="30"/>
      <c r="BS579" s="30"/>
      <c r="BT579" s="30"/>
      <c r="BU579" s="30" t="str">
        <f ca="1">IFERROR(__xludf.DUMMYFUNCTION("""COMPUTED_VALUE"""),"No")</f>
        <v>No</v>
      </c>
      <c r="BV579" s="30" t="str">
        <f ca="1">IFERROR(__xludf.DUMMYFUNCTION("""COMPUTED_VALUE"""),"No")</f>
        <v>No</v>
      </c>
      <c r="BW579" s="30">
        <f ca="1">IFERROR(__xludf.DUMMYFUNCTION("""COMPUTED_VALUE"""),25)</f>
        <v>25</v>
      </c>
      <c r="BX579" s="30">
        <f ca="1">IFERROR(__xludf.DUMMYFUNCTION("""COMPUTED_VALUE"""),25)</f>
        <v>25</v>
      </c>
      <c r="BY579" s="30">
        <f ca="1">IFERROR(__xludf.DUMMYFUNCTION("""COMPUTED_VALUE"""),0)</f>
        <v>0</v>
      </c>
      <c r="BZ579" s="30"/>
      <c r="CA579" s="30" t="str">
        <f ca="1">IFERROR(__xludf.DUMMYFUNCTION("""COMPUTED_VALUE"""),"No")</f>
        <v>No</v>
      </c>
      <c r="CB579" s="30" t="str">
        <f ca="1">IFERROR(__xludf.DUMMYFUNCTION("""COMPUTED_VALUE"""),"No")</f>
        <v>No</v>
      </c>
      <c r="CC579" s="30" t="str">
        <f ca="1">IFERROR(__xludf.DUMMYFUNCTION("""COMPUTED_VALUE"""),"826ba3db")</f>
        <v>826ba3db</v>
      </c>
      <c r="CD579" s="29" t="str">
        <f ca="1">IFERROR(__xludf.DUMMYFUNCTION("""COMPUTED_VALUE"""),"Adultos (30 a 59 años)")</f>
        <v>Adultos (30 a 59 años)</v>
      </c>
      <c r="CE579" s="30" t="str">
        <f ca="1">IFERROR(__xludf.DUMMYFUNCTION("""COMPUTED_VALUE"""),"Mujer")</f>
        <v>Mujer</v>
      </c>
      <c r="CF579" s="30" t="str">
        <f ca="1">IFERROR(__xludf.DUMMYFUNCTION("""COMPUTED_VALUE"""),"Ninguno (Población General)")</f>
        <v>Ninguno (Población General)</v>
      </c>
      <c r="CG579" s="30">
        <f ca="1">IFERROR(__xludf.DUMMYFUNCTION("""COMPUTED_VALUE"""),13)</f>
        <v>13</v>
      </c>
      <c r="CJ579" s="29"/>
      <c r="CM579" s="30" t="str">
        <f ca="1">IFERROR(__xludf.DUMMYFUNCTION("""COMPUTED_VALUE"""),"Guanajuato")</f>
        <v>Guanajuato</v>
      </c>
      <c r="CN579" s="32" t="e">
        <f ca="1"/>
        <v>#NAME?</v>
      </c>
      <c r="CO579" s="32" t="e">
        <f ca="1"/>
        <v>#NAME?</v>
      </c>
      <c r="CP579" s="32" t="e">
        <f ca="1"/>
        <v>#NAME?</v>
      </c>
      <c r="CQ579" s="32" t="e">
        <f ca="1"/>
        <v>#NAME?</v>
      </c>
      <c r="CR579" s="30" t="e">
        <f ca="1"/>
        <v>#NAME?</v>
      </c>
      <c r="CS579" s="30" t="str">
        <f ca="1">IFERROR(__xludf.DUMMYFUNCTION("""COMPUTED_VALUE"""),"Ninguno (Población General)")</f>
        <v>Ninguno (Población General)</v>
      </c>
    </row>
    <row r="580" spans="1:97" ht="13">
      <c r="A580" s="29" t="str">
        <f ca="1">IFERROR(__xludf.DUMMYFUNCTION("""COMPUTED_VALUE"""),"ACT-SCJG05812")</f>
        <v>ACT-SCJG05812</v>
      </c>
      <c r="B580" s="30" t="str">
        <f ca="1">IFERROR(__xludf.DUMMYFUNCTION("""COMPUTED_VALUE"""),"SC-261022-104741")</f>
        <v>SC-261022-104741</v>
      </c>
      <c r="C580" s="62">
        <f ca="1">IFERROR(__xludf.DUMMYFUNCTION("""COMPUTED_VALUE"""),46317.4497800925)</f>
        <v>46317.449780092502</v>
      </c>
      <c r="D580" s="30">
        <f ca="1">IFERROR(__xludf.DUMMYFUNCTION("""COMPUTED_VALUE"""),92)</f>
        <v>92</v>
      </c>
      <c r="E580" s="30" t="str">
        <f ca="1">IFERROR(__xludf.DUMMYFUNCTION("""COMPUTED_VALUE"""),"PB3572")</f>
        <v>PB3572</v>
      </c>
      <c r="F58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0" s="30" t="str">
        <f ca="1">IFERROR(__xludf.DUMMYFUNCTION("""COMPUTED_VALUE"""),"SUBSECRETARÍA DE DESARROLLO Y PROMOCIÓN ARTÍSTICA Y CULTURAL")</f>
        <v>SUBSECRETARÍA DE DESARROLLO Y PROMOCIÓN ARTÍSTICA Y CULTURAL</v>
      </c>
      <c r="I580" s="34" t="str">
        <f ca="1">IFERROR(__xludf.DUMMYFUNCTION("""COMPUTED_VALUE"""),"DIRECCIÓN GENERAL DE MUSEOS, ARTES VISUALES Y EXPOSICIONES")</f>
        <v>DIRECCIÓN GENERAL DE MUSEOS, ARTES VISUALES Y EXPOSICIONES</v>
      </c>
      <c r="J580" s="30" t="str">
        <f ca="1">IFERROR(__xludf.DUMMYFUNCTION("""COMPUTED_VALUE"""),"Número de Actividades realizadas")</f>
        <v>Número de Actividades realizadas</v>
      </c>
      <c r="K580" s="30">
        <f ca="1">IFERROR(__xludf.DUMMYFUNCTION("""COMPUTED_VALUE"""),800)</f>
        <v>800</v>
      </c>
      <c r="L580" s="30" t="str">
        <f ca="1">IFERROR(__xludf.DUMMYFUNCTION("""COMPUTED_VALUE"""),"Artística")</f>
        <v>Artística</v>
      </c>
      <c r="M580" s="30" t="str">
        <f ca="1">IFERROR(__xludf.DUMMYFUNCTION("""COMPUTED_VALUE"""),"Mural Veneciano")</f>
        <v>Mural Veneciano</v>
      </c>
      <c r="N580" s="30" t="str">
        <f ca="1">IFERROR(__xludf.DUMMYFUNCTION("""COMPUTED_VALUE"""),"Taller artístico especializado")</f>
        <v>Taller artístico especializado</v>
      </c>
      <c r="O580" s="30" t="str">
        <f ca="1">IFERROR(__xludf.DUMMYFUNCTION("""COMPUTED_VALUE"""),"Semanal")</f>
        <v>Semanal</v>
      </c>
      <c r="P580" s="33">
        <f ca="1">IFERROR(__xludf.DUMMYFUNCTION("""COMPUTED_VALUE"""),46271)</f>
        <v>46271</v>
      </c>
      <c r="Q580" s="33">
        <f ca="1">IFERROR(__xludf.DUMMYFUNCTION("""COMPUTED_VALUE"""),46293)</f>
        <v>46293</v>
      </c>
      <c r="R580" s="30">
        <f ca="1">IFERROR(__xludf.DUMMYFUNCTION("""COMPUTED_VALUE"""),3)</f>
        <v>3</v>
      </c>
      <c r="S580" s="30" t="str">
        <f ca="1">IFERROR(__xludf.DUMMYFUNCTION("""COMPUTED_VALUE"""),"Cultura comunitaria")</f>
        <v>Cultura comunitaria</v>
      </c>
      <c r="T580" s="30" t="str">
        <f ca="1">IFERROR(__xludf.DUMMYFUNCTION("""COMPUTED_VALUE"""),"Mediación cultural")</f>
        <v>Mediación cultural</v>
      </c>
      <c r="U580" s="30" t="str">
        <f ca="1">IFERROR(__xludf.DUMMYFUNCTION("""COMPUTED_VALUE"""),"Taller")</f>
        <v>Taller</v>
      </c>
      <c r="V580" s="30" t="str">
        <f ca="1">IFERROR(__xludf.DUMMYFUNCTION("""COMPUTED_VALUE"""),"Ninguna")</f>
        <v>Ninguna</v>
      </c>
      <c r="W580" s="30" t="str">
        <f ca="1">IFERROR(__xludf.DUMMYFUNCTION("""COMPUTED_VALUE"""),"Presencial")</f>
        <v>Presencial</v>
      </c>
      <c r="X580" s="30" t="str">
        <f ca="1">IFERROR(__xludf.DUMMYFUNCTION("""COMPUTED_VALUE"""),"Espacio a Cargo de la Secretaría")</f>
        <v>Espacio a Cargo de la Secretaría</v>
      </c>
      <c r="Y580" s="30" t="str">
        <f ca="1">IFERROR(__xludf.DUMMYFUNCTION("""COMPUTED_VALUE"""),"Museo de Arte e Historia de Guanajuato, sala Feliciano Peña")</f>
        <v>Museo de Arte e Historia de Guanajuato, sala Feliciano Peña</v>
      </c>
      <c r="Z580" s="30"/>
      <c r="AA580" s="30"/>
      <c r="AB580" s="30" t="b">
        <f ca="1">IFERROR(__xludf.DUMMYFUNCTION("""COMPUTED_VALUE"""),TRUE)</f>
        <v>1</v>
      </c>
      <c r="AC580" s="30"/>
      <c r="AD580" s="30" t="b">
        <f ca="1">IFERROR(__xludf.DUMMYFUNCTION("""COMPUTED_VALUE"""),TRUE)</f>
        <v>1</v>
      </c>
      <c r="AE580" s="30">
        <f ca="1">IFERROR(__xludf.DUMMYFUNCTION("""COMPUTED_VALUE"""),1)</f>
        <v>1</v>
      </c>
      <c r="AF580" s="30" t="b">
        <f ca="1">IFERROR(__xludf.DUMMYFUNCTION("""COMPUTED_VALUE"""),FALSE)</f>
        <v>0</v>
      </c>
      <c r="AG580" s="30"/>
      <c r="AH580" s="30" t="str">
        <f ca="1">IFERROR(__xludf.DUMMYFUNCTION("""COMPUTED_VALUE"""),"Con costo")</f>
        <v>Con costo</v>
      </c>
      <c r="AI580" s="30">
        <f ca="1">IFERROR(__xludf.DUMMYFUNCTION("""COMPUTED_VALUE"""),2293)</f>
        <v>2293</v>
      </c>
      <c r="AJ580" s="30">
        <f ca="1">IFERROR(__xludf.DUMMYFUNCTION("""COMPUTED_VALUE"""),3058)</f>
        <v>3058</v>
      </c>
      <c r="AK580" s="30" t="str">
        <f ca="1">IFERROR(__xludf.DUMMYFUNCTION("""COMPUTED_VALUE"""),"$2,300.00 por Persona")</f>
        <v>$2,300.00 por Persona</v>
      </c>
      <c r="AL580" s="30" t="str">
        <f ca="1">IFERROR(__xludf.DUMMYFUNCTION("""COMPUTED_VALUE"""),"ccardonav@guanajuato.gob.mx")</f>
        <v>ccardonav@guanajuato.gob.mx</v>
      </c>
      <c r="AM580" s="30" t="str">
        <f ca="1">IFERROR(__xludf.DUMMYFUNCTION("""COMPUTED_VALUE"""),"Arraigo y empoderamiento cultural de comunidades.")</f>
        <v>Arraigo y empoderamiento cultural de comunidades.</v>
      </c>
      <c r="AN580" s="30" t="str">
        <f ca="1">IFERROR(__xludf.DUMMYFUNCTION("""COMPUTED_VALUE"""),"2 Igualdad")</f>
        <v>2 Igualdad</v>
      </c>
      <c r="AO580" s="30" t="str">
        <f ca="1">IFERROR(__xludf.DUMMYFUNCTION("""COMPUTED_VALUE"""),"2.4 Reducir brechas de desigualdad")</f>
        <v>2.4 Reducir brechas de desigualdad</v>
      </c>
      <c r="AP580" s="30" t="str">
        <f ca="1">IFERROR(__xludf.DUMMYFUNCTION("""COMPUTED_VALUE"""),"2.4.3 Descentralización de la oferta cultural")</f>
        <v>2.4.3 Descentralización de la oferta cultural</v>
      </c>
      <c r="AQ580" s="30" t="str">
        <f ca="1">IFERROR(__xludf.DUMMYFUNCTION("""COMPUTED_VALUE"""),"2.4.3.3 Incidir en el involucramiento de las personas con el ecosistema cultural")</f>
        <v>2.4.3.3 Incidir en el involucramiento de las personas con el ecosistema cultural</v>
      </c>
      <c r="AR580" s="30" t="str">
        <f ca="1">IFERROR(__xludf.DUMMYFUNCTION("""COMPUTED_VALUE"""),"Ninguno")</f>
        <v>Ninguno</v>
      </c>
      <c r="AS580" s="30"/>
      <c r="AT580" s="30" t="str">
        <f ca="1">IFERROR(__xludf.DUMMYFUNCTION("""COMPUTED_VALUE"""),"Fortalecimiento de la participación ciudadana y la mediación cultural")</f>
        <v>Fortalecimiento de la participación ciudadana y la mediación cultural</v>
      </c>
      <c r="AU580" s="30" t="str">
        <f ca="1">IFERROR(__xludf.DUMMYFUNCTION("""COMPUTED_VALUE"""),"Impulso a la ampliación de la oferta cultural en los territorios.")</f>
        <v>Impulso a la ampliación de la oferta cultural en los territorios.</v>
      </c>
      <c r="AV58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0" s="30" t="str">
        <f ca="1">IFERROR(__xludf.DUMMYFUNCTION("""COMPUTED_VALUE"""),"Incrementar en 25% la oferta cultural realizada en los municipios.")</f>
        <v>Incrementar en 25% la oferta cultural realizada en los municipios.</v>
      </c>
      <c r="AX580" s="30" t="str">
        <f ca="1">IFERROR(__xludf.DUMMYFUNCTION("""COMPUTED_VALUE"""),"Taller")</f>
        <v>Taller</v>
      </c>
      <c r="AY580" s="30" t="str">
        <f ca="1">IFERROR(__xludf.DUMMYFUNCTION("""COMPUTED_VALUE"""),"Formación")</f>
        <v>Formación</v>
      </c>
      <c r="AZ580" s="30" t="str">
        <f ca="1">IFERROR(__xludf.DUMMYFUNCTION("""COMPUTED_VALUE"""),"Formación")</f>
        <v>Formación</v>
      </c>
      <c r="BA580" s="30"/>
      <c r="BB580" s="30"/>
      <c r="BC580" s="30">
        <f ca="1">IFERROR(__xludf.DUMMYFUNCTION("""COMPUTED_VALUE"""),0)</f>
        <v>0</v>
      </c>
      <c r="BD580" s="30"/>
      <c r="BE580" s="30"/>
      <c r="BF580" s="30" t="b">
        <f ca="1">IFERROR(__xludf.DUMMYFUNCTION("""COMPUTED_VALUE"""),FALSE)</f>
        <v>0</v>
      </c>
      <c r="BG580" s="30"/>
      <c r="BH580" s="30"/>
      <c r="BI580" s="30"/>
      <c r="BJ580" s="30"/>
      <c r="BK580" s="30"/>
      <c r="BL580" s="30"/>
      <c r="BM580" s="30" t="str">
        <f ca="1">IFERROR(__xludf.DUMMYFUNCTION("""COMPUTED_VALUE"""),"No")</f>
        <v>No</v>
      </c>
      <c r="BN580" s="30"/>
      <c r="BO580" s="30" t="str">
        <f ca="1">IFERROR(__xludf.DUMMYFUNCTION("""COMPUTED_VALUE"""),"f449ed87")</f>
        <v>f449ed87</v>
      </c>
      <c r="BP580" s="29" t="str">
        <f ca="1">IFERROR(__xludf.DUMMYFUNCTION("""COMPUTED_VALUE"""),"Guanajuato")</f>
        <v>Guanajuato</v>
      </c>
      <c r="BQ580" s="30" t="str">
        <f ca="1">IFERROR(__xludf.DUMMYFUNCTION("""COMPUTED_VALUE"""),"Urbano")</f>
        <v>Urbano</v>
      </c>
      <c r="BR580" s="30"/>
      <c r="BS580" s="30"/>
      <c r="BT580" s="30"/>
      <c r="BU580" s="30" t="str">
        <f ca="1">IFERROR(__xludf.DUMMYFUNCTION("""COMPUTED_VALUE"""),"No")</f>
        <v>No</v>
      </c>
      <c r="BV580" s="30" t="str">
        <f ca="1">IFERROR(__xludf.DUMMYFUNCTION("""COMPUTED_VALUE"""),"No")</f>
        <v>No</v>
      </c>
      <c r="BW580" s="30">
        <f ca="1">IFERROR(__xludf.DUMMYFUNCTION("""COMPUTED_VALUE"""),4)</f>
        <v>4</v>
      </c>
      <c r="BX580" s="30">
        <f ca="1">IFERROR(__xludf.DUMMYFUNCTION("""COMPUTED_VALUE"""),4)</f>
        <v>4</v>
      </c>
      <c r="BY580" s="30">
        <f ca="1">IFERROR(__xludf.DUMMYFUNCTION("""COMPUTED_VALUE"""),0)</f>
        <v>0</v>
      </c>
      <c r="BZ580" s="30"/>
      <c r="CA580" s="30" t="str">
        <f ca="1">IFERROR(__xludf.DUMMYFUNCTION("""COMPUTED_VALUE"""),"No")</f>
        <v>No</v>
      </c>
      <c r="CB580" s="30" t="str">
        <f ca="1">IFERROR(__xludf.DUMMYFUNCTION("""COMPUTED_VALUE"""),"No")</f>
        <v>No</v>
      </c>
      <c r="CC580" s="30" t="str">
        <f ca="1">IFERROR(__xludf.DUMMYFUNCTION("""COMPUTED_VALUE"""),"96203506")</f>
        <v>96203506</v>
      </c>
      <c r="CD580" s="29" t="str">
        <f ca="1">IFERROR(__xludf.DUMMYFUNCTION("""COMPUTED_VALUE"""),"Adultos (30 a 59 años)")</f>
        <v>Adultos (30 a 59 años)</v>
      </c>
      <c r="CE580" s="30" t="str">
        <f ca="1">IFERROR(__xludf.DUMMYFUNCTION("""COMPUTED_VALUE"""),"No se cuenta con el dato")</f>
        <v>No se cuenta con el dato</v>
      </c>
      <c r="CF580" s="30" t="str">
        <f ca="1">IFERROR(__xludf.DUMMYFUNCTION("""COMPUTED_VALUE"""),"Ninguno (Población General)")</f>
        <v>Ninguno (Población General)</v>
      </c>
      <c r="CG580" s="30">
        <f ca="1">IFERROR(__xludf.DUMMYFUNCTION("""COMPUTED_VALUE"""),29)</f>
        <v>29</v>
      </c>
      <c r="CJ580" s="29"/>
      <c r="CM580" s="30" t="str">
        <f ca="1">IFERROR(__xludf.DUMMYFUNCTION("""COMPUTED_VALUE"""),"Guanajuato")</f>
        <v>Guanajuato</v>
      </c>
      <c r="CN580" s="32" t="e">
        <f ca="1"/>
        <v>#NAME?</v>
      </c>
      <c r="CO580" s="32" t="e">
        <f ca="1"/>
        <v>#NAME?</v>
      </c>
      <c r="CP580" s="32" t="e">
        <f ca="1"/>
        <v>#NAME?</v>
      </c>
      <c r="CQ580" s="32" t="e">
        <f ca="1"/>
        <v>#NAME?</v>
      </c>
      <c r="CR580" s="30" t="e">
        <f ca="1"/>
        <v>#NAME?</v>
      </c>
      <c r="CS580" s="30" t="str">
        <f ca="1">IFERROR(__xludf.DUMMYFUNCTION("""COMPUTED_VALUE"""),"Ninguno (Población General)")</f>
        <v>Ninguno (Población General)</v>
      </c>
    </row>
    <row r="581" spans="1:97" ht="13">
      <c r="A581" s="29" t="str">
        <f ca="1">IFERROR(__xludf.DUMMYFUNCTION("""COMPUTED_VALUE"""),"ACT-SCKS19373")</f>
        <v>ACT-SCKS19373</v>
      </c>
      <c r="B581" s="30" t="str">
        <f ca="1">IFERROR(__xludf.DUMMYFUNCTION("""COMPUTED_VALUE"""),"SC-261022-111307")</f>
        <v>SC-261022-111307</v>
      </c>
      <c r="C581" s="62">
        <f ca="1">IFERROR(__xludf.DUMMYFUNCTION("""COMPUTED_VALUE"""),46317.4674421296)</f>
        <v>46317.4674421296</v>
      </c>
      <c r="D581" s="30">
        <f ca="1">IFERROR(__xludf.DUMMYFUNCTION("""COMPUTED_VALUE"""),92)</f>
        <v>92</v>
      </c>
      <c r="E581" s="30" t="str">
        <f ca="1">IFERROR(__xludf.DUMMYFUNCTION("""COMPUTED_VALUE"""),"PB3572")</f>
        <v>PB3572</v>
      </c>
      <c r="F58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1" s="30" t="str">
        <f ca="1">IFERROR(__xludf.DUMMYFUNCTION("""COMPUTED_VALUE"""),"SUBSECRETARÍA DE DESARROLLO Y PROMOCIÓN ARTÍSTICA Y CULTURAL")</f>
        <v>SUBSECRETARÍA DE DESARROLLO Y PROMOCIÓN ARTÍSTICA Y CULTURAL</v>
      </c>
      <c r="I581" s="34" t="str">
        <f ca="1">IFERROR(__xludf.DUMMYFUNCTION("""COMPUTED_VALUE"""),"DIRECCIÓN GENERAL DE MUSEOS, ARTES VISUALES Y EXPOSICIONES")</f>
        <v>DIRECCIÓN GENERAL DE MUSEOS, ARTES VISUALES Y EXPOSICIONES</v>
      </c>
      <c r="J581" s="30" t="str">
        <f ca="1">IFERROR(__xludf.DUMMYFUNCTION("""COMPUTED_VALUE"""),"Número de Actividades realizadas")</f>
        <v>Número de Actividades realizadas</v>
      </c>
      <c r="K581" s="30">
        <f ca="1">IFERROR(__xludf.DUMMYFUNCTION("""COMPUTED_VALUE"""),800)</f>
        <v>800</v>
      </c>
      <c r="L581" s="30" t="str">
        <f ca="1">IFERROR(__xludf.DUMMYFUNCTION("""COMPUTED_VALUE"""),"Artística")</f>
        <v>Artística</v>
      </c>
      <c r="M581" s="30" t="str">
        <f ca="1">IFERROR(__xludf.DUMMYFUNCTION("""COMPUTED_VALUE"""),"Arte Objeto en el grabado")</f>
        <v>Arte Objeto en el grabado</v>
      </c>
      <c r="N581" s="30" t="str">
        <f ca="1">IFERROR(__xludf.DUMMYFUNCTION("""COMPUTED_VALUE"""),"Taller artístico especializado")</f>
        <v>Taller artístico especializado</v>
      </c>
      <c r="O581" s="30" t="str">
        <f ca="1">IFERROR(__xludf.DUMMYFUNCTION("""COMPUTED_VALUE"""),"Semanal")</f>
        <v>Semanal</v>
      </c>
      <c r="P581" s="33">
        <f ca="1">IFERROR(__xludf.DUMMYFUNCTION("""COMPUTED_VALUE"""),46272)</f>
        <v>46272</v>
      </c>
      <c r="Q581" s="33">
        <f ca="1">IFERROR(__xludf.DUMMYFUNCTION("""COMPUTED_VALUE"""),46294)</f>
        <v>46294</v>
      </c>
      <c r="R581" s="30">
        <f ca="1">IFERROR(__xludf.DUMMYFUNCTION("""COMPUTED_VALUE"""),4)</f>
        <v>4</v>
      </c>
      <c r="S581" s="30" t="str">
        <f ca="1">IFERROR(__xludf.DUMMYFUNCTION("""COMPUTED_VALUE"""),"Artes visuales")</f>
        <v>Artes visuales</v>
      </c>
      <c r="T581" s="30" t="str">
        <f ca="1">IFERROR(__xludf.DUMMYFUNCTION("""COMPUTED_VALUE"""),"Grabado")</f>
        <v>Grabado</v>
      </c>
      <c r="U581" s="30" t="str">
        <f ca="1">IFERROR(__xludf.DUMMYFUNCTION("""COMPUTED_VALUE"""),"Taller")</f>
        <v>Taller</v>
      </c>
      <c r="V581" s="30" t="str">
        <f ca="1">IFERROR(__xludf.DUMMYFUNCTION("""COMPUTED_VALUE"""),"Ninguna")</f>
        <v>Ninguna</v>
      </c>
      <c r="W581" s="30" t="str">
        <f ca="1">IFERROR(__xludf.DUMMYFUNCTION("""COMPUTED_VALUE"""),"Presencial")</f>
        <v>Presencial</v>
      </c>
      <c r="X581" s="30" t="str">
        <f ca="1">IFERROR(__xludf.DUMMYFUNCTION("""COMPUTED_VALUE"""),"Espacio a Cargo de la Secretaría")</f>
        <v>Espacio a Cargo de la Secretaría</v>
      </c>
      <c r="Y581" s="30" t="str">
        <f ca="1">IFERROR(__xludf.DUMMYFUNCTION("""COMPUTED_VALUE"""),"Museo de Arte e Historia de Guanajuato, sala Feliciano Peña")</f>
        <v>Museo de Arte e Historia de Guanajuato, sala Feliciano Peña</v>
      </c>
      <c r="Z581" s="30"/>
      <c r="AA581" s="30"/>
      <c r="AB581" s="30" t="b">
        <f ca="1">IFERROR(__xludf.DUMMYFUNCTION("""COMPUTED_VALUE"""),TRUE)</f>
        <v>1</v>
      </c>
      <c r="AC581" s="30"/>
      <c r="AD581" s="30" t="b">
        <f ca="1">IFERROR(__xludf.DUMMYFUNCTION("""COMPUTED_VALUE"""),TRUE)</f>
        <v>1</v>
      </c>
      <c r="AE581" s="30">
        <f ca="1">IFERROR(__xludf.DUMMYFUNCTION("""COMPUTED_VALUE"""),1)</f>
        <v>1</v>
      </c>
      <c r="AF581" s="30" t="b">
        <f ca="1">IFERROR(__xludf.DUMMYFUNCTION("""COMPUTED_VALUE"""),FALSE)</f>
        <v>0</v>
      </c>
      <c r="AG581" s="30"/>
      <c r="AH581" s="30" t="str">
        <f ca="1">IFERROR(__xludf.DUMMYFUNCTION("""COMPUTED_VALUE"""),"Con costo")</f>
        <v>Con costo</v>
      </c>
      <c r="AI581" s="30">
        <f ca="1">IFERROR(__xludf.DUMMYFUNCTION("""COMPUTED_VALUE"""),2293)</f>
        <v>2293</v>
      </c>
      <c r="AJ581" s="30">
        <f ca="1">IFERROR(__xludf.DUMMYFUNCTION("""COMPUTED_VALUE"""),3058)</f>
        <v>3058</v>
      </c>
      <c r="AK581" s="30" t="str">
        <f ca="1">IFERROR(__xludf.DUMMYFUNCTION("""COMPUTED_VALUE"""),"Preferente: $2,293.00: General: $3,058.00")</f>
        <v>Preferente: $2,293.00: General: $3,058.00</v>
      </c>
      <c r="AL581" s="30" t="str">
        <f ca="1">IFERROR(__xludf.DUMMYFUNCTION("""COMPUTED_VALUE"""),"ccardonav@guanajuato.gob.mx")</f>
        <v>ccardonav@guanajuato.gob.mx</v>
      </c>
      <c r="AM581" s="30" t="str">
        <f ca="1">IFERROR(__xludf.DUMMYFUNCTION("""COMPUTED_VALUE"""),"Arraigo y empoderamiento cultural de comunidades.")</f>
        <v>Arraigo y empoderamiento cultural de comunidades.</v>
      </c>
      <c r="AN581" s="30" t="str">
        <f ca="1">IFERROR(__xludf.DUMMYFUNCTION("""COMPUTED_VALUE"""),"2 Igualdad")</f>
        <v>2 Igualdad</v>
      </c>
      <c r="AO581" s="30" t="str">
        <f ca="1">IFERROR(__xludf.DUMMYFUNCTION("""COMPUTED_VALUE"""),"2.4 Reducir brechas de desigualdad")</f>
        <v>2.4 Reducir brechas de desigualdad</v>
      </c>
      <c r="AP581" s="30" t="str">
        <f ca="1">IFERROR(__xludf.DUMMYFUNCTION("""COMPUTED_VALUE"""),"2.4.3 Descentralización de la oferta cultural")</f>
        <v>2.4.3 Descentralización de la oferta cultural</v>
      </c>
      <c r="AQ581" s="30" t="str">
        <f ca="1">IFERROR(__xludf.DUMMYFUNCTION("""COMPUTED_VALUE"""),"2.4.3.3 Incidir en el involucramiento de las personas con el ecosistema cultural")</f>
        <v>2.4.3.3 Incidir en el involucramiento de las personas con el ecosistema cultural</v>
      </c>
      <c r="AR581" s="30" t="str">
        <f ca="1">IFERROR(__xludf.DUMMYFUNCTION("""COMPUTED_VALUE"""),"Ninguno")</f>
        <v>Ninguno</v>
      </c>
      <c r="AS581" s="30"/>
      <c r="AT581" s="30" t="str">
        <f ca="1">IFERROR(__xludf.DUMMYFUNCTION("""COMPUTED_VALUE"""),"Fortalecimiento de la participación ciudadana y la mediación cultural")</f>
        <v>Fortalecimiento de la participación ciudadana y la mediación cultural</v>
      </c>
      <c r="AU581" s="30" t="str">
        <f ca="1">IFERROR(__xludf.DUMMYFUNCTION("""COMPUTED_VALUE"""),"Impulso a la ampliación de la oferta cultural en los territorios.")</f>
        <v>Impulso a la ampliación de la oferta cultural en los territorios.</v>
      </c>
      <c r="AV58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1" s="30" t="str">
        <f ca="1">IFERROR(__xludf.DUMMYFUNCTION("""COMPUTED_VALUE"""),"Incrementar en 25% la oferta cultural realizada en los municipios.")</f>
        <v>Incrementar en 25% la oferta cultural realizada en los municipios.</v>
      </c>
      <c r="AX581" s="30" t="str">
        <f ca="1">IFERROR(__xludf.DUMMYFUNCTION("""COMPUTED_VALUE"""),"Taller")</f>
        <v>Taller</v>
      </c>
      <c r="AY581" s="30" t="str">
        <f ca="1">IFERROR(__xludf.DUMMYFUNCTION("""COMPUTED_VALUE"""),"Formación")</f>
        <v>Formación</v>
      </c>
      <c r="AZ581" s="30" t="str">
        <f ca="1">IFERROR(__xludf.DUMMYFUNCTION("""COMPUTED_VALUE"""),"Formación")</f>
        <v>Formación</v>
      </c>
      <c r="BA581" s="30"/>
      <c r="BB581" s="30"/>
      <c r="BC581" s="30">
        <f ca="1">IFERROR(__xludf.DUMMYFUNCTION("""COMPUTED_VALUE"""),0)</f>
        <v>0</v>
      </c>
      <c r="BD581" s="30"/>
      <c r="BE581" s="30"/>
      <c r="BF581" s="30" t="b">
        <f ca="1">IFERROR(__xludf.DUMMYFUNCTION("""COMPUTED_VALUE"""),FALSE)</f>
        <v>0</v>
      </c>
      <c r="BG581" s="30"/>
      <c r="BH581" s="30"/>
      <c r="BI581" s="30"/>
      <c r="BJ581" s="30"/>
      <c r="BK581" s="30"/>
      <c r="BL581" s="30"/>
      <c r="BM581" s="30" t="str">
        <f ca="1">IFERROR(__xludf.DUMMYFUNCTION("""COMPUTED_VALUE"""),"No")</f>
        <v>No</v>
      </c>
      <c r="BN581" s="30"/>
      <c r="BO581" s="30" t="str">
        <f ca="1">IFERROR(__xludf.DUMMYFUNCTION("""COMPUTED_VALUE"""),"988c1e81")</f>
        <v>988c1e81</v>
      </c>
      <c r="BP581" s="29" t="str">
        <f ca="1">IFERROR(__xludf.DUMMYFUNCTION("""COMPUTED_VALUE"""),"Guanajuato")</f>
        <v>Guanajuato</v>
      </c>
      <c r="BQ581" s="30" t="str">
        <f ca="1">IFERROR(__xludf.DUMMYFUNCTION("""COMPUTED_VALUE"""),"Urbano")</f>
        <v>Urbano</v>
      </c>
      <c r="BR581" s="30"/>
      <c r="BS581" s="30"/>
      <c r="BT581" s="30"/>
      <c r="BU581" s="30" t="str">
        <f ca="1">IFERROR(__xludf.DUMMYFUNCTION("""COMPUTED_VALUE"""),"No")</f>
        <v>No</v>
      </c>
      <c r="BV581" s="30" t="str">
        <f ca="1">IFERROR(__xludf.DUMMYFUNCTION("""COMPUTED_VALUE"""),"No")</f>
        <v>No</v>
      </c>
      <c r="BW581" s="30">
        <f ca="1">IFERROR(__xludf.DUMMYFUNCTION("""COMPUTED_VALUE"""),16)</f>
        <v>16</v>
      </c>
      <c r="BX581" s="30">
        <f ca="1">IFERROR(__xludf.DUMMYFUNCTION("""COMPUTED_VALUE"""),16)</f>
        <v>16</v>
      </c>
      <c r="BY581" s="30">
        <f ca="1">IFERROR(__xludf.DUMMYFUNCTION("""COMPUTED_VALUE"""),0)</f>
        <v>0</v>
      </c>
      <c r="BZ581" s="30"/>
      <c r="CA581" s="30" t="str">
        <f ca="1">IFERROR(__xludf.DUMMYFUNCTION("""COMPUTED_VALUE"""),"No")</f>
        <v>No</v>
      </c>
      <c r="CB581" s="30" t="str">
        <f ca="1">IFERROR(__xludf.DUMMYFUNCTION("""COMPUTED_VALUE"""),"No")</f>
        <v>No</v>
      </c>
      <c r="CC581" s="30" t="str">
        <f ca="1">IFERROR(__xludf.DUMMYFUNCTION("""COMPUTED_VALUE"""),"4a7c86fa")</f>
        <v>4a7c86fa</v>
      </c>
      <c r="CD581" s="29" t="str">
        <f ca="1">IFERROR(__xludf.DUMMYFUNCTION("""COMPUTED_VALUE"""),"Adultos (30 a 59 años)")</f>
        <v>Adultos (30 a 59 años)</v>
      </c>
      <c r="CE581" s="30" t="str">
        <f ca="1">IFERROR(__xludf.DUMMYFUNCTION("""COMPUTED_VALUE"""),"No se cuenta con el dato")</f>
        <v>No se cuenta con el dato</v>
      </c>
      <c r="CF581" s="30" t="str">
        <f ca="1">IFERROR(__xludf.DUMMYFUNCTION("""COMPUTED_VALUE"""),"Ninguno (Población General)")</f>
        <v>Ninguno (Población General)</v>
      </c>
      <c r="CG581" s="30">
        <f ca="1">IFERROR(__xludf.DUMMYFUNCTION("""COMPUTED_VALUE"""),4)</f>
        <v>4</v>
      </c>
      <c r="CJ581" s="29"/>
      <c r="CM581" s="30" t="str">
        <f ca="1">IFERROR(__xludf.DUMMYFUNCTION("""COMPUTED_VALUE"""),"Guanajuato")</f>
        <v>Guanajuato</v>
      </c>
      <c r="CN581" s="32" t="e">
        <f ca="1"/>
        <v>#NAME?</v>
      </c>
      <c r="CO581" s="32" t="e">
        <f ca="1"/>
        <v>#NAME?</v>
      </c>
      <c r="CP581" s="32" t="e">
        <f ca="1"/>
        <v>#NAME?</v>
      </c>
      <c r="CQ581" s="32" t="e">
        <f ca="1"/>
        <v>#NAME?</v>
      </c>
      <c r="CR581" s="30" t="e">
        <f ca="1"/>
        <v>#NAME?</v>
      </c>
      <c r="CS581" s="30" t="str">
        <f ca="1">IFERROR(__xludf.DUMMYFUNCTION("""COMPUTED_VALUE"""),"Ninguno (Población General)")</f>
        <v>Ninguno (Población General)</v>
      </c>
    </row>
    <row r="582" spans="1:97" ht="13">
      <c r="A582" s="29" t="str">
        <f ca="1">IFERROR(__xludf.DUMMYFUNCTION("""COMPUTED_VALUE"""),"ACT-SCRV11027")</f>
        <v>ACT-SCRV11027</v>
      </c>
      <c r="B582" s="30" t="str">
        <f ca="1">IFERROR(__xludf.DUMMYFUNCTION("""COMPUTED_VALUE"""),"SC-261022-112123")</f>
        <v>SC-261022-112123</v>
      </c>
      <c r="C582" s="62">
        <f ca="1">IFERROR(__xludf.DUMMYFUNCTION("""COMPUTED_VALUE"""),46317.4731828703)</f>
        <v>46317.473182870301</v>
      </c>
      <c r="D582" s="30">
        <f ca="1">IFERROR(__xludf.DUMMYFUNCTION("""COMPUTED_VALUE"""),92)</f>
        <v>92</v>
      </c>
      <c r="E582" s="30" t="str">
        <f ca="1">IFERROR(__xludf.DUMMYFUNCTION("""COMPUTED_VALUE"""),"PB3572")</f>
        <v>PB3572</v>
      </c>
      <c r="F58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2" s="30" t="str">
        <f ca="1">IFERROR(__xludf.DUMMYFUNCTION("""COMPUTED_VALUE"""),"SUBSECRETARÍA DE DESARROLLO Y PROMOCIÓN ARTÍSTICA Y CULTURAL")</f>
        <v>SUBSECRETARÍA DE DESARROLLO Y PROMOCIÓN ARTÍSTICA Y CULTURAL</v>
      </c>
      <c r="I582" s="34" t="str">
        <f ca="1">IFERROR(__xludf.DUMMYFUNCTION("""COMPUTED_VALUE"""),"DIRECCIÓN GENERAL DE MUSEOS, ARTES VISUALES Y EXPOSICIONES")</f>
        <v>DIRECCIÓN GENERAL DE MUSEOS, ARTES VISUALES Y EXPOSICIONES</v>
      </c>
      <c r="J582" s="30" t="str">
        <f ca="1">IFERROR(__xludf.DUMMYFUNCTION("""COMPUTED_VALUE"""),"Número de Actividades realizadas")</f>
        <v>Número de Actividades realizadas</v>
      </c>
      <c r="K582" s="30">
        <f ca="1">IFERROR(__xludf.DUMMYFUNCTION("""COMPUTED_VALUE"""),800)</f>
        <v>800</v>
      </c>
      <c r="L582" s="30" t="str">
        <f ca="1">IFERROR(__xludf.DUMMYFUNCTION("""COMPUTED_VALUE"""),"Artística")</f>
        <v>Artística</v>
      </c>
      <c r="M582" s="30" t="str">
        <f ca="1">IFERROR(__xludf.DUMMYFUNCTION("""COMPUTED_VALUE"""),"Taller de formación ""Marca personal y Redes Sociales""")</f>
        <v>Taller de formación "Marca personal y Redes Sociales"</v>
      </c>
      <c r="N582" s="30" t="str">
        <f ca="1">IFERROR(__xludf.DUMMYFUNCTION("""COMPUTED_VALUE"""),"Taller virtual para la formación de artistas visuales en redes sociales y marca personal")</f>
        <v>Taller virtual para la formación de artistas visuales en redes sociales y marca personal</v>
      </c>
      <c r="O582" s="30" t="str">
        <f ca="1">IFERROR(__xludf.DUMMYFUNCTION("""COMPUTED_VALUE"""),"Diaria")</f>
        <v>Diaria</v>
      </c>
      <c r="P582" s="33">
        <f ca="1">IFERROR(__xludf.DUMMYFUNCTION("""COMPUTED_VALUE"""),46287)</f>
        <v>46287</v>
      </c>
      <c r="Q582" s="33">
        <f ca="1">IFERROR(__xludf.DUMMYFUNCTION("""COMPUTED_VALUE"""),46288)</f>
        <v>46288</v>
      </c>
      <c r="R582" s="30">
        <f ca="1">IFERROR(__xludf.DUMMYFUNCTION("""COMPUTED_VALUE"""),2)</f>
        <v>2</v>
      </c>
      <c r="S582" s="30" t="str">
        <f ca="1">IFERROR(__xludf.DUMMYFUNCTION("""COMPUTED_VALUE"""),"Artes visuales")</f>
        <v>Artes visuales</v>
      </c>
      <c r="T582" s="30" t="str">
        <f ca="1">IFERROR(__xludf.DUMMYFUNCTION("""COMPUTED_VALUE"""),"Arte digital")</f>
        <v>Arte digital</v>
      </c>
      <c r="U582" s="30" t="str">
        <f ca="1">IFERROR(__xludf.DUMMYFUNCTION("""COMPUTED_VALUE"""),"Taller")</f>
        <v>Taller</v>
      </c>
      <c r="V582" s="30" t="str">
        <f ca="1">IFERROR(__xludf.DUMMYFUNCTION("""COMPUTED_VALUE"""),"Ninguna")</f>
        <v>Ninguna</v>
      </c>
      <c r="W582" s="30" t="str">
        <f ca="1">IFERROR(__xludf.DUMMYFUNCTION("""COMPUTED_VALUE"""),"Virtual")</f>
        <v>Virtual</v>
      </c>
      <c r="X582" s="30" t="str">
        <f ca="1">IFERROR(__xludf.DUMMYFUNCTION("""COMPUTED_VALUE"""),"Espacio a Cargo de la Secretaría")</f>
        <v>Espacio a Cargo de la Secretaría</v>
      </c>
      <c r="Y582" s="30" t="str">
        <f ca="1">IFERROR(__xludf.DUMMYFUNCTION("""COMPUTED_VALUE"""),"Plataforma virtual de la Secretaría")</f>
        <v>Plataforma virtual de la Secretaría</v>
      </c>
      <c r="Z582" s="30"/>
      <c r="AA582" s="30"/>
      <c r="AB582" s="30" t="b">
        <f ca="1">IFERROR(__xludf.DUMMYFUNCTION("""COMPUTED_VALUE"""),FALSE)</f>
        <v>0</v>
      </c>
      <c r="AC582" s="30"/>
      <c r="AD582" s="30" t="b">
        <f ca="1">IFERROR(__xludf.DUMMYFUNCTION("""COMPUTED_VALUE"""),TRUE)</f>
        <v>1</v>
      </c>
      <c r="AE582" s="30">
        <f ca="1">IFERROR(__xludf.DUMMYFUNCTION("""COMPUTED_VALUE"""),1)</f>
        <v>1</v>
      </c>
      <c r="AF582" s="30" t="b">
        <f ca="1">IFERROR(__xludf.DUMMYFUNCTION("""COMPUTED_VALUE"""),FALSE)</f>
        <v>0</v>
      </c>
      <c r="AG582" s="30"/>
      <c r="AH582" s="30" t="str">
        <f ca="1">IFERROR(__xludf.DUMMYFUNCTION("""COMPUTED_VALUE"""),"Sin costo")</f>
        <v>Sin costo</v>
      </c>
      <c r="AI582" s="30"/>
      <c r="AJ582" s="30"/>
      <c r="AK582" s="30"/>
      <c r="AL582" s="30" t="str">
        <f ca="1">IFERROR(__xludf.DUMMYFUNCTION("""COMPUTED_VALUE"""),"ccardonav@guanajuato.gob.mx")</f>
        <v>ccardonav@guanajuato.gob.mx</v>
      </c>
      <c r="AM582" s="30" t="str">
        <f ca="1">IFERROR(__xludf.DUMMYFUNCTION("""COMPUTED_VALUE"""),"Formación de formadores artísticos y culturales: Cursos y talleres de capacitación artística para docentes.  Encuentros entre formadores de casas de cultura.  Plataforma de colaboración entre instituciones culturales.")</f>
        <v>Formación de formadores artísticos y culturales: Cursos y talleres de capacitación artística para docentes.  Encuentros entre formadores de casas de cultura.  Plataforma de colaboración entre instituciones culturales.</v>
      </c>
      <c r="AN582" s="30" t="str">
        <f ca="1">IFERROR(__xludf.DUMMYFUNCTION("""COMPUTED_VALUE"""),"2 Igualdad")</f>
        <v>2 Igualdad</v>
      </c>
      <c r="AO582" s="30" t="str">
        <f ca="1">IFERROR(__xludf.DUMMYFUNCTION("""COMPUTED_VALUE"""),"2.4 Reducir brechas de desigualdad")</f>
        <v>2.4 Reducir brechas de desigualdad</v>
      </c>
      <c r="AP582" s="30" t="str">
        <f ca="1">IFERROR(__xludf.DUMMYFUNCTION("""COMPUTED_VALUE"""),"2.4.3 Descentralización de la oferta cultural")</f>
        <v>2.4.3 Descentralización de la oferta cultural</v>
      </c>
      <c r="AQ582" s="30" t="str">
        <f ca="1">IFERROR(__xludf.DUMMYFUNCTION("""COMPUTED_VALUE"""),"2.4.3.1 Impulsar el desarrollo artístico y cultural entre infancias y juventudes")</f>
        <v>2.4.3.1 Impulsar el desarrollo artístico y cultural entre infancias y juventudes</v>
      </c>
      <c r="AR582" s="30" t="str">
        <f ca="1">IFERROR(__xludf.DUMMYFUNCTION("""COMPUTED_VALUE"""),"Ninguno")</f>
        <v>Ninguno</v>
      </c>
      <c r="AS582" s="30"/>
      <c r="AT582" s="30" t="str">
        <f ca="1">IFERROR(__xludf.DUMMYFUNCTION("""COMPUTED_VALUE"""),"Fortalecimiento de la participación ciudadana y la mediación cultural")</f>
        <v>Fortalecimiento de la participación ciudadana y la mediación cultural</v>
      </c>
      <c r="AU582" s="30" t="str">
        <f ca="1">IFERROR(__xludf.DUMMYFUNCTION("""COMPUTED_VALUE"""),"Fortalecimiento del diálogo, la mediación y las capacidades de las redes comunitarias.")</f>
        <v>Fortalecimiento del diálogo, la mediación y las capacidades de las redes comunitarias.</v>
      </c>
      <c r="AV582" s="30" t="str">
        <f ca="1">IFERROR(__xludf.DUMMYFUNCTION("""COMPUTED_VALUE"""),"Diseñar e impartir talleres de formación en derechos culturales")</f>
        <v>Diseñar e impartir talleres de formación en derechos culturales</v>
      </c>
      <c r="AW582" s="30" t="str">
        <f ca="1">IFERROR(__xludf.DUMMYFUNCTION("""COMPUTED_VALUE"""),"Incrementar en 25% la oferta cultural realizada en los municipios.")</f>
        <v>Incrementar en 25% la oferta cultural realizada en los municipios.</v>
      </c>
      <c r="AX582" s="30" t="str">
        <f ca="1">IFERROR(__xludf.DUMMYFUNCTION("""COMPUTED_VALUE"""),"Taller")</f>
        <v>Taller</v>
      </c>
      <c r="AY582" s="30" t="str">
        <f ca="1">IFERROR(__xludf.DUMMYFUNCTION("""COMPUTED_VALUE"""),"Formación")</f>
        <v>Formación</v>
      </c>
      <c r="AZ582" s="30" t="str">
        <f ca="1">IFERROR(__xludf.DUMMYFUNCTION("""COMPUTED_VALUE"""),"Formación")</f>
        <v>Formación</v>
      </c>
      <c r="BA582" s="30"/>
      <c r="BB582" s="30"/>
      <c r="BC582" s="30">
        <f ca="1">IFERROR(__xludf.DUMMYFUNCTION("""COMPUTED_VALUE"""),0)</f>
        <v>0</v>
      </c>
      <c r="BD582" s="30"/>
      <c r="BE582" s="30"/>
      <c r="BF582" s="30" t="b">
        <f ca="1">IFERROR(__xludf.DUMMYFUNCTION("""COMPUTED_VALUE"""),TRUE)</f>
        <v>1</v>
      </c>
      <c r="BG582" s="30" t="str">
        <f ca="1">IFERROR(__xludf.DUMMYFUNCTION("""COMPUTED_VALUE"""),"Capacitación técnica")</f>
        <v>Capacitación técnica</v>
      </c>
      <c r="BH582" s="30"/>
      <c r="BI582" s="30"/>
      <c r="BJ582" s="30"/>
      <c r="BK582" s="30"/>
      <c r="BL582" s="30"/>
      <c r="BM582" s="30" t="str">
        <f ca="1">IFERROR(__xludf.DUMMYFUNCTION("""COMPUTED_VALUE"""),"Sí")</f>
        <v>Sí</v>
      </c>
      <c r="BN582" s="30" t="str">
        <f ca="1">IFERROR(__xludf.DUMMYFUNCTION("""COMPUTED_VALUE"""),"Acompañamiento Técnico")</f>
        <v>Acompañamiento Técnico</v>
      </c>
      <c r="BO582" s="30" t="str">
        <f ca="1">IFERROR(__xludf.DUMMYFUNCTION("""COMPUTED_VALUE"""),"c0915348")</f>
        <v>c0915348</v>
      </c>
      <c r="BP582" s="29" t="str">
        <f ca="1">IFERROR(__xludf.DUMMYFUNCTION("""COMPUTED_VALUE"""),"Guanajuato")</f>
        <v>Guanajuato</v>
      </c>
      <c r="BQ582" s="30" t="str">
        <f ca="1">IFERROR(__xludf.DUMMYFUNCTION("""COMPUTED_VALUE"""),"Urbano")</f>
        <v>Urbano</v>
      </c>
      <c r="BR582" s="30"/>
      <c r="BS582" s="30"/>
      <c r="BT582" s="30"/>
      <c r="BU582" s="30" t="str">
        <f ca="1">IFERROR(__xludf.DUMMYFUNCTION("""COMPUTED_VALUE"""),"No")</f>
        <v>No</v>
      </c>
      <c r="BV582" s="30" t="str">
        <f ca="1">IFERROR(__xludf.DUMMYFUNCTION("""COMPUTED_VALUE"""),"No")</f>
        <v>No</v>
      </c>
      <c r="BW582" s="30">
        <f ca="1">IFERROR(__xludf.DUMMYFUNCTION("""COMPUTED_VALUE"""),52)</f>
        <v>52</v>
      </c>
      <c r="BX582" s="30"/>
      <c r="BY582" s="30">
        <f ca="1">IFERROR(__xludf.DUMMYFUNCTION("""COMPUTED_VALUE"""),52)</f>
        <v>52</v>
      </c>
      <c r="BZ582" s="30"/>
      <c r="CA582" s="30" t="str">
        <f ca="1">IFERROR(__xludf.DUMMYFUNCTION("""COMPUTED_VALUE"""),"No")</f>
        <v>No</v>
      </c>
      <c r="CB582" s="30" t="str">
        <f ca="1">IFERROR(__xludf.DUMMYFUNCTION("""COMPUTED_VALUE"""),"No")</f>
        <v>No</v>
      </c>
      <c r="CC582" s="30" t="str">
        <f ca="1">IFERROR(__xludf.DUMMYFUNCTION("""COMPUTED_VALUE"""),"9dbd3c8c")</f>
        <v>9dbd3c8c</v>
      </c>
      <c r="CD582" s="29" t="str">
        <f ca="1">IFERROR(__xludf.DUMMYFUNCTION("""COMPUTED_VALUE"""),"Adultos (30 a 59 años)")</f>
        <v>Adultos (30 a 59 años)</v>
      </c>
      <c r="CE582" s="30" t="str">
        <f ca="1">IFERROR(__xludf.DUMMYFUNCTION("""COMPUTED_VALUE"""),"No se cuenta con el dato")</f>
        <v>No se cuenta con el dato</v>
      </c>
      <c r="CF582" s="30" t="str">
        <f ca="1">IFERROR(__xludf.DUMMYFUNCTION("""COMPUTED_VALUE"""),"Ninguno (Población General)")</f>
        <v>Ninguno (Población General)</v>
      </c>
      <c r="CG582" s="30">
        <f ca="1">IFERROR(__xludf.DUMMYFUNCTION("""COMPUTED_VALUE"""),6)</f>
        <v>6</v>
      </c>
      <c r="CJ582" s="29"/>
      <c r="CM582" s="30" t="str">
        <f ca="1">IFERROR(__xludf.DUMMYFUNCTION("""COMPUTED_VALUE"""),"Guanajuato")</f>
        <v>Guanajuato</v>
      </c>
      <c r="CN582" s="32" t="e">
        <f ca="1"/>
        <v>#NAME?</v>
      </c>
      <c r="CO582" s="32" t="e">
        <f ca="1"/>
        <v>#NAME?</v>
      </c>
      <c r="CP582" s="32" t="e">
        <f ca="1"/>
        <v>#NAME?</v>
      </c>
      <c r="CQ582" s="32" t="e">
        <f ca="1"/>
        <v>#NAME?</v>
      </c>
      <c r="CR582" s="30" t="e">
        <f ca="1"/>
        <v>#NAME?</v>
      </c>
      <c r="CS582" s="30" t="str">
        <f ca="1">IFERROR(__xludf.DUMMYFUNCTION("""COMPUTED_VALUE"""),"Ninguno (Población General)")</f>
        <v>Ninguno (Población General)</v>
      </c>
    </row>
    <row r="583" spans="1:97" ht="13">
      <c r="A583" s="29" t="str">
        <f ca="1">IFERROR(__xludf.DUMMYFUNCTION("""COMPUTED_VALUE"""),"ACT-SCCS95646")</f>
        <v>ACT-SCCS95646</v>
      </c>
      <c r="B583" s="30" t="str">
        <f ca="1">IFERROR(__xludf.DUMMYFUNCTION("""COMPUTED_VALUE"""),"SC-261022-114701")</f>
        <v>SC-261022-114701</v>
      </c>
      <c r="C583" s="62">
        <f ca="1">IFERROR(__xludf.DUMMYFUNCTION("""COMPUTED_VALUE"""),46317.4909837962)</f>
        <v>46317.490983796197</v>
      </c>
      <c r="D583" s="30">
        <f ca="1">IFERROR(__xludf.DUMMYFUNCTION("""COMPUTED_VALUE"""),93)</f>
        <v>93</v>
      </c>
      <c r="E583" s="30" t="str">
        <f ca="1">IFERROR(__xludf.DUMMYFUNCTION("""COMPUTED_VALUE"""),"PB3572")</f>
        <v>PB3572</v>
      </c>
      <c r="F58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3" s="30" t="str">
        <f ca="1">IFERROR(__xludf.DUMMYFUNCTION("""COMPUTED_VALUE"""),"Participación de artistas en las actividades extramuros en municipios del Estado de Guanajuato")</f>
        <v>Participación de artistas en las actividades extramuros en municipios del Estado de Guanajuato</v>
      </c>
      <c r="H583" s="30" t="str">
        <f ca="1">IFERROR(__xludf.DUMMYFUNCTION("""COMPUTED_VALUE"""),"SUBSECRETARÍA DE DESARROLLO Y PROMOCIÓN ARTÍSTICA Y CULTURAL")</f>
        <v>SUBSECRETARÍA DE DESARROLLO Y PROMOCIÓN ARTÍSTICA Y CULTURAL</v>
      </c>
      <c r="I583" s="34" t="str">
        <f ca="1">IFERROR(__xludf.DUMMYFUNCTION("""COMPUTED_VALUE"""),"DIRECCIÓN GENERAL DE MUSEOS, ARTES VISUALES Y EXPOSICIONES")</f>
        <v>DIRECCIÓN GENERAL DE MUSEOS, ARTES VISUALES Y EXPOSICIONES</v>
      </c>
      <c r="J583" s="30" t="str">
        <f ca="1">IFERROR(__xludf.DUMMYFUNCTION("""COMPUTED_VALUE"""),"Número de Actividades realizadas")</f>
        <v>Número de Actividades realizadas</v>
      </c>
      <c r="K583" s="30">
        <f ca="1">IFERROR(__xludf.DUMMYFUNCTION("""COMPUTED_VALUE"""),10)</f>
        <v>10</v>
      </c>
      <c r="L583" s="30" t="str">
        <f ca="1">IFERROR(__xludf.DUMMYFUNCTION("""COMPUTED_VALUE"""),"Artística")</f>
        <v>Artística</v>
      </c>
      <c r="M583" s="30" t="str">
        <f ca="1">IFERROR(__xludf.DUMMYFUNCTION("""COMPUTED_VALUE"""),"Festival de Arte Urbano Guanajuato 2026 ""Uriangato""")</f>
        <v>Festival de Arte Urbano Guanajuato 2026 "Uriangato"</v>
      </c>
      <c r="N583" s="30" t="str">
        <f ca="1">IFERROR(__xludf.DUMMYFUNCTION("""COMPUTED_VALUE"""),"Encuentro de Artes Urbanas en el marco del FUG 2026 en el municipio de Uriangato.")</f>
        <v>Encuentro de Artes Urbanas en el marco del FUG 2026 en el municipio de Uriangato.</v>
      </c>
      <c r="O583" s="30" t="str">
        <f ca="1">IFERROR(__xludf.DUMMYFUNCTION("""COMPUTED_VALUE"""),"Diaria")</f>
        <v>Diaria</v>
      </c>
      <c r="P583" s="33">
        <f ca="1">IFERROR(__xludf.DUMMYFUNCTION("""COMPUTED_VALUE"""),46291)</f>
        <v>46291</v>
      </c>
      <c r="Q583" s="33">
        <f ca="1">IFERROR(__xludf.DUMMYFUNCTION("""COMPUTED_VALUE"""),46292)</f>
        <v>46292</v>
      </c>
      <c r="R583" s="30">
        <f ca="1">IFERROR(__xludf.DUMMYFUNCTION("""COMPUTED_VALUE"""),2)</f>
        <v>2</v>
      </c>
      <c r="S583" s="30" t="str">
        <f ca="1">IFERROR(__xludf.DUMMYFUNCTION("""COMPUTED_VALUE"""),"Artes visuales")</f>
        <v>Artes visuales</v>
      </c>
      <c r="T583" s="30" t="str">
        <f ca="1">IFERROR(__xludf.DUMMYFUNCTION("""COMPUTED_VALUE"""),"Arte urbano")</f>
        <v>Arte urbano</v>
      </c>
      <c r="U583" s="30" t="str">
        <f ca="1">IFERROR(__xludf.DUMMYFUNCTION("""COMPUTED_VALUE"""),"Festival")</f>
        <v>Festival</v>
      </c>
      <c r="V583" s="30" t="str">
        <f ca="1">IFERROR(__xludf.DUMMYFUNCTION("""COMPUTED_VALUE"""),"Ninguna")</f>
        <v>Ninguna</v>
      </c>
      <c r="W583" s="30" t="str">
        <f ca="1">IFERROR(__xludf.DUMMYFUNCTION("""COMPUTED_VALUE"""),"Presencial")</f>
        <v>Presencial</v>
      </c>
      <c r="X583" s="30" t="str">
        <f ca="1">IFERROR(__xludf.DUMMYFUNCTION("""COMPUTED_VALUE"""),"Espacio Público")</f>
        <v>Espacio Público</v>
      </c>
      <c r="Y583" s="30"/>
      <c r="Z583" s="30" t="str">
        <f ca="1">IFERROR(__xludf.DUMMYFUNCTION("""COMPUTED_VALUE"""),"Jardín Principal de Uriangato")</f>
        <v>Jardín Principal de Uriangato</v>
      </c>
      <c r="AA583" s="30"/>
      <c r="AB583" s="30" t="b">
        <f ca="1">IFERROR(__xludf.DUMMYFUNCTION("""COMPUTED_VALUE"""),FALSE)</f>
        <v>0</v>
      </c>
      <c r="AC583" s="30"/>
      <c r="AD583" s="30" t="b">
        <f ca="1">IFERROR(__xludf.DUMMYFUNCTION("""COMPUTED_VALUE"""),FALSE)</f>
        <v>0</v>
      </c>
      <c r="AE583" s="30"/>
      <c r="AF583" s="30" t="b">
        <f ca="1">IFERROR(__xludf.DUMMYFUNCTION("""COMPUTED_VALUE"""),FALSE)</f>
        <v>0</v>
      </c>
      <c r="AG583" s="30"/>
      <c r="AH583" s="30" t="str">
        <f ca="1">IFERROR(__xludf.DUMMYFUNCTION("""COMPUTED_VALUE"""),"Sin costo")</f>
        <v>Sin costo</v>
      </c>
      <c r="AI583" s="30"/>
      <c r="AJ583" s="30"/>
      <c r="AK583" s="30"/>
      <c r="AL583" s="30" t="str">
        <f ca="1">IFERROR(__xludf.DUMMYFUNCTION("""COMPUTED_VALUE"""),"ccardonav@guanajuato.gob.mx")</f>
        <v>ccardonav@guanajuato.gob.mx</v>
      </c>
      <c r="AM583" s="30" t="str">
        <f ca="1">IFERROR(__xludf.DUMMYFUNCTION("""COMPUTED_VALUE"""),"Apoyos para artistas populares.")</f>
        <v>Apoyos para artistas populares.</v>
      </c>
      <c r="AN583" s="30" t="str">
        <f ca="1">IFERROR(__xludf.DUMMYFUNCTION("""COMPUTED_VALUE"""),"2 Igualdad")</f>
        <v>2 Igualdad</v>
      </c>
      <c r="AO583" s="30" t="str">
        <f ca="1">IFERROR(__xludf.DUMMYFUNCTION("""COMPUTED_VALUE"""),"2.4 Reducir brechas de desigualdad")</f>
        <v>2.4 Reducir brechas de desigualdad</v>
      </c>
      <c r="AP583" s="30" t="str">
        <f ca="1">IFERROR(__xludf.DUMMYFUNCTION("""COMPUTED_VALUE"""),"2.4.3 Descentralización de la oferta cultural")</f>
        <v>2.4.3 Descentralización de la oferta cultural</v>
      </c>
      <c r="AQ583" s="30" t="str">
        <f ca="1">IFERROR(__xludf.DUMMYFUNCTION("""COMPUTED_VALUE"""),"2.4.3.3 Incidir en el involucramiento de las personas con el ecosistema cultural")</f>
        <v>2.4.3.3 Incidir en el involucramiento de las personas con el ecosistema cultural</v>
      </c>
      <c r="AR583" s="30" t="str">
        <f ca="1">IFERROR(__xludf.DUMMYFUNCTION("""COMPUTED_VALUE"""),"Ninguno")</f>
        <v>Ninguno</v>
      </c>
      <c r="AS583" s="30"/>
      <c r="AT583" s="30" t="str">
        <f ca="1">IFERROR(__xludf.DUMMYFUNCTION("""COMPUTED_VALUE"""),"Fortalecimiento de la participación ciudadana y la mediación cultural")</f>
        <v>Fortalecimiento de la participación ciudadana y la mediación cultural</v>
      </c>
      <c r="AU583" s="30" t="str">
        <f ca="1">IFERROR(__xludf.DUMMYFUNCTION("""COMPUTED_VALUE"""),"Impulso a la ampliación de la oferta cultural en los territorios.")</f>
        <v>Impulso a la ampliación de la oferta cultural en los territorios.</v>
      </c>
      <c r="AV58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3" s="30" t="str">
        <f ca="1">IFERROR(__xludf.DUMMYFUNCTION("""COMPUTED_VALUE"""),"Incrementar en 25% la oferta cultural realizada en los municipios.")</f>
        <v>Incrementar en 25% la oferta cultural realizada en los municipios.</v>
      </c>
      <c r="AX583" s="30" t="str">
        <f ca="1">IFERROR(__xludf.DUMMYFUNCTION("""COMPUTED_VALUE"""),"Festival")</f>
        <v>Festival</v>
      </c>
      <c r="AY583" s="30" t="str">
        <f ca="1">IFERROR(__xludf.DUMMYFUNCTION("""COMPUTED_VALUE"""),"Producción")</f>
        <v>Producción</v>
      </c>
      <c r="AZ583" s="30"/>
      <c r="BA583" s="30"/>
      <c r="BB583" s="30"/>
      <c r="BC583" s="30">
        <f ca="1">IFERROR(__xludf.DUMMYFUNCTION("""COMPUTED_VALUE"""),0)</f>
        <v>0</v>
      </c>
      <c r="BD583" s="30"/>
      <c r="BE583" s="30"/>
      <c r="BF583" s="30" t="b">
        <f ca="1">IFERROR(__xludf.DUMMYFUNCTION("""COMPUTED_VALUE"""),TRUE)</f>
        <v>1</v>
      </c>
      <c r="BG583" s="30" t="str">
        <f ca="1">IFERROR(__xludf.DUMMYFUNCTION("""COMPUTED_VALUE"""),"Capacitación técnica")</f>
        <v>Capacitación técnica</v>
      </c>
      <c r="BH583" s="30"/>
      <c r="BI583" s="30"/>
      <c r="BJ583" s="30"/>
      <c r="BK583" s="30"/>
      <c r="BL583" s="30"/>
      <c r="BM583" s="30" t="str">
        <f ca="1">IFERROR(__xludf.DUMMYFUNCTION("""COMPUTED_VALUE"""),"Sí")</f>
        <v>Sí</v>
      </c>
      <c r="BN583" s="30" t="str">
        <f ca="1">IFERROR(__xludf.DUMMYFUNCTION("""COMPUTED_VALUE"""),"Acompañamiento Técnico")</f>
        <v>Acompañamiento Técnico</v>
      </c>
      <c r="BO583" s="30" t="str">
        <f ca="1">IFERROR(__xludf.DUMMYFUNCTION("""COMPUTED_VALUE"""),"9432ee1c")</f>
        <v>9432ee1c</v>
      </c>
      <c r="BP583" s="29" t="str">
        <f ca="1">IFERROR(__xludf.DUMMYFUNCTION("""COMPUTED_VALUE"""),"Guanajuato")</f>
        <v>Guanajuato</v>
      </c>
      <c r="BQ583" s="30" t="str">
        <f ca="1">IFERROR(__xludf.DUMMYFUNCTION("""COMPUTED_VALUE"""),"Urbano")</f>
        <v>Urbano</v>
      </c>
      <c r="BR583" s="30"/>
      <c r="BS583" s="30"/>
      <c r="BT583" s="30"/>
      <c r="BU583" s="30" t="str">
        <f ca="1">IFERROR(__xludf.DUMMYFUNCTION("""COMPUTED_VALUE"""),"No")</f>
        <v>No</v>
      </c>
      <c r="BV583" s="30" t="str">
        <f ca="1">IFERROR(__xludf.DUMMYFUNCTION("""COMPUTED_VALUE"""),"No")</f>
        <v>No</v>
      </c>
      <c r="BW583" s="30">
        <f ca="1">IFERROR(__xludf.DUMMYFUNCTION("""COMPUTED_VALUE"""),15)</f>
        <v>15</v>
      </c>
      <c r="BX583" s="30"/>
      <c r="BY583" s="30">
        <f ca="1">IFERROR(__xludf.DUMMYFUNCTION("""COMPUTED_VALUE"""),15)</f>
        <v>15</v>
      </c>
      <c r="BZ583" s="30"/>
      <c r="CA583" s="30" t="str">
        <f ca="1">IFERROR(__xludf.DUMMYFUNCTION("""COMPUTED_VALUE"""),"No")</f>
        <v>No</v>
      </c>
      <c r="CB583" s="30" t="str">
        <f ca="1">IFERROR(__xludf.DUMMYFUNCTION("""COMPUTED_VALUE"""),"No")</f>
        <v>No</v>
      </c>
      <c r="CC583" s="30" t="str">
        <f ca="1">IFERROR(__xludf.DUMMYFUNCTION("""COMPUTED_VALUE"""),"993e5a08")</f>
        <v>993e5a08</v>
      </c>
      <c r="CD583" s="29" t="str">
        <f ca="1">IFERROR(__xludf.DUMMYFUNCTION("""COMPUTED_VALUE"""),"Adultos (30 a 59 años)")</f>
        <v>Adultos (30 a 59 años)</v>
      </c>
      <c r="CE583" s="30" t="str">
        <f ca="1">IFERROR(__xludf.DUMMYFUNCTION("""COMPUTED_VALUE"""),"No se cuenta con el dato")</f>
        <v>No se cuenta con el dato</v>
      </c>
      <c r="CF583" s="30" t="str">
        <f ca="1">IFERROR(__xludf.DUMMYFUNCTION("""COMPUTED_VALUE"""),"Ninguno (Población General)")</f>
        <v>Ninguno (Población General)</v>
      </c>
      <c r="CG583" s="30">
        <f ca="1">IFERROR(__xludf.DUMMYFUNCTION("""COMPUTED_VALUE"""),11)</f>
        <v>11</v>
      </c>
      <c r="CJ583" s="29"/>
      <c r="CM583" s="30" t="str">
        <f ca="1">IFERROR(__xludf.DUMMYFUNCTION("""COMPUTED_VALUE"""),"Guanajuato")</f>
        <v>Guanajuato</v>
      </c>
      <c r="CN583" s="32" t="e">
        <f ca="1"/>
        <v>#NAME?</v>
      </c>
      <c r="CO583" s="32" t="e">
        <f ca="1"/>
        <v>#NAME?</v>
      </c>
      <c r="CP583" s="32" t="e">
        <f ca="1"/>
        <v>#NAME?</v>
      </c>
      <c r="CQ583" s="32" t="e">
        <f ca="1"/>
        <v>#NAME?</v>
      </c>
      <c r="CR583" s="30" t="e">
        <f ca="1"/>
        <v>#NAME?</v>
      </c>
      <c r="CS583" s="30" t="str">
        <f ca="1">IFERROR(__xludf.DUMMYFUNCTION("""COMPUTED_VALUE"""),"Ninguno (Población General)")</f>
        <v>Ninguno (Población General)</v>
      </c>
    </row>
    <row r="584" spans="1:97" ht="13">
      <c r="A584" s="29" t="str">
        <f ca="1">IFERROR(__xludf.DUMMYFUNCTION("""COMPUTED_VALUE"""),"ACT-SCRU37929")</f>
        <v>ACT-SCRU37929</v>
      </c>
      <c r="B584" s="30" t="str">
        <f ca="1">IFERROR(__xludf.DUMMYFUNCTION("""COMPUTED_VALUE"""),"SC-261022-120543")</f>
        <v>SC-261022-120543</v>
      </c>
      <c r="C584" s="62">
        <f ca="1">IFERROR(__xludf.DUMMYFUNCTION("""COMPUTED_VALUE"""),46317.5039699074)</f>
        <v>46317.503969907397</v>
      </c>
      <c r="D584" s="30">
        <f ca="1">IFERROR(__xludf.DUMMYFUNCTION("""COMPUTED_VALUE"""),92)</f>
        <v>92</v>
      </c>
      <c r="E584" s="30" t="str">
        <f ca="1">IFERROR(__xludf.DUMMYFUNCTION("""COMPUTED_VALUE"""),"PB3572")</f>
        <v>PB3572</v>
      </c>
      <c r="F58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4" s="30" t="str">
        <f ca="1">IFERROR(__xludf.DUMMYFUNCTION("""COMPUTED_VALUE"""),"SUBSECRETARÍA DE DESARROLLO Y PROMOCIÓN ARTÍSTICA Y CULTURAL")</f>
        <v>SUBSECRETARÍA DE DESARROLLO Y PROMOCIÓN ARTÍSTICA Y CULTURAL</v>
      </c>
      <c r="I584" s="34" t="str">
        <f ca="1">IFERROR(__xludf.DUMMYFUNCTION("""COMPUTED_VALUE"""),"DIRECCIÓN GENERAL DE MUSEOS, ARTES VISUALES Y EXPOSICIONES")</f>
        <v>DIRECCIÓN GENERAL DE MUSEOS, ARTES VISUALES Y EXPOSICIONES</v>
      </c>
      <c r="J584" s="30" t="str">
        <f ca="1">IFERROR(__xludf.DUMMYFUNCTION("""COMPUTED_VALUE"""),"Número de Actividades realizadas")</f>
        <v>Número de Actividades realizadas</v>
      </c>
      <c r="K584" s="30">
        <f ca="1">IFERROR(__xludf.DUMMYFUNCTION("""COMPUTED_VALUE"""),800)</f>
        <v>800</v>
      </c>
      <c r="L584" s="30" t="str">
        <f ca="1">IFERROR(__xludf.DUMMYFUNCTION("""COMPUTED_VALUE"""),"Artística")</f>
        <v>Artística</v>
      </c>
      <c r="M584" s="30" t="str">
        <f ca="1">IFERROR(__xludf.DUMMYFUNCTION("""COMPUTED_VALUE"""),"Capacitación Trastorno del Espectro Autista")</f>
        <v>Capacitación Trastorno del Espectro Autista</v>
      </c>
      <c r="N584" s="30" t="str">
        <f ca="1">IFERROR(__xludf.DUMMYFUNCTION("""COMPUTED_VALUE"""),"Capacitación para trabajadores del Museo en torno al autismo")</f>
        <v>Capacitación para trabajadores del Museo en torno al autismo</v>
      </c>
      <c r="O584" s="30" t="str">
        <f ca="1">IFERROR(__xludf.DUMMYFUNCTION("""COMPUTED_VALUE"""),"Única")</f>
        <v>Única</v>
      </c>
      <c r="P584" s="33">
        <f ca="1">IFERROR(__xludf.DUMMYFUNCTION("""COMPUTED_VALUE"""),46267)</f>
        <v>46267</v>
      </c>
      <c r="Q584" s="33">
        <f ca="1">IFERROR(__xludf.DUMMYFUNCTION("""COMPUTED_VALUE"""),46267)</f>
        <v>46267</v>
      </c>
      <c r="R584" s="30">
        <f ca="1">IFERROR(__xludf.DUMMYFUNCTION("""COMPUTED_VALUE"""),1)</f>
        <v>1</v>
      </c>
      <c r="S584" s="30" t="str">
        <f ca="1">IFERROR(__xludf.DUMMYFUNCTION("""COMPUTED_VALUE"""),"Cultura comunitaria")</f>
        <v>Cultura comunitaria</v>
      </c>
      <c r="T584" s="30" t="str">
        <f ca="1">IFERROR(__xludf.DUMMYFUNCTION("""COMPUTED_VALUE"""),"Formación comunitaria")</f>
        <v>Formación comunitaria</v>
      </c>
      <c r="U584" s="30" t="str">
        <f ca="1">IFERROR(__xludf.DUMMYFUNCTION("""COMPUTED_VALUE"""),"Conferencia")</f>
        <v>Conferencia</v>
      </c>
      <c r="V584" s="30" t="str">
        <f ca="1">IFERROR(__xludf.DUMMYFUNCTION("""COMPUTED_VALUE"""),"Ninguna")</f>
        <v>Ninguna</v>
      </c>
      <c r="W584" s="30" t="str">
        <f ca="1">IFERROR(__xludf.DUMMYFUNCTION("""COMPUTED_VALUE"""),"Presencial")</f>
        <v>Presencial</v>
      </c>
      <c r="X584" s="30" t="str">
        <f ca="1">IFERROR(__xludf.DUMMYFUNCTION("""COMPUTED_VALUE"""),"Espacio a Cargo de la Secretaría")</f>
        <v>Espacio a Cargo de la Secretaría</v>
      </c>
      <c r="Y584" s="30" t="str">
        <f ca="1">IFERROR(__xludf.DUMMYFUNCTION("""COMPUTED_VALUE"""),"Museo de Arte-Olga Costa-José Chávez Morado")</f>
        <v>Museo de Arte-Olga Costa-José Chávez Morado</v>
      </c>
      <c r="Z584" s="30"/>
      <c r="AA584" s="30"/>
      <c r="AB584" s="30" t="b">
        <f ca="1">IFERROR(__xludf.DUMMYFUNCTION("""COMPUTED_VALUE"""),FALSE)</f>
        <v>0</v>
      </c>
      <c r="AC584" s="30"/>
      <c r="AD584" s="30" t="b">
        <f ca="1">IFERROR(__xludf.DUMMYFUNCTION("""COMPUTED_VALUE"""),FALSE)</f>
        <v>0</v>
      </c>
      <c r="AE584" s="30"/>
      <c r="AF584" s="30" t="b">
        <f ca="1">IFERROR(__xludf.DUMMYFUNCTION("""COMPUTED_VALUE"""),FALSE)</f>
        <v>0</v>
      </c>
      <c r="AG584" s="30"/>
      <c r="AH584" s="30" t="str">
        <f ca="1">IFERROR(__xludf.DUMMYFUNCTION("""COMPUTED_VALUE"""),"Sin costo")</f>
        <v>Sin costo</v>
      </c>
      <c r="AI584" s="30"/>
      <c r="AJ584" s="30"/>
      <c r="AK584" s="30"/>
      <c r="AL584" s="30" t="str">
        <f ca="1">IFERROR(__xludf.DUMMYFUNCTION("""COMPUTED_VALUE"""),"ccardonav@guanajuato.gob.mx")</f>
        <v>ccardonav@guanajuato.gob.mx</v>
      </c>
      <c r="AM584" s="30" t="str">
        <f ca="1">IFERROR(__xludf.DUMMYFUNCTION("""COMPUTED_VALUE"""),"Arraigo y empoderamiento cultural de comunidades.")</f>
        <v>Arraigo y empoderamiento cultural de comunidades.</v>
      </c>
      <c r="AN584" s="30" t="str">
        <f ca="1">IFERROR(__xludf.DUMMYFUNCTION("""COMPUTED_VALUE"""),"1 Tranquilidad")</f>
        <v>1 Tranquilidad</v>
      </c>
      <c r="AO584" s="30" t="str">
        <f ca="1">IFERROR(__xludf.DUMMYFUNCTION("""COMPUTED_VALUE"""),"1.2 Fortalecer prevención del delito")</f>
        <v>1.2 Fortalecer prevención del delito</v>
      </c>
      <c r="AP584" s="30" t="str">
        <f ca="1">IFERROR(__xludf.DUMMYFUNCTION("""COMPUTED_VALUE"""),"1.2.2 Fortalecimiento del tejido social")</f>
        <v>1.2.2 Fortalecimiento del tejido social</v>
      </c>
      <c r="AQ584" s="30" t="str">
        <f ca="1">IFERROR(__xludf.DUMMYFUNCTION("""COMPUTED_VALUE"""),"1.2.3.4 Promover una cultura de paz desde las expresiones artísticas y culturales")</f>
        <v>1.2.3.4 Promover una cultura de paz desde las expresiones artísticas y culturales</v>
      </c>
      <c r="AR584" s="30" t="str">
        <f ca="1">IFERROR(__xludf.DUMMYFUNCTION("""COMPUTED_VALUE"""),"Cooperación")</f>
        <v>Cooperación</v>
      </c>
      <c r="AS584" s="30"/>
      <c r="AT584" s="30" t="str">
        <f ca="1">IFERROR(__xludf.DUMMYFUNCTION("""COMPUTED_VALUE"""),"Fortalecimiento de la participación ciudadana y la mediación cultural")</f>
        <v>Fortalecimiento de la participación ciudadana y la mediación cultural</v>
      </c>
      <c r="AU584" s="30" t="str">
        <f ca="1">IFERROR(__xludf.DUMMYFUNCTION("""COMPUTED_VALUE"""),"Impulso a la ampliación de la oferta cultural en los territorios.")</f>
        <v>Impulso a la ampliación de la oferta cultural en los territorios.</v>
      </c>
      <c r="AV58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4" s="30" t="str">
        <f ca="1">IFERROR(__xludf.DUMMYFUNCTION("""COMPUTED_VALUE"""),"Incrementar en 25% la oferta cultural realizada en los municipios.")</f>
        <v>Incrementar en 25% la oferta cultural realizada en los municipios.</v>
      </c>
      <c r="AX584" s="30" t="str">
        <f ca="1">IFERROR(__xludf.DUMMYFUNCTION("""COMPUTED_VALUE"""),"Conferencia")</f>
        <v>Conferencia</v>
      </c>
      <c r="AY584" s="30" t="str">
        <f ca="1">IFERROR(__xludf.DUMMYFUNCTION("""COMPUTED_VALUE"""),"Formación")</f>
        <v>Formación</v>
      </c>
      <c r="AZ584" s="30" t="str">
        <f ca="1">IFERROR(__xludf.DUMMYFUNCTION("""COMPUTED_VALUE"""),"Formación")</f>
        <v>Formación</v>
      </c>
      <c r="BA584" s="30"/>
      <c r="BB584" s="30"/>
      <c r="BC584" s="30">
        <f ca="1">IFERROR(__xludf.DUMMYFUNCTION("""COMPUTED_VALUE"""),0)</f>
        <v>0</v>
      </c>
      <c r="BD584" s="30"/>
      <c r="BE584" s="30"/>
      <c r="BF584" s="30" t="b">
        <f ca="1">IFERROR(__xludf.DUMMYFUNCTION("""COMPUTED_VALUE"""),FALSE)</f>
        <v>0</v>
      </c>
      <c r="BG584" s="30"/>
      <c r="BH584" s="30"/>
      <c r="BI584" s="30"/>
      <c r="BJ584" s="30"/>
      <c r="BK584" s="30"/>
      <c r="BL584" s="30"/>
      <c r="BM584" s="30" t="str">
        <f ca="1">IFERROR(__xludf.DUMMYFUNCTION("""COMPUTED_VALUE"""),"No")</f>
        <v>No</v>
      </c>
      <c r="BN584" s="30"/>
      <c r="BO584" s="30" t="str">
        <f ca="1">IFERROR(__xludf.DUMMYFUNCTION("""COMPUTED_VALUE"""),"34446713")</f>
        <v>34446713</v>
      </c>
      <c r="BP584" s="29" t="str">
        <f ca="1">IFERROR(__xludf.DUMMYFUNCTION("""COMPUTED_VALUE"""),"Guanajuato")</f>
        <v>Guanajuato</v>
      </c>
      <c r="BQ584" s="30" t="str">
        <f ca="1">IFERROR(__xludf.DUMMYFUNCTION("""COMPUTED_VALUE"""),"Urbano")</f>
        <v>Urbano</v>
      </c>
      <c r="BR584" s="30"/>
      <c r="BS584" s="30"/>
      <c r="BT584" s="30"/>
      <c r="BU584" s="30" t="str">
        <f ca="1">IFERROR(__xludf.DUMMYFUNCTION("""COMPUTED_VALUE"""),"No")</f>
        <v>No</v>
      </c>
      <c r="BV584" s="30" t="str">
        <f ca="1">IFERROR(__xludf.DUMMYFUNCTION("""COMPUTED_VALUE"""),"No")</f>
        <v>No</v>
      </c>
      <c r="BW584" s="30">
        <f ca="1">IFERROR(__xludf.DUMMYFUNCTION("""COMPUTED_VALUE"""),34)</f>
        <v>34</v>
      </c>
      <c r="BX584" s="30">
        <f ca="1">IFERROR(__xludf.DUMMYFUNCTION("""COMPUTED_VALUE"""),34)</f>
        <v>34</v>
      </c>
      <c r="BY584" s="30">
        <f ca="1">IFERROR(__xludf.DUMMYFUNCTION("""COMPUTED_VALUE"""),0)</f>
        <v>0</v>
      </c>
      <c r="BZ584" s="30"/>
      <c r="CA584" s="30" t="str">
        <f ca="1">IFERROR(__xludf.DUMMYFUNCTION("""COMPUTED_VALUE"""),"No")</f>
        <v>No</v>
      </c>
      <c r="CB584" s="30" t="str">
        <f ca="1">IFERROR(__xludf.DUMMYFUNCTION("""COMPUTED_VALUE"""),"No")</f>
        <v>No</v>
      </c>
      <c r="CC584" s="30" t="str">
        <f ca="1">IFERROR(__xludf.DUMMYFUNCTION("""COMPUTED_VALUE"""),"dd1cc12b")</f>
        <v>dd1cc12b</v>
      </c>
      <c r="CD584" s="29" t="str">
        <f ca="1">IFERROR(__xludf.DUMMYFUNCTION("""COMPUTED_VALUE"""),"Adultos (30 a 59 años)")</f>
        <v>Adultos (30 a 59 años)</v>
      </c>
      <c r="CE584" s="30" t="str">
        <f ca="1">IFERROR(__xludf.DUMMYFUNCTION("""COMPUTED_VALUE"""),"No se cuenta con el dato")</f>
        <v>No se cuenta con el dato</v>
      </c>
      <c r="CF584" s="30" t="str">
        <f ca="1">IFERROR(__xludf.DUMMYFUNCTION("""COMPUTED_VALUE"""),"Ninguno (Población General)")</f>
        <v>Ninguno (Población General)</v>
      </c>
      <c r="CG584" s="30">
        <f ca="1">IFERROR(__xludf.DUMMYFUNCTION("""COMPUTED_VALUE"""),32)</f>
        <v>32</v>
      </c>
      <c r="CJ584" s="29"/>
      <c r="CM584" s="30" t="str">
        <f ca="1">IFERROR(__xludf.DUMMYFUNCTION("""COMPUTED_VALUE"""),"Guanajuato")</f>
        <v>Guanajuato</v>
      </c>
      <c r="CN584" s="32" t="e">
        <f ca="1"/>
        <v>#NAME?</v>
      </c>
      <c r="CO584" s="32" t="e">
        <f ca="1"/>
        <v>#NAME?</v>
      </c>
      <c r="CP584" s="32" t="e">
        <f ca="1"/>
        <v>#NAME?</v>
      </c>
      <c r="CQ584" s="32" t="e">
        <f ca="1"/>
        <v>#NAME?</v>
      </c>
      <c r="CR584" s="30" t="e">
        <f ca="1"/>
        <v>#NAME?</v>
      </c>
      <c r="CS584" s="30" t="str">
        <f ca="1">IFERROR(__xludf.DUMMYFUNCTION("""COMPUTED_VALUE"""),"Ninguno (Población General)")</f>
        <v>Ninguno (Población General)</v>
      </c>
    </row>
    <row r="585" spans="1:97" ht="13">
      <c r="A585" s="29" t="str">
        <f ca="1">IFERROR(__xludf.DUMMYFUNCTION("""COMPUTED_VALUE"""),"ACT-SCST39394")</f>
        <v>ACT-SCST39394</v>
      </c>
      <c r="B585" s="30" t="str">
        <f ca="1">IFERROR(__xludf.DUMMYFUNCTION("""COMPUTED_VALUE"""),"SC-261022-121215")</f>
        <v>SC-261022-121215</v>
      </c>
      <c r="C585" s="62">
        <f ca="1">IFERROR(__xludf.DUMMYFUNCTION("""COMPUTED_VALUE"""),46317.5085069444)</f>
        <v>46317.508506944403</v>
      </c>
      <c r="D585" s="30">
        <f ca="1">IFERROR(__xludf.DUMMYFUNCTION("""COMPUTED_VALUE"""),92)</f>
        <v>92</v>
      </c>
      <c r="E585" s="30" t="str">
        <f ca="1">IFERROR(__xludf.DUMMYFUNCTION("""COMPUTED_VALUE"""),"PB3572")</f>
        <v>PB3572</v>
      </c>
      <c r="F58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5" s="30" t="str">
        <f ca="1">IFERROR(__xludf.DUMMYFUNCTION("""COMPUTED_VALUE"""),"SUBSECRETARÍA DE DESARROLLO Y PROMOCIÓN ARTÍSTICA Y CULTURAL")</f>
        <v>SUBSECRETARÍA DE DESARROLLO Y PROMOCIÓN ARTÍSTICA Y CULTURAL</v>
      </c>
      <c r="I585" s="34" t="str">
        <f ca="1">IFERROR(__xludf.DUMMYFUNCTION("""COMPUTED_VALUE"""),"DIRECCIÓN GENERAL DE MUSEOS, ARTES VISUALES Y EXPOSICIONES")</f>
        <v>DIRECCIÓN GENERAL DE MUSEOS, ARTES VISUALES Y EXPOSICIONES</v>
      </c>
      <c r="J585" s="30" t="str">
        <f ca="1">IFERROR(__xludf.DUMMYFUNCTION("""COMPUTED_VALUE"""),"Número de Actividades realizadas")</f>
        <v>Número de Actividades realizadas</v>
      </c>
      <c r="K585" s="30">
        <f ca="1">IFERROR(__xludf.DUMMYFUNCTION("""COMPUTED_VALUE"""),800)</f>
        <v>800</v>
      </c>
      <c r="L585" s="30" t="str">
        <f ca="1">IFERROR(__xludf.DUMMYFUNCTION("""COMPUTED_VALUE"""),"Artística")</f>
        <v>Artística</v>
      </c>
      <c r="M585" s="30" t="str">
        <f ca="1">IFERROR(__xludf.DUMMYFUNCTION("""COMPUTED_VALUE"""),"El Pueblo en cartón: taller de muñecas")</f>
        <v>El Pueblo en cartón: taller de muñecas</v>
      </c>
      <c r="N585" s="30" t="str">
        <f ca="1">IFERROR(__xludf.DUMMYFUNCTION("""COMPUTED_VALUE"""),"Taller de cartonería")</f>
        <v>Taller de cartonería</v>
      </c>
      <c r="O585" s="30" t="str">
        <f ca="1">IFERROR(__xludf.DUMMYFUNCTION("""COMPUTED_VALUE"""),"Única")</f>
        <v>Única</v>
      </c>
      <c r="P585" s="33">
        <f ca="1">IFERROR(__xludf.DUMMYFUNCTION("""COMPUTED_VALUE"""),46270)</f>
        <v>46270</v>
      </c>
      <c r="Q585" s="33">
        <f ca="1">IFERROR(__xludf.DUMMYFUNCTION("""COMPUTED_VALUE"""),46270)</f>
        <v>46270</v>
      </c>
      <c r="R585" s="30">
        <f ca="1">IFERROR(__xludf.DUMMYFUNCTION("""COMPUTED_VALUE"""),1)</f>
        <v>1</v>
      </c>
      <c r="S585" s="30" t="str">
        <f ca="1">IFERROR(__xludf.DUMMYFUNCTION("""COMPUTED_VALUE"""),"Cultura comunitaria")</f>
        <v>Cultura comunitaria</v>
      </c>
      <c r="T585" s="30" t="str">
        <f ca="1">IFERROR(__xludf.DUMMYFUNCTION("""COMPUTED_VALUE"""),"Formación comunitaria")</f>
        <v>Formación comunitaria</v>
      </c>
      <c r="U585" s="30" t="str">
        <f ca="1">IFERROR(__xludf.DUMMYFUNCTION("""COMPUTED_VALUE"""),"Taller")</f>
        <v>Taller</v>
      </c>
      <c r="V585" s="30" t="str">
        <f ca="1">IFERROR(__xludf.DUMMYFUNCTION("""COMPUTED_VALUE"""),"Ninguna")</f>
        <v>Ninguna</v>
      </c>
      <c r="W585" s="30" t="str">
        <f ca="1">IFERROR(__xludf.DUMMYFUNCTION("""COMPUTED_VALUE"""),"Presencial")</f>
        <v>Presencial</v>
      </c>
      <c r="X585" s="30" t="str">
        <f ca="1">IFERROR(__xludf.DUMMYFUNCTION("""COMPUTED_VALUE"""),"Espacio a Cargo de la Secretaría")</f>
        <v>Espacio a Cargo de la Secretaría</v>
      </c>
      <c r="Y585" s="30" t="str">
        <f ca="1">IFERROR(__xludf.DUMMYFUNCTION("""COMPUTED_VALUE"""),"Museo del Pueblo de Guanajuato")</f>
        <v>Museo del Pueblo de Guanajuato</v>
      </c>
      <c r="Z585" s="30"/>
      <c r="AA585" s="30"/>
      <c r="AB585" s="30" t="b">
        <f ca="1">IFERROR(__xludf.DUMMYFUNCTION("""COMPUTED_VALUE"""),FALSE)</f>
        <v>0</v>
      </c>
      <c r="AC585" s="30"/>
      <c r="AD585" s="30" t="b">
        <f ca="1">IFERROR(__xludf.DUMMYFUNCTION("""COMPUTED_VALUE"""),FALSE)</f>
        <v>0</v>
      </c>
      <c r="AE585" s="30"/>
      <c r="AF585" s="30" t="b">
        <f ca="1">IFERROR(__xludf.DUMMYFUNCTION("""COMPUTED_VALUE"""),FALSE)</f>
        <v>0</v>
      </c>
      <c r="AG585" s="30"/>
      <c r="AH585" s="30" t="str">
        <f ca="1">IFERROR(__xludf.DUMMYFUNCTION("""COMPUTED_VALUE"""),"Sin costo")</f>
        <v>Sin costo</v>
      </c>
      <c r="AI585" s="30"/>
      <c r="AJ585" s="30"/>
      <c r="AK585" s="30"/>
      <c r="AL585" s="30" t="str">
        <f ca="1">IFERROR(__xludf.DUMMYFUNCTION("""COMPUTED_VALUE"""),"ccardonav@guanajuato.gob.mx")</f>
        <v>ccardonav@guanajuato.gob.mx</v>
      </c>
      <c r="AM585" s="30" t="str">
        <f ca="1">IFERROR(__xludf.DUMMYFUNCTION("""COMPUTED_VALUE"""),"Arraigo y empoderamiento cultural de comunidades.")</f>
        <v>Arraigo y empoderamiento cultural de comunidades.</v>
      </c>
      <c r="AN585" s="30" t="str">
        <f ca="1">IFERROR(__xludf.DUMMYFUNCTION("""COMPUTED_VALUE"""),"1 Tranquilidad")</f>
        <v>1 Tranquilidad</v>
      </c>
      <c r="AO585" s="30" t="str">
        <f ca="1">IFERROR(__xludf.DUMMYFUNCTION("""COMPUTED_VALUE"""),"1.2 Fortalecer prevención del delito")</f>
        <v>1.2 Fortalecer prevención del delito</v>
      </c>
      <c r="AP585" s="30" t="str">
        <f ca="1">IFERROR(__xludf.DUMMYFUNCTION("""COMPUTED_VALUE"""),"1.2.2 Fortalecimiento del tejido social")</f>
        <v>1.2.2 Fortalecimiento del tejido social</v>
      </c>
      <c r="AQ585" s="30" t="str">
        <f ca="1">IFERROR(__xludf.DUMMYFUNCTION("""COMPUTED_VALUE"""),"1.2.3.4 Promover una cultura de paz desde las expresiones artísticas y culturales")</f>
        <v>1.2.3.4 Promover una cultura de paz desde las expresiones artísticas y culturales</v>
      </c>
      <c r="AR585" s="30" t="str">
        <f ca="1">IFERROR(__xludf.DUMMYFUNCTION("""COMPUTED_VALUE"""),"Cooperación")</f>
        <v>Cooperación</v>
      </c>
      <c r="AS585" s="30"/>
      <c r="AT585" s="30" t="str">
        <f ca="1">IFERROR(__xludf.DUMMYFUNCTION("""COMPUTED_VALUE"""),"Fortalecimiento de la participación ciudadana y la mediación cultural")</f>
        <v>Fortalecimiento de la participación ciudadana y la mediación cultural</v>
      </c>
      <c r="AU585" s="30" t="str">
        <f ca="1">IFERROR(__xludf.DUMMYFUNCTION("""COMPUTED_VALUE"""),"Impulso a la ampliación de la oferta cultural en los territorios.")</f>
        <v>Impulso a la ampliación de la oferta cultural en los territorios.</v>
      </c>
      <c r="AV58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5" s="30" t="str">
        <f ca="1">IFERROR(__xludf.DUMMYFUNCTION("""COMPUTED_VALUE"""),"Incrementar en 25% la oferta cultural realizada en los municipios.")</f>
        <v>Incrementar en 25% la oferta cultural realizada en los municipios.</v>
      </c>
      <c r="AX585" s="30" t="str">
        <f ca="1">IFERROR(__xludf.DUMMYFUNCTION("""COMPUTED_VALUE"""),"Taller")</f>
        <v>Taller</v>
      </c>
      <c r="AY585" s="30" t="str">
        <f ca="1">IFERROR(__xludf.DUMMYFUNCTION("""COMPUTED_VALUE"""),"Formación")</f>
        <v>Formación</v>
      </c>
      <c r="AZ585" s="30" t="str">
        <f ca="1">IFERROR(__xludf.DUMMYFUNCTION("""COMPUTED_VALUE"""),"Formación")</f>
        <v>Formación</v>
      </c>
      <c r="BA585" s="30"/>
      <c r="BB585" s="30"/>
      <c r="BC585" s="30">
        <f ca="1">IFERROR(__xludf.DUMMYFUNCTION("""COMPUTED_VALUE"""),0)</f>
        <v>0</v>
      </c>
      <c r="BD585" s="30"/>
      <c r="BE585" s="30"/>
      <c r="BF585" s="30" t="b">
        <f ca="1">IFERROR(__xludf.DUMMYFUNCTION("""COMPUTED_VALUE"""),FALSE)</f>
        <v>0</v>
      </c>
      <c r="BG585" s="30"/>
      <c r="BH585" s="30"/>
      <c r="BI585" s="30"/>
      <c r="BJ585" s="30"/>
      <c r="BK585" s="30"/>
      <c r="BL585" s="30"/>
      <c r="BM585" s="30" t="str">
        <f ca="1">IFERROR(__xludf.DUMMYFUNCTION("""COMPUTED_VALUE"""),"No")</f>
        <v>No</v>
      </c>
      <c r="BN585" s="30"/>
      <c r="BO585" s="30" t="str">
        <f ca="1">IFERROR(__xludf.DUMMYFUNCTION("""COMPUTED_VALUE"""),"b9fa04a5")</f>
        <v>b9fa04a5</v>
      </c>
      <c r="BP585" s="29" t="str">
        <f ca="1">IFERROR(__xludf.DUMMYFUNCTION("""COMPUTED_VALUE"""),"Guanajuato")</f>
        <v>Guanajuato</v>
      </c>
      <c r="BQ585" s="30" t="str">
        <f ca="1">IFERROR(__xludf.DUMMYFUNCTION("""COMPUTED_VALUE"""),"Urbano")</f>
        <v>Urbano</v>
      </c>
      <c r="BR585" s="30"/>
      <c r="BS585" s="30"/>
      <c r="BT585" s="30"/>
      <c r="BU585" s="30" t="str">
        <f ca="1">IFERROR(__xludf.DUMMYFUNCTION("""COMPUTED_VALUE"""),"No")</f>
        <v>No</v>
      </c>
      <c r="BV585" s="30" t="str">
        <f ca="1">IFERROR(__xludf.DUMMYFUNCTION("""COMPUTED_VALUE"""),"No")</f>
        <v>No</v>
      </c>
      <c r="BW585" s="30">
        <f ca="1">IFERROR(__xludf.DUMMYFUNCTION("""COMPUTED_VALUE"""),19)</f>
        <v>19</v>
      </c>
      <c r="BX585" s="30">
        <f ca="1">IFERROR(__xludf.DUMMYFUNCTION("""COMPUTED_VALUE"""),19)</f>
        <v>19</v>
      </c>
      <c r="BY585" s="30">
        <f ca="1">IFERROR(__xludf.DUMMYFUNCTION("""COMPUTED_VALUE"""),0)</f>
        <v>0</v>
      </c>
      <c r="BZ585" s="30"/>
      <c r="CA585" s="30" t="str">
        <f ca="1">IFERROR(__xludf.DUMMYFUNCTION("""COMPUTED_VALUE"""),"No")</f>
        <v>No</v>
      </c>
      <c r="CB585" s="30" t="str">
        <f ca="1">IFERROR(__xludf.DUMMYFUNCTION("""COMPUTED_VALUE"""),"No")</f>
        <v>No</v>
      </c>
      <c r="CC585" s="30" t="str">
        <f ca="1">IFERROR(__xludf.DUMMYFUNCTION("""COMPUTED_VALUE"""),"5c0ae74b")</f>
        <v>5c0ae74b</v>
      </c>
      <c r="CD585" s="29" t="str">
        <f ca="1">IFERROR(__xludf.DUMMYFUNCTION("""COMPUTED_VALUE"""),"Adultos Mayores (60 años o más)")</f>
        <v>Adultos Mayores (60 años o más)</v>
      </c>
      <c r="CE585" s="30" t="str">
        <f ca="1">IFERROR(__xludf.DUMMYFUNCTION("""COMPUTED_VALUE"""),"No se cuenta con el dato")</f>
        <v>No se cuenta con el dato</v>
      </c>
      <c r="CF585" s="30" t="str">
        <f ca="1">IFERROR(__xludf.DUMMYFUNCTION("""COMPUTED_VALUE"""),"Ninguno (Población General)")</f>
        <v>Ninguno (Población General)</v>
      </c>
      <c r="CG585" s="30">
        <f ca="1">IFERROR(__xludf.DUMMYFUNCTION("""COMPUTED_VALUE"""),9)</f>
        <v>9</v>
      </c>
      <c r="CJ585" s="29"/>
      <c r="CM585" s="30" t="str">
        <f ca="1">IFERROR(__xludf.DUMMYFUNCTION("""COMPUTED_VALUE"""),"Guanajuato")</f>
        <v>Guanajuato</v>
      </c>
      <c r="CN585" s="32" t="e">
        <f ca="1"/>
        <v>#NAME?</v>
      </c>
      <c r="CO585" s="32" t="e">
        <f ca="1"/>
        <v>#NAME?</v>
      </c>
      <c r="CP585" s="32" t="e">
        <f ca="1"/>
        <v>#NAME?</v>
      </c>
      <c r="CQ585" s="32" t="e">
        <f ca="1"/>
        <v>#NAME?</v>
      </c>
      <c r="CR585" s="30" t="e">
        <f ca="1"/>
        <v>#NAME?</v>
      </c>
      <c r="CS585" s="30" t="str">
        <f ca="1">IFERROR(__xludf.DUMMYFUNCTION("""COMPUTED_VALUE"""),"Ninguno (Población General)")</f>
        <v>Ninguno (Población General)</v>
      </c>
    </row>
    <row r="586" spans="1:97" ht="13">
      <c r="A586" s="29" t="str">
        <f ca="1">IFERROR(__xludf.DUMMYFUNCTION("""COMPUTED_VALUE"""),"ACT-SCRL25642")</f>
        <v>ACT-SCRL25642</v>
      </c>
      <c r="B586" s="30" t="str">
        <f ca="1">IFERROR(__xludf.DUMMYFUNCTION("""COMPUTED_VALUE"""),"SC-261022-122530")</f>
        <v>SC-261022-122530</v>
      </c>
      <c r="C586" s="62">
        <f ca="1">IFERROR(__xludf.DUMMYFUNCTION("""COMPUTED_VALUE"""),46317.5177083333)</f>
        <v>46317.517708333296</v>
      </c>
      <c r="D586" s="30">
        <f ca="1">IFERROR(__xludf.DUMMYFUNCTION("""COMPUTED_VALUE"""),92)</f>
        <v>92</v>
      </c>
      <c r="E586" s="30" t="str">
        <f ca="1">IFERROR(__xludf.DUMMYFUNCTION("""COMPUTED_VALUE"""),"PB3572")</f>
        <v>PB3572</v>
      </c>
      <c r="F58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6" s="30" t="str">
        <f ca="1">IFERROR(__xludf.DUMMYFUNCTION("""COMPUTED_VALUE"""),"SUBSECRETARÍA DE DESARROLLO Y PROMOCIÓN ARTÍSTICA Y CULTURAL")</f>
        <v>SUBSECRETARÍA DE DESARROLLO Y PROMOCIÓN ARTÍSTICA Y CULTURAL</v>
      </c>
      <c r="I586" s="34" t="str">
        <f ca="1">IFERROR(__xludf.DUMMYFUNCTION("""COMPUTED_VALUE"""),"DIRECCIÓN GENERAL DE MUSEOS, ARTES VISUALES Y EXPOSICIONES")</f>
        <v>DIRECCIÓN GENERAL DE MUSEOS, ARTES VISUALES Y EXPOSICIONES</v>
      </c>
      <c r="J586" s="30" t="str">
        <f ca="1">IFERROR(__xludf.DUMMYFUNCTION("""COMPUTED_VALUE"""),"Número de Actividades realizadas")</f>
        <v>Número de Actividades realizadas</v>
      </c>
      <c r="K586" s="30">
        <f ca="1">IFERROR(__xludf.DUMMYFUNCTION("""COMPUTED_VALUE"""),800)</f>
        <v>800</v>
      </c>
      <c r="L586" s="30" t="str">
        <f ca="1">IFERROR(__xludf.DUMMYFUNCTION("""COMPUTED_VALUE"""),"Artística")</f>
        <v>Artística</v>
      </c>
      <c r="M586" s="30" t="str">
        <f ca="1">IFERROR(__xludf.DUMMYFUNCTION("""COMPUTED_VALUE"""),"Danzón, patrimonio vivo, clases de baile.")</f>
        <v>Danzón, patrimonio vivo, clases de baile.</v>
      </c>
      <c r="N586" s="30" t="str">
        <f ca="1">IFERROR(__xludf.DUMMYFUNCTION("""COMPUTED_VALUE"""),"Sesiones guiadas de introducción al Danzón")</f>
        <v>Sesiones guiadas de introducción al Danzón</v>
      </c>
      <c r="O586" s="30" t="str">
        <f ca="1">IFERROR(__xludf.DUMMYFUNCTION("""COMPUTED_VALUE"""),"Única")</f>
        <v>Única</v>
      </c>
      <c r="P586" s="33">
        <f ca="1">IFERROR(__xludf.DUMMYFUNCTION("""COMPUTED_VALUE"""),46270)</f>
        <v>46270</v>
      </c>
      <c r="Q586" s="33">
        <f ca="1">IFERROR(__xludf.DUMMYFUNCTION("""COMPUTED_VALUE"""),46270)</f>
        <v>46270</v>
      </c>
      <c r="R586" s="30">
        <f ca="1">IFERROR(__xludf.DUMMYFUNCTION("""COMPUTED_VALUE"""),1)</f>
        <v>1</v>
      </c>
      <c r="S586" s="30" t="str">
        <f ca="1">IFERROR(__xludf.DUMMYFUNCTION("""COMPUTED_VALUE"""),"Cultura comunitaria")</f>
        <v>Cultura comunitaria</v>
      </c>
      <c r="T586" s="30" t="str">
        <f ca="1">IFERROR(__xludf.DUMMYFUNCTION("""COMPUTED_VALUE"""),"Formación comunitaria")</f>
        <v>Formación comunitaria</v>
      </c>
      <c r="U586" s="30" t="str">
        <f ca="1">IFERROR(__xludf.DUMMYFUNCTION("""COMPUTED_VALUE"""),"Taller")</f>
        <v>Taller</v>
      </c>
      <c r="V586" s="30" t="str">
        <f ca="1">IFERROR(__xludf.DUMMYFUNCTION("""COMPUTED_VALUE"""),"Ninguna")</f>
        <v>Ninguna</v>
      </c>
      <c r="W586" s="30" t="str">
        <f ca="1">IFERROR(__xludf.DUMMYFUNCTION("""COMPUTED_VALUE"""),"Presencial")</f>
        <v>Presencial</v>
      </c>
      <c r="X586" s="30" t="str">
        <f ca="1">IFERROR(__xludf.DUMMYFUNCTION("""COMPUTED_VALUE"""),"Espacio a Cargo de la Secretaría")</f>
        <v>Espacio a Cargo de la Secretaría</v>
      </c>
      <c r="Y586" s="30" t="str">
        <f ca="1">IFERROR(__xludf.DUMMYFUNCTION("""COMPUTED_VALUE"""),"Museo Palacio de los Poderes")</f>
        <v>Museo Palacio de los Poderes</v>
      </c>
      <c r="Z586" s="30"/>
      <c r="AA586" s="30"/>
      <c r="AB586" s="30" t="b">
        <f ca="1">IFERROR(__xludf.DUMMYFUNCTION("""COMPUTED_VALUE"""),FALSE)</f>
        <v>0</v>
      </c>
      <c r="AC586" s="30"/>
      <c r="AD586" s="30" t="b">
        <f ca="1">IFERROR(__xludf.DUMMYFUNCTION("""COMPUTED_VALUE"""),FALSE)</f>
        <v>0</v>
      </c>
      <c r="AE586" s="30"/>
      <c r="AF586" s="30" t="b">
        <f ca="1">IFERROR(__xludf.DUMMYFUNCTION("""COMPUTED_VALUE"""),FALSE)</f>
        <v>0</v>
      </c>
      <c r="AG586" s="30"/>
      <c r="AH586" s="30" t="str">
        <f ca="1">IFERROR(__xludf.DUMMYFUNCTION("""COMPUTED_VALUE"""),"Sin costo")</f>
        <v>Sin costo</v>
      </c>
      <c r="AI586" s="30"/>
      <c r="AJ586" s="30"/>
      <c r="AK586" s="30"/>
      <c r="AL586" s="30" t="str">
        <f ca="1">IFERROR(__xludf.DUMMYFUNCTION("""COMPUTED_VALUE"""),"ccardonav@guanajuato.gob.mx")</f>
        <v>ccardonav@guanajuato.gob.mx</v>
      </c>
      <c r="AM586" s="30" t="str">
        <f ca="1">IFERROR(__xludf.DUMMYFUNCTION("""COMPUTED_VALUE"""),"Arraigo y empoderamiento cultural de comunidades.")</f>
        <v>Arraigo y empoderamiento cultural de comunidades.</v>
      </c>
      <c r="AN586" s="30" t="str">
        <f ca="1">IFERROR(__xludf.DUMMYFUNCTION("""COMPUTED_VALUE"""),"1 Tranquilidad")</f>
        <v>1 Tranquilidad</v>
      </c>
      <c r="AO586" s="30" t="str">
        <f ca="1">IFERROR(__xludf.DUMMYFUNCTION("""COMPUTED_VALUE"""),"1.2 Fortalecer prevención del delito")</f>
        <v>1.2 Fortalecer prevención del delito</v>
      </c>
      <c r="AP586" s="30" t="str">
        <f ca="1">IFERROR(__xludf.DUMMYFUNCTION("""COMPUTED_VALUE"""),"1.2.2 Fortalecimiento del tejido social")</f>
        <v>1.2.2 Fortalecimiento del tejido social</v>
      </c>
      <c r="AQ586" s="30" t="str">
        <f ca="1">IFERROR(__xludf.DUMMYFUNCTION("""COMPUTED_VALUE"""),"1.2.3.4 Promover una cultura de paz desde las expresiones artísticas y culturales")</f>
        <v>1.2.3.4 Promover una cultura de paz desde las expresiones artísticas y culturales</v>
      </c>
      <c r="AR586" s="30" t="str">
        <f ca="1">IFERROR(__xludf.DUMMYFUNCTION("""COMPUTED_VALUE"""),"Cooperación")</f>
        <v>Cooperación</v>
      </c>
      <c r="AS586" s="30"/>
      <c r="AT586" s="30" t="str">
        <f ca="1">IFERROR(__xludf.DUMMYFUNCTION("""COMPUTED_VALUE"""),"Fortalecimiento de la participación ciudadana y la mediación cultural")</f>
        <v>Fortalecimiento de la participación ciudadana y la mediación cultural</v>
      </c>
      <c r="AU586" s="30" t="str">
        <f ca="1">IFERROR(__xludf.DUMMYFUNCTION("""COMPUTED_VALUE"""),"Impulso a la ampliación de la oferta cultural en los territorios.")</f>
        <v>Impulso a la ampliación de la oferta cultural en los territorios.</v>
      </c>
      <c r="AV58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6" s="30" t="str">
        <f ca="1">IFERROR(__xludf.DUMMYFUNCTION("""COMPUTED_VALUE"""),"Incrementar en 25% la oferta cultural realizada en los municipios.")</f>
        <v>Incrementar en 25% la oferta cultural realizada en los municipios.</v>
      </c>
      <c r="AX586" s="30" t="str">
        <f ca="1">IFERROR(__xludf.DUMMYFUNCTION("""COMPUTED_VALUE"""),"Taller")</f>
        <v>Taller</v>
      </c>
      <c r="AY586" s="30" t="str">
        <f ca="1">IFERROR(__xludf.DUMMYFUNCTION("""COMPUTED_VALUE"""),"Formación")</f>
        <v>Formación</v>
      </c>
      <c r="AZ586" s="30"/>
      <c r="BA586" s="30"/>
      <c r="BB586" s="30"/>
      <c r="BC586" s="30">
        <f ca="1">IFERROR(__xludf.DUMMYFUNCTION("""COMPUTED_VALUE"""),0)</f>
        <v>0</v>
      </c>
      <c r="BD586" s="30"/>
      <c r="BE586" s="30"/>
      <c r="BF586" s="30" t="b">
        <f ca="1">IFERROR(__xludf.DUMMYFUNCTION("""COMPUTED_VALUE"""),FALSE)</f>
        <v>0</v>
      </c>
      <c r="BG586" s="30"/>
      <c r="BH586" s="30"/>
      <c r="BI586" s="30"/>
      <c r="BJ586" s="30"/>
      <c r="BK586" s="30"/>
      <c r="BL586" s="30"/>
      <c r="BM586" s="30" t="str">
        <f ca="1">IFERROR(__xludf.DUMMYFUNCTION("""COMPUTED_VALUE"""),"No")</f>
        <v>No</v>
      </c>
      <c r="BN586" s="30"/>
      <c r="BO586" s="30" t="str">
        <f ca="1">IFERROR(__xludf.DUMMYFUNCTION("""COMPUTED_VALUE"""),"26b36e43")</f>
        <v>26b36e43</v>
      </c>
      <c r="BP586" s="29" t="str">
        <f ca="1">IFERROR(__xludf.DUMMYFUNCTION("""COMPUTED_VALUE"""),"Guanajuato")</f>
        <v>Guanajuato</v>
      </c>
      <c r="BQ586" s="30" t="str">
        <f ca="1">IFERROR(__xludf.DUMMYFUNCTION("""COMPUTED_VALUE"""),"Urbano")</f>
        <v>Urbano</v>
      </c>
      <c r="BR586" s="30"/>
      <c r="BS586" s="30"/>
      <c r="BT586" s="30"/>
      <c r="BU586" s="30" t="str">
        <f ca="1">IFERROR(__xludf.DUMMYFUNCTION("""COMPUTED_VALUE"""),"No")</f>
        <v>No</v>
      </c>
      <c r="BV586" s="30" t="str">
        <f ca="1">IFERROR(__xludf.DUMMYFUNCTION("""COMPUTED_VALUE"""),"No")</f>
        <v>No</v>
      </c>
      <c r="BW586" s="30">
        <f ca="1">IFERROR(__xludf.DUMMYFUNCTION("""COMPUTED_VALUE"""),13)</f>
        <v>13</v>
      </c>
      <c r="BX586" s="30">
        <f ca="1">IFERROR(__xludf.DUMMYFUNCTION("""COMPUTED_VALUE"""),13)</f>
        <v>13</v>
      </c>
      <c r="BY586" s="30">
        <f ca="1">IFERROR(__xludf.DUMMYFUNCTION("""COMPUTED_VALUE"""),0)</f>
        <v>0</v>
      </c>
      <c r="BZ586" s="30"/>
      <c r="CA586" s="30" t="str">
        <f ca="1">IFERROR(__xludf.DUMMYFUNCTION("""COMPUTED_VALUE"""),"No")</f>
        <v>No</v>
      </c>
      <c r="CB586" s="30" t="str">
        <f ca="1">IFERROR(__xludf.DUMMYFUNCTION("""COMPUTED_VALUE"""),"No")</f>
        <v>No</v>
      </c>
      <c r="CC586" s="30" t="str">
        <f ca="1">IFERROR(__xludf.DUMMYFUNCTION("""COMPUTED_VALUE"""),"ebc10f6f")</f>
        <v>ebc10f6f</v>
      </c>
      <c r="CD586" s="29" t="str">
        <f ca="1">IFERROR(__xludf.DUMMYFUNCTION("""COMPUTED_VALUE"""),"Adultos (30 a 59 años)")</f>
        <v>Adultos (30 a 59 años)</v>
      </c>
      <c r="CE586" s="30" t="str">
        <f ca="1">IFERROR(__xludf.DUMMYFUNCTION("""COMPUTED_VALUE"""),"No se cuenta con el dato")</f>
        <v>No se cuenta con el dato</v>
      </c>
      <c r="CF586" s="30" t="str">
        <f ca="1">IFERROR(__xludf.DUMMYFUNCTION("""COMPUTED_VALUE"""),"Ninguno (Población General)")</f>
        <v>Ninguno (Población General)</v>
      </c>
      <c r="CG586" s="30">
        <f ca="1">IFERROR(__xludf.DUMMYFUNCTION("""COMPUTED_VALUE"""),3)</f>
        <v>3</v>
      </c>
      <c r="CJ586" s="29"/>
      <c r="CM586" s="30" t="str">
        <f ca="1">IFERROR(__xludf.DUMMYFUNCTION("""COMPUTED_VALUE"""),"Guanajuato")</f>
        <v>Guanajuato</v>
      </c>
      <c r="CN586" s="32" t="e">
        <f ca="1"/>
        <v>#NAME?</v>
      </c>
      <c r="CO586" s="32" t="e">
        <f ca="1"/>
        <v>#NAME?</v>
      </c>
      <c r="CP586" s="32" t="e">
        <f ca="1"/>
        <v>#NAME?</v>
      </c>
      <c r="CQ586" s="32" t="e">
        <f ca="1"/>
        <v>#NAME?</v>
      </c>
      <c r="CR586" s="30" t="e">
        <f ca="1"/>
        <v>#NAME?</v>
      </c>
      <c r="CS586" s="30" t="str">
        <f ca="1">IFERROR(__xludf.DUMMYFUNCTION("""COMPUTED_VALUE"""),"Ninguno (Población General)")</f>
        <v>Ninguno (Población General)</v>
      </c>
    </row>
    <row r="587" spans="1:97" ht="13">
      <c r="A587" s="29" t="str">
        <f ca="1">IFERROR(__xludf.DUMMYFUNCTION("""COMPUTED_VALUE"""),"ACT-SCBV34476")</f>
        <v>ACT-SCBV34476</v>
      </c>
      <c r="B587" s="30" t="str">
        <f ca="1">IFERROR(__xludf.DUMMYFUNCTION("""COMPUTED_VALUE"""),"SC-261023-120337")</f>
        <v>SC-261023-120337</v>
      </c>
      <c r="C587" s="62">
        <f ca="1">IFERROR(__xludf.DUMMYFUNCTION("""COMPUTED_VALUE"""),46318.502511574)</f>
        <v>46318.502511573999</v>
      </c>
      <c r="D587" s="30">
        <f ca="1">IFERROR(__xludf.DUMMYFUNCTION("""COMPUTED_VALUE"""),92)</f>
        <v>92</v>
      </c>
      <c r="E587" s="30" t="str">
        <f ca="1">IFERROR(__xludf.DUMMYFUNCTION("""COMPUTED_VALUE"""),"PB3572")</f>
        <v>PB3572</v>
      </c>
      <c r="F58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7" s="30" t="str">
        <f ca="1">IFERROR(__xludf.DUMMYFUNCTION("""COMPUTED_VALUE"""),"SUBSECRETARÍA DE DESARROLLO Y PROMOCIÓN ARTÍSTICA Y CULTURAL")</f>
        <v>SUBSECRETARÍA DE DESARROLLO Y PROMOCIÓN ARTÍSTICA Y CULTURAL</v>
      </c>
      <c r="I587" s="34" t="str">
        <f ca="1">IFERROR(__xludf.DUMMYFUNCTION("""COMPUTED_VALUE"""),"DIRECCIÓN GENERAL DE MUSEOS, ARTES VISUALES Y EXPOSICIONES")</f>
        <v>DIRECCIÓN GENERAL DE MUSEOS, ARTES VISUALES Y EXPOSICIONES</v>
      </c>
      <c r="J587" s="30" t="str">
        <f ca="1">IFERROR(__xludf.DUMMYFUNCTION("""COMPUTED_VALUE"""),"Número de Actividades realizadas")</f>
        <v>Número de Actividades realizadas</v>
      </c>
      <c r="K587" s="30">
        <f ca="1">IFERROR(__xludf.DUMMYFUNCTION("""COMPUTED_VALUE"""),800)</f>
        <v>800</v>
      </c>
      <c r="L587" s="30" t="str">
        <f ca="1">IFERROR(__xludf.DUMMYFUNCTION("""COMPUTED_VALUE"""),"Artística")</f>
        <v>Artística</v>
      </c>
      <c r="M587" s="30" t="str">
        <f ca="1">IFERROR(__xludf.DUMMYFUNCTION("""COMPUTED_VALUE"""),"Mi sueño de una tarde dominical.")</f>
        <v>Mi sueño de una tarde dominical.</v>
      </c>
      <c r="N587" s="30" t="str">
        <f ca="1">IFERROR(__xludf.DUMMYFUNCTION("""COMPUTED_VALUE"""),"Taller relámpago y para toda la familia en donde las y los participantes crearán su reinterpretación personal del mural “Una tarde dominical en la Alameda Central”")</f>
        <v>Taller relámpago y para toda la familia en donde las y los participantes crearán su reinterpretación personal del mural “Una tarde dominical en la Alameda Central”</v>
      </c>
      <c r="O587" s="30" t="str">
        <f ca="1">IFERROR(__xludf.DUMMYFUNCTION("""COMPUTED_VALUE"""),"Única")</f>
        <v>Única</v>
      </c>
      <c r="P587" s="33">
        <f ca="1">IFERROR(__xludf.DUMMYFUNCTION("""COMPUTED_VALUE"""),46270)</f>
        <v>46270</v>
      </c>
      <c r="Q587" s="33">
        <f ca="1">IFERROR(__xludf.DUMMYFUNCTION("""COMPUTED_VALUE"""),46270)</f>
        <v>46270</v>
      </c>
      <c r="R587" s="30">
        <f ca="1">IFERROR(__xludf.DUMMYFUNCTION("""COMPUTED_VALUE"""),1)</f>
        <v>1</v>
      </c>
      <c r="S587" s="30" t="str">
        <f ca="1">IFERROR(__xludf.DUMMYFUNCTION("""COMPUTED_VALUE"""),"Cultura comunitaria")</f>
        <v>Cultura comunitaria</v>
      </c>
      <c r="T587" s="30" t="str">
        <f ca="1">IFERROR(__xludf.DUMMYFUNCTION("""COMPUTED_VALUE"""),"Formación comunitaria")</f>
        <v>Formación comunitaria</v>
      </c>
      <c r="U587" s="30" t="str">
        <f ca="1">IFERROR(__xludf.DUMMYFUNCTION("""COMPUTED_VALUE"""),"Taller")</f>
        <v>Taller</v>
      </c>
      <c r="V587" s="30" t="str">
        <f ca="1">IFERROR(__xludf.DUMMYFUNCTION("""COMPUTED_VALUE"""),"Ninguna")</f>
        <v>Ninguna</v>
      </c>
      <c r="W587" s="30" t="str">
        <f ca="1">IFERROR(__xludf.DUMMYFUNCTION("""COMPUTED_VALUE"""),"Presencial")</f>
        <v>Presencial</v>
      </c>
      <c r="X587" s="30" t="str">
        <f ca="1">IFERROR(__xludf.DUMMYFUNCTION("""COMPUTED_VALUE"""),"Espacio a Cargo de la Secretaría")</f>
        <v>Espacio a Cargo de la Secretaría</v>
      </c>
      <c r="Y587" s="30" t="str">
        <f ca="1">IFERROR(__xludf.DUMMYFUNCTION("""COMPUTED_VALUE"""),"Museo Casa Diego Rivera")</f>
        <v>Museo Casa Diego Rivera</v>
      </c>
      <c r="Z587" s="30"/>
      <c r="AA587" s="30"/>
      <c r="AB587" s="30" t="b">
        <f ca="1">IFERROR(__xludf.DUMMYFUNCTION("""COMPUTED_VALUE"""),FALSE)</f>
        <v>0</v>
      </c>
      <c r="AC587" s="30"/>
      <c r="AD587" s="30" t="b">
        <f ca="1">IFERROR(__xludf.DUMMYFUNCTION("""COMPUTED_VALUE"""),FALSE)</f>
        <v>0</v>
      </c>
      <c r="AE587" s="30"/>
      <c r="AF587" s="30" t="b">
        <f ca="1">IFERROR(__xludf.DUMMYFUNCTION("""COMPUTED_VALUE"""),FALSE)</f>
        <v>0</v>
      </c>
      <c r="AG587" s="30"/>
      <c r="AH587" s="30" t="str">
        <f ca="1">IFERROR(__xludf.DUMMYFUNCTION("""COMPUTED_VALUE"""),"Sin costo")</f>
        <v>Sin costo</v>
      </c>
      <c r="AI587" s="30"/>
      <c r="AJ587" s="30"/>
      <c r="AK587" s="30"/>
      <c r="AL587" s="30" t="str">
        <f ca="1">IFERROR(__xludf.DUMMYFUNCTION("""COMPUTED_VALUE"""),"ccardonav@guanajuato.gob.mx")</f>
        <v>ccardonav@guanajuato.gob.mx</v>
      </c>
      <c r="AM587" s="30" t="str">
        <f ca="1">IFERROR(__xludf.DUMMYFUNCTION("""COMPUTED_VALUE"""),"Arraigo y empoderamiento cultural de comunidades.")</f>
        <v>Arraigo y empoderamiento cultural de comunidades.</v>
      </c>
      <c r="AN587" s="30" t="str">
        <f ca="1">IFERROR(__xludf.DUMMYFUNCTION("""COMPUTED_VALUE"""),"1 Tranquilidad")</f>
        <v>1 Tranquilidad</v>
      </c>
      <c r="AO587" s="30" t="str">
        <f ca="1">IFERROR(__xludf.DUMMYFUNCTION("""COMPUTED_VALUE"""),"1.2 Fortalecer prevención del delito")</f>
        <v>1.2 Fortalecer prevención del delito</v>
      </c>
      <c r="AP587" s="30" t="str">
        <f ca="1">IFERROR(__xludf.DUMMYFUNCTION("""COMPUTED_VALUE"""),"1.2.2 Fortalecimiento del tejido social")</f>
        <v>1.2.2 Fortalecimiento del tejido social</v>
      </c>
      <c r="AQ587" s="30" t="str">
        <f ca="1">IFERROR(__xludf.DUMMYFUNCTION("""COMPUTED_VALUE"""),"1.2.3.4 Promover una cultura de paz desde las expresiones artísticas y culturales")</f>
        <v>1.2.3.4 Promover una cultura de paz desde las expresiones artísticas y culturales</v>
      </c>
      <c r="AR587" s="30" t="str">
        <f ca="1">IFERROR(__xludf.DUMMYFUNCTION("""COMPUTED_VALUE"""),"Cooperación")</f>
        <v>Cooperación</v>
      </c>
      <c r="AS587" s="30"/>
      <c r="AT587" s="30" t="str">
        <f ca="1">IFERROR(__xludf.DUMMYFUNCTION("""COMPUTED_VALUE"""),"Fortalecimiento de la participación ciudadana y la mediación cultural")</f>
        <v>Fortalecimiento de la participación ciudadana y la mediación cultural</v>
      </c>
      <c r="AU587" s="30" t="str">
        <f ca="1">IFERROR(__xludf.DUMMYFUNCTION("""COMPUTED_VALUE"""),"Impulso a la ampliación de la oferta cultural en los territorios.")</f>
        <v>Impulso a la ampliación de la oferta cultural en los territorios.</v>
      </c>
      <c r="AV58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7" s="30" t="str">
        <f ca="1">IFERROR(__xludf.DUMMYFUNCTION("""COMPUTED_VALUE"""),"Incrementar en 25% la oferta cultural realizada en los municipios.")</f>
        <v>Incrementar en 25% la oferta cultural realizada en los municipios.</v>
      </c>
      <c r="AX587" s="30" t="str">
        <f ca="1">IFERROR(__xludf.DUMMYFUNCTION("""COMPUTED_VALUE"""),"Taller")</f>
        <v>Taller</v>
      </c>
      <c r="AY587" s="30" t="str">
        <f ca="1">IFERROR(__xludf.DUMMYFUNCTION("""COMPUTED_VALUE"""),"Formación")</f>
        <v>Formación</v>
      </c>
      <c r="AZ587" s="30" t="str">
        <f ca="1">IFERROR(__xludf.DUMMYFUNCTION("""COMPUTED_VALUE"""),"Formación")</f>
        <v>Formación</v>
      </c>
      <c r="BA587" s="30"/>
      <c r="BB587" s="30"/>
      <c r="BC587" s="30">
        <f ca="1">IFERROR(__xludf.DUMMYFUNCTION("""COMPUTED_VALUE"""),0)</f>
        <v>0</v>
      </c>
      <c r="BD587" s="30"/>
      <c r="BE587" s="30"/>
      <c r="BF587" s="30" t="b">
        <f ca="1">IFERROR(__xludf.DUMMYFUNCTION("""COMPUTED_VALUE"""),FALSE)</f>
        <v>0</v>
      </c>
      <c r="BG587" s="30"/>
      <c r="BH587" s="30"/>
      <c r="BI587" s="30"/>
      <c r="BJ587" s="30"/>
      <c r="BK587" s="30"/>
      <c r="BL587" s="30"/>
      <c r="BM587" s="30" t="str">
        <f ca="1">IFERROR(__xludf.DUMMYFUNCTION("""COMPUTED_VALUE"""),"No")</f>
        <v>No</v>
      </c>
      <c r="BN587" s="30"/>
      <c r="BO587" s="30" t="str">
        <f ca="1">IFERROR(__xludf.DUMMYFUNCTION("""COMPUTED_VALUE"""),"fbd6d729")</f>
        <v>fbd6d729</v>
      </c>
      <c r="BP587" s="29" t="str">
        <f ca="1">IFERROR(__xludf.DUMMYFUNCTION("""COMPUTED_VALUE"""),"Guanajuato")</f>
        <v>Guanajuato</v>
      </c>
      <c r="BQ587" s="30" t="str">
        <f ca="1">IFERROR(__xludf.DUMMYFUNCTION("""COMPUTED_VALUE"""),"Urbano")</f>
        <v>Urbano</v>
      </c>
      <c r="BR587" s="30"/>
      <c r="BS587" s="30"/>
      <c r="BT587" s="30"/>
      <c r="BU587" s="30" t="str">
        <f ca="1">IFERROR(__xludf.DUMMYFUNCTION("""COMPUTED_VALUE"""),"No")</f>
        <v>No</v>
      </c>
      <c r="BV587" s="30" t="str">
        <f ca="1">IFERROR(__xludf.DUMMYFUNCTION("""COMPUTED_VALUE"""),"No")</f>
        <v>No</v>
      </c>
      <c r="BW587" s="30">
        <f ca="1">IFERROR(__xludf.DUMMYFUNCTION("""COMPUTED_VALUE"""),4)</f>
        <v>4</v>
      </c>
      <c r="BX587" s="30">
        <f ca="1">IFERROR(__xludf.DUMMYFUNCTION("""COMPUTED_VALUE"""),4)</f>
        <v>4</v>
      </c>
      <c r="BY587" s="30">
        <f ca="1">IFERROR(__xludf.DUMMYFUNCTION("""COMPUTED_VALUE"""),0)</f>
        <v>0</v>
      </c>
      <c r="BZ587" s="30"/>
      <c r="CA587" s="30" t="str">
        <f ca="1">IFERROR(__xludf.DUMMYFUNCTION("""COMPUTED_VALUE"""),"No")</f>
        <v>No</v>
      </c>
      <c r="CB587" s="30" t="str">
        <f ca="1">IFERROR(__xludf.DUMMYFUNCTION("""COMPUTED_VALUE"""),"No")</f>
        <v>No</v>
      </c>
      <c r="CC587" s="30" t="str">
        <f ca="1">IFERROR(__xludf.DUMMYFUNCTION("""COMPUTED_VALUE"""),"8948f3f1")</f>
        <v>8948f3f1</v>
      </c>
      <c r="CD587" s="29" t="str">
        <f ca="1">IFERROR(__xludf.DUMMYFUNCTION("""COMPUTED_VALUE"""),"Adultos (30 a 59 años)")</f>
        <v>Adultos (30 a 59 años)</v>
      </c>
      <c r="CE587" s="30" t="str">
        <f ca="1">IFERROR(__xludf.DUMMYFUNCTION("""COMPUTED_VALUE"""),"No se cuenta con el dato")</f>
        <v>No se cuenta con el dato</v>
      </c>
      <c r="CF587" s="30" t="str">
        <f ca="1">IFERROR(__xludf.DUMMYFUNCTION("""COMPUTED_VALUE"""),"Ninguno (Población General)")</f>
        <v>Ninguno (Población General)</v>
      </c>
      <c r="CG587" s="30">
        <f ca="1">IFERROR(__xludf.DUMMYFUNCTION("""COMPUTED_VALUE"""),3)</f>
        <v>3</v>
      </c>
      <c r="CJ587" s="29"/>
      <c r="CM587" s="30" t="str">
        <f ca="1">IFERROR(__xludf.DUMMYFUNCTION("""COMPUTED_VALUE"""),"Guanajuato")</f>
        <v>Guanajuato</v>
      </c>
      <c r="CN587" s="32" t="e">
        <f ca="1"/>
        <v>#NAME?</v>
      </c>
      <c r="CO587" s="32" t="e">
        <f ca="1"/>
        <v>#NAME?</v>
      </c>
      <c r="CP587" s="32" t="e">
        <f ca="1"/>
        <v>#NAME?</v>
      </c>
      <c r="CQ587" s="32" t="e">
        <f ca="1"/>
        <v>#NAME?</v>
      </c>
      <c r="CR587" s="30" t="e">
        <f ca="1"/>
        <v>#NAME?</v>
      </c>
      <c r="CS587" s="30" t="str">
        <f ca="1">IFERROR(__xludf.DUMMYFUNCTION("""COMPUTED_VALUE"""),"Ninguno (Población General)")</f>
        <v>Ninguno (Población General)</v>
      </c>
    </row>
    <row r="588" spans="1:97" ht="13">
      <c r="A588" s="29" t="str">
        <f ca="1">IFERROR(__xludf.DUMMYFUNCTION("""COMPUTED_VALUE"""),"ACT-SCUT25950")</f>
        <v>ACT-SCUT25950</v>
      </c>
      <c r="B588" s="30" t="str">
        <f ca="1">IFERROR(__xludf.DUMMYFUNCTION("""COMPUTED_VALUE"""),"SC-261023-120739")</f>
        <v>SC-261023-120739</v>
      </c>
      <c r="C588" s="62">
        <f ca="1">IFERROR(__xludf.DUMMYFUNCTION("""COMPUTED_VALUE"""),46318.5053125)</f>
        <v>46318.505312499998</v>
      </c>
      <c r="D588" s="30">
        <f ca="1">IFERROR(__xludf.DUMMYFUNCTION("""COMPUTED_VALUE"""),92)</f>
        <v>92</v>
      </c>
      <c r="E588" s="30" t="str">
        <f ca="1">IFERROR(__xludf.DUMMYFUNCTION("""COMPUTED_VALUE"""),"PB3572")</f>
        <v>PB3572</v>
      </c>
      <c r="F58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8" s="30" t="str">
        <f ca="1">IFERROR(__xludf.DUMMYFUNCTION("""COMPUTED_VALUE"""),"SUBSECRETARÍA DE DESARROLLO Y PROMOCIÓN ARTÍSTICA Y CULTURAL")</f>
        <v>SUBSECRETARÍA DE DESARROLLO Y PROMOCIÓN ARTÍSTICA Y CULTURAL</v>
      </c>
      <c r="I588" s="34" t="str">
        <f ca="1">IFERROR(__xludf.DUMMYFUNCTION("""COMPUTED_VALUE"""),"DIRECCIÓN GENERAL DE MUSEOS, ARTES VISUALES Y EXPOSICIONES")</f>
        <v>DIRECCIÓN GENERAL DE MUSEOS, ARTES VISUALES Y EXPOSICIONES</v>
      </c>
      <c r="J588" s="30" t="str">
        <f ca="1">IFERROR(__xludf.DUMMYFUNCTION("""COMPUTED_VALUE"""),"Número de Actividades realizadas")</f>
        <v>Número de Actividades realizadas</v>
      </c>
      <c r="K588" s="30">
        <f ca="1">IFERROR(__xludf.DUMMYFUNCTION("""COMPUTED_VALUE"""),800)</f>
        <v>800</v>
      </c>
      <c r="L588" s="30" t="str">
        <f ca="1">IFERROR(__xludf.DUMMYFUNCTION("""COMPUTED_VALUE"""),"Artística")</f>
        <v>Artística</v>
      </c>
      <c r="M588" s="30" t="str">
        <f ca="1">IFERROR(__xludf.DUMMYFUNCTION("""COMPUTED_VALUE"""),"Mi sueño de una tarde dominical.")</f>
        <v>Mi sueño de una tarde dominical.</v>
      </c>
      <c r="N588" s="30" t="str">
        <f ca="1">IFERROR(__xludf.DUMMYFUNCTION("""COMPUTED_VALUE"""),"Taller relámpago y para toda la familia en donde las y los participantes crearán su reinterpretación personal del mural “Una tarde dominical en la Alameda Central”")</f>
        <v>Taller relámpago y para toda la familia en donde las y los participantes crearán su reinterpretación personal del mural “Una tarde dominical en la Alameda Central”</v>
      </c>
      <c r="O588" s="30" t="str">
        <f ca="1">IFERROR(__xludf.DUMMYFUNCTION("""COMPUTED_VALUE"""),"Única")</f>
        <v>Única</v>
      </c>
      <c r="P588" s="33">
        <f ca="1">IFERROR(__xludf.DUMMYFUNCTION("""COMPUTED_VALUE"""),46271)</f>
        <v>46271</v>
      </c>
      <c r="Q588" s="33">
        <f ca="1">IFERROR(__xludf.DUMMYFUNCTION("""COMPUTED_VALUE"""),46271)</f>
        <v>46271</v>
      </c>
      <c r="R588" s="30">
        <f ca="1">IFERROR(__xludf.DUMMYFUNCTION("""COMPUTED_VALUE"""),1)</f>
        <v>1</v>
      </c>
      <c r="S588" s="30" t="str">
        <f ca="1">IFERROR(__xludf.DUMMYFUNCTION("""COMPUTED_VALUE"""),"Cultura comunitaria")</f>
        <v>Cultura comunitaria</v>
      </c>
      <c r="T588" s="30" t="str">
        <f ca="1">IFERROR(__xludf.DUMMYFUNCTION("""COMPUTED_VALUE"""),"Formación comunitaria")</f>
        <v>Formación comunitaria</v>
      </c>
      <c r="U588" s="30" t="str">
        <f ca="1">IFERROR(__xludf.DUMMYFUNCTION("""COMPUTED_VALUE"""),"Taller")</f>
        <v>Taller</v>
      </c>
      <c r="V588" s="30" t="str">
        <f ca="1">IFERROR(__xludf.DUMMYFUNCTION("""COMPUTED_VALUE"""),"Ninguna")</f>
        <v>Ninguna</v>
      </c>
      <c r="W588" s="30" t="str">
        <f ca="1">IFERROR(__xludf.DUMMYFUNCTION("""COMPUTED_VALUE"""),"Presencial")</f>
        <v>Presencial</v>
      </c>
      <c r="X588" s="30" t="str">
        <f ca="1">IFERROR(__xludf.DUMMYFUNCTION("""COMPUTED_VALUE"""),"Espacio a Cargo de la Secretaría")</f>
        <v>Espacio a Cargo de la Secretaría</v>
      </c>
      <c r="Y588" s="30" t="str">
        <f ca="1">IFERROR(__xludf.DUMMYFUNCTION("""COMPUTED_VALUE"""),"Museo Casa Diego Rivera")</f>
        <v>Museo Casa Diego Rivera</v>
      </c>
      <c r="Z588" s="30"/>
      <c r="AA588" s="30"/>
      <c r="AB588" s="30" t="b">
        <f ca="1">IFERROR(__xludf.DUMMYFUNCTION("""COMPUTED_VALUE"""),FALSE)</f>
        <v>0</v>
      </c>
      <c r="AC588" s="30"/>
      <c r="AD588" s="30" t="b">
        <f ca="1">IFERROR(__xludf.DUMMYFUNCTION("""COMPUTED_VALUE"""),FALSE)</f>
        <v>0</v>
      </c>
      <c r="AE588" s="30"/>
      <c r="AF588" s="30" t="b">
        <f ca="1">IFERROR(__xludf.DUMMYFUNCTION("""COMPUTED_VALUE"""),FALSE)</f>
        <v>0</v>
      </c>
      <c r="AG588" s="30"/>
      <c r="AH588" s="30" t="str">
        <f ca="1">IFERROR(__xludf.DUMMYFUNCTION("""COMPUTED_VALUE"""),"Sin costo")</f>
        <v>Sin costo</v>
      </c>
      <c r="AI588" s="30"/>
      <c r="AJ588" s="30"/>
      <c r="AK588" s="30"/>
      <c r="AL588" s="30" t="str">
        <f ca="1">IFERROR(__xludf.DUMMYFUNCTION("""COMPUTED_VALUE"""),"ccardonav@guanajuato.gob.mx")</f>
        <v>ccardonav@guanajuato.gob.mx</v>
      </c>
      <c r="AM588" s="30" t="str">
        <f ca="1">IFERROR(__xludf.DUMMYFUNCTION("""COMPUTED_VALUE"""),"Arraigo y empoderamiento cultural de comunidades.")</f>
        <v>Arraigo y empoderamiento cultural de comunidades.</v>
      </c>
      <c r="AN588" s="30" t="str">
        <f ca="1">IFERROR(__xludf.DUMMYFUNCTION("""COMPUTED_VALUE"""),"1 Tranquilidad")</f>
        <v>1 Tranquilidad</v>
      </c>
      <c r="AO588" s="30" t="str">
        <f ca="1">IFERROR(__xludf.DUMMYFUNCTION("""COMPUTED_VALUE"""),"1.2 Fortalecer prevención del delito")</f>
        <v>1.2 Fortalecer prevención del delito</v>
      </c>
      <c r="AP588" s="30" t="str">
        <f ca="1">IFERROR(__xludf.DUMMYFUNCTION("""COMPUTED_VALUE"""),"1.2.2 Fortalecimiento del tejido social")</f>
        <v>1.2.2 Fortalecimiento del tejido social</v>
      </c>
      <c r="AQ588" s="30" t="str">
        <f ca="1">IFERROR(__xludf.DUMMYFUNCTION("""COMPUTED_VALUE"""),"1.2.3.4 Promover una cultura de paz desde las expresiones artísticas y culturales")</f>
        <v>1.2.3.4 Promover una cultura de paz desde las expresiones artísticas y culturales</v>
      </c>
      <c r="AR588" s="30" t="str">
        <f ca="1">IFERROR(__xludf.DUMMYFUNCTION("""COMPUTED_VALUE"""),"Cooperación")</f>
        <v>Cooperación</v>
      </c>
      <c r="AS588" s="30"/>
      <c r="AT588" s="30" t="str">
        <f ca="1">IFERROR(__xludf.DUMMYFUNCTION("""COMPUTED_VALUE"""),"Fortalecimiento de la participación ciudadana y la mediación cultural")</f>
        <v>Fortalecimiento de la participación ciudadana y la mediación cultural</v>
      </c>
      <c r="AU588" s="30" t="str">
        <f ca="1">IFERROR(__xludf.DUMMYFUNCTION("""COMPUTED_VALUE"""),"Impulso a la ampliación de la oferta cultural en los territorios.")</f>
        <v>Impulso a la ampliación de la oferta cultural en los territorios.</v>
      </c>
      <c r="AV58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8" s="30" t="str">
        <f ca="1">IFERROR(__xludf.DUMMYFUNCTION("""COMPUTED_VALUE"""),"Incrementar en 25% la oferta cultural realizada en los municipios.")</f>
        <v>Incrementar en 25% la oferta cultural realizada en los municipios.</v>
      </c>
      <c r="AX588" s="30" t="str">
        <f ca="1">IFERROR(__xludf.DUMMYFUNCTION("""COMPUTED_VALUE"""),"Taller")</f>
        <v>Taller</v>
      </c>
      <c r="AY588" s="30" t="str">
        <f ca="1">IFERROR(__xludf.DUMMYFUNCTION("""COMPUTED_VALUE"""),"Formación")</f>
        <v>Formación</v>
      </c>
      <c r="AZ588" s="30" t="str">
        <f ca="1">IFERROR(__xludf.DUMMYFUNCTION("""COMPUTED_VALUE"""),"Formación")</f>
        <v>Formación</v>
      </c>
      <c r="BA588" s="30"/>
      <c r="BB588" s="30"/>
      <c r="BC588" s="30">
        <f ca="1">IFERROR(__xludf.DUMMYFUNCTION("""COMPUTED_VALUE"""),0)</f>
        <v>0</v>
      </c>
      <c r="BD588" s="30"/>
      <c r="BE588" s="30"/>
      <c r="BF588" s="30" t="b">
        <f ca="1">IFERROR(__xludf.DUMMYFUNCTION("""COMPUTED_VALUE"""),FALSE)</f>
        <v>0</v>
      </c>
      <c r="BG588" s="30"/>
      <c r="BH588" s="30"/>
      <c r="BI588" s="30"/>
      <c r="BJ588" s="30"/>
      <c r="BK588" s="30"/>
      <c r="BL588" s="30"/>
      <c r="BM588" s="30" t="str">
        <f ca="1">IFERROR(__xludf.DUMMYFUNCTION("""COMPUTED_VALUE"""),"No")</f>
        <v>No</v>
      </c>
      <c r="BN588" s="30"/>
      <c r="BO588" s="30" t="str">
        <f ca="1">IFERROR(__xludf.DUMMYFUNCTION("""COMPUTED_VALUE"""),"7d9ae033")</f>
        <v>7d9ae033</v>
      </c>
      <c r="BP588" s="29" t="str">
        <f ca="1">IFERROR(__xludf.DUMMYFUNCTION("""COMPUTED_VALUE"""),"Guanajuato")</f>
        <v>Guanajuato</v>
      </c>
      <c r="BQ588" s="30" t="str">
        <f ca="1">IFERROR(__xludf.DUMMYFUNCTION("""COMPUTED_VALUE"""),"Urbano")</f>
        <v>Urbano</v>
      </c>
      <c r="BR588" s="30"/>
      <c r="BS588" s="30"/>
      <c r="BT588" s="30"/>
      <c r="BU588" s="30" t="str">
        <f ca="1">IFERROR(__xludf.DUMMYFUNCTION("""COMPUTED_VALUE"""),"No")</f>
        <v>No</v>
      </c>
      <c r="BV588" s="30" t="str">
        <f ca="1">IFERROR(__xludf.DUMMYFUNCTION("""COMPUTED_VALUE"""),"No")</f>
        <v>No</v>
      </c>
      <c r="BW588" s="30">
        <f ca="1">IFERROR(__xludf.DUMMYFUNCTION("""COMPUTED_VALUE"""),2)</f>
        <v>2</v>
      </c>
      <c r="BX588" s="30">
        <f ca="1">IFERROR(__xludf.DUMMYFUNCTION("""COMPUTED_VALUE"""),2)</f>
        <v>2</v>
      </c>
      <c r="BY588" s="30">
        <f ca="1">IFERROR(__xludf.DUMMYFUNCTION("""COMPUTED_VALUE"""),0)</f>
        <v>0</v>
      </c>
      <c r="BZ588" s="30"/>
      <c r="CA588" s="30" t="str">
        <f ca="1">IFERROR(__xludf.DUMMYFUNCTION("""COMPUTED_VALUE"""),"No")</f>
        <v>No</v>
      </c>
      <c r="CB588" s="30" t="str">
        <f ca="1">IFERROR(__xludf.DUMMYFUNCTION("""COMPUTED_VALUE"""),"No")</f>
        <v>No</v>
      </c>
      <c r="CC588" s="30" t="str">
        <f ca="1">IFERROR(__xludf.DUMMYFUNCTION("""COMPUTED_VALUE"""),"69d32bda")</f>
        <v>69d32bda</v>
      </c>
      <c r="CD588" s="29" t="str">
        <f ca="1">IFERROR(__xludf.DUMMYFUNCTION("""COMPUTED_VALUE"""),"Adultos (30 a 59 años)")</f>
        <v>Adultos (30 a 59 años)</v>
      </c>
      <c r="CE588" s="30" t="str">
        <f ca="1">IFERROR(__xludf.DUMMYFUNCTION("""COMPUTED_VALUE"""),"No se cuenta con el dato")</f>
        <v>No se cuenta con el dato</v>
      </c>
      <c r="CF588" s="30" t="str">
        <f ca="1">IFERROR(__xludf.DUMMYFUNCTION("""COMPUTED_VALUE"""),"Ninguno (Población General)")</f>
        <v>Ninguno (Población General)</v>
      </c>
      <c r="CG588" s="30">
        <f ca="1">IFERROR(__xludf.DUMMYFUNCTION("""COMPUTED_VALUE"""),12)</f>
        <v>12</v>
      </c>
      <c r="CJ588" s="29"/>
      <c r="CM588" s="30" t="str">
        <f ca="1">IFERROR(__xludf.DUMMYFUNCTION("""COMPUTED_VALUE"""),"Guanajuato")</f>
        <v>Guanajuato</v>
      </c>
      <c r="CN588" s="32" t="e">
        <f ca="1"/>
        <v>#NAME?</v>
      </c>
      <c r="CO588" s="32" t="e">
        <f ca="1"/>
        <v>#NAME?</v>
      </c>
      <c r="CP588" s="32" t="e">
        <f ca="1"/>
        <v>#NAME?</v>
      </c>
      <c r="CQ588" s="32" t="e">
        <f ca="1"/>
        <v>#NAME?</v>
      </c>
      <c r="CR588" s="30" t="e">
        <f ca="1"/>
        <v>#NAME?</v>
      </c>
      <c r="CS588" s="30" t="str">
        <f ca="1">IFERROR(__xludf.DUMMYFUNCTION("""COMPUTED_VALUE"""),"Ninguno (Población General)")</f>
        <v>Ninguno (Población General)</v>
      </c>
    </row>
    <row r="589" spans="1:97" ht="13">
      <c r="A589" s="29" t="str">
        <f ca="1">IFERROR(__xludf.DUMMYFUNCTION("""COMPUTED_VALUE"""),"ACT-SCDD95654")</f>
        <v>ACT-SCDD95654</v>
      </c>
      <c r="B589" s="30" t="str">
        <f ca="1">IFERROR(__xludf.DUMMYFUNCTION("""COMPUTED_VALUE"""),"SC-261023-121453")</f>
        <v>SC-261023-121453</v>
      </c>
      <c r="C589" s="62">
        <f ca="1">IFERROR(__xludf.DUMMYFUNCTION("""COMPUTED_VALUE"""),46318.5103356481)</f>
        <v>46318.510335648098</v>
      </c>
      <c r="D589" s="30">
        <f ca="1">IFERROR(__xludf.DUMMYFUNCTION("""COMPUTED_VALUE"""),92)</f>
        <v>92</v>
      </c>
      <c r="E589" s="30" t="str">
        <f ca="1">IFERROR(__xludf.DUMMYFUNCTION("""COMPUTED_VALUE"""),"PB3572")</f>
        <v>PB3572</v>
      </c>
      <c r="F58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8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89" s="30" t="str">
        <f ca="1">IFERROR(__xludf.DUMMYFUNCTION("""COMPUTED_VALUE"""),"SUBSECRETARÍA DE DESARROLLO Y PROMOCIÓN ARTÍSTICA Y CULTURAL")</f>
        <v>SUBSECRETARÍA DE DESARROLLO Y PROMOCIÓN ARTÍSTICA Y CULTURAL</v>
      </c>
      <c r="I589" s="34" t="str">
        <f ca="1">IFERROR(__xludf.DUMMYFUNCTION("""COMPUTED_VALUE"""),"DIRECCIÓN GENERAL DE MUSEOS, ARTES VISUALES Y EXPOSICIONES")</f>
        <v>DIRECCIÓN GENERAL DE MUSEOS, ARTES VISUALES Y EXPOSICIONES</v>
      </c>
      <c r="J589" s="30" t="str">
        <f ca="1">IFERROR(__xludf.DUMMYFUNCTION("""COMPUTED_VALUE"""),"Número de Actividades realizadas")</f>
        <v>Número de Actividades realizadas</v>
      </c>
      <c r="K589" s="30">
        <f ca="1">IFERROR(__xludf.DUMMYFUNCTION("""COMPUTED_VALUE"""),800)</f>
        <v>800</v>
      </c>
      <c r="L589" s="30" t="str">
        <f ca="1">IFERROR(__xludf.DUMMYFUNCTION("""COMPUTED_VALUE"""),"Artística")</f>
        <v>Artística</v>
      </c>
      <c r="M589" s="30" t="str">
        <f ca="1">IFERROR(__xludf.DUMMYFUNCTION("""COMPUTED_VALUE"""),"El Pueblo en cartón: taller de muñecas")</f>
        <v>El Pueblo en cartón: taller de muñecas</v>
      </c>
      <c r="N589" s="30" t="str">
        <f ca="1">IFERROR(__xludf.DUMMYFUNCTION("""COMPUTED_VALUE"""),"Taller de cartonería")</f>
        <v>Taller de cartonería</v>
      </c>
      <c r="O589" s="30" t="str">
        <f ca="1">IFERROR(__xludf.DUMMYFUNCTION("""COMPUTED_VALUE"""),"Única")</f>
        <v>Única</v>
      </c>
      <c r="P589" s="33">
        <f ca="1">IFERROR(__xludf.DUMMYFUNCTION("""COMPUTED_VALUE"""),46277)</f>
        <v>46277</v>
      </c>
      <c r="Q589" s="33">
        <f ca="1">IFERROR(__xludf.DUMMYFUNCTION("""COMPUTED_VALUE"""),46277)</f>
        <v>46277</v>
      </c>
      <c r="R589" s="30">
        <f ca="1">IFERROR(__xludf.DUMMYFUNCTION("""COMPUTED_VALUE"""),1)</f>
        <v>1</v>
      </c>
      <c r="S589" s="30" t="str">
        <f ca="1">IFERROR(__xludf.DUMMYFUNCTION("""COMPUTED_VALUE"""),"Cultura comunitaria")</f>
        <v>Cultura comunitaria</v>
      </c>
      <c r="T589" s="30" t="str">
        <f ca="1">IFERROR(__xludf.DUMMYFUNCTION("""COMPUTED_VALUE"""),"Formación comunitaria")</f>
        <v>Formación comunitaria</v>
      </c>
      <c r="U589" s="30" t="str">
        <f ca="1">IFERROR(__xludf.DUMMYFUNCTION("""COMPUTED_VALUE"""),"Taller")</f>
        <v>Taller</v>
      </c>
      <c r="V589" s="30" t="str">
        <f ca="1">IFERROR(__xludf.DUMMYFUNCTION("""COMPUTED_VALUE"""),"Ninguna")</f>
        <v>Ninguna</v>
      </c>
      <c r="W589" s="30" t="str">
        <f ca="1">IFERROR(__xludf.DUMMYFUNCTION("""COMPUTED_VALUE"""),"Presencial")</f>
        <v>Presencial</v>
      </c>
      <c r="X589" s="30" t="str">
        <f ca="1">IFERROR(__xludf.DUMMYFUNCTION("""COMPUTED_VALUE"""),"Espacio a Cargo de la Secretaría")</f>
        <v>Espacio a Cargo de la Secretaría</v>
      </c>
      <c r="Y589" s="30" t="str">
        <f ca="1">IFERROR(__xludf.DUMMYFUNCTION("""COMPUTED_VALUE"""),"Museo del Pueblo de Guanajuato")</f>
        <v>Museo del Pueblo de Guanajuato</v>
      </c>
      <c r="Z589" s="30"/>
      <c r="AA589" s="30"/>
      <c r="AB589" s="30" t="b">
        <f ca="1">IFERROR(__xludf.DUMMYFUNCTION("""COMPUTED_VALUE"""),FALSE)</f>
        <v>0</v>
      </c>
      <c r="AC589" s="30"/>
      <c r="AD589" s="30" t="b">
        <f ca="1">IFERROR(__xludf.DUMMYFUNCTION("""COMPUTED_VALUE"""),FALSE)</f>
        <v>0</v>
      </c>
      <c r="AE589" s="30"/>
      <c r="AF589" s="30" t="b">
        <f ca="1">IFERROR(__xludf.DUMMYFUNCTION("""COMPUTED_VALUE"""),FALSE)</f>
        <v>0</v>
      </c>
      <c r="AG589" s="30"/>
      <c r="AH589" s="30" t="str">
        <f ca="1">IFERROR(__xludf.DUMMYFUNCTION("""COMPUTED_VALUE"""),"Sin costo")</f>
        <v>Sin costo</v>
      </c>
      <c r="AI589" s="30"/>
      <c r="AJ589" s="30"/>
      <c r="AK589" s="30"/>
      <c r="AL589" s="30" t="str">
        <f ca="1">IFERROR(__xludf.DUMMYFUNCTION("""COMPUTED_VALUE"""),"ccardonav@guanajuato.gob.mx")</f>
        <v>ccardonav@guanajuato.gob.mx</v>
      </c>
      <c r="AM589" s="30" t="str">
        <f ca="1">IFERROR(__xludf.DUMMYFUNCTION("""COMPUTED_VALUE"""),"Arraigo y empoderamiento cultural de comunidades.")</f>
        <v>Arraigo y empoderamiento cultural de comunidades.</v>
      </c>
      <c r="AN589" s="30" t="str">
        <f ca="1">IFERROR(__xludf.DUMMYFUNCTION("""COMPUTED_VALUE"""),"1 Tranquilidad")</f>
        <v>1 Tranquilidad</v>
      </c>
      <c r="AO589" s="30" t="str">
        <f ca="1">IFERROR(__xludf.DUMMYFUNCTION("""COMPUTED_VALUE"""),"1.2 Fortalecer prevención del delito")</f>
        <v>1.2 Fortalecer prevención del delito</v>
      </c>
      <c r="AP589" s="30" t="str">
        <f ca="1">IFERROR(__xludf.DUMMYFUNCTION("""COMPUTED_VALUE"""),"1.2.2 Fortalecimiento del tejido social")</f>
        <v>1.2.2 Fortalecimiento del tejido social</v>
      </c>
      <c r="AQ589" s="30" t="str">
        <f ca="1">IFERROR(__xludf.DUMMYFUNCTION("""COMPUTED_VALUE"""),"1.2.3.4 Promover una cultura de paz desde las expresiones artísticas y culturales")</f>
        <v>1.2.3.4 Promover una cultura de paz desde las expresiones artísticas y culturales</v>
      </c>
      <c r="AR589" s="30" t="str">
        <f ca="1">IFERROR(__xludf.DUMMYFUNCTION("""COMPUTED_VALUE"""),"Cooperación")</f>
        <v>Cooperación</v>
      </c>
      <c r="AS589" s="30"/>
      <c r="AT589" s="30" t="str">
        <f ca="1">IFERROR(__xludf.DUMMYFUNCTION("""COMPUTED_VALUE"""),"Fortalecimiento de la participación ciudadana y la mediación cultural")</f>
        <v>Fortalecimiento de la participación ciudadana y la mediación cultural</v>
      </c>
      <c r="AU589" s="30" t="str">
        <f ca="1">IFERROR(__xludf.DUMMYFUNCTION("""COMPUTED_VALUE"""),"Impulso a la ampliación de la oferta cultural en los territorios.")</f>
        <v>Impulso a la ampliación de la oferta cultural en los territorios.</v>
      </c>
      <c r="AV58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89" s="30" t="str">
        <f ca="1">IFERROR(__xludf.DUMMYFUNCTION("""COMPUTED_VALUE"""),"Incrementar en 25% la oferta cultural realizada en los municipios.")</f>
        <v>Incrementar en 25% la oferta cultural realizada en los municipios.</v>
      </c>
      <c r="AX589" s="30" t="str">
        <f ca="1">IFERROR(__xludf.DUMMYFUNCTION("""COMPUTED_VALUE"""),"Taller")</f>
        <v>Taller</v>
      </c>
      <c r="AY589" s="30" t="str">
        <f ca="1">IFERROR(__xludf.DUMMYFUNCTION("""COMPUTED_VALUE"""),"Formación")</f>
        <v>Formación</v>
      </c>
      <c r="AZ589" s="30" t="str">
        <f ca="1">IFERROR(__xludf.DUMMYFUNCTION("""COMPUTED_VALUE"""),"Formación")</f>
        <v>Formación</v>
      </c>
      <c r="BA589" s="30"/>
      <c r="BB589" s="30"/>
      <c r="BC589" s="30">
        <f ca="1">IFERROR(__xludf.DUMMYFUNCTION("""COMPUTED_VALUE"""),0)</f>
        <v>0</v>
      </c>
      <c r="BD589" s="30"/>
      <c r="BE589" s="30"/>
      <c r="BF589" s="30" t="b">
        <f ca="1">IFERROR(__xludf.DUMMYFUNCTION("""COMPUTED_VALUE"""),FALSE)</f>
        <v>0</v>
      </c>
      <c r="BG589" s="30"/>
      <c r="BH589" s="30"/>
      <c r="BI589" s="30"/>
      <c r="BJ589" s="30"/>
      <c r="BK589" s="30"/>
      <c r="BL589" s="30"/>
      <c r="BM589" s="30" t="str">
        <f ca="1">IFERROR(__xludf.DUMMYFUNCTION("""COMPUTED_VALUE"""),"No")</f>
        <v>No</v>
      </c>
      <c r="BN589" s="30"/>
      <c r="BO589" s="30" t="str">
        <f ca="1">IFERROR(__xludf.DUMMYFUNCTION("""COMPUTED_VALUE"""),"3730dca2")</f>
        <v>3730dca2</v>
      </c>
      <c r="BP589" s="29" t="str">
        <f ca="1">IFERROR(__xludf.DUMMYFUNCTION("""COMPUTED_VALUE"""),"Guanajuato")</f>
        <v>Guanajuato</v>
      </c>
      <c r="BQ589" s="30" t="str">
        <f ca="1">IFERROR(__xludf.DUMMYFUNCTION("""COMPUTED_VALUE"""),"Urbano")</f>
        <v>Urbano</v>
      </c>
      <c r="BR589" s="30"/>
      <c r="BS589" s="30"/>
      <c r="BT589" s="30"/>
      <c r="BU589" s="30" t="str">
        <f ca="1">IFERROR(__xludf.DUMMYFUNCTION("""COMPUTED_VALUE"""),"No")</f>
        <v>No</v>
      </c>
      <c r="BV589" s="30" t="str">
        <f ca="1">IFERROR(__xludf.DUMMYFUNCTION("""COMPUTED_VALUE"""),"No")</f>
        <v>No</v>
      </c>
      <c r="BW589" s="30">
        <f ca="1">IFERROR(__xludf.DUMMYFUNCTION("""COMPUTED_VALUE"""),16)</f>
        <v>16</v>
      </c>
      <c r="BX589" s="30">
        <f ca="1">IFERROR(__xludf.DUMMYFUNCTION("""COMPUTED_VALUE"""),16)</f>
        <v>16</v>
      </c>
      <c r="BY589" s="30">
        <f ca="1">IFERROR(__xludf.DUMMYFUNCTION("""COMPUTED_VALUE"""),0)</f>
        <v>0</v>
      </c>
      <c r="BZ589" s="30"/>
      <c r="CA589" s="30" t="str">
        <f ca="1">IFERROR(__xludf.DUMMYFUNCTION("""COMPUTED_VALUE"""),"No")</f>
        <v>No</v>
      </c>
      <c r="CB589" s="30" t="str">
        <f ca="1">IFERROR(__xludf.DUMMYFUNCTION("""COMPUTED_VALUE"""),"No")</f>
        <v>No</v>
      </c>
      <c r="CC589" s="30" t="str">
        <f ca="1">IFERROR(__xludf.DUMMYFUNCTION("""COMPUTED_VALUE"""),"76f35ba9")</f>
        <v>76f35ba9</v>
      </c>
      <c r="CD589" s="29" t="str">
        <f ca="1">IFERROR(__xludf.DUMMYFUNCTION("""COMPUTED_VALUE"""),"Adolescentes (13 a 17 años)")</f>
        <v>Adolescentes (13 a 17 años)</v>
      </c>
      <c r="CE589" s="30" t="str">
        <f ca="1">IFERROR(__xludf.DUMMYFUNCTION("""COMPUTED_VALUE"""),"No se cuenta con el dato")</f>
        <v>No se cuenta con el dato</v>
      </c>
      <c r="CF589" s="30" t="str">
        <f ca="1">IFERROR(__xludf.DUMMYFUNCTION("""COMPUTED_VALUE"""),"Jóvenes en riesgo")</f>
        <v>Jóvenes en riesgo</v>
      </c>
      <c r="CG589" s="30">
        <f ca="1">IFERROR(__xludf.DUMMYFUNCTION("""COMPUTED_VALUE"""),12)</f>
        <v>12</v>
      </c>
      <c r="CJ589" s="29"/>
      <c r="CM589" s="30" t="str">
        <f ca="1">IFERROR(__xludf.DUMMYFUNCTION("""COMPUTED_VALUE"""),"Guanajuato")</f>
        <v>Guanajuato</v>
      </c>
      <c r="CN589" s="32" t="e">
        <f ca="1"/>
        <v>#NAME?</v>
      </c>
      <c r="CO589" s="32" t="e">
        <f ca="1"/>
        <v>#NAME?</v>
      </c>
      <c r="CP589" s="32" t="e">
        <f ca="1"/>
        <v>#NAME?</v>
      </c>
      <c r="CQ589" s="32" t="e">
        <f ca="1"/>
        <v>#NAME?</v>
      </c>
      <c r="CR589" s="30" t="e">
        <f ca="1"/>
        <v>#NAME?</v>
      </c>
      <c r="CS589" s="30" t="str">
        <f ca="1">IFERROR(__xludf.DUMMYFUNCTION("""COMPUTED_VALUE"""),"Ninguno (Población General)")</f>
        <v>Ninguno (Población General)</v>
      </c>
    </row>
    <row r="590" spans="1:97" ht="13">
      <c r="A590" s="29" t="str">
        <f ca="1">IFERROR(__xludf.DUMMYFUNCTION("""COMPUTED_VALUE"""),"ACT-SCFB83750")</f>
        <v>ACT-SCFB83750</v>
      </c>
      <c r="B590" s="30" t="str">
        <f ca="1">IFERROR(__xludf.DUMMYFUNCTION("""COMPUTED_VALUE"""),"SC-261023-122704")</f>
        <v>SC-261023-122704</v>
      </c>
      <c r="C590" s="62">
        <f ca="1">IFERROR(__xludf.DUMMYFUNCTION("""COMPUTED_VALUE"""),46318.5187962962)</f>
        <v>46318.518796296201</v>
      </c>
      <c r="D590" s="30">
        <f ca="1">IFERROR(__xludf.DUMMYFUNCTION("""COMPUTED_VALUE"""),92)</f>
        <v>92</v>
      </c>
      <c r="E590" s="30" t="str">
        <f ca="1">IFERROR(__xludf.DUMMYFUNCTION("""COMPUTED_VALUE"""),"PB3572")</f>
        <v>PB3572</v>
      </c>
      <c r="F59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0" s="30" t="str">
        <f ca="1">IFERROR(__xludf.DUMMYFUNCTION("""COMPUTED_VALUE"""),"SUBSECRETARÍA DE DESARROLLO Y PROMOCIÓN ARTÍSTICA Y CULTURAL")</f>
        <v>SUBSECRETARÍA DE DESARROLLO Y PROMOCIÓN ARTÍSTICA Y CULTURAL</v>
      </c>
      <c r="I590" s="34" t="str">
        <f ca="1">IFERROR(__xludf.DUMMYFUNCTION("""COMPUTED_VALUE"""),"DIRECCIÓN GENERAL DE MUSEOS, ARTES VISUALES Y EXPOSICIONES")</f>
        <v>DIRECCIÓN GENERAL DE MUSEOS, ARTES VISUALES Y EXPOSICIONES</v>
      </c>
      <c r="J590" s="30" t="str">
        <f ca="1">IFERROR(__xludf.DUMMYFUNCTION("""COMPUTED_VALUE"""),"Número de Actividades realizadas")</f>
        <v>Número de Actividades realizadas</v>
      </c>
      <c r="K590" s="30">
        <f ca="1">IFERROR(__xludf.DUMMYFUNCTION("""COMPUTED_VALUE"""),800)</f>
        <v>800</v>
      </c>
      <c r="L590" s="30" t="str">
        <f ca="1">IFERROR(__xludf.DUMMYFUNCTION("""COMPUTED_VALUE"""),"Artística")</f>
        <v>Artística</v>
      </c>
      <c r="M590" s="30" t="str">
        <f ca="1">IFERROR(__xludf.DUMMYFUNCTION("""COMPUTED_VALUE"""),"Danzón, patrimonio vivo, clases de baile.")</f>
        <v>Danzón, patrimonio vivo, clases de baile.</v>
      </c>
      <c r="N590" s="30" t="str">
        <f ca="1">IFERROR(__xludf.DUMMYFUNCTION("""COMPUTED_VALUE"""),"Sesiones guiadas de introducción al Danzón")</f>
        <v>Sesiones guiadas de introducción al Danzón</v>
      </c>
      <c r="O590" s="30" t="str">
        <f ca="1">IFERROR(__xludf.DUMMYFUNCTION("""COMPUTED_VALUE"""),"Única")</f>
        <v>Única</v>
      </c>
      <c r="P590" s="33">
        <f ca="1">IFERROR(__xludf.DUMMYFUNCTION("""COMPUTED_VALUE"""),46277)</f>
        <v>46277</v>
      </c>
      <c r="Q590" s="33">
        <f ca="1">IFERROR(__xludf.DUMMYFUNCTION("""COMPUTED_VALUE"""),46277)</f>
        <v>46277</v>
      </c>
      <c r="R590" s="30">
        <f ca="1">IFERROR(__xludf.DUMMYFUNCTION("""COMPUTED_VALUE"""),1)</f>
        <v>1</v>
      </c>
      <c r="S590" s="30" t="str">
        <f ca="1">IFERROR(__xludf.DUMMYFUNCTION("""COMPUTED_VALUE"""),"Cultura comunitaria")</f>
        <v>Cultura comunitaria</v>
      </c>
      <c r="T590" s="30" t="str">
        <f ca="1">IFERROR(__xludf.DUMMYFUNCTION("""COMPUTED_VALUE"""),"Formación comunitaria")</f>
        <v>Formación comunitaria</v>
      </c>
      <c r="U590" s="30" t="str">
        <f ca="1">IFERROR(__xludf.DUMMYFUNCTION("""COMPUTED_VALUE"""),"Taller")</f>
        <v>Taller</v>
      </c>
      <c r="V590" s="30" t="str">
        <f ca="1">IFERROR(__xludf.DUMMYFUNCTION("""COMPUTED_VALUE"""),"Ninguna")</f>
        <v>Ninguna</v>
      </c>
      <c r="W590" s="30" t="str">
        <f ca="1">IFERROR(__xludf.DUMMYFUNCTION("""COMPUTED_VALUE"""),"Presencial")</f>
        <v>Presencial</v>
      </c>
      <c r="X590" s="30" t="str">
        <f ca="1">IFERROR(__xludf.DUMMYFUNCTION("""COMPUTED_VALUE"""),"Espacio a Cargo de la Secretaría")</f>
        <v>Espacio a Cargo de la Secretaría</v>
      </c>
      <c r="Y590" s="30" t="str">
        <f ca="1">IFERROR(__xludf.DUMMYFUNCTION("""COMPUTED_VALUE"""),"Museo Palacio de los Poderes")</f>
        <v>Museo Palacio de los Poderes</v>
      </c>
      <c r="Z590" s="30"/>
      <c r="AA590" s="30"/>
      <c r="AB590" s="30" t="b">
        <f ca="1">IFERROR(__xludf.DUMMYFUNCTION("""COMPUTED_VALUE"""),FALSE)</f>
        <v>0</v>
      </c>
      <c r="AC590" s="30"/>
      <c r="AD590" s="30" t="b">
        <f ca="1">IFERROR(__xludf.DUMMYFUNCTION("""COMPUTED_VALUE"""),FALSE)</f>
        <v>0</v>
      </c>
      <c r="AE590" s="30"/>
      <c r="AF590" s="30" t="b">
        <f ca="1">IFERROR(__xludf.DUMMYFUNCTION("""COMPUTED_VALUE"""),FALSE)</f>
        <v>0</v>
      </c>
      <c r="AG590" s="30"/>
      <c r="AH590" s="30" t="str">
        <f ca="1">IFERROR(__xludf.DUMMYFUNCTION("""COMPUTED_VALUE"""),"Sin costo")</f>
        <v>Sin costo</v>
      </c>
      <c r="AI590" s="30"/>
      <c r="AJ590" s="30"/>
      <c r="AK590" s="30"/>
      <c r="AL590" s="30" t="str">
        <f ca="1">IFERROR(__xludf.DUMMYFUNCTION("""COMPUTED_VALUE"""),"ccardonav@guanajuato.gob.mx")</f>
        <v>ccardonav@guanajuato.gob.mx</v>
      </c>
      <c r="AM590" s="30" t="str">
        <f ca="1">IFERROR(__xludf.DUMMYFUNCTION("""COMPUTED_VALUE"""),"Arraigo y empoderamiento cultural de comunidades.")</f>
        <v>Arraigo y empoderamiento cultural de comunidades.</v>
      </c>
      <c r="AN590" s="30" t="str">
        <f ca="1">IFERROR(__xludf.DUMMYFUNCTION("""COMPUTED_VALUE"""),"1 Tranquilidad")</f>
        <v>1 Tranquilidad</v>
      </c>
      <c r="AO590" s="30" t="str">
        <f ca="1">IFERROR(__xludf.DUMMYFUNCTION("""COMPUTED_VALUE"""),"1.2 Fortalecer prevención del delito")</f>
        <v>1.2 Fortalecer prevención del delito</v>
      </c>
      <c r="AP590" s="30" t="str">
        <f ca="1">IFERROR(__xludf.DUMMYFUNCTION("""COMPUTED_VALUE"""),"1.2.2 Fortalecimiento del tejido social")</f>
        <v>1.2.2 Fortalecimiento del tejido social</v>
      </c>
      <c r="AQ590" s="30" t="str">
        <f ca="1">IFERROR(__xludf.DUMMYFUNCTION("""COMPUTED_VALUE"""),"1.2.3.4 Promover una cultura de paz desde las expresiones artísticas y culturales")</f>
        <v>1.2.3.4 Promover una cultura de paz desde las expresiones artísticas y culturales</v>
      </c>
      <c r="AR590" s="30" t="str">
        <f ca="1">IFERROR(__xludf.DUMMYFUNCTION("""COMPUTED_VALUE"""),"Cooperación")</f>
        <v>Cooperación</v>
      </c>
      <c r="AS590" s="30"/>
      <c r="AT590" s="30" t="str">
        <f ca="1">IFERROR(__xludf.DUMMYFUNCTION("""COMPUTED_VALUE"""),"Fortalecimiento de la participación ciudadana y la mediación cultural")</f>
        <v>Fortalecimiento de la participación ciudadana y la mediación cultural</v>
      </c>
      <c r="AU590" s="30" t="str">
        <f ca="1">IFERROR(__xludf.DUMMYFUNCTION("""COMPUTED_VALUE"""),"Impulso a la ampliación de la oferta cultural en los territorios.")</f>
        <v>Impulso a la ampliación de la oferta cultural en los territorios.</v>
      </c>
      <c r="AV59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0" s="30" t="str">
        <f ca="1">IFERROR(__xludf.DUMMYFUNCTION("""COMPUTED_VALUE"""),"Incrementar en 25% la oferta cultural realizada en los municipios.")</f>
        <v>Incrementar en 25% la oferta cultural realizada en los municipios.</v>
      </c>
      <c r="AX590" s="30" t="str">
        <f ca="1">IFERROR(__xludf.DUMMYFUNCTION("""COMPUTED_VALUE"""),"Taller")</f>
        <v>Taller</v>
      </c>
      <c r="AY590" s="30" t="str">
        <f ca="1">IFERROR(__xludf.DUMMYFUNCTION("""COMPUTED_VALUE"""),"Formación")</f>
        <v>Formación</v>
      </c>
      <c r="AZ590" s="30" t="str">
        <f ca="1">IFERROR(__xludf.DUMMYFUNCTION("""COMPUTED_VALUE"""),"Formación")</f>
        <v>Formación</v>
      </c>
      <c r="BA590" s="30"/>
      <c r="BB590" s="30"/>
      <c r="BC590" s="30">
        <f ca="1">IFERROR(__xludf.DUMMYFUNCTION("""COMPUTED_VALUE"""),0)</f>
        <v>0</v>
      </c>
      <c r="BD590" s="30"/>
      <c r="BE590" s="30"/>
      <c r="BF590" s="30" t="b">
        <f ca="1">IFERROR(__xludf.DUMMYFUNCTION("""COMPUTED_VALUE"""),FALSE)</f>
        <v>0</v>
      </c>
      <c r="BG590" s="30"/>
      <c r="BH590" s="30"/>
      <c r="BI590" s="30"/>
      <c r="BJ590" s="30"/>
      <c r="BK590" s="30"/>
      <c r="BL590" s="30"/>
      <c r="BM590" s="30" t="str">
        <f ca="1">IFERROR(__xludf.DUMMYFUNCTION("""COMPUTED_VALUE"""),"No")</f>
        <v>No</v>
      </c>
      <c r="BN590" s="30"/>
      <c r="BP590" s="29"/>
      <c r="CC590" s="30" t="str">
        <f ca="1">IFERROR(__xludf.DUMMYFUNCTION("""COMPUTED_VALUE"""),"49554336")</f>
        <v>49554336</v>
      </c>
      <c r="CD590" s="29" t="str">
        <f ca="1">IFERROR(__xludf.DUMMYFUNCTION("""COMPUTED_VALUE"""),"Jóvenes (18 a 29 años)")</f>
        <v>Jóvenes (18 a 29 años)</v>
      </c>
      <c r="CE590" s="30" t="str">
        <f ca="1">IFERROR(__xludf.DUMMYFUNCTION("""COMPUTED_VALUE"""),"No se cuenta con el dato")</f>
        <v>No se cuenta con el dato</v>
      </c>
      <c r="CF590" s="30" t="str">
        <f ca="1">IFERROR(__xludf.DUMMYFUNCTION("""COMPUTED_VALUE"""),"Ninguno (Población General)")</f>
        <v>Ninguno (Población General)</v>
      </c>
      <c r="CG590" s="30">
        <f ca="1">IFERROR(__xludf.DUMMYFUNCTION("""COMPUTED_VALUE"""),23)</f>
        <v>23</v>
      </c>
      <c r="CJ590" s="29"/>
      <c r="CM590" s="30" t="str">
        <f ca="1">IFERROR(__xludf.DUMMYFUNCTION("""COMPUTED_VALUE"""),"Guanajuato")</f>
        <v>Guanajuato</v>
      </c>
      <c r="CN590" s="32" t="e">
        <f ca="1"/>
        <v>#NAME?</v>
      </c>
      <c r="CO590" s="32" t="e">
        <f ca="1"/>
        <v>#NAME?</v>
      </c>
      <c r="CP590" s="32" t="e">
        <f ca="1"/>
        <v>#NAME?</v>
      </c>
      <c r="CQ590" s="32" t="e">
        <f ca="1"/>
        <v>#NAME?</v>
      </c>
      <c r="CR590" s="30" t="e">
        <f ca="1"/>
        <v>#NAME?</v>
      </c>
      <c r="CS590" s="30" t="str">
        <f ca="1">IFERROR(__xludf.DUMMYFUNCTION("""COMPUTED_VALUE"""),"Ninguno (Población General)")</f>
        <v>Ninguno (Población General)</v>
      </c>
    </row>
    <row r="591" spans="1:97" ht="13">
      <c r="A591" s="29" t="str">
        <f ca="1">IFERROR(__xludf.DUMMYFUNCTION("""COMPUTED_VALUE"""),"ACT-SCCW50829")</f>
        <v>ACT-SCCW50829</v>
      </c>
      <c r="B591" s="30" t="str">
        <f ca="1">IFERROR(__xludf.DUMMYFUNCTION("""COMPUTED_VALUE"""),"SC-261023-123943")</f>
        <v>SC-261023-123943</v>
      </c>
      <c r="C591" s="62">
        <f ca="1">IFERROR(__xludf.DUMMYFUNCTION("""COMPUTED_VALUE"""),46318.5275810185)</f>
        <v>46318.527581018498</v>
      </c>
      <c r="D591" s="30">
        <f ca="1">IFERROR(__xludf.DUMMYFUNCTION("""COMPUTED_VALUE"""),92)</f>
        <v>92</v>
      </c>
      <c r="E591" s="30" t="str">
        <f ca="1">IFERROR(__xludf.DUMMYFUNCTION("""COMPUTED_VALUE"""),"PB3572")</f>
        <v>PB3572</v>
      </c>
      <c r="F591"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1"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1" s="30" t="str">
        <f ca="1">IFERROR(__xludf.DUMMYFUNCTION("""COMPUTED_VALUE"""),"SUBSECRETARÍA DE DESARROLLO Y PROMOCIÓN ARTÍSTICA Y CULTURAL")</f>
        <v>SUBSECRETARÍA DE DESARROLLO Y PROMOCIÓN ARTÍSTICA Y CULTURAL</v>
      </c>
      <c r="I591" s="34" t="str">
        <f ca="1">IFERROR(__xludf.DUMMYFUNCTION("""COMPUTED_VALUE"""),"DIRECCIÓN GENERAL DE MUSEOS, ARTES VISUALES Y EXPOSICIONES")</f>
        <v>DIRECCIÓN GENERAL DE MUSEOS, ARTES VISUALES Y EXPOSICIONES</v>
      </c>
      <c r="J591" s="30" t="str">
        <f ca="1">IFERROR(__xludf.DUMMYFUNCTION("""COMPUTED_VALUE"""),"Número de Actividades realizadas")</f>
        <v>Número de Actividades realizadas</v>
      </c>
      <c r="K591" s="30">
        <f ca="1">IFERROR(__xludf.DUMMYFUNCTION("""COMPUTED_VALUE"""),800)</f>
        <v>800</v>
      </c>
      <c r="L591" s="30" t="str">
        <f ca="1">IFERROR(__xludf.DUMMYFUNCTION("""COMPUTED_VALUE"""),"Artística")</f>
        <v>Artística</v>
      </c>
      <c r="M591" s="30" t="str">
        <f ca="1">IFERROR(__xludf.DUMMYFUNCTION("""COMPUTED_VALUE"""),"Mi sueño de una tarde dominical.")</f>
        <v>Mi sueño de una tarde dominical.</v>
      </c>
      <c r="N591" s="30" t="str">
        <f ca="1">IFERROR(__xludf.DUMMYFUNCTION("""COMPUTED_VALUE"""),"Taller relámpago y para toda la familia en donde las y los participantes crearán su reinterpretación personal del mural “Una tarde dominical en la Alameda Central”")</f>
        <v>Taller relámpago y para toda la familia en donde las y los participantes crearán su reinterpretación personal del mural “Una tarde dominical en la Alameda Central”</v>
      </c>
      <c r="O591" s="30" t="str">
        <f ca="1">IFERROR(__xludf.DUMMYFUNCTION("""COMPUTED_VALUE"""),"Única")</f>
        <v>Única</v>
      </c>
      <c r="P591" s="33">
        <f ca="1">IFERROR(__xludf.DUMMYFUNCTION("""COMPUTED_VALUE"""),46277)</f>
        <v>46277</v>
      </c>
      <c r="Q591" s="33">
        <f ca="1">IFERROR(__xludf.DUMMYFUNCTION("""COMPUTED_VALUE"""),46277)</f>
        <v>46277</v>
      </c>
      <c r="R591" s="30">
        <f ca="1">IFERROR(__xludf.DUMMYFUNCTION("""COMPUTED_VALUE"""),1)</f>
        <v>1</v>
      </c>
      <c r="S591" s="30" t="str">
        <f ca="1">IFERROR(__xludf.DUMMYFUNCTION("""COMPUTED_VALUE"""),"Cultura comunitaria")</f>
        <v>Cultura comunitaria</v>
      </c>
      <c r="T591" s="30" t="str">
        <f ca="1">IFERROR(__xludf.DUMMYFUNCTION("""COMPUTED_VALUE"""),"Formación comunitaria")</f>
        <v>Formación comunitaria</v>
      </c>
      <c r="U591" s="30" t="str">
        <f ca="1">IFERROR(__xludf.DUMMYFUNCTION("""COMPUTED_VALUE"""),"Taller")</f>
        <v>Taller</v>
      </c>
      <c r="V591" s="30" t="str">
        <f ca="1">IFERROR(__xludf.DUMMYFUNCTION("""COMPUTED_VALUE"""),"Ninguna")</f>
        <v>Ninguna</v>
      </c>
      <c r="W591" s="30" t="str">
        <f ca="1">IFERROR(__xludf.DUMMYFUNCTION("""COMPUTED_VALUE"""),"Presencial")</f>
        <v>Presencial</v>
      </c>
      <c r="X591" s="30" t="str">
        <f ca="1">IFERROR(__xludf.DUMMYFUNCTION("""COMPUTED_VALUE"""),"Espacio a Cargo de la Secretaría")</f>
        <v>Espacio a Cargo de la Secretaría</v>
      </c>
      <c r="Y591" s="30" t="str">
        <f ca="1">IFERROR(__xludf.DUMMYFUNCTION("""COMPUTED_VALUE"""),"Museo Casa Diego Rivera")</f>
        <v>Museo Casa Diego Rivera</v>
      </c>
      <c r="Z591" s="30"/>
      <c r="AA591" s="30"/>
      <c r="AB591" s="30" t="b">
        <f ca="1">IFERROR(__xludf.DUMMYFUNCTION("""COMPUTED_VALUE"""),FALSE)</f>
        <v>0</v>
      </c>
      <c r="AC591" s="30"/>
      <c r="AD591" s="30" t="b">
        <f ca="1">IFERROR(__xludf.DUMMYFUNCTION("""COMPUTED_VALUE"""),FALSE)</f>
        <v>0</v>
      </c>
      <c r="AE591" s="30"/>
      <c r="AF591" s="30" t="b">
        <f ca="1">IFERROR(__xludf.DUMMYFUNCTION("""COMPUTED_VALUE"""),FALSE)</f>
        <v>0</v>
      </c>
      <c r="AG591" s="30"/>
      <c r="AH591" s="30" t="str">
        <f ca="1">IFERROR(__xludf.DUMMYFUNCTION("""COMPUTED_VALUE"""),"Sin costo")</f>
        <v>Sin costo</v>
      </c>
      <c r="AI591" s="30"/>
      <c r="AJ591" s="30"/>
      <c r="AK591" s="30"/>
      <c r="AL591" s="30" t="str">
        <f ca="1">IFERROR(__xludf.DUMMYFUNCTION("""COMPUTED_VALUE"""),"ccardonav@guanajuato.gob.mx")</f>
        <v>ccardonav@guanajuato.gob.mx</v>
      </c>
      <c r="AM591" s="30" t="str">
        <f ca="1">IFERROR(__xludf.DUMMYFUNCTION("""COMPUTED_VALUE"""),"Arraigo y empoderamiento cultural de comunidades.")</f>
        <v>Arraigo y empoderamiento cultural de comunidades.</v>
      </c>
      <c r="AN591" s="30" t="str">
        <f ca="1">IFERROR(__xludf.DUMMYFUNCTION("""COMPUTED_VALUE"""),"1 Tranquilidad")</f>
        <v>1 Tranquilidad</v>
      </c>
      <c r="AO591" s="30" t="str">
        <f ca="1">IFERROR(__xludf.DUMMYFUNCTION("""COMPUTED_VALUE"""),"1.2 Fortalecer prevención del delito")</f>
        <v>1.2 Fortalecer prevención del delito</v>
      </c>
      <c r="AP591" s="30" t="str">
        <f ca="1">IFERROR(__xludf.DUMMYFUNCTION("""COMPUTED_VALUE"""),"1.2.2 Fortalecimiento del tejido social")</f>
        <v>1.2.2 Fortalecimiento del tejido social</v>
      </c>
      <c r="AQ591" s="30" t="str">
        <f ca="1">IFERROR(__xludf.DUMMYFUNCTION("""COMPUTED_VALUE"""),"1.2.3.4 Promover una cultura de paz desde las expresiones artísticas y culturales")</f>
        <v>1.2.3.4 Promover una cultura de paz desde las expresiones artísticas y culturales</v>
      </c>
      <c r="AR591" s="30" t="str">
        <f ca="1">IFERROR(__xludf.DUMMYFUNCTION("""COMPUTED_VALUE"""),"Cooperación")</f>
        <v>Cooperación</v>
      </c>
      <c r="AS591" s="30"/>
      <c r="AT591" s="30" t="str">
        <f ca="1">IFERROR(__xludf.DUMMYFUNCTION("""COMPUTED_VALUE"""),"Fortalecimiento de la participación ciudadana y la mediación cultural")</f>
        <v>Fortalecimiento de la participación ciudadana y la mediación cultural</v>
      </c>
      <c r="AU591" s="30" t="str">
        <f ca="1">IFERROR(__xludf.DUMMYFUNCTION("""COMPUTED_VALUE"""),"Impulso a la ampliación de la oferta cultural en los territorios.")</f>
        <v>Impulso a la ampliación de la oferta cultural en los territorios.</v>
      </c>
      <c r="AV591"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1" s="30" t="str">
        <f ca="1">IFERROR(__xludf.DUMMYFUNCTION("""COMPUTED_VALUE"""),"Incrementar en 25% la oferta cultural realizada en los municipios.")</f>
        <v>Incrementar en 25% la oferta cultural realizada en los municipios.</v>
      </c>
      <c r="AX591" s="30" t="str">
        <f ca="1">IFERROR(__xludf.DUMMYFUNCTION("""COMPUTED_VALUE"""),"Taller")</f>
        <v>Taller</v>
      </c>
      <c r="AY591" s="30" t="str">
        <f ca="1">IFERROR(__xludf.DUMMYFUNCTION("""COMPUTED_VALUE"""),"Formación")</f>
        <v>Formación</v>
      </c>
      <c r="AZ591" s="30" t="str">
        <f ca="1">IFERROR(__xludf.DUMMYFUNCTION("""COMPUTED_VALUE"""),"Formación")</f>
        <v>Formación</v>
      </c>
      <c r="BA591" s="30"/>
      <c r="BB591" s="30"/>
      <c r="BC591" s="30">
        <f ca="1">IFERROR(__xludf.DUMMYFUNCTION("""COMPUTED_VALUE"""),0)</f>
        <v>0</v>
      </c>
      <c r="BD591" s="30"/>
      <c r="BE591" s="30"/>
      <c r="BF591" s="30" t="b">
        <f ca="1">IFERROR(__xludf.DUMMYFUNCTION("""COMPUTED_VALUE"""),FALSE)</f>
        <v>0</v>
      </c>
      <c r="BG591" s="30"/>
      <c r="BH591" s="30"/>
      <c r="BI591" s="30"/>
      <c r="BJ591" s="30"/>
      <c r="BK591" s="30"/>
      <c r="BL591" s="30"/>
      <c r="BM591" s="30" t="str">
        <f ca="1">IFERROR(__xludf.DUMMYFUNCTION("""COMPUTED_VALUE"""),"No")</f>
        <v>No</v>
      </c>
      <c r="BN591" s="30"/>
      <c r="BP591" s="29"/>
      <c r="CC591" s="30" t="str">
        <f ca="1">IFERROR(__xludf.DUMMYFUNCTION("""COMPUTED_VALUE"""),"15f338b6")</f>
        <v>15f338b6</v>
      </c>
      <c r="CD591" s="29" t="str">
        <f ca="1">IFERROR(__xludf.DUMMYFUNCTION("""COMPUTED_VALUE"""),"Adultos (30 a 59 años)")</f>
        <v>Adultos (30 a 59 años)</v>
      </c>
      <c r="CE591" s="30" t="str">
        <f ca="1">IFERROR(__xludf.DUMMYFUNCTION("""COMPUTED_VALUE"""),"No se cuenta con el dato")</f>
        <v>No se cuenta con el dato</v>
      </c>
      <c r="CF591" s="30" t="str">
        <f ca="1">IFERROR(__xludf.DUMMYFUNCTION("""COMPUTED_VALUE"""),"Ninguno (Población General)")</f>
        <v>Ninguno (Población General)</v>
      </c>
      <c r="CG591" s="30">
        <f ca="1">IFERROR(__xludf.DUMMYFUNCTION("""COMPUTED_VALUE"""),250)</f>
        <v>250</v>
      </c>
      <c r="CJ591" s="29"/>
      <c r="CM591" s="30" t="str">
        <f ca="1">IFERROR(__xludf.DUMMYFUNCTION("""COMPUTED_VALUE"""),"Guanajuato")</f>
        <v>Guanajuato</v>
      </c>
      <c r="CN591" s="32" t="e">
        <f ca="1"/>
        <v>#NAME?</v>
      </c>
      <c r="CO591" s="32" t="e">
        <f ca="1"/>
        <v>#NAME?</v>
      </c>
      <c r="CP591" s="32" t="e">
        <f ca="1"/>
        <v>#NAME?</v>
      </c>
      <c r="CQ591" s="32" t="e">
        <f ca="1"/>
        <v>#NAME?</v>
      </c>
      <c r="CR591" s="30" t="e">
        <f ca="1"/>
        <v>#NAME?</v>
      </c>
      <c r="CS591" s="30" t="str">
        <f ca="1">IFERROR(__xludf.DUMMYFUNCTION("""COMPUTED_VALUE"""),"Ninguno (Población General)")</f>
        <v>Ninguno (Población General)</v>
      </c>
    </row>
    <row r="592" spans="1:97" ht="13">
      <c r="A592" s="29" t="str">
        <f ca="1">IFERROR(__xludf.DUMMYFUNCTION("""COMPUTED_VALUE"""),"ACT-SCYI32876")</f>
        <v>ACT-SCYI32876</v>
      </c>
      <c r="B592" s="30" t="str">
        <f ca="1">IFERROR(__xludf.DUMMYFUNCTION("""COMPUTED_VALUE"""),"SC-261023-125028")</f>
        <v>SC-261023-125028</v>
      </c>
      <c r="C592" s="62">
        <f ca="1">IFERROR(__xludf.DUMMYFUNCTION("""COMPUTED_VALUE"""),46318.5350462962)</f>
        <v>46318.535046296201</v>
      </c>
      <c r="D592" s="30">
        <f ca="1">IFERROR(__xludf.DUMMYFUNCTION("""COMPUTED_VALUE"""),92)</f>
        <v>92</v>
      </c>
      <c r="E592" s="30" t="str">
        <f ca="1">IFERROR(__xludf.DUMMYFUNCTION("""COMPUTED_VALUE"""),"PB3572")</f>
        <v>PB3572</v>
      </c>
      <c r="F592"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2"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2" s="30" t="str">
        <f ca="1">IFERROR(__xludf.DUMMYFUNCTION("""COMPUTED_VALUE"""),"SUBSECRETARÍA DE DESARROLLO Y PROMOCIÓN ARTÍSTICA Y CULTURAL")</f>
        <v>SUBSECRETARÍA DE DESARROLLO Y PROMOCIÓN ARTÍSTICA Y CULTURAL</v>
      </c>
      <c r="I592" s="34" t="str">
        <f ca="1">IFERROR(__xludf.DUMMYFUNCTION("""COMPUTED_VALUE"""),"DIRECCIÓN GENERAL DE MUSEOS, ARTES VISUALES Y EXPOSICIONES")</f>
        <v>DIRECCIÓN GENERAL DE MUSEOS, ARTES VISUALES Y EXPOSICIONES</v>
      </c>
      <c r="J592" s="30" t="str">
        <f ca="1">IFERROR(__xludf.DUMMYFUNCTION("""COMPUTED_VALUE"""),"Número de Actividades realizadas")</f>
        <v>Número de Actividades realizadas</v>
      </c>
      <c r="K592" s="30">
        <f ca="1">IFERROR(__xludf.DUMMYFUNCTION("""COMPUTED_VALUE"""),800)</f>
        <v>800</v>
      </c>
      <c r="L592" s="30" t="str">
        <f ca="1">IFERROR(__xludf.DUMMYFUNCTION("""COMPUTED_VALUE"""),"Artística")</f>
        <v>Artística</v>
      </c>
      <c r="M592" s="30" t="str">
        <f ca="1">IFERROR(__xludf.DUMMYFUNCTION("""COMPUTED_VALUE"""),"Mi sueño de una tarde dominical.")</f>
        <v>Mi sueño de una tarde dominical.</v>
      </c>
      <c r="N592" s="30" t="str">
        <f ca="1">IFERROR(__xludf.DUMMYFUNCTION("""COMPUTED_VALUE"""),"Taller relámpago y para toda la familia en donde las y los participantes crearán su reinterpretación personal del mural “Una tarde dominical en la Alameda Central”")</f>
        <v>Taller relámpago y para toda la familia en donde las y los participantes crearán su reinterpretación personal del mural “Una tarde dominical en la Alameda Central”</v>
      </c>
      <c r="O592" s="30" t="str">
        <f ca="1">IFERROR(__xludf.DUMMYFUNCTION("""COMPUTED_VALUE"""),"Única")</f>
        <v>Única</v>
      </c>
      <c r="P592" s="33">
        <f ca="1">IFERROR(__xludf.DUMMYFUNCTION("""COMPUTED_VALUE"""),46278)</f>
        <v>46278</v>
      </c>
      <c r="Q592" s="33">
        <f ca="1">IFERROR(__xludf.DUMMYFUNCTION("""COMPUTED_VALUE"""),46278)</f>
        <v>46278</v>
      </c>
      <c r="R592" s="30">
        <f ca="1">IFERROR(__xludf.DUMMYFUNCTION("""COMPUTED_VALUE"""),1)</f>
        <v>1</v>
      </c>
      <c r="S592" s="30" t="str">
        <f ca="1">IFERROR(__xludf.DUMMYFUNCTION("""COMPUTED_VALUE"""),"Cultura comunitaria")</f>
        <v>Cultura comunitaria</v>
      </c>
      <c r="T592" s="30" t="str">
        <f ca="1">IFERROR(__xludf.DUMMYFUNCTION("""COMPUTED_VALUE"""),"Formación comunitaria")</f>
        <v>Formación comunitaria</v>
      </c>
      <c r="U592" s="30" t="str">
        <f ca="1">IFERROR(__xludf.DUMMYFUNCTION("""COMPUTED_VALUE"""),"Taller")</f>
        <v>Taller</v>
      </c>
      <c r="V592" s="30" t="str">
        <f ca="1">IFERROR(__xludf.DUMMYFUNCTION("""COMPUTED_VALUE"""),"Ninguna")</f>
        <v>Ninguna</v>
      </c>
      <c r="W592" s="30" t="str">
        <f ca="1">IFERROR(__xludf.DUMMYFUNCTION("""COMPUTED_VALUE"""),"Presencial")</f>
        <v>Presencial</v>
      </c>
      <c r="X592" s="30" t="str">
        <f ca="1">IFERROR(__xludf.DUMMYFUNCTION("""COMPUTED_VALUE"""),"Espacio a Cargo de la Secretaría")</f>
        <v>Espacio a Cargo de la Secretaría</v>
      </c>
      <c r="Y592" s="30" t="str">
        <f ca="1">IFERROR(__xludf.DUMMYFUNCTION("""COMPUTED_VALUE"""),"Museo Casa Diego Rivera")</f>
        <v>Museo Casa Diego Rivera</v>
      </c>
      <c r="Z592" s="30"/>
      <c r="AA592" s="30"/>
      <c r="AB592" s="30" t="b">
        <f ca="1">IFERROR(__xludf.DUMMYFUNCTION("""COMPUTED_VALUE"""),FALSE)</f>
        <v>0</v>
      </c>
      <c r="AC592" s="30"/>
      <c r="AD592" s="30" t="b">
        <f ca="1">IFERROR(__xludf.DUMMYFUNCTION("""COMPUTED_VALUE"""),FALSE)</f>
        <v>0</v>
      </c>
      <c r="AE592" s="30"/>
      <c r="AF592" s="30" t="b">
        <f ca="1">IFERROR(__xludf.DUMMYFUNCTION("""COMPUTED_VALUE"""),FALSE)</f>
        <v>0</v>
      </c>
      <c r="AG592" s="30"/>
      <c r="AH592" s="30" t="str">
        <f ca="1">IFERROR(__xludf.DUMMYFUNCTION("""COMPUTED_VALUE"""),"Sin costo")</f>
        <v>Sin costo</v>
      </c>
      <c r="AI592" s="30"/>
      <c r="AJ592" s="30"/>
      <c r="AK592" s="30"/>
      <c r="AL592" s="30" t="str">
        <f ca="1">IFERROR(__xludf.DUMMYFUNCTION("""COMPUTED_VALUE"""),"ccardonav@guanajuato.gob.mx")</f>
        <v>ccardonav@guanajuato.gob.mx</v>
      </c>
      <c r="AM592" s="30" t="str">
        <f ca="1">IFERROR(__xludf.DUMMYFUNCTION("""COMPUTED_VALUE"""),"Arraigo y empoderamiento cultural de comunidades.")</f>
        <v>Arraigo y empoderamiento cultural de comunidades.</v>
      </c>
      <c r="AN592" s="30" t="str">
        <f ca="1">IFERROR(__xludf.DUMMYFUNCTION("""COMPUTED_VALUE"""),"1 Tranquilidad")</f>
        <v>1 Tranquilidad</v>
      </c>
      <c r="AO592" s="30" t="str">
        <f ca="1">IFERROR(__xludf.DUMMYFUNCTION("""COMPUTED_VALUE"""),"1.2 Fortalecer prevención del delito")</f>
        <v>1.2 Fortalecer prevención del delito</v>
      </c>
      <c r="AP592" s="30" t="str">
        <f ca="1">IFERROR(__xludf.DUMMYFUNCTION("""COMPUTED_VALUE"""),"1.2.2 Fortalecimiento del tejido social")</f>
        <v>1.2.2 Fortalecimiento del tejido social</v>
      </c>
      <c r="AQ592" s="30" t="str">
        <f ca="1">IFERROR(__xludf.DUMMYFUNCTION("""COMPUTED_VALUE"""),"1.2.3.4 Promover una cultura de paz desde las expresiones artísticas y culturales")</f>
        <v>1.2.3.4 Promover una cultura de paz desde las expresiones artísticas y culturales</v>
      </c>
      <c r="AR592" s="30" t="str">
        <f ca="1">IFERROR(__xludf.DUMMYFUNCTION("""COMPUTED_VALUE"""),"Cooperación")</f>
        <v>Cooperación</v>
      </c>
      <c r="AS592" s="30"/>
      <c r="AT592" s="30" t="str">
        <f ca="1">IFERROR(__xludf.DUMMYFUNCTION("""COMPUTED_VALUE"""),"Fortalecimiento de la participación ciudadana y la mediación cultural")</f>
        <v>Fortalecimiento de la participación ciudadana y la mediación cultural</v>
      </c>
      <c r="AU592" s="30" t="str">
        <f ca="1">IFERROR(__xludf.DUMMYFUNCTION("""COMPUTED_VALUE"""),"Impulso a la ampliación de la oferta cultural en los territorios.")</f>
        <v>Impulso a la ampliación de la oferta cultural en los territorios.</v>
      </c>
      <c r="AV592"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2" s="30" t="str">
        <f ca="1">IFERROR(__xludf.DUMMYFUNCTION("""COMPUTED_VALUE"""),"Incrementar en 25% la oferta cultural realizada en los municipios.")</f>
        <v>Incrementar en 25% la oferta cultural realizada en los municipios.</v>
      </c>
      <c r="AX592" s="30" t="str">
        <f ca="1">IFERROR(__xludf.DUMMYFUNCTION("""COMPUTED_VALUE"""),"Taller")</f>
        <v>Taller</v>
      </c>
      <c r="AY592" s="30" t="str">
        <f ca="1">IFERROR(__xludf.DUMMYFUNCTION("""COMPUTED_VALUE"""),"Formación")</f>
        <v>Formación</v>
      </c>
      <c r="AZ592" s="30" t="str">
        <f ca="1">IFERROR(__xludf.DUMMYFUNCTION("""COMPUTED_VALUE"""),"Formación")</f>
        <v>Formación</v>
      </c>
      <c r="BA592" s="30"/>
      <c r="BB592" s="30"/>
      <c r="BC592" s="30">
        <f ca="1">IFERROR(__xludf.DUMMYFUNCTION("""COMPUTED_VALUE"""),0)</f>
        <v>0</v>
      </c>
      <c r="BD592" s="30"/>
      <c r="BE592" s="30"/>
      <c r="BF592" s="30" t="b">
        <f ca="1">IFERROR(__xludf.DUMMYFUNCTION("""COMPUTED_VALUE"""),FALSE)</f>
        <v>0</v>
      </c>
      <c r="BG592" s="30"/>
      <c r="BH592" s="30"/>
      <c r="BI592" s="30"/>
      <c r="BJ592" s="30"/>
      <c r="BK592" s="30"/>
      <c r="BL592" s="30"/>
      <c r="BM592" s="30" t="str">
        <f ca="1">IFERROR(__xludf.DUMMYFUNCTION("""COMPUTED_VALUE"""),"No")</f>
        <v>No</v>
      </c>
      <c r="BN592" s="30"/>
      <c r="BP592" s="29"/>
      <c r="CC592" s="30" t="str">
        <f ca="1">IFERROR(__xludf.DUMMYFUNCTION("""COMPUTED_VALUE"""),"369ca167")</f>
        <v>369ca167</v>
      </c>
      <c r="CD592" s="29" t="str">
        <f ca="1">IFERROR(__xludf.DUMMYFUNCTION("""COMPUTED_VALUE"""),"Adultos (30 a 59 años)")</f>
        <v>Adultos (30 a 59 años)</v>
      </c>
      <c r="CE592" s="30" t="str">
        <f ca="1">IFERROR(__xludf.DUMMYFUNCTION("""COMPUTED_VALUE"""),"No se cuenta con el dato")</f>
        <v>No se cuenta con el dato</v>
      </c>
      <c r="CF592" s="30" t="str">
        <f ca="1">IFERROR(__xludf.DUMMYFUNCTION("""COMPUTED_VALUE"""),"Ninguno (Población General)")</f>
        <v>Ninguno (Población General)</v>
      </c>
      <c r="CG592" s="30">
        <f ca="1">IFERROR(__xludf.DUMMYFUNCTION("""COMPUTED_VALUE"""),82)</f>
        <v>82</v>
      </c>
      <c r="CJ592" s="29"/>
      <c r="CM592" s="30" t="str">
        <f ca="1">IFERROR(__xludf.DUMMYFUNCTION("""COMPUTED_VALUE"""),"Guanajuato")</f>
        <v>Guanajuato</v>
      </c>
      <c r="CN592" s="32" t="e">
        <f ca="1"/>
        <v>#NAME?</v>
      </c>
      <c r="CO592" s="32" t="e">
        <f ca="1"/>
        <v>#NAME?</v>
      </c>
      <c r="CP592" s="32" t="e">
        <f ca="1"/>
        <v>#NAME?</v>
      </c>
      <c r="CQ592" s="32" t="e">
        <f ca="1"/>
        <v>#NAME?</v>
      </c>
      <c r="CR592" s="30" t="e">
        <f ca="1"/>
        <v>#NAME?</v>
      </c>
      <c r="CS592" s="30" t="str">
        <f ca="1">IFERROR(__xludf.DUMMYFUNCTION("""COMPUTED_VALUE"""),"Ninguno (Población General)")</f>
        <v>Ninguno (Población General)</v>
      </c>
    </row>
    <row r="593" spans="1:97" ht="13">
      <c r="A593" s="29" t="str">
        <f ca="1">IFERROR(__xludf.DUMMYFUNCTION("""COMPUTED_VALUE"""),"ACT-SCTR91697")</f>
        <v>ACT-SCTR91697</v>
      </c>
      <c r="B593" s="30" t="str">
        <f ca="1">IFERROR(__xludf.DUMMYFUNCTION("""COMPUTED_VALUE"""),"SC-261023-140938")</f>
        <v>SC-261023-140938</v>
      </c>
      <c r="C593" s="62">
        <f ca="1">IFERROR(__xludf.DUMMYFUNCTION("""COMPUTED_VALUE"""),46318.5900231481)</f>
        <v>46318.590023148099</v>
      </c>
      <c r="D593" s="30">
        <f ca="1">IFERROR(__xludf.DUMMYFUNCTION("""COMPUTED_VALUE"""),92)</f>
        <v>92</v>
      </c>
      <c r="E593" s="30" t="str">
        <f ca="1">IFERROR(__xludf.DUMMYFUNCTION("""COMPUTED_VALUE"""),"PB3572")</f>
        <v>PB3572</v>
      </c>
      <c r="F593"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3"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3" s="30" t="str">
        <f ca="1">IFERROR(__xludf.DUMMYFUNCTION("""COMPUTED_VALUE"""),"SUBSECRETARÍA DE DESARROLLO Y PROMOCIÓN ARTÍSTICA Y CULTURAL")</f>
        <v>SUBSECRETARÍA DE DESARROLLO Y PROMOCIÓN ARTÍSTICA Y CULTURAL</v>
      </c>
      <c r="I593" s="34" t="str">
        <f ca="1">IFERROR(__xludf.DUMMYFUNCTION("""COMPUTED_VALUE"""),"DIRECCIÓN GENERAL DE MUSEOS, ARTES VISUALES Y EXPOSICIONES")</f>
        <v>DIRECCIÓN GENERAL DE MUSEOS, ARTES VISUALES Y EXPOSICIONES</v>
      </c>
      <c r="J593" s="30" t="str">
        <f ca="1">IFERROR(__xludf.DUMMYFUNCTION("""COMPUTED_VALUE"""),"Número de Actividades realizadas")</f>
        <v>Número de Actividades realizadas</v>
      </c>
      <c r="K593" s="30">
        <f ca="1">IFERROR(__xludf.DUMMYFUNCTION("""COMPUTED_VALUE"""),800)</f>
        <v>800</v>
      </c>
      <c r="L593" s="30" t="str">
        <f ca="1">IFERROR(__xludf.DUMMYFUNCTION("""COMPUTED_VALUE"""),"Artística")</f>
        <v>Artística</v>
      </c>
      <c r="M593" s="30" t="str">
        <f ca="1">IFERROR(__xludf.DUMMYFUNCTION("""COMPUTED_VALUE"""),"Cuentacuentos: Mitos, ritos y otros gritos")</f>
        <v>Cuentacuentos: Mitos, ritos y otros gritos</v>
      </c>
      <c r="N593" s="30" t="str">
        <f ca="1">IFERROR(__xludf.DUMMYFUNCTION("""COMPUTED_VALUE"""),"Compilaciones de cuentos para toda la familia en torno al 51 Aniversario del Museo Casa Diego Rivera.")</f>
        <v>Compilaciones de cuentos para toda la familia en torno al 51 Aniversario del Museo Casa Diego Rivera.</v>
      </c>
      <c r="O593" s="30" t="str">
        <f ca="1">IFERROR(__xludf.DUMMYFUNCTION("""COMPUTED_VALUE"""),"Única")</f>
        <v>Única</v>
      </c>
      <c r="P593" s="33">
        <f ca="1">IFERROR(__xludf.DUMMYFUNCTION("""COMPUTED_VALUE"""),46278)</f>
        <v>46278</v>
      </c>
      <c r="Q593" s="33">
        <f ca="1">IFERROR(__xludf.DUMMYFUNCTION("""COMPUTED_VALUE"""),46278)</f>
        <v>46278</v>
      </c>
      <c r="R593" s="30">
        <f ca="1">IFERROR(__xludf.DUMMYFUNCTION("""COMPUTED_VALUE"""),1)</f>
        <v>1</v>
      </c>
      <c r="S593" s="30" t="str">
        <f ca="1">IFERROR(__xludf.DUMMYFUNCTION("""COMPUTED_VALUE"""),"Cultura comunitaria")</f>
        <v>Cultura comunitaria</v>
      </c>
      <c r="T593" s="30" t="str">
        <f ca="1">IFERROR(__xludf.DUMMYFUNCTION("""COMPUTED_VALUE"""),"Formación comunitaria")</f>
        <v>Formación comunitaria</v>
      </c>
      <c r="U593" s="30" t="str">
        <f ca="1">IFERROR(__xludf.DUMMYFUNCTION("""COMPUTED_VALUE"""),"Presentación artística")</f>
        <v>Presentación artística</v>
      </c>
      <c r="V593" s="30" t="str">
        <f ca="1">IFERROR(__xludf.DUMMYFUNCTION("""COMPUTED_VALUE"""),"Ninguna")</f>
        <v>Ninguna</v>
      </c>
      <c r="W593" s="30" t="str">
        <f ca="1">IFERROR(__xludf.DUMMYFUNCTION("""COMPUTED_VALUE"""),"Presencial")</f>
        <v>Presencial</v>
      </c>
      <c r="X593" s="30" t="str">
        <f ca="1">IFERROR(__xludf.DUMMYFUNCTION("""COMPUTED_VALUE"""),"Espacio a Cargo de la Secretaría")</f>
        <v>Espacio a Cargo de la Secretaría</v>
      </c>
      <c r="Y593" s="30" t="str">
        <f ca="1">IFERROR(__xludf.DUMMYFUNCTION("""COMPUTED_VALUE"""),"Museo Casa Diego Rivera")</f>
        <v>Museo Casa Diego Rivera</v>
      </c>
      <c r="Z593" s="30"/>
      <c r="AA593" s="30"/>
      <c r="AB593" s="30" t="b">
        <f ca="1">IFERROR(__xludf.DUMMYFUNCTION("""COMPUTED_VALUE"""),FALSE)</f>
        <v>0</v>
      </c>
      <c r="AC593" s="30"/>
      <c r="AD593" s="30" t="b">
        <f ca="1">IFERROR(__xludf.DUMMYFUNCTION("""COMPUTED_VALUE"""),FALSE)</f>
        <v>0</v>
      </c>
      <c r="AE593" s="30"/>
      <c r="AF593" s="30" t="b">
        <f ca="1">IFERROR(__xludf.DUMMYFUNCTION("""COMPUTED_VALUE"""),FALSE)</f>
        <v>0</v>
      </c>
      <c r="AG593" s="30"/>
      <c r="AH593" s="30" t="str">
        <f ca="1">IFERROR(__xludf.DUMMYFUNCTION("""COMPUTED_VALUE"""),"Sin costo")</f>
        <v>Sin costo</v>
      </c>
      <c r="AI593" s="30"/>
      <c r="AJ593" s="30"/>
      <c r="AK593" s="30"/>
      <c r="AL593" s="30" t="str">
        <f ca="1">IFERROR(__xludf.DUMMYFUNCTION("""COMPUTED_VALUE"""),"ccardonav@guanajuato.gob.mx")</f>
        <v>ccardonav@guanajuato.gob.mx</v>
      </c>
      <c r="AM593" s="30" t="str">
        <f ca="1">IFERROR(__xludf.DUMMYFUNCTION("""COMPUTED_VALUE"""),"Arraigo y empoderamiento cultural de comunidades.")</f>
        <v>Arraigo y empoderamiento cultural de comunidades.</v>
      </c>
      <c r="AN593" s="30" t="str">
        <f ca="1">IFERROR(__xludf.DUMMYFUNCTION("""COMPUTED_VALUE"""),"1 Tranquilidad")</f>
        <v>1 Tranquilidad</v>
      </c>
      <c r="AO593" s="30" t="str">
        <f ca="1">IFERROR(__xludf.DUMMYFUNCTION("""COMPUTED_VALUE"""),"1.2 Fortalecer prevención del delito")</f>
        <v>1.2 Fortalecer prevención del delito</v>
      </c>
      <c r="AP593" s="30" t="str">
        <f ca="1">IFERROR(__xludf.DUMMYFUNCTION("""COMPUTED_VALUE"""),"1.2.2 Fortalecimiento del tejido social")</f>
        <v>1.2.2 Fortalecimiento del tejido social</v>
      </c>
      <c r="AQ593" s="30" t="str">
        <f ca="1">IFERROR(__xludf.DUMMYFUNCTION("""COMPUTED_VALUE"""),"1.2.3.4 Promover una cultura de paz desde las expresiones artísticas y culturales")</f>
        <v>1.2.3.4 Promover una cultura de paz desde las expresiones artísticas y culturales</v>
      </c>
      <c r="AR593" s="30" t="str">
        <f ca="1">IFERROR(__xludf.DUMMYFUNCTION("""COMPUTED_VALUE"""),"Cooperación")</f>
        <v>Cooperación</v>
      </c>
      <c r="AS593" s="30"/>
      <c r="AT593" s="30" t="str">
        <f ca="1">IFERROR(__xludf.DUMMYFUNCTION("""COMPUTED_VALUE"""),"Fortalecimiento de la participación ciudadana y la mediación cultural")</f>
        <v>Fortalecimiento de la participación ciudadana y la mediación cultural</v>
      </c>
      <c r="AU593" s="30" t="str">
        <f ca="1">IFERROR(__xludf.DUMMYFUNCTION("""COMPUTED_VALUE"""),"Impulso a la ampliación de la oferta cultural en los territorios.")</f>
        <v>Impulso a la ampliación de la oferta cultural en los territorios.</v>
      </c>
      <c r="AV593"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3" s="30" t="str">
        <f ca="1">IFERROR(__xludf.DUMMYFUNCTION("""COMPUTED_VALUE"""),"Incrementar en 25% la oferta cultural realizada en los municipios.")</f>
        <v>Incrementar en 25% la oferta cultural realizada en los municipios.</v>
      </c>
      <c r="AX593" s="30" t="str">
        <f ca="1">IFERROR(__xludf.DUMMYFUNCTION("""COMPUTED_VALUE"""),"Presentación artística")</f>
        <v>Presentación artística</v>
      </c>
      <c r="AY593" s="30" t="str">
        <f ca="1">IFERROR(__xludf.DUMMYFUNCTION("""COMPUTED_VALUE"""),"Formación")</f>
        <v>Formación</v>
      </c>
      <c r="AZ593" s="30" t="str">
        <f ca="1">IFERROR(__xludf.DUMMYFUNCTION("""COMPUTED_VALUE"""),"Formación")</f>
        <v>Formación</v>
      </c>
      <c r="BA593" s="30"/>
      <c r="BB593" s="30"/>
      <c r="BC593" s="30">
        <f ca="1">IFERROR(__xludf.DUMMYFUNCTION("""COMPUTED_VALUE"""),0)</f>
        <v>0</v>
      </c>
      <c r="BD593" s="30"/>
      <c r="BE593" s="30"/>
      <c r="BF593" s="30" t="b">
        <f ca="1">IFERROR(__xludf.DUMMYFUNCTION("""COMPUTED_VALUE"""),FALSE)</f>
        <v>0</v>
      </c>
      <c r="BG593" s="30"/>
      <c r="BH593" s="30"/>
      <c r="BI593" s="30"/>
      <c r="BJ593" s="30"/>
      <c r="BK593" s="30"/>
      <c r="BL593" s="30"/>
      <c r="BM593" s="30" t="str">
        <f ca="1">IFERROR(__xludf.DUMMYFUNCTION("""COMPUTED_VALUE"""),"No")</f>
        <v>No</v>
      </c>
      <c r="BN593" s="30"/>
      <c r="BP593" s="29"/>
      <c r="CC593" s="30" t="str">
        <f ca="1">IFERROR(__xludf.DUMMYFUNCTION("""COMPUTED_VALUE"""),"a6fa5eac")</f>
        <v>a6fa5eac</v>
      </c>
      <c r="CD593" s="29" t="str">
        <f ca="1">IFERROR(__xludf.DUMMYFUNCTION("""COMPUTED_VALUE"""),"Adultos Mayores (60 años o más)")</f>
        <v>Adultos Mayores (60 años o más)</v>
      </c>
      <c r="CE593" s="30" t="str">
        <f ca="1">IFERROR(__xludf.DUMMYFUNCTION("""COMPUTED_VALUE"""),"No se cuenta con el dato")</f>
        <v>No se cuenta con el dato</v>
      </c>
      <c r="CF593" s="30" t="str">
        <f ca="1">IFERROR(__xludf.DUMMYFUNCTION("""COMPUTED_VALUE"""),"Ninguno (Población General)")</f>
        <v>Ninguno (Población General)</v>
      </c>
      <c r="CG593" s="30">
        <f ca="1">IFERROR(__xludf.DUMMYFUNCTION("""COMPUTED_VALUE"""),28)</f>
        <v>28</v>
      </c>
      <c r="CJ593" s="29"/>
      <c r="CM593" s="30" t="str">
        <f ca="1">IFERROR(__xludf.DUMMYFUNCTION("""COMPUTED_VALUE"""),"Guanajuato")</f>
        <v>Guanajuato</v>
      </c>
      <c r="CN593" s="32" t="e">
        <f ca="1"/>
        <v>#NAME?</v>
      </c>
      <c r="CO593" s="32" t="e">
        <f ca="1"/>
        <v>#NAME?</v>
      </c>
      <c r="CP593" s="32" t="e">
        <f ca="1"/>
        <v>#NAME?</v>
      </c>
      <c r="CQ593" s="32" t="e">
        <f ca="1"/>
        <v>#NAME?</v>
      </c>
      <c r="CR593" s="30" t="e">
        <f ca="1"/>
        <v>#NAME?</v>
      </c>
      <c r="CS593" s="30" t="str">
        <f ca="1">IFERROR(__xludf.DUMMYFUNCTION("""COMPUTED_VALUE"""),"Ninguno (Población General)")</f>
        <v>Ninguno (Población General)</v>
      </c>
    </row>
    <row r="594" spans="1:97" ht="13">
      <c r="A594" s="29" t="str">
        <f ca="1">IFERROR(__xludf.DUMMYFUNCTION("""COMPUTED_VALUE"""),"ACT-SCML00255")</f>
        <v>ACT-SCML00255</v>
      </c>
      <c r="B594" s="30" t="str">
        <f ca="1">IFERROR(__xludf.DUMMYFUNCTION("""COMPUTED_VALUE"""),"SC-261023-141608")</f>
        <v>SC-261023-141608</v>
      </c>
      <c r="C594" s="62">
        <f ca="1">IFERROR(__xludf.DUMMYFUNCTION("""COMPUTED_VALUE"""),46318.594537037)</f>
        <v>46318.594537037003</v>
      </c>
      <c r="D594" s="30">
        <f ca="1">IFERROR(__xludf.DUMMYFUNCTION("""COMPUTED_VALUE"""),92)</f>
        <v>92</v>
      </c>
      <c r="E594" s="30" t="str">
        <f ca="1">IFERROR(__xludf.DUMMYFUNCTION("""COMPUTED_VALUE"""),"PB3572")</f>
        <v>PB3572</v>
      </c>
      <c r="F594"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4"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4" s="30" t="str">
        <f ca="1">IFERROR(__xludf.DUMMYFUNCTION("""COMPUTED_VALUE"""),"SUBSECRETARÍA DE DESARROLLO Y PROMOCIÓN ARTÍSTICA Y CULTURAL")</f>
        <v>SUBSECRETARÍA DE DESARROLLO Y PROMOCIÓN ARTÍSTICA Y CULTURAL</v>
      </c>
      <c r="I594" s="34" t="str">
        <f ca="1">IFERROR(__xludf.DUMMYFUNCTION("""COMPUTED_VALUE"""),"DIRECCIÓN GENERAL DE MUSEOS, ARTES VISUALES Y EXPOSICIONES")</f>
        <v>DIRECCIÓN GENERAL DE MUSEOS, ARTES VISUALES Y EXPOSICIONES</v>
      </c>
      <c r="J594" s="30" t="str">
        <f ca="1">IFERROR(__xludf.DUMMYFUNCTION("""COMPUTED_VALUE"""),"Número de Actividades realizadas")</f>
        <v>Número de Actividades realizadas</v>
      </c>
      <c r="K594" s="30">
        <f ca="1">IFERROR(__xludf.DUMMYFUNCTION("""COMPUTED_VALUE"""),800)</f>
        <v>800</v>
      </c>
      <c r="L594" s="30" t="str">
        <f ca="1">IFERROR(__xludf.DUMMYFUNCTION("""COMPUTED_VALUE"""),"Artística")</f>
        <v>Artística</v>
      </c>
      <c r="M594" s="30" t="str">
        <f ca="1">IFERROR(__xludf.DUMMYFUNCTION("""COMPUTED_VALUE"""),"Cuarteto Alba: Concierto de música mexicana")</f>
        <v>Cuarteto Alba: Concierto de música mexicana</v>
      </c>
      <c r="N594" s="30" t="str">
        <f ca="1">IFERROR(__xludf.DUMMYFUNCTION("""COMPUTED_VALUE"""),"Recital de música mexicana en torno al Día de la Independencia de México")</f>
        <v>Recital de música mexicana en torno al Día de la Independencia de México</v>
      </c>
      <c r="O594" s="30" t="str">
        <f ca="1">IFERROR(__xludf.DUMMYFUNCTION("""COMPUTED_VALUE"""),"Única")</f>
        <v>Única</v>
      </c>
      <c r="P594" s="33">
        <f ca="1">IFERROR(__xludf.DUMMYFUNCTION("""COMPUTED_VALUE"""),46282)</f>
        <v>46282</v>
      </c>
      <c r="Q594" s="33">
        <f ca="1">IFERROR(__xludf.DUMMYFUNCTION("""COMPUTED_VALUE"""),46282)</f>
        <v>46282</v>
      </c>
      <c r="R594" s="30">
        <f ca="1">IFERROR(__xludf.DUMMYFUNCTION("""COMPUTED_VALUE"""),1)</f>
        <v>1</v>
      </c>
      <c r="S594" s="30" t="str">
        <f ca="1">IFERROR(__xludf.DUMMYFUNCTION("""COMPUTED_VALUE"""),"Cultura comunitaria")</f>
        <v>Cultura comunitaria</v>
      </c>
      <c r="T594" s="30" t="str">
        <f ca="1">IFERROR(__xludf.DUMMYFUNCTION("""COMPUTED_VALUE"""),"Formación comunitaria")</f>
        <v>Formación comunitaria</v>
      </c>
      <c r="U594" s="30" t="str">
        <f ca="1">IFERROR(__xludf.DUMMYFUNCTION("""COMPUTED_VALUE"""),"Presentación artística")</f>
        <v>Presentación artística</v>
      </c>
      <c r="V594" s="30" t="str">
        <f ca="1">IFERROR(__xludf.DUMMYFUNCTION("""COMPUTED_VALUE"""),"Ninguna")</f>
        <v>Ninguna</v>
      </c>
      <c r="W594" s="30" t="str">
        <f ca="1">IFERROR(__xludf.DUMMYFUNCTION("""COMPUTED_VALUE"""),"Presencial")</f>
        <v>Presencial</v>
      </c>
      <c r="X594" s="30" t="str">
        <f ca="1">IFERROR(__xludf.DUMMYFUNCTION("""COMPUTED_VALUE"""),"Espacio a Cargo de la Secretaría")</f>
        <v>Espacio a Cargo de la Secretaría</v>
      </c>
      <c r="Y594" s="30" t="str">
        <f ca="1">IFERROR(__xludf.DUMMYFUNCTION("""COMPUTED_VALUE"""),"Museo Palacio de los Poderes")</f>
        <v>Museo Palacio de los Poderes</v>
      </c>
      <c r="Z594" s="30"/>
      <c r="AA594" s="30"/>
      <c r="AB594" s="30" t="b">
        <f ca="1">IFERROR(__xludf.DUMMYFUNCTION("""COMPUTED_VALUE"""),FALSE)</f>
        <v>0</v>
      </c>
      <c r="AC594" s="30"/>
      <c r="AD594" s="30" t="b">
        <f ca="1">IFERROR(__xludf.DUMMYFUNCTION("""COMPUTED_VALUE"""),FALSE)</f>
        <v>0</v>
      </c>
      <c r="AE594" s="30"/>
      <c r="AF594" s="30" t="b">
        <f ca="1">IFERROR(__xludf.DUMMYFUNCTION("""COMPUTED_VALUE"""),FALSE)</f>
        <v>0</v>
      </c>
      <c r="AG594" s="30"/>
      <c r="AH594" s="30" t="str">
        <f ca="1">IFERROR(__xludf.DUMMYFUNCTION("""COMPUTED_VALUE"""),"Sin costo")</f>
        <v>Sin costo</v>
      </c>
      <c r="AI594" s="30"/>
      <c r="AJ594" s="30"/>
      <c r="AK594" s="30"/>
      <c r="AL594" s="30" t="str">
        <f ca="1">IFERROR(__xludf.DUMMYFUNCTION("""COMPUTED_VALUE"""),"ccardonav@guanajuato.gob.mx")</f>
        <v>ccardonav@guanajuato.gob.mx</v>
      </c>
      <c r="AM594" s="30" t="str">
        <f ca="1">IFERROR(__xludf.DUMMYFUNCTION("""COMPUTED_VALUE"""),"Arraigo y empoderamiento cultural de comunidades.")</f>
        <v>Arraigo y empoderamiento cultural de comunidades.</v>
      </c>
      <c r="AN594" s="30" t="str">
        <f ca="1">IFERROR(__xludf.DUMMYFUNCTION("""COMPUTED_VALUE"""),"1 Tranquilidad")</f>
        <v>1 Tranquilidad</v>
      </c>
      <c r="AO594" s="30" t="str">
        <f ca="1">IFERROR(__xludf.DUMMYFUNCTION("""COMPUTED_VALUE"""),"1.2 Fortalecer prevención del delito")</f>
        <v>1.2 Fortalecer prevención del delito</v>
      </c>
      <c r="AP594" s="30" t="str">
        <f ca="1">IFERROR(__xludf.DUMMYFUNCTION("""COMPUTED_VALUE"""),"1.2.2 Fortalecimiento del tejido social")</f>
        <v>1.2.2 Fortalecimiento del tejido social</v>
      </c>
      <c r="AQ594" s="30" t="str">
        <f ca="1">IFERROR(__xludf.DUMMYFUNCTION("""COMPUTED_VALUE"""),"1.2.3.4 Promover una cultura de paz desde las expresiones artísticas y culturales")</f>
        <v>1.2.3.4 Promover una cultura de paz desde las expresiones artísticas y culturales</v>
      </c>
      <c r="AR594" s="30" t="str">
        <f ca="1">IFERROR(__xludf.DUMMYFUNCTION("""COMPUTED_VALUE"""),"Cooperación")</f>
        <v>Cooperación</v>
      </c>
      <c r="AS594" s="30"/>
      <c r="AT594" s="30" t="str">
        <f ca="1">IFERROR(__xludf.DUMMYFUNCTION("""COMPUTED_VALUE"""),"Fortalecimiento de la participación ciudadana y la mediación cultural")</f>
        <v>Fortalecimiento de la participación ciudadana y la mediación cultural</v>
      </c>
      <c r="AU594" s="30" t="str">
        <f ca="1">IFERROR(__xludf.DUMMYFUNCTION("""COMPUTED_VALUE"""),"Impulso a la ampliación de la oferta cultural en los territorios.")</f>
        <v>Impulso a la ampliación de la oferta cultural en los territorios.</v>
      </c>
      <c r="AV594"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4" s="30" t="str">
        <f ca="1">IFERROR(__xludf.DUMMYFUNCTION("""COMPUTED_VALUE"""),"Incrementar en 25% la oferta cultural realizada en los municipios.")</f>
        <v>Incrementar en 25% la oferta cultural realizada en los municipios.</v>
      </c>
      <c r="AX594" s="30" t="str">
        <f ca="1">IFERROR(__xludf.DUMMYFUNCTION("""COMPUTED_VALUE"""),"Presentación artística")</f>
        <v>Presentación artística</v>
      </c>
      <c r="AY594" s="30" t="str">
        <f ca="1">IFERROR(__xludf.DUMMYFUNCTION("""COMPUTED_VALUE"""),"Formación")</f>
        <v>Formación</v>
      </c>
      <c r="AZ594" s="30" t="str">
        <f ca="1">IFERROR(__xludf.DUMMYFUNCTION("""COMPUTED_VALUE"""),"Formación")</f>
        <v>Formación</v>
      </c>
      <c r="BA594" s="30"/>
      <c r="BB594" s="30"/>
      <c r="BC594" s="30">
        <f ca="1">IFERROR(__xludf.DUMMYFUNCTION("""COMPUTED_VALUE"""),0)</f>
        <v>0</v>
      </c>
      <c r="BD594" s="30"/>
      <c r="BE594" s="30"/>
      <c r="BF594" s="30" t="b">
        <f ca="1">IFERROR(__xludf.DUMMYFUNCTION("""COMPUTED_VALUE"""),FALSE)</f>
        <v>0</v>
      </c>
      <c r="BG594" s="30"/>
      <c r="BH594" s="30"/>
      <c r="BI594" s="30"/>
      <c r="BJ594" s="30"/>
      <c r="BK594" s="30"/>
      <c r="BL594" s="30"/>
      <c r="BM594" s="30" t="str">
        <f ca="1">IFERROR(__xludf.DUMMYFUNCTION("""COMPUTED_VALUE"""),"No")</f>
        <v>No</v>
      </c>
      <c r="BN594" s="30"/>
      <c r="BP594" s="29"/>
      <c r="CC594" s="30" t="str">
        <f ca="1">IFERROR(__xludf.DUMMYFUNCTION("""COMPUTED_VALUE"""),"24790531")</f>
        <v>24790531</v>
      </c>
      <c r="CD594" s="29" t="str">
        <f ca="1">IFERROR(__xludf.DUMMYFUNCTION("""COMPUTED_VALUE"""),"Jóvenes (18 a 29 años)")</f>
        <v>Jóvenes (18 a 29 años)</v>
      </c>
      <c r="CE594" s="30" t="str">
        <f ca="1">IFERROR(__xludf.DUMMYFUNCTION("""COMPUTED_VALUE"""),"No se cuenta con el dato")</f>
        <v>No se cuenta con el dato</v>
      </c>
      <c r="CF594" s="30" t="str">
        <f ca="1">IFERROR(__xludf.DUMMYFUNCTION("""COMPUTED_VALUE"""),"Ninguno (Población General)")</f>
        <v>Ninguno (Población General)</v>
      </c>
      <c r="CG594" s="30">
        <f ca="1">IFERROR(__xludf.DUMMYFUNCTION("""COMPUTED_VALUE"""),20)</f>
        <v>20</v>
      </c>
      <c r="CJ594" s="29"/>
      <c r="CM594" s="30" t="str">
        <f ca="1">IFERROR(__xludf.DUMMYFUNCTION("""COMPUTED_VALUE"""),"Guanajuato")</f>
        <v>Guanajuato</v>
      </c>
      <c r="CN594" s="32" t="e">
        <f ca="1"/>
        <v>#NAME?</v>
      </c>
      <c r="CO594" s="32" t="e">
        <f ca="1"/>
        <v>#NAME?</v>
      </c>
      <c r="CP594" s="32" t="e">
        <f ca="1"/>
        <v>#NAME?</v>
      </c>
      <c r="CQ594" s="32" t="e">
        <f ca="1"/>
        <v>#NAME?</v>
      </c>
      <c r="CR594" s="30" t="e">
        <f ca="1"/>
        <v>#NAME?</v>
      </c>
      <c r="CS594" s="30" t="str">
        <f ca="1">IFERROR(__xludf.DUMMYFUNCTION("""COMPUTED_VALUE"""),"Ninguno (Población General)")</f>
        <v>Ninguno (Población General)</v>
      </c>
    </row>
    <row r="595" spans="1:97" ht="13">
      <c r="A595" s="29" t="str">
        <f ca="1">IFERROR(__xludf.DUMMYFUNCTION("""COMPUTED_VALUE"""),"ACT-SCCU88388")</f>
        <v>ACT-SCCU88388</v>
      </c>
      <c r="B595" s="30" t="str">
        <f ca="1">IFERROR(__xludf.DUMMYFUNCTION("""COMPUTED_VALUE"""),"SC-261023-142145")</f>
        <v>SC-261023-142145</v>
      </c>
      <c r="C595" s="62">
        <f ca="1">IFERROR(__xludf.DUMMYFUNCTION("""COMPUTED_VALUE"""),46318.5984375)</f>
        <v>46318.598437499997</v>
      </c>
      <c r="D595" s="30">
        <f ca="1">IFERROR(__xludf.DUMMYFUNCTION("""COMPUTED_VALUE"""),92)</f>
        <v>92</v>
      </c>
      <c r="E595" s="30" t="str">
        <f ca="1">IFERROR(__xludf.DUMMYFUNCTION("""COMPUTED_VALUE"""),"PB3572")</f>
        <v>PB3572</v>
      </c>
      <c r="F595"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5"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5" s="30" t="str">
        <f ca="1">IFERROR(__xludf.DUMMYFUNCTION("""COMPUTED_VALUE"""),"SUBSECRETARÍA DE DESARROLLO Y PROMOCIÓN ARTÍSTICA Y CULTURAL")</f>
        <v>SUBSECRETARÍA DE DESARROLLO Y PROMOCIÓN ARTÍSTICA Y CULTURAL</v>
      </c>
      <c r="I595" s="34" t="str">
        <f ca="1">IFERROR(__xludf.DUMMYFUNCTION("""COMPUTED_VALUE"""),"DIRECCIÓN GENERAL DE MUSEOS, ARTES VISUALES Y EXPOSICIONES")</f>
        <v>DIRECCIÓN GENERAL DE MUSEOS, ARTES VISUALES Y EXPOSICIONES</v>
      </c>
      <c r="J595" s="30" t="str">
        <f ca="1">IFERROR(__xludf.DUMMYFUNCTION("""COMPUTED_VALUE"""),"Número de Actividades realizadas")</f>
        <v>Número de Actividades realizadas</v>
      </c>
      <c r="K595" s="30">
        <f ca="1">IFERROR(__xludf.DUMMYFUNCTION("""COMPUTED_VALUE"""),800)</f>
        <v>800</v>
      </c>
      <c r="L595" s="30" t="str">
        <f ca="1">IFERROR(__xludf.DUMMYFUNCTION("""COMPUTED_VALUE"""),"Artística")</f>
        <v>Artística</v>
      </c>
      <c r="M595" s="30" t="str">
        <f ca="1">IFERROR(__xludf.DUMMYFUNCTION("""COMPUTED_VALUE"""),"Novela histórica, Los recuerdos del porvenir de Elena Garro y Cartucho de Nellie Campobello.")</f>
        <v>Novela histórica, Los recuerdos del porvenir de Elena Garro y Cartucho de Nellie Campobello.</v>
      </c>
      <c r="N595" s="30" t="str">
        <f ca="1">IFERROR(__xludf.DUMMYFUNCTION("""COMPUTED_VALUE"""),"Taller de lectoescritura para jóvenes.")</f>
        <v>Taller de lectoescritura para jóvenes.</v>
      </c>
      <c r="O595" s="30" t="str">
        <f ca="1">IFERROR(__xludf.DUMMYFUNCTION("""COMPUTED_VALUE"""),"Única")</f>
        <v>Única</v>
      </c>
      <c r="P595" s="33">
        <f ca="1">IFERROR(__xludf.DUMMYFUNCTION("""COMPUTED_VALUE"""),46283)</f>
        <v>46283</v>
      </c>
      <c r="Q595" s="33">
        <f ca="1">IFERROR(__xludf.DUMMYFUNCTION("""COMPUTED_VALUE"""),46283)</f>
        <v>46283</v>
      </c>
      <c r="R595" s="30">
        <f ca="1">IFERROR(__xludf.DUMMYFUNCTION("""COMPUTED_VALUE"""),1)</f>
        <v>1</v>
      </c>
      <c r="S595" s="30" t="str">
        <f ca="1">IFERROR(__xludf.DUMMYFUNCTION("""COMPUTED_VALUE"""),"Cultura comunitaria")</f>
        <v>Cultura comunitaria</v>
      </c>
      <c r="T595" s="30" t="str">
        <f ca="1">IFERROR(__xludf.DUMMYFUNCTION("""COMPUTED_VALUE"""),"Formación comunitaria")</f>
        <v>Formación comunitaria</v>
      </c>
      <c r="U595" s="30" t="str">
        <f ca="1">IFERROR(__xludf.DUMMYFUNCTION("""COMPUTED_VALUE"""),"Taller")</f>
        <v>Taller</v>
      </c>
      <c r="V595" s="30" t="str">
        <f ca="1">IFERROR(__xludf.DUMMYFUNCTION("""COMPUTED_VALUE"""),"Ninguna")</f>
        <v>Ninguna</v>
      </c>
      <c r="W595" s="30" t="str">
        <f ca="1">IFERROR(__xludf.DUMMYFUNCTION("""COMPUTED_VALUE"""),"Presencial")</f>
        <v>Presencial</v>
      </c>
      <c r="X595" s="30" t="str">
        <f ca="1">IFERROR(__xludf.DUMMYFUNCTION("""COMPUTED_VALUE"""),"Espacio a Cargo de la Secretaría")</f>
        <v>Espacio a Cargo de la Secretaría</v>
      </c>
      <c r="Y595" s="30" t="str">
        <f ca="1">IFERROR(__xludf.DUMMYFUNCTION("""COMPUTED_VALUE"""),"Museo Palacio de los Poderes")</f>
        <v>Museo Palacio de los Poderes</v>
      </c>
      <c r="Z595" s="30"/>
      <c r="AA595" s="30"/>
      <c r="AB595" s="30" t="b">
        <f ca="1">IFERROR(__xludf.DUMMYFUNCTION("""COMPUTED_VALUE"""),FALSE)</f>
        <v>0</v>
      </c>
      <c r="AC595" s="30"/>
      <c r="AD595" s="30" t="b">
        <f ca="1">IFERROR(__xludf.DUMMYFUNCTION("""COMPUTED_VALUE"""),FALSE)</f>
        <v>0</v>
      </c>
      <c r="AE595" s="30"/>
      <c r="AF595" s="30" t="b">
        <f ca="1">IFERROR(__xludf.DUMMYFUNCTION("""COMPUTED_VALUE"""),FALSE)</f>
        <v>0</v>
      </c>
      <c r="AG595" s="30"/>
      <c r="AH595" s="30" t="str">
        <f ca="1">IFERROR(__xludf.DUMMYFUNCTION("""COMPUTED_VALUE"""),"Sin costo")</f>
        <v>Sin costo</v>
      </c>
      <c r="AI595" s="30"/>
      <c r="AJ595" s="30"/>
      <c r="AK595" s="30"/>
      <c r="AL595" s="30" t="str">
        <f ca="1">IFERROR(__xludf.DUMMYFUNCTION("""COMPUTED_VALUE"""),"ccardonav@guanajuato.gob.mx")</f>
        <v>ccardonav@guanajuato.gob.mx</v>
      </c>
      <c r="AM595" s="30" t="str">
        <f ca="1">IFERROR(__xludf.DUMMYFUNCTION("""COMPUTED_VALUE"""),"Arraigo y empoderamiento cultural de comunidades.")</f>
        <v>Arraigo y empoderamiento cultural de comunidades.</v>
      </c>
      <c r="AN595" s="30" t="str">
        <f ca="1">IFERROR(__xludf.DUMMYFUNCTION("""COMPUTED_VALUE"""),"1 Tranquilidad")</f>
        <v>1 Tranquilidad</v>
      </c>
      <c r="AO595" s="30" t="str">
        <f ca="1">IFERROR(__xludf.DUMMYFUNCTION("""COMPUTED_VALUE"""),"1.2 Fortalecer prevención del delito")</f>
        <v>1.2 Fortalecer prevención del delito</v>
      </c>
      <c r="AP595" s="30" t="str">
        <f ca="1">IFERROR(__xludf.DUMMYFUNCTION("""COMPUTED_VALUE"""),"1.2.2 Fortalecimiento del tejido social")</f>
        <v>1.2.2 Fortalecimiento del tejido social</v>
      </c>
      <c r="AQ595" s="30" t="str">
        <f ca="1">IFERROR(__xludf.DUMMYFUNCTION("""COMPUTED_VALUE"""),"1.2.3.4 Promover una cultura de paz desde las expresiones artísticas y culturales")</f>
        <v>1.2.3.4 Promover una cultura de paz desde las expresiones artísticas y culturales</v>
      </c>
      <c r="AR595" s="30" t="str">
        <f ca="1">IFERROR(__xludf.DUMMYFUNCTION("""COMPUTED_VALUE"""),"Cooperación")</f>
        <v>Cooperación</v>
      </c>
      <c r="AS595" s="30"/>
      <c r="AT595" s="30" t="str">
        <f ca="1">IFERROR(__xludf.DUMMYFUNCTION("""COMPUTED_VALUE"""),"Fortalecimiento de la participación ciudadana y la mediación cultural")</f>
        <v>Fortalecimiento de la participación ciudadana y la mediación cultural</v>
      </c>
      <c r="AU595" s="30" t="str">
        <f ca="1">IFERROR(__xludf.DUMMYFUNCTION("""COMPUTED_VALUE"""),"Impulso a la ampliación de la oferta cultural en los territorios.")</f>
        <v>Impulso a la ampliación de la oferta cultural en los territorios.</v>
      </c>
      <c r="AV595"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5" s="30" t="str">
        <f ca="1">IFERROR(__xludf.DUMMYFUNCTION("""COMPUTED_VALUE"""),"Incrementar en 25% la oferta cultural realizada en los municipios.")</f>
        <v>Incrementar en 25% la oferta cultural realizada en los municipios.</v>
      </c>
      <c r="AX595" s="30" t="str">
        <f ca="1">IFERROR(__xludf.DUMMYFUNCTION("""COMPUTED_VALUE"""),"Taller")</f>
        <v>Taller</v>
      </c>
      <c r="AY595" s="30" t="str">
        <f ca="1">IFERROR(__xludf.DUMMYFUNCTION("""COMPUTED_VALUE"""),"Formación")</f>
        <v>Formación</v>
      </c>
      <c r="AZ595" s="30" t="str">
        <f ca="1">IFERROR(__xludf.DUMMYFUNCTION("""COMPUTED_VALUE"""),"Formación")</f>
        <v>Formación</v>
      </c>
      <c r="BA595" s="30"/>
      <c r="BB595" s="30"/>
      <c r="BC595" s="30">
        <f ca="1">IFERROR(__xludf.DUMMYFUNCTION("""COMPUTED_VALUE"""),0)</f>
        <v>0</v>
      </c>
      <c r="BD595" s="30"/>
      <c r="BE595" s="30"/>
      <c r="BF595" s="30" t="b">
        <f ca="1">IFERROR(__xludf.DUMMYFUNCTION("""COMPUTED_VALUE"""),FALSE)</f>
        <v>0</v>
      </c>
      <c r="BG595" s="30"/>
      <c r="BH595" s="30"/>
      <c r="BI595" s="30"/>
      <c r="BJ595" s="30"/>
      <c r="BK595" s="30"/>
      <c r="BL595" s="30"/>
      <c r="BM595" s="30" t="str">
        <f ca="1">IFERROR(__xludf.DUMMYFUNCTION("""COMPUTED_VALUE"""),"No")</f>
        <v>No</v>
      </c>
      <c r="BN595" s="30"/>
      <c r="BP595" s="29"/>
      <c r="CC595" s="30" t="str">
        <f ca="1">IFERROR(__xludf.DUMMYFUNCTION("""COMPUTED_VALUE"""),"62e7f8a4")</f>
        <v>62e7f8a4</v>
      </c>
      <c r="CD595" s="29" t="str">
        <f ca="1">IFERROR(__xludf.DUMMYFUNCTION("""COMPUTED_VALUE"""),"Adultos (30 a 59 años)")</f>
        <v>Adultos (30 a 59 años)</v>
      </c>
      <c r="CE595" s="30" t="str">
        <f ca="1">IFERROR(__xludf.DUMMYFUNCTION("""COMPUTED_VALUE"""),"No se cuenta con el dato")</f>
        <v>No se cuenta con el dato</v>
      </c>
      <c r="CF595" s="30" t="str">
        <f ca="1">IFERROR(__xludf.DUMMYFUNCTION("""COMPUTED_VALUE"""),"Ninguno (Población General)")</f>
        <v>Ninguno (Población General)</v>
      </c>
      <c r="CG595" s="30">
        <f ca="1">IFERROR(__xludf.DUMMYFUNCTION("""COMPUTED_VALUE"""),4)</f>
        <v>4</v>
      </c>
      <c r="CJ595" s="29"/>
      <c r="CM595" s="30" t="str">
        <f ca="1">IFERROR(__xludf.DUMMYFUNCTION("""COMPUTED_VALUE"""),"Guanajuato")</f>
        <v>Guanajuato</v>
      </c>
      <c r="CN595" s="32" t="e">
        <f ca="1"/>
        <v>#NAME?</v>
      </c>
      <c r="CO595" s="32" t="e">
        <f ca="1"/>
        <v>#NAME?</v>
      </c>
      <c r="CP595" s="32" t="e">
        <f ca="1"/>
        <v>#NAME?</v>
      </c>
      <c r="CQ595" s="32" t="e">
        <f ca="1"/>
        <v>#NAME?</v>
      </c>
      <c r="CR595" s="30" t="e">
        <f ca="1"/>
        <v>#NAME?</v>
      </c>
      <c r="CS595" s="30" t="str">
        <f ca="1">IFERROR(__xludf.DUMMYFUNCTION("""COMPUTED_VALUE"""),"Ninguno (Población General)")</f>
        <v>Ninguno (Población General)</v>
      </c>
    </row>
    <row r="596" spans="1:97" ht="13">
      <c r="A596" s="29" t="str">
        <f ca="1">IFERROR(__xludf.DUMMYFUNCTION("""COMPUTED_VALUE"""),"ACT-SCVC31610")</f>
        <v>ACT-SCVC31610</v>
      </c>
      <c r="B596" s="30" t="str">
        <f ca="1">IFERROR(__xludf.DUMMYFUNCTION("""COMPUTED_VALUE"""),"SC-261023-142632")</f>
        <v>SC-261023-142632</v>
      </c>
      <c r="C596" s="62">
        <f ca="1">IFERROR(__xludf.DUMMYFUNCTION("""COMPUTED_VALUE"""),46318.6017592592)</f>
        <v>46318.601759259203</v>
      </c>
      <c r="D596" s="30">
        <f ca="1">IFERROR(__xludf.DUMMYFUNCTION("""COMPUTED_VALUE"""),92)</f>
        <v>92</v>
      </c>
      <c r="E596" s="30" t="str">
        <f ca="1">IFERROR(__xludf.DUMMYFUNCTION("""COMPUTED_VALUE"""),"PB3572")</f>
        <v>PB3572</v>
      </c>
      <c r="F596"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6"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6" s="30" t="str">
        <f ca="1">IFERROR(__xludf.DUMMYFUNCTION("""COMPUTED_VALUE"""),"SUBSECRETARÍA DE DESARROLLO Y PROMOCIÓN ARTÍSTICA Y CULTURAL")</f>
        <v>SUBSECRETARÍA DE DESARROLLO Y PROMOCIÓN ARTÍSTICA Y CULTURAL</v>
      </c>
      <c r="I596" s="34" t="str">
        <f ca="1">IFERROR(__xludf.DUMMYFUNCTION("""COMPUTED_VALUE"""),"DIRECCIÓN GENERAL DE MUSEOS, ARTES VISUALES Y EXPOSICIONES")</f>
        <v>DIRECCIÓN GENERAL DE MUSEOS, ARTES VISUALES Y EXPOSICIONES</v>
      </c>
      <c r="J596" s="30" t="str">
        <f ca="1">IFERROR(__xludf.DUMMYFUNCTION("""COMPUTED_VALUE"""),"Número de Actividades realizadas")</f>
        <v>Número de Actividades realizadas</v>
      </c>
      <c r="K596" s="30">
        <f ca="1">IFERROR(__xludf.DUMMYFUNCTION("""COMPUTED_VALUE"""),800)</f>
        <v>800</v>
      </c>
      <c r="L596" s="30" t="str">
        <f ca="1">IFERROR(__xludf.DUMMYFUNCTION("""COMPUTED_VALUE"""),"Artística")</f>
        <v>Artística</v>
      </c>
      <c r="M596" s="30" t="str">
        <f ca="1">IFERROR(__xludf.DUMMYFUNCTION("""COMPUTED_VALUE"""),"Danzón, patrimonio vivo, clases de baile.")</f>
        <v>Danzón, patrimonio vivo, clases de baile.</v>
      </c>
      <c r="N596" s="30" t="str">
        <f ca="1">IFERROR(__xludf.DUMMYFUNCTION("""COMPUTED_VALUE"""),"Sesiones guiadas de introducción al Danzón")</f>
        <v>Sesiones guiadas de introducción al Danzón</v>
      </c>
      <c r="O596" s="30" t="str">
        <f ca="1">IFERROR(__xludf.DUMMYFUNCTION("""COMPUTED_VALUE"""),"Única")</f>
        <v>Única</v>
      </c>
      <c r="P596" s="33">
        <f ca="1">IFERROR(__xludf.DUMMYFUNCTION("""COMPUTED_VALUE"""),46284)</f>
        <v>46284</v>
      </c>
      <c r="Q596" s="33">
        <f ca="1">IFERROR(__xludf.DUMMYFUNCTION("""COMPUTED_VALUE"""),46284)</f>
        <v>46284</v>
      </c>
      <c r="R596" s="30">
        <f ca="1">IFERROR(__xludf.DUMMYFUNCTION("""COMPUTED_VALUE"""),1)</f>
        <v>1</v>
      </c>
      <c r="S596" s="30" t="str">
        <f ca="1">IFERROR(__xludf.DUMMYFUNCTION("""COMPUTED_VALUE"""),"Cultura comunitaria")</f>
        <v>Cultura comunitaria</v>
      </c>
      <c r="T596" s="30" t="str">
        <f ca="1">IFERROR(__xludf.DUMMYFUNCTION("""COMPUTED_VALUE"""),"Formación comunitaria")</f>
        <v>Formación comunitaria</v>
      </c>
      <c r="U596" s="30" t="str">
        <f ca="1">IFERROR(__xludf.DUMMYFUNCTION("""COMPUTED_VALUE"""),"Taller")</f>
        <v>Taller</v>
      </c>
      <c r="V596" s="30" t="str">
        <f ca="1">IFERROR(__xludf.DUMMYFUNCTION("""COMPUTED_VALUE"""),"Ninguna")</f>
        <v>Ninguna</v>
      </c>
      <c r="W596" s="30" t="str">
        <f ca="1">IFERROR(__xludf.DUMMYFUNCTION("""COMPUTED_VALUE"""),"Presencial")</f>
        <v>Presencial</v>
      </c>
      <c r="X596" s="30" t="str">
        <f ca="1">IFERROR(__xludf.DUMMYFUNCTION("""COMPUTED_VALUE"""),"Espacio a Cargo de la Secretaría")</f>
        <v>Espacio a Cargo de la Secretaría</v>
      </c>
      <c r="Y596" s="30" t="str">
        <f ca="1">IFERROR(__xludf.DUMMYFUNCTION("""COMPUTED_VALUE"""),"Museo Palacio de los Poderes")</f>
        <v>Museo Palacio de los Poderes</v>
      </c>
      <c r="Z596" s="30"/>
      <c r="AA596" s="30"/>
      <c r="AB596" s="30" t="b">
        <f ca="1">IFERROR(__xludf.DUMMYFUNCTION("""COMPUTED_VALUE"""),FALSE)</f>
        <v>0</v>
      </c>
      <c r="AC596" s="30"/>
      <c r="AD596" s="30" t="b">
        <f ca="1">IFERROR(__xludf.DUMMYFUNCTION("""COMPUTED_VALUE"""),FALSE)</f>
        <v>0</v>
      </c>
      <c r="AE596" s="30"/>
      <c r="AF596" s="30" t="b">
        <f ca="1">IFERROR(__xludf.DUMMYFUNCTION("""COMPUTED_VALUE"""),FALSE)</f>
        <v>0</v>
      </c>
      <c r="AG596" s="30"/>
      <c r="AH596" s="30" t="str">
        <f ca="1">IFERROR(__xludf.DUMMYFUNCTION("""COMPUTED_VALUE"""),"Sin costo")</f>
        <v>Sin costo</v>
      </c>
      <c r="AI596" s="30"/>
      <c r="AJ596" s="30"/>
      <c r="AK596" s="30"/>
      <c r="AL596" s="30" t="str">
        <f ca="1">IFERROR(__xludf.DUMMYFUNCTION("""COMPUTED_VALUE"""),"ccardonav@guanajuato.gob.mx")</f>
        <v>ccardonav@guanajuato.gob.mx</v>
      </c>
      <c r="AM596" s="30" t="str">
        <f ca="1">IFERROR(__xludf.DUMMYFUNCTION("""COMPUTED_VALUE"""),"Arraigo y empoderamiento cultural de comunidades.")</f>
        <v>Arraigo y empoderamiento cultural de comunidades.</v>
      </c>
      <c r="AN596" s="30" t="str">
        <f ca="1">IFERROR(__xludf.DUMMYFUNCTION("""COMPUTED_VALUE"""),"1 Tranquilidad")</f>
        <v>1 Tranquilidad</v>
      </c>
      <c r="AO596" s="30" t="str">
        <f ca="1">IFERROR(__xludf.DUMMYFUNCTION("""COMPUTED_VALUE"""),"1.2 Fortalecer prevención del delito")</f>
        <v>1.2 Fortalecer prevención del delito</v>
      </c>
      <c r="AP596" s="30" t="str">
        <f ca="1">IFERROR(__xludf.DUMMYFUNCTION("""COMPUTED_VALUE"""),"1.2.2 Fortalecimiento del tejido social")</f>
        <v>1.2.2 Fortalecimiento del tejido social</v>
      </c>
      <c r="AQ596" s="30" t="str">
        <f ca="1">IFERROR(__xludf.DUMMYFUNCTION("""COMPUTED_VALUE"""),"1.2.3.4 Promover una cultura de paz desde las expresiones artísticas y culturales")</f>
        <v>1.2.3.4 Promover una cultura de paz desde las expresiones artísticas y culturales</v>
      </c>
      <c r="AR596" s="30" t="str">
        <f ca="1">IFERROR(__xludf.DUMMYFUNCTION("""COMPUTED_VALUE"""),"Cooperación")</f>
        <v>Cooperación</v>
      </c>
      <c r="AS596" s="30"/>
      <c r="AT596" s="30" t="str">
        <f ca="1">IFERROR(__xludf.DUMMYFUNCTION("""COMPUTED_VALUE"""),"Fortalecimiento de la participación ciudadana y la mediación cultural")</f>
        <v>Fortalecimiento de la participación ciudadana y la mediación cultural</v>
      </c>
      <c r="AU596" s="30" t="str">
        <f ca="1">IFERROR(__xludf.DUMMYFUNCTION("""COMPUTED_VALUE"""),"Impulso a la ampliación de la oferta cultural en los territorios.")</f>
        <v>Impulso a la ampliación de la oferta cultural en los territorios.</v>
      </c>
      <c r="AV596"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6" s="30" t="str">
        <f ca="1">IFERROR(__xludf.DUMMYFUNCTION("""COMPUTED_VALUE"""),"Incrementar en 25% la oferta cultural realizada en los municipios.")</f>
        <v>Incrementar en 25% la oferta cultural realizada en los municipios.</v>
      </c>
      <c r="AX596" s="30" t="str">
        <f ca="1">IFERROR(__xludf.DUMMYFUNCTION("""COMPUTED_VALUE"""),"Taller")</f>
        <v>Taller</v>
      </c>
      <c r="AY596" s="30" t="str">
        <f ca="1">IFERROR(__xludf.DUMMYFUNCTION("""COMPUTED_VALUE"""),"Formación")</f>
        <v>Formación</v>
      </c>
      <c r="AZ596" s="30" t="str">
        <f ca="1">IFERROR(__xludf.DUMMYFUNCTION("""COMPUTED_VALUE"""),"Formación")</f>
        <v>Formación</v>
      </c>
      <c r="BA596" s="30"/>
      <c r="BB596" s="30"/>
      <c r="BC596" s="30">
        <f ca="1">IFERROR(__xludf.DUMMYFUNCTION("""COMPUTED_VALUE"""),0)</f>
        <v>0</v>
      </c>
      <c r="BD596" s="30"/>
      <c r="BE596" s="30"/>
      <c r="BF596" s="30" t="b">
        <f ca="1">IFERROR(__xludf.DUMMYFUNCTION("""COMPUTED_VALUE"""),FALSE)</f>
        <v>0</v>
      </c>
      <c r="BG596" s="30"/>
      <c r="BH596" s="30"/>
      <c r="BI596" s="30"/>
      <c r="BJ596" s="30"/>
      <c r="BK596" s="30"/>
      <c r="BL596" s="30"/>
      <c r="BM596" s="30" t="str">
        <f ca="1">IFERROR(__xludf.DUMMYFUNCTION("""COMPUTED_VALUE"""),"No")</f>
        <v>No</v>
      </c>
      <c r="BN596" s="30"/>
      <c r="BP596" s="29"/>
      <c r="CC596" s="30" t="str">
        <f ca="1">IFERROR(__xludf.DUMMYFUNCTION("""COMPUTED_VALUE"""),"8b3d9ff9")</f>
        <v>8b3d9ff9</v>
      </c>
      <c r="CD596" s="29" t="str">
        <f ca="1">IFERROR(__xludf.DUMMYFUNCTION("""COMPUTED_VALUE"""),"Adultos (30 a 59 años)")</f>
        <v>Adultos (30 a 59 años)</v>
      </c>
      <c r="CE596" s="30" t="str">
        <f ca="1">IFERROR(__xludf.DUMMYFUNCTION("""COMPUTED_VALUE"""),"No se cuenta con el dato")</f>
        <v>No se cuenta con el dato</v>
      </c>
      <c r="CF596" s="30" t="str">
        <f ca="1">IFERROR(__xludf.DUMMYFUNCTION("""COMPUTED_VALUE"""),"Ninguno (Población General)")</f>
        <v>Ninguno (Población General)</v>
      </c>
      <c r="CG596" s="30">
        <f ca="1">IFERROR(__xludf.DUMMYFUNCTION("""COMPUTED_VALUE"""),19)</f>
        <v>19</v>
      </c>
      <c r="CJ596" s="29"/>
      <c r="CM596" s="30" t="str">
        <f ca="1">IFERROR(__xludf.DUMMYFUNCTION("""COMPUTED_VALUE"""),"")</f>
        <v/>
      </c>
      <c r="CN596" s="32" t="e">
        <f ca="1"/>
        <v>#NAME?</v>
      </c>
      <c r="CO596" s="32" t="e">
        <f ca="1"/>
        <v>#NAME?</v>
      </c>
      <c r="CP596" s="32" t="e">
        <f ca="1"/>
        <v>#NAME?</v>
      </c>
      <c r="CQ596" s="32" t="e">
        <f ca="1"/>
        <v>#NAME?</v>
      </c>
      <c r="CR596" s="30" t="e">
        <f ca="1"/>
        <v>#NAME?</v>
      </c>
      <c r="CS596" s="30" t="str">
        <f ca="1">IFERROR(__xludf.DUMMYFUNCTION("""COMPUTED_VALUE"""),"")</f>
        <v/>
      </c>
    </row>
    <row r="597" spans="1:97" ht="13">
      <c r="A597" s="29" t="str">
        <f ca="1">IFERROR(__xludf.DUMMYFUNCTION("""COMPUTED_VALUE"""),"ACT-SCFH09646")</f>
        <v>ACT-SCFH09646</v>
      </c>
      <c r="B597" s="30" t="str">
        <f ca="1">IFERROR(__xludf.DUMMYFUNCTION("""COMPUTED_VALUE"""),"SC-261023-143711")</f>
        <v>SC-261023-143711</v>
      </c>
      <c r="C597" s="62">
        <f ca="1">IFERROR(__xludf.DUMMYFUNCTION("""COMPUTED_VALUE"""),46318.6091550925)</f>
        <v>46318.609155092498</v>
      </c>
      <c r="D597" s="30">
        <f ca="1">IFERROR(__xludf.DUMMYFUNCTION("""COMPUTED_VALUE"""),92)</f>
        <v>92</v>
      </c>
      <c r="E597" s="30" t="str">
        <f ca="1">IFERROR(__xludf.DUMMYFUNCTION("""COMPUTED_VALUE"""),"PB3572")</f>
        <v>PB3572</v>
      </c>
      <c r="F597"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7"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7" s="30" t="str">
        <f ca="1">IFERROR(__xludf.DUMMYFUNCTION("""COMPUTED_VALUE"""),"SUBSECRETARÍA DE DESARROLLO Y PROMOCIÓN ARTÍSTICA Y CULTURAL")</f>
        <v>SUBSECRETARÍA DE DESARROLLO Y PROMOCIÓN ARTÍSTICA Y CULTURAL</v>
      </c>
      <c r="I597" s="34" t="str">
        <f ca="1">IFERROR(__xludf.DUMMYFUNCTION("""COMPUTED_VALUE"""),"DIRECCIÓN GENERAL DE MUSEOS, ARTES VISUALES Y EXPOSICIONES")</f>
        <v>DIRECCIÓN GENERAL DE MUSEOS, ARTES VISUALES Y EXPOSICIONES</v>
      </c>
      <c r="J597" s="30" t="str">
        <f ca="1">IFERROR(__xludf.DUMMYFUNCTION("""COMPUTED_VALUE"""),"Número de Actividades realizadas")</f>
        <v>Número de Actividades realizadas</v>
      </c>
      <c r="K597" s="30">
        <f ca="1">IFERROR(__xludf.DUMMYFUNCTION("""COMPUTED_VALUE"""),800)</f>
        <v>800</v>
      </c>
      <c r="L597" s="30" t="str">
        <f ca="1">IFERROR(__xludf.DUMMYFUNCTION("""COMPUTED_VALUE"""),"Artística")</f>
        <v>Artística</v>
      </c>
      <c r="M597" s="30" t="str">
        <f ca="1">IFERROR(__xludf.DUMMYFUNCTION("""COMPUTED_VALUE"""),"El Pueblo en cartón: taller de muñecas")</f>
        <v>El Pueblo en cartón: taller de muñecas</v>
      </c>
      <c r="N597" s="30" t="str">
        <f ca="1">IFERROR(__xludf.DUMMYFUNCTION("""COMPUTED_VALUE"""),"Taller de cartonería")</f>
        <v>Taller de cartonería</v>
      </c>
      <c r="O597" s="30" t="str">
        <f ca="1">IFERROR(__xludf.DUMMYFUNCTION("""COMPUTED_VALUE"""),"Única")</f>
        <v>Única</v>
      </c>
      <c r="P597" s="33">
        <f ca="1">IFERROR(__xludf.DUMMYFUNCTION("""COMPUTED_VALUE"""),46284)</f>
        <v>46284</v>
      </c>
      <c r="Q597" s="33">
        <f ca="1">IFERROR(__xludf.DUMMYFUNCTION("""COMPUTED_VALUE"""),46284)</f>
        <v>46284</v>
      </c>
      <c r="R597" s="30">
        <f ca="1">IFERROR(__xludf.DUMMYFUNCTION("""COMPUTED_VALUE"""),1)</f>
        <v>1</v>
      </c>
      <c r="S597" s="30" t="str">
        <f ca="1">IFERROR(__xludf.DUMMYFUNCTION("""COMPUTED_VALUE"""),"Cultura comunitaria")</f>
        <v>Cultura comunitaria</v>
      </c>
      <c r="T597" s="30" t="str">
        <f ca="1">IFERROR(__xludf.DUMMYFUNCTION("""COMPUTED_VALUE"""),"Formación comunitaria")</f>
        <v>Formación comunitaria</v>
      </c>
      <c r="U597" s="30" t="str">
        <f ca="1">IFERROR(__xludf.DUMMYFUNCTION("""COMPUTED_VALUE"""),"Taller")</f>
        <v>Taller</v>
      </c>
      <c r="V597" s="30" t="str">
        <f ca="1">IFERROR(__xludf.DUMMYFUNCTION("""COMPUTED_VALUE"""),"Ninguna")</f>
        <v>Ninguna</v>
      </c>
      <c r="W597" s="30" t="str">
        <f ca="1">IFERROR(__xludf.DUMMYFUNCTION("""COMPUTED_VALUE"""),"Presencial")</f>
        <v>Presencial</v>
      </c>
      <c r="X597" s="30" t="str">
        <f ca="1">IFERROR(__xludf.DUMMYFUNCTION("""COMPUTED_VALUE"""),"Espacio a Cargo de la Secretaría")</f>
        <v>Espacio a Cargo de la Secretaría</v>
      </c>
      <c r="Y597" s="30" t="str">
        <f ca="1">IFERROR(__xludf.DUMMYFUNCTION("""COMPUTED_VALUE"""),"Museo del Pueblo de Guanajuato")</f>
        <v>Museo del Pueblo de Guanajuato</v>
      </c>
      <c r="Z597" s="30"/>
      <c r="AA597" s="30"/>
      <c r="AB597" s="30" t="b">
        <f ca="1">IFERROR(__xludf.DUMMYFUNCTION("""COMPUTED_VALUE"""),FALSE)</f>
        <v>0</v>
      </c>
      <c r="AC597" s="30"/>
      <c r="AD597" s="30" t="b">
        <f ca="1">IFERROR(__xludf.DUMMYFUNCTION("""COMPUTED_VALUE"""),FALSE)</f>
        <v>0</v>
      </c>
      <c r="AE597" s="30"/>
      <c r="AF597" s="30" t="b">
        <f ca="1">IFERROR(__xludf.DUMMYFUNCTION("""COMPUTED_VALUE"""),FALSE)</f>
        <v>0</v>
      </c>
      <c r="AG597" s="30"/>
      <c r="AH597" s="30" t="str">
        <f ca="1">IFERROR(__xludf.DUMMYFUNCTION("""COMPUTED_VALUE"""),"Sin costo")</f>
        <v>Sin costo</v>
      </c>
      <c r="AI597" s="30"/>
      <c r="AJ597" s="30"/>
      <c r="AK597" s="30"/>
      <c r="AL597" s="30" t="str">
        <f ca="1">IFERROR(__xludf.DUMMYFUNCTION("""COMPUTED_VALUE"""),"ccardonav@guanajuato.gob.mx")</f>
        <v>ccardonav@guanajuato.gob.mx</v>
      </c>
      <c r="AM597" s="30" t="str">
        <f ca="1">IFERROR(__xludf.DUMMYFUNCTION("""COMPUTED_VALUE"""),"Arraigo y empoderamiento cultural de comunidades.")</f>
        <v>Arraigo y empoderamiento cultural de comunidades.</v>
      </c>
      <c r="AN597" s="30" t="str">
        <f ca="1">IFERROR(__xludf.DUMMYFUNCTION("""COMPUTED_VALUE"""),"1 Tranquilidad")</f>
        <v>1 Tranquilidad</v>
      </c>
      <c r="AO597" s="30" t="str">
        <f ca="1">IFERROR(__xludf.DUMMYFUNCTION("""COMPUTED_VALUE"""),"1.2 Fortalecer prevención del delito")</f>
        <v>1.2 Fortalecer prevención del delito</v>
      </c>
      <c r="AP597" s="30" t="str">
        <f ca="1">IFERROR(__xludf.DUMMYFUNCTION("""COMPUTED_VALUE"""),"1.2.2 Fortalecimiento del tejido social")</f>
        <v>1.2.2 Fortalecimiento del tejido social</v>
      </c>
      <c r="AQ597" s="30" t="str">
        <f ca="1">IFERROR(__xludf.DUMMYFUNCTION("""COMPUTED_VALUE"""),"1.2.3.4 Promover una cultura de paz desde las expresiones artísticas y culturales")</f>
        <v>1.2.3.4 Promover una cultura de paz desde las expresiones artísticas y culturales</v>
      </c>
      <c r="AR597" s="30" t="str">
        <f ca="1">IFERROR(__xludf.DUMMYFUNCTION("""COMPUTED_VALUE"""),"Cooperación")</f>
        <v>Cooperación</v>
      </c>
      <c r="AS597" s="30"/>
      <c r="AT597" s="30" t="str">
        <f ca="1">IFERROR(__xludf.DUMMYFUNCTION("""COMPUTED_VALUE"""),"Fortalecimiento de la participación ciudadana y la mediación cultural")</f>
        <v>Fortalecimiento de la participación ciudadana y la mediación cultural</v>
      </c>
      <c r="AU597" s="30" t="str">
        <f ca="1">IFERROR(__xludf.DUMMYFUNCTION("""COMPUTED_VALUE"""),"Impulso a la ampliación de la oferta cultural en los territorios.")</f>
        <v>Impulso a la ampliación de la oferta cultural en los territorios.</v>
      </c>
      <c r="AV597"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7" s="30" t="str">
        <f ca="1">IFERROR(__xludf.DUMMYFUNCTION("""COMPUTED_VALUE"""),"Incrementar en 25% la oferta cultural realizada en los municipios.")</f>
        <v>Incrementar en 25% la oferta cultural realizada en los municipios.</v>
      </c>
      <c r="AX597" s="30" t="str">
        <f ca="1">IFERROR(__xludf.DUMMYFUNCTION("""COMPUTED_VALUE"""),"Taller")</f>
        <v>Taller</v>
      </c>
      <c r="AY597" s="30" t="str">
        <f ca="1">IFERROR(__xludf.DUMMYFUNCTION("""COMPUTED_VALUE"""),"Formación")</f>
        <v>Formación</v>
      </c>
      <c r="AZ597" s="30" t="str">
        <f ca="1">IFERROR(__xludf.DUMMYFUNCTION("""COMPUTED_VALUE"""),"Formación")</f>
        <v>Formación</v>
      </c>
      <c r="BA597" s="30"/>
      <c r="BB597" s="30"/>
      <c r="BC597" s="30">
        <f ca="1">IFERROR(__xludf.DUMMYFUNCTION("""COMPUTED_VALUE"""),0)</f>
        <v>0</v>
      </c>
      <c r="BD597" s="30"/>
      <c r="BE597" s="30"/>
      <c r="BF597" s="30" t="b">
        <f ca="1">IFERROR(__xludf.DUMMYFUNCTION("""COMPUTED_VALUE"""),FALSE)</f>
        <v>0</v>
      </c>
      <c r="BG597" s="30"/>
      <c r="BH597" s="30"/>
      <c r="BI597" s="30"/>
      <c r="BJ597" s="30"/>
      <c r="BK597" s="30"/>
      <c r="BL597" s="30"/>
      <c r="BM597" s="30" t="str">
        <f ca="1">IFERROR(__xludf.DUMMYFUNCTION("""COMPUTED_VALUE"""),"No")</f>
        <v>No</v>
      </c>
      <c r="BN597" s="30"/>
      <c r="BP597" s="29"/>
      <c r="CC597" s="30" t="str">
        <f ca="1">IFERROR(__xludf.DUMMYFUNCTION("""COMPUTED_VALUE"""),"937493f7")</f>
        <v>937493f7</v>
      </c>
      <c r="CD597" s="29" t="str">
        <f ca="1">IFERROR(__xludf.DUMMYFUNCTION("""COMPUTED_VALUE"""),"Adultos (30 a 59 años)")</f>
        <v>Adultos (30 a 59 años)</v>
      </c>
      <c r="CE597" s="30" t="str">
        <f ca="1">IFERROR(__xludf.DUMMYFUNCTION("""COMPUTED_VALUE"""),"No se cuenta con el dato")</f>
        <v>No se cuenta con el dato</v>
      </c>
      <c r="CF597" s="30" t="str">
        <f ca="1">IFERROR(__xludf.DUMMYFUNCTION("""COMPUTED_VALUE"""),"Ninguno (Población General)")</f>
        <v>Ninguno (Población General)</v>
      </c>
      <c r="CG597" s="30">
        <f ca="1">IFERROR(__xludf.DUMMYFUNCTION("""COMPUTED_VALUE"""),4)</f>
        <v>4</v>
      </c>
      <c r="CJ597" s="29"/>
      <c r="CM597" s="30" t="str">
        <f ca="1">IFERROR(__xludf.DUMMYFUNCTION("""COMPUTED_VALUE"""),"")</f>
        <v/>
      </c>
      <c r="CN597" s="32" t="e">
        <f ca="1"/>
        <v>#NAME?</v>
      </c>
      <c r="CO597" s="32" t="e">
        <f ca="1"/>
        <v>#NAME?</v>
      </c>
      <c r="CP597" s="32" t="e">
        <f ca="1"/>
        <v>#NAME?</v>
      </c>
      <c r="CQ597" s="32" t="e">
        <f ca="1"/>
        <v>#NAME?</v>
      </c>
      <c r="CR597" s="30" t="e">
        <f ca="1"/>
        <v>#NAME?</v>
      </c>
      <c r="CS597" s="30" t="str">
        <f ca="1">IFERROR(__xludf.DUMMYFUNCTION("""COMPUTED_VALUE"""),"")</f>
        <v/>
      </c>
    </row>
    <row r="598" spans="1:97" ht="13">
      <c r="A598" s="29" t="str">
        <f ca="1">IFERROR(__xludf.DUMMYFUNCTION("""COMPUTED_VALUE"""),"ACT-SCHJ17496")</f>
        <v>ACT-SCHJ17496</v>
      </c>
      <c r="B598" s="30" t="str">
        <f ca="1">IFERROR(__xludf.DUMMYFUNCTION("""COMPUTED_VALUE"""),"SC-261023-144538")</f>
        <v>SC-261023-144538</v>
      </c>
      <c r="C598" s="62">
        <f ca="1">IFERROR(__xludf.DUMMYFUNCTION("""COMPUTED_VALUE"""),46318.6150231481)</f>
        <v>46318.615023148101</v>
      </c>
      <c r="D598" s="30">
        <f ca="1">IFERROR(__xludf.DUMMYFUNCTION("""COMPUTED_VALUE"""),92)</f>
        <v>92</v>
      </c>
      <c r="E598" s="30" t="str">
        <f ca="1">IFERROR(__xludf.DUMMYFUNCTION("""COMPUTED_VALUE"""),"PB3572")</f>
        <v>PB3572</v>
      </c>
      <c r="F598"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8"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8" s="30" t="str">
        <f ca="1">IFERROR(__xludf.DUMMYFUNCTION("""COMPUTED_VALUE"""),"SUBSECRETARÍA DE DESARROLLO Y PROMOCIÓN ARTÍSTICA Y CULTURAL")</f>
        <v>SUBSECRETARÍA DE DESARROLLO Y PROMOCIÓN ARTÍSTICA Y CULTURAL</v>
      </c>
      <c r="I598" s="34" t="str">
        <f ca="1">IFERROR(__xludf.DUMMYFUNCTION("""COMPUTED_VALUE"""),"DIRECCIÓN GENERAL DE MUSEOS, ARTES VISUALES Y EXPOSICIONES")</f>
        <v>DIRECCIÓN GENERAL DE MUSEOS, ARTES VISUALES Y EXPOSICIONES</v>
      </c>
      <c r="J598" s="30" t="str">
        <f ca="1">IFERROR(__xludf.DUMMYFUNCTION("""COMPUTED_VALUE"""),"Número de Actividades realizadas")</f>
        <v>Número de Actividades realizadas</v>
      </c>
      <c r="K598" s="30">
        <f ca="1">IFERROR(__xludf.DUMMYFUNCTION("""COMPUTED_VALUE"""),800)</f>
        <v>800</v>
      </c>
      <c r="L598" s="30" t="str">
        <f ca="1">IFERROR(__xludf.DUMMYFUNCTION("""COMPUTED_VALUE"""),"Artística")</f>
        <v>Artística</v>
      </c>
      <c r="M598" s="30" t="str">
        <f ca="1">IFERROR(__xludf.DUMMYFUNCTION("""COMPUTED_VALUE"""),"Mi sueño de una tarde dominical.")</f>
        <v>Mi sueño de una tarde dominical.</v>
      </c>
      <c r="N598" s="30" t="str">
        <f ca="1">IFERROR(__xludf.DUMMYFUNCTION("""COMPUTED_VALUE"""),"Taller relámpago y para toda la familia en donde las y los participantes crearán su reinterpretación personal del mural “Una tarde dominical en la Alameda Central”")</f>
        <v>Taller relámpago y para toda la familia en donde las y los participantes crearán su reinterpretación personal del mural “Una tarde dominical en la Alameda Central”</v>
      </c>
      <c r="O598" s="30" t="str">
        <f ca="1">IFERROR(__xludf.DUMMYFUNCTION("""COMPUTED_VALUE"""),"Única")</f>
        <v>Única</v>
      </c>
      <c r="P598" s="33">
        <f ca="1">IFERROR(__xludf.DUMMYFUNCTION("""COMPUTED_VALUE"""),46284)</f>
        <v>46284</v>
      </c>
      <c r="Q598" s="33">
        <f ca="1">IFERROR(__xludf.DUMMYFUNCTION("""COMPUTED_VALUE"""),46284)</f>
        <v>46284</v>
      </c>
      <c r="R598" s="30">
        <f ca="1">IFERROR(__xludf.DUMMYFUNCTION("""COMPUTED_VALUE"""),1)</f>
        <v>1</v>
      </c>
      <c r="S598" s="30" t="str">
        <f ca="1">IFERROR(__xludf.DUMMYFUNCTION("""COMPUTED_VALUE"""),"Cultura comunitaria")</f>
        <v>Cultura comunitaria</v>
      </c>
      <c r="T598" s="30" t="str">
        <f ca="1">IFERROR(__xludf.DUMMYFUNCTION("""COMPUTED_VALUE"""),"Formación comunitaria")</f>
        <v>Formación comunitaria</v>
      </c>
      <c r="U598" s="30" t="str">
        <f ca="1">IFERROR(__xludf.DUMMYFUNCTION("""COMPUTED_VALUE"""),"Taller")</f>
        <v>Taller</v>
      </c>
      <c r="V598" s="30" t="str">
        <f ca="1">IFERROR(__xludf.DUMMYFUNCTION("""COMPUTED_VALUE"""),"Ninguna")</f>
        <v>Ninguna</v>
      </c>
      <c r="W598" s="30" t="str">
        <f ca="1">IFERROR(__xludf.DUMMYFUNCTION("""COMPUTED_VALUE"""),"Presencial")</f>
        <v>Presencial</v>
      </c>
      <c r="X598" s="30" t="str">
        <f ca="1">IFERROR(__xludf.DUMMYFUNCTION("""COMPUTED_VALUE"""),"Espacio a Cargo de la Secretaría")</f>
        <v>Espacio a Cargo de la Secretaría</v>
      </c>
      <c r="Y598" s="30" t="str">
        <f ca="1">IFERROR(__xludf.DUMMYFUNCTION("""COMPUTED_VALUE"""),"Museo Casa Diego Rivera")</f>
        <v>Museo Casa Diego Rivera</v>
      </c>
      <c r="Z598" s="30"/>
      <c r="AA598" s="30"/>
      <c r="AB598" s="30" t="b">
        <f ca="1">IFERROR(__xludf.DUMMYFUNCTION("""COMPUTED_VALUE"""),FALSE)</f>
        <v>0</v>
      </c>
      <c r="AC598" s="30"/>
      <c r="AD598" s="30" t="b">
        <f ca="1">IFERROR(__xludf.DUMMYFUNCTION("""COMPUTED_VALUE"""),FALSE)</f>
        <v>0</v>
      </c>
      <c r="AE598" s="30"/>
      <c r="AF598" s="30" t="b">
        <f ca="1">IFERROR(__xludf.DUMMYFUNCTION("""COMPUTED_VALUE"""),FALSE)</f>
        <v>0</v>
      </c>
      <c r="AG598" s="30"/>
      <c r="AH598" s="30" t="str">
        <f ca="1">IFERROR(__xludf.DUMMYFUNCTION("""COMPUTED_VALUE"""),"Sin costo")</f>
        <v>Sin costo</v>
      </c>
      <c r="AI598" s="30"/>
      <c r="AJ598" s="30"/>
      <c r="AK598" s="30"/>
      <c r="AL598" s="30" t="str">
        <f ca="1">IFERROR(__xludf.DUMMYFUNCTION("""COMPUTED_VALUE"""),"ccardonav@guanajuato.gob.mx")</f>
        <v>ccardonav@guanajuato.gob.mx</v>
      </c>
      <c r="AM598" s="30" t="str">
        <f ca="1">IFERROR(__xludf.DUMMYFUNCTION("""COMPUTED_VALUE"""),"Arraigo y empoderamiento cultural de comunidades.")</f>
        <v>Arraigo y empoderamiento cultural de comunidades.</v>
      </c>
      <c r="AN598" s="30" t="str">
        <f ca="1">IFERROR(__xludf.DUMMYFUNCTION("""COMPUTED_VALUE"""),"1 Tranquilidad")</f>
        <v>1 Tranquilidad</v>
      </c>
      <c r="AO598" s="30" t="str">
        <f ca="1">IFERROR(__xludf.DUMMYFUNCTION("""COMPUTED_VALUE"""),"1.2 Fortalecer prevención del delito")</f>
        <v>1.2 Fortalecer prevención del delito</v>
      </c>
      <c r="AP598" s="30" t="str">
        <f ca="1">IFERROR(__xludf.DUMMYFUNCTION("""COMPUTED_VALUE"""),"1.2.2 Fortalecimiento del tejido social")</f>
        <v>1.2.2 Fortalecimiento del tejido social</v>
      </c>
      <c r="AQ598" s="30" t="str">
        <f ca="1">IFERROR(__xludf.DUMMYFUNCTION("""COMPUTED_VALUE"""),"1.2.3.4 Promover una cultura de paz desde las expresiones artísticas y culturales")</f>
        <v>1.2.3.4 Promover una cultura de paz desde las expresiones artísticas y culturales</v>
      </c>
      <c r="AR598" s="30" t="str">
        <f ca="1">IFERROR(__xludf.DUMMYFUNCTION("""COMPUTED_VALUE"""),"Cooperación")</f>
        <v>Cooperación</v>
      </c>
      <c r="AS598" s="30"/>
      <c r="AT598" s="30" t="str">
        <f ca="1">IFERROR(__xludf.DUMMYFUNCTION("""COMPUTED_VALUE"""),"Fortalecimiento de la participación ciudadana y la mediación cultural")</f>
        <v>Fortalecimiento de la participación ciudadana y la mediación cultural</v>
      </c>
      <c r="AU598" s="30" t="str">
        <f ca="1">IFERROR(__xludf.DUMMYFUNCTION("""COMPUTED_VALUE"""),"Impulso a la ampliación de la oferta cultural en los territorios.")</f>
        <v>Impulso a la ampliación de la oferta cultural en los territorios.</v>
      </c>
      <c r="AV598"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8" s="30" t="str">
        <f ca="1">IFERROR(__xludf.DUMMYFUNCTION("""COMPUTED_VALUE"""),"Incrementar en 25% la oferta cultural realizada en los municipios.")</f>
        <v>Incrementar en 25% la oferta cultural realizada en los municipios.</v>
      </c>
      <c r="AX598" s="30" t="str">
        <f ca="1">IFERROR(__xludf.DUMMYFUNCTION("""COMPUTED_VALUE"""),"Taller")</f>
        <v>Taller</v>
      </c>
      <c r="AY598" s="30" t="str">
        <f ca="1">IFERROR(__xludf.DUMMYFUNCTION("""COMPUTED_VALUE"""),"Formación")</f>
        <v>Formación</v>
      </c>
      <c r="AZ598" s="30" t="str">
        <f ca="1">IFERROR(__xludf.DUMMYFUNCTION("""COMPUTED_VALUE"""),"Formación")</f>
        <v>Formación</v>
      </c>
      <c r="BA598" s="30"/>
      <c r="BB598" s="30"/>
      <c r="BC598" s="30">
        <f ca="1">IFERROR(__xludf.DUMMYFUNCTION("""COMPUTED_VALUE"""),0)</f>
        <v>0</v>
      </c>
      <c r="BD598" s="30"/>
      <c r="BE598" s="30"/>
      <c r="BF598" s="30" t="b">
        <f ca="1">IFERROR(__xludf.DUMMYFUNCTION("""COMPUTED_VALUE"""),FALSE)</f>
        <v>0</v>
      </c>
      <c r="BG598" s="30"/>
      <c r="BH598" s="30"/>
      <c r="BI598" s="30"/>
      <c r="BJ598" s="30"/>
      <c r="BK598" s="30"/>
      <c r="BL598" s="30"/>
      <c r="BM598" s="30" t="str">
        <f ca="1">IFERROR(__xludf.DUMMYFUNCTION("""COMPUTED_VALUE"""),"No")</f>
        <v>No</v>
      </c>
      <c r="BN598" s="30"/>
      <c r="BP598" s="29"/>
      <c r="CC598" s="30" t="str">
        <f ca="1">IFERROR(__xludf.DUMMYFUNCTION("""COMPUTED_VALUE"""),"0218b797")</f>
        <v>0218b797</v>
      </c>
      <c r="CD598" s="29" t="str">
        <f ca="1">IFERROR(__xludf.DUMMYFUNCTION("""COMPUTED_VALUE"""),"Adultos (30 a 59 años)")</f>
        <v>Adultos (30 a 59 años)</v>
      </c>
      <c r="CE598" s="30" t="str">
        <f ca="1">IFERROR(__xludf.DUMMYFUNCTION("""COMPUTED_VALUE"""),"No se cuenta con el dato")</f>
        <v>No se cuenta con el dato</v>
      </c>
      <c r="CF598" s="30" t="str">
        <f ca="1">IFERROR(__xludf.DUMMYFUNCTION("""COMPUTED_VALUE"""),"Ninguno (Población General)")</f>
        <v>Ninguno (Población General)</v>
      </c>
      <c r="CG598" s="30">
        <f ca="1">IFERROR(__xludf.DUMMYFUNCTION("""COMPUTED_VALUE"""),1)</f>
        <v>1</v>
      </c>
      <c r="CJ598" s="29"/>
      <c r="CM598" s="30" t="str">
        <f ca="1">IFERROR(__xludf.DUMMYFUNCTION("""COMPUTED_VALUE"""),"")</f>
        <v/>
      </c>
      <c r="CN598" s="32" t="e">
        <f ca="1"/>
        <v>#NAME?</v>
      </c>
      <c r="CO598" s="32" t="e">
        <f ca="1"/>
        <v>#NAME?</v>
      </c>
      <c r="CP598" s="32" t="e">
        <f ca="1"/>
        <v>#NAME?</v>
      </c>
      <c r="CQ598" s="32" t="e">
        <f ca="1"/>
        <v>#NAME?</v>
      </c>
      <c r="CR598" s="30" t="e">
        <f ca="1"/>
        <v>#NAME?</v>
      </c>
      <c r="CS598" s="30" t="str">
        <f ca="1">IFERROR(__xludf.DUMMYFUNCTION("""COMPUTED_VALUE"""),"")</f>
        <v/>
      </c>
    </row>
    <row r="599" spans="1:97" ht="13">
      <c r="A599" s="29" t="str">
        <f ca="1">IFERROR(__xludf.DUMMYFUNCTION("""COMPUTED_VALUE"""),"ACT-SCCH70156")</f>
        <v>ACT-SCCH70156</v>
      </c>
      <c r="B599" s="30" t="str">
        <f ca="1">IFERROR(__xludf.DUMMYFUNCTION("""COMPUTED_VALUE"""),"SC-261023-145815")</f>
        <v>SC-261023-145815</v>
      </c>
      <c r="C599" s="62">
        <f ca="1">IFERROR(__xludf.DUMMYFUNCTION("""COMPUTED_VALUE"""),46318.6237847222)</f>
        <v>46318.6237847222</v>
      </c>
      <c r="D599" s="30">
        <f ca="1">IFERROR(__xludf.DUMMYFUNCTION("""COMPUTED_VALUE"""),92)</f>
        <v>92</v>
      </c>
      <c r="E599" s="30" t="str">
        <f ca="1">IFERROR(__xludf.DUMMYFUNCTION("""COMPUTED_VALUE"""),"PB3572")</f>
        <v>PB3572</v>
      </c>
      <c r="F599"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599"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599" s="30" t="str">
        <f ca="1">IFERROR(__xludf.DUMMYFUNCTION("""COMPUTED_VALUE"""),"SUBSECRETARÍA DE DESARROLLO Y PROMOCIÓN ARTÍSTICA Y CULTURAL")</f>
        <v>SUBSECRETARÍA DE DESARROLLO Y PROMOCIÓN ARTÍSTICA Y CULTURAL</v>
      </c>
      <c r="I599" s="34" t="str">
        <f ca="1">IFERROR(__xludf.DUMMYFUNCTION("""COMPUTED_VALUE"""),"DIRECCIÓN GENERAL DE MUSEOS, ARTES VISUALES Y EXPOSICIONES")</f>
        <v>DIRECCIÓN GENERAL DE MUSEOS, ARTES VISUALES Y EXPOSICIONES</v>
      </c>
      <c r="J599" s="30" t="str">
        <f ca="1">IFERROR(__xludf.DUMMYFUNCTION("""COMPUTED_VALUE"""),"Número de Actividades realizadas")</f>
        <v>Número de Actividades realizadas</v>
      </c>
      <c r="K599" s="30">
        <f ca="1">IFERROR(__xludf.DUMMYFUNCTION("""COMPUTED_VALUE"""),800)</f>
        <v>800</v>
      </c>
      <c r="L599" s="30" t="str">
        <f ca="1">IFERROR(__xludf.DUMMYFUNCTION("""COMPUTED_VALUE"""),"Artística")</f>
        <v>Artística</v>
      </c>
      <c r="M599" s="30" t="str">
        <f ca="1">IFERROR(__xludf.DUMMYFUNCTION("""COMPUTED_VALUE"""),"Mi sueño de una tarde dominical.")</f>
        <v>Mi sueño de una tarde dominical.</v>
      </c>
      <c r="N599" s="30" t="str">
        <f ca="1">IFERROR(__xludf.DUMMYFUNCTION("""COMPUTED_VALUE"""),"Taller relámpago y para toda la familia en donde las y los participantes crearán su reinterpretación personal del mural “Una tarde dominical en la Alameda Central”")</f>
        <v>Taller relámpago y para toda la familia en donde las y los participantes crearán su reinterpretación personal del mural “Una tarde dominical en la Alameda Central”</v>
      </c>
      <c r="O599" s="30" t="str">
        <f ca="1">IFERROR(__xludf.DUMMYFUNCTION("""COMPUTED_VALUE"""),"Única")</f>
        <v>Única</v>
      </c>
      <c r="P599" s="33">
        <f ca="1">IFERROR(__xludf.DUMMYFUNCTION("""COMPUTED_VALUE"""),46285)</f>
        <v>46285</v>
      </c>
      <c r="Q599" s="33">
        <f ca="1">IFERROR(__xludf.DUMMYFUNCTION("""COMPUTED_VALUE"""),46285)</f>
        <v>46285</v>
      </c>
      <c r="R599" s="30">
        <f ca="1">IFERROR(__xludf.DUMMYFUNCTION("""COMPUTED_VALUE"""),1)</f>
        <v>1</v>
      </c>
      <c r="S599" s="30" t="str">
        <f ca="1">IFERROR(__xludf.DUMMYFUNCTION("""COMPUTED_VALUE"""),"Cultura comunitaria")</f>
        <v>Cultura comunitaria</v>
      </c>
      <c r="T599" s="30" t="str">
        <f ca="1">IFERROR(__xludf.DUMMYFUNCTION("""COMPUTED_VALUE"""),"Formación comunitaria")</f>
        <v>Formación comunitaria</v>
      </c>
      <c r="U599" s="30" t="str">
        <f ca="1">IFERROR(__xludf.DUMMYFUNCTION("""COMPUTED_VALUE"""),"Taller")</f>
        <v>Taller</v>
      </c>
      <c r="V599" s="30" t="str">
        <f ca="1">IFERROR(__xludf.DUMMYFUNCTION("""COMPUTED_VALUE"""),"Ninguna")</f>
        <v>Ninguna</v>
      </c>
      <c r="W599" s="30" t="str">
        <f ca="1">IFERROR(__xludf.DUMMYFUNCTION("""COMPUTED_VALUE"""),"Presencial")</f>
        <v>Presencial</v>
      </c>
      <c r="X599" s="30" t="str">
        <f ca="1">IFERROR(__xludf.DUMMYFUNCTION("""COMPUTED_VALUE"""),"Espacio a Cargo de la Secretaría")</f>
        <v>Espacio a Cargo de la Secretaría</v>
      </c>
      <c r="Y599" s="30" t="str">
        <f ca="1">IFERROR(__xludf.DUMMYFUNCTION("""COMPUTED_VALUE"""),"Museo Casa Diego Rivera")</f>
        <v>Museo Casa Diego Rivera</v>
      </c>
      <c r="Z599" s="30"/>
      <c r="AA599" s="30"/>
      <c r="AB599" s="30" t="b">
        <f ca="1">IFERROR(__xludf.DUMMYFUNCTION("""COMPUTED_VALUE"""),FALSE)</f>
        <v>0</v>
      </c>
      <c r="AC599" s="30"/>
      <c r="AD599" s="30" t="b">
        <f ca="1">IFERROR(__xludf.DUMMYFUNCTION("""COMPUTED_VALUE"""),FALSE)</f>
        <v>0</v>
      </c>
      <c r="AE599" s="30"/>
      <c r="AF599" s="30" t="b">
        <f ca="1">IFERROR(__xludf.DUMMYFUNCTION("""COMPUTED_VALUE"""),FALSE)</f>
        <v>0</v>
      </c>
      <c r="AG599" s="30"/>
      <c r="AH599" s="30" t="str">
        <f ca="1">IFERROR(__xludf.DUMMYFUNCTION("""COMPUTED_VALUE"""),"Sin costo")</f>
        <v>Sin costo</v>
      </c>
      <c r="AI599" s="30"/>
      <c r="AJ599" s="30"/>
      <c r="AK599" s="30"/>
      <c r="AL599" s="30" t="str">
        <f ca="1">IFERROR(__xludf.DUMMYFUNCTION("""COMPUTED_VALUE"""),"ccardonav@guanajuato.gob.mx")</f>
        <v>ccardonav@guanajuato.gob.mx</v>
      </c>
      <c r="AM599" s="30" t="str">
        <f ca="1">IFERROR(__xludf.DUMMYFUNCTION("""COMPUTED_VALUE"""),"Arraigo y empoderamiento cultural de comunidades.")</f>
        <v>Arraigo y empoderamiento cultural de comunidades.</v>
      </c>
      <c r="AN599" s="30" t="str">
        <f ca="1">IFERROR(__xludf.DUMMYFUNCTION("""COMPUTED_VALUE"""),"1 Tranquilidad")</f>
        <v>1 Tranquilidad</v>
      </c>
      <c r="AO599" s="30" t="str">
        <f ca="1">IFERROR(__xludf.DUMMYFUNCTION("""COMPUTED_VALUE"""),"1.2 Fortalecer prevención del delito")</f>
        <v>1.2 Fortalecer prevención del delito</v>
      </c>
      <c r="AP599" s="30" t="str">
        <f ca="1">IFERROR(__xludf.DUMMYFUNCTION("""COMPUTED_VALUE"""),"1.2.2 Fortalecimiento del tejido social")</f>
        <v>1.2.2 Fortalecimiento del tejido social</v>
      </c>
      <c r="AQ599" s="30" t="str">
        <f ca="1">IFERROR(__xludf.DUMMYFUNCTION("""COMPUTED_VALUE"""),"1.2.3.4 Promover una cultura de paz desde las expresiones artísticas y culturales")</f>
        <v>1.2.3.4 Promover una cultura de paz desde las expresiones artísticas y culturales</v>
      </c>
      <c r="AR599" s="30" t="str">
        <f ca="1">IFERROR(__xludf.DUMMYFUNCTION("""COMPUTED_VALUE"""),"Cooperación")</f>
        <v>Cooperación</v>
      </c>
      <c r="AS599" s="30"/>
      <c r="AT599" s="30" t="str">
        <f ca="1">IFERROR(__xludf.DUMMYFUNCTION("""COMPUTED_VALUE"""),"Fortalecimiento de la participación ciudadana y la mediación cultural")</f>
        <v>Fortalecimiento de la participación ciudadana y la mediación cultural</v>
      </c>
      <c r="AU599" s="30" t="str">
        <f ca="1">IFERROR(__xludf.DUMMYFUNCTION("""COMPUTED_VALUE"""),"Impulso a la ampliación de la oferta cultural en los territorios.")</f>
        <v>Impulso a la ampliación de la oferta cultural en los territorios.</v>
      </c>
      <c r="AV599"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599" s="30" t="str">
        <f ca="1">IFERROR(__xludf.DUMMYFUNCTION("""COMPUTED_VALUE"""),"Incrementar en 25% la oferta cultural realizada en los municipios.")</f>
        <v>Incrementar en 25% la oferta cultural realizada en los municipios.</v>
      </c>
      <c r="AX599" s="30" t="str">
        <f ca="1">IFERROR(__xludf.DUMMYFUNCTION("""COMPUTED_VALUE"""),"Taller")</f>
        <v>Taller</v>
      </c>
      <c r="AY599" s="30" t="str">
        <f ca="1">IFERROR(__xludf.DUMMYFUNCTION("""COMPUTED_VALUE"""),"Formación")</f>
        <v>Formación</v>
      </c>
      <c r="AZ599" s="30" t="str">
        <f ca="1">IFERROR(__xludf.DUMMYFUNCTION("""COMPUTED_VALUE"""),"Formación")</f>
        <v>Formación</v>
      </c>
      <c r="BA599" s="30"/>
      <c r="BB599" s="30"/>
      <c r="BC599" s="30">
        <f ca="1">IFERROR(__xludf.DUMMYFUNCTION("""COMPUTED_VALUE"""),0)</f>
        <v>0</v>
      </c>
      <c r="BD599" s="30"/>
      <c r="BE599" s="30"/>
      <c r="BF599" s="30" t="b">
        <f ca="1">IFERROR(__xludf.DUMMYFUNCTION("""COMPUTED_VALUE"""),FALSE)</f>
        <v>0</v>
      </c>
      <c r="BG599" s="30"/>
      <c r="BH599" s="30"/>
      <c r="BI599" s="30"/>
      <c r="BJ599" s="30"/>
      <c r="BK599" s="30"/>
      <c r="BL599" s="30"/>
      <c r="BM599" s="30" t="str">
        <f ca="1">IFERROR(__xludf.DUMMYFUNCTION("""COMPUTED_VALUE"""),"No")</f>
        <v>No</v>
      </c>
      <c r="BN599" s="30"/>
      <c r="BP599" s="29"/>
      <c r="CC599" s="30" t="str">
        <f ca="1">IFERROR(__xludf.DUMMYFUNCTION("""COMPUTED_VALUE"""),"0292a311")</f>
        <v>0292a311</v>
      </c>
      <c r="CD599" s="29" t="str">
        <f ca="1">IFERROR(__xludf.DUMMYFUNCTION("""COMPUTED_VALUE"""),"Adultos (30 a 59 años)")</f>
        <v>Adultos (30 a 59 años)</v>
      </c>
      <c r="CE599" s="30" t="str">
        <f ca="1">IFERROR(__xludf.DUMMYFUNCTION("""COMPUTED_VALUE"""),"No se cuenta con el dato")</f>
        <v>No se cuenta con el dato</v>
      </c>
      <c r="CF599" s="30" t="str">
        <f ca="1">IFERROR(__xludf.DUMMYFUNCTION("""COMPUTED_VALUE"""),"Ninguno (Población General)")</f>
        <v>Ninguno (Población General)</v>
      </c>
      <c r="CG599" s="30">
        <f ca="1">IFERROR(__xludf.DUMMYFUNCTION("""COMPUTED_VALUE"""),2)</f>
        <v>2</v>
      </c>
      <c r="CJ599" s="29"/>
      <c r="CM599" s="30" t="str">
        <f ca="1">IFERROR(__xludf.DUMMYFUNCTION("""COMPUTED_VALUE"""),"")</f>
        <v/>
      </c>
      <c r="CN599" s="32" t="e">
        <f ca="1"/>
        <v>#NAME?</v>
      </c>
      <c r="CO599" s="32" t="e">
        <f ca="1"/>
        <v>#NAME?</v>
      </c>
      <c r="CP599" s="32" t="e">
        <f ca="1"/>
        <v>#NAME?</v>
      </c>
      <c r="CQ599" s="32" t="e">
        <f ca="1"/>
        <v>#NAME?</v>
      </c>
      <c r="CR599" s="30" t="e">
        <f ca="1"/>
        <v>#NAME?</v>
      </c>
      <c r="CS599" s="30" t="str">
        <f ca="1">IFERROR(__xludf.DUMMYFUNCTION("""COMPUTED_VALUE"""),"")</f>
        <v/>
      </c>
    </row>
    <row r="600" spans="1:97" ht="13">
      <c r="A600" s="29" t="str">
        <f ca="1">IFERROR(__xludf.DUMMYFUNCTION("""COMPUTED_VALUE"""),"ACT-SCAK96271")</f>
        <v>ACT-SCAK96271</v>
      </c>
      <c r="B600" s="30" t="str">
        <f ca="1">IFERROR(__xludf.DUMMYFUNCTION("""COMPUTED_VALUE"""),"SC-261023-153416")</f>
        <v>SC-261023-153416</v>
      </c>
      <c r="C600" s="62">
        <f ca="1">IFERROR(__xludf.DUMMYFUNCTION("""COMPUTED_VALUE"""),46318.6487962963)</f>
        <v>46318.6487962963</v>
      </c>
      <c r="D600" s="30">
        <f ca="1">IFERROR(__xludf.DUMMYFUNCTION("""COMPUTED_VALUE"""),92)</f>
        <v>92</v>
      </c>
      <c r="E600" s="30" t="str">
        <f ca="1">IFERROR(__xludf.DUMMYFUNCTION("""COMPUTED_VALUE"""),"PB3572")</f>
        <v>PB3572</v>
      </c>
      <c r="F600" s="30" t="str">
        <f ca="1">IFERROR(__xludf.DUMMYFUNCTION("""COMPUTED_VALUE"""),"Gestión de programas de exposiciones, actividades formativas y académicas en los Museos de la Secretaría de Cultura y actividades extramuros")</f>
        <v>Gestión de programas de exposiciones, actividades formativas y académicas en los Museos de la Secretaría de Cultura y actividades extramuros</v>
      </c>
      <c r="G600" s="30" t="str">
        <f ca="1">IFERROR(__xludf.DUMMYFUNCTION("""COMPUTED_VALUE"""),"Creación y participación en actividades formativas y académicas de los museos adscritos a la Secretaria de Cultura")</f>
        <v>Creación y participación en actividades formativas y académicas de los museos adscritos a la Secretaria de Cultura</v>
      </c>
      <c r="H600" s="30" t="str">
        <f ca="1">IFERROR(__xludf.DUMMYFUNCTION("""COMPUTED_VALUE"""),"SUBSECRETARÍA DE DESARROLLO Y PROMOCIÓN ARTÍSTICA Y CULTURAL")</f>
        <v>SUBSECRETARÍA DE DESARROLLO Y PROMOCIÓN ARTÍSTICA Y CULTURAL</v>
      </c>
      <c r="I600" s="34" t="str">
        <f ca="1">IFERROR(__xludf.DUMMYFUNCTION("""COMPUTED_VALUE"""),"DIRECCIÓN GENERAL DE MUSEOS, ARTES VISUALES Y EXPOSICIONES")</f>
        <v>DIRECCIÓN GENERAL DE MUSEOS, ARTES VISUALES Y EXPOSICIONES</v>
      </c>
      <c r="J600" s="30" t="str">
        <f ca="1">IFERROR(__xludf.DUMMYFUNCTION("""COMPUTED_VALUE"""),"Número de Actividades realizadas")</f>
        <v>Número de Actividades realizadas</v>
      </c>
      <c r="K600" s="30">
        <f ca="1">IFERROR(__xludf.DUMMYFUNCTION("""COMPUTED_VALUE"""),800)</f>
        <v>800</v>
      </c>
      <c r="L600" s="30" t="str">
        <f ca="1">IFERROR(__xludf.DUMMYFUNCTION("""COMPUTED_VALUE"""),"Artística")</f>
        <v>Artística</v>
      </c>
      <c r="M600" s="30" t="str">
        <f ca="1">IFERROR(__xludf.DUMMYFUNCTION("""COMPUTED_VALUE"""),"Memorias colectivas del Museo del Pueblo de Guanajuato")</f>
        <v>Memorias colectivas del Museo del Pueblo de Guanajuato</v>
      </c>
      <c r="N600" s="30" t="str">
        <f ca="1">IFERROR(__xludf.DUMMYFUNCTION("""COMPUTED_VALUE"""),"Taller en torno al Aniversario del Museo del Pueblo de Guanajuato")</f>
        <v>Taller en torno al Aniversario del Museo del Pueblo de Guanajuato</v>
      </c>
      <c r="O600" s="30" t="str">
        <f ca="1">IFERROR(__xludf.DUMMYFUNCTION("""COMPUTED_VALUE"""),"Única")</f>
        <v>Única</v>
      </c>
      <c r="P600" s="33">
        <f ca="1">IFERROR(__xludf.DUMMYFUNCTION("""COMPUTED_VALUE"""),46287)</f>
        <v>46287</v>
      </c>
      <c r="Q600" s="33">
        <f ca="1">IFERROR(__xludf.DUMMYFUNCTION("""COMPUTED_VALUE"""),46287)</f>
        <v>46287</v>
      </c>
      <c r="R600" s="30">
        <f ca="1">IFERROR(__xludf.DUMMYFUNCTION("""COMPUTED_VALUE"""),1)</f>
        <v>1</v>
      </c>
      <c r="S600" s="30" t="str">
        <f ca="1">IFERROR(__xludf.DUMMYFUNCTION("""COMPUTED_VALUE"""),"Cultura comunitaria")</f>
        <v>Cultura comunitaria</v>
      </c>
      <c r="T600" s="30" t="str">
        <f ca="1">IFERROR(__xludf.DUMMYFUNCTION("""COMPUTED_VALUE"""),"Formación comunitaria")</f>
        <v>Formación comunitaria</v>
      </c>
      <c r="U600" s="30" t="str">
        <f ca="1">IFERROR(__xludf.DUMMYFUNCTION("""COMPUTED_VALUE"""),"Taller")</f>
        <v>Taller</v>
      </c>
      <c r="V600" s="30" t="str">
        <f ca="1">IFERROR(__xludf.DUMMYFUNCTION("""COMPUTED_VALUE"""),"Ninguna")</f>
        <v>Ninguna</v>
      </c>
      <c r="W600" s="30" t="str">
        <f ca="1">IFERROR(__xludf.DUMMYFUNCTION("""COMPUTED_VALUE"""),"Presencial")</f>
        <v>Presencial</v>
      </c>
      <c r="X600" s="30" t="str">
        <f ca="1">IFERROR(__xludf.DUMMYFUNCTION("""COMPUTED_VALUE"""),"Espacio a Cargo de la Secretaría")</f>
        <v>Espacio a Cargo de la Secretaría</v>
      </c>
      <c r="Y600" s="30" t="str">
        <f ca="1">IFERROR(__xludf.DUMMYFUNCTION("""COMPUTED_VALUE"""),"Museo del Pueblo de Guanajuato")</f>
        <v>Museo del Pueblo de Guanajuato</v>
      </c>
      <c r="Z600" s="30"/>
      <c r="AA600" s="30"/>
      <c r="AB600" s="30" t="b">
        <f ca="1">IFERROR(__xludf.DUMMYFUNCTION("""COMPUTED_VALUE"""),FALSE)</f>
        <v>0</v>
      </c>
      <c r="AC600" s="30"/>
      <c r="AD600" s="30" t="b">
        <f ca="1">IFERROR(__xludf.DUMMYFUNCTION("""COMPUTED_VALUE"""),FALSE)</f>
        <v>0</v>
      </c>
      <c r="AE600" s="30"/>
      <c r="AF600" s="30" t="b">
        <f ca="1">IFERROR(__xludf.DUMMYFUNCTION("""COMPUTED_VALUE"""),FALSE)</f>
        <v>0</v>
      </c>
      <c r="AG600" s="30"/>
      <c r="AH600" s="30" t="str">
        <f ca="1">IFERROR(__xludf.DUMMYFUNCTION("""COMPUTED_VALUE"""),"Sin costo")</f>
        <v>Sin costo</v>
      </c>
      <c r="AI600" s="30"/>
      <c r="AJ600" s="30"/>
      <c r="AK600" s="30"/>
      <c r="AL600" s="30" t="str">
        <f ca="1">IFERROR(__xludf.DUMMYFUNCTION("""COMPUTED_VALUE"""),"ccardonav@guanajuato.gob.mx")</f>
        <v>ccardonav@guanajuato.gob.mx</v>
      </c>
      <c r="AM600" s="30" t="str">
        <f ca="1">IFERROR(__xludf.DUMMYFUNCTION("""COMPUTED_VALUE"""),"Arraigo y empoderamiento cultural de comunidades.")</f>
        <v>Arraigo y empoderamiento cultural de comunidades.</v>
      </c>
      <c r="AN600" s="30" t="str">
        <f ca="1">IFERROR(__xludf.DUMMYFUNCTION("""COMPUTED_VALUE"""),"1 Tranquilidad")</f>
        <v>1 Tranquilidad</v>
      </c>
      <c r="AO600" s="30" t="str">
        <f ca="1">IFERROR(__xludf.DUMMYFUNCTION("""COMPUTED_VALUE"""),"1.2 Fortalecer prevención del delito")</f>
        <v>1.2 Fortalecer prevención del delito</v>
      </c>
      <c r="AP600" s="30" t="str">
        <f ca="1">IFERROR(__xludf.DUMMYFUNCTION("""COMPUTED_VALUE"""),"1.2.2 Fortalecimiento del tejido social")</f>
        <v>1.2.2 Fortalecimiento del tejido social</v>
      </c>
      <c r="AQ600" s="30" t="str">
        <f ca="1">IFERROR(__xludf.DUMMYFUNCTION("""COMPUTED_VALUE"""),"1.2.3.4 Promover una cultura de paz desde las expresiones artísticas y culturales")</f>
        <v>1.2.3.4 Promover una cultura de paz desde las expresiones artísticas y culturales</v>
      </c>
      <c r="AR600" s="30" t="str">
        <f ca="1">IFERROR(__xludf.DUMMYFUNCTION("""COMPUTED_VALUE"""),"Cooperación")</f>
        <v>Cooperación</v>
      </c>
      <c r="AS600" s="30"/>
      <c r="AT600" s="30" t="str">
        <f ca="1">IFERROR(__xludf.DUMMYFUNCTION("""COMPUTED_VALUE"""),"Fortalecimiento de la participación ciudadana y la mediación cultural")</f>
        <v>Fortalecimiento de la participación ciudadana y la mediación cultural</v>
      </c>
      <c r="AU600" s="30" t="str">
        <f ca="1">IFERROR(__xludf.DUMMYFUNCTION("""COMPUTED_VALUE"""),"Impulso a la ampliación de la oferta cultural en los territorios.")</f>
        <v>Impulso a la ampliación de la oferta cultural en los territorios.</v>
      </c>
      <c r="AV600" s="30" t="str">
        <f ca="1">IFERROR(__xludf.DUMMYFUNCTION("""COMPUTED_VALUE"""),"Fortalecer la programación cultural en espacios públicos, espacios alternativos y otros espacios culturales.")</f>
        <v>Fortalecer la programación cultural en espacios públicos, espacios alternativos y otros espacios culturales.</v>
      </c>
      <c r="AW600" s="30" t="str">
        <f ca="1">IFERROR(__xludf.DUMMYFUNCTION("""COMPUTED_VALUE"""),"Incrementar en 25% la oferta cultural realizada en los municipios.")</f>
        <v>Incrementar en 25% la oferta cultural realizada en los municipios.</v>
      </c>
      <c r="AX600" s="30" t="str">
        <f ca="1">IFERROR(__xludf.DUMMYFUNCTION("""COMPUTED_VALUE"""),"Taller")</f>
        <v>Taller</v>
      </c>
      <c r="AY600" s="30" t="str">
        <f ca="1">IFERROR(__xludf.DUMMYFUNCTION("""COMPUTED_VALUE"""),"Formación")</f>
        <v>Formación</v>
      </c>
      <c r="AZ600" s="30" t="str">
        <f ca="1">IFERROR(__xludf.DUMMYFUNCTION("""COMPUTED_VALUE"""),"Formación")</f>
        <v>Formación</v>
      </c>
      <c r="BA600" s="30"/>
      <c r="BB600" s="30"/>
      <c r="BC600" s="30">
        <f ca="1">IFERROR(__xludf.DUMMYFUNCTION("""COMPUTED_VALUE"""),0)</f>
        <v>0</v>
      </c>
      <c r="BD600" s="30"/>
      <c r="BE600" s="30"/>
      <c r="BF600" s="30" t="b">
        <f ca="1">IFERROR(__xludf.DUMMYFUNCTION("""COMPUTED_VALUE"""),FALSE)</f>
        <v>0</v>
      </c>
      <c r="BG600" s="30"/>
      <c r="BH600" s="30"/>
      <c r="BI600" s="30"/>
      <c r="BJ600" s="30"/>
      <c r="BK600" s="30"/>
      <c r="BL600" s="30"/>
      <c r="BM600" s="30" t="str">
        <f ca="1">IFERROR(__xludf.DUMMYFUNCTION("""COMPUTED_VALUE"""),"No")</f>
        <v>No</v>
      </c>
      <c r="BN600" s="30"/>
      <c r="BP600" s="29"/>
      <c r="CC600" s="30" t="str">
        <f ca="1">IFERROR(__xludf.DUMMYFUNCTION("""COMPUTED_VALUE"""),"1b2a8f25")</f>
        <v>1b2a8f25</v>
      </c>
      <c r="CD600" s="29" t="str">
        <f ca="1">IFERROR(__xludf.DUMMYFUNCTION("""COMPUTED_VALUE"""),"Adultos (30 a 59 años)")</f>
        <v>Adultos (30 a 59 años)</v>
      </c>
      <c r="CE600" s="30" t="str">
        <f ca="1">IFERROR(__xludf.DUMMYFUNCTION("""COMPUTED_VALUE"""),"No se cuenta con el dato")</f>
        <v>No se cuenta con el dato</v>
      </c>
      <c r="CF600" s="30" t="str">
        <f ca="1">IFERROR(__xludf.DUMMYFUNCTION("""COMPUTED_VALUE"""),"Ninguno (Población General)")</f>
        <v>Ninguno (Población General)</v>
      </c>
      <c r="CG600" s="30">
        <f ca="1">IFERROR(__xludf.DUMMYFUNCTION("""COMPUTED_VALUE"""),2)</f>
        <v>2</v>
      </c>
      <c r="CJ600" s="29"/>
      <c r="CM600" s="30" t="str">
        <f ca="1">IFERROR(__xludf.DUMMYFUNCTION("""COMPUTED_VALUE"""),"")</f>
        <v/>
      </c>
      <c r="CN600" s="32" t="e">
        <f ca="1"/>
        <v>#NAME?</v>
      </c>
      <c r="CO600" s="32" t="e">
        <f ca="1"/>
        <v>#NAME?</v>
      </c>
      <c r="CP600" s="32" t="e">
        <f ca="1"/>
        <v>#NAME?</v>
      </c>
      <c r="CQ600" s="32" t="e">
        <f ca="1"/>
        <v>#NAME?</v>
      </c>
      <c r="CR600" s="30" t="e">
        <f ca="1"/>
        <v>#NAME?</v>
      </c>
      <c r="CS600" s="30" t="str">
        <f ca="1">IFERROR(__xludf.DUMMYFUNCTION("""COMPUTED_VALUE"""),"")</f>
        <v/>
      </c>
    </row>
    <row r="601" spans="1:97" ht="13">
      <c r="A601" s="29"/>
      <c r="C601" s="32"/>
      <c r="I601" s="34"/>
      <c r="BP601" s="29"/>
      <c r="CC601" s="30" t="str">
        <f ca="1">IFERROR(__xludf.DUMMYFUNCTION("""COMPUTED_VALUE"""),"ee3c2c16")</f>
        <v>ee3c2c16</v>
      </c>
      <c r="CD601" s="29" t="str">
        <f ca="1">IFERROR(__xludf.DUMMYFUNCTION("""COMPUTED_VALUE"""),"Adultos (30 a 59 años)")</f>
        <v>Adultos (30 a 59 años)</v>
      </c>
      <c r="CE601" s="30" t="str">
        <f ca="1">IFERROR(__xludf.DUMMYFUNCTION("""COMPUTED_VALUE"""),"No se cuenta con el dato")</f>
        <v>No se cuenta con el dato</v>
      </c>
      <c r="CF601" s="30" t="str">
        <f ca="1">IFERROR(__xludf.DUMMYFUNCTION("""COMPUTED_VALUE"""),"Ninguno (Población General)")</f>
        <v>Ninguno (Población General)</v>
      </c>
      <c r="CG601" s="30">
        <f ca="1">IFERROR(__xludf.DUMMYFUNCTION("""COMPUTED_VALUE"""),1)</f>
        <v>1</v>
      </c>
      <c r="CJ601" s="29"/>
      <c r="CM601" s="30" t="str">
        <f ca="1">IFERROR(__xludf.DUMMYFUNCTION("""COMPUTED_VALUE"""),"")</f>
        <v/>
      </c>
      <c r="CN601" s="32" t="e">
        <f ca="1"/>
        <v>#NAME?</v>
      </c>
      <c r="CO601" s="32" t="e">
        <f ca="1"/>
        <v>#NAME?</v>
      </c>
      <c r="CP601" s="32" t="e">
        <f ca="1"/>
        <v>#NAME?</v>
      </c>
      <c r="CQ601" s="32" t="e">
        <f ca="1"/>
        <v>#NAME?</v>
      </c>
      <c r="CR601" s="30" t="e">
        <f ca="1"/>
        <v>#NAME?</v>
      </c>
      <c r="CS601" s="30" t="str">
        <f ca="1">IFERROR(__xludf.DUMMYFUNCTION("""COMPUTED_VALUE"""),"")</f>
        <v/>
      </c>
    </row>
    <row r="602" spans="1:97" ht="13">
      <c r="A602" s="29"/>
      <c r="C602" s="32"/>
      <c r="I602" s="34"/>
      <c r="BP602" s="29"/>
      <c r="CC602" s="30" t="str">
        <f ca="1">IFERROR(__xludf.DUMMYFUNCTION("""COMPUTED_VALUE"""),"5701b051")</f>
        <v>5701b051</v>
      </c>
      <c r="CD602" s="29" t="str">
        <f ca="1">IFERROR(__xludf.DUMMYFUNCTION("""COMPUTED_VALUE"""),"Adultos (30 a 59 años)")</f>
        <v>Adultos (30 a 59 años)</v>
      </c>
      <c r="CE602" s="30" t="str">
        <f ca="1">IFERROR(__xludf.DUMMYFUNCTION("""COMPUTED_VALUE"""),"No se cuenta con el dato")</f>
        <v>No se cuenta con el dato</v>
      </c>
      <c r="CF602" s="30" t="str">
        <f ca="1">IFERROR(__xludf.DUMMYFUNCTION("""COMPUTED_VALUE"""),"Ninguno (Población General)")</f>
        <v>Ninguno (Población General)</v>
      </c>
      <c r="CG602" s="30">
        <f ca="1">IFERROR(__xludf.DUMMYFUNCTION("""COMPUTED_VALUE"""),4)</f>
        <v>4</v>
      </c>
      <c r="CJ602" s="29"/>
      <c r="CM602" s="30" t="str">
        <f ca="1">IFERROR(__xludf.DUMMYFUNCTION("""COMPUTED_VALUE"""),"")</f>
        <v/>
      </c>
      <c r="CN602" s="32" t="e">
        <f ca="1"/>
        <v>#NAME?</v>
      </c>
      <c r="CO602" s="32" t="e">
        <f ca="1"/>
        <v>#NAME?</v>
      </c>
      <c r="CP602" s="32" t="e">
        <f ca="1"/>
        <v>#NAME?</v>
      </c>
      <c r="CQ602" s="32" t="e">
        <f ca="1"/>
        <v>#NAME?</v>
      </c>
      <c r="CR602" s="30" t="e">
        <f ca="1"/>
        <v>#NAME?</v>
      </c>
      <c r="CS602" s="30" t="str">
        <f ca="1">IFERROR(__xludf.DUMMYFUNCTION("""COMPUTED_VALUE"""),"")</f>
        <v/>
      </c>
    </row>
    <row r="603" spans="1:97" ht="13">
      <c r="A603" s="29"/>
      <c r="C603" s="32"/>
      <c r="I603" s="34"/>
      <c r="BP603" s="29"/>
      <c r="CC603" s="30" t="str">
        <f ca="1">IFERROR(__xludf.DUMMYFUNCTION("""COMPUTED_VALUE"""),"c260a9ce")</f>
        <v>c260a9ce</v>
      </c>
      <c r="CD603" s="29" t="str">
        <f ca="1">IFERROR(__xludf.DUMMYFUNCTION("""COMPUTED_VALUE"""),"Adultos (30 a 59 años)")</f>
        <v>Adultos (30 a 59 años)</v>
      </c>
      <c r="CE603" s="30" t="str">
        <f ca="1">IFERROR(__xludf.DUMMYFUNCTION("""COMPUTED_VALUE"""),"No se cuenta con el dato")</f>
        <v>No se cuenta con el dato</v>
      </c>
      <c r="CF603" s="30" t="str">
        <f ca="1">IFERROR(__xludf.DUMMYFUNCTION("""COMPUTED_VALUE"""),"Ninguno (Población General)")</f>
        <v>Ninguno (Población General)</v>
      </c>
      <c r="CG603" s="30">
        <f ca="1">IFERROR(__xludf.DUMMYFUNCTION("""COMPUTED_VALUE"""),3)</f>
        <v>3</v>
      </c>
      <c r="CJ603" s="29"/>
      <c r="CM603" s="30" t="str">
        <f ca="1">IFERROR(__xludf.DUMMYFUNCTION("""COMPUTED_VALUE"""),"")</f>
        <v/>
      </c>
      <c r="CN603" s="32" t="e">
        <f ca="1"/>
        <v>#NAME?</v>
      </c>
      <c r="CO603" s="32" t="e">
        <f ca="1"/>
        <v>#NAME?</v>
      </c>
      <c r="CP603" s="32" t="e">
        <f ca="1"/>
        <v>#NAME?</v>
      </c>
      <c r="CQ603" s="32" t="e">
        <f ca="1"/>
        <v>#NAME?</v>
      </c>
      <c r="CR603" s="30" t="e">
        <f ca="1"/>
        <v>#NAME?</v>
      </c>
      <c r="CS603" s="30" t="str">
        <f ca="1">IFERROR(__xludf.DUMMYFUNCTION("""COMPUTED_VALUE"""),"")</f>
        <v/>
      </c>
    </row>
    <row r="604" spans="1:97" ht="13">
      <c r="A604" s="29"/>
      <c r="C604" s="32"/>
      <c r="I604" s="34"/>
      <c r="BP604" s="29"/>
      <c r="CC604" s="30" t="str">
        <f ca="1">IFERROR(__xludf.DUMMYFUNCTION("""COMPUTED_VALUE"""),"98908089")</f>
        <v>98908089</v>
      </c>
      <c r="CD604" s="29" t="str">
        <f ca="1">IFERROR(__xludf.DUMMYFUNCTION("""COMPUTED_VALUE"""),"Adultos Mayores (60 años o más)")</f>
        <v>Adultos Mayores (60 años o más)</v>
      </c>
      <c r="CE604" s="30" t="str">
        <f ca="1">IFERROR(__xludf.DUMMYFUNCTION("""COMPUTED_VALUE"""),"Dato global")</f>
        <v>Dato global</v>
      </c>
      <c r="CF604" s="30" t="str">
        <f ca="1">IFERROR(__xludf.DUMMYFUNCTION("""COMPUTED_VALUE"""),"Ninguno (Población General)")</f>
        <v>Ninguno (Población General)</v>
      </c>
      <c r="CG604" s="30">
        <f ca="1">IFERROR(__xludf.DUMMYFUNCTION("""COMPUTED_VALUE"""),27)</f>
        <v>27</v>
      </c>
      <c r="CJ604" s="29"/>
      <c r="CM604" s="30" t="str">
        <f ca="1">IFERROR(__xludf.DUMMYFUNCTION("""COMPUTED_VALUE"""),"")</f>
        <v/>
      </c>
      <c r="CN604" s="32" t="e">
        <f ca="1"/>
        <v>#NAME?</v>
      </c>
      <c r="CO604" s="32" t="e">
        <f ca="1"/>
        <v>#NAME?</v>
      </c>
      <c r="CP604" s="32" t="e">
        <f ca="1"/>
        <v>#NAME?</v>
      </c>
      <c r="CQ604" s="32" t="e">
        <f ca="1"/>
        <v>#NAME?</v>
      </c>
      <c r="CR604" s="30" t="e">
        <f ca="1"/>
        <v>#NAME?</v>
      </c>
      <c r="CS604" s="30" t="str">
        <f ca="1">IFERROR(__xludf.DUMMYFUNCTION("""COMPUTED_VALUE"""),"")</f>
        <v/>
      </c>
    </row>
    <row r="605" spans="1:97" ht="13">
      <c r="A605" s="29"/>
      <c r="C605" s="32"/>
      <c r="I605" s="34"/>
      <c r="BP605" s="29"/>
      <c r="CC605" s="30" t="str">
        <f ca="1">IFERROR(__xludf.DUMMYFUNCTION("""COMPUTED_VALUE"""),"8eb80cf0")</f>
        <v>8eb80cf0</v>
      </c>
      <c r="CD605" s="29" t="str">
        <f ca="1">IFERROR(__xludf.DUMMYFUNCTION("""COMPUTED_VALUE"""),"Adultos (30 a 59 años)")</f>
        <v>Adultos (30 a 59 años)</v>
      </c>
      <c r="CE605" s="30" t="str">
        <f ca="1">IFERROR(__xludf.DUMMYFUNCTION("""COMPUTED_VALUE"""),"Dato global")</f>
        <v>Dato global</v>
      </c>
      <c r="CF605" s="30" t="str">
        <f ca="1">IFERROR(__xludf.DUMMYFUNCTION("""COMPUTED_VALUE"""),"Ninguno (Población General)")</f>
        <v>Ninguno (Población General)</v>
      </c>
      <c r="CG605" s="30">
        <f ca="1">IFERROR(__xludf.DUMMYFUNCTION("""COMPUTED_VALUE"""),30)</f>
        <v>30</v>
      </c>
      <c r="CJ605" s="29"/>
      <c r="CM605" s="30" t="str">
        <f ca="1">IFERROR(__xludf.DUMMYFUNCTION("""COMPUTED_VALUE"""),"")</f>
        <v/>
      </c>
      <c r="CN605" s="32" t="e">
        <f ca="1"/>
        <v>#NAME?</v>
      </c>
      <c r="CO605" s="32" t="e">
        <f ca="1"/>
        <v>#NAME?</v>
      </c>
      <c r="CP605" s="32" t="e">
        <f ca="1"/>
        <v>#NAME?</v>
      </c>
      <c r="CQ605" s="32" t="e">
        <f ca="1"/>
        <v>#NAME?</v>
      </c>
      <c r="CR605" s="30" t="e">
        <f ca="1"/>
        <v>#NAME?</v>
      </c>
      <c r="CS605" s="30" t="str">
        <f ca="1">IFERROR(__xludf.DUMMYFUNCTION("""COMPUTED_VALUE"""),"")</f>
        <v/>
      </c>
    </row>
    <row r="606" spans="1:97" ht="13">
      <c r="A606" s="29"/>
      <c r="C606" s="32"/>
      <c r="I606" s="34"/>
      <c r="BP606" s="29"/>
      <c r="CC606" s="30" t="str">
        <f ca="1">IFERROR(__xludf.DUMMYFUNCTION("""COMPUTED_VALUE"""),"3afd4eed")</f>
        <v>3afd4eed</v>
      </c>
      <c r="CD606" s="29" t="str">
        <f ca="1">IFERROR(__xludf.DUMMYFUNCTION("""COMPUTED_VALUE"""),"Jóvenes (18 a 29 años)")</f>
        <v>Jóvenes (18 a 29 años)</v>
      </c>
      <c r="CE606" s="30" t="str">
        <f ca="1">IFERROR(__xludf.DUMMYFUNCTION("""COMPUTED_VALUE"""),"Dato global")</f>
        <v>Dato global</v>
      </c>
      <c r="CF606" s="30" t="str">
        <f ca="1">IFERROR(__xludf.DUMMYFUNCTION("""COMPUTED_VALUE"""),"Ninguno (Población General)")</f>
        <v>Ninguno (Población General)</v>
      </c>
      <c r="CG606" s="30">
        <f ca="1">IFERROR(__xludf.DUMMYFUNCTION("""COMPUTED_VALUE"""),46)</f>
        <v>46</v>
      </c>
      <c r="CJ606" s="29"/>
      <c r="CM606" s="30" t="str">
        <f ca="1">IFERROR(__xludf.DUMMYFUNCTION("""COMPUTED_VALUE"""),"")</f>
        <v/>
      </c>
      <c r="CN606" s="32" t="e">
        <f ca="1"/>
        <v>#NAME?</v>
      </c>
      <c r="CO606" s="32" t="e">
        <f ca="1"/>
        <v>#NAME?</v>
      </c>
      <c r="CP606" s="32" t="e">
        <f ca="1"/>
        <v>#NAME?</v>
      </c>
      <c r="CQ606" s="32" t="e">
        <f ca="1"/>
        <v>#NAME?</v>
      </c>
      <c r="CR606" s="30" t="e">
        <f ca="1"/>
        <v>#NAME?</v>
      </c>
      <c r="CS606" s="30" t="str">
        <f ca="1">IFERROR(__xludf.DUMMYFUNCTION("""COMPUTED_VALUE"""),"")</f>
        <v/>
      </c>
    </row>
    <row r="607" spans="1:97" ht="13">
      <c r="A607" s="29"/>
      <c r="C607" s="32"/>
      <c r="I607" s="34"/>
      <c r="BP607" s="29"/>
      <c r="CC607" s="30" t="str">
        <f ca="1">IFERROR(__xludf.DUMMYFUNCTION("""COMPUTED_VALUE"""),"689c0048")</f>
        <v>689c0048</v>
      </c>
      <c r="CD607" s="29" t="str">
        <f ca="1">IFERROR(__xludf.DUMMYFUNCTION("""COMPUTED_VALUE"""),"Adultos Mayores (60 años o más)")</f>
        <v>Adultos Mayores (60 años o más)</v>
      </c>
      <c r="CE607" s="30" t="str">
        <f ca="1">IFERROR(__xludf.DUMMYFUNCTION("""COMPUTED_VALUE"""),"No se cuenta con el dato")</f>
        <v>No se cuenta con el dato</v>
      </c>
      <c r="CF607" s="30" t="str">
        <f ca="1">IFERROR(__xludf.DUMMYFUNCTION("""COMPUTED_VALUE"""),"Ninguno (Población General)")</f>
        <v>Ninguno (Población General)</v>
      </c>
      <c r="CG607" s="30">
        <f ca="1">IFERROR(__xludf.DUMMYFUNCTION("""COMPUTED_VALUE"""),35)</f>
        <v>35</v>
      </c>
      <c r="CJ607" s="29"/>
      <c r="CM607" s="30" t="str">
        <f ca="1">IFERROR(__xludf.DUMMYFUNCTION("""COMPUTED_VALUE"""),"")</f>
        <v/>
      </c>
      <c r="CN607" s="32" t="e">
        <f ca="1"/>
        <v>#NAME?</v>
      </c>
      <c r="CO607" s="32" t="e">
        <f ca="1"/>
        <v>#NAME?</v>
      </c>
      <c r="CP607" s="32" t="e">
        <f ca="1"/>
        <v>#NAME?</v>
      </c>
      <c r="CQ607" s="32" t="e">
        <f ca="1"/>
        <v>#NAME?</v>
      </c>
      <c r="CR607" s="30" t="e">
        <f ca="1"/>
        <v>#NAME?</v>
      </c>
      <c r="CS607" s="30" t="str">
        <f ca="1">IFERROR(__xludf.DUMMYFUNCTION("""COMPUTED_VALUE"""),"")</f>
        <v/>
      </c>
    </row>
    <row r="608" spans="1:97" ht="13">
      <c r="A608" s="29"/>
      <c r="C608" s="32"/>
      <c r="I608" s="34"/>
      <c r="BP608" s="29"/>
      <c r="CC608" s="30" t="str">
        <f ca="1">IFERROR(__xludf.DUMMYFUNCTION("""COMPUTED_VALUE"""),"7062f1af")</f>
        <v>7062f1af</v>
      </c>
      <c r="CD608" s="29" t="str">
        <f ca="1">IFERROR(__xludf.DUMMYFUNCTION("""COMPUTED_VALUE"""),"Adultos (30 a 59 años)")</f>
        <v>Adultos (30 a 59 años)</v>
      </c>
      <c r="CE608" s="30" t="str">
        <f ca="1">IFERROR(__xludf.DUMMYFUNCTION("""COMPUTED_VALUE"""),"No se cuenta con el dato")</f>
        <v>No se cuenta con el dato</v>
      </c>
      <c r="CF608" s="30" t="str">
        <f ca="1">IFERROR(__xludf.DUMMYFUNCTION("""COMPUTED_VALUE"""),"Ninguno (Población General)")</f>
        <v>Ninguno (Población General)</v>
      </c>
      <c r="CG608" s="30">
        <f ca="1">IFERROR(__xludf.DUMMYFUNCTION("""COMPUTED_VALUE"""),47)</f>
        <v>47</v>
      </c>
      <c r="CJ608" s="29"/>
      <c r="CM608" s="30" t="str">
        <f ca="1">IFERROR(__xludf.DUMMYFUNCTION("""COMPUTED_VALUE"""),"")</f>
        <v/>
      </c>
      <c r="CN608" s="32" t="e">
        <f ca="1"/>
        <v>#NAME?</v>
      </c>
      <c r="CO608" s="32" t="e">
        <f ca="1"/>
        <v>#NAME?</v>
      </c>
      <c r="CP608" s="32" t="e">
        <f ca="1"/>
        <v>#NAME?</v>
      </c>
      <c r="CQ608" s="32" t="e">
        <f ca="1"/>
        <v>#NAME?</v>
      </c>
      <c r="CR608" s="30" t="e">
        <f ca="1"/>
        <v>#NAME?</v>
      </c>
      <c r="CS608" s="30" t="str">
        <f ca="1">IFERROR(__xludf.DUMMYFUNCTION("""COMPUTED_VALUE"""),"")</f>
        <v/>
      </c>
    </row>
    <row r="609" spans="1:97" ht="13">
      <c r="A609" s="29"/>
      <c r="C609" s="32"/>
      <c r="I609" s="34"/>
      <c r="BP609" s="29"/>
      <c r="CC609" s="30" t="str">
        <f ca="1">IFERROR(__xludf.DUMMYFUNCTION("""COMPUTED_VALUE"""),"87eae616")</f>
        <v>87eae616</v>
      </c>
      <c r="CD609" s="29" t="str">
        <f ca="1">IFERROR(__xludf.DUMMYFUNCTION("""COMPUTED_VALUE"""),"Jóvenes (18 a 29 años)")</f>
        <v>Jóvenes (18 a 29 años)</v>
      </c>
      <c r="CE609" s="30" t="str">
        <f ca="1">IFERROR(__xludf.DUMMYFUNCTION("""COMPUTED_VALUE"""),"No se cuenta con el dato")</f>
        <v>No se cuenta con el dato</v>
      </c>
      <c r="CF609" s="30" t="str">
        <f ca="1">IFERROR(__xludf.DUMMYFUNCTION("""COMPUTED_VALUE"""),"Ninguno (Población General)")</f>
        <v>Ninguno (Población General)</v>
      </c>
      <c r="CG609" s="30">
        <f ca="1">IFERROR(__xludf.DUMMYFUNCTION("""COMPUTED_VALUE"""),5)</f>
        <v>5</v>
      </c>
      <c r="CJ609" s="29"/>
      <c r="CM609" s="30" t="str">
        <f ca="1">IFERROR(__xludf.DUMMYFUNCTION("""COMPUTED_VALUE"""),"")</f>
        <v/>
      </c>
      <c r="CN609" s="32" t="e">
        <f ca="1"/>
        <v>#NAME?</v>
      </c>
      <c r="CO609" s="32" t="e">
        <f ca="1"/>
        <v>#NAME?</v>
      </c>
      <c r="CP609" s="32" t="e">
        <f ca="1"/>
        <v>#NAME?</v>
      </c>
      <c r="CQ609" s="32" t="e">
        <f ca="1"/>
        <v>#NAME?</v>
      </c>
      <c r="CR609" s="30" t="e">
        <f ca="1"/>
        <v>#NAME?</v>
      </c>
      <c r="CS609" s="30" t="str">
        <f ca="1">IFERROR(__xludf.DUMMYFUNCTION("""COMPUTED_VALUE"""),"")</f>
        <v/>
      </c>
    </row>
    <row r="610" spans="1:97" ht="13">
      <c r="A610" s="29"/>
      <c r="C610" s="32"/>
      <c r="I610" s="34"/>
      <c r="BP610" s="29"/>
      <c r="CC610" s="30" t="str">
        <f ca="1">IFERROR(__xludf.DUMMYFUNCTION("""COMPUTED_VALUE"""),"1520b948")</f>
        <v>1520b948</v>
      </c>
      <c r="CD610" s="29" t="str">
        <f ca="1">IFERROR(__xludf.DUMMYFUNCTION("""COMPUTED_VALUE"""),"Jóvenes (18 a 29 años)")</f>
        <v>Jóvenes (18 a 29 años)</v>
      </c>
      <c r="CE610" s="30" t="str">
        <f ca="1">IFERROR(__xludf.DUMMYFUNCTION("""COMPUTED_VALUE"""),"No se cuenta con el dato")</f>
        <v>No se cuenta con el dato</v>
      </c>
      <c r="CF610" s="30" t="str">
        <f ca="1">IFERROR(__xludf.DUMMYFUNCTION("""COMPUTED_VALUE"""),"Ninguno (Población General)")</f>
        <v>Ninguno (Población General)</v>
      </c>
      <c r="CG610" s="30">
        <f ca="1">IFERROR(__xludf.DUMMYFUNCTION("""COMPUTED_VALUE"""),24)</f>
        <v>24</v>
      </c>
      <c r="CJ610" s="29"/>
      <c r="CM610" s="30" t="str">
        <f ca="1">IFERROR(__xludf.DUMMYFUNCTION("""COMPUTED_VALUE"""),"")</f>
        <v/>
      </c>
      <c r="CN610" s="32" t="e">
        <f ca="1"/>
        <v>#NAME?</v>
      </c>
      <c r="CO610" s="32" t="e">
        <f ca="1"/>
        <v>#NAME?</v>
      </c>
      <c r="CP610" s="32" t="e">
        <f ca="1"/>
        <v>#NAME?</v>
      </c>
      <c r="CQ610" s="32" t="e">
        <f ca="1"/>
        <v>#NAME?</v>
      </c>
      <c r="CR610" s="30" t="e">
        <f ca="1"/>
        <v>#NAME?</v>
      </c>
      <c r="CS610" s="30" t="str">
        <f ca="1">IFERROR(__xludf.DUMMYFUNCTION("""COMPUTED_VALUE"""),"")</f>
        <v/>
      </c>
    </row>
    <row r="611" spans="1:97" ht="13">
      <c r="A611" s="29"/>
      <c r="C611" s="32"/>
      <c r="I611" s="34"/>
      <c r="BP611" s="29"/>
      <c r="CC611" s="30" t="str">
        <f ca="1">IFERROR(__xludf.DUMMYFUNCTION("""COMPUTED_VALUE"""),"6552c0ec")</f>
        <v>6552c0ec</v>
      </c>
      <c r="CD611" s="29" t="str">
        <f ca="1">IFERROR(__xludf.DUMMYFUNCTION("""COMPUTED_VALUE"""),"Adultos (30 a 59 años)")</f>
        <v>Adultos (30 a 59 años)</v>
      </c>
      <c r="CE611" s="30" t="str">
        <f ca="1">IFERROR(__xludf.DUMMYFUNCTION("""COMPUTED_VALUE"""),"No se cuenta con el dato")</f>
        <v>No se cuenta con el dato</v>
      </c>
      <c r="CF611" s="30" t="str">
        <f ca="1">IFERROR(__xludf.DUMMYFUNCTION("""COMPUTED_VALUE"""),"Ninguno (Población General)")</f>
        <v>Ninguno (Población General)</v>
      </c>
      <c r="CG611" s="30">
        <f ca="1">IFERROR(__xludf.DUMMYFUNCTION("""COMPUTED_VALUE"""),33)</f>
        <v>33</v>
      </c>
      <c r="CJ611" s="29"/>
      <c r="CM611" s="30" t="str">
        <f ca="1">IFERROR(__xludf.DUMMYFUNCTION("""COMPUTED_VALUE"""),"")</f>
        <v/>
      </c>
      <c r="CN611" s="32" t="e">
        <f ca="1"/>
        <v>#NAME?</v>
      </c>
      <c r="CO611" s="32" t="e">
        <f ca="1"/>
        <v>#NAME?</v>
      </c>
      <c r="CP611" s="32" t="e">
        <f ca="1"/>
        <v>#NAME?</v>
      </c>
      <c r="CQ611" s="32" t="e">
        <f ca="1"/>
        <v>#NAME?</v>
      </c>
      <c r="CR611" s="30" t="e">
        <f ca="1"/>
        <v>#NAME?</v>
      </c>
      <c r="CS611" s="30" t="str">
        <f ca="1">IFERROR(__xludf.DUMMYFUNCTION("""COMPUTED_VALUE"""),"")</f>
        <v/>
      </c>
    </row>
    <row r="612" spans="1:97" ht="13">
      <c r="A612" s="29"/>
      <c r="C612" s="32"/>
      <c r="I612" s="34"/>
      <c r="BP612" s="29"/>
      <c r="CC612" s="30" t="str">
        <f ca="1">IFERROR(__xludf.DUMMYFUNCTION("""COMPUTED_VALUE"""),"dbcb39fd")</f>
        <v>dbcb39fd</v>
      </c>
      <c r="CD612" s="29" t="str">
        <f ca="1">IFERROR(__xludf.DUMMYFUNCTION("""COMPUTED_VALUE"""),"Adultos Mayores (60 años o más)")</f>
        <v>Adultos Mayores (60 años o más)</v>
      </c>
      <c r="CE612" s="30" t="str">
        <f ca="1">IFERROR(__xludf.DUMMYFUNCTION("""COMPUTED_VALUE"""),"No se cuenta con el dato")</f>
        <v>No se cuenta con el dato</v>
      </c>
      <c r="CF612" s="30" t="str">
        <f ca="1">IFERROR(__xludf.DUMMYFUNCTION("""COMPUTED_VALUE"""),"Ninguno (Población General)")</f>
        <v>Ninguno (Población General)</v>
      </c>
      <c r="CG612" s="30">
        <f ca="1">IFERROR(__xludf.DUMMYFUNCTION("""COMPUTED_VALUE"""),5)</f>
        <v>5</v>
      </c>
      <c r="CJ612" s="29"/>
      <c r="CM612" s="30" t="str">
        <f ca="1">IFERROR(__xludf.DUMMYFUNCTION("""COMPUTED_VALUE"""),"")</f>
        <v/>
      </c>
      <c r="CN612" s="32" t="e">
        <f ca="1"/>
        <v>#NAME?</v>
      </c>
      <c r="CO612" s="32" t="e">
        <f ca="1"/>
        <v>#NAME?</v>
      </c>
      <c r="CP612" s="32" t="e">
        <f ca="1"/>
        <v>#NAME?</v>
      </c>
      <c r="CQ612" s="32" t="e">
        <f ca="1"/>
        <v>#NAME?</v>
      </c>
      <c r="CR612" s="30" t="e">
        <f ca="1"/>
        <v>#NAME?</v>
      </c>
      <c r="CS612" s="30" t="str">
        <f ca="1">IFERROR(__xludf.DUMMYFUNCTION("""COMPUTED_VALUE"""),"")</f>
        <v/>
      </c>
    </row>
    <row r="613" spans="1:97" ht="13">
      <c r="A613" s="29"/>
      <c r="C613" s="32"/>
      <c r="I613" s="34"/>
      <c r="BP613" s="29"/>
      <c r="CC613" s="30" t="str">
        <f ca="1">IFERROR(__xludf.DUMMYFUNCTION("""COMPUTED_VALUE"""),"5b4e53d9")</f>
        <v>5b4e53d9</v>
      </c>
      <c r="CD613" s="29" t="str">
        <f ca="1">IFERROR(__xludf.DUMMYFUNCTION("""COMPUTED_VALUE"""),"Niñas y Niños (6 a 12 años)")</f>
        <v>Niñas y Niños (6 a 12 años)</v>
      </c>
      <c r="CE613" s="30" t="str">
        <f ca="1">IFERROR(__xludf.DUMMYFUNCTION("""COMPUTED_VALUE"""),"No se cuenta con el dato")</f>
        <v>No se cuenta con el dato</v>
      </c>
      <c r="CF613" s="30" t="str">
        <f ca="1">IFERROR(__xludf.DUMMYFUNCTION("""COMPUTED_VALUE"""),"Ninguno (Población General)")</f>
        <v>Ninguno (Población General)</v>
      </c>
      <c r="CG613" s="30">
        <f ca="1">IFERROR(__xludf.DUMMYFUNCTION("""COMPUTED_VALUE"""),2)</f>
        <v>2</v>
      </c>
      <c r="CJ613" s="29"/>
      <c r="CM613" s="30" t="str">
        <f ca="1">IFERROR(__xludf.DUMMYFUNCTION("""COMPUTED_VALUE"""),"")</f>
        <v/>
      </c>
      <c r="CN613" s="32" t="e">
        <f ca="1"/>
        <v>#NAME?</v>
      </c>
      <c r="CO613" s="32" t="e">
        <f ca="1"/>
        <v>#NAME?</v>
      </c>
      <c r="CP613" s="32" t="e">
        <f ca="1"/>
        <v>#NAME?</v>
      </c>
      <c r="CQ613" s="32" t="e">
        <f ca="1"/>
        <v>#NAME?</v>
      </c>
      <c r="CR613" s="30" t="e">
        <f ca="1"/>
        <v>#NAME?</v>
      </c>
      <c r="CS613" s="30" t="str">
        <f ca="1">IFERROR(__xludf.DUMMYFUNCTION("""COMPUTED_VALUE"""),"")</f>
        <v/>
      </c>
    </row>
    <row r="614" spans="1:97" ht="13">
      <c r="A614" s="29"/>
      <c r="C614" s="32"/>
      <c r="I614" s="34"/>
      <c r="BP614" s="29"/>
      <c r="CC614" s="30" t="str">
        <f ca="1">IFERROR(__xludf.DUMMYFUNCTION("""COMPUTED_VALUE"""),"ec2f4323")</f>
        <v>ec2f4323</v>
      </c>
      <c r="CD614" s="29" t="str">
        <f ca="1">IFERROR(__xludf.DUMMYFUNCTION("""COMPUTED_VALUE"""),"Adolescentes (13 a 17 años)")</f>
        <v>Adolescentes (13 a 17 años)</v>
      </c>
      <c r="CE614" s="30" t="str">
        <f ca="1">IFERROR(__xludf.DUMMYFUNCTION("""COMPUTED_VALUE"""),"No se cuenta con el dato")</f>
        <v>No se cuenta con el dato</v>
      </c>
      <c r="CF614" s="30" t="str">
        <f ca="1">IFERROR(__xludf.DUMMYFUNCTION("""COMPUTED_VALUE"""),"Ninguno (Población General)")</f>
        <v>Ninguno (Población General)</v>
      </c>
      <c r="CG614" s="30">
        <f ca="1">IFERROR(__xludf.DUMMYFUNCTION("""COMPUTED_VALUE"""),3)</f>
        <v>3</v>
      </c>
      <c r="CJ614" s="29"/>
      <c r="CM614" s="30" t="str">
        <f ca="1">IFERROR(__xludf.DUMMYFUNCTION("""COMPUTED_VALUE"""),"")</f>
        <v/>
      </c>
      <c r="CN614" s="32" t="e">
        <f ca="1"/>
        <v>#NAME?</v>
      </c>
      <c r="CO614" s="32" t="e">
        <f ca="1"/>
        <v>#NAME?</v>
      </c>
      <c r="CP614" s="32" t="e">
        <f ca="1"/>
        <v>#NAME?</v>
      </c>
      <c r="CQ614" s="32" t="e">
        <f ca="1"/>
        <v>#NAME?</v>
      </c>
      <c r="CR614" s="30" t="e">
        <f ca="1"/>
        <v>#NAME?</v>
      </c>
      <c r="CS614" s="30" t="str">
        <f ca="1">IFERROR(__xludf.DUMMYFUNCTION("""COMPUTED_VALUE"""),"")</f>
        <v/>
      </c>
    </row>
    <row r="615" spans="1:97" ht="13">
      <c r="A615" s="29"/>
      <c r="C615" s="32"/>
      <c r="I615" s="34"/>
      <c r="BP615" s="29"/>
      <c r="CC615" s="30" t="str">
        <f ca="1">IFERROR(__xludf.DUMMYFUNCTION("""COMPUTED_VALUE"""),"5ea6efb7")</f>
        <v>5ea6efb7</v>
      </c>
      <c r="CD615" s="29" t="str">
        <f ca="1">IFERROR(__xludf.DUMMYFUNCTION("""COMPUTED_VALUE"""),"Niñas y Niños (6 a 12 años)")</f>
        <v>Niñas y Niños (6 a 12 años)</v>
      </c>
      <c r="CE615" s="30" t="str">
        <f ca="1">IFERROR(__xludf.DUMMYFUNCTION("""COMPUTED_VALUE"""),"No se cuenta con el dato")</f>
        <v>No se cuenta con el dato</v>
      </c>
      <c r="CF615" s="30" t="str">
        <f ca="1">IFERROR(__xludf.DUMMYFUNCTION("""COMPUTED_VALUE"""),"Ninguno (Población General)")</f>
        <v>Ninguno (Población General)</v>
      </c>
      <c r="CG615" s="30">
        <f ca="1">IFERROR(__xludf.DUMMYFUNCTION("""COMPUTED_VALUE"""),8)</f>
        <v>8</v>
      </c>
      <c r="CJ615" s="29"/>
      <c r="CM615" s="30" t="str">
        <f ca="1">IFERROR(__xludf.DUMMYFUNCTION("""COMPUTED_VALUE"""),"")</f>
        <v/>
      </c>
      <c r="CN615" s="32" t="e">
        <f ca="1"/>
        <v>#NAME?</v>
      </c>
      <c r="CO615" s="32" t="e">
        <f ca="1"/>
        <v>#NAME?</v>
      </c>
      <c r="CP615" s="32" t="e">
        <f ca="1"/>
        <v>#NAME?</v>
      </c>
      <c r="CQ615" s="32" t="e">
        <f ca="1"/>
        <v>#NAME?</v>
      </c>
      <c r="CR615" s="30" t="e">
        <f ca="1"/>
        <v>#NAME?</v>
      </c>
      <c r="CS615" s="30" t="str">
        <f ca="1">IFERROR(__xludf.DUMMYFUNCTION("""COMPUTED_VALUE"""),"")</f>
        <v/>
      </c>
    </row>
    <row r="616" spans="1:97" ht="13">
      <c r="A616" s="29"/>
      <c r="C616" s="32"/>
      <c r="I616" s="34"/>
      <c r="BP616" s="29"/>
      <c r="CC616" s="30" t="str">
        <f ca="1">IFERROR(__xludf.DUMMYFUNCTION("""COMPUTED_VALUE"""),"b4f00b65")</f>
        <v>b4f00b65</v>
      </c>
      <c r="CD616" s="29" t="str">
        <f ca="1">IFERROR(__xludf.DUMMYFUNCTION("""COMPUTED_VALUE"""),"Adolescentes (13 a 17 años)")</f>
        <v>Adolescentes (13 a 17 años)</v>
      </c>
      <c r="CE616" s="30" t="str">
        <f ca="1">IFERROR(__xludf.DUMMYFUNCTION("""COMPUTED_VALUE"""),"No se cuenta con el dato")</f>
        <v>No se cuenta con el dato</v>
      </c>
      <c r="CF616" s="30" t="str">
        <f ca="1">IFERROR(__xludf.DUMMYFUNCTION("""COMPUTED_VALUE"""),"Ninguno (Población General)")</f>
        <v>Ninguno (Población General)</v>
      </c>
      <c r="CG616" s="30">
        <f ca="1">IFERROR(__xludf.DUMMYFUNCTION("""COMPUTED_VALUE"""),10)</f>
        <v>10</v>
      </c>
      <c r="CJ616" s="29"/>
      <c r="CM616" s="30" t="str">
        <f ca="1">IFERROR(__xludf.DUMMYFUNCTION("""COMPUTED_VALUE"""),"")</f>
        <v/>
      </c>
      <c r="CN616" s="32" t="e">
        <f ca="1"/>
        <v>#NAME?</v>
      </c>
      <c r="CO616" s="32" t="e">
        <f ca="1"/>
        <v>#NAME?</v>
      </c>
      <c r="CP616" s="32" t="e">
        <f ca="1"/>
        <v>#NAME?</v>
      </c>
      <c r="CQ616" s="32" t="e">
        <f ca="1"/>
        <v>#NAME?</v>
      </c>
      <c r="CR616" s="30" t="e">
        <f ca="1"/>
        <v>#NAME?</v>
      </c>
      <c r="CS616" s="30" t="str">
        <f ca="1">IFERROR(__xludf.DUMMYFUNCTION("""COMPUTED_VALUE"""),"")</f>
        <v/>
      </c>
    </row>
    <row r="617" spans="1:97" ht="13">
      <c r="A617" s="29"/>
      <c r="C617" s="32"/>
      <c r="I617" s="34"/>
      <c r="BP617" s="29"/>
      <c r="CC617" s="30" t="str">
        <f ca="1">IFERROR(__xludf.DUMMYFUNCTION("""COMPUTED_VALUE"""),"a9985d84")</f>
        <v>a9985d84</v>
      </c>
      <c r="CD617" s="29" t="str">
        <f ca="1">IFERROR(__xludf.DUMMYFUNCTION("""COMPUTED_VALUE"""),"Jóvenes (18 a 29 años)")</f>
        <v>Jóvenes (18 a 29 años)</v>
      </c>
      <c r="CE617" s="30" t="str">
        <f ca="1">IFERROR(__xludf.DUMMYFUNCTION("""COMPUTED_VALUE"""),"No se cuenta con el dato")</f>
        <v>No se cuenta con el dato</v>
      </c>
      <c r="CF617" s="30" t="str">
        <f ca="1">IFERROR(__xludf.DUMMYFUNCTION("""COMPUTED_VALUE"""),"Ninguno (Población General)")</f>
        <v>Ninguno (Población General)</v>
      </c>
      <c r="CG617" s="30">
        <f ca="1">IFERROR(__xludf.DUMMYFUNCTION("""COMPUTED_VALUE"""),37)</f>
        <v>37</v>
      </c>
      <c r="CJ617" s="29"/>
      <c r="CM617" s="30" t="str">
        <f ca="1">IFERROR(__xludf.DUMMYFUNCTION("""COMPUTED_VALUE"""),"")</f>
        <v/>
      </c>
      <c r="CN617" s="32" t="e">
        <f ca="1"/>
        <v>#NAME?</v>
      </c>
      <c r="CO617" s="32" t="e">
        <f ca="1"/>
        <v>#NAME?</v>
      </c>
      <c r="CP617" s="32" t="e">
        <f ca="1"/>
        <v>#NAME?</v>
      </c>
      <c r="CQ617" s="32" t="e">
        <f ca="1"/>
        <v>#NAME?</v>
      </c>
      <c r="CR617" s="30" t="e">
        <f ca="1"/>
        <v>#NAME?</v>
      </c>
      <c r="CS617" s="30" t="str">
        <f ca="1">IFERROR(__xludf.DUMMYFUNCTION("""COMPUTED_VALUE"""),"")</f>
        <v/>
      </c>
    </row>
    <row r="618" spans="1:97" ht="13">
      <c r="A618" s="29"/>
      <c r="C618" s="32"/>
      <c r="I618" s="34"/>
      <c r="BP618" s="29"/>
      <c r="CC618" s="30" t="str">
        <f ca="1">IFERROR(__xludf.DUMMYFUNCTION("""COMPUTED_VALUE"""),"2c04c9c7")</f>
        <v>2c04c9c7</v>
      </c>
      <c r="CD618" s="29" t="str">
        <f ca="1">IFERROR(__xludf.DUMMYFUNCTION("""COMPUTED_VALUE"""),"Adultos (30 a 59 años)")</f>
        <v>Adultos (30 a 59 años)</v>
      </c>
      <c r="CE618" s="30" t="str">
        <f ca="1">IFERROR(__xludf.DUMMYFUNCTION("""COMPUTED_VALUE"""),"No se cuenta con el dato")</f>
        <v>No se cuenta con el dato</v>
      </c>
      <c r="CF618" s="30" t="str">
        <f ca="1">IFERROR(__xludf.DUMMYFUNCTION("""COMPUTED_VALUE"""),"Ninguno (Población General)")</f>
        <v>Ninguno (Población General)</v>
      </c>
      <c r="CG618" s="30">
        <f ca="1">IFERROR(__xludf.DUMMYFUNCTION("""COMPUTED_VALUE"""),77)</f>
        <v>77</v>
      </c>
      <c r="CJ618" s="29"/>
      <c r="CM618" s="30" t="str">
        <f ca="1">IFERROR(__xludf.DUMMYFUNCTION("""COMPUTED_VALUE"""),"")</f>
        <v/>
      </c>
      <c r="CN618" s="32" t="e">
        <f ca="1"/>
        <v>#NAME?</v>
      </c>
      <c r="CO618" s="32" t="e">
        <f ca="1"/>
        <v>#NAME?</v>
      </c>
      <c r="CP618" s="32" t="e">
        <f ca="1"/>
        <v>#NAME?</v>
      </c>
      <c r="CQ618" s="32" t="e">
        <f ca="1"/>
        <v>#NAME?</v>
      </c>
      <c r="CR618" s="30" t="e">
        <f ca="1"/>
        <v>#NAME?</v>
      </c>
      <c r="CS618" s="30" t="str">
        <f ca="1">IFERROR(__xludf.DUMMYFUNCTION("""COMPUTED_VALUE"""),"")</f>
        <v/>
      </c>
    </row>
    <row r="619" spans="1:97" ht="13">
      <c r="A619" s="29"/>
      <c r="C619" s="32"/>
      <c r="I619" s="34"/>
      <c r="BP619" s="29"/>
      <c r="CC619" s="30" t="str">
        <f ca="1">IFERROR(__xludf.DUMMYFUNCTION("""COMPUTED_VALUE"""),"bb430ebc")</f>
        <v>bb430ebc</v>
      </c>
      <c r="CD619" s="29" t="str">
        <f ca="1">IFERROR(__xludf.DUMMYFUNCTION("""COMPUTED_VALUE"""),"Adultos Mayores (60 años o más)")</f>
        <v>Adultos Mayores (60 años o más)</v>
      </c>
      <c r="CE619" s="30" t="str">
        <f ca="1">IFERROR(__xludf.DUMMYFUNCTION("""COMPUTED_VALUE"""),"No se cuenta con el dato")</f>
        <v>No se cuenta con el dato</v>
      </c>
      <c r="CF619" s="30" t="str">
        <f ca="1">IFERROR(__xludf.DUMMYFUNCTION("""COMPUTED_VALUE"""),"Ninguno (Población General)")</f>
        <v>Ninguno (Población General)</v>
      </c>
      <c r="CG619" s="30">
        <f ca="1">IFERROR(__xludf.DUMMYFUNCTION("""COMPUTED_VALUE"""),4)</f>
        <v>4</v>
      </c>
      <c r="CJ619" s="29"/>
      <c r="CM619" s="30" t="str">
        <f ca="1">IFERROR(__xludf.DUMMYFUNCTION("""COMPUTED_VALUE"""),"")</f>
        <v/>
      </c>
      <c r="CN619" s="32" t="e">
        <f ca="1"/>
        <v>#NAME?</v>
      </c>
      <c r="CO619" s="32" t="e">
        <f ca="1"/>
        <v>#NAME?</v>
      </c>
      <c r="CP619" s="32" t="e">
        <f ca="1"/>
        <v>#NAME?</v>
      </c>
      <c r="CQ619" s="32" t="e">
        <f ca="1"/>
        <v>#NAME?</v>
      </c>
      <c r="CR619" s="30" t="e">
        <f ca="1"/>
        <v>#NAME?</v>
      </c>
      <c r="CS619" s="30" t="str">
        <f ca="1">IFERROR(__xludf.DUMMYFUNCTION("""COMPUTED_VALUE"""),"")</f>
        <v/>
      </c>
    </row>
    <row r="620" spans="1:97" ht="13">
      <c r="A620" s="29"/>
      <c r="C620" s="32"/>
      <c r="I620" s="34"/>
      <c r="BP620" s="29"/>
      <c r="CC620" s="30" t="str">
        <f ca="1">IFERROR(__xludf.DUMMYFUNCTION("""COMPUTED_VALUE"""),"5c21aa34")</f>
        <v>5c21aa34</v>
      </c>
      <c r="CD620" s="29" t="str">
        <f ca="1">IFERROR(__xludf.DUMMYFUNCTION("""COMPUTED_VALUE"""),"Adultos Mayores (60 años o más)")</f>
        <v>Adultos Mayores (60 años o más)</v>
      </c>
      <c r="CE620" s="30" t="str">
        <f ca="1">IFERROR(__xludf.DUMMYFUNCTION("""COMPUTED_VALUE"""),"No se cuenta con el dato")</f>
        <v>No se cuenta con el dato</v>
      </c>
      <c r="CF620" s="30" t="str">
        <f ca="1">IFERROR(__xludf.DUMMYFUNCTION("""COMPUTED_VALUE"""),"Ninguno (Población General)")</f>
        <v>Ninguno (Población General)</v>
      </c>
      <c r="CG620" s="30">
        <f ca="1">IFERROR(__xludf.DUMMYFUNCTION("""COMPUTED_VALUE"""),4)</f>
        <v>4</v>
      </c>
      <c r="CJ620" s="29"/>
      <c r="CM620" s="30" t="str">
        <f ca="1">IFERROR(__xludf.DUMMYFUNCTION("""COMPUTED_VALUE"""),"")</f>
        <v/>
      </c>
      <c r="CN620" s="32" t="e">
        <f ca="1"/>
        <v>#NAME?</v>
      </c>
      <c r="CO620" s="32" t="e">
        <f ca="1"/>
        <v>#NAME?</v>
      </c>
      <c r="CP620" s="32" t="e">
        <f ca="1"/>
        <v>#NAME?</v>
      </c>
      <c r="CQ620" s="32" t="e">
        <f ca="1"/>
        <v>#NAME?</v>
      </c>
      <c r="CR620" s="30" t="e">
        <f ca="1"/>
        <v>#NAME?</v>
      </c>
      <c r="CS620" s="30" t="str">
        <f ca="1">IFERROR(__xludf.DUMMYFUNCTION("""COMPUTED_VALUE"""),"")</f>
        <v/>
      </c>
    </row>
    <row r="621" spans="1:97" ht="13">
      <c r="A621" s="29"/>
      <c r="C621" s="32"/>
      <c r="I621" s="34"/>
      <c r="BP621" s="29"/>
      <c r="CC621" s="30" t="str">
        <f ca="1">IFERROR(__xludf.DUMMYFUNCTION("""COMPUTED_VALUE"""),"773f156f")</f>
        <v>773f156f</v>
      </c>
      <c r="CD621" s="29" t="str">
        <f ca="1">IFERROR(__xludf.DUMMYFUNCTION("""COMPUTED_VALUE"""),"Adultos (30 a 59 años)")</f>
        <v>Adultos (30 a 59 años)</v>
      </c>
      <c r="CE621" s="30" t="str">
        <f ca="1">IFERROR(__xludf.DUMMYFUNCTION("""COMPUTED_VALUE"""),"No se cuenta con el dato")</f>
        <v>No se cuenta con el dato</v>
      </c>
      <c r="CF621" s="30" t="str">
        <f ca="1">IFERROR(__xludf.DUMMYFUNCTION("""COMPUTED_VALUE"""),"Ninguno (Población General)")</f>
        <v>Ninguno (Población General)</v>
      </c>
      <c r="CG621" s="30">
        <f ca="1">IFERROR(__xludf.DUMMYFUNCTION("""COMPUTED_VALUE"""),77)</f>
        <v>77</v>
      </c>
      <c r="CJ621" s="29"/>
      <c r="CM621" s="30" t="str">
        <f ca="1">IFERROR(__xludf.DUMMYFUNCTION("""COMPUTED_VALUE"""),"")</f>
        <v/>
      </c>
      <c r="CN621" s="32" t="e">
        <f ca="1"/>
        <v>#NAME?</v>
      </c>
      <c r="CO621" s="32" t="e">
        <f ca="1"/>
        <v>#NAME?</v>
      </c>
      <c r="CP621" s="32" t="e">
        <f ca="1"/>
        <v>#NAME?</v>
      </c>
      <c r="CQ621" s="32" t="e">
        <f ca="1"/>
        <v>#NAME?</v>
      </c>
      <c r="CR621" s="30" t="e">
        <f ca="1"/>
        <v>#NAME?</v>
      </c>
      <c r="CS621" s="30" t="str">
        <f ca="1">IFERROR(__xludf.DUMMYFUNCTION("""COMPUTED_VALUE"""),"")</f>
        <v/>
      </c>
    </row>
    <row r="622" spans="1:97" ht="13">
      <c r="A622" s="29"/>
      <c r="C622" s="32"/>
      <c r="I622" s="34"/>
      <c r="BP622" s="29"/>
      <c r="CC622" s="30" t="str">
        <f ca="1">IFERROR(__xludf.DUMMYFUNCTION("""COMPUTED_VALUE"""),"97f59f2e")</f>
        <v>97f59f2e</v>
      </c>
      <c r="CD622" s="29" t="str">
        <f ca="1">IFERROR(__xludf.DUMMYFUNCTION("""COMPUTED_VALUE"""),"Jóvenes (18 a 29 años)")</f>
        <v>Jóvenes (18 a 29 años)</v>
      </c>
      <c r="CE622" s="30" t="str">
        <f ca="1">IFERROR(__xludf.DUMMYFUNCTION("""COMPUTED_VALUE"""),"No se cuenta con el dato")</f>
        <v>No se cuenta con el dato</v>
      </c>
      <c r="CF622" s="30" t="str">
        <f ca="1">IFERROR(__xludf.DUMMYFUNCTION("""COMPUTED_VALUE"""),"Ninguno (Población General)")</f>
        <v>Ninguno (Población General)</v>
      </c>
      <c r="CG622" s="30">
        <f ca="1">IFERROR(__xludf.DUMMYFUNCTION("""COMPUTED_VALUE"""),37)</f>
        <v>37</v>
      </c>
      <c r="CJ622" s="29"/>
      <c r="CM622" s="30" t="str">
        <f ca="1">IFERROR(__xludf.DUMMYFUNCTION("""COMPUTED_VALUE"""),"")</f>
        <v/>
      </c>
      <c r="CN622" s="32" t="e">
        <f ca="1"/>
        <v>#NAME?</v>
      </c>
      <c r="CO622" s="32" t="e">
        <f ca="1"/>
        <v>#NAME?</v>
      </c>
      <c r="CP622" s="32" t="e">
        <f ca="1"/>
        <v>#NAME?</v>
      </c>
      <c r="CQ622" s="32" t="e">
        <f ca="1"/>
        <v>#NAME?</v>
      </c>
      <c r="CR622" s="30" t="e">
        <f ca="1"/>
        <v>#NAME?</v>
      </c>
      <c r="CS622" s="30" t="str">
        <f ca="1">IFERROR(__xludf.DUMMYFUNCTION("""COMPUTED_VALUE"""),"")</f>
        <v/>
      </c>
    </row>
    <row r="623" spans="1:97" ht="13">
      <c r="A623" s="29"/>
      <c r="C623" s="32"/>
      <c r="I623" s="34"/>
      <c r="BP623" s="29"/>
      <c r="CC623" s="30" t="str">
        <f ca="1">IFERROR(__xludf.DUMMYFUNCTION("""COMPUTED_VALUE"""),"a1e6df5d")</f>
        <v>a1e6df5d</v>
      </c>
      <c r="CD623" s="29" t="str">
        <f ca="1">IFERROR(__xludf.DUMMYFUNCTION("""COMPUTED_VALUE"""),"Adolescentes (13 a 17 años)")</f>
        <v>Adolescentes (13 a 17 años)</v>
      </c>
      <c r="CE623" s="30" t="str">
        <f ca="1">IFERROR(__xludf.DUMMYFUNCTION("""COMPUTED_VALUE"""),"No se cuenta con el dato")</f>
        <v>No se cuenta con el dato</v>
      </c>
      <c r="CF623" s="30" t="str">
        <f ca="1">IFERROR(__xludf.DUMMYFUNCTION("""COMPUTED_VALUE"""),"Ninguno (Población General)")</f>
        <v>Ninguno (Población General)</v>
      </c>
      <c r="CG623" s="30">
        <f ca="1">IFERROR(__xludf.DUMMYFUNCTION("""COMPUTED_VALUE"""),10)</f>
        <v>10</v>
      </c>
      <c r="CJ623" s="29"/>
      <c r="CM623" s="30" t="str">
        <f ca="1">IFERROR(__xludf.DUMMYFUNCTION("""COMPUTED_VALUE"""),"")</f>
        <v/>
      </c>
      <c r="CN623" s="32" t="e">
        <f ca="1"/>
        <v>#NAME?</v>
      </c>
      <c r="CO623" s="32" t="e">
        <f ca="1"/>
        <v>#NAME?</v>
      </c>
      <c r="CP623" s="32" t="e">
        <f ca="1"/>
        <v>#NAME?</v>
      </c>
      <c r="CQ623" s="32" t="e">
        <f ca="1"/>
        <v>#NAME?</v>
      </c>
      <c r="CR623" s="30" t="e">
        <f ca="1"/>
        <v>#NAME?</v>
      </c>
      <c r="CS623" s="30" t="str">
        <f ca="1">IFERROR(__xludf.DUMMYFUNCTION("""COMPUTED_VALUE"""),"")</f>
        <v/>
      </c>
    </row>
    <row r="624" spans="1:97" ht="13">
      <c r="A624" s="29"/>
      <c r="C624" s="32"/>
      <c r="I624" s="34"/>
      <c r="BP624" s="29"/>
      <c r="CC624" s="30" t="str">
        <f ca="1">IFERROR(__xludf.DUMMYFUNCTION("""COMPUTED_VALUE"""),"1ffb86ac")</f>
        <v>1ffb86ac</v>
      </c>
      <c r="CD624" s="29" t="str">
        <f ca="1">IFERROR(__xludf.DUMMYFUNCTION("""COMPUTED_VALUE"""),"Niñas y Niños (6 a 12 años)")</f>
        <v>Niñas y Niños (6 a 12 años)</v>
      </c>
      <c r="CE624" s="30" t="str">
        <f ca="1">IFERROR(__xludf.DUMMYFUNCTION("""COMPUTED_VALUE"""),"No se cuenta con el dato")</f>
        <v>No se cuenta con el dato</v>
      </c>
      <c r="CF624" s="30" t="str">
        <f ca="1">IFERROR(__xludf.DUMMYFUNCTION("""COMPUTED_VALUE"""),"Ninguno (Población General)")</f>
        <v>Ninguno (Población General)</v>
      </c>
      <c r="CG624" s="30">
        <f ca="1">IFERROR(__xludf.DUMMYFUNCTION("""COMPUTED_VALUE"""),8)</f>
        <v>8</v>
      </c>
      <c r="CJ624" s="29"/>
      <c r="CM624" s="30" t="str">
        <f ca="1">IFERROR(__xludf.DUMMYFUNCTION("""COMPUTED_VALUE"""),"")</f>
        <v/>
      </c>
      <c r="CN624" s="32" t="e">
        <f ca="1"/>
        <v>#NAME?</v>
      </c>
      <c r="CO624" s="32" t="e">
        <f ca="1"/>
        <v>#NAME?</v>
      </c>
      <c r="CP624" s="32" t="e">
        <f ca="1"/>
        <v>#NAME?</v>
      </c>
      <c r="CQ624" s="32" t="e">
        <f ca="1"/>
        <v>#NAME?</v>
      </c>
      <c r="CR624" s="30" t="e">
        <f ca="1"/>
        <v>#NAME?</v>
      </c>
      <c r="CS624" s="30" t="str">
        <f ca="1">IFERROR(__xludf.DUMMYFUNCTION("""COMPUTED_VALUE"""),"")</f>
        <v/>
      </c>
    </row>
    <row r="625" spans="1:97" ht="13">
      <c r="A625" s="29"/>
      <c r="C625" s="32"/>
      <c r="I625" s="34"/>
      <c r="BP625" s="29"/>
      <c r="CC625" s="30" t="str">
        <f ca="1">IFERROR(__xludf.DUMMYFUNCTION("""COMPUTED_VALUE"""),"cd4eac42")</f>
        <v>cd4eac42</v>
      </c>
      <c r="CD625" s="29" t="str">
        <f ca="1">IFERROR(__xludf.DUMMYFUNCTION("""COMPUTED_VALUE"""),"Adultos Mayores (60 años o más)")</f>
        <v>Adultos Mayores (60 años o más)</v>
      </c>
      <c r="CE625" s="30" t="str">
        <f ca="1">IFERROR(__xludf.DUMMYFUNCTION("""COMPUTED_VALUE"""),"No se cuenta con el dato")</f>
        <v>No se cuenta con el dato</v>
      </c>
      <c r="CF625" s="30" t="str">
        <f ca="1">IFERROR(__xludf.DUMMYFUNCTION("""COMPUTED_VALUE"""),"Ninguno (Población General)")</f>
        <v>Ninguno (Población General)</v>
      </c>
      <c r="CG625" s="30">
        <f ca="1">IFERROR(__xludf.DUMMYFUNCTION("""COMPUTED_VALUE"""),3)</f>
        <v>3</v>
      </c>
      <c r="CJ625" s="29"/>
      <c r="CM625" s="30" t="str">
        <f ca="1">IFERROR(__xludf.DUMMYFUNCTION("""COMPUTED_VALUE"""),"")</f>
        <v/>
      </c>
      <c r="CN625" s="32" t="e">
        <f ca="1"/>
        <v>#NAME?</v>
      </c>
      <c r="CO625" s="32" t="e">
        <f ca="1"/>
        <v>#NAME?</v>
      </c>
      <c r="CP625" s="32" t="e">
        <f ca="1"/>
        <v>#NAME?</v>
      </c>
      <c r="CQ625" s="32" t="e">
        <f ca="1"/>
        <v>#NAME?</v>
      </c>
      <c r="CR625" s="30" t="e">
        <f ca="1"/>
        <v>#NAME?</v>
      </c>
      <c r="CS625" s="30" t="str">
        <f ca="1">IFERROR(__xludf.DUMMYFUNCTION("""COMPUTED_VALUE"""),"")</f>
        <v/>
      </c>
    </row>
    <row r="626" spans="1:97" ht="13">
      <c r="A626" s="29"/>
      <c r="C626" s="32"/>
      <c r="I626" s="34"/>
      <c r="BP626" s="29"/>
      <c r="CC626" s="30" t="str">
        <f ca="1">IFERROR(__xludf.DUMMYFUNCTION("""COMPUTED_VALUE"""),"8a46ee8a")</f>
        <v>8a46ee8a</v>
      </c>
      <c r="CD626" s="29" t="str">
        <f ca="1">IFERROR(__xludf.DUMMYFUNCTION("""COMPUTED_VALUE"""),"Adultos (30 a 59 años)")</f>
        <v>Adultos (30 a 59 años)</v>
      </c>
      <c r="CE626" s="30" t="str">
        <f ca="1">IFERROR(__xludf.DUMMYFUNCTION("""COMPUTED_VALUE"""),"No se cuenta con el dato")</f>
        <v>No se cuenta con el dato</v>
      </c>
      <c r="CF626" s="30" t="str">
        <f ca="1">IFERROR(__xludf.DUMMYFUNCTION("""COMPUTED_VALUE"""),"Ninguno (Población General)")</f>
        <v>Ninguno (Población General)</v>
      </c>
      <c r="CG626" s="30">
        <f ca="1">IFERROR(__xludf.DUMMYFUNCTION("""COMPUTED_VALUE"""),43)</f>
        <v>43</v>
      </c>
      <c r="CJ626" s="29"/>
      <c r="CM626" s="30" t="str">
        <f ca="1">IFERROR(__xludf.DUMMYFUNCTION("""COMPUTED_VALUE"""),"")</f>
        <v/>
      </c>
      <c r="CN626" s="32" t="e">
        <f ca="1"/>
        <v>#NAME?</v>
      </c>
      <c r="CO626" s="32" t="e">
        <f ca="1"/>
        <v>#NAME?</v>
      </c>
      <c r="CP626" s="32" t="e">
        <f ca="1"/>
        <v>#NAME?</v>
      </c>
      <c r="CQ626" s="32" t="e">
        <f ca="1"/>
        <v>#NAME?</v>
      </c>
      <c r="CR626" s="30" t="e">
        <f ca="1"/>
        <v>#NAME?</v>
      </c>
      <c r="CS626" s="30" t="str">
        <f ca="1">IFERROR(__xludf.DUMMYFUNCTION("""COMPUTED_VALUE"""),"")</f>
        <v/>
      </c>
    </row>
    <row r="627" spans="1:97" ht="13">
      <c r="A627" s="29"/>
      <c r="C627" s="32"/>
      <c r="I627" s="34"/>
      <c r="BP627" s="29"/>
      <c r="CC627" s="30" t="str">
        <f ca="1">IFERROR(__xludf.DUMMYFUNCTION("""COMPUTED_VALUE"""),"7520f3e1")</f>
        <v>7520f3e1</v>
      </c>
      <c r="CD627" s="29" t="str">
        <f ca="1">IFERROR(__xludf.DUMMYFUNCTION("""COMPUTED_VALUE"""),"Jóvenes (18 a 29 años)")</f>
        <v>Jóvenes (18 a 29 años)</v>
      </c>
      <c r="CE627" s="30" t="str">
        <f ca="1">IFERROR(__xludf.DUMMYFUNCTION("""COMPUTED_VALUE"""),"No se cuenta con el dato")</f>
        <v>No se cuenta con el dato</v>
      </c>
      <c r="CF627" s="30" t="str">
        <f ca="1">IFERROR(__xludf.DUMMYFUNCTION("""COMPUTED_VALUE"""),"Ninguno (Población General)")</f>
        <v>Ninguno (Población General)</v>
      </c>
      <c r="CG627" s="30">
        <f ca="1">IFERROR(__xludf.DUMMYFUNCTION("""COMPUTED_VALUE"""),4)</f>
        <v>4</v>
      </c>
      <c r="CJ627" s="29"/>
      <c r="CM627" s="30" t="str">
        <f ca="1">IFERROR(__xludf.DUMMYFUNCTION("""COMPUTED_VALUE"""),"")</f>
        <v/>
      </c>
      <c r="CN627" s="32" t="e">
        <f ca="1"/>
        <v>#NAME?</v>
      </c>
      <c r="CO627" s="32" t="e">
        <f ca="1"/>
        <v>#NAME?</v>
      </c>
      <c r="CP627" s="32" t="e">
        <f ca="1"/>
        <v>#NAME?</v>
      </c>
      <c r="CQ627" s="32" t="e">
        <f ca="1"/>
        <v>#NAME?</v>
      </c>
      <c r="CR627" s="30" t="e">
        <f ca="1"/>
        <v>#NAME?</v>
      </c>
      <c r="CS627" s="30" t="str">
        <f ca="1">IFERROR(__xludf.DUMMYFUNCTION("""COMPUTED_VALUE"""),"")</f>
        <v/>
      </c>
    </row>
    <row r="628" spans="1:97" ht="13">
      <c r="A628" s="29"/>
      <c r="C628" s="32"/>
      <c r="I628" s="34"/>
      <c r="BP628" s="29"/>
      <c r="CC628" s="30" t="str">
        <f ca="1">IFERROR(__xludf.DUMMYFUNCTION("""COMPUTED_VALUE"""),"576d21bc")</f>
        <v>576d21bc</v>
      </c>
      <c r="CD628" s="29" t="str">
        <f ca="1">IFERROR(__xludf.DUMMYFUNCTION("""COMPUTED_VALUE"""),"Niñas y Niños (6 a 12 años)")</f>
        <v>Niñas y Niños (6 a 12 años)</v>
      </c>
      <c r="CE628" s="30" t="str">
        <f ca="1">IFERROR(__xludf.DUMMYFUNCTION("""COMPUTED_VALUE"""),"No se cuenta con el dato")</f>
        <v>No se cuenta con el dato</v>
      </c>
      <c r="CF628" s="30" t="str">
        <f ca="1">IFERROR(__xludf.DUMMYFUNCTION("""COMPUTED_VALUE"""),"Ninguno (Población General)")</f>
        <v>Ninguno (Población General)</v>
      </c>
      <c r="CG628" s="30">
        <f ca="1">IFERROR(__xludf.DUMMYFUNCTION("""COMPUTED_VALUE"""),2)</f>
        <v>2</v>
      </c>
      <c r="CJ628" s="29"/>
      <c r="CM628" s="30" t="str">
        <f ca="1">IFERROR(__xludf.DUMMYFUNCTION("""COMPUTED_VALUE"""),"")</f>
        <v/>
      </c>
      <c r="CN628" s="32" t="e">
        <f ca="1"/>
        <v>#NAME?</v>
      </c>
      <c r="CO628" s="32" t="e">
        <f ca="1"/>
        <v>#NAME?</v>
      </c>
      <c r="CP628" s="32" t="e">
        <f ca="1"/>
        <v>#NAME?</v>
      </c>
      <c r="CQ628" s="32" t="e">
        <f ca="1"/>
        <v>#NAME?</v>
      </c>
      <c r="CR628" s="30" t="e">
        <f ca="1"/>
        <v>#NAME?</v>
      </c>
      <c r="CS628" s="30" t="str">
        <f ca="1">IFERROR(__xludf.DUMMYFUNCTION("""COMPUTED_VALUE"""),"")</f>
        <v/>
      </c>
    </row>
    <row r="629" spans="1:97" ht="13">
      <c r="A629" s="29"/>
      <c r="C629" s="32"/>
      <c r="I629" s="34"/>
      <c r="BP629" s="29"/>
      <c r="CC629" s="30" t="str">
        <f ca="1">IFERROR(__xludf.DUMMYFUNCTION("""COMPUTED_VALUE"""),"4f1fbda8")</f>
        <v>4f1fbda8</v>
      </c>
      <c r="CD629" s="29" t="str">
        <f ca="1">IFERROR(__xludf.DUMMYFUNCTION("""COMPUTED_VALUE"""),"Adultos Mayores (60 años o más)")</f>
        <v>Adultos Mayores (60 años o más)</v>
      </c>
      <c r="CE629" s="30" t="str">
        <f ca="1">IFERROR(__xludf.DUMMYFUNCTION("""COMPUTED_VALUE"""),"No se cuenta con el dato")</f>
        <v>No se cuenta con el dato</v>
      </c>
      <c r="CF629" s="30" t="str">
        <f ca="1">IFERROR(__xludf.DUMMYFUNCTION("""COMPUTED_VALUE"""),"Ninguno (Población General)")</f>
        <v>Ninguno (Población General)</v>
      </c>
      <c r="CG629" s="30">
        <f ca="1">IFERROR(__xludf.DUMMYFUNCTION("""COMPUTED_VALUE"""),15)</f>
        <v>15</v>
      </c>
      <c r="CJ629" s="29"/>
      <c r="CM629" s="30" t="str">
        <f ca="1">IFERROR(__xludf.DUMMYFUNCTION("""COMPUTED_VALUE"""),"")</f>
        <v/>
      </c>
      <c r="CN629" s="32" t="e">
        <f ca="1"/>
        <v>#NAME?</v>
      </c>
      <c r="CO629" s="32" t="e">
        <f ca="1"/>
        <v>#NAME?</v>
      </c>
      <c r="CP629" s="32" t="e">
        <f ca="1"/>
        <v>#NAME?</v>
      </c>
      <c r="CQ629" s="32" t="e">
        <f ca="1"/>
        <v>#NAME?</v>
      </c>
      <c r="CR629" s="30" t="e">
        <f ca="1"/>
        <v>#NAME?</v>
      </c>
      <c r="CS629" s="30" t="str">
        <f ca="1">IFERROR(__xludf.DUMMYFUNCTION("""COMPUTED_VALUE"""),"")</f>
        <v/>
      </c>
    </row>
    <row r="630" spans="1:97" ht="13">
      <c r="A630" s="29"/>
      <c r="C630" s="32"/>
      <c r="I630" s="34"/>
      <c r="BP630" s="29"/>
      <c r="CC630" s="30" t="str">
        <f ca="1">IFERROR(__xludf.DUMMYFUNCTION("""COMPUTED_VALUE"""),"a41fec28")</f>
        <v>a41fec28</v>
      </c>
      <c r="CD630" s="29" t="str">
        <f ca="1">IFERROR(__xludf.DUMMYFUNCTION("""COMPUTED_VALUE"""),"Adultos (30 a 59 años)")</f>
        <v>Adultos (30 a 59 años)</v>
      </c>
      <c r="CE630" s="30" t="str">
        <f ca="1">IFERROR(__xludf.DUMMYFUNCTION("""COMPUTED_VALUE"""),"No se cuenta con el dato")</f>
        <v>No se cuenta con el dato</v>
      </c>
      <c r="CF630" s="30" t="str">
        <f ca="1">IFERROR(__xludf.DUMMYFUNCTION("""COMPUTED_VALUE"""),"Ninguno (Población General)")</f>
        <v>Ninguno (Población General)</v>
      </c>
      <c r="CG630" s="30">
        <f ca="1">IFERROR(__xludf.DUMMYFUNCTION("""COMPUTED_VALUE"""),42)</f>
        <v>42</v>
      </c>
      <c r="CJ630" s="29"/>
      <c r="CM630" s="30" t="str">
        <f ca="1">IFERROR(__xludf.DUMMYFUNCTION("""COMPUTED_VALUE"""),"")</f>
        <v/>
      </c>
      <c r="CN630" s="32" t="e">
        <f ca="1"/>
        <v>#NAME?</v>
      </c>
      <c r="CO630" s="32" t="e">
        <f ca="1"/>
        <v>#NAME?</v>
      </c>
      <c r="CP630" s="32" t="e">
        <f ca="1"/>
        <v>#NAME?</v>
      </c>
      <c r="CQ630" s="32" t="e">
        <f ca="1"/>
        <v>#NAME?</v>
      </c>
      <c r="CR630" s="30" t="e">
        <f ca="1"/>
        <v>#NAME?</v>
      </c>
      <c r="CS630" s="30" t="str">
        <f ca="1">IFERROR(__xludf.DUMMYFUNCTION("""COMPUTED_VALUE"""),"")</f>
        <v/>
      </c>
    </row>
    <row r="631" spans="1:97" ht="13">
      <c r="A631" s="29"/>
      <c r="C631" s="32"/>
      <c r="I631" s="34"/>
      <c r="BP631" s="29"/>
      <c r="CC631" s="30" t="str">
        <f ca="1">IFERROR(__xludf.DUMMYFUNCTION("""COMPUTED_VALUE"""),"d8c4b1a7")</f>
        <v>d8c4b1a7</v>
      </c>
      <c r="CD631" s="29" t="str">
        <f ca="1">IFERROR(__xludf.DUMMYFUNCTION("""COMPUTED_VALUE"""),"Jóvenes (18 a 29 años)")</f>
        <v>Jóvenes (18 a 29 años)</v>
      </c>
      <c r="CE631" s="30" t="str">
        <f ca="1">IFERROR(__xludf.DUMMYFUNCTION("""COMPUTED_VALUE"""),"No se cuenta con el dato")</f>
        <v>No se cuenta con el dato</v>
      </c>
      <c r="CF631" s="30" t="str">
        <f ca="1">IFERROR(__xludf.DUMMYFUNCTION("""COMPUTED_VALUE"""),"Ninguno (Población General)")</f>
        <v>Ninguno (Población General)</v>
      </c>
      <c r="CG631" s="30">
        <f ca="1">IFERROR(__xludf.DUMMYFUNCTION("""COMPUTED_VALUE"""),23)</f>
        <v>23</v>
      </c>
      <c r="CJ631" s="29"/>
      <c r="CM631" s="30" t="str">
        <f ca="1">IFERROR(__xludf.DUMMYFUNCTION("""COMPUTED_VALUE"""),"")</f>
        <v/>
      </c>
      <c r="CN631" s="32" t="e">
        <f ca="1"/>
        <v>#NAME?</v>
      </c>
      <c r="CO631" s="32" t="e">
        <f ca="1"/>
        <v>#NAME?</v>
      </c>
      <c r="CP631" s="32" t="e">
        <f ca="1"/>
        <v>#NAME?</v>
      </c>
      <c r="CQ631" s="32" t="e">
        <f ca="1"/>
        <v>#NAME?</v>
      </c>
      <c r="CR631" s="30" t="e">
        <f ca="1"/>
        <v>#NAME?</v>
      </c>
      <c r="CS631" s="30" t="str">
        <f ca="1">IFERROR(__xludf.DUMMYFUNCTION("""COMPUTED_VALUE"""),"")</f>
        <v/>
      </c>
    </row>
    <row r="632" spans="1:97" ht="13">
      <c r="A632" s="29"/>
      <c r="C632" s="32"/>
      <c r="I632" s="34"/>
      <c r="BP632" s="29"/>
      <c r="CC632" s="30" t="str">
        <f ca="1">IFERROR(__xludf.DUMMYFUNCTION("""COMPUTED_VALUE"""),"549b099b")</f>
        <v>549b099b</v>
      </c>
      <c r="CD632" s="29" t="str">
        <f ca="1">IFERROR(__xludf.DUMMYFUNCTION("""COMPUTED_VALUE"""),"Adultos (30 a 59 años)")</f>
        <v>Adultos (30 a 59 años)</v>
      </c>
      <c r="CE632" s="30" t="str">
        <f ca="1">IFERROR(__xludf.DUMMYFUNCTION("""COMPUTED_VALUE"""),"No se cuenta con el dato")</f>
        <v>No se cuenta con el dato</v>
      </c>
      <c r="CF632" s="30" t="str">
        <f ca="1">IFERROR(__xludf.DUMMYFUNCTION("""COMPUTED_VALUE"""),"Ninguno (Población General)")</f>
        <v>Ninguno (Población General)</v>
      </c>
      <c r="CG632" s="30">
        <f ca="1">IFERROR(__xludf.DUMMYFUNCTION("""COMPUTED_VALUE"""),45)</f>
        <v>45</v>
      </c>
      <c r="CJ632" s="29"/>
      <c r="CM632" s="30" t="str">
        <f ca="1">IFERROR(__xludf.DUMMYFUNCTION("""COMPUTED_VALUE"""),"")</f>
        <v/>
      </c>
      <c r="CN632" s="32" t="e">
        <f ca="1"/>
        <v>#NAME?</v>
      </c>
      <c r="CO632" s="32" t="e">
        <f ca="1"/>
        <v>#NAME?</v>
      </c>
      <c r="CP632" s="32" t="e">
        <f ca="1"/>
        <v>#NAME?</v>
      </c>
      <c r="CQ632" s="32" t="e">
        <f ca="1"/>
        <v>#NAME?</v>
      </c>
      <c r="CR632" s="30" t="e">
        <f ca="1"/>
        <v>#NAME?</v>
      </c>
      <c r="CS632" s="30" t="str">
        <f ca="1">IFERROR(__xludf.DUMMYFUNCTION("""COMPUTED_VALUE"""),"")</f>
        <v/>
      </c>
    </row>
    <row r="633" spans="1:97" ht="13">
      <c r="A633" s="29"/>
      <c r="C633" s="32"/>
      <c r="I633" s="34"/>
      <c r="BP633" s="29"/>
      <c r="CC633" s="30" t="str">
        <f ca="1">IFERROR(__xludf.DUMMYFUNCTION("""COMPUTED_VALUE"""),"1a870d0c")</f>
        <v>1a870d0c</v>
      </c>
      <c r="CD633" s="29" t="str">
        <f ca="1">IFERROR(__xludf.DUMMYFUNCTION("""COMPUTED_VALUE"""),"Jóvenes (18 a 29 años)")</f>
        <v>Jóvenes (18 a 29 años)</v>
      </c>
      <c r="CE633" s="30" t="str">
        <f ca="1">IFERROR(__xludf.DUMMYFUNCTION("""COMPUTED_VALUE"""),"No se cuenta con el dato")</f>
        <v>No se cuenta con el dato</v>
      </c>
      <c r="CF633" s="30" t="str">
        <f ca="1">IFERROR(__xludf.DUMMYFUNCTION("""COMPUTED_VALUE"""),"Ninguno (Población General)")</f>
        <v>Ninguno (Población General)</v>
      </c>
      <c r="CG633" s="30">
        <f ca="1">IFERROR(__xludf.DUMMYFUNCTION("""COMPUTED_VALUE"""),35)</f>
        <v>35</v>
      </c>
      <c r="CJ633" s="29"/>
      <c r="CM633" s="30" t="str">
        <f ca="1">IFERROR(__xludf.DUMMYFUNCTION("""COMPUTED_VALUE"""),"")</f>
        <v/>
      </c>
      <c r="CN633" s="32" t="e">
        <f ca="1"/>
        <v>#NAME?</v>
      </c>
      <c r="CO633" s="32" t="e">
        <f ca="1"/>
        <v>#NAME?</v>
      </c>
      <c r="CP633" s="32" t="e">
        <f ca="1"/>
        <v>#NAME?</v>
      </c>
      <c r="CQ633" s="32" t="e">
        <f ca="1"/>
        <v>#NAME?</v>
      </c>
      <c r="CR633" s="30" t="e">
        <f ca="1"/>
        <v>#NAME?</v>
      </c>
      <c r="CS633" s="30" t="str">
        <f ca="1">IFERROR(__xludf.DUMMYFUNCTION("""COMPUTED_VALUE"""),"")</f>
        <v/>
      </c>
    </row>
    <row r="634" spans="1:97" ht="13">
      <c r="A634" s="29"/>
      <c r="C634" s="32"/>
      <c r="I634" s="34"/>
      <c r="BP634" s="29"/>
      <c r="CC634" s="30" t="str">
        <f ca="1">IFERROR(__xludf.DUMMYFUNCTION("""COMPUTED_VALUE"""),"6ca285bd")</f>
        <v>6ca285bd</v>
      </c>
      <c r="CD634" s="29" t="str">
        <f ca="1">IFERROR(__xludf.DUMMYFUNCTION("""COMPUTED_VALUE"""),"Adultos (30 a 59 años)")</f>
        <v>Adultos (30 a 59 años)</v>
      </c>
      <c r="CE634" s="30" t="str">
        <f ca="1">IFERROR(__xludf.DUMMYFUNCTION("""COMPUTED_VALUE"""),"No se cuenta con el dato")</f>
        <v>No se cuenta con el dato</v>
      </c>
      <c r="CF634" s="30" t="str">
        <f ca="1">IFERROR(__xludf.DUMMYFUNCTION("""COMPUTED_VALUE"""),"Ninguno (Población General)")</f>
        <v>Ninguno (Población General)</v>
      </c>
      <c r="CG634" s="30">
        <f ca="1">IFERROR(__xludf.DUMMYFUNCTION("""COMPUTED_VALUE"""),116)</f>
        <v>116</v>
      </c>
      <c r="CJ634" s="29"/>
      <c r="CM634" s="30" t="str">
        <f ca="1">IFERROR(__xludf.DUMMYFUNCTION("""COMPUTED_VALUE"""),"")</f>
        <v/>
      </c>
      <c r="CN634" s="32" t="e">
        <f ca="1"/>
        <v>#NAME?</v>
      </c>
      <c r="CO634" s="32" t="e">
        <f ca="1"/>
        <v>#NAME?</v>
      </c>
      <c r="CP634" s="32" t="e">
        <f ca="1"/>
        <v>#NAME?</v>
      </c>
      <c r="CQ634" s="32" t="e">
        <f ca="1"/>
        <v>#NAME?</v>
      </c>
      <c r="CR634" s="30" t="e">
        <f ca="1"/>
        <v>#NAME?</v>
      </c>
      <c r="CS634" s="30" t="str">
        <f ca="1">IFERROR(__xludf.DUMMYFUNCTION("""COMPUTED_VALUE"""),"")</f>
        <v/>
      </c>
    </row>
    <row r="635" spans="1:97" ht="13">
      <c r="A635" s="29"/>
      <c r="C635" s="32"/>
      <c r="I635" s="34"/>
      <c r="BP635" s="29"/>
      <c r="CC635" s="30" t="str">
        <f ca="1">IFERROR(__xludf.DUMMYFUNCTION("""COMPUTED_VALUE"""),"93703332")</f>
        <v>93703332</v>
      </c>
      <c r="CD635" s="29" t="str">
        <f ca="1">IFERROR(__xludf.DUMMYFUNCTION("""COMPUTED_VALUE"""),"Jóvenes (18 a 29 años)")</f>
        <v>Jóvenes (18 a 29 años)</v>
      </c>
      <c r="CE635" s="30" t="str">
        <f ca="1">IFERROR(__xludf.DUMMYFUNCTION("""COMPUTED_VALUE"""),"No se cuenta con el dato")</f>
        <v>No se cuenta con el dato</v>
      </c>
      <c r="CF635" s="30" t="str">
        <f ca="1">IFERROR(__xludf.DUMMYFUNCTION("""COMPUTED_VALUE"""),"Ninguno (Población General)")</f>
        <v>Ninguno (Población General)</v>
      </c>
      <c r="CG635" s="30">
        <f ca="1">IFERROR(__xludf.DUMMYFUNCTION("""COMPUTED_VALUE"""),100)</f>
        <v>100</v>
      </c>
      <c r="CJ635" s="29"/>
      <c r="CM635" s="30" t="str">
        <f ca="1">IFERROR(__xludf.DUMMYFUNCTION("""COMPUTED_VALUE"""),"")</f>
        <v/>
      </c>
      <c r="CN635" s="32" t="e">
        <f ca="1"/>
        <v>#NAME?</v>
      </c>
      <c r="CO635" s="32" t="e">
        <f ca="1"/>
        <v>#NAME?</v>
      </c>
      <c r="CP635" s="32" t="e">
        <f ca="1"/>
        <v>#NAME?</v>
      </c>
      <c r="CQ635" s="32" t="e">
        <f ca="1"/>
        <v>#NAME?</v>
      </c>
      <c r="CR635" s="30" t="e">
        <f ca="1"/>
        <v>#NAME?</v>
      </c>
      <c r="CS635" s="30" t="str">
        <f ca="1">IFERROR(__xludf.DUMMYFUNCTION("""COMPUTED_VALUE"""),"")</f>
        <v/>
      </c>
    </row>
    <row r="636" spans="1:97" ht="13">
      <c r="A636" s="29"/>
      <c r="C636" s="32"/>
      <c r="I636" s="34"/>
      <c r="BP636" s="29"/>
      <c r="CC636" s="30" t="str">
        <f ca="1">IFERROR(__xludf.DUMMYFUNCTION("""COMPUTED_VALUE"""),"28c688a0")</f>
        <v>28c688a0</v>
      </c>
      <c r="CD636" s="29" t="str">
        <f ca="1">IFERROR(__xludf.DUMMYFUNCTION("""COMPUTED_VALUE"""),"Niñas y Niños (6 a 12 años)")</f>
        <v>Niñas y Niños (6 a 12 años)</v>
      </c>
      <c r="CE636" s="30" t="str">
        <f ca="1">IFERROR(__xludf.DUMMYFUNCTION("""COMPUTED_VALUE"""),"No se cuenta con el dato")</f>
        <v>No se cuenta con el dato</v>
      </c>
      <c r="CF636" s="30" t="str">
        <f ca="1">IFERROR(__xludf.DUMMYFUNCTION("""COMPUTED_VALUE"""),"Ninguno (Población General)")</f>
        <v>Ninguno (Población General)</v>
      </c>
      <c r="CG636" s="30">
        <f ca="1">IFERROR(__xludf.DUMMYFUNCTION("""COMPUTED_VALUE"""),1)</f>
        <v>1</v>
      </c>
      <c r="CJ636" s="29"/>
      <c r="CM636" s="30" t="str">
        <f ca="1">IFERROR(__xludf.DUMMYFUNCTION("""COMPUTED_VALUE"""),"")</f>
        <v/>
      </c>
      <c r="CN636" s="32" t="e">
        <f ca="1"/>
        <v>#NAME?</v>
      </c>
      <c r="CO636" s="32" t="e">
        <f ca="1"/>
        <v>#NAME?</v>
      </c>
      <c r="CP636" s="32" t="e">
        <f ca="1"/>
        <v>#NAME?</v>
      </c>
      <c r="CQ636" s="32" t="e">
        <f ca="1"/>
        <v>#NAME?</v>
      </c>
      <c r="CR636" s="30" t="e">
        <f ca="1"/>
        <v>#NAME?</v>
      </c>
      <c r="CS636" s="30" t="str">
        <f ca="1">IFERROR(__xludf.DUMMYFUNCTION("""COMPUTED_VALUE"""),"")</f>
        <v/>
      </c>
    </row>
    <row r="637" spans="1:97" ht="13">
      <c r="A637" s="29"/>
      <c r="C637" s="32"/>
      <c r="I637" s="34"/>
      <c r="BP637" s="29"/>
      <c r="CC637" s="30" t="str">
        <f ca="1">IFERROR(__xludf.DUMMYFUNCTION("""COMPUTED_VALUE"""),"9565d322")</f>
        <v>9565d322</v>
      </c>
      <c r="CD637" s="29" t="str">
        <f ca="1">IFERROR(__xludf.DUMMYFUNCTION("""COMPUTED_VALUE"""),"Jóvenes (18 a 29 años)")</f>
        <v>Jóvenes (18 a 29 años)</v>
      </c>
      <c r="CE637" s="30" t="str">
        <f ca="1">IFERROR(__xludf.DUMMYFUNCTION("""COMPUTED_VALUE"""),"No se cuenta con el dato")</f>
        <v>No se cuenta con el dato</v>
      </c>
      <c r="CF637" s="30" t="str">
        <f ca="1">IFERROR(__xludf.DUMMYFUNCTION("""COMPUTED_VALUE"""),"Ninguno (Población General)")</f>
        <v>Ninguno (Población General)</v>
      </c>
      <c r="CG637" s="30">
        <f ca="1">IFERROR(__xludf.DUMMYFUNCTION("""COMPUTED_VALUE"""),65)</f>
        <v>65</v>
      </c>
      <c r="CJ637" s="29"/>
      <c r="CM637" s="30" t="str">
        <f ca="1">IFERROR(__xludf.DUMMYFUNCTION("""COMPUTED_VALUE"""),"")</f>
        <v/>
      </c>
      <c r="CN637" s="32" t="e">
        <f ca="1"/>
        <v>#NAME?</v>
      </c>
      <c r="CO637" s="32" t="e">
        <f ca="1"/>
        <v>#NAME?</v>
      </c>
      <c r="CP637" s="32" t="e">
        <f ca="1"/>
        <v>#NAME?</v>
      </c>
      <c r="CQ637" s="32" t="e">
        <f ca="1"/>
        <v>#NAME?</v>
      </c>
      <c r="CR637" s="30" t="e">
        <f ca="1"/>
        <v>#NAME?</v>
      </c>
      <c r="CS637" s="30" t="str">
        <f ca="1">IFERROR(__xludf.DUMMYFUNCTION("""COMPUTED_VALUE"""),"")</f>
        <v/>
      </c>
    </row>
    <row r="638" spans="1:97" ht="13">
      <c r="A638" s="29"/>
      <c r="C638" s="32"/>
      <c r="I638" s="34"/>
      <c r="BP638" s="29"/>
      <c r="CC638" s="30" t="str">
        <f ca="1">IFERROR(__xludf.DUMMYFUNCTION("""COMPUTED_VALUE"""),"1871ea20")</f>
        <v>1871ea20</v>
      </c>
      <c r="CD638" s="29" t="str">
        <f ca="1">IFERROR(__xludf.DUMMYFUNCTION("""COMPUTED_VALUE"""),"Adultos (30 a 59 años)")</f>
        <v>Adultos (30 a 59 años)</v>
      </c>
      <c r="CE638" s="30" t="str">
        <f ca="1">IFERROR(__xludf.DUMMYFUNCTION("""COMPUTED_VALUE"""),"No se cuenta con el dato")</f>
        <v>No se cuenta con el dato</v>
      </c>
      <c r="CF638" s="30" t="str">
        <f ca="1">IFERROR(__xludf.DUMMYFUNCTION("""COMPUTED_VALUE"""),"Ninguno (Población General)")</f>
        <v>Ninguno (Población General)</v>
      </c>
      <c r="CG638" s="30">
        <f ca="1">IFERROR(__xludf.DUMMYFUNCTION("""COMPUTED_VALUE"""),98)</f>
        <v>98</v>
      </c>
      <c r="CJ638" s="29"/>
      <c r="CM638" s="30" t="str">
        <f ca="1">IFERROR(__xludf.DUMMYFUNCTION("""COMPUTED_VALUE"""),"")</f>
        <v/>
      </c>
      <c r="CN638" s="32" t="e">
        <f ca="1"/>
        <v>#NAME?</v>
      </c>
      <c r="CO638" s="32" t="e">
        <f ca="1"/>
        <v>#NAME?</v>
      </c>
      <c r="CP638" s="32" t="e">
        <f ca="1"/>
        <v>#NAME?</v>
      </c>
      <c r="CQ638" s="32" t="e">
        <f ca="1"/>
        <v>#NAME?</v>
      </c>
      <c r="CR638" s="30" t="e">
        <f ca="1"/>
        <v>#NAME?</v>
      </c>
      <c r="CS638" s="30" t="str">
        <f ca="1">IFERROR(__xludf.DUMMYFUNCTION("""COMPUTED_VALUE"""),"")</f>
        <v/>
      </c>
    </row>
    <row r="639" spans="1:97" ht="13">
      <c r="A639" s="29"/>
      <c r="C639" s="32"/>
      <c r="I639" s="34"/>
      <c r="BP639" s="29"/>
      <c r="CC639" s="30" t="str">
        <f ca="1">IFERROR(__xludf.DUMMYFUNCTION("""COMPUTED_VALUE"""),"269e8c22")</f>
        <v>269e8c22</v>
      </c>
      <c r="CD639" s="29" t="str">
        <f ca="1">IFERROR(__xludf.DUMMYFUNCTION("""COMPUTED_VALUE"""),"Niñas y Niños (6 a 12 años)")</f>
        <v>Niñas y Niños (6 a 12 años)</v>
      </c>
      <c r="CE639" s="30" t="str">
        <f ca="1">IFERROR(__xludf.DUMMYFUNCTION("""COMPUTED_VALUE"""),"No se cuenta con el dato")</f>
        <v>No se cuenta con el dato</v>
      </c>
      <c r="CF639" s="30" t="str">
        <f ca="1">IFERROR(__xludf.DUMMYFUNCTION("""COMPUTED_VALUE"""),"Ninguno (Población General)")</f>
        <v>Ninguno (Población General)</v>
      </c>
      <c r="CG639" s="30">
        <f ca="1">IFERROR(__xludf.DUMMYFUNCTION("""COMPUTED_VALUE"""),6)</f>
        <v>6</v>
      </c>
      <c r="CJ639" s="29"/>
      <c r="CM639" s="30" t="str">
        <f ca="1">IFERROR(__xludf.DUMMYFUNCTION("""COMPUTED_VALUE"""),"")</f>
        <v/>
      </c>
      <c r="CN639" s="32" t="e">
        <f ca="1"/>
        <v>#NAME?</v>
      </c>
      <c r="CO639" s="32" t="e">
        <f ca="1"/>
        <v>#NAME?</v>
      </c>
      <c r="CP639" s="32" t="e">
        <f ca="1"/>
        <v>#NAME?</v>
      </c>
      <c r="CQ639" s="32" t="e">
        <f ca="1"/>
        <v>#NAME?</v>
      </c>
      <c r="CR639" s="30" t="e">
        <f ca="1"/>
        <v>#NAME?</v>
      </c>
      <c r="CS639" s="30" t="str">
        <f ca="1">IFERROR(__xludf.DUMMYFUNCTION("""COMPUTED_VALUE"""),"")</f>
        <v/>
      </c>
    </row>
    <row r="640" spans="1:97" ht="13">
      <c r="A640" s="29"/>
      <c r="C640" s="32"/>
      <c r="I640" s="34"/>
      <c r="BP640" s="29"/>
      <c r="CC640" s="30" t="str">
        <f ca="1">IFERROR(__xludf.DUMMYFUNCTION("""COMPUTED_VALUE"""),"7a3a6597")</f>
        <v>7a3a6597</v>
      </c>
      <c r="CD640" s="29" t="str">
        <f ca="1">IFERROR(__xludf.DUMMYFUNCTION("""COMPUTED_VALUE"""),"Jóvenes (18 a 29 años)")</f>
        <v>Jóvenes (18 a 29 años)</v>
      </c>
      <c r="CE640" s="30" t="str">
        <f ca="1">IFERROR(__xludf.DUMMYFUNCTION("""COMPUTED_VALUE"""),"No se cuenta con el dato")</f>
        <v>No se cuenta con el dato</v>
      </c>
      <c r="CF640" s="30" t="str">
        <f ca="1">IFERROR(__xludf.DUMMYFUNCTION("""COMPUTED_VALUE"""),"Ninguno (Población General)")</f>
        <v>Ninguno (Población General)</v>
      </c>
      <c r="CG640" s="30">
        <f ca="1">IFERROR(__xludf.DUMMYFUNCTION("""COMPUTED_VALUE"""),5)</f>
        <v>5</v>
      </c>
      <c r="CJ640" s="29"/>
      <c r="CM640" s="30" t="str">
        <f ca="1">IFERROR(__xludf.DUMMYFUNCTION("""COMPUTED_VALUE"""),"")</f>
        <v/>
      </c>
      <c r="CN640" s="32" t="e">
        <f ca="1"/>
        <v>#NAME?</v>
      </c>
      <c r="CO640" s="32" t="e">
        <f ca="1"/>
        <v>#NAME?</v>
      </c>
      <c r="CP640" s="32" t="e">
        <f ca="1"/>
        <v>#NAME?</v>
      </c>
      <c r="CQ640" s="32" t="e">
        <f ca="1"/>
        <v>#NAME?</v>
      </c>
      <c r="CR640" s="30" t="e">
        <f ca="1"/>
        <v>#NAME?</v>
      </c>
      <c r="CS640" s="30" t="str">
        <f ca="1">IFERROR(__xludf.DUMMYFUNCTION("""COMPUTED_VALUE"""),"")</f>
        <v/>
      </c>
    </row>
    <row r="641" spans="1:97" ht="13">
      <c r="A641" s="29"/>
      <c r="C641" s="32"/>
      <c r="I641" s="34"/>
      <c r="BP641" s="29"/>
      <c r="CC641" s="30" t="str">
        <f ca="1">IFERROR(__xludf.DUMMYFUNCTION("""COMPUTED_VALUE"""),"9f4aa006")</f>
        <v>9f4aa006</v>
      </c>
      <c r="CD641" s="29" t="str">
        <f ca="1">IFERROR(__xludf.DUMMYFUNCTION("""COMPUTED_VALUE"""),"Adultos (30 a 59 años)")</f>
        <v>Adultos (30 a 59 años)</v>
      </c>
      <c r="CE641" s="30" t="str">
        <f ca="1">IFERROR(__xludf.DUMMYFUNCTION("""COMPUTED_VALUE"""),"No se cuenta con el dato")</f>
        <v>No se cuenta con el dato</v>
      </c>
      <c r="CF641" s="30" t="str">
        <f ca="1">IFERROR(__xludf.DUMMYFUNCTION("""COMPUTED_VALUE"""),"Ninguno (Población General)")</f>
        <v>Ninguno (Población General)</v>
      </c>
      <c r="CG641" s="30">
        <f ca="1">IFERROR(__xludf.DUMMYFUNCTION("""COMPUTED_VALUE"""),81)</f>
        <v>81</v>
      </c>
      <c r="CJ641" s="29"/>
      <c r="CM641" s="30" t="str">
        <f ca="1">IFERROR(__xludf.DUMMYFUNCTION("""COMPUTED_VALUE"""),"")</f>
        <v/>
      </c>
      <c r="CN641" s="32" t="e">
        <f ca="1"/>
        <v>#NAME?</v>
      </c>
      <c r="CO641" s="32" t="e">
        <f ca="1"/>
        <v>#NAME?</v>
      </c>
      <c r="CP641" s="32" t="e">
        <f ca="1"/>
        <v>#NAME?</v>
      </c>
      <c r="CQ641" s="32" t="e">
        <f ca="1"/>
        <v>#NAME?</v>
      </c>
      <c r="CR641" s="30" t="e">
        <f ca="1"/>
        <v>#NAME?</v>
      </c>
      <c r="CS641" s="30" t="str">
        <f ca="1">IFERROR(__xludf.DUMMYFUNCTION("""COMPUTED_VALUE"""),"")</f>
        <v/>
      </c>
    </row>
    <row r="642" spans="1:97" ht="13">
      <c r="A642" s="29"/>
      <c r="C642" s="32"/>
      <c r="I642" s="34"/>
      <c r="BP642" s="29"/>
      <c r="CC642" s="30" t="str">
        <f ca="1">IFERROR(__xludf.DUMMYFUNCTION("""COMPUTED_VALUE"""),"549bb7b9")</f>
        <v>549bb7b9</v>
      </c>
      <c r="CD642" s="29" t="str">
        <f ca="1">IFERROR(__xludf.DUMMYFUNCTION("""COMPUTED_VALUE"""),"Adultos Mayores (60 años o más)")</f>
        <v>Adultos Mayores (60 años o más)</v>
      </c>
      <c r="CE642" s="30" t="str">
        <f ca="1">IFERROR(__xludf.DUMMYFUNCTION("""COMPUTED_VALUE"""),"No se cuenta con el dato")</f>
        <v>No se cuenta con el dato</v>
      </c>
      <c r="CF642" s="30" t="str">
        <f ca="1">IFERROR(__xludf.DUMMYFUNCTION("""COMPUTED_VALUE"""),"Ninguno (Población General)")</f>
        <v>Ninguno (Población General)</v>
      </c>
      <c r="CG642" s="30">
        <f ca="1">IFERROR(__xludf.DUMMYFUNCTION("""COMPUTED_VALUE"""),88)</f>
        <v>88</v>
      </c>
      <c r="CJ642" s="29"/>
      <c r="CM642" s="30" t="str">
        <f ca="1">IFERROR(__xludf.DUMMYFUNCTION("""COMPUTED_VALUE"""),"")</f>
        <v/>
      </c>
      <c r="CN642" s="32" t="e">
        <f ca="1"/>
        <v>#NAME?</v>
      </c>
      <c r="CO642" s="32" t="e">
        <f ca="1"/>
        <v>#NAME?</v>
      </c>
      <c r="CP642" s="32" t="e">
        <f ca="1"/>
        <v>#NAME?</v>
      </c>
      <c r="CQ642" s="32" t="e">
        <f ca="1"/>
        <v>#NAME?</v>
      </c>
      <c r="CR642" s="30" t="e">
        <f ca="1"/>
        <v>#NAME?</v>
      </c>
      <c r="CS642" s="30" t="str">
        <f ca="1">IFERROR(__xludf.DUMMYFUNCTION("""COMPUTED_VALUE"""),"")</f>
        <v/>
      </c>
    </row>
    <row r="643" spans="1:97" ht="13">
      <c r="A643" s="29"/>
      <c r="C643" s="32"/>
      <c r="I643" s="34"/>
      <c r="BP643" s="29"/>
      <c r="CC643" s="30" t="str">
        <f ca="1">IFERROR(__xludf.DUMMYFUNCTION("""COMPUTED_VALUE"""),"de1e1d2d")</f>
        <v>de1e1d2d</v>
      </c>
      <c r="CD643" s="29" t="str">
        <f ca="1">IFERROR(__xludf.DUMMYFUNCTION("""COMPUTED_VALUE"""),"Adultos Mayores (60 años o más)")</f>
        <v>Adultos Mayores (60 años o más)</v>
      </c>
      <c r="CE643" s="30" t="str">
        <f ca="1">IFERROR(__xludf.DUMMYFUNCTION("""COMPUTED_VALUE"""),"No se cuenta con el dato")</f>
        <v>No se cuenta con el dato</v>
      </c>
      <c r="CF643" s="30" t="str">
        <f ca="1">IFERROR(__xludf.DUMMYFUNCTION("""COMPUTED_VALUE"""),"Ninguno (Población General)")</f>
        <v>Ninguno (Población General)</v>
      </c>
      <c r="CG643" s="30">
        <f ca="1">IFERROR(__xludf.DUMMYFUNCTION("""COMPUTED_VALUE"""),49)</f>
        <v>49</v>
      </c>
      <c r="CJ643" s="29"/>
      <c r="CM643" s="30" t="str">
        <f ca="1">IFERROR(__xludf.DUMMYFUNCTION("""COMPUTED_VALUE"""),"")</f>
        <v/>
      </c>
      <c r="CN643" s="32" t="e">
        <f ca="1"/>
        <v>#NAME?</v>
      </c>
      <c r="CO643" s="32" t="e">
        <f ca="1"/>
        <v>#NAME?</v>
      </c>
      <c r="CP643" s="32" t="e">
        <f ca="1"/>
        <v>#NAME?</v>
      </c>
      <c r="CQ643" s="32" t="e">
        <f ca="1"/>
        <v>#NAME?</v>
      </c>
      <c r="CR643" s="30" t="e">
        <f ca="1"/>
        <v>#NAME?</v>
      </c>
      <c r="CS643" s="30" t="str">
        <f ca="1">IFERROR(__xludf.DUMMYFUNCTION("""COMPUTED_VALUE"""),"")</f>
        <v/>
      </c>
    </row>
    <row r="644" spans="1:97" ht="13">
      <c r="A644" s="29"/>
      <c r="C644" s="32"/>
      <c r="I644" s="34"/>
      <c r="BP644" s="29"/>
      <c r="CC644" s="30" t="str">
        <f ca="1">IFERROR(__xludf.DUMMYFUNCTION("""COMPUTED_VALUE"""),"a2443bad")</f>
        <v>a2443bad</v>
      </c>
      <c r="CD644" s="29" t="str">
        <f ca="1">IFERROR(__xludf.DUMMYFUNCTION("""COMPUTED_VALUE"""),"Adultos (30 a 59 años)")</f>
        <v>Adultos (30 a 59 años)</v>
      </c>
      <c r="CE644" s="30" t="str">
        <f ca="1">IFERROR(__xludf.DUMMYFUNCTION("""COMPUTED_VALUE"""),"No se cuenta con el dato")</f>
        <v>No se cuenta con el dato</v>
      </c>
      <c r="CF644" s="30" t="str">
        <f ca="1">IFERROR(__xludf.DUMMYFUNCTION("""COMPUTED_VALUE"""),"Ninguno (Población General)")</f>
        <v>Ninguno (Población General)</v>
      </c>
      <c r="CG644" s="30">
        <f ca="1">IFERROR(__xludf.DUMMYFUNCTION("""COMPUTED_VALUE"""),57)</f>
        <v>57</v>
      </c>
      <c r="CJ644" s="29"/>
      <c r="CM644" s="30" t="str">
        <f ca="1">IFERROR(__xludf.DUMMYFUNCTION("""COMPUTED_VALUE"""),"")</f>
        <v/>
      </c>
      <c r="CN644" s="32" t="e">
        <f ca="1"/>
        <v>#NAME?</v>
      </c>
      <c r="CO644" s="32" t="e">
        <f ca="1"/>
        <v>#NAME?</v>
      </c>
      <c r="CP644" s="32" t="e">
        <f ca="1"/>
        <v>#NAME?</v>
      </c>
      <c r="CQ644" s="32" t="e">
        <f ca="1"/>
        <v>#NAME?</v>
      </c>
      <c r="CR644" s="30" t="e">
        <f ca="1"/>
        <v>#NAME?</v>
      </c>
      <c r="CS644" s="30" t="str">
        <f ca="1">IFERROR(__xludf.DUMMYFUNCTION("""COMPUTED_VALUE"""),"")</f>
        <v/>
      </c>
    </row>
    <row r="645" spans="1:97" ht="13">
      <c r="A645" s="29"/>
      <c r="C645" s="32"/>
      <c r="I645" s="34"/>
      <c r="BP645" s="29"/>
      <c r="CC645" s="30" t="str">
        <f ca="1">IFERROR(__xludf.DUMMYFUNCTION("""COMPUTED_VALUE"""),"a1742542")</f>
        <v>a1742542</v>
      </c>
      <c r="CD645" s="29" t="str">
        <f ca="1">IFERROR(__xludf.DUMMYFUNCTION("""COMPUTED_VALUE"""),"Jóvenes (18 a 29 años)")</f>
        <v>Jóvenes (18 a 29 años)</v>
      </c>
      <c r="CE645" s="30" t="str">
        <f ca="1">IFERROR(__xludf.DUMMYFUNCTION("""COMPUTED_VALUE"""),"No se cuenta con el dato")</f>
        <v>No se cuenta con el dato</v>
      </c>
      <c r="CF645" s="30" t="str">
        <f ca="1">IFERROR(__xludf.DUMMYFUNCTION("""COMPUTED_VALUE"""),"Ninguno (Población General)")</f>
        <v>Ninguno (Población General)</v>
      </c>
      <c r="CG645" s="30">
        <f ca="1">IFERROR(__xludf.DUMMYFUNCTION("""COMPUTED_VALUE"""),11)</f>
        <v>11</v>
      </c>
      <c r="CJ645" s="29"/>
      <c r="CM645" s="30" t="str">
        <f ca="1">IFERROR(__xludf.DUMMYFUNCTION("""COMPUTED_VALUE"""),"")</f>
        <v/>
      </c>
      <c r="CN645" s="32" t="e">
        <f ca="1"/>
        <v>#NAME?</v>
      </c>
      <c r="CO645" s="32" t="e">
        <f ca="1"/>
        <v>#NAME?</v>
      </c>
      <c r="CP645" s="32" t="e">
        <f ca="1"/>
        <v>#NAME?</v>
      </c>
      <c r="CQ645" s="32" t="e">
        <f ca="1"/>
        <v>#NAME?</v>
      </c>
      <c r="CR645" s="30" t="e">
        <f ca="1"/>
        <v>#NAME?</v>
      </c>
      <c r="CS645" s="30" t="str">
        <f ca="1">IFERROR(__xludf.DUMMYFUNCTION("""COMPUTED_VALUE"""),"")</f>
        <v/>
      </c>
    </row>
    <row r="646" spans="1:97" ht="13">
      <c r="A646" s="29"/>
      <c r="C646" s="32"/>
      <c r="I646" s="34"/>
      <c r="BP646" s="29"/>
      <c r="CC646" s="30" t="str">
        <f ca="1">IFERROR(__xludf.DUMMYFUNCTION("""COMPUTED_VALUE"""),"d2aab90a")</f>
        <v>d2aab90a</v>
      </c>
      <c r="CD646" s="29" t="str">
        <f ca="1">IFERROR(__xludf.DUMMYFUNCTION("""COMPUTED_VALUE"""),"Niñas y Niños (6 a 12 años)")</f>
        <v>Niñas y Niños (6 a 12 años)</v>
      </c>
      <c r="CE646" s="30" t="str">
        <f ca="1">IFERROR(__xludf.DUMMYFUNCTION("""COMPUTED_VALUE"""),"No se cuenta con el dato")</f>
        <v>No se cuenta con el dato</v>
      </c>
      <c r="CF646" s="30" t="str">
        <f ca="1">IFERROR(__xludf.DUMMYFUNCTION("""COMPUTED_VALUE"""),"Ninguno (Población General)")</f>
        <v>Ninguno (Población General)</v>
      </c>
      <c r="CG646" s="30">
        <f ca="1">IFERROR(__xludf.DUMMYFUNCTION("""COMPUTED_VALUE"""),14)</f>
        <v>14</v>
      </c>
      <c r="CJ646" s="29"/>
      <c r="CM646" s="30" t="str">
        <f ca="1">IFERROR(__xludf.DUMMYFUNCTION("""COMPUTED_VALUE"""),"")</f>
        <v/>
      </c>
      <c r="CN646" s="32" t="e">
        <f ca="1"/>
        <v>#NAME?</v>
      </c>
      <c r="CO646" s="32" t="e">
        <f ca="1"/>
        <v>#NAME?</v>
      </c>
      <c r="CP646" s="32" t="e">
        <f ca="1"/>
        <v>#NAME?</v>
      </c>
      <c r="CQ646" s="32" t="e">
        <f ca="1"/>
        <v>#NAME?</v>
      </c>
      <c r="CR646" s="30" t="e">
        <f ca="1"/>
        <v>#NAME?</v>
      </c>
      <c r="CS646" s="30" t="str">
        <f ca="1">IFERROR(__xludf.DUMMYFUNCTION("""COMPUTED_VALUE"""),"")</f>
        <v/>
      </c>
    </row>
    <row r="647" spans="1:97" ht="13">
      <c r="A647" s="29"/>
      <c r="C647" s="32"/>
      <c r="I647" s="34"/>
      <c r="BP647" s="29"/>
      <c r="CC647" s="30" t="str">
        <f ca="1">IFERROR(__xludf.DUMMYFUNCTION("""COMPUTED_VALUE"""),"960d09ae")</f>
        <v>960d09ae</v>
      </c>
      <c r="CD647" s="29" t="str">
        <f ca="1">IFERROR(__xludf.DUMMYFUNCTION("""COMPUTED_VALUE"""),"Primera Infancia (0 a 5 años)")</f>
        <v>Primera Infancia (0 a 5 años)</v>
      </c>
      <c r="CE647" s="30" t="str">
        <f ca="1">IFERROR(__xludf.DUMMYFUNCTION("""COMPUTED_VALUE"""),"No se cuenta con el dato")</f>
        <v>No se cuenta con el dato</v>
      </c>
      <c r="CF647" s="30" t="str">
        <f ca="1">IFERROR(__xludf.DUMMYFUNCTION("""COMPUTED_VALUE"""),"Ninguno (Población General)")</f>
        <v>Ninguno (Población General)</v>
      </c>
      <c r="CG647" s="30">
        <f ca="1">IFERROR(__xludf.DUMMYFUNCTION("""COMPUTED_VALUE"""),1)</f>
        <v>1</v>
      </c>
      <c r="CJ647" s="29"/>
      <c r="CM647" s="30" t="str">
        <f ca="1">IFERROR(__xludf.DUMMYFUNCTION("""COMPUTED_VALUE"""),"")</f>
        <v/>
      </c>
      <c r="CN647" s="32" t="e">
        <f ca="1"/>
        <v>#NAME?</v>
      </c>
      <c r="CO647" s="32" t="e">
        <f ca="1"/>
        <v>#NAME?</v>
      </c>
      <c r="CP647" s="32" t="e">
        <f ca="1"/>
        <v>#NAME?</v>
      </c>
      <c r="CQ647" s="32" t="e">
        <f ca="1"/>
        <v>#NAME?</v>
      </c>
      <c r="CR647" s="30" t="e">
        <f ca="1"/>
        <v>#NAME?</v>
      </c>
      <c r="CS647" s="30" t="str">
        <f ca="1">IFERROR(__xludf.DUMMYFUNCTION("""COMPUTED_VALUE"""),"")</f>
        <v/>
      </c>
    </row>
    <row r="648" spans="1:97" ht="13">
      <c r="A648" s="29"/>
      <c r="C648" s="32"/>
      <c r="I648" s="34"/>
      <c r="BP648" s="29"/>
      <c r="CC648" s="30" t="str">
        <f ca="1">IFERROR(__xludf.DUMMYFUNCTION("""COMPUTED_VALUE"""),"895c7e57")</f>
        <v>895c7e57</v>
      </c>
      <c r="CD648" s="29" t="str">
        <f ca="1">IFERROR(__xludf.DUMMYFUNCTION("""COMPUTED_VALUE"""),"Adultos Mayores (60 años o más)")</f>
        <v>Adultos Mayores (60 años o más)</v>
      </c>
      <c r="CE648" s="30" t="str">
        <f ca="1">IFERROR(__xludf.DUMMYFUNCTION("""COMPUTED_VALUE"""),"No se cuenta con el dato")</f>
        <v>No se cuenta con el dato</v>
      </c>
      <c r="CF648" s="30" t="str">
        <f ca="1">IFERROR(__xludf.DUMMYFUNCTION("""COMPUTED_VALUE"""),"Ninguno (Población General)")</f>
        <v>Ninguno (Población General)</v>
      </c>
      <c r="CG648" s="30">
        <f ca="1">IFERROR(__xludf.DUMMYFUNCTION("""COMPUTED_VALUE"""),5)</f>
        <v>5</v>
      </c>
      <c r="CJ648" s="29"/>
      <c r="CM648" s="30" t="str">
        <f ca="1">IFERROR(__xludf.DUMMYFUNCTION("""COMPUTED_VALUE"""),"")</f>
        <v/>
      </c>
      <c r="CN648" s="32" t="e">
        <f ca="1"/>
        <v>#NAME?</v>
      </c>
      <c r="CO648" s="32" t="e">
        <f ca="1"/>
        <v>#NAME?</v>
      </c>
      <c r="CP648" s="32" t="e">
        <f ca="1"/>
        <v>#NAME?</v>
      </c>
      <c r="CQ648" s="32" t="e">
        <f ca="1"/>
        <v>#NAME?</v>
      </c>
      <c r="CR648" s="30" t="e">
        <f ca="1"/>
        <v>#NAME?</v>
      </c>
      <c r="CS648" s="30" t="str">
        <f ca="1">IFERROR(__xludf.DUMMYFUNCTION("""COMPUTED_VALUE"""),"")</f>
        <v/>
      </c>
    </row>
    <row r="649" spans="1:97" ht="13">
      <c r="A649" s="29"/>
      <c r="C649" s="32"/>
      <c r="I649" s="34"/>
      <c r="BP649" s="29"/>
      <c r="CC649" s="30" t="str">
        <f ca="1">IFERROR(__xludf.DUMMYFUNCTION("""COMPUTED_VALUE"""),"3c113894")</f>
        <v>3c113894</v>
      </c>
      <c r="CD649" s="29" t="str">
        <f ca="1">IFERROR(__xludf.DUMMYFUNCTION("""COMPUTED_VALUE"""),"Jóvenes (18 a 29 años)")</f>
        <v>Jóvenes (18 a 29 años)</v>
      </c>
      <c r="CE649" s="30" t="str">
        <f ca="1">IFERROR(__xludf.DUMMYFUNCTION("""COMPUTED_VALUE"""),"No se cuenta con el dato")</f>
        <v>No se cuenta con el dato</v>
      </c>
      <c r="CF649" s="30" t="str">
        <f ca="1">IFERROR(__xludf.DUMMYFUNCTION("""COMPUTED_VALUE"""),"Ninguno (Población General)")</f>
        <v>Ninguno (Población General)</v>
      </c>
      <c r="CG649" s="30">
        <f ca="1">IFERROR(__xludf.DUMMYFUNCTION("""COMPUTED_VALUE"""),10)</f>
        <v>10</v>
      </c>
      <c r="CJ649" s="29"/>
      <c r="CM649" s="30" t="str">
        <f ca="1">IFERROR(__xludf.DUMMYFUNCTION("""COMPUTED_VALUE"""),"")</f>
        <v/>
      </c>
      <c r="CN649" s="32" t="e">
        <f ca="1"/>
        <v>#NAME?</v>
      </c>
      <c r="CO649" s="32" t="e">
        <f ca="1"/>
        <v>#NAME?</v>
      </c>
      <c r="CP649" s="32" t="e">
        <f ca="1"/>
        <v>#NAME?</v>
      </c>
      <c r="CQ649" s="32" t="e">
        <f ca="1"/>
        <v>#NAME?</v>
      </c>
      <c r="CR649" s="30" t="e">
        <f ca="1"/>
        <v>#NAME?</v>
      </c>
      <c r="CS649" s="30" t="str">
        <f ca="1">IFERROR(__xludf.DUMMYFUNCTION("""COMPUTED_VALUE"""),"")</f>
        <v/>
      </c>
    </row>
    <row r="650" spans="1:97" ht="13">
      <c r="A650" s="29"/>
      <c r="C650" s="32"/>
      <c r="I650" s="34"/>
      <c r="BP650" s="29"/>
      <c r="CC650" s="30" t="str">
        <f ca="1">IFERROR(__xludf.DUMMYFUNCTION("""COMPUTED_VALUE"""),"2369fb75")</f>
        <v>2369fb75</v>
      </c>
      <c r="CD650" s="29" t="str">
        <f ca="1">IFERROR(__xludf.DUMMYFUNCTION("""COMPUTED_VALUE"""),"Adultos (30 a 59 años)")</f>
        <v>Adultos (30 a 59 años)</v>
      </c>
      <c r="CE650" s="30" t="str">
        <f ca="1">IFERROR(__xludf.DUMMYFUNCTION("""COMPUTED_VALUE"""),"No se cuenta con el dato")</f>
        <v>No se cuenta con el dato</v>
      </c>
      <c r="CF650" s="30" t="str">
        <f ca="1">IFERROR(__xludf.DUMMYFUNCTION("""COMPUTED_VALUE"""),"Ninguno (Población General)")</f>
        <v>Ninguno (Población General)</v>
      </c>
      <c r="CG650" s="30">
        <f ca="1">IFERROR(__xludf.DUMMYFUNCTION("""COMPUTED_VALUE"""),3)</f>
        <v>3</v>
      </c>
      <c r="CJ650" s="29"/>
      <c r="CM650" s="30" t="str">
        <f ca="1">IFERROR(__xludf.DUMMYFUNCTION("""COMPUTED_VALUE"""),"")</f>
        <v/>
      </c>
      <c r="CN650" s="32" t="e">
        <f ca="1"/>
        <v>#NAME?</v>
      </c>
      <c r="CO650" s="32" t="e">
        <f ca="1"/>
        <v>#NAME?</v>
      </c>
      <c r="CP650" s="32" t="e">
        <f ca="1"/>
        <v>#NAME?</v>
      </c>
      <c r="CQ650" s="32" t="e">
        <f ca="1"/>
        <v>#NAME?</v>
      </c>
      <c r="CR650" s="30" t="e">
        <f ca="1"/>
        <v>#NAME?</v>
      </c>
      <c r="CS650" s="30" t="str">
        <f ca="1">IFERROR(__xludf.DUMMYFUNCTION("""COMPUTED_VALUE"""),"")</f>
        <v/>
      </c>
    </row>
    <row r="651" spans="1:97" ht="13">
      <c r="A651" s="29"/>
      <c r="C651" s="32"/>
      <c r="I651" s="34"/>
      <c r="BP651" s="29"/>
      <c r="CC651" s="30" t="str">
        <f ca="1">IFERROR(__xludf.DUMMYFUNCTION("""COMPUTED_VALUE"""),"86307fa7")</f>
        <v>86307fa7</v>
      </c>
      <c r="CD651" s="29" t="str">
        <f ca="1">IFERROR(__xludf.DUMMYFUNCTION("""COMPUTED_VALUE"""),"Adolescentes (13 a 17 años)")</f>
        <v>Adolescentes (13 a 17 años)</v>
      </c>
      <c r="CE651" s="30" t="str">
        <f ca="1">IFERROR(__xludf.DUMMYFUNCTION("""COMPUTED_VALUE"""),"No se cuenta con el dato")</f>
        <v>No se cuenta con el dato</v>
      </c>
      <c r="CF651" s="30" t="str">
        <f ca="1">IFERROR(__xludf.DUMMYFUNCTION("""COMPUTED_VALUE"""),"Ninguno (Población General)")</f>
        <v>Ninguno (Población General)</v>
      </c>
      <c r="CG651" s="30">
        <f ca="1">IFERROR(__xludf.DUMMYFUNCTION("""COMPUTED_VALUE"""),28)</f>
        <v>28</v>
      </c>
      <c r="CJ651" s="29"/>
      <c r="CM651" s="30" t="str">
        <f ca="1">IFERROR(__xludf.DUMMYFUNCTION("""COMPUTED_VALUE"""),"")</f>
        <v/>
      </c>
      <c r="CN651" s="32" t="e">
        <f ca="1"/>
        <v>#NAME?</v>
      </c>
      <c r="CO651" s="32" t="e">
        <f ca="1"/>
        <v>#NAME?</v>
      </c>
      <c r="CP651" s="32" t="e">
        <f ca="1"/>
        <v>#NAME?</v>
      </c>
      <c r="CQ651" s="32" t="e">
        <f ca="1"/>
        <v>#NAME?</v>
      </c>
      <c r="CR651" s="30" t="e">
        <f ca="1"/>
        <v>#NAME?</v>
      </c>
      <c r="CS651" s="30" t="str">
        <f ca="1">IFERROR(__xludf.DUMMYFUNCTION("""COMPUTED_VALUE"""),"")</f>
        <v/>
      </c>
    </row>
    <row r="652" spans="1:97" ht="13">
      <c r="A652" s="29"/>
      <c r="C652" s="32"/>
      <c r="I652" s="34"/>
      <c r="BP652" s="29"/>
      <c r="CC652" s="30" t="str">
        <f ca="1">IFERROR(__xludf.DUMMYFUNCTION("""COMPUTED_VALUE"""),"51e858bc")</f>
        <v>51e858bc</v>
      </c>
      <c r="CD652" s="29" t="str">
        <f ca="1">IFERROR(__xludf.DUMMYFUNCTION("""COMPUTED_VALUE"""),"Jóvenes (18 a 29 años)")</f>
        <v>Jóvenes (18 a 29 años)</v>
      </c>
      <c r="CE652" s="30" t="str">
        <f ca="1">IFERROR(__xludf.DUMMYFUNCTION("""COMPUTED_VALUE"""),"No se cuenta con el dato")</f>
        <v>No se cuenta con el dato</v>
      </c>
      <c r="CF652" s="30" t="str">
        <f ca="1">IFERROR(__xludf.DUMMYFUNCTION("""COMPUTED_VALUE"""),"Ninguno (Población General)")</f>
        <v>Ninguno (Población General)</v>
      </c>
      <c r="CG652" s="30">
        <f ca="1">IFERROR(__xludf.DUMMYFUNCTION("""COMPUTED_VALUE"""),25)</f>
        <v>25</v>
      </c>
      <c r="CJ652" s="29"/>
      <c r="CM652" s="30" t="str">
        <f ca="1">IFERROR(__xludf.DUMMYFUNCTION("""COMPUTED_VALUE"""),"")</f>
        <v/>
      </c>
      <c r="CN652" s="32" t="e">
        <f ca="1"/>
        <v>#NAME?</v>
      </c>
      <c r="CO652" s="32" t="e">
        <f ca="1"/>
        <v>#NAME?</v>
      </c>
      <c r="CP652" s="32" t="e">
        <f ca="1"/>
        <v>#NAME?</v>
      </c>
      <c r="CQ652" s="32" t="e">
        <f ca="1"/>
        <v>#NAME?</v>
      </c>
      <c r="CR652" s="30" t="e">
        <f ca="1"/>
        <v>#NAME?</v>
      </c>
      <c r="CS652" s="30" t="str">
        <f ca="1">IFERROR(__xludf.DUMMYFUNCTION("""COMPUTED_VALUE"""),"")</f>
        <v/>
      </c>
    </row>
    <row r="653" spans="1:97" ht="13">
      <c r="A653" s="29"/>
      <c r="C653" s="32"/>
      <c r="I653" s="34"/>
      <c r="BP653" s="29"/>
      <c r="CC653" s="30" t="str">
        <f ca="1">IFERROR(__xludf.DUMMYFUNCTION("""COMPUTED_VALUE"""),"d6c9b7b8")</f>
        <v>d6c9b7b8</v>
      </c>
      <c r="CD653" s="29" t="str">
        <f ca="1">IFERROR(__xludf.DUMMYFUNCTION("""COMPUTED_VALUE"""),"Adultos (30 a 59 años)")</f>
        <v>Adultos (30 a 59 años)</v>
      </c>
      <c r="CE653" s="30" t="str">
        <f ca="1">IFERROR(__xludf.DUMMYFUNCTION("""COMPUTED_VALUE"""),"No se cuenta con el dato")</f>
        <v>No se cuenta con el dato</v>
      </c>
      <c r="CF653" s="30" t="str">
        <f ca="1">IFERROR(__xludf.DUMMYFUNCTION("""COMPUTED_VALUE"""),"NNA (Niñas, Niños y Adolescentes)")</f>
        <v>NNA (Niñas, Niños y Adolescentes)</v>
      </c>
      <c r="CG653" s="30">
        <f ca="1">IFERROR(__xludf.DUMMYFUNCTION("""COMPUTED_VALUE"""),27)</f>
        <v>27</v>
      </c>
      <c r="CJ653" s="29"/>
      <c r="CM653" s="30" t="str">
        <f ca="1">IFERROR(__xludf.DUMMYFUNCTION("""COMPUTED_VALUE"""),"")</f>
        <v/>
      </c>
      <c r="CN653" s="32" t="e">
        <f ca="1"/>
        <v>#NAME?</v>
      </c>
      <c r="CO653" s="32" t="e">
        <f ca="1"/>
        <v>#NAME?</v>
      </c>
      <c r="CP653" s="32" t="e">
        <f ca="1"/>
        <v>#NAME?</v>
      </c>
      <c r="CQ653" s="32" t="e">
        <f ca="1"/>
        <v>#NAME?</v>
      </c>
      <c r="CR653" s="30" t="e">
        <f ca="1"/>
        <v>#NAME?</v>
      </c>
      <c r="CS653" s="30" t="str">
        <f ca="1">IFERROR(__xludf.DUMMYFUNCTION("""COMPUTED_VALUE"""),"")</f>
        <v/>
      </c>
    </row>
    <row r="654" spans="1:97" ht="13">
      <c r="A654" s="29"/>
      <c r="C654" s="32"/>
      <c r="I654" s="34"/>
      <c r="BP654" s="29"/>
      <c r="CC654" s="30" t="str">
        <f ca="1">IFERROR(__xludf.DUMMYFUNCTION("""COMPUTED_VALUE"""),"dbf5f3da")</f>
        <v>dbf5f3da</v>
      </c>
      <c r="CD654" s="29" t="str">
        <f ca="1">IFERROR(__xludf.DUMMYFUNCTION("""COMPUTED_VALUE"""),"Adolescentes (13 a 17 años)")</f>
        <v>Adolescentes (13 a 17 años)</v>
      </c>
      <c r="CE654" s="30" t="str">
        <f ca="1">IFERROR(__xludf.DUMMYFUNCTION("""COMPUTED_VALUE"""),"No se cuenta con el dato")</f>
        <v>No se cuenta con el dato</v>
      </c>
      <c r="CF654" s="30" t="str">
        <f ca="1">IFERROR(__xludf.DUMMYFUNCTION("""COMPUTED_VALUE"""),"Jóvenes en riesgo")</f>
        <v>Jóvenes en riesgo</v>
      </c>
      <c r="CG654" s="30">
        <f ca="1">IFERROR(__xludf.DUMMYFUNCTION("""COMPUTED_VALUE"""),10)</f>
        <v>10</v>
      </c>
      <c r="CJ654" s="29"/>
      <c r="CM654" s="30" t="str">
        <f ca="1">IFERROR(__xludf.DUMMYFUNCTION("""COMPUTED_VALUE"""),"")</f>
        <v/>
      </c>
      <c r="CN654" s="32" t="e">
        <f ca="1"/>
        <v>#NAME?</v>
      </c>
      <c r="CO654" s="32" t="e">
        <f ca="1"/>
        <v>#NAME?</v>
      </c>
      <c r="CP654" s="32" t="e">
        <f ca="1"/>
        <v>#NAME?</v>
      </c>
      <c r="CQ654" s="32" t="e">
        <f ca="1"/>
        <v>#NAME?</v>
      </c>
      <c r="CR654" s="30" t="e">
        <f ca="1"/>
        <v>#NAME?</v>
      </c>
      <c r="CS654" s="30" t="str">
        <f ca="1">IFERROR(__xludf.DUMMYFUNCTION("""COMPUTED_VALUE"""),"")</f>
        <v/>
      </c>
    </row>
    <row r="655" spans="1:97" ht="13">
      <c r="A655" s="29"/>
      <c r="C655" s="32"/>
      <c r="I655" s="34"/>
      <c r="BP655" s="29"/>
      <c r="CC655" s="30" t="str">
        <f ca="1">IFERROR(__xludf.DUMMYFUNCTION("""COMPUTED_VALUE"""),"2d8661bf")</f>
        <v>2d8661bf</v>
      </c>
      <c r="CD655" s="29" t="str">
        <f ca="1">IFERROR(__xludf.DUMMYFUNCTION("""COMPUTED_VALUE"""),"Jóvenes (18 a 29 años)")</f>
        <v>Jóvenes (18 a 29 años)</v>
      </c>
      <c r="CE655" s="30" t="str">
        <f ca="1">IFERROR(__xludf.DUMMYFUNCTION("""COMPUTED_VALUE"""),"No se cuenta con el dato")</f>
        <v>No se cuenta con el dato</v>
      </c>
      <c r="CF655" s="30" t="str">
        <f ca="1">IFERROR(__xludf.DUMMYFUNCTION("""COMPUTED_VALUE"""),"Jóvenes en riesgo")</f>
        <v>Jóvenes en riesgo</v>
      </c>
      <c r="CG655" s="30">
        <f ca="1">IFERROR(__xludf.DUMMYFUNCTION("""COMPUTED_VALUE"""),10)</f>
        <v>10</v>
      </c>
      <c r="CJ655" s="29"/>
      <c r="CM655" s="30" t="str">
        <f ca="1">IFERROR(__xludf.DUMMYFUNCTION("""COMPUTED_VALUE"""),"")</f>
        <v/>
      </c>
      <c r="CN655" s="32" t="e">
        <f ca="1"/>
        <v>#NAME?</v>
      </c>
      <c r="CO655" s="32" t="e">
        <f ca="1"/>
        <v>#NAME?</v>
      </c>
      <c r="CP655" s="32" t="e">
        <f ca="1"/>
        <v>#NAME?</v>
      </c>
      <c r="CQ655" s="32" t="e">
        <f ca="1"/>
        <v>#NAME?</v>
      </c>
      <c r="CR655" s="30" t="e">
        <f ca="1"/>
        <v>#NAME?</v>
      </c>
      <c r="CS655" s="30" t="str">
        <f ca="1">IFERROR(__xludf.DUMMYFUNCTION("""COMPUTED_VALUE"""),"")</f>
        <v/>
      </c>
    </row>
    <row r="656" spans="1:97" ht="13">
      <c r="A656" s="29"/>
      <c r="C656" s="32"/>
      <c r="I656" s="34"/>
      <c r="BP656" s="29"/>
      <c r="CC656" s="30" t="str">
        <f ca="1">IFERROR(__xludf.DUMMYFUNCTION("""COMPUTED_VALUE"""),"de33ba0b")</f>
        <v>de33ba0b</v>
      </c>
      <c r="CD656" s="29" t="str">
        <f ca="1">IFERROR(__xludf.DUMMYFUNCTION("""COMPUTED_VALUE"""),"Adultos (30 a 59 años)")</f>
        <v>Adultos (30 a 59 años)</v>
      </c>
      <c r="CE656" s="30" t="str">
        <f ca="1">IFERROR(__xludf.DUMMYFUNCTION("""COMPUTED_VALUE"""),"No se cuenta con el dato")</f>
        <v>No se cuenta con el dato</v>
      </c>
      <c r="CF656" s="30" t="str">
        <f ca="1">IFERROR(__xludf.DUMMYFUNCTION("""COMPUTED_VALUE"""),"Jóvenes en riesgo")</f>
        <v>Jóvenes en riesgo</v>
      </c>
      <c r="CG656" s="30">
        <f ca="1">IFERROR(__xludf.DUMMYFUNCTION("""COMPUTED_VALUE"""),10)</f>
        <v>10</v>
      </c>
      <c r="CJ656" s="29"/>
      <c r="CM656" s="30" t="str">
        <f ca="1">IFERROR(__xludf.DUMMYFUNCTION("""COMPUTED_VALUE"""),"")</f>
        <v/>
      </c>
      <c r="CN656" s="32" t="e">
        <f ca="1"/>
        <v>#NAME?</v>
      </c>
      <c r="CO656" s="32" t="e">
        <f ca="1"/>
        <v>#NAME?</v>
      </c>
      <c r="CP656" s="32" t="e">
        <f ca="1"/>
        <v>#NAME?</v>
      </c>
      <c r="CQ656" s="32" t="e">
        <f ca="1"/>
        <v>#NAME?</v>
      </c>
      <c r="CR656" s="30" t="e">
        <f ca="1"/>
        <v>#NAME?</v>
      </c>
      <c r="CS656" s="30" t="str">
        <f ca="1">IFERROR(__xludf.DUMMYFUNCTION("""COMPUTED_VALUE"""),"")</f>
        <v/>
      </c>
    </row>
    <row r="657" spans="1:97" ht="13">
      <c r="A657" s="29"/>
      <c r="C657" s="32"/>
      <c r="I657" s="34"/>
      <c r="BP657" s="29"/>
      <c r="CC657" s="30" t="str">
        <f ca="1">IFERROR(__xludf.DUMMYFUNCTION("""COMPUTED_VALUE"""),"e5e2044f")</f>
        <v>e5e2044f</v>
      </c>
      <c r="CD657" s="29" t="str">
        <f ca="1">IFERROR(__xludf.DUMMYFUNCTION("""COMPUTED_VALUE"""),"Jóvenes (18 a 29 años)")</f>
        <v>Jóvenes (18 a 29 años)</v>
      </c>
      <c r="CE657" s="30" t="str">
        <f ca="1">IFERROR(__xludf.DUMMYFUNCTION("""COMPUTED_VALUE"""),"No se cuenta con el dato")</f>
        <v>No se cuenta con el dato</v>
      </c>
      <c r="CF657" s="30" t="str">
        <f ca="1">IFERROR(__xludf.DUMMYFUNCTION("""COMPUTED_VALUE"""),"Ninguno (Población General)")</f>
        <v>Ninguno (Población General)</v>
      </c>
      <c r="CG657" s="30">
        <f ca="1">IFERROR(__xludf.DUMMYFUNCTION("""COMPUTED_VALUE"""),7)</f>
        <v>7</v>
      </c>
      <c r="CJ657" s="29"/>
      <c r="CM657" s="30" t="str">
        <f ca="1">IFERROR(__xludf.DUMMYFUNCTION("""COMPUTED_VALUE"""),"")</f>
        <v/>
      </c>
      <c r="CN657" s="32" t="e">
        <f ca="1"/>
        <v>#NAME?</v>
      </c>
      <c r="CO657" s="32" t="e">
        <f ca="1"/>
        <v>#NAME?</v>
      </c>
      <c r="CP657" s="32" t="e">
        <f ca="1"/>
        <v>#NAME?</v>
      </c>
      <c r="CQ657" s="32" t="e">
        <f ca="1"/>
        <v>#NAME?</v>
      </c>
      <c r="CR657" s="30" t="e">
        <f ca="1"/>
        <v>#NAME?</v>
      </c>
      <c r="CS657" s="30" t="str">
        <f ca="1">IFERROR(__xludf.DUMMYFUNCTION("""COMPUTED_VALUE"""),"")</f>
        <v/>
      </c>
    </row>
    <row r="658" spans="1:97" ht="13">
      <c r="A658" s="29"/>
      <c r="C658" s="32"/>
      <c r="I658" s="34"/>
      <c r="BP658" s="29"/>
      <c r="CC658" s="30" t="str">
        <f ca="1">IFERROR(__xludf.DUMMYFUNCTION("""COMPUTED_VALUE"""),"226c51bf")</f>
        <v>226c51bf</v>
      </c>
      <c r="CD658" s="29" t="str">
        <f ca="1">IFERROR(__xludf.DUMMYFUNCTION("""COMPUTED_VALUE"""),"Adultos (30 a 59 años)")</f>
        <v>Adultos (30 a 59 años)</v>
      </c>
      <c r="CE658" s="30" t="str">
        <f ca="1">IFERROR(__xludf.DUMMYFUNCTION("""COMPUTED_VALUE"""),"No se cuenta con el dato")</f>
        <v>No se cuenta con el dato</v>
      </c>
      <c r="CF658" s="30" t="str">
        <f ca="1">IFERROR(__xludf.DUMMYFUNCTION("""COMPUTED_VALUE"""),"Ninguno (Población General)")</f>
        <v>Ninguno (Población General)</v>
      </c>
      <c r="CG658" s="30">
        <f ca="1">IFERROR(__xludf.DUMMYFUNCTION("""COMPUTED_VALUE"""),10)</f>
        <v>10</v>
      </c>
      <c r="CJ658" s="29"/>
      <c r="CM658" s="30" t="str">
        <f ca="1">IFERROR(__xludf.DUMMYFUNCTION("""COMPUTED_VALUE"""),"")</f>
        <v/>
      </c>
      <c r="CN658" s="32" t="e">
        <f ca="1"/>
        <v>#NAME?</v>
      </c>
      <c r="CO658" s="32" t="e">
        <f ca="1"/>
        <v>#NAME?</v>
      </c>
      <c r="CP658" s="32" t="e">
        <f ca="1"/>
        <v>#NAME?</v>
      </c>
      <c r="CQ658" s="32" t="e">
        <f ca="1"/>
        <v>#NAME?</v>
      </c>
      <c r="CR658" s="30" t="e">
        <f ca="1"/>
        <v>#NAME?</v>
      </c>
      <c r="CS658" s="30" t="str">
        <f ca="1">IFERROR(__xludf.DUMMYFUNCTION("""COMPUTED_VALUE"""),"")</f>
        <v/>
      </c>
    </row>
    <row r="659" spans="1:97" ht="13">
      <c r="A659" s="29"/>
      <c r="C659" s="32"/>
      <c r="I659" s="34"/>
      <c r="BP659" s="29"/>
      <c r="CC659" s="30" t="str">
        <f ca="1">IFERROR(__xludf.DUMMYFUNCTION("""COMPUTED_VALUE"""),"9697a2b2")</f>
        <v>9697a2b2</v>
      </c>
      <c r="CD659" s="29" t="str">
        <f ca="1">IFERROR(__xludf.DUMMYFUNCTION("""COMPUTED_VALUE"""),"Adultos Mayores (60 años o más)")</f>
        <v>Adultos Mayores (60 años o más)</v>
      </c>
      <c r="CE659" s="30" t="str">
        <f ca="1">IFERROR(__xludf.DUMMYFUNCTION("""COMPUTED_VALUE"""),"No se cuenta con el dato")</f>
        <v>No se cuenta con el dato</v>
      </c>
      <c r="CF659" s="30" t="str">
        <f ca="1">IFERROR(__xludf.DUMMYFUNCTION("""COMPUTED_VALUE"""),"Ninguno (Población General)")</f>
        <v>Ninguno (Población General)</v>
      </c>
      <c r="CG659" s="30">
        <f ca="1">IFERROR(__xludf.DUMMYFUNCTION("""COMPUTED_VALUE"""),5)</f>
        <v>5</v>
      </c>
      <c r="CJ659" s="29"/>
      <c r="CM659" s="30" t="str">
        <f ca="1">IFERROR(__xludf.DUMMYFUNCTION("""COMPUTED_VALUE"""),"")</f>
        <v/>
      </c>
      <c r="CN659" s="32" t="e">
        <f ca="1"/>
        <v>#NAME?</v>
      </c>
      <c r="CO659" s="32" t="e">
        <f ca="1"/>
        <v>#NAME?</v>
      </c>
      <c r="CP659" s="32" t="e">
        <f ca="1"/>
        <v>#NAME?</v>
      </c>
      <c r="CQ659" s="32" t="e">
        <f ca="1"/>
        <v>#NAME?</v>
      </c>
      <c r="CR659" s="30" t="e">
        <f ca="1"/>
        <v>#NAME?</v>
      </c>
      <c r="CS659" s="30" t="str">
        <f ca="1">IFERROR(__xludf.DUMMYFUNCTION("""COMPUTED_VALUE"""),"")</f>
        <v/>
      </c>
    </row>
    <row r="660" spans="1:97" ht="13">
      <c r="A660" s="29"/>
      <c r="C660" s="32"/>
      <c r="I660" s="34"/>
      <c r="BP660" s="29"/>
      <c r="CC660" s="30" t="str">
        <f ca="1">IFERROR(__xludf.DUMMYFUNCTION("""COMPUTED_VALUE"""),"b2ee660b")</f>
        <v>b2ee660b</v>
      </c>
      <c r="CD660" s="29" t="str">
        <f ca="1">IFERROR(__xludf.DUMMYFUNCTION("""COMPUTED_VALUE"""),"Adultos (30 a 59 años)")</f>
        <v>Adultos (30 a 59 años)</v>
      </c>
      <c r="CE660" s="30" t="str">
        <f ca="1">IFERROR(__xludf.DUMMYFUNCTION("""COMPUTED_VALUE"""),"No se cuenta con el dato")</f>
        <v>No se cuenta con el dato</v>
      </c>
      <c r="CF660" s="30" t="str">
        <f ca="1">IFERROR(__xludf.DUMMYFUNCTION("""COMPUTED_VALUE"""),"Ninguno (Población General)")</f>
        <v>Ninguno (Población General)</v>
      </c>
      <c r="CG660" s="30">
        <f ca="1">IFERROR(__xludf.DUMMYFUNCTION("""COMPUTED_VALUE"""),10)</f>
        <v>10</v>
      </c>
      <c r="CJ660" s="29"/>
      <c r="CM660" s="30" t="str">
        <f ca="1">IFERROR(__xludf.DUMMYFUNCTION("""COMPUTED_VALUE"""),"")</f>
        <v/>
      </c>
      <c r="CN660" s="32" t="e">
        <f ca="1"/>
        <v>#NAME?</v>
      </c>
      <c r="CO660" s="32" t="e">
        <f ca="1"/>
        <v>#NAME?</v>
      </c>
      <c r="CP660" s="32" t="e">
        <f ca="1"/>
        <v>#NAME?</v>
      </c>
      <c r="CQ660" s="32" t="e">
        <f ca="1"/>
        <v>#NAME?</v>
      </c>
      <c r="CR660" s="30" t="e">
        <f ca="1"/>
        <v>#NAME?</v>
      </c>
      <c r="CS660" s="30" t="str">
        <f ca="1">IFERROR(__xludf.DUMMYFUNCTION("""COMPUTED_VALUE"""),"")</f>
        <v/>
      </c>
    </row>
    <row r="661" spans="1:97" ht="13">
      <c r="A661" s="29"/>
      <c r="C661" s="32"/>
      <c r="I661" s="34"/>
      <c r="BP661" s="29"/>
      <c r="CC661" s="30" t="str">
        <f ca="1">IFERROR(__xludf.DUMMYFUNCTION("""COMPUTED_VALUE"""),"b7ce262e")</f>
        <v>b7ce262e</v>
      </c>
      <c r="CD661" s="29" t="str">
        <f ca="1">IFERROR(__xludf.DUMMYFUNCTION("""COMPUTED_VALUE"""),"Jóvenes (18 a 29 años)")</f>
        <v>Jóvenes (18 a 29 años)</v>
      </c>
      <c r="CE661" s="30" t="str">
        <f ca="1">IFERROR(__xludf.DUMMYFUNCTION("""COMPUTED_VALUE"""),"No se cuenta con el dato")</f>
        <v>No se cuenta con el dato</v>
      </c>
      <c r="CF661" s="30" t="str">
        <f ca="1">IFERROR(__xludf.DUMMYFUNCTION("""COMPUTED_VALUE"""),"Ninguno (Población General)")</f>
        <v>Ninguno (Población General)</v>
      </c>
      <c r="CG661" s="30">
        <f ca="1">IFERROR(__xludf.DUMMYFUNCTION("""COMPUTED_VALUE"""),4)</f>
        <v>4</v>
      </c>
      <c r="CJ661" s="29"/>
      <c r="CM661" s="30" t="str">
        <f ca="1">IFERROR(__xludf.DUMMYFUNCTION("""COMPUTED_VALUE"""),"")</f>
        <v/>
      </c>
      <c r="CN661" s="32" t="e">
        <f ca="1"/>
        <v>#NAME?</v>
      </c>
      <c r="CO661" s="32" t="e">
        <f ca="1"/>
        <v>#NAME?</v>
      </c>
      <c r="CP661" s="32" t="e">
        <f ca="1"/>
        <v>#NAME?</v>
      </c>
      <c r="CQ661" s="32" t="e">
        <f ca="1"/>
        <v>#NAME?</v>
      </c>
      <c r="CR661" s="30" t="e">
        <f ca="1"/>
        <v>#NAME?</v>
      </c>
      <c r="CS661" s="30" t="str">
        <f ca="1">IFERROR(__xludf.DUMMYFUNCTION("""COMPUTED_VALUE"""),"")</f>
        <v/>
      </c>
    </row>
    <row r="662" spans="1:97" ht="13">
      <c r="A662" s="29"/>
      <c r="C662" s="32"/>
      <c r="I662" s="34"/>
      <c r="BP662" s="29"/>
      <c r="CC662" s="30" t="str">
        <f ca="1">IFERROR(__xludf.DUMMYFUNCTION("""COMPUTED_VALUE"""),"c59cbc35")</f>
        <v>c59cbc35</v>
      </c>
      <c r="CD662" s="29" t="str">
        <f ca="1">IFERROR(__xludf.DUMMYFUNCTION("""COMPUTED_VALUE"""),"Adultos Mayores (60 años o más)")</f>
        <v>Adultos Mayores (60 años o más)</v>
      </c>
      <c r="CE662" s="30" t="str">
        <f ca="1">IFERROR(__xludf.DUMMYFUNCTION("""COMPUTED_VALUE"""),"No se cuenta con el dato")</f>
        <v>No se cuenta con el dato</v>
      </c>
      <c r="CF662" s="30" t="str">
        <f ca="1">IFERROR(__xludf.DUMMYFUNCTION("""COMPUTED_VALUE"""),"Ninguno (Población General)")</f>
        <v>Ninguno (Población General)</v>
      </c>
      <c r="CG662" s="30">
        <f ca="1">IFERROR(__xludf.DUMMYFUNCTION("""COMPUTED_VALUE"""),10)</f>
        <v>10</v>
      </c>
      <c r="CJ662" s="29"/>
      <c r="CM662" s="30" t="str">
        <f ca="1">IFERROR(__xludf.DUMMYFUNCTION("""COMPUTED_VALUE"""),"")</f>
        <v/>
      </c>
      <c r="CN662" s="32" t="e">
        <f ca="1"/>
        <v>#NAME?</v>
      </c>
      <c r="CO662" s="32" t="e">
        <f ca="1"/>
        <v>#NAME?</v>
      </c>
      <c r="CP662" s="32" t="e">
        <f ca="1"/>
        <v>#NAME?</v>
      </c>
      <c r="CQ662" s="32" t="e">
        <f ca="1"/>
        <v>#NAME?</v>
      </c>
      <c r="CR662" s="30" t="e">
        <f ca="1"/>
        <v>#NAME?</v>
      </c>
      <c r="CS662" s="30" t="str">
        <f ca="1">IFERROR(__xludf.DUMMYFUNCTION("""COMPUTED_VALUE"""),"")</f>
        <v/>
      </c>
    </row>
    <row r="663" spans="1:97" ht="13">
      <c r="A663" s="29"/>
      <c r="C663" s="32"/>
      <c r="I663" s="34"/>
      <c r="BP663" s="29"/>
      <c r="CC663" s="30" t="str">
        <f ca="1">IFERROR(__xludf.DUMMYFUNCTION("""COMPUTED_VALUE"""),"771c775f")</f>
        <v>771c775f</v>
      </c>
      <c r="CD663" s="29" t="str">
        <f ca="1">IFERROR(__xludf.DUMMYFUNCTION("""COMPUTED_VALUE"""),"Adultos (30 a 59 años)")</f>
        <v>Adultos (30 a 59 años)</v>
      </c>
      <c r="CE663" s="30" t="str">
        <f ca="1">IFERROR(__xludf.DUMMYFUNCTION("""COMPUTED_VALUE"""),"No se cuenta con el dato")</f>
        <v>No se cuenta con el dato</v>
      </c>
      <c r="CF663" s="30" t="str">
        <f ca="1">IFERROR(__xludf.DUMMYFUNCTION("""COMPUTED_VALUE"""),"Ninguno (Población General)")</f>
        <v>Ninguno (Población General)</v>
      </c>
      <c r="CG663" s="30">
        <f ca="1">IFERROR(__xludf.DUMMYFUNCTION("""COMPUTED_VALUE"""),15)</f>
        <v>15</v>
      </c>
      <c r="CJ663" s="29"/>
      <c r="CM663" s="30" t="str">
        <f ca="1">IFERROR(__xludf.DUMMYFUNCTION("""COMPUTED_VALUE"""),"")</f>
        <v/>
      </c>
      <c r="CN663" s="32" t="e">
        <f ca="1"/>
        <v>#NAME?</v>
      </c>
      <c r="CO663" s="32" t="e">
        <f ca="1"/>
        <v>#NAME?</v>
      </c>
      <c r="CP663" s="32" t="e">
        <f ca="1"/>
        <v>#NAME?</v>
      </c>
      <c r="CQ663" s="32" t="e">
        <f ca="1"/>
        <v>#NAME?</v>
      </c>
      <c r="CR663" s="30" t="e">
        <f ca="1"/>
        <v>#NAME?</v>
      </c>
      <c r="CS663" s="30" t="str">
        <f ca="1">IFERROR(__xludf.DUMMYFUNCTION("""COMPUTED_VALUE"""),"")</f>
        <v/>
      </c>
    </row>
    <row r="664" spans="1:97" ht="13">
      <c r="A664" s="29"/>
      <c r="C664" s="32"/>
      <c r="I664" s="34"/>
      <c r="BP664" s="29"/>
      <c r="CC664" s="30" t="str">
        <f ca="1">IFERROR(__xludf.DUMMYFUNCTION("""COMPUTED_VALUE"""),"4ab0c547")</f>
        <v>4ab0c547</v>
      </c>
      <c r="CD664" s="29" t="str">
        <f ca="1">IFERROR(__xludf.DUMMYFUNCTION("""COMPUTED_VALUE"""),"Jóvenes (18 a 29 años)")</f>
        <v>Jóvenes (18 a 29 años)</v>
      </c>
      <c r="CE664" s="30" t="str">
        <f ca="1">IFERROR(__xludf.DUMMYFUNCTION("""COMPUTED_VALUE"""),"No se cuenta con el dato")</f>
        <v>No se cuenta con el dato</v>
      </c>
      <c r="CF664" s="30" t="str">
        <f ca="1">IFERROR(__xludf.DUMMYFUNCTION("""COMPUTED_VALUE"""),"Ninguno (Población General)")</f>
        <v>Ninguno (Población General)</v>
      </c>
      <c r="CG664" s="30">
        <f ca="1">IFERROR(__xludf.DUMMYFUNCTION("""COMPUTED_VALUE"""),10)</f>
        <v>10</v>
      </c>
      <c r="CJ664" s="29"/>
      <c r="CM664" s="30" t="str">
        <f ca="1">IFERROR(__xludf.DUMMYFUNCTION("""COMPUTED_VALUE"""),"")</f>
        <v/>
      </c>
      <c r="CN664" s="32" t="e">
        <f ca="1"/>
        <v>#NAME?</v>
      </c>
      <c r="CO664" s="32" t="e">
        <f ca="1"/>
        <v>#NAME?</v>
      </c>
      <c r="CP664" s="32" t="e">
        <f ca="1"/>
        <v>#NAME?</v>
      </c>
      <c r="CQ664" s="32" t="e">
        <f ca="1"/>
        <v>#NAME?</v>
      </c>
      <c r="CR664" s="30" t="e">
        <f ca="1"/>
        <v>#NAME?</v>
      </c>
      <c r="CS664" s="30" t="str">
        <f ca="1">IFERROR(__xludf.DUMMYFUNCTION("""COMPUTED_VALUE"""),"")</f>
        <v/>
      </c>
    </row>
    <row r="665" spans="1:97" ht="13">
      <c r="A665" s="29"/>
      <c r="C665" s="32"/>
      <c r="I665" s="34"/>
      <c r="BP665" s="29"/>
      <c r="CC665" s="30" t="str">
        <f ca="1">IFERROR(__xludf.DUMMYFUNCTION("""COMPUTED_VALUE"""),"a6f29b26")</f>
        <v>a6f29b26</v>
      </c>
      <c r="CD665" s="29" t="str">
        <f ca="1">IFERROR(__xludf.DUMMYFUNCTION("""COMPUTED_VALUE"""),"Jóvenes (18 a 29 años)")</f>
        <v>Jóvenes (18 a 29 años)</v>
      </c>
      <c r="CE665" s="30" t="str">
        <f ca="1">IFERROR(__xludf.DUMMYFUNCTION("""COMPUTED_VALUE"""),"No se cuenta con el dato")</f>
        <v>No se cuenta con el dato</v>
      </c>
      <c r="CF665" s="30" t="str">
        <f ca="1">IFERROR(__xludf.DUMMYFUNCTION("""COMPUTED_VALUE"""),"Ninguno (Población General)")</f>
        <v>Ninguno (Población General)</v>
      </c>
      <c r="CG665" s="30">
        <f ca="1">IFERROR(__xludf.DUMMYFUNCTION("""COMPUTED_VALUE"""),3)</f>
        <v>3</v>
      </c>
      <c r="CJ665" s="29"/>
      <c r="CM665" s="30" t="str">
        <f ca="1">IFERROR(__xludf.DUMMYFUNCTION("""COMPUTED_VALUE"""),"")</f>
        <v/>
      </c>
      <c r="CN665" s="32" t="e">
        <f ca="1"/>
        <v>#NAME?</v>
      </c>
      <c r="CO665" s="32" t="e">
        <f ca="1"/>
        <v>#NAME?</v>
      </c>
      <c r="CP665" s="32" t="e">
        <f ca="1"/>
        <v>#NAME?</v>
      </c>
      <c r="CQ665" s="32" t="e">
        <f ca="1"/>
        <v>#NAME?</v>
      </c>
      <c r="CR665" s="30" t="e">
        <f ca="1"/>
        <v>#NAME?</v>
      </c>
      <c r="CS665" s="30" t="str">
        <f ca="1">IFERROR(__xludf.DUMMYFUNCTION("""COMPUTED_VALUE"""),"")</f>
        <v/>
      </c>
    </row>
    <row r="666" spans="1:97" ht="13">
      <c r="A666" s="29"/>
      <c r="C666" s="32"/>
      <c r="I666" s="34"/>
      <c r="BP666" s="29"/>
      <c r="CC666" s="30" t="str">
        <f ca="1">IFERROR(__xludf.DUMMYFUNCTION("""COMPUTED_VALUE"""),"0fba61c5")</f>
        <v>0fba61c5</v>
      </c>
      <c r="CD666" s="29" t="str">
        <f ca="1">IFERROR(__xludf.DUMMYFUNCTION("""COMPUTED_VALUE"""),"Niñas y Niños (6 a 12 años)")</f>
        <v>Niñas y Niños (6 a 12 años)</v>
      </c>
      <c r="CE666" s="30" t="str">
        <f ca="1">IFERROR(__xludf.DUMMYFUNCTION("""COMPUTED_VALUE"""),"No se cuenta con el dato")</f>
        <v>No se cuenta con el dato</v>
      </c>
      <c r="CF666" s="30" t="str">
        <f ca="1">IFERROR(__xludf.DUMMYFUNCTION("""COMPUTED_VALUE"""),"Ninguno (Población General)")</f>
        <v>Ninguno (Población General)</v>
      </c>
      <c r="CG666" s="30">
        <f ca="1">IFERROR(__xludf.DUMMYFUNCTION("""COMPUTED_VALUE"""),15)</f>
        <v>15</v>
      </c>
      <c r="CJ666" s="29"/>
      <c r="CM666" s="30" t="str">
        <f ca="1">IFERROR(__xludf.DUMMYFUNCTION("""COMPUTED_VALUE"""),"")</f>
        <v/>
      </c>
      <c r="CN666" s="32" t="e">
        <f ca="1"/>
        <v>#NAME?</v>
      </c>
      <c r="CO666" s="32" t="e">
        <f ca="1"/>
        <v>#NAME?</v>
      </c>
      <c r="CP666" s="32" t="e">
        <f ca="1"/>
        <v>#NAME?</v>
      </c>
      <c r="CQ666" s="32" t="e">
        <f ca="1"/>
        <v>#NAME?</v>
      </c>
      <c r="CR666" s="30" t="e">
        <f ca="1"/>
        <v>#NAME?</v>
      </c>
      <c r="CS666" s="30" t="str">
        <f ca="1">IFERROR(__xludf.DUMMYFUNCTION("""COMPUTED_VALUE"""),"")</f>
        <v/>
      </c>
    </row>
    <row r="667" spans="1:97" ht="13">
      <c r="A667" s="29"/>
      <c r="C667" s="32"/>
      <c r="I667" s="34"/>
      <c r="BP667" s="29"/>
      <c r="CC667" s="30" t="str">
        <f ca="1">IFERROR(__xludf.DUMMYFUNCTION("""COMPUTED_VALUE"""),"a951eb1c")</f>
        <v>a951eb1c</v>
      </c>
      <c r="CD667" s="29" t="str">
        <f ca="1">IFERROR(__xludf.DUMMYFUNCTION("""COMPUTED_VALUE"""),"Adolescentes (13 a 17 años)")</f>
        <v>Adolescentes (13 a 17 años)</v>
      </c>
      <c r="CE667" s="30" t="str">
        <f ca="1">IFERROR(__xludf.DUMMYFUNCTION("""COMPUTED_VALUE"""),"No se cuenta con el dato")</f>
        <v>No se cuenta con el dato</v>
      </c>
      <c r="CF667" s="30" t="str">
        <f ca="1">IFERROR(__xludf.DUMMYFUNCTION("""COMPUTED_VALUE"""),"Ninguno (Población General)")</f>
        <v>Ninguno (Población General)</v>
      </c>
      <c r="CG667" s="30">
        <f ca="1">IFERROR(__xludf.DUMMYFUNCTION("""COMPUTED_VALUE"""),15)</f>
        <v>15</v>
      </c>
      <c r="CJ667" s="29"/>
      <c r="CM667" s="30" t="str">
        <f ca="1">IFERROR(__xludf.DUMMYFUNCTION("""COMPUTED_VALUE"""),"")</f>
        <v/>
      </c>
      <c r="CN667" s="32" t="e">
        <f ca="1"/>
        <v>#NAME?</v>
      </c>
      <c r="CO667" s="32" t="e">
        <f ca="1"/>
        <v>#NAME?</v>
      </c>
      <c r="CP667" s="32" t="e">
        <f ca="1"/>
        <v>#NAME?</v>
      </c>
      <c r="CQ667" s="32" t="e">
        <f ca="1"/>
        <v>#NAME?</v>
      </c>
      <c r="CR667" s="30" t="e">
        <f ca="1"/>
        <v>#NAME?</v>
      </c>
      <c r="CS667" s="30" t="str">
        <f ca="1">IFERROR(__xludf.DUMMYFUNCTION("""COMPUTED_VALUE"""),"")</f>
        <v/>
      </c>
    </row>
    <row r="668" spans="1:97" ht="13">
      <c r="A668" s="29"/>
      <c r="C668" s="32"/>
      <c r="I668" s="34"/>
      <c r="BP668" s="29"/>
      <c r="CC668" s="30" t="str">
        <f ca="1">IFERROR(__xludf.DUMMYFUNCTION("""COMPUTED_VALUE"""),"a464d009")</f>
        <v>a464d009</v>
      </c>
      <c r="CD668" s="29" t="str">
        <f ca="1">IFERROR(__xludf.DUMMYFUNCTION("""COMPUTED_VALUE"""),"Adultos Mayores (60 años o más)")</f>
        <v>Adultos Mayores (60 años o más)</v>
      </c>
      <c r="CE668" s="30" t="str">
        <f ca="1">IFERROR(__xludf.DUMMYFUNCTION("""COMPUTED_VALUE"""),"No se cuenta con el dato")</f>
        <v>No se cuenta con el dato</v>
      </c>
      <c r="CF668" s="30" t="str">
        <f ca="1">IFERROR(__xludf.DUMMYFUNCTION("""COMPUTED_VALUE"""),"Ninguno (Población General)")</f>
        <v>Ninguno (Población General)</v>
      </c>
      <c r="CG668" s="30">
        <f ca="1">IFERROR(__xludf.DUMMYFUNCTION("""COMPUTED_VALUE"""),70)</f>
        <v>70</v>
      </c>
      <c r="CJ668" s="29"/>
      <c r="CM668" s="30" t="str">
        <f ca="1">IFERROR(__xludf.DUMMYFUNCTION("""COMPUTED_VALUE"""),"")</f>
        <v/>
      </c>
      <c r="CN668" s="32" t="e">
        <f ca="1"/>
        <v>#NAME?</v>
      </c>
      <c r="CO668" s="32" t="e">
        <f ca="1"/>
        <v>#NAME?</v>
      </c>
      <c r="CP668" s="32" t="e">
        <f ca="1"/>
        <v>#NAME?</v>
      </c>
      <c r="CQ668" s="32" t="e">
        <f ca="1"/>
        <v>#NAME?</v>
      </c>
      <c r="CR668" s="30" t="e">
        <f ca="1"/>
        <v>#NAME?</v>
      </c>
      <c r="CS668" s="30" t="str">
        <f ca="1">IFERROR(__xludf.DUMMYFUNCTION("""COMPUTED_VALUE"""),"")</f>
        <v/>
      </c>
    </row>
    <row r="669" spans="1:97" ht="13">
      <c r="A669" s="29"/>
      <c r="C669" s="32"/>
      <c r="I669" s="34"/>
      <c r="BP669" s="29"/>
      <c r="CC669" s="30" t="str">
        <f ca="1">IFERROR(__xludf.DUMMYFUNCTION("""COMPUTED_VALUE"""),"fe0f765a")</f>
        <v>fe0f765a</v>
      </c>
      <c r="CD669" s="29" t="str">
        <f ca="1">IFERROR(__xludf.DUMMYFUNCTION("""COMPUTED_VALUE"""),"Adultos (30 a 59 años)")</f>
        <v>Adultos (30 a 59 años)</v>
      </c>
      <c r="CE669" s="30" t="str">
        <f ca="1">IFERROR(__xludf.DUMMYFUNCTION("""COMPUTED_VALUE"""),"No se cuenta con el dato")</f>
        <v>No se cuenta con el dato</v>
      </c>
      <c r="CF669" s="30" t="str">
        <f ca="1">IFERROR(__xludf.DUMMYFUNCTION("""COMPUTED_VALUE"""),"Ninguno (Población General)")</f>
        <v>Ninguno (Población General)</v>
      </c>
      <c r="CG669" s="30">
        <f ca="1">IFERROR(__xludf.DUMMYFUNCTION("""COMPUTED_VALUE"""),53)</f>
        <v>53</v>
      </c>
      <c r="CJ669" s="29"/>
      <c r="CM669" s="30" t="str">
        <f ca="1">IFERROR(__xludf.DUMMYFUNCTION("""COMPUTED_VALUE"""),"")</f>
        <v/>
      </c>
      <c r="CN669" s="32" t="e">
        <f ca="1"/>
        <v>#NAME?</v>
      </c>
      <c r="CO669" s="32" t="e">
        <f ca="1"/>
        <v>#NAME?</v>
      </c>
      <c r="CP669" s="32" t="e">
        <f ca="1"/>
        <v>#NAME?</v>
      </c>
      <c r="CQ669" s="32" t="e">
        <f ca="1"/>
        <v>#NAME?</v>
      </c>
      <c r="CR669" s="30" t="e">
        <f ca="1"/>
        <v>#NAME?</v>
      </c>
      <c r="CS669" s="30" t="str">
        <f ca="1">IFERROR(__xludf.DUMMYFUNCTION("""COMPUTED_VALUE"""),"")</f>
        <v/>
      </c>
    </row>
    <row r="670" spans="1:97" ht="13">
      <c r="A670" s="29"/>
      <c r="C670" s="32"/>
      <c r="I670" s="34"/>
      <c r="BP670" s="29"/>
      <c r="CC670" s="30" t="str">
        <f ca="1">IFERROR(__xludf.DUMMYFUNCTION("""COMPUTED_VALUE"""),"77e76e5f")</f>
        <v>77e76e5f</v>
      </c>
      <c r="CD670" s="29" t="str">
        <f ca="1">IFERROR(__xludf.DUMMYFUNCTION("""COMPUTED_VALUE"""),"Adolescentes (13 a 17 años)")</f>
        <v>Adolescentes (13 a 17 años)</v>
      </c>
      <c r="CE670" s="30" t="str">
        <f ca="1">IFERROR(__xludf.DUMMYFUNCTION("""COMPUTED_VALUE"""),"No se cuenta con el dato")</f>
        <v>No se cuenta con el dato</v>
      </c>
      <c r="CF670" s="30" t="str">
        <f ca="1">IFERROR(__xludf.DUMMYFUNCTION("""COMPUTED_VALUE"""),"Jóvenes en riesgo")</f>
        <v>Jóvenes en riesgo</v>
      </c>
      <c r="CG670" s="30">
        <f ca="1">IFERROR(__xludf.DUMMYFUNCTION("""COMPUTED_VALUE"""),25)</f>
        <v>25</v>
      </c>
      <c r="CJ670" s="29"/>
      <c r="CM670" s="30" t="str">
        <f ca="1">IFERROR(__xludf.DUMMYFUNCTION("""COMPUTED_VALUE"""),"")</f>
        <v/>
      </c>
      <c r="CN670" s="32" t="e">
        <f ca="1"/>
        <v>#NAME?</v>
      </c>
      <c r="CO670" s="32" t="e">
        <f ca="1"/>
        <v>#NAME?</v>
      </c>
      <c r="CP670" s="32" t="e">
        <f ca="1"/>
        <v>#NAME?</v>
      </c>
      <c r="CQ670" s="32" t="e">
        <f ca="1"/>
        <v>#NAME?</v>
      </c>
      <c r="CR670" s="30" t="e">
        <f ca="1"/>
        <v>#NAME?</v>
      </c>
      <c r="CS670" s="30" t="str">
        <f ca="1">IFERROR(__xludf.DUMMYFUNCTION("""COMPUTED_VALUE"""),"")</f>
        <v/>
      </c>
    </row>
    <row r="671" spans="1:97" ht="13">
      <c r="A671" s="29"/>
      <c r="C671" s="32"/>
      <c r="I671" s="34"/>
      <c r="BP671" s="29"/>
      <c r="CC671" s="30" t="str">
        <f ca="1">IFERROR(__xludf.DUMMYFUNCTION("""COMPUTED_VALUE"""),"fb98c596")</f>
        <v>fb98c596</v>
      </c>
      <c r="CD671" s="29" t="str">
        <f ca="1">IFERROR(__xludf.DUMMYFUNCTION("""COMPUTED_VALUE"""),"Jóvenes (18 a 29 años)")</f>
        <v>Jóvenes (18 a 29 años)</v>
      </c>
      <c r="CE671" s="30" t="str">
        <f ca="1">IFERROR(__xludf.DUMMYFUNCTION("""COMPUTED_VALUE"""),"No se cuenta con el dato")</f>
        <v>No se cuenta con el dato</v>
      </c>
      <c r="CF671" s="30" t="str">
        <f ca="1">IFERROR(__xludf.DUMMYFUNCTION("""COMPUTED_VALUE"""),"Jóvenes en riesgo")</f>
        <v>Jóvenes en riesgo</v>
      </c>
      <c r="CG671" s="30">
        <f ca="1">IFERROR(__xludf.DUMMYFUNCTION("""COMPUTED_VALUE"""),29)</f>
        <v>29</v>
      </c>
      <c r="CJ671" s="29"/>
      <c r="CM671" s="30" t="str">
        <f ca="1">IFERROR(__xludf.DUMMYFUNCTION("""COMPUTED_VALUE"""),"")</f>
        <v/>
      </c>
      <c r="CN671" s="32" t="e">
        <f ca="1"/>
        <v>#NAME?</v>
      </c>
      <c r="CO671" s="32" t="e">
        <f ca="1"/>
        <v>#NAME?</v>
      </c>
      <c r="CP671" s="32" t="e">
        <f ca="1"/>
        <v>#NAME?</v>
      </c>
      <c r="CQ671" s="32" t="e">
        <f ca="1"/>
        <v>#NAME?</v>
      </c>
      <c r="CR671" s="30" t="e">
        <f ca="1"/>
        <v>#NAME?</v>
      </c>
      <c r="CS671" s="30" t="str">
        <f ca="1">IFERROR(__xludf.DUMMYFUNCTION("""COMPUTED_VALUE"""),"")</f>
        <v/>
      </c>
    </row>
    <row r="672" spans="1:97" ht="13">
      <c r="A672" s="29"/>
      <c r="C672" s="32"/>
      <c r="I672" s="34"/>
      <c r="BP672" s="29"/>
      <c r="CC672" s="30" t="str">
        <f ca="1">IFERROR(__xludf.DUMMYFUNCTION("""COMPUTED_VALUE"""),"d2c3ee77")</f>
        <v>d2c3ee77</v>
      </c>
      <c r="CD672" s="29" t="str">
        <f ca="1">IFERROR(__xludf.DUMMYFUNCTION("""COMPUTED_VALUE"""),"Adultos (30 a 59 años)")</f>
        <v>Adultos (30 a 59 años)</v>
      </c>
      <c r="CE672" s="30" t="str">
        <f ca="1">IFERROR(__xludf.DUMMYFUNCTION("""COMPUTED_VALUE"""),"No se cuenta con el dato")</f>
        <v>No se cuenta con el dato</v>
      </c>
      <c r="CF672" s="30" t="str">
        <f ca="1">IFERROR(__xludf.DUMMYFUNCTION("""COMPUTED_VALUE"""),"Jóvenes en riesgo")</f>
        <v>Jóvenes en riesgo</v>
      </c>
      <c r="CG672" s="30">
        <f ca="1">IFERROR(__xludf.DUMMYFUNCTION("""COMPUTED_VALUE"""),29)</f>
        <v>29</v>
      </c>
      <c r="CJ672" s="29"/>
      <c r="CM672" s="30" t="str">
        <f ca="1">IFERROR(__xludf.DUMMYFUNCTION("""COMPUTED_VALUE"""),"")</f>
        <v/>
      </c>
      <c r="CN672" s="32" t="e">
        <f ca="1"/>
        <v>#NAME?</v>
      </c>
      <c r="CO672" s="32" t="e">
        <f ca="1"/>
        <v>#NAME?</v>
      </c>
      <c r="CP672" s="32" t="e">
        <f ca="1"/>
        <v>#NAME?</v>
      </c>
      <c r="CQ672" s="32" t="e">
        <f ca="1"/>
        <v>#NAME?</v>
      </c>
      <c r="CR672" s="30" t="e">
        <f ca="1"/>
        <v>#NAME?</v>
      </c>
      <c r="CS672" s="30" t="str">
        <f ca="1">IFERROR(__xludf.DUMMYFUNCTION("""COMPUTED_VALUE"""),"")</f>
        <v/>
      </c>
    </row>
    <row r="673" spans="1:97" ht="13">
      <c r="A673" s="29"/>
      <c r="C673" s="32"/>
      <c r="I673" s="34"/>
      <c r="BP673" s="29"/>
      <c r="CC673" s="30" t="str">
        <f ca="1">IFERROR(__xludf.DUMMYFUNCTION("""COMPUTED_VALUE"""),"7e764a6c")</f>
        <v>7e764a6c</v>
      </c>
      <c r="CD673" s="29" t="str">
        <f ca="1">IFERROR(__xludf.DUMMYFUNCTION("""COMPUTED_VALUE"""),"Adolescentes (13 a 17 años)")</f>
        <v>Adolescentes (13 a 17 años)</v>
      </c>
      <c r="CE673" s="30" t="str">
        <f ca="1">IFERROR(__xludf.DUMMYFUNCTION("""COMPUTED_VALUE"""),"No se cuenta con el dato")</f>
        <v>No se cuenta con el dato</v>
      </c>
      <c r="CF673" s="30" t="str">
        <f ca="1">IFERROR(__xludf.DUMMYFUNCTION("""COMPUTED_VALUE"""),"Ninguno (Población General)")</f>
        <v>Ninguno (Población General)</v>
      </c>
      <c r="CG673" s="30">
        <f ca="1">IFERROR(__xludf.DUMMYFUNCTION("""COMPUTED_VALUE"""),1)</f>
        <v>1</v>
      </c>
      <c r="CJ673" s="29"/>
      <c r="CM673" s="30" t="str">
        <f ca="1">IFERROR(__xludf.DUMMYFUNCTION("""COMPUTED_VALUE"""),"")</f>
        <v/>
      </c>
      <c r="CN673" s="32" t="e">
        <f ca="1"/>
        <v>#NAME?</v>
      </c>
      <c r="CO673" s="32" t="e">
        <f ca="1"/>
        <v>#NAME?</v>
      </c>
      <c r="CP673" s="32" t="e">
        <f ca="1"/>
        <v>#NAME?</v>
      </c>
      <c r="CQ673" s="32" t="e">
        <f ca="1"/>
        <v>#NAME?</v>
      </c>
      <c r="CR673" s="30" t="e">
        <f ca="1"/>
        <v>#NAME?</v>
      </c>
      <c r="CS673" s="30" t="str">
        <f ca="1">IFERROR(__xludf.DUMMYFUNCTION("""COMPUTED_VALUE"""),"")</f>
        <v/>
      </c>
    </row>
    <row r="674" spans="1:97" ht="13">
      <c r="A674" s="29"/>
      <c r="C674" s="32"/>
      <c r="I674" s="34"/>
      <c r="BP674" s="29"/>
      <c r="CC674" s="30" t="str">
        <f ca="1">IFERROR(__xludf.DUMMYFUNCTION("""COMPUTED_VALUE"""),"e46ac286")</f>
        <v>e46ac286</v>
      </c>
      <c r="CD674" s="29" t="str">
        <f ca="1">IFERROR(__xludf.DUMMYFUNCTION("""COMPUTED_VALUE"""),"Jóvenes (18 a 29 años)")</f>
        <v>Jóvenes (18 a 29 años)</v>
      </c>
      <c r="CE674" s="30" t="str">
        <f ca="1">IFERROR(__xludf.DUMMYFUNCTION("""COMPUTED_VALUE"""),"No se cuenta con el dato")</f>
        <v>No se cuenta con el dato</v>
      </c>
      <c r="CF674" s="30" t="str">
        <f ca="1">IFERROR(__xludf.DUMMYFUNCTION("""COMPUTED_VALUE"""),"Ninguno (Población General)")</f>
        <v>Ninguno (Población General)</v>
      </c>
      <c r="CG674" s="30">
        <f ca="1">IFERROR(__xludf.DUMMYFUNCTION("""COMPUTED_VALUE"""),3)</f>
        <v>3</v>
      </c>
      <c r="CJ674" s="29"/>
      <c r="CM674" s="30" t="str">
        <f ca="1">IFERROR(__xludf.DUMMYFUNCTION("""COMPUTED_VALUE"""),"")</f>
        <v/>
      </c>
      <c r="CN674" s="32" t="e">
        <f ca="1"/>
        <v>#NAME?</v>
      </c>
      <c r="CO674" s="32" t="e">
        <f ca="1"/>
        <v>#NAME?</v>
      </c>
      <c r="CP674" s="32" t="e">
        <f ca="1"/>
        <v>#NAME?</v>
      </c>
      <c r="CQ674" s="32" t="e">
        <f ca="1"/>
        <v>#NAME?</v>
      </c>
      <c r="CR674" s="30" t="e">
        <f ca="1"/>
        <v>#NAME?</v>
      </c>
      <c r="CS674" s="30" t="str">
        <f ca="1">IFERROR(__xludf.DUMMYFUNCTION("""COMPUTED_VALUE"""),"")</f>
        <v/>
      </c>
    </row>
    <row r="675" spans="1:97" ht="13">
      <c r="A675" s="29"/>
      <c r="C675" s="32"/>
      <c r="I675" s="34"/>
      <c r="BP675" s="29"/>
      <c r="CC675" s="30" t="str">
        <f ca="1">IFERROR(__xludf.DUMMYFUNCTION("""COMPUTED_VALUE"""),"04ce297c")</f>
        <v>04ce297c</v>
      </c>
      <c r="CD675" s="29" t="str">
        <f ca="1">IFERROR(__xludf.DUMMYFUNCTION("""COMPUTED_VALUE"""),"Adultos (30 a 59 años)")</f>
        <v>Adultos (30 a 59 años)</v>
      </c>
      <c r="CE675" s="30" t="str">
        <f ca="1">IFERROR(__xludf.DUMMYFUNCTION("""COMPUTED_VALUE"""),"No se cuenta con el dato")</f>
        <v>No se cuenta con el dato</v>
      </c>
      <c r="CF675" s="30" t="str">
        <f ca="1">IFERROR(__xludf.DUMMYFUNCTION("""COMPUTED_VALUE"""),"Ninguno (Población General)")</f>
        <v>Ninguno (Población General)</v>
      </c>
      <c r="CG675" s="30">
        <f ca="1">IFERROR(__xludf.DUMMYFUNCTION("""COMPUTED_VALUE"""),2)</f>
        <v>2</v>
      </c>
      <c r="CJ675" s="29"/>
      <c r="CM675" s="30" t="str">
        <f ca="1">IFERROR(__xludf.DUMMYFUNCTION("""COMPUTED_VALUE"""),"")</f>
        <v/>
      </c>
      <c r="CN675" s="32" t="e">
        <f ca="1"/>
        <v>#NAME?</v>
      </c>
      <c r="CO675" s="32" t="e">
        <f ca="1"/>
        <v>#NAME?</v>
      </c>
      <c r="CP675" s="32" t="e">
        <f ca="1"/>
        <v>#NAME?</v>
      </c>
      <c r="CQ675" s="32" t="e">
        <f ca="1"/>
        <v>#NAME?</v>
      </c>
      <c r="CR675" s="30" t="e">
        <f ca="1"/>
        <v>#NAME?</v>
      </c>
      <c r="CS675" s="30" t="str">
        <f ca="1">IFERROR(__xludf.DUMMYFUNCTION("""COMPUTED_VALUE"""),"")</f>
        <v/>
      </c>
    </row>
    <row r="676" spans="1:97" ht="13">
      <c r="A676" s="29"/>
      <c r="C676" s="32"/>
      <c r="I676" s="34"/>
      <c r="BP676" s="29"/>
      <c r="CC676" s="30" t="str">
        <f ca="1">IFERROR(__xludf.DUMMYFUNCTION("""COMPUTED_VALUE"""),"55a92d6b")</f>
        <v>55a92d6b</v>
      </c>
      <c r="CD676" s="29" t="str">
        <f ca="1">IFERROR(__xludf.DUMMYFUNCTION("""COMPUTED_VALUE"""),"Jóvenes (18 a 29 años)")</f>
        <v>Jóvenes (18 a 29 años)</v>
      </c>
      <c r="CE676" s="30" t="str">
        <f ca="1">IFERROR(__xludf.DUMMYFUNCTION("""COMPUTED_VALUE"""),"No se cuenta con el dato")</f>
        <v>No se cuenta con el dato</v>
      </c>
      <c r="CF676" s="30" t="str">
        <f ca="1">IFERROR(__xludf.DUMMYFUNCTION("""COMPUTED_VALUE"""),"Ninguno (Población General)")</f>
        <v>Ninguno (Población General)</v>
      </c>
      <c r="CG676" s="30">
        <f ca="1">IFERROR(__xludf.DUMMYFUNCTION("""COMPUTED_VALUE"""),4)</f>
        <v>4</v>
      </c>
      <c r="CJ676" s="29"/>
      <c r="CM676" s="30" t="str">
        <f ca="1">IFERROR(__xludf.DUMMYFUNCTION("""COMPUTED_VALUE"""),"")</f>
        <v/>
      </c>
      <c r="CN676" s="32" t="e">
        <f ca="1"/>
        <v>#NAME?</v>
      </c>
      <c r="CO676" s="32" t="e">
        <f ca="1"/>
        <v>#NAME?</v>
      </c>
      <c r="CP676" s="32" t="e">
        <f ca="1"/>
        <v>#NAME?</v>
      </c>
      <c r="CQ676" s="32" t="e">
        <f ca="1"/>
        <v>#NAME?</v>
      </c>
      <c r="CR676" s="30" t="e">
        <f ca="1"/>
        <v>#NAME?</v>
      </c>
      <c r="CS676" s="30" t="str">
        <f ca="1">IFERROR(__xludf.DUMMYFUNCTION("""COMPUTED_VALUE"""),"")</f>
        <v/>
      </c>
    </row>
    <row r="677" spans="1:97" ht="13">
      <c r="A677" s="29"/>
      <c r="C677" s="32"/>
      <c r="I677" s="34"/>
      <c r="BP677" s="29"/>
      <c r="CC677" s="30" t="str">
        <f ca="1">IFERROR(__xludf.DUMMYFUNCTION("""COMPUTED_VALUE"""),"d107fb1e")</f>
        <v>d107fb1e</v>
      </c>
      <c r="CD677" s="29" t="str">
        <f ca="1">IFERROR(__xludf.DUMMYFUNCTION("""COMPUTED_VALUE"""),"Adultos (30 a 59 años)")</f>
        <v>Adultos (30 a 59 años)</v>
      </c>
      <c r="CE677" s="30" t="str">
        <f ca="1">IFERROR(__xludf.DUMMYFUNCTION("""COMPUTED_VALUE"""),"No se cuenta con el dato")</f>
        <v>No se cuenta con el dato</v>
      </c>
      <c r="CF677" s="30" t="str">
        <f ca="1">IFERROR(__xludf.DUMMYFUNCTION("""COMPUTED_VALUE"""),"Ninguno (Población General)")</f>
        <v>Ninguno (Población General)</v>
      </c>
      <c r="CG677" s="30">
        <f ca="1">IFERROR(__xludf.DUMMYFUNCTION("""COMPUTED_VALUE"""),2)</f>
        <v>2</v>
      </c>
      <c r="CJ677" s="29"/>
      <c r="CM677" s="30" t="str">
        <f ca="1">IFERROR(__xludf.DUMMYFUNCTION("""COMPUTED_VALUE"""),"")</f>
        <v/>
      </c>
      <c r="CN677" s="32" t="e">
        <f ca="1"/>
        <v>#NAME?</v>
      </c>
      <c r="CO677" s="32" t="e">
        <f ca="1"/>
        <v>#NAME?</v>
      </c>
      <c r="CP677" s="32" t="e">
        <f ca="1"/>
        <v>#NAME?</v>
      </c>
      <c r="CQ677" s="32" t="e">
        <f ca="1"/>
        <v>#NAME?</v>
      </c>
      <c r="CR677" s="30" t="e">
        <f ca="1"/>
        <v>#NAME?</v>
      </c>
      <c r="CS677" s="30" t="str">
        <f ca="1">IFERROR(__xludf.DUMMYFUNCTION("""COMPUTED_VALUE"""),"")</f>
        <v/>
      </c>
    </row>
    <row r="678" spans="1:97" ht="13">
      <c r="A678" s="29"/>
      <c r="C678" s="32"/>
      <c r="I678" s="34"/>
      <c r="BP678" s="29"/>
      <c r="CC678" s="30" t="str">
        <f ca="1">IFERROR(__xludf.DUMMYFUNCTION("""COMPUTED_VALUE"""),"07996dcf")</f>
        <v>07996dcf</v>
      </c>
      <c r="CD678" s="29" t="str">
        <f ca="1">IFERROR(__xludf.DUMMYFUNCTION("""COMPUTED_VALUE"""),"Niñas y Niños (6 a 12 años)")</f>
        <v>Niñas y Niños (6 a 12 años)</v>
      </c>
      <c r="CE678" s="30" t="str">
        <f ca="1">IFERROR(__xludf.DUMMYFUNCTION("""COMPUTED_VALUE"""),"No se cuenta con el dato")</f>
        <v>No se cuenta con el dato</v>
      </c>
      <c r="CF678" s="30" t="str">
        <f ca="1">IFERROR(__xludf.DUMMYFUNCTION("""COMPUTED_VALUE"""),"Ninguno (Población General)")</f>
        <v>Ninguno (Población General)</v>
      </c>
      <c r="CG678" s="30">
        <f ca="1">IFERROR(__xludf.DUMMYFUNCTION("""COMPUTED_VALUE"""),1)</f>
        <v>1</v>
      </c>
      <c r="CJ678" s="29"/>
      <c r="CM678" s="30" t="str">
        <f ca="1">IFERROR(__xludf.DUMMYFUNCTION("""COMPUTED_VALUE"""),"")</f>
        <v/>
      </c>
      <c r="CN678" s="32" t="e">
        <f ca="1"/>
        <v>#NAME?</v>
      </c>
      <c r="CO678" s="32" t="e">
        <f ca="1"/>
        <v>#NAME?</v>
      </c>
      <c r="CP678" s="32" t="e">
        <f ca="1"/>
        <v>#NAME?</v>
      </c>
      <c r="CQ678" s="32" t="e">
        <f ca="1"/>
        <v>#NAME?</v>
      </c>
      <c r="CR678" s="30" t="e">
        <f ca="1"/>
        <v>#NAME?</v>
      </c>
      <c r="CS678" s="30" t="str">
        <f ca="1">IFERROR(__xludf.DUMMYFUNCTION("""COMPUTED_VALUE"""),"")</f>
        <v/>
      </c>
    </row>
    <row r="679" spans="1:97" ht="13">
      <c r="A679" s="29"/>
      <c r="C679" s="32"/>
      <c r="I679" s="34"/>
      <c r="BP679" s="29"/>
      <c r="CC679" s="30" t="str">
        <f ca="1">IFERROR(__xludf.DUMMYFUNCTION("""COMPUTED_VALUE"""),"69990249")</f>
        <v>69990249</v>
      </c>
      <c r="CD679" s="29" t="str">
        <f ca="1">IFERROR(__xludf.DUMMYFUNCTION("""COMPUTED_VALUE"""),"Adolescentes (13 a 17 años)")</f>
        <v>Adolescentes (13 a 17 años)</v>
      </c>
      <c r="CE679" s="30" t="str">
        <f ca="1">IFERROR(__xludf.DUMMYFUNCTION("""COMPUTED_VALUE"""),"No se cuenta con el dato")</f>
        <v>No se cuenta con el dato</v>
      </c>
      <c r="CF679" s="30" t="str">
        <f ca="1">IFERROR(__xludf.DUMMYFUNCTION("""COMPUTED_VALUE"""),"Ninguno (Población General)")</f>
        <v>Ninguno (Población General)</v>
      </c>
      <c r="CG679" s="30">
        <f ca="1">IFERROR(__xludf.DUMMYFUNCTION("""COMPUTED_VALUE"""),1)</f>
        <v>1</v>
      </c>
      <c r="CJ679" s="29"/>
      <c r="CM679" s="30" t="str">
        <f ca="1">IFERROR(__xludf.DUMMYFUNCTION("""COMPUTED_VALUE"""),"")</f>
        <v/>
      </c>
      <c r="CN679" s="32" t="e">
        <f ca="1"/>
        <v>#NAME?</v>
      </c>
      <c r="CO679" s="32" t="e">
        <f ca="1"/>
        <v>#NAME?</v>
      </c>
      <c r="CP679" s="32" t="e">
        <f ca="1"/>
        <v>#NAME?</v>
      </c>
      <c r="CQ679" s="32" t="e">
        <f ca="1"/>
        <v>#NAME?</v>
      </c>
      <c r="CR679" s="30" t="e">
        <f ca="1"/>
        <v>#NAME?</v>
      </c>
      <c r="CS679" s="30" t="str">
        <f ca="1">IFERROR(__xludf.DUMMYFUNCTION("""COMPUTED_VALUE"""),"")</f>
        <v/>
      </c>
    </row>
    <row r="680" spans="1:97" ht="13">
      <c r="A680" s="29"/>
      <c r="C680" s="32"/>
      <c r="I680" s="34"/>
      <c r="BP680" s="29"/>
      <c r="CC680" s="30" t="str">
        <f ca="1">IFERROR(__xludf.DUMMYFUNCTION("""COMPUTED_VALUE"""),"a0958804")</f>
        <v>a0958804</v>
      </c>
      <c r="CD680" s="29" t="str">
        <f ca="1">IFERROR(__xludf.DUMMYFUNCTION("""COMPUTED_VALUE"""),"Jóvenes (18 a 29 años)")</f>
        <v>Jóvenes (18 a 29 años)</v>
      </c>
      <c r="CE680" s="30" t="str">
        <f ca="1">IFERROR(__xludf.DUMMYFUNCTION("""COMPUTED_VALUE"""),"No se cuenta con el dato")</f>
        <v>No se cuenta con el dato</v>
      </c>
      <c r="CF680" s="30" t="str">
        <f ca="1">IFERROR(__xludf.DUMMYFUNCTION("""COMPUTED_VALUE"""),"Ninguno (Población General)")</f>
        <v>Ninguno (Población General)</v>
      </c>
      <c r="CG680" s="30">
        <f ca="1">IFERROR(__xludf.DUMMYFUNCTION("""COMPUTED_VALUE"""),3)</f>
        <v>3</v>
      </c>
      <c r="CJ680" s="29"/>
      <c r="CM680" s="30" t="str">
        <f ca="1">IFERROR(__xludf.DUMMYFUNCTION("""COMPUTED_VALUE"""),"")</f>
        <v/>
      </c>
      <c r="CN680" s="32" t="e">
        <f ca="1"/>
        <v>#NAME?</v>
      </c>
      <c r="CO680" s="32" t="e">
        <f ca="1"/>
        <v>#NAME?</v>
      </c>
      <c r="CP680" s="32" t="e">
        <f ca="1"/>
        <v>#NAME?</v>
      </c>
      <c r="CQ680" s="32" t="e">
        <f ca="1"/>
        <v>#NAME?</v>
      </c>
      <c r="CR680" s="30" t="e">
        <f ca="1"/>
        <v>#NAME?</v>
      </c>
      <c r="CS680" s="30" t="str">
        <f ca="1">IFERROR(__xludf.DUMMYFUNCTION("""COMPUTED_VALUE"""),"")</f>
        <v/>
      </c>
    </row>
    <row r="681" spans="1:97" ht="13">
      <c r="A681" s="29"/>
      <c r="C681" s="32"/>
      <c r="I681" s="34"/>
      <c r="BP681" s="29"/>
      <c r="CC681" s="30" t="str">
        <f ca="1">IFERROR(__xludf.DUMMYFUNCTION("""COMPUTED_VALUE"""),"c5929b56")</f>
        <v>c5929b56</v>
      </c>
      <c r="CD681" s="29" t="str">
        <f ca="1">IFERROR(__xludf.DUMMYFUNCTION("""COMPUTED_VALUE"""),"Adultos (30 a 59 años)")</f>
        <v>Adultos (30 a 59 años)</v>
      </c>
      <c r="CE681" s="30" t="str">
        <f ca="1">IFERROR(__xludf.DUMMYFUNCTION("""COMPUTED_VALUE"""),"No se cuenta con el dato")</f>
        <v>No se cuenta con el dato</v>
      </c>
      <c r="CF681" s="30" t="str">
        <f ca="1">IFERROR(__xludf.DUMMYFUNCTION("""COMPUTED_VALUE"""),"Ninguno (Población General)")</f>
        <v>Ninguno (Población General)</v>
      </c>
      <c r="CG681" s="30">
        <f ca="1">IFERROR(__xludf.DUMMYFUNCTION("""COMPUTED_VALUE"""),3)</f>
        <v>3</v>
      </c>
      <c r="CJ681" s="29"/>
      <c r="CM681" s="30" t="str">
        <f ca="1">IFERROR(__xludf.DUMMYFUNCTION("""COMPUTED_VALUE"""),"")</f>
        <v/>
      </c>
      <c r="CN681" s="32" t="e">
        <f ca="1"/>
        <v>#NAME?</v>
      </c>
      <c r="CO681" s="32" t="e">
        <f ca="1"/>
        <v>#NAME?</v>
      </c>
      <c r="CP681" s="32" t="e">
        <f ca="1"/>
        <v>#NAME?</v>
      </c>
      <c r="CQ681" s="32" t="e">
        <f ca="1"/>
        <v>#NAME?</v>
      </c>
      <c r="CR681" s="30" t="e">
        <f ca="1"/>
        <v>#NAME?</v>
      </c>
      <c r="CS681" s="30" t="str">
        <f ca="1">IFERROR(__xludf.DUMMYFUNCTION("""COMPUTED_VALUE"""),"")</f>
        <v/>
      </c>
    </row>
    <row r="682" spans="1:97" ht="13">
      <c r="A682" s="29"/>
      <c r="C682" s="32"/>
      <c r="I682" s="34"/>
      <c r="BP682" s="29"/>
      <c r="CC682" s="30" t="str">
        <f ca="1">IFERROR(__xludf.DUMMYFUNCTION("""COMPUTED_VALUE"""),"22b788a0")</f>
        <v>22b788a0</v>
      </c>
      <c r="CD682" s="29" t="str">
        <f ca="1">IFERROR(__xludf.DUMMYFUNCTION("""COMPUTED_VALUE"""),"Adultos Mayores (60 años o más)")</f>
        <v>Adultos Mayores (60 años o más)</v>
      </c>
      <c r="CE682" s="30" t="str">
        <f ca="1">IFERROR(__xludf.DUMMYFUNCTION("""COMPUTED_VALUE"""),"No se cuenta con el dato")</f>
        <v>No se cuenta con el dato</v>
      </c>
      <c r="CF682" s="30" t="str">
        <f ca="1">IFERROR(__xludf.DUMMYFUNCTION("""COMPUTED_VALUE"""),"Ninguno (Población General)")</f>
        <v>Ninguno (Población General)</v>
      </c>
      <c r="CG682" s="30">
        <f ca="1">IFERROR(__xludf.DUMMYFUNCTION("""COMPUTED_VALUE"""),2)</f>
        <v>2</v>
      </c>
      <c r="CJ682" s="29"/>
      <c r="CM682" s="30" t="str">
        <f ca="1">IFERROR(__xludf.DUMMYFUNCTION("""COMPUTED_VALUE"""),"")</f>
        <v/>
      </c>
      <c r="CN682" s="32" t="e">
        <f ca="1"/>
        <v>#NAME?</v>
      </c>
      <c r="CO682" s="32" t="e">
        <f ca="1"/>
        <v>#NAME?</v>
      </c>
      <c r="CP682" s="32" t="e">
        <f ca="1"/>
        <v>#NAME?</v>
      </c>
      <c r="CQ682" s="32" t="e">
        <f ca="1"/>
        <v>#NAME?</v>
      </c>
      <c r="CR682" s="30" t="e">
        <f ca="1"/>
        <v>#NAME?</v>
      </c>
      <c r="CS682" s="30" t="str">
        <f ca="1">IFERROR(__xludf.DUMMYFUNCTION("""COMPUTED_VALUE"""),"")</f>
        <v/>
      </c>
    </row>
    <row r="683" spans="1:97" ht="13">
      <c r="A683" s="29"/>
      <c r="C683" s="32"/>
      <c r="I683" s="34"/>
      <c r="BP683" s="29"/>
      <c r="CC683" s="30" t="str">
        <f ca="1">IFERROR(__xludf.DUMMYFUNCTION("""COMPUTED_VALUE"""),"9e60a7c8")</f>
        <v>9e60a7c8</v>
      </c>
      <c r="CD683" s="29" t="str">
        <f ca="1">IFERROR(__xludf.DUMMYFUNCTION("""COMPUTED_VALUE"""),"Niñas y Niños (6 a 12 años)")</f>
        <v>Niñas y Niños (6 a 12 años)</v>
      </c>
      <c r="CE683" s="30" t="str">
        <f ca="1">IFERROR(__xludf.DUMMYFUNCTION("""COMPUTED_VALUE"""),"No se cuenta con el dato")</f>
        <v>No se cuenta con el dato</v>
      </c>
      <c r="CF683" s="30" t="str">
        <f ca="1">IFERROR(__xludf.DUMMYFUNCTION("""COMPUTED_VALUE"""),"Ninguno (Población General)")</f>
        <v>Ninguno (Población General)</v>
      </c>
      <c r="CG683" s="30">
        <f ca="1">IFERROR(__xludf.DUMMYFUNCTION("""COMPUTED_VALUE"""),5)</f>
        <v>5</v>
      </c>
      <c r="CJ683" s="29"/>
      <c r="CM683" s="30" t="str">
        <f ca="1">IFERROR(__xludf.DUMMYFUNCTION("""COMPUTED_VALUE"""),"")</f>
        <v/>
      </c>
      <c r="CN683" s="32" t="e">
        <f ca="1"/>
        <v>#NAME?</v>
      </c>
      <c r="CO683" s="32" t="e">
        <f ca="1"/>
        <v>#NAME?</v>
      </c>
      <c r="CP683" s="32" t="e">
        <f ca="1"/>
        <v>#NAME?</v>
      </c>
      <c r="CQ683" s="32" t="e">
        <f ca="1"/>
        <v>#NAME?</v>
      </c>
      <c r="CR683" s="30" t="e">
        <f ca="1"/>
        <v>#NAME?</v>
      </c>
      <c r="CS683" s="30" t="str">
        <f ca="1">IFERROR(__xludf.DUMMYFUNCTION("""COMPUTED_VALUE"""),"")</f>
        <v/>
      </c>
    </row>
    <row r="684" spans="1:97" ht="13">
      <c r="A684" s="29"/>
      <c r="C684" s="32"/>
      <c r="I684" s="34"/>
      <c r="BP684" s="29"/>
      <c r="CC684" s="30" t="str">
        <f ca="1">IFERROR(__xludf.DUMMYFUNCTION("""COMPUTED_VALUE"""),"117114d7")</f>
        <v>117114d7</v>
      </c>
      <c r="CD684" s="29" t="str">
        <f ca="1">IFERROR(__xludf.DUMMYFUNCTION("""COMPUTED_VALUE"""),"Adolescentes (13 a 17 años)")</f>
        <v>Adolescentes (13 a 17 años)</v>
      </c>
      <c r="CE684" s="30" t="str">
        <f ca="1">IFERROR(__xludf.DUMMYFUNCTION("""COMPUTED_VALUE"""),"No se cuenta con el dato")</f>
        <v>No se cuenta con el dato</v>
      </c>
      <c r="CF684" s="30" t="str">
        <f ca="1">IFERROR(__xludf.DUMMYFUNCTION("""COMPUTED_VALUE"""),"Ninguno (Población General)")</f>
        <v>Ninguno (Población General)</v>
      </c>
      <c r="CG684" s="30">
        <f ca="1">IFERROR(__xludf.DUMMYFUNCTION("""COMPUTED_VALUE"""),5)</f>
        <v>5</v>
      </c>
      <c r="CJ684" s="29"/>
      <c r="CM684" s="30" t="str">
        <f ca="1">IFERROR(__xludf.DUMMYFUNCTION("""COMPUTED_VALUE"""),"")</f>
        <v/>
      </c>
      <c r="CN684" s="32" t="e">
        <f ca="1"/>
        <v>#NAME?</v>
      </c>
      <c r="CO684" s="32" t="e">
        <f ca="1"/>
        <v>#NAME?</v>
      </c>
      <c r="CP684" s="32" t="e">
        <f ca="1"/>
        <v>#NAME?</v>
      </c>
      <c r="CQ684" s="32" t="e">
        <f ca="1"/>
        <v>#NAME?</v>
      </c>
      <c r="CR684" s="30" t="e">
        <f ca="1"/>
        <v>#NAME?</v>
      </c>
      <c r="CS684" s="30" t="str">
        <f ca="1">IFERROR(__xludf.DUMMYFUNCTION("""COMPUTED_VALUE"""),"")</f>
        <v/>
      </c>
    </row>
    <row r="685" spans="1:97" ht="13">
      <c r="A685" s="29"/>
      <c r="C685" s="32"/>
      <c r="I685" s="34"/>
      <c r="BP685" s="29"/>
      <c r="CC685" s="30" t="str">
        <f ca="1">IFERROR(__xludf.DUMMYFUNCTION("""COMPUTED_VALUE"""),"cc52881b")</f>
        <v>cc52881b</v>
      </c>
      <c r="CD685" s="29" t="str">
        <f ca="1">IFERROR(__xludf.DUMMYFUNCTION("""COMPUTED_VALUE"""),"Jóvenes (18 a 29 años)")</f>
        <v>Jóvenes (18 a 29 años)</v>
      </c>
      <c r="CE685" s="30" t="str">
        <f ca="1">IFERROR(__xludf.DUMMYFUNCTION("""COMPUTED_VALUE"""),"No se cuenta con el dato")</f>
        <v>No se cuenta con el dato</v>
      </c>
      <c r="CF685" s="30" t="str">
        <f ca="1">IFERROR(__xludf.DUMMYFUNCTION("""COMPUTED_VALUE"""),"Ninguno (Población General)")</f>
        <v>Ninguno (Población General)</v>
      </c>
      <c r="CG685" s="30">
        <f ca="1">IFERROR(__xludf.DUMMYFUNCTION("""COMPUTED_VALUE"""),8)</f>
        <v>8</v>
      </c>
      <c r="CJ685" s="29"/>
      <c r="CM685" s="30" t="str">
        <f ca="1">IFERROR(__xludf.DUMMYFUNCTION("""COMPUTED_VALUE"""),"")</f>
        <v/>
      </c>
      <c r="CN685" s="32" t="e">
        <f ca="1"/>
        <v>#NAME?</v>
      </c>
      <c r="CO685" s="32" t="e">
        <f ca="1"/>
        <v>#NAME?</v>
      </c>
      <c r="CP685" s="32" t="e">
        <f ca="1"/>
        <v>#NAME?</v>
      </c>
      <c r="CQ685" s="32" t="e">
        <f ca="1"/>
        <v>#NAME?</v>
      </c>
      <c r="CR685" s="30" t="e">
        <f ca="1"/>
        <v>#NAME?</v>
      </c>
      <c r="CS685" s="30" t="str">
        <f ca="1">IFERROR(__xludf.DUMMYFUNCTION("""COMPUTED_VALUE"""),"")</f>
        <v/>
      </c>
    </row>
    <row r="686" spans="1:97" ht="13">
      <c r="A686" s="29"/>
      <c r="C686" s="32"/>
      <c r="I686" s="34"/>
      <c r="BP686" s="29"/>
      <c r="CC686" s="30" t="str">
        <f ca="1">IFERROR(__xludf.DUMMYFUNCTION("""COMPUTED_VALUE"""),"2587a525")</f>
        <v>2587a525</v>
      </c>
      <c r="CD686" s="29" t="str">
        <f ca="1">IFERROR(__xludf.DUMMYFUNCTION("""COMPUTED_VALUE"""),"Adultos (30 a 59 años)")</f>
        <v>Adultos (30 a 59 años)</v>
      </c>
      <c r="CE686" s="30" t="str">
        <f ca="1">IFERROR(__xludf.DUMMYFUNCTION("""COMPUTED_VALUE"""),"No se cuenta con el dato")</f>
        <v>No se cuenta con el dato</v>
      </c>
      <c r="CF686" s="30" t="str">
        <f ca="1">IFERROR(__xludf.DUMMYFUNCTION("""COMPUTED_VALUE"""),"Ninguno (Población General)")</f>
        <v>Ninguno (Población General)</v>
      </c>
      <c r="CG686" s="30">
        <f ca="1">IFERROR(__xludf.DUMMYFUNCTION("""COMPUTED_VALUE"""),16)</f>
        <v>16</v>
      </c>
      <c r="CJ686" s="29"/>
      <c r="CM686" s="30" t="str">
        <f ca="1">IFERROR(__xludf.DUMMYFUNCTION("""COMPUTED_VALUE"""),"")</f>
        <v/>
      </c>
      <c r="CN686" s="32" t="e">
        <f ca="1"/>
        <v>#NAME?</v>
      </c>
      <c r="CO686" s="32" t="e">
        <f ca="1"/>
        <v>#NAME?</v>
      </c>
      <c r="CP686" s="32" t="e">
        <f ca="1"/>
        <v>#NAME?</v>
      </c>
      <c r="CQ686" s="32" t="e">
        <f ca="1"/>
        <v>#NAME?</v>
      </c>
      <c r="CR686" s="30" t="e">
        <f ca="1"/>
        <v>#NAME?</v>
      </c>
      <c r="CS686" s="30" t="str">
        <f ca="1">IFERROR(__xludf.DUMMYFUNCTION("""COMPUTED_VALUE"""),"")</f>
        <v/>
      </c>
    </row>
    <row r="687" spans="1:97" ht="13">
      <c r="A687" s="29"/>
      <c r="C687" s="32"/>
      <c r="I687" s="34"/>
      <c r="BP687" s="29"/>
      <c r="CC687" s="30" t="str">
        <f ca="1">IFERROR(__xludf.DUMMYFUNCTION("""COMPUTED_VALUE"""),"f676a73a")</f>
        <v>f676a73a</v>
      </c>
      <c r="CD687" s="29" t="str">
        <f ca="1">IFERROR(__xludf.DUMMYFUNCTION("""COMPUTED_VALUE"""),"Niñas y Niños (6 a 12 años)")</f>
        <v>Niñas y Niños (6 a 12 años)</v>
      </c>
      <c r="CE687" s="30" t="str">
        <f ca="1">IFERROR(__xludf.DUMMYFUNCTION("""COMPUTED_VALUE"""),"No se cuenta con el dato")</f>
        <v>No se cuenta con el dato</v>
      </c>
      <c r="CF687" s="30" t="str">
        <f ca="1">IFERROR(__xludf.DUMMYFUNCTION("""COMPUTED_VALUE"""),"Jóvenes en riesgo")</f>
        <v>Jóvenes en riesgo</v>
      </c>
      <c r="CG687" s="30">
        <f ca="1">IFERROR(__xludf.DUMMYFUNCTION("""COMPUTED_VALUE"""),9)</f>
        <v>9</v>
      </c>
      <c r="CJ687" s="29"/>
      <c r="CM687" s="30" t="str">
        <f ca="1">IFERROR(__xludf.DUMMYFUNCTION("""COMPUTED_VALUE"""),"")</f>
        <v/>
      </c>
      <c r="CN687" s="32" t="e">
        <f ca="1"/>
        <v>#NAME?</v>
      </c>
      <c r="CO687" s="32" t="e">
        <f ca="1"/>
        <v>#NAME?</v>
      </c>
      <c r="CP687" s="32" t="e">
        <f ca="1"/>
        <v>#NAME?</v>
      </c>
      <c r="CQ687" s="32" t="e">
        <f ca="1"/>
        <v>#NAME?</v>
      </c>
      <c r="CR687" s="30" t="e">
        <f ca="1"/>
        <v>#NAME?</v>
      </c>
      <c r="CS687" s="30" t="str">
        <f ca="1">IFERROR(__xludf.DUMMYFUNCTION("""COMPUTED_VALUE"""),"")</f>
        <v/>
      </c>
    </row>
    <row r="688" spans="1:97" ht="13">
      <c r="A688" s="29"/>
      <c r="C688" s="32"/>
      <c r="I688" s="34"/>
      <c r="BP688" s="29"/>
      <c r="CC688" s="30" t="str">
        <f ca="1">IFERROR(__xludf.DUMMYFUNCTION("""COMPUTED_VALUE"""),"3653c374")</f>
        <v>3653c374</v>
      </c>
      <c r="CD688" s="29" t="str">
        <f ca="1">IFERROR(__xludf.DUMMYFUNCTION("""COMPUTED_VALUE"""),"Adolescentes (13 a 17 años)")</f>
        <v>Adolescentes (13 a 17 años)</v>
      </c>
      <c r="CE688" s="30" t="str">
        <f ca="1">IFERROR(__xludf.DUMMYFUNCTION("""COMPUTED_VALUE"""),"No se cuenta con el dato")</f>
        <v>No se cuenta con el dato</v>
      </c>
      <c r="CF688" s="30" t="str">
        <f ca="1">IFERROR(__xludf.DUMMYFUNCTION("""COMPUTED_VALUE"""),"Jóvenes en riesgo")</f>
        <v>Jóvenes en riesgo</v>
      </c>
      <c r="CG688" s="30">
        <f ca="1">IFERROR(__xludf.DUMMYFUNCTION("""COMPUTED_VALUE"""),12)</f>
        <v>12</v>
      </c>
      <c r="CJ688" s="29"/>
      <c r="CM688" s="30" t="str">
        <f ca="1">IFERROR(__xludf.DUMMYFUNCTION("""COMPUTED_VALUE"""),"")</f>
        <v/>
      </c>
      <c r="CN688" s="32" t="e">
        <f ca="1"/>
        <v>#NAME?</v>
      </c>
      <c r="CO688" s="32" t="e">
        <f ca="1"/>
        <v>#NAME?</v>
      </c>
      <c r="CP688" s="32" t="e">
        <f ca="1"/>
        <v>#NAME?</v>
      </c>
      <c r="CQ688" s="32" t="e">
        <f ca="1"/>
        <v>#NAME?</v>
      </c>
      <c r="CR688" s="30" t="e">
        <f ca="1"/>
        <v>#NAME?</v>
      </c>
      <c r="CS688" s="30" t="str">
        <f ca="1">IFERROR(__xludf.DUMMYFUNCTION("""COMPUTED_VALUE"""),"")</f>
        <v/>
      </c>
    </row>
    <row r="689" spans="1:97" ht="13">
      <c r="A689" s="29"/>
      <c r="C689" s="32"/>
      <c r="I689" s="34"/>
      <c r="BP689" s="29"/>
      <c r="CC689" s="30" t="str">
        <f ca="1">IFERROR(__xludf.DUMMYFUNCTION("""COMPUTED_VALUE"""),"2a78287f")</f>
        <v>2a78287f</v>
      </c>
      <c r="CD689" s="29" t="str">
        <f ca="1">IFERROR(__xludf.DUMMYFUNCTION("""COMPUTED_VALUE"""),"Adultos (30 a 59 años)")</f>
        <v>Adultos (30 a 59 años)</v>
      </c>
      <c r="CE689" s="30" t="str">
        <f ca="1">IFERROR(__xludf.DUMMYFUNCTION("""COMPUTED_VALUE"""),"No se cuenta con el dato")</f>
        <v>No se cuenta con el dato</v>
      </c>
      <c r="CF689" s="30" t="str">
        <f ca="1">IFERROR(__xludf.DUMMYFUNCTION("""COMPUTED_VALUE"""),"Jóvenes en riesgo")</f>
        <v>Jóvenes en riesgo</v>
      </c>
      <c r="CG689" s="30">
        <f ca="1">IFERROR(__xludf.DUMMYFUNCTION("""COMPUTED_VALUE"""),7)</f>
        <v>7</v>
      </c>
      <c r="CJ689" s="29"/>
      <c r="CM689" s="30" t="str">
        <f ca="1">IFERROR(__xludf.DUMMYFUNCTION("""COMPUTED_VALUE"""),"")</f>
        <v/>
      </c>
      <c r="CN689" s="32" t="e">
        <f ca="1"/>
        <v>#NAME?</v>
      </c>
      <c r="CO689" s="32" t="e">
        <f ca="1"/>
        <v>#NAME?</v>
      </c>
      <c r="CP689" s="32" t="e">
        <f ca="1"/>
        <v>#NAME?</v>
      </c>
      <c r="CQ689" s="32" t="e">
        <f ca="1"/>
        <v>#NAME?</v>
      </c>
      <c r="CR689" s="30" t="e">
        <f ca="1"/>
        <v>#NAME?</v>
      </c>
      <c r="CS689" s="30" t="str">
        <f ca="1">IFERROR(__xludf.DUMMYFUNCTION("""COMPUTED_VALUE"""),"")</f>
        <v/>
      </c>
    </row>
    <row r="690" spans="1:97" ht="13">
      <c r="A690" s="29"/>
      <c r="C690" s="32"/>
      <c r="I690" s="34"/>
      <c r="BP690" s="29"/>
      <c r="CC690" s="30" t="str">
        <f ca="1">IFERROR(__xludf.DUMMYFUNCTION("""COMPUTED_VALUE"""),"d959656e")</f>
        <v>d959656e</v>
      </c>
      <c r="CD690" s="29" t="str">
        <f ca="1">IFERROR(__xludf.DUMMYFUNCTION("""COMPUTED_VALUE"""),"Adultos Mayores (60 años o más)")</f>
        <v>Adultos Mayores (60 años o más)</v>
      </c>
      <c r="CE690" s="30" t="str">
        <f ca="1">IFERROR(__xludf.DUMMYFUNCTION("""COMPUTED_VALUE"""),"No se cuenta con el dato")</f>
        <v>No se cuenta con el dato</v>
      </c>
      <c r="CF690" s="30" t="str">
        <f ca="1">IFERROR(__xludf.DUMMYFUNCTION("""COMPUTED_VALUE"""),"Jóvenes en riesgo")</f>
        <v>Jóvenes en riesgo</v>
      </c>
      <c r="CG690" s="30">
        <f ca="1">IFERROR(__xludf.DUMMYFUNCTION("""COMPUTED_VALUE"""),3)</f>
        <v>3</v>
      </c>
      <c r="CJ690" s="29"/>
      <c r="CM690" s="30" t="str">
        <f ca="1">IFERROR(__xludf.DUMMYFUNCTION("""COMPUTED_VALUE"""),"")</f>
        <v/>
      </c>
      <c r="CN690" s="32" t="e">
        <f ca="1"/>
        <v>#NAME?</v>
      </c>
      <c r="CO690" s="32" t="e">
        <f ca="1"/>
        <v>#NAME?</v>
      </c>
      <c r="CP690" s="32" t="e">
        <f ca="1"/>
        <v>#NAME?</v>
      </c>
      <c r="CQ690" s="32" t="e">
        <f ca="1"/>
        <v>#NAME?</v>
      </c>
      <c r="CR690" s="30" t="e">
        <f ca="1"/>
        <v>#NAME?</v>
      </c>
      <c r="CS690" s="30" t="str">
        <f ca="1">IFERROR(__xludf.DUMMYFUNCTION("""COMPUTED_VALUE"""),"")</f>
        <v/>
      </c>
    </row>
    <row r="691" spans="1:97" ht="13">
      <c r="A691" s="29"/>
      <c r="C691" s="32"/>
      <c r="I691" s="34"/>
      <c r="BP691" s="29"/>
      <c r="CC691" s="30" t="str">
        <f ca="1">IFERROR(__xludf.DUMMYFUNCTION("""COMPUTED_VALUE"""),"5a18e8b4")</f>
        <v>5a18e8b4</v>
      </c>
      <c r="CD691" s="29" t="str">
        <f ca="1">IFERROR(__xludf.DUMMYFUNCTION("""COMPUTED_VALUE"""),"Primera Infancia (0 a 5 años)")</f>
        <v>Primera Infancia (0 a 5 años)</v>
      </c>
      <c r="CE691" s="30" t="str">
        <f ca="1">IFERROR(__xludf.DUMMYFUNCTION("""COMPUTED_VALUE"""),"No se cuenta con el dato")</f>
        <v>No se cuenta con el dato</v>
      </c>
      <c r="CF691" s="30" t="str">
        <f ca="1">IFERROR(__xludf.DUMMYFUNCTION("""COMPUTED_VALUE"""),"Ninguno (Población General)")</f>
        <v>Ninguno (Población General)</v>
      </c>
      <c r="CG691" s="30">
        <f ca="1">IFERROR(__xludf.DUMMYFUNCTION("""COMPUTED_VALUE"""),4)</f>
        <v>4</v>
      </c>
      <c r="CJ691" s="29"/>
      <c r="CM691" s="30" t="str">
        <f ca="1">IFERROR(__xludf.DUMMYFUNCTION("""COMPUTED_VALUE"""),"")</f>
        <v/>
      </c>
      <c r="CN691" s="32" t="e">
        <f ca="1"/>
        <v>#NAME?</v>
      </c>
      <c r="CO691" s="32" t="e">
        <f ca="1"/>
        <v>#NAME?</v>
      </c>
      <c r="CP691" s="32" t="e">
        <f ca="1"/>
        <v>#NAME?</v>
      </c>
      <c r="CQ691" s="32" t="e">
        <f ca="1"/>
        <v>#NAME?</v>
      </c>
      <c r="CR691" s="30" t="e">
        <f ca="1"/>
        <v>#NAME?</v>
      </c>
      <c r="CS691" s="30" t="str">
        <f ca="1">IFERROR(__xludf.DUMMYFUNCTION("""COMPUTED_VALUE"""),"")</f>
        <v/>
      </c>
    </row>
    <row r="692" spans="1:97" ht="13">
      <c r="A692" s="29"/>
      <c r="C692" s="32"/>
      <c r="I692" s="34"/>
      <c r="BP692" s="29"/>
      <c r="CC692" s="30" t="str">
        <f ca="1">IFERROR(__xludf.DUMMYFUNCTION("""COMPUTED_VALUE"""),"1d629016")</f>
        <v>1d629016</v>
      </c>
      <c r="CD692" s="29" t="str">
        <f ca="1">IFERROR(__xludf.DUMMYFUNCTION("""COMPUTED_VALUE"""),"Adolescentes (13 a 17 años)")</f>
        <v>Adolescentes (13 a 17 años)</v>
      </c>
      <c r="CE692" s="30" t="str">
        <f ca="1">IFERROR(__xludf.DUMMYFUNCTION("""COMPUTED_VALUE"""),"No se cuenta con el dato")</f>
        <v>No se cuenta con el dato</v>
      </c>
      <c r="CF692" s="30" t="str">
        <f ca="1">IFERROR(__xludf.DUMMYFUNCTION("""COMPUTED_VALUE"""),"Ninguno (Población General)")</f>
        <v>Ninguno (Población General)</v>
      </c>
      <c r="CG692" s="30">
        <f ca="1">IFERROR(__xludf.DUMMYFUNCTION("""COMPUTED_VALUE"""),8)</f>
        <v>8</v>
      </c>
      <c r="CJ692" s="29"/>
      <c r="CM692" s="30" t="str">
        <f ca="1">IFERROR(__xludf.DUMMYFUNCTION("""COMPUTED_VALUE"""),"")</f>
        <v/>
      </c>
      <c r="CN692" s="32" t="e">
        <f ca="1"/>
        <v>#NAME?</v>
      </c>
      <c r="CO692" s="32" t="e">
        <f ca="1"/>
        <v>#NAME?</v>
      </c>
      <c r="CP692" s="32" t="e">
        <f ca="1"/>
        <v>#NAME?</v>
      </c>
      <c r="CQ692" s="32" t="e">
        <f ca="1"/>
        <v>#NAME?</v>
      </c>
      <c r="CR692" s="30" t="e">
        <f ca="1"/>
        <v>#NAME?</v>
      </c>
      <c r="CS692" s="30" t="str">
        <f ca="1">IFERROR(__xludf.DUMMYFUNCTION("""COMPUTED_VALUE"""),"")</f>
        <v/>
      </c>
    </row>
    <row r="693" spans="1:97" ht="13">
      <c r="A693" s="29"/>
      <c r="C693" s="32"/>
      <c r="I693" s="34"/>
      <c r="BP693" s="29"/>
      <c r="CC693" s="30" t="str">
        <f ca="1">IFERROR(__xludf.DUMMYFUNCTION("""COMPUTED_VALUE"""),"138a0904")</f>
        <v>138a0904</v>
      </c>
      <c r="CD693" s="29" t="str">
        <f ca="1">IFERROR(__xludf.DUMMYFUNCTION("""COMPUTED_VALUE"""),"Jóvenes (18 a 29 años)")</f>
        <v>Jóvenes (18 a 29 años)</v>
      </c>
      <c r="CE693" s="30" t="str">
        <f ca="1">IFERROR(__xludf.DUMMYFUNCTION("""COMPUTED_VALUE"""),"No se cuenta con el dato")</f>
        <v>No se cuenta con el dato</v>
      </c>
      <c r="CF693" s="30" t="str">
        <f ca="1">IFERROR(__xludf.DUMMYFUNCTION("""COMPUTED_VALUE"""),"Ninguno (Población General)")</f>
        <v>Ninguno (Población General)</v>
      </c>
      <c r="CG693" s="30">
        <f ca="1">IFERROR(__xludf.DUMMYFUNCTION("""COMPUTED_VALUE"""),10)</f>
        <v>10</v>
      </c>
      <c r="CJ693" s="29"/>
      <c r="CM693" s="30" t="str">
        <f ca="1">IFERROR(__xludf.DUMMYFUNCTION("""COMPUTED_VALUE"""),"")</f>
        <v/>
      </c>
      <c r="CN693" s="32" t="e">
        <f ca="1"/>
        <v>#NAME?</v>
      </c>
      <c r="CO693" s="32" t="e">
        <f ca="1"/>
        <v>#NAME?</v>
      </c>
      <c r="CP693" s="32" t="e">
        <f ca="1"/>
        <v>#NAME?</v>
      </c>
      <c r="CQ693" s="32" t="e">
        <f ca="1"/>
        <v>#NAME?</v>
      </c>
      <c r="CR693" s="30" t="e">
        <f ca="1"/>
        <v>#NAME?</v>
      </c>
      <c r="CS693" s="30" t="str">
        <f ca="1">IFERROR(__xludf.DUMMYFUNCTION("""COMPUTED_VALUE"""),"")</f>
        <v/>
      </c>
    </row>
    <row r="694" spans="1:97" ht="13">
      <c r="A694" s="29"/>
      <c r="C694" s="32"/>
      <c r="I694" s="34"/>
      <c r="BP694" s="29"/>
      <c r="CC694" s="30" t="str">
        <f ca="1">IFERROR(__xludf.DUMMYFUNCTION("""COMPUTED_VALUE"""),"7a8e0eca")</f>
        <v>7a8e0eca</v>
      </c>
      <c r="CD694" s="29" t="str">
        <f ca="1">IFERROR(__xludf.DUMMYFUNCTION("""COMPUTED_VALUE"""),"Adultos (30 a 59 años)")</f>
        <v>Adultos (30 a 59 años)</v>
      </c>
      <c r="CE694" s="30" t="str">
        <f ca="1">IFERROR(__xludf.DUMMYFUNCTION("""COMPUTED_VALUE"""),"No se cuenta con el dato")</f>
        <v>No se cuenta con el dato</v>
      </c>
      <c r="CF694" s="30" t="str">
        <f ca="1">IFERROR(__xludf.DUMMYFUNCTION("""COMPUTED_VALUE"""),"Ninguno (Población General)")</f>
        <v>Ninguno (Población General)</v>
      </c>
      <c r="CG694" s="30">
        <f ca="1">IFERROR(__xludf.DUMMYFUNCTION("""COMPUTED_VALUE"""),12)</f>
        <v>12</v>
      </c>
      <c r="CJ694" s="29"/>
      <c r="CM694" s="30" t="str">
        <f ca="1">IFERROR(__xludf.DUMMYFUNCTION("""COMPUTED_VALUE"""),"")</f>
        <v/>
      </c>
      <c r="CN694" s="32" t="e">
        <f ca="1"/>
        <v>#NAME?</v>
      </c>
      <c r="CO694" s="32" t="e">
        <f ca="1"/>
        <v>#NAME?</v>
      </c>
      <c r="CP694" s="32" t="e">
        <f ca="1"/>
        <v>#NAME?</v>
      </c>
      <c r="CQ694" s="32" t="e">
        <f ca="1"/>
        <v>#NAME?</v>
      </c>
      <c r="CR694" s="30" t="e">
        <f ca="1"/>
        <v>#NAME?</v>
      </c>
      <c r="CS694" s="30" t="str">
        <f ca="1">IFERROR(__xludf.DUMMYFUNCTION("""COMPUTED_VALUE"""),"")</f>
        <v/>
      </c>
    </row>
    <row r="695" spans="1:97" ht="13">
      <c r="A695" s="29"/>
      <c r="C695" s="32"/>
      <c r="I695" s="34"/>
      <c r="BP695" s="29"/>
      <c r="CC695" s="30" t="str">
        <f ca="1">IFERROR(__xludf.DUMMYFUNCTION("""COMPUTED_VALUE"""),"c7ceec6e")</f>
        <v>c7ceec6e</v>
      </c>
      <c r="CD695" s="29" t="str">
        <f ca="1">IFERROR(__xludf.DUMMYFUNCTION("""COMPUTED_VALUE"""),"Adolescentes (13 a 17 años)")</f>
        <v>Adolescentes (13 a 17 años)</v>
      </c>
      <c r="CE695" s="30" t="str">
        <f ca="1">IFERROR(__xludf.DUMMYFUNCTION("""COMPUTED_VALUE"""),"No se cuenta con el dato")</f>
        <v>No se cuenta con el dato</v>
      </c>
      <c r="CF695" s="30" t="str">
        <f ca="1">IFERROR(__xludf.DUMMYFUNCTION("""COMPUTED_VALUE"""),"Ninguno (Población General)")</f>
        <v>Ninguno (Población General)</v>
      </c>
      <c r="CG695" s="30">
        <f ca="1">IFERROR(__xludf.DUMMYFUNCTION("""COMPUTED_VALUE"""),2)</f>
        <v>2</v>
      </c>
      <c r="CJ695" s="29"/>
      <c r="CM695" s="30" t="str">
        <f ca="1">IFERROR(__xludf.DUMMYFUNCTION("""COMPUTED_VALUE"""),"")</f>
        <v/>
      </c>
      <c r="CN695" s="32" t="e">
        <f ca="1"/>
        <v>#NAME?</v>
      </c>
      <c r="CO695" s="32" t="e">
        <f ca="1"/>
        <v>#NAME?</v>
      </c>
      <c r="CP695" s="32" t="e">
        <f ca="1"/>
        <v>#NAME?</v>
      </c>
      <c r="CQ695" s="32" t="e">
        <f ca="1"/>
        <v>#NAME?</v>
      </c>
      <c r="CR695" s="30" t="e">
        <f ca="1"/>
        <v>#NAME?</v>
      </c>
      <c r="CS695" s="30" t="str">
        <f ca="1">IFERROR(__xludf.DUMMYFUNCTION("""COMPUTED_VALUE"""),"")</f>
        <v/>
      </c>
    </row>
    <row r="696" spans="1:97" ht="13">
      <c r="A696" s="29"/>
      <c r="C696" s="32"/>
      <c r="I696" s="34"/>
      <c r="BP696" s="29"/>
      <c r="CC696" s="30" t="str">
        <f ca="1">IFERROR(__xludf.DUMMYFUNCTION("""COMPUTED_VALUE"""),"470703af")</f>
        <v>470703af</v>
      </c>
      <c r="CD696" s="29" t="str">
        <f ca="1">IFERROR(__xludf.DUMMYFUNCTION("""COMPUTED_VALUE"""),"Jóvenes (18 a 29 años)")</f>
        <v>Jóvenes (18 a 29 años)</v>
      </c>
      <c r="CE696" s="30" t="str">
        <f ca="1">IFERROR(__xludf.DUMMYFUNCTION("""COMPUTED_VALUE"""),"No se cuenta con el dato")</f>
        <v>No se cuenta con el dato</v>
      </c>
      <c r="CF696" s="30" t="str">
        <f ca="1">IFERROR(__xludf.DUMMYFUNCTION("""COMPUTED_VALUE"""),"Ninguno (Población General)")</f>
        <v>Ninguno (Población General)</v>
      </c>
      <c r="CG696" s="30">
        <f ca="1">IFERROR(__xludf.DUMMYFUNCTION("""COMPUTED_VALUE"""),3)</f>
        <v>3</v>
      </c>
      <c r="CJ696" s="29"/>
      <c r="CM696" s="30" t="str">
        <f ca="1">IFERROR(__xludf.DUMMYFUNCTION("""COMPUTED_VALUE"""),"")</f>
        <v/>
      </c>
      <c r="CN696" s="32" t="e">
        <f ca="1"/>
        <v>#NAME?</v>
      </c>
      <c r="CO696" s="32" t="e">
        <f ca="1"/>
        <v>#NAME?</v>
      </c>
      <c r="CP696" s="32" t="e">
        <f ca="1"/>
        <v>#NAME?</v>
      </c>
      <c r="CQ696" s="32" t="e">
        <f ca="1"/>
        <v>#NAME?</v>
      </c>
      <c r="CR696" s="30" t="e">
        <f ca="1"/>
        <v>#NAME?</v>
      </c>
      <c r="CS696" s="30" t="str">
        <f ca="1">IFERROR(__xludf.DUMMYFUNCTION("""COMPUTED_VALUE"""),"")</f>
        <v/>
      </c>
    </row>
    <row r="697" spans="1:97" ht="13">
      <c r="A697" s="29"/>
      <c r="C697" s="32"/>
      <c r="I697" s="34"/>
      <c r="BP697" s="29"/>
      <c r="CC697" s="30" t="str">
        <f ca="1">IFERROR(__xludf.DUMMYFUNCTION("""COMPUTED_VALUE"""),"48920d44")</f>
        <v>48920d44</v>
      </c>
      <c r="CD697" s="29" t="str">
        <f ca="1">IFERROR(__xludf.DUMMYFUNCTION("""COMPUTED_VALUE"""),"Adultos (30 a 59 años)")</f>
        <v>Adultos (30 a 59 años)</v>
      </c>
      <c r="CE697" s="30" t="str">
        <f ca="1">IFERROR(__xludf.DUMMYFUNCTION("""COMPUTED_VALUE"""),"No se cuenta con el dato")</f>
        <v>No se cuenta con el dato</v>
      </c>
      <c r="CF697" s="30" t="str">
        <f ca="1">IFERROR(__xludf.DUMMYFUNCTION("""COMPUTED_VALUE"""),"Ninguno (Población General)")</f>
        <v>Ninguno (Población General)</v>
      </c>
      <c r="CG697" s="30">
        <f ca="1">IFERROR(__xludf.DUMMYFUNCTION("""COMPUTED_VALUE"""),15)</f>
        <v>15</v>
      </c>
      <c r="CJ697" s="29"/>
      <c r="CM697" s="30" t="str">
        <f ca="1">IFERROR(__xludf.DUMMYFUNCTION("""COMPUTED_VALUE"""),"")</f>
        <v/>
      </c>
      <c r="CN697" s="32" t="e">
        <f ca="1"/>
        <v>#NAME?</v>
      </c>
      <c r="CO697" s="32" t="e">
        <f ca="1"/>
        <v>#NAME?</v>
      </c>
      <c r="CP697" s="32" t="e">
        <f ca="1"/>
        <v>#NAME?</v>
      </c>
      <c r="CQ697" s="32" t="e">
        <f ca="1"/>
        <v>#NAME?</v>
      </c>
      <c r="CR697" s="30" t="e">
        <f ca="1"/>
        <v>#NAME?</v>
      </c>
      <c r="CS697" s="30" t="str">
        <f ca="1">IFERROR(__xludf.DUMMYFUNCTION("""COMPUTED_VALUE"""),"")</f>
        <v/>
      </c>
    </row>
    <row r="698" spans="1:97" ht="13">
      <c r="A698" s="29"/>
      <c r="C698" s="32"/>
      <c r="I698" s="34"/>
      <c r="BP698" s="29"/>
      <c r="CC698" s="30" t="str">
        <f ca="1">IFERROR(__xludf.DUMMYFUNCTION("""COMPUTED_VALUE"""),"38b13bca")</f>
        <v>38b13bca</v>
      </c>
      <c r="CD698" s="29" t="str">
        <f ca="1">IFERROR(__xludf.DUMMYFUNCTION("""COMPUTED_VALUE"""),"Adultos Mayores (60 años o más)")</f>
        <v>Adultos Mayores (60 años o más)</v>
      </c>
      <c r="CE698" s="30" t="str">
        <f ca="1">IFERROR(__xludf.DUMMYFUNCTION("""COMPUTED_VALUE"""),"No se cuenta con el dato")</f>
        <v>No se cuenta con el dato</v>
      </c>
      <c r="CF698" s="30" t="str">
        <f ca="1">IFERROR(__xludf.DUMMYFUNCTION("""COMPUTED_VALUE"""),"Ninguno (Población General)")</f>
        <v>Ninguno (Población General)</v>
      </c>
      <c r="CG698" s="30">
        <f ca="1">IFERROR(__xludf.DUMMYFUNCTION("""COMPUTED_VALUE"""),6)</f>
        <v>6</v>
      </c>
      <c r="CJ698" s="29"/>
      <c r="CM698" s="30" t="str">
        <f ca="1">IFERROR(__xludf.DUMMYFUNCTION("""COMPUTED_VALUE"""),"")</f>
        <v/>
      </c>
      <c r="CN698" s="32" t="e">
        <f ca="1"/>
        <v>#NAME?</v>
      </c>
      <c r="CO698" s="32" t="e">
        <f ca="1"/>
        <v>#NAME?</v>
      </c>
      <c r="CP698" s="32" t="e">
        <f ca="1"/>
        <v>#NAME?</v>
      </c>
      <c r="CQ698" s="32" t="e">
        <f ca="1"/>
        <v>#NAME?</v>
      </c>
      <c r="CR698" s="30" t="e">
        <f ca="1"/>
        <v>#NAME?</v>
      </c>
      <c r="CS698" s="30" t="str">
        <f ca="1">IFERROR(__xludf.DUMMYFUNCTION("""COMPUTED_VALUE"""),"")</f>
        <v/>
      </c>
    </row>
    <row r="699" spans="1:97" ht="13">
      <c r="A699" s="29"/>
      <c r="C699" s="32"/>
      <c r="I699" s="34"/>
      <c r="BP699" s="29"/>
      <c r="CC699" s="30" t="str">
        <f ca="1">IFERROR(__xludf.DUMMYFUNCTION("""COMPUTED_VALUE"""),"22ead9cf")</f>
        <v>22ead9cf</v>
      </c>
      <c r="CD699" s="29" t="str">
        <f ca="1">IFERROR(__xludf.DUMMYFUNCTION("""COMPUTED_VALUE"""),"Jóvenes (18 a 29 años)")</f>
        <v>Jóvenes (18 a 29 años)</v>
      </c>
      <c r="CE699" s="30" t="str">
        <f ca="1">IFERROR(__xludf.DUMMYFUNCTION("""COMPUTED_VALUE"""),"No se cuenta con el dato")</f>
        <v>No se cuenta con el dato</v>
      </c>
      <c r="CF699" s="30" t="str">
        <f ca="1">IFERROR(__xludf.DUMMYFUNCTION("""COMPUTED_VALUE"""),"Ninguno (Población General)")</f>
        <v>Ninguno (Población General)</v>
      </c>
      <c r="CG699" s="30">
        <f ca="1">IFERROR(__xludf.DUMMYFUNCTION("""COMPUTED_VALUE"""),1)</f>
        <v>1</v>
      </c>
      <c r="CJ699" s="29"/>
      <c r="CM699" s="30" t="str">
        <f ca="1">IFERROR(__xludf.DUMMYFUNCTION("""COMPUTED_VALUE"""),"")</f>
        <v/>
      </c>
      <c r="CN699" s="32" t="e">
        <f ca="1"/>
        <v>#NAME?</v>
      </c>
      <c r="CO699" s="32" t="e">
        <f ca="1"/>
        <v>#NAME?</v>
      </c>
      <c r="CP699" s="32" t="e">
        <f ca="1"/>
        <v>#NAME?</v>
      </c>
      <c r="CQ699" s="32" t="e">
        <f ca="1"/>
        <v>#NAME?</v>
      </c>
      <c r="CR699" s="30" t="e">
        <f ca="1"/>
        <v>#NAME?</v>
      </c>
      <c r="CS699" s="30" t="str">
        <f ca="1">IFERROR(__xludf.DUMMYFUNCTION("""COMPUTED_VALUE"""),"")</f>
        <v/>
      </c>
    </row>
    <row r="700" spans="1:97" ht="13">
      <c r="A700" s="29"/>
      <c r="C700" s="32"/>
      <c r="I700" s="34"/>
      <c r="BP700" s="29"/>
      <c r="CC700" s="30" t="str">
        <f ca="1">IFERROR(__xludf.DUMMYFUNCTION("""COMPUTED_VALUE"""),"92770dee")</f>
        <v>92770dee</v>
      </c>
      <c r="CD700" s="29" t="str">
        <f ca="1">IFERROR(__xludf.DUMMYFUNCTION("""COMPUTED_VALUE"""),"Adultos (30 a 59 años)")</f>
        <v>Adultos (30 a 59 años)</v>
      </c>
      <c r="CE700" s="30" t="str">
        <f ca="1">IFERROR(__xludf.DUMMYFUNCTION("""COMPUTED_VALUE"""),"No se cuenta con el dato")</f>
        <v>No se cuenta con el dato</v>
      </c>
      <c r="CF700" s="30" t="str">
        <f ca="1">IFERROR(__xludf.DUMMYFUNCTION("""COMPUTED_VALUE"""),"Ninguno (Población General)")</f>
        <v>Ninguno (Población General)</v>
      </c>
      <c r="CG700" s="30">
        <f ca="1">IFERROR(__xludf.DUMMYFUNCTION("""COMPUTED_VALUE"""),1)</f>
        <v>1</v>
      </c>
      <c r="CJ700" s="29"/>
      <c r="CM700" s="30" t="str">
        <f ca="1">IFERROR(__xludf.DUMMYFUNCTION("""COMPUTED_VALUE"""),"")</f>
        <v/>
      </c>
      <c r="CN700" s="32" t="e">
        <f ca="1"/>
        <v>#NAME?</v>
      </c>
      <c r="CO700" s="32" t="e">
        <f ca="1"/>
        <v>#NAME?</v>
      </c>
      <c r="CP700" s="32" t="e">
        <f ca="1"/>
        <v>#NAME?</v>
      </c>
      <c r="CQ700" s="32" t="e">
        <f ca="1"/>
        <v>#NAME?</v>
      </c>
      <c r="CR700" s="30" t="e">
        <f ca="1"/>
        <v>#NAME?</v>
      </c>
      <c r="CS700" s="30" t="str">
        <f ca="1">IFERROR(__xludf.DUMMYFUNCTION("""COMPUTED_VALUE"""),"")</f>
        <v/>
      </c>
    </row>
    <row r="701" spans="1:97" ht="13">
      <c r="A701" s="29"/>
      <c r="C701" s="32"/>
      <c r="I701" s="34"/>
      <c r="BP701" s="29"/>
      <c r="CC701" s="30" t="str">
        <f ca="1">IFERROR(__xludf.DUMMYFUNCTION("""COMPUTED_VALUE"""),"72614eae")</f>
        <v>72614eae</v>
      </c>
      <c r="CD701" s="29" t="str">
        <f ca="1">IFERROR(__xludf.DUMMYFUNCTION("""COMPUTED_VALUE"""),"Jóvenes (18 a 29 años)")</f>
        <v>Jóvenes (18 a 29 años)</v>
      </c>
      <c r="CE701" s="30" t="str">
        <f ca="1">IFERROR(__xludf.DUMMYFUNCTION("""COMPUTED_VALUE"""),"No se cuenta con el dato")</f>
        <v>No se cuenta con el dato</v>
      </c>
      <c r="CF701" s="30" t="str">
        <f ca="1">IFERROR(__xludf.DUMMYFUNCTION("""COMPUTED_VALUE"""),"Ninguno (Población General)")</f>
        <v>Ninguno (Población General)</v>
      </c>
      <c r="CG701" s="30">
        <f ca="1">IFERROR(__xludf.DUMMYFUNCTION("""COMPUTED_VALUE"""),2)</f>
        <v>2</v>
      </c>
      <c r="CJ701" s="29"/>
      <c r="CM701" s="30" t="str">
        <f ca="1">IFERROR(__xludf.DUMMYFUNCTION("""COMPUTED_VALUE"""),"")</f>
        <v/>
      </c>
      <c r="CN701" s="32" t="e">
        <f ca="1"/>
        <v>#NAME?</v>
      </c>
      <c r="CO701" s="32" t="e">
        <f ca="1"/>
        <v>#NAME?</v>
      </c>
      <c r="CP701" s="32" t="e">
        <f ca="1"/>
        <v>#NAME?</v>
      </c>
      <c r="CQ701" s="32" t="e">
        <f ca="1"/>
        <v>#NAME?</v>
      </c>
      <c r="CR701" s="30" t="e">
        <f ca="1"/>
        <v>#NAME?</v>
      </c>
      <c r="CS701" s="30" t="str">
        <f ca="1">IFERROR(__xludf.DUMMYFUNCTION("""COMPUTED_VALUE"""),"")</f>
        <v/>
      </c>
    </row>
    <row r="702" spans="1:97" ht="13">
      <c r="A702" s="29"/>
      <c r="C702" s="32"/>
      <c r="I702" s="34"/>
      <c r="BP702" s="29"/>
      <c r="CC702" s="30" t="str">
        <f ca="1">IFERROR(__xludf.DUMMYFUNCTION("""COMPUTED_VALUE"""),"029ec547")</f>
        <v>029ec547</v>
      </c>
      <c r="CD702" s="29" t="str">
        <f ca="1">IFERROR(__xludf.DUMMYFUNCTION("""COMPUTED_VALUE"""),"Adultos (30 a 59 años)")</f>
        <v>Adultos (30 a 59 años)</v>
      </c>
      <c r="CE702" s="30" t="str">
        <f ca="1">IFERROR(__xludf.DUMMYFUNCTION("""COMPUTED_VALUE"""),"No se cuenta con el dato")</f>
        <v>No se cuenta con el dato</v>
      </c>
      <c r="CF702" s="30" t="str">
        <f ca="1">IFERROR(__xludf.DUMMYFUNCTION("""COMPUTED_VALUE"""),"Ninguno (Población General)")</f>
        <v>Ninguno (Población General)</v>
      </c>
      <c r="CG702" s="30">
        <f ca="1">IFERROR(__xludf.DUMMYFUNCTION("""COMPUTED_VALUE"""),1)</f>
        <v>1</v>
      </c>
      <c r="CJ702" s="29"/>
      <c r="CM702" s="30" t="str">
        <f ca="1">IFERROR(__xludf.DUMMYFUNCTION("""COMPUTED_VALUE"""),"")</f>
        <v/>
      </c>
      <c r="CN702" s="32" t="e">
        <f ca="1"/>
        <v>#NAME?</v>
      </c>
      <c r="CO702" s="32" t="e">
        <f ca="1"/>
        <v>#NAME?</v>
      </c>
      <c r="CP702" s="32" t="e">
        <f ca="1"/>
        <v>#NAME?</v>
      </c>
      <c r="CQ702" s="32" t="e">
        <f ca="1"/>
        <v>#NAME?</v>
      </c>
      <c r="CR702" s="30" t="e">
        <f ca="1"/>
        <v>#NAME?</v>
      </c>
      <c r="CS702" s="30" t="str">
        <f ca="1">IFERROR(__xludf.DUMMYFUNCTION("""COMPUTED_VALUE"""),"")</f>
        <v/>
      </c>
    </row>
    <row r="703" spans="1:97" ht="13">
      <c r="A703" s="29"/>
      <c r="C703" s="32"/>
      <c r="I703" s="34"/>
      <c r="BP703" s="29"/>
      <c r="CC703" s="30" t="str">
        <f ca="1">IFERROR(__xludf.DUMMYFUNCTION("""COMPUTED_VALUE"""),"d97301fd")</f>
        <v>d97301fd</v>
      </c>
      <c r="CD703" s="29" t="str">
        <f ca="1">IFERROR(__xludf.DUMMYFUNCTION("""COMPUTED_VALUE"""),"Adultos (30 a 59 años)")</f>
        <v>Adultos (30 a 59 años)</v>
      </c>
      <c r="CE703" s="30" t="str">
        <f ca="1">IFERROR(__xludf.DUMMYFUNCTION("""COMPUTED_VALUE"""),"No se cuenta con el dato")</f>
        <v>No se cuenta con el dato</v>
      </c>
      <c r="CF703" s="30" t="str">
        <f ca="1">IFERROR(__xludf.DUMMYFUNCTION("""COMPUTED_VALUE"""),"Ninguno (Población General)")</f>
        <v>Ninguno (Población General)</v>
      </c>
      <c r="CG703" s="30">
        <f ca="1">IFERROR(__xludf.DUMMYFUNCTION("""COMPUTED_VALUE"""),3)</f>
        <v>3</v>
      </c>
      <c r="CJ703" s="29"/>
      <c r="CM703" s="30" t="str">
        <f ca="1">IFERROR(__xludf.DUMMYFUNCTION("""COMPUTED_VALUE"""),"")</f>
        <v/>
      </c>
      <c r="CN703" s="32" t="e">
        <f ca="1"/>
        <v>#NAME?</v>
      </c>
      <c r="CO703" s="32" t="e">
        <f ca="1"/>
        <v>#NAME?</v>
      </c>
      <c r="CP703" s="32" t="e">
        <f ca="1"/>
        <v>#NAME?</v>
      </c>
      <c r="CQ703" s="32" t="e">
        <f ca="1"/>
        <v>#NAME?</v>
      </c>
      <c r="CR703" s="30" t="e">
        <f ca="1"/>
        <v>#NAME?</v>
      </c>
      <c r="CS703" s="30" t="str">
        <f ca="1">IFERROR(__xludf.DUMMYFUNCTION("""COMPUTED_VALUE"""),"")</f>
        <v/>
      </c>
    </row>
    <row r="704" spans="1:97" ht="13">
      <c r="A704" s="29"/>
      <c r="C704" s="32"/>
      <c r="I704" s="34"/>
      <c r="BP704" s="29"/>
      <c r="CC704" s="30" t="str">
        <f ca="1">IFERROR(__xludf.DUMMYFUNCTION("""COMPUTED_VALUE"""),"50d33cc6")</f>
        <v>50d33cc6</v>
      </c>
      <c r="CD704" s="29" t="str">
        <f ca="1">IFERROR(__xludf.DUMMYFUNCTION("""COMPUTED_VALUE"""),"Adultos (30 a 59 años)")</f>
        <v>Adultos (30 a 59 años)</v>
      </c>
      <c r="CE704" s="30" t="str">
        <f ca="1">IFERROR(__xludf.DUMMYFUNCTION("""COMPUTED_VALUE"""),"Dato global")</f>
        <v>Dato global</v>
      </c>
      <c r="CF704" s="30" t="str">
        <f ca="1">IFERROR(__xludf.DUMMYFUNCTION("""COMPUTED_VALUE"""),"Ninguno (Población General)")</f>
        <v>Ninguno (Población General)</v>
      </c>
      <c r="CG704" s="30">
        <f ca="1">IFERROR(__xludf.DUMMYFUNCTION("""COMPUTED_VALUE"""),1368)</f>
        <v>1368</v>
      </c>
      <c r="CJ704" s="29"/>
      <c r="CM704" s="30" t="str">
        <f ca="1">IFERROR(__xludf.DUMMYFUNCTION("""COMPUTED_VALUE"""),"")</f>
        <v/>
      </c>
      <c r="CN704" s="32" t="e">
        <f ca="1"/>
        <v>#NAME?</v>
      </c>
      <c r="CO704" s="32" t="e">
        <f ca="1"/>
        <v>#NAME?</v>
      </c>
      <c r="CP704" s="32" t="e">
        <f ca="1"/>
        <v>#NAME?</v>
      </c>
      <c r="CQ704" s="32" t="e">
        <f ca="1"/>
        <v>#NAME?</v>
      </c>
      <c r="CR704" s="30" t="e">
        <f ca="1"/>
        <v>#NAME?</v>
      </c>
      <c r="CS704" s="30" t="str">
        <f ca="1">IFERROR(__xludf.DUMMYFUNCTION("""COMPUTED_VALUE"""),"")</f>
        <v/>
      </c>
    </row>
    <row r="705" spans="1:97" ht="13">
      <c r="A705" s="29"/>
      <c r="C705" s="32"/>
      <c r="I705" s="34"/>
      <c r="BP705" s="29"/>
      <c r="CC705" s="30" t="str">
        <f ca="1">IFERROR(__xludf.DUMMYFUNCTION("""COMPUTED_VALUE"""),"173ae883")</f>
        <v>173ae883</v>
      </c>
      <c r="CD705" s="29" t="str">
        <f ca="1">IFERROR(__xludf.DUMMYFUNCTION("""COMPUTED_VALUE"""),"Jóvenes (18 a 29 años)")</f>
        <v>Jóvenes (18 a 29 años)</v>
      </c>
      <c r="CE705" s="30" t="str">
        <f ca="1">IFERROR(__xludf.DUMMYFUNCTION("""COMPUTED_VALUE"""),"No se cuenta con el dato")</f>
        <v>No se cuenta con el dato</v>
      </c>
      <c r="CF705" s="30" t="str">
        <f ca="1">IFERROR(__xludf.DUMMYFUNCTION("""COMPUTED_VALUE"""),"Ninguno (Población General)")</f>
        <v>Ninguno (Población General)</v>
      </c>
      <c r="CG705" s="30">
        <f ca="1">IFERROR(__xludf.DUMMYFUNCTION("""COMPUTED_VALUE"""),3)</f>
        <v>3</v>
      </c>
      <c r="CJ705" s="29"/>
      <c r="CM705" s="30" t="str">
        <f ca="1">IFERROR(__xludf.DUMMYFUNCTION("""COMPUTED_VALUE"""),"")</f>
        <v/>
      </c>
      <c r="CN705" s="32" t="e">
        <f ca="1"/>
        <v>#NAME?</v>
      </c>
      <c r="CO705" s="32" t="e">
        <f ca="1"/>
        <v>#NAME?</v>
      </c>
      <c r="CP705" s="32" t="e">
        <f ca="1"/>
        <v>#NAME?</v>
      </c>
      <c r="CQ705" s="32" t="e">
        <f ca="1"/>
        <v>#NAME?</v>
      </c>
      <c r="CR705" s="30" t="e">
        <f ca="1"/>
        <v>#NAME?</v>
      </c>
      <c r="CS705" s="30" t="str">
        <f ca="1">IFERROR(__xludf.DUMMYFUNCTION("""COMPUTED_VALUE"""),"")</f>
        <v/>
      </c>
    </row>
    <row r="706" spans="1:97" ht="13">
      <c r="A706" s="29"/>
      <c r="C706" s="32"/>
      <c r="I706" s="34"/>
      <c r="BP706" s="29"/>
      <c r="CC706" s="30" t="str">
        <f ca="1">IFERROR(__xludf.DUMMYFUNCTION("""COMPUTED_VALUE"""),"e895d089")</f>
        <v>e895d089</v>
      </c>
      <c r="CD706" s="29" t="str">
        <f ca="1">IFERROR(__xludf.DUMMYFUNCTION("""COMPUTED_VALUE"""),"Adultos (30 a 59 años)")</f>
        <v>Adultos (30 a 59 años)</v>
      </c>
      <c r="CE706" s="30" t="str">
        <f ca="1">IFERROR(__xludf.DUMMYFUNCTION("""COMPUTED_VALUE"""),"No se cuenta con el dato")</f>
        <v>No se cuenta con el dato</v>
      </c>
      <c r="CF706" s="30" t="str">
        <f ca="1">IFERROR(__xludf.DUMMYFUNCTION("""COMPUTED_VALUE"""),"Ninguno (Población General)")</f>
        <v>Ninguno (Población General)</v>
      </c>
      <c r="CG706" s="30">
        <f ca="1">IFERROR(__xludf.DUMMYFUNCTION("""COMPUTED_VALUE"""),2)</f>
        <v>2</v>
      </c>
      <c r="CJ706" s="29"/>
      <c r="CM706" s="30" t="str">
        <f ca="1">IFERROR(__xludf.DUMMYFUNCTION("""COMPUTED_VALUE"""),"")</f>
        <v/>
      </c>
      <c r="CN706" s="32" t="e">
        <f ca="1"/>
        <v>#NAME?</v>
      </c>
      <c r="CO706" s="32" t="e">
        <f ca="1"/>
        <v>#NAME?</v>
      </c>
      <c r="CP706" s="32" t="e">
        <f ca="1"/>
        <v>#NAME?</v>
      </c>
      <c r="CQ706" s="32" t="e">
        <f ca="1"/>
        <v>#NAME?</v>
      </c>
      <c r="CR706" s="30" t="e">
        <f ca="1"/>
        <v>#NAME?</v>
      </c>
      <c r="CS706" s="30" t="str">
        <f ca="1">IFERROR(__xludf.DUMMYFUNCTION("""COMPUTED_VALUE"""),"")</f>
        <v/>
      </c>
    </row>
    <row r="707" spans="1:97" ht="13">
      <c r="A707" s="29"/>
      <c r="C707" s="32"/>
      <c r="I707" s="34"/>
      <c r="BP707" s="29"/>
      <c r="CC707" s="30" t="str">
        <f ca="1">IFERROR(__xludf.DUMMYFUNCTION("""COMPUTED_VALUE"""),"38f24804")</f>
        <v>38f24804</v>
      </c>
      <c r="CD707" s="29" t="str">
        <f ca="1">IFERROR(__xludf.DUMMYFUNCTION("""COMPUTED_VALUE"""),"Adultos Mayores (60 años o más)")</f>
        <v>Adultos Mayores (60 años o más)</v>
      </c>
      <c r="CE707" s="30" t="str">
        <f ca="1">IFERROR(__xludf.DUMMYFUNCTION("""COMPUTED_VALUE"""),"No se cuenta con el dato")</f>
        <v>No se cuenta con el dato</v>
      </c>
      <c r="CF707" s="30" t="str">
        <f ca="1">IFERROR(__xludf.DUMMYFUNCTION("""COMPUTED_VALUE"""),"Ninguno (Población General)")</f>
        <v>Ninguno (Población General)</v>
      </c>
      <c r="CG707" s="30">
        <f ca="1">IFERROR(__xludf.DUMMYFUNCTION("""COMPUTED_VALUE"""),1)</f>
        <v>1</v>
      </c>
      <c r="CJ707" s="29"/>
      <c r="CM707" s="30" t="str">
        <f ca="1">IFERROR(__xludf.DUMMYFUNCTION("""COMPUTED_VALUE"""),"")</f>
        <v/>
      </c>
      <c r="CN707" s="32" t="e">
        <f ca="1"/>
        <v>#NAME?</v>
      </c>
      <c r="CO707" s="32" t="e">
        <f ca="1"/>
        <v>#NAME?</v>
      </c>
      <c r="CP707" s="32" t="e">
        <f ca="1"/>
        <v>#NAME?</v>
      </c>
      <c r="CQ707" s="32" t="e">
        <f ca="1"/>
        <v>#NAME?</v>
      </c>
      <c r="CR707" s="30" t="e">
        <f ca="1"/>
        <v>#NAME?</v>
      </c>
      <c r="CS707" s="30" t="str">
        <f ca="1">IFERROR(__xludf.DUMMYFUNCTION("""COMPUTED_VALUE"""),"")</f>
        <v/>
      </c>
    </row>
    <row r="708" spans="1:97" ht="13">
      <c r="A708" s="29"/>
      <c r="C708" s="32"/>
      <c r="I708" s="34"/>
      <c r="BP708" s="29"/>
      <c r="CC708" s="30" t="str">
        <f ca="1">IFERROR(__xludf.DUMMYFUNCTION("""COMPUTED_VALUE"""),"821c1bf1")</f>
        <v>821c1bf1</v>
      </c>
      <c r="CD708" s="29" t="str">
        <f ca="1">IFERROR(__xludf.DUMMYFUNCTION("""COMPUTED_VALUE"""),"Adolescentes (13 a 17 años)")</f>
        <v>Adolescentes (13 a 17 años)</v>
      </c>
      <c r="CE708" s="30" t="str">
        <f ca="1">IFERROR(__xludf.DUMMYFUNCTION("""COMPUTED_VALUE"""),"No se cuenta con el dato")</f>
        <v>No se cuenta con el dato</v>
      </c>
      <c r="CF708" s="30" t="str">
        <f ca="1">IFERROR(__xludf.DUMMYFUNCTION("""COMPUTED_VALUE"""),"Ninguno (Población General)")</f>
        <v>Ninguno (Población General)</v>
      </c>
      <c r="CG708" s="30">
        <f ca="1">IFERROR(__xludf.DUMMYFUNCTION("""COMPUTED_VALUE"""),3)</f>
        <v>3</v>
      </c>
      <c r="CJ708" s="29"/>
      <c r="CM708" s="30" t="str">
        <f ca="1">IFERROR(__xludf.DUMMYFUNCTION("""COMPUTED_VALUE"""),"")</f>
        <v/>
      </c>
      <c r="CN708" s="32" t="e">
        <f ca="1"/>
        <v>#NAME?</v>
      </c>
      <c r="CO708" s="32" t="e">
        <f ca="1"/>
        <v>#NAME?</v>
      </c>
      <c r="CP708" s="32" t="e">
        <f ca="1"/>
        <v>#NAME?</v>
      </c>
      <c r="CQ708" s="32" t="e">
        <f ca="1"/>
        <v>#NAME?</v>
      </c>
      <c r="CR708" s="30" t="e">
        <f ca="1"/>
        <v>#NAME?</v>
      </c>
      <c r="CS708" s="30" t="str">
        <f ca="1">IFERROR(__xludf.DUMMYFUNCTION("""COMPUTED_VALUE"""),"")</f>
        <v/>
      </c>
    </row>
    <row r="709" spans="1:97" ht="13">
      <c r="A709" s="29"/>
      <c r="C709" s="32"/>
      <c r="I709" s="34"/>
      <c r="BP709" s="29"/>
      <c r="CC709" s="30" t="str">
        <f ca="1">IFERROR(__xludf.DUMMYFUNCTION("""COMPUTED_VALUE"""),"a9f2be39")</f>
        <v>a9f2be39</v>
      </c>
      <c r="CD709" s="29" t="str">
        <f ca="1">IFERROR(__xludf.DUMMYFUNCTION("""COMPUTED_VALUE"""),"Adultos (30 a 59 años)")</f>
        <v>Adultos (30 a 59 años)</v>
      </c>
      <c r="CE709" s="30" t="str">
        <f ca="1">IFERROR(__xludf.DUMMYFUNCTION("""COMPUTED_VALUE"""),"No se cuenta con el dato")</f>
        <v>No se cuenta con el dato</v>
      </c>
      <c r="CF709" s="30" t="str">
        <f ca="1">IFERROR(__xludf.DUMMYFUNCTION("""COMPUTED_VALUE"""),"Ninguno (Población General)")</f>
        <v>Ninguno (Población General)</v>
      </c>
      <c r="CG709" s="30">
        <f ca="1">IFERROR(__xludf.DUMMYFUNCTION("""COMPUTED_VALUE"""),2)</f>
        <v>2</v>
      </c>
      <c r="CJ709" s="29"/>
      <c r="CM709" s="30" t="str">
        <f ca="1">IFERROR(__xludf.DUMMYFUNCTION("""COMPUTED_VALUE"""),"")</f>
        <v/>
      </c>
      <c r="CN709" s="32" t="e">
        <f ca="1"/>
        <v>#NAME?</v>
      </c>
      <c r="CO709" s="32" t="e">
        <f ca="1"/>
        <v>#NAME?</v>
      </c>
      <c r="CP709" s="32" t="e">
        <f ca="1"/>
        <v>#NAME?</v>
      </c>
      <c r="CQ709" s="32" t="e">
        <f ca="1"/>
        <v>#NAME?</v>
      </c>
      <c r="CR709" s="30" t="e">
        <f ca="1"/>
        <v>#NAME?</v>
      </c>
      <c r="CS709" s="30" t="str">
        <f ca="1">IFERROR(__xludf.DUMMYFUNCTION("""COMPUTED_VALUE"""),"")</f>
        <v/>
      </c>
    </row>
    <row r="710" spans="1:97" ht="13">
      <c r="A710" s="29"/>
      <c r="C710" s="32"/>
      <c r="I710" s="34"/>
      <c r="BP710" s="29"/>
      <c r="CC710" s="30" t="str">
        <f ca="1">IFERROR(__xludf.DUMMYFUNCTION("""COMPUTED_VALUE"""),"afd190d5")</f>
        <v>afd190d5</v>
      </c>
      <c r="CD710" s="29" t="str">
        <f ca="1">IFERROR(__xludf.DUMMYFUNCTION("""COMPUTED_VALUE"""),"Jóvenes (18 a 29 años)")</f>
        <v>Jóvenes (18 a 29 años)</v>
      </c>
      <c r="CE710" s="30" t="str">
        <f ca="1">IFERROR(__xludf.DUMMYFUNCTION("""COMPUTED_VALUE"""),"No se cuenta con el dato")</f>
        <v>No se cuenta con el dato</v>
      </c>
      <c r="CF710" s="30" t="str">
        <f ca="1">IFERROR(__xludf.DUMMYFUNCTION("""COMPUTED_VALUE"""),"Ninguno (Población General)")</f>
        <v>Ninguno (Población General)</v>
      </c>
      <c r="CG710" s="30">
        <f ca="1">IFERROR(__xludf.DUMMYFUNCTION("""COMPUTED_VALUE"""),3)</f>
        <v>3</v>
      </c>
      <c r="CJ710" s="29"/>
      <c r="CM710" s="30" t="str">
        <f ca="1">IFERROR(__xludf.DUMMYFUNCTION("""COMPUTED_VALUE"""),"")</f>
        <v/>
      </c>
      <c r="CN710" s="32" t="e">
        <f ca="1"/>
        <v>#NAME?</v>
      </c>
      <c r="CO710" s="32" t="e">
        <f ca="1"/>
        <v>#NAME?</v>
      </c>
      <c r="CP710" s="32" t="e">
        <f ca="1"/>
        <v>#NAME?</v>
      </c>
      <c r="CQ710" s="32" t="e">
        <f ca="1"/>
        <v>#NAME?</v>
      </c>
      <c r="CR710" s="30" t="e">
        <f ca="1"/>
        <v>#NAME?</v>
      </c>
      <c r="CS710" s="30" t="str">
        <f ca="1">IFERROR(__xludf.DUMMYFUNCTION("""COMPUTED_VALUE"""),"")</f>
        <v/>
      </c>
    </row>
    <row r="711" spans="1:97" ht="13">
      <c r="A711" s="29"/>
      <c r="C711" s="32"/>
      <c r="I711" s="34"/>
      <c r="BP711" s="29"/>
      <c r="CC711" s="30" t="str">
        <f ca="1">IFERROR(__xludf.DUMMYFUNCTION("""COMPUTED_VALUE"""),"67fc8426")</f>
        <v>67fc8426</v>
      </c>
      <c r="CD711" s="29" t="str">
        <f ca="1">IFERROR(__xludf.DUMMYFUNCTION("""COMPUTED_VALUE"""),"Adultos (30 a 59 años)")</f>
        <v>Adultos (30 a 59 años)</v>
      </c>
      <c r="CE711" s="30" t="str">
        <f ca="1">IFERROR(__xludf.DUMMYFUNCTION("""COMPUTED_VALUE"""),"No se cuenta con el dato")</f>
        <v>No se cuenta con el dato</v>
      </c>
      <c r="CF711" s="30" t="str">
        <f ca="1">IFERROR(__xludf.DUMMYFUNCTION("""COMPUTED_VALUE"""),"Ninguno (Población General)")</f>
        <v>Ninguno (Población General)</v>
      </c>
      <c r="CG711" s="30">
        <f ca="1">IFERROR(__xludf.DUMMYFUNCTION("""COMPUTED_VALUE"""),5)</f>
        <v>5</v>
      </c>
      <c r="CJ711" s="29"/>
      <c r="CM711" s="30" t="str">
        <f ca="1">IFERROR(__xludf.DUMMYFUNCTION("""COMPUTED_VALUE"""),"")</f>
        <v/>
      </c>
      <c r="CN711" s="32" t="e">
        <f ca="1"/>
        <v>#NAME?</v>
      </c>
      <c r="CO711" s="32" t="e">
        <f ca="1"/>
        <v>#NAME?</v>
      </c>
      <c r="CP711" s="32" t="e">
        <f ca="1"/>
        <v>#NAME?</v>
      </c>
      <c r="CQ711" s="32" t="e">
        <f ca="1"/>
        <v>#NAME?</v>
      </c>
      <c r="CR711" s="30" t="e">
        <f ca="1"/>
        <v>#NAME?</v>
      </c>
      <c r="CS711" s="30" t="str">
        <f ca="1">IFERROR(__xludf.DUMMYFUNCTION("""COMPUTED_VALUE"""),"")</f>
        <v/>
      </c>
    </row>
    <row r="712" spans="1:97" ht="13">
      <c r="A712" s="29"/>
      <c r="C712" s="32"/>
      <c r="I712" s="34"/>
      <c r="BP712" s="29"/>
      <c r="CC712" s="30" t="str">
        <f ca="1">IFERROR(__xludf.DUMMYFUNCTION("""COMPUTED_VALUE"""),"1bd1e77f")</f>
        <v>1bd1e77f</v>
      </c>
      <c r="CD712" s="29" t="str">
        <f ca="1">IFERROR(__xludf.DUMMYFUNCTION("""COMPUTED_VALUE"""),"Adultos Mayores (60 años o más)")</f>
        <v>Adultos Mayores (60 años o más)</v>
      </c>
      <c r="CE712" s="30" t="str">
        <f ca="1">IFERROR(__xludf.DUMMYFUNCTION("""COMPUTED_VALUE"""),"No se cuenta con el dato")</f>
        <v>No se cuenta con el dato</v>
      </c>
      <c r="CF712" s="30" t="str">
        <f ca="1">IFERROR(__xludf.DUMMYFUNCTION("""COMPUTED_VALUE"""),"Ninguno (Población General)")</f>
        <v>Ninguno (Población General)</v>
      </c>
      <c r="CG712" s="30">
        <f ca="1">IFERROR(__xludf.DUMMYFUNCTION("""COMPUTED_VALUE"""),1)</f>
        <v>1</v>
      </c>
      <c r="CJ712" s="29"/>
      <c r="CM712" s="30" t="str">
        <f ca="1">IFERROR(__xludf.DUMMYFUNCTION("""COMPUTED_VALUE"""),"")</f>
        <v/>
      </c>
      <c r="CN712" s="32" t="e">
        <f ca="1"/>
        <v>#NAME?</v>
      </c>
      <c r="CO712" s="32" t="e">
        <f ca="1"/>
        <v>#NAME?</v>
      </c>
      <c r="CP712" s="32" t="e">
        <f ca="1"/>
        <v>#NAME?</v>
      </c>
      <c r="CQ712" s="32" t="e">
        <f ca="1"/>
        <v>#NAME?</v>
      </c>
      <c r="CR712" s="30" t="e">
        <f ca="1"/>
        <v>#NAME?</v>
      </c>
      <c r="CS712" s="30" t="str">
        <f ca="1">IFERROR(__xludf.DUMMYFUNCTION("""COMPUTED_VALUE"""),"")</f>
        <v/>
      </c>
    </row>
    <row r="713" spans="1:97" ht="13">
      <c r="A713" s="29"/>
      <c r="C713" s="32"/>
      <c r="I713" s="34"/>
      <c r="BP713" s="29"/>
      <c r="CC713" s="30" t="str">
        <f ca="1">IFERROR(__xludf.DUMMYFUNCTION("""COMPUTED_VALUE"""),"d3837a45")</f>
        <v>d3837a45</v>
      </c>
      <c r="CD713" s="29" t="str">
        <f ca="1">IFERROR(__xludf.DUMMYFUNCTION("""COMPUTED_VALUE"""),"Niñas y Niños (6 a 12 años)")</f>
        <v>Niñas y Niños (6 a 12 años)</v>
      </c>
      <c r="CE713" s="30" t="str">
        <f ca="1">IFERROR(__xludf.DUMMYFUNCTION("""COMPUTED_VALUE"""),"No se cuenta con el dato")</f>
        <v>No se cuenta con el dato</v>
      </c>
      <c r="CF713" s="30" t="str">
        <f ca="1">IFERROR(__xludf.DUMMYFUNCTION("""COMPUTED_VALUE"""),"Ninguno (Población General)")</f>
        <v>Ninguno (Población General)</v>
      </c>
      <c r="CG713" s="30">
        <f ca="1">IFERROR(__xludf.DUMMYFUNCTION("""COMPUTED_VALUE"""),1)</f>
        <v>1</v>
      </c>
      <c r="CJ713" s="29"/>
      <c r="CM713" s="30" t="str">
        <f ca="1">IFERROR(__xludf.DUMMYFUNCTION("""COMPUTED_VALUE"""),"")</f>
        <v/>
      </c>
      <c r="CN713" s="32" t="e">
        <f ca="1"/>
        <v>#NAME?</v>
      </c>
      <c r="CO713" s="32" t="e">
        <f ca="1"/>
        <v>#NAME?</v>
      </c>
      <c r="CP713" s="32" t="e">
        <f ca="1"/>
        <v>#NAME?</v>
      </c>
      <c r="CQ713" s="32" t="e">
        <f ca="1"/>
        <v>#NAME?</v>
      </c>
      <c r="CR713" s="30" t="e">
        <f ca="1"/>
        <v>#NAME?</v>
      </c>
      <c r="CS713" s="30" t="str">
        <f ca="1">IFERROR(__xludf.DUMMYFUNCTION("""COMPUTED_VALUE"""),"")</f>
        <v/>
      </c>
    </row>
    <row r="714" spans="1:97" ht="13">
      <c r="A714" s="29"/>
      <c r="C714" s="32"/>
      <c r="I714" s="34"/>
      <c r="BP714" s="29"/>
      <c r="CC714" s="30" t="str">
        <f ca="1">IFERROR(__xludf.DUMMYFUNCTION("""COMPUTED_VALUE"""),"7c548621")</f>
        <v>7c548621</v>
      </c>
      <c r="CD714" s="29" t="str">
        <f ca="1">IFERROR(__xludf.DUMMYFUNCTION("""COMPUTED_VALUE"""),"Adolescentes (13 a 17 años)")</f>
        <v>Adolescentes (13 a 17 años)</v>
      </c>
      <c r="CE714" s="30" t="str">
        <f ca="1">IFERROR(__xludf.DUMMYFUNCTION("""COMPUTED_VALUE"""),"No se cuenta con el dato")</f>
        <v>No se cuenta con el dato</v>
      </c>
      <c r="CF714" s="30" t="str">
        <f ca="1">IFERROR(__xludf.DUMMYFUNCTION("""COMPUTED_VALUE"""),"Ninguno (Población General)")</f>
        <v>Ninguno (Población General)</v>
      </c>
      <c r="CG714" s="30">
        <f ca="1">IFERROR(__xludf.DUMMYFUNCTION("""COMPUTED_VALUE"""),1)</f>
        <v>1</v>
      </c>
      <c r="CJ714" s="29"/>
      <c r="CM714" s="30" t="str">
        <f ca="1">IFERROR(__xludf.DUMMYFUNCTION("""COMPUTED_VALUE"""),"")</f>
        <v/>
      </c>
      <c r="CN714" s="32" t="e">
        <f ca="1"/>
        <v>#NAME?</v>
      </c>
      <c r="CO714" s="32" t="e">
        <f ca="1"/>
        <v>#NAME?</v>
      </c>
      <c r="CP714" s="32" t="e">
        <f ca="1"/>
        <v>#NAME?</v>
      </c>
      <c r="CQ714" s="32" t="e">
        <f ca="1"/>
        <v>#NAME?</v>
      </c>
      <c r="CR714" s="30" t="e">
        <f ca="1"/>
        <v>#NAME?</v>
      </c>
      <c r="CS714" s="30" t="str">
        <f ca="1">IFERROR(__xludf.DUMMYFUNCTION("""COMPUTED_VALUE"""),"")</f>
        <v/>
      </c>
    </row>
    <row r="715" spans="1:97" ht="13">
      <c r="A715" s="29"/>
      <c r="C715" s="32"/>
      <c r="I715" s="34"/>
      <c r="BP715" s="29"/>
      <c r="CC715" s="30" t="str">
        <f ca="1">IFERROR(__xludf.DUMMYFUNCTION("""COMPUTED_VALUE"""),"3cbc3a7c")</f>
        <v>3cbc3a7c</v>
      </c>
      <c r="CD715" s="29" t="str">
        <f ca="1">IFERROR(__xludf.DUMMYFUNCTION("""COMPUTED_VALUE"""),"Jóvenes (18 a 29 años)")</f>
        <v>Jóvenes (18 a 29 años)</v>
      </c>
      <c r="CE715" s="30" t="str">
        <f ca="1">IFERROR(__xludf.DUMMYFUNCTION("""COMPUTED_VALUE"""),"No se cuenta con el dato")</f>
        <v>No se cuenta con el dato</v>
      </c>
      <c r="CF715" s="30" t="str">
        <f ca="1">IFERROR(__xludf.DUMMYFUNCTION("""COMPUTED_VALUE"""),"Ninguno (Población General)")</f>
        <v>Ninguno (Población General)</v>
      </c>
      <c r="CG715" s="30">
        <f ca="1">IFERROR(__xludf.DUMMYFUNCTION("""COMPUTED_VALUE"""),5)</f>
        <v>5</v>
      </c>
      <c r="CJ715" s="29"/>
      <c r="CM715" s="30" t="str">
        <f ca="1">IFERROR(__xludf.DUMMYFUNCTION("""COMPUTED_VALUE"""),"")</f>
        <v/>
      </c>
      <c r="CN715" s="32" t="e">
        <f ca="1"/>
        <v>#NAME?</v>
      </c>
      <c r="CO715" s="32" t="e">
        <f ca="1"/>
        <v>#NAME?</v>
      </c>
      <c r="CP715" s="32" t="e">
        <f ca="1"/>
        <v>#NAME?</v>
      </c>
      <c r="CQ715" s="32" t="e">
        <f ca="1"/>
        <v>#NAME?</v>
      </c>
      <c r="CR715" s="30" t="e">
        <f ca="1"/>
        <v>#NAME?</v>
      </c>
      <c r="CS715" s="30" t="str">
        <f ca="1">IFERROR(__xludf.DUMMYFUNCTION("""COMPUTED_VALUE"""),"")</f>
        <v/>
      </c>
    </row>
    <row r="716" spans="1:97" ht="13">
      <c r="A716" s="29"/>
      <c r="C716" s="32"/>
      <c r="I716" s="34"/>
      <c r="BP716" s="29"/>
      <c r="CC716" s="30" t="str">
        <f ca="1">IFERROR(__xludf.DUMMYFUNCTION("""COMPUTED_VALUE"""),"7a4f2f1d")</f>
        <v>7a4f2f1d</v>
      </c>
      <c r="CD716" s="29" t="str">
        <f ca="1">IFERROR(__xludf.DUMMYFUNCTION("""COMPUTED_VALUE"""),"Jóvenes (18 a 29 años)")</f>
        <v>Jóvenes (18 a 29 años)</v>
      </c>
      <c r="CE716" s="30" t="str">
        <f ca="1">IFERROR(__xludf.DUMMYFUNCTION("""COMPUTED_VALUE"""),"No se cuenta con el dato")</f>
        <v>No se cuenta con el dato</v>
      </c>
      <c r="CF716" s="30" t="str">
        <f ca="1">IFERROR(__xludf.DUMMYFUNCTION("""COMPUTED_VALUE"""),"Ninguno (Población General)")</f>
        <v>Ninguno (Población General)</v>
      </c>
      <c r="CG716" s="30">
        <f ca="1">IFERROR(__xludf.DUMMYFUNCTION("""COMPUTED_VALUE"""),21)</f>
        <v>21</v>
      </c>
      <c r="CJ716" s="29"/>
      <c r="CM716" s="30" t="str">
        <f ca="1">IFERROR(__xludf.DUMMYFUNCTION("""COMPUTED_VALUE"""),"")</f>
        <v/>
      </c>
      <c r="CN716" s="32" t="e">
        <f ca="1"/>
        <v>#NAME?</v>
      </c>
      <c r="CO716" s="32" t="e">
        <f ca="1"/>
        <v>#NAME?</v>
      </c>
      <c r="CP716" s="32" t="e">
        <f ca="1"/>
        <v>#NAME?</v>
      </c>
      <c r="CQ716" s="32" t="e">
        <f ca="1"/>
        <v>#NAME?</v>
      </c>
      <c r="CR716" s="30" t="e">
        <f ca="1"/>
        <v>#NAME?</v>
      </c>
      <c r="CS716" s="30" t="str">
        <f ca="1">IFERROR(__xludf.DUMMYFUNCTION("""COMPUTED_VALUE"""),"")</f>
        <v/>
      </c>
    </row>
    <row r="717" spans="1:97" ht="13">
      <c r="A717" s="29"/>
      <c r="C717" s="32"/>
      <c r="I717" s="34"/>
      <c r="BP717" s="29"/>
      <c r="CC717" s="30" t="str">
        <f ca="1">IFERROR(__xludf.DUMMYFUNCTION("""COMPUTED_VALUE"""),"26f418a9")</f>
        <v>26f418a9</v>
      </c>
      <c r="CD717" s="29" t="str">
        <f ca="1">IFERROR(__xludf.DUMMYFUNCTION("""COMPUTED_VALUE"""),"Jóvenes (18 a 29 años)")</f>
        <v>Jóvenes (18 a 29 años)</v>
      </c>
      <c r="CE717" s="30" t="str">
        <f ca="1">IFERROR(__xludf.DUMMYFUNCTION("""COMPUTED_VALUE"""),"Mujer")</f>
        <v>Mujer</v>
      </c>
      <c r="CF717" s="30" t="str">
        <f ca="1">IFERROR(__xludf.DUMMYFUNCTION("""COMPUTED_VALUE"""),"Ninguno (Población General)")</f>
        <v>Ninguno (Población General)</v>
      </c>
      <c r="CG717" s="30">
        <f ca="1">IFERROR(__xludf.DUMMYFUNCTION("""COMPUTED_VALUE"""),3)</f>
        <v>3</v>
      </c>
      <c r="CJ717" s="29"/>
      <c r="CM717" s="30" t="str">
        <f ca="1">IFERROR(__xludf.DUMMYFUNCTION("""COMPUTED_VALUE"""),"")</f>
        <v/>
      </c>
      <c r="CN717" s="32" t="e">
        <f ca="1"/>
        <v>#NAME?</v>
      </c>
      <c r="CO717" s="32" t="e">
        <f ca="1"/>
        <v>#NAME?</v>
      </c>
      <c r="CP717" s="32" t="e">
        <f ca="1"/>
        <v>#NAME?</v>
      </c>
      <c r="CQ717" s="32" t="e">
        <f ca="1"/>
        <v>#NAME?</v>
      </c>
      <c r="CR717" s="30" t="e">
        <f ca="1"/>
        <v>#NAME?</v>
      </c>
      <c r="CS717" s="30" t="str">
        <f ca="1">IFERROR(__xludf.DUMMYFUNCTION("""COMPUTED_VALUE"""),"")</f>
        <v/>
      </c>
    </row>
    <row r="718" spans="1:97" ht="13">
      <c r="A718" s="29"/>
      <c r="C718" s="32"/>
      <c r="I718" s="34"/>
      <c r="BP718" s="29"/>
      <c r="CC718" s="30" t="str">
        <f ca="1">IFERROR(__xludf.DUMMYFUNCTION("""COMPUTED_VALUE"""),"e9cbb957")</f>
        <v>e9cbb957</v>
      </c>
      <c r="CD718" s="29" t="str">
        <f ca="1">IFERROR(__xludf.DUMMYFUNCTION("""COMPUTED_VALUE"""),"Jóvenes (18 a 29 años)")</f>
        <v>Jóvenes (18 a 29 años)</v>
      </c>
      <c r="CE718" s="30" t="str">
        <f ca="1">IFERROR(__xludf.DUMMYFUNCTION("""COMPUTED_VALUE"""),"Hombre")</f>
        <v>Hombre</v>
      </c>
      <c r="CF718" s="30" t="str">
        <f ca="1">IFERROR(__xludf.DUMMYFUNCTION("""COMPUTED_VALUE"""),"Ninguno (Población General)")</f>
        <v>Ninguno (Población General)</v>
      </c>
      <c r="CG718" s="30">
        <f ca="1">IFERROR(__xludf.DUMMYFUNCTION("""COMPUTED_VALUE"""),1)</f>
        <v>1</v>
      </c>
      <c r="CJ718" s="29"/>
      <c r="CM718" s="30" t="str">
        <f ca="1">IFERROR(__xludf.DUMMYFUNCTION("""COMPUTED_VALUE"""),"")</f>
        <v/>
      </c>
      <c r="CN718" s="32" t="e">
        <f ca="1"/>
        <v>#NAME?</v>
      </c>
      <c r="CO718" s="32" t="e">
        <f ca="1"/>
        <v>#NAME?</v>
      </c>
      <c r="CP718" s="32" t="e">
        <f ca="1"/>
        <v>#NAME?</v>
      </c>
      <c r="CQ718" s="32" t="e">
        <f ca="1"/>
        <v>#NAME?</v>
      </c>
      <c r="CR718" s="30" t="e">
        <f ca="1"/>
        <v>#NAME?</v>
      </c>
      <c r="CS718" s="30" t="str">
        <f ca="1">IFERROR(__xludf.DUMMYFUNCTION("""COMPUTED_VALUE"""),"")</f>
        <v/>
      </c>
    </row>
    <row r="719" spans="1:97" ht="13">
      <c r="A719" s="29"/>
      <c r="C719" s="32"/>
      <c r="I719" s="34"/>
      <c r="BP719" s="29"/>
      <c r="CC719" s="30" t="str">
        <f ca="1">IFERROR(__xludf.DUMMYFUNCTION("""COMPUTED_VALUE"""),"71f016d1")</f>
        <v>71f016d1</v>
      </c>
      <c r="CD719" s="29" t="str">
        <f ca="1">IFERROR(__xludf.DUMMYFUNCTION("""COMPUTED_VALUE"""),"Adolescentes (13 a 17 años)")</f>
        <v>Adolescentes (13 a 17 años)</v>
      </c>
      <c r="CE719" s="30" t="str">
        <f ca="1">IFERROR(__xludf.DUMMYFUNCTION("""COMPUTED_VALUE"""),"Hombre")</f>
        <v>Hombre</v>
      </c>
      <c r="CF719" s="30" t="str">
        <f ca="1">IFERROR(__xludf.DUMMYFUNCTION("""COMPUTED_VALUE"""),"Ninguno (Población General)")</f>
        <v>Ninguno (Población General)</v>
      </c>
      <c r="CG719" s="30">
        <f ca="1">IFERROR(__xludf.DUMMYFUNCTION("""COMPUTED_VALUE"""),1)</f>
        <v>1</v>
      </c>
      <c r="CJ719" s="29"/>
      <c r="CM719" s="30" t="str">
        <f ca="1">IFERROR(__xludf.DUMMYFUNCTION("""COMPUTED_VALUE"""),"")</f>
        <v/>
      </c>
      <c r="CN719" s="32" t="e">
        <f ca="1"/>
        <v>#NAME?</v>
      </c>
      <c r="CO719" s="32" t="e">
        <f ca="1"/>
        <v>#NAME?</v>
      </c>
      <c r="CP719" s="32" t="e">
        <f ca="1"/>
        <v>#NAME?</v>
      </c>
      <c r="CQ719" s="32" t="e">
        <f ca="1"/>
        <v>#NAME?</v>
      </c>
      <c r="CR719" s="30" t="e">
        <f ca="1"/>
        <v>#NAME?</v>
      </c>
      <c r="CS719" s="30" t="str">
        <f ca="1">IFERROR(__xludf.DUMMYFUNCTION("""COMPUTED_VALUE"""),"")</f>
        <v/>
      </c>
    </row>
    <row r="720" spans="1:97" ht="13">
      <c r="A720" s="29"/>
      <c r="C720" s="32"/>
      <c r="I720" s="34"/>
      <c r="BP720" s="29"/>
      <c r="CC720" s="30" t="str">
        <f ca="1">IFERROR(__xludf.DUMMYFUNCTION("""COMPUTED_VALUE"""),"113cb816")</f>
        <v>113cb816</v>
      </c>
      <c r="CD720" s="29" t="str">
        <f ca="1">IFERROR(__xludf.DUMMYFUNCTION("""COMPUTED_VALUE"""),"Jóvenes (18 a 29 años)")</f>
        <v>Jóvenes (18 a 29 años)</v>
      </c>
      <c r="CE720" s="30" t="str">
        <f ca="1">IFERROR(__xludf.DUMMYFUNCTION("""COMPUTED_VALUE"""),"Mujer")</f>
        <v>Mujer</v>
      </c>
      <c r="CF720" s="30" t="str">
        <f ca="1">IFERROR(__xludf.DUMMYFUNCTION("""COMPUTED_VALUE"""),"Ninguno (Población General)")</f>
        <v>Ninguno (Población General)</v>
      </c>
      <c r="CG720" s="30">
        <f ca="1">IFERROR(__xludf.DUMMYFUNCTION("""COMPUTED_VALUE"""),3)</f>
        <v>3</v>
      </c>
      <c r="CJ720" s="29"/>
      <c r="CM720" s="30" t="str">
        <f ca="1">IFERROR(__xludf.DUMMYFUNCTION("""COMPUTED_VALUE"""),"")</f>
        <v/>
      </c>
      <c r="CN720" s="32" t="e">
        <f ca="1"/>
        <v>#NAME?</v>
      </c>
      <c r="CO720" s="32" t="e">
        <f ca="1"/>
        <v>#NAME?</v>
      </c>
      <c r="CP720" s="32" t="e">
        <f ca="1"/>
        <v>#NAME?</v>
      </c>
      <c r="CQ720" s="32" t="e">
        <f ca="1"/>
        <v>#NAME?</v>
      </c>
      <c r="CR720" s="30" t="e">
        <f ca="1"/>
        <v>#NAME?</v>
      </c>
      <c r="CS720" s="30" t="str">
        <f ca="1">IFERROR(__xludf.DUMMYFUNCTION("""COMPUTED_VALUE"""),"")</f>
        <v/>
      </c>
    </row>
    <row r="721" spans="1:97" ht="13">
      <c r="A721" s="29"/>
      <c r="C721" s="32"/>
      <c r="I721" s="34"/>
      <c r="BP721" s="29"/>
      <c r="CC721" s="30" t="str">
        <f ca="1">IFERROR(__xludf.DUMMYFUNCTION("""COMPUTED_VALUE"""),"8b5c7bc0")</f>
        <v>8b5c7bc0</v>
      </c>
      <c r="CD721" s="29" t="str">
        <f ca="1">IFERROR(__xludf.DUMMYFUNCTION("""COMPUTED_VALUE"""),"Jóvenes (18 a 29 años)")</f>
        <v>Jóvenes (18 a 29 años)</v>
      </c>
      <c r="CE721" s="30" t="str">
        <f ca="1">IFERROR(__xludf.DUMMYFUNCTION("""COMPUTED_VALUE"""),"Mujer")</f>
        <v>Mujer</v>
      </c>
      <c r="CF721" s="30" t="str">
        <f ca="1">IFERROR(__xludf.DUMMYFUNCTION("""COMPUTED_VALUE"""),"Ninguno (Población General)")</f>
        <v>Ninguno (Población General)</v>
      </c>
      <c r="CG721" s="30">
        <f ca="1">IFERROR(__xludf.DUMMYFUNCTION("""COMPUTED_VALUE"""),2)</f>
        <v>2</v>
      </c>
      <c r="CJ721" s="29"/>
      <c r="CM721" s="30" t="str">
        <f ca="1">IFERROR(__xludf.DUMMYFUNCTION("""COMPUTED_VALUE"""),"")</f>
        <v/>
      </c>
      <c r="CN721" s="32" t="e">
        <f ca="1"/>
        <v>#NAME?</v>
      </c>
      <c r="CO721" s="32" t="e">
        <f ca="1"/>
        <v>#NAME?</v>
      </c>
      <c r="CP721" s="32" t="e">
        <f ca="1"/>
        <v>#NAME?</v>
      </c>
      <c r="CQ721" s="32" t="e">
        <f ca="1"/>
        <v>#NAME?</v>
      </c>
      <c r="CR721" s="30" t="e">
        <f ca="1"/>
        <v>#NAME?</v>
      </c>
      <c r="CS721" s="30" t="str">
        <f ca="1">IFERROR(__xludf.DUMMYFUNCTION("""COMPUTED_VALUE"""),"")</f>
        <v/>
      </c>
    </row>
    <row r="722" spans="1:97" ht="13">
      <c r="A722" s="29"/>
      <c r="C722" s="32"/>
      <c r="I722" s="34"/>
      <c r="BP722" s="29"/>
      <c r="CC722" s="30" t="str">
        <f ca="1">IFERROR(__xludf.DUMMYFUNCTION("""COMPUTED_VALUE"""),"9a543549")</f>
        <v>9a543549</v>
      </c>
      <c r="CD722" s="29" t="str">
        <f ca="1">IFERROR(__xludf.DUMMYFUNCTION("""COMPUTED_VALUE"""),"Jóvenes (18 a 29 años)")</f>
        <v>Jóvenes (18 a 29 años)</v>
      </c>
      <c r="CE722" s="30" t="str">
        <f ca="1">IFERROR(__xludf.DUMMYFUNCTION("""COMPUTED_VALUE"""),"Mujer")</f>
        <v>Mujer</v>
      </c>
      <c r="CF722" s="30" t="str">
        <f ca="1">IFERROR(__xludf.DUMMYFUNCTION("""COMPUTED_VALUE"""),"Ninguno (Población General)")</f>
        <v>Ninguno (Población General)</v>
      </c>
      <c r="CG722" s="30">
        <f ca="1">IFERROR(__xludf.DUMMYFUNCTION("""COMPUTED_VALUE"""),9)</f>
        <v>9</v>
      </c>
      <c r="CJ722" s="29"/>
      <c r="CM722" s="30" t="str">
        <f ca="1">IFERROR(__xludf.DUMMYFUNCTION("""COMPUTED_VALUE"""),"")</f>
        <v/>
      </c>
      <c r="CN722" s="32" t="e">
        <f ca="1"/>
        <v>#NAME?</v>
      </c>
      <c r="CO722" s="32" t="e">
        <f ca="1"/>
        <v>#NAME?</v>
      </c>
      <c r="CP722" s="32" t="e">
        <f ca="1"/>
        <v>#NAME?</v>
      </c>
      <c r="CQ722" s="32" t="e">
        <f ca="1"/>
        <v>#NAME?</v>
      </c>
      <c r="CR722" s="30" t="e">
        <f ca="1"/>
        <v>#NAME?</v>
      </c>
      <c r="CS722" s="30" t="str">
        <f ca="1">IFERROR(__xludf.DUMMYFUNCTION("""COMPUTED_VALUE"""),"")</f>
        <v/>
      </c>
    </row>
    <row r="723" spans="1:97" ht="13">
      <c r="A723" s="29"/>
      <c r="C723" s="32"/>
      <c r="I723" s="34"/>
      <c r="BP723" s="29"/>
      <c r="CC723" s="30" t="str">
        <f ca="1">IFERROR(__xludf.DUMMYFUNCTION("""COMPUTED_VALUE"""),"ab0612d6")</f>
        <v>ab0612d6</v>
      </c>
      <c r="CD723" s="29" t="str">
        <f ca="1">IFERROR(__xludf.DUMMYFUNCTION("""COMPUTED_VALUE"""),"Jóvenes (18 a 29 años)")</f>
        <v>Jóvenes (18 a 29 años)</v>
      </c>
      <c r="CE723" s="30" t="str">
        <f ca="1">IFERROR(__xludf.DUMMYFUNCTION("""COMPUTED_VALUE"""),"Mujer")</f>
        <v>Mujer</v>
      </c>
      <c r="CF723" s="30" t="str">
        <f ca="1">IFERROR(__xludf.DUMMYFUNCTION("""COMPUTED_VALUE"""),"Ninguno (Población General)")</f>
        <v>Ninguno (Población General)</v>
      </c>
      <c r="CG723" s="30">
        <f ca="1">IFERROR(__xludf.DUMMYFUNCTION("""COMPUTED_VALUE"""),4)</f>
        <v>4</v>
      </c>
      <c r="CJ723" s="29"/>
      <c r="CM723" s="30" t="str">
        <f ca="1">IFERROR(__xludf.DUMMYFUNCTION("""COMPUTED_VALUE"""),"")</f>
        <v/>
      </c>
      <c r="CN723" s="32" t="e">
        <f ca="1"/>
        <v>#NAME?</v>
      </c>
      <c r="CO723" s="32" t="e">
        <f ca="1"/>
        <v>#NAME?</v>
      </c>
      <c r="CP723" s="32" t="e">
        <f ca="1"/>
        <v>#NAME?</v>
      </c>
      <c r="CQ723" s="32" t="e">
        <f ca="1"/>
        <v>#NAME?</v>
      </c>
      <c r="CR723" s="30" t="e">
        <f ca="1"/>
        <v>#NAME?</v>
      </c>
      <c r="CS723" s="30" t="str">
        <f ca="1">IFERROR(__xludf.DUMMYFUNCTION("""COMPUTED_VALUE"""),"")</f>
        <v/>
      </c>
    </row>
    <row r="724" spans="1:97" ht="13">
      <c r="A724" s="29"/>
      <c r="C724" s="32"/>
      <c r="I724" s="34"/>
      <c r="BP724" s="29"/>
      <c r="CC724" s="30" t="str">
        <f ca="1">IFERROR(__xludf.DUMMYFUNCTION("""COMPUTED_VALUE"""),"c964e73b")</f>
        <v>c964e73b</v>
      </c>
      <c r="CD724" s="29" t="str">
        <f ca="1">IFERROR(__xludf.DUMMYFUNCTION("""COMPUTED_VALUE"""),"Jóvenes (18 a 29 años)")</f>
        <v>Jóvenes (18 a 29 años)</v>
      </c>
      <c r="CE724" s="30" t="str">
        <f ca="1">IFERROR(__xludf.DUMMYFUNCTION("""COMPUTED_VALUE"""),"Mujer")</f>
        <v>Mujer</v>
      </c>
      <c r="CF724" s="30" t="str">
        <f ca="1">IFERROR(__xludf.DUMMYFUNCTION("""COMPUTED_VALUE"""),"Ninguno (Población General)")</f>
        <v>Ninguno (Población General)</v>
      </c>
      <c r="CG724" s="30">
        <f ca="1">IFERROR(__xludf.DUMMYFUNCTION("""COMPUTED_VALUE"""),9)</f>
        <v>9</v>
      </c>
      <c r="CJ724" s="29"/>
      <c r="CM724" s="30" t="str">
        <f ca="1">IFERROR(__xludf.DUMMYFUNCTION("""COMPUTED_VALUE"""),"")</f>
        <v/>
      </c>
      <c r="CN724" s="32" t="e">
        <f ca="1"/>
        <v>#NAME?</v>
      </c>
      <c r="CO724" s="32" t="e">
        <f ca="1"/>
        <v>#NAME?</v>
      </c>
      <c r="CP724" s="32" t="e">
        <f ca="1"/>
        <v>#NAME?</v>
      </c>
      <c r="CQ724" s="32" t="e">
        <f ca="1"/>
        <v>#NAME?</v>
      </c>
      <c r="CR724" s="30" t="e">
        <f ca="1"/>
        <v>#NAME?</v>
      </c>
      <c r="CS724" s="30" t="str">
        <f ca="1">IFERROR(__xludf.DUMMYFUNCTION("""COMPUTED_VALUE"""),"")</f>
        <v/>
      </c>
    </row>
    <row r="725" spans="1:97" ht="13">
      <c r="A725" s="29"/>
      <c r="C725" s="32"/>
      <c r="I725" s="34"/>
      <c r="BP725" s="29"/>
      <c r="CC725" s="30" t="str">
        <f ca="1">IFERROR(__xludf.DUMMYFUNCTION("""COMPUTED_VALUE"""),"7e225e96")</f>
        <v>7e225e96</v>
      </c>
      <c r="CD725" s="29" t="str">
        <f ca="1">IFERROR(__xludf.DUMMYFUNCTION("""COMPUTED_VALUE"""),"Jóvenes (18 a 29 años)")</f>
        <v>Jóvenes (18 a 29 años)</v>
      </c>
      <c r="CE725" s="30" t="str">
        <f ca="1">IFERROR(__xludf.DUMMYFUNCTION("""COMPUTED_VALUE"""),"Mujer")</f>
        <v>Mujer</v>
      </c>
      <c r="CF725" s="30" t="str">
        <f ca="1">IFERROR(__xludf.DUMMYFUNCTION("""COMPUTED_VALUE"""),"Ninguno (Población General)")</f>
        <v>Ninguno (Población General)</v>
      </c>
      <c r="CG725" s="30">
        <f ca="1">IFERROR(__xludf.DUMMYFUNCTION("""COMPUTED_VALUE"""),4)</f>
        <v>4</v>
      </c>
      <c r="CJ725" s="29"/>
      <c r="CM725" s="30" t="str">
        <f ca="1">IFERROR(__xludf.DUMMYFUNCTION("""COMPUTED_VALUE"""),"")</f>
        <v/>
      </c>
      <c r="CN725" s="32" t="e">
        <f ca="1"/>
        <v>#NAME?</v>
      </c>
      <c r="CO725" s="32" t="e">
        <f ca="1"/>
        <v>#NAME?</v>
      </c>
      <c r="CP725" s="32" t="e">
        <f ca="1"/>
        <v>#NAME?</v>
      </c>
      <c r="CQ725" s="32" t="e">
        <f ca="1"/>
        <v>#NAME?</v>
      </c>
      <c r="CR725" s="30" t="e">
        <f ca="1"/>
        <v>#NAME?</v>
      </c>
      <c r="CS725" s="30" t="str">
        <f ca="1">IFERROR(__xludf.DUMMYFUNCTION("""COMPUTED_VALUE"""),"")</f>
        <v/>
      </c>
    </row>
    <row r="726" spans="1:97" ht="13">
      <c r="A726" s="29"/>
      <c r="C726" s="32"/>
      <c r="I726" s="34"/>
      <c r="BP726" s="29"/>
      <c r="CC726" s="30" t="str">
        <f ca="1">IFERROR(__xludf.DUMMYFUNCTION("""COMPUTED_VALUE"""),"d8f5ea43")</f>
        <v>d8f5ea43</v>
      </c>
      <c r="CD726" s="29" t="str">
        <f ca="1">IFERROR(__xludf.DUMMYFUNCTION("""COMPUTED_VALUE"""),"Jóvenes (18 a 29 años)")</f>
        <v>Jóvenes (18 a 29 años)</v>
      </c>
      <c r="CE726" s="30" t="str">
        <f ca="1">IFERROR(__xludf.DUMMYFUNCTION("""COMPUTED_VALUE"""),"Mujer")</f>
        <v>Mujer</v>
      </c>
      <c r="CF726" s="30" t="str">
        <f ca="1">IFERROR(__xludf.DUMMYFUNCTION("""COMPUTED_VALUE"""),"Ninguno (Población General)")</f>
        <v>Ninguno (Población General)</v>
      </c>
      <c r="CG726" s="30">
        <f ca="1">IFERROR(__xludf.DUMMYFUNCTION("""COMPUTED_VALUE"""),4)</f>
        <v>4</v>
      </c>
      <c r="CJ726" s="29"/>
      <c r="CM726" s="30" t="str">
        <f ca="1">IFERROR(__xludf.DUMMYFUNCTION("""COMPUTED_VALUE"""),"")</f>
        <v/>
      </c>
      <c r="CN726" s="32" t="e">
        <f ca="1"/>
        <v>#NAME?</v>
      </c>
      <c r="CO726" s="32" t="e">
        <f ca="1"/>
        <v>#NAME?</v>
      </c>
      <c r="CP726" s="32" t="e">
        <f ca="1"/>
        <v>#NAME?</v>
      </c>
      <c r="CQ726" s="32" t="e">
        <f ca="1"/>
        <v>#NAME?</v>
      </c>
      <c r="CR726" s="30" t="e">
        <f ca="1"/>
        <v>#NAME?</v>
      </c>
      <c r="CS726" s="30" t="str">
        <f ca="1">IFERROR(__xludf.DUMMYFUNCTION("""COMPUTED_VALUE"""),"")</f>
        <v/>
      </c>
    </row>
    <row r="727" spans="1:97" ht="13">
      <c r="A727" s="29"/>
      <c r="C727" s="32"/>
      <c r="I727" s="34"/>
      <c r="BP727" s="29"/>
      <c r="CC727" s="30" t="str">
        <f ca="1">IFERROR(__xludf.DUMMYFUNCTION("""COMPUTED_VALUE"""),"d6c1247f")</f>
        <v>d6c1247f</v>
      </c>
      <c r="CD727" s="29" t="str">
        <f ca="1">IFERROR(__xludf.DUMMYFUNCTION("""COMPUTED_VALUE"""),"Niñas y Niños (6 a 12 años)")</f>
        <v>Niñas y Niños (6 a 12 años)</v>
      </c>
      <c r="CE727" s="30" t="str">
        <f ca="1">IFERROR(__xludf.DUMMYFUNCTION("""COMPUTED_VALUE"""),"Mujer")</f>
        <v>Mujer</v>
      </c>
      <c r="CF727" s="30" t="str">
        <f ca="1">IFERROR(__xludf.DUMMYFUNCTION("""COMPUTED_VALUE"""),"Ninguno (Población General)")</f>
        <v>Ninguno (Población General)</v>
      </c>
      <c r="CG727" s="30">
        <f ca="1">IFERROR(__xludf.DUMMYFUNCTION("""COMPUTED_VALUE"""),3)</f>
        <v>3</v>
      </c>
      <c r="CJ727" s="29"/>
      <c r="CM727" s="30" t="str">
        <f ca="1">IFERROR(__xludf.DUMMYFUNCTION("""COMPUTED_VALUE"""),"")</f>
        <v/>
      </c>
      <c r="CN727" s="32" t="e">
        <f ca="1"/>
        <v>#NAME?</v>
      </c>
      <c r="CO727" s="32" t="e">
        <f ca="1"/>
        <v>#NAME?</v>
      </c>
      <c r="CP727" s="32" t="e">
        <f ca="1"/>
        <v>#NAME?</v>
      </c>
      <c r="CQ727" s="32" t="e">
        <f ca="1"/>
        <v>#NAME?</v>
      </c>
      <c r="CR727" s="30" t="e">
        <f ca="1"/>
        <v>#NAME?</v>
      </c>
      <c r="CS727" s="30" t="str">
        <f ca="1">IFERROR(__xludf.DUMMYFUNCTION("""COMPUTED_VALUE"""),"")</f>
        <v/>
      </c>
    </row>
    <row r="728" spans="1:97" ht="13">
      <c r="A728" s="29"/>
      <c r="C728" s="32"/>
      <c r="I728" s="34"/>
      <c r="BP728" s="29"/>
      <c r="CC728" s="30" t="str">
        <f ca="1">IFERROR(__xludf.DUMMYFUNCTION("""COMPUTED_VALUE"""),"47c42cdd")</f>
        <v>47c42cdd</v>
      </c>
      <c r="CD728" s="29" t="str">
        <f ca="1">IFERROR(__xludf.DUMMYFUNCTION("""COMPUTED_VALUE"""),"Jóvenes (18 a 29 años)")</f>
        <v>Jóvenes (18 a 29 años)</v>
      </c>
      <c r="CE728" s="30" t="str">
        <f ca="1">IFERROR(__xludf.DUMMYFUNCTION("""COMPUTED_VALUE"""),"Mujer")</f>
        <v>Mujer</v>
      </c>
      <c r="CF728" s="30" t="str">
        <f ca="1">IFERROR(__xludf.DUMMYFUNCTION("""COMPUTED_VALUE"""),"Ninguno (Población General)")</f>
        <v>Ninguno (Población General)</v>
      </c>
      <c r="CG728" s="30">
        <f ca="1">IFERROR(__xludf.DUMMYFUNCTION("""COMPUTED_VALUE"""),4)</f>
        <v>4</v>
      </c>
      <c r="CJ728" s="29"/>
      <c r="CM728" s="30" t="str">
        <f ca="1">IFERROR(__xludf.DUMMYFUNCTION("""COMPUTED_VALUE"""),"")</f>
        <v/>
      </c>
      <c r="CN728" s="32" t="e">
        <f ca="1"/>
        <v>#NAME?</v>
      </c>
      <c r="CO728" s="32" t="e">
        <f ca="1"/>
        <v>#NAME?</v>
      </c>
      <c r="CP728" s="32" t="e">
        <f ca="1"/>
        <v>#NAME?</v>
      </c>
      <c r="CQ728" s="32" t="e">
        <f ca="1"/>
        <v>#NAME?</v>
      </c>
      <c r="CR728" s="30" t="e">
        <f ca="1"/>
        <v>#NAME?</v>
      </c>
      <c r="CS728" s="30" t="str">
        <f ca="1">IFERROR(__xludf.DUMMYFUNCTION("""COMPUTED_VALUE"""),"")</f>
        <v/>
      </c>
    </row>
    <row r="729" spans="1:97" ht="13">
      <c r="A729" s="29"/>
      <c r="C729" s="32"/>
      <c r="I729" s="34"/>
      <c r="BP729" s="29"/>
      <c r="CC729" s="30" t="str">
        <f ca="1">IFERROR(__xludf.DUMMYFUNCTION("""COMPUTED_VALUE"""),"a5477bfb")</f>
        <v>a5477bfb</v>
      </c>
      <c r="CD729" s="29" t="str">
        <f ca="1">IFERROR(__xludf.DUMMYFUNCTION("""COMPUTED_VALUE"""),"Jóvenes (18 a 29 años)")</f>
        <v>Jóvenes (18 a 29 años)</v>
      </c>
      <c r="CE729" s="30" t="str">
        <f ca="1">IFERROR(__xludf.DUMMYFUNCTION("""COMPUTED_VALUE"""),"Mujer")</f>
        <v>Mujer</v>
      </c>
      <c r="CF729" s="30" t="str">
        <f ca="1">IFERROR(__xludf.DUMMYFUNCTION("""COMPUTED_VALUE"""),"Ninguno (Población General)")</f>
        <v>Ninguno (Población General)</v>
      </c>
      <c r="CG729" s="30">
        <f ca="1">IFERROR(__xludf.DUMMYFUNCTION("""COMPUTED_VALUE"""),9)</f>
        <v>9</v>
      </c>
      <c r="CJ729" s="29"/>
      <c r="CM729" s="30" t="str">
        <f ca="1">IFERROR(__xludf.DUMMYFUNCTION("""COMPUTED_VALUE"""),"")</f>
        <v/>
      </c>
      <c r="CN729" s="32" t="e">
        <f ca="1"/>
        <v>#NAME?</v>
      </c>
      <c r="CO729" s="32" t="e">
        <f ca="1"/>
        <v>#NAME?</v>
      </c>
      <c r="CP729" s="32" t="e">
        <f ca="1"/>
        <v>#NAME?</v>
      </c>
      <c r="CQ729" s="32" t="e">
        <f ca="1"/>
        <v>#NAME?</v>
      </c>
      <c r="CR729" s="30" t="e">
        <f ca="1"/>
        <v>#NAME?</v>
      </c>
      <c r="CS729" s="30" t="str">
        <f ca="1">IFERROR(__xludf.DUMMYFUNCTION("""COMPUTED_VALUE"""),"")</f>
        <v/>
      </c>
    </row>
    <row r="730" spans="1:97" ht="13">
      <c r="A730" s="29"/>
      <c r="C730" s="32"/>
      <c r="I730" s="34"/>
      <c r="BP730" s="29"/>
      <c r="CC730" s="30" t="str">
        <f ca="1">IFERROR(__xludf.DUMMYFUNCTION("""COMPUTED_VALUE"""),"bdc3f88b")</f>
        <v>bdc3f88b</v>
      </c>
      <c r="CD730" s="29" t="str">
        <f ca="1">IFERROR(__xludf.DUMMYFUNCTION("""COMPUTED_VALUE"""),"Niñas y Niños (6 a 12 años)")</f>
        <v>Niñas y Niños (6 a 12 años)</v>
      </c>
      <c r="CE730" s="30" t="str">
        <f ca="1">IFERROR(__xludf.DUMMYFUNCTION("""COMPUTED_VALUE"""),"Mujer")</f>
        <v>Mujer</v>
      </c>
      <c r="CF730" s="30" t="str">
        <f ca="1">IFERROR(__xludf.DUMMYFUNCTION("""COMPUTED_VALUE"""),"NNA (Niñas, Niños y Adolescentes)")</f>
        <v>NNA (Niñas, Niños y Adolescentes)</v>
      </c>
      <c r="CG730" s="30">
        <f ca="1">IFERROR(__xludf.DUMMYFUNCTION("""COMPUTED_VALUE"""),100)</f>
        <v>100</v>
      </c>
      <c r="CJ730" s="29"/>
      <c r="CM730" s="30" t="str">
        <f ca="1">IFERROR(__xludf.DUMMYFUNCTION("""COMPUTED_VALUE"""),"")</f>
        <v/>
      </c>
      <c r="CN730" s="32" t="e">
        <f ca="1"/>
        <v>#NAME?</v>
      </c>
      <c r="CO730" s="32" t="e">
        <f ca="1"/>
        <v>#NAME?</v>
      </c>
      <c r="CP730" s="32" t="e">
        <f ca="1"/>
        <v>#NAME?</v>
      </c>
      <c r="CQ730" s="32" t="e">
        <f ca="1"/>
        <v>#NAME?</v>
      </c>
      <c r="CR730" s="30" t="e">
        <f ca="1"/>
        <v>#NAME?</v>
      </c>
      <c r="CS730" s="30" t="str">
        <f ca="1">IFERROR(__xludf.DUMMYFUNCTION("""COMPUTED_VALUE"""),"")</f>
        <v/>
      </c>
    </row>
    <row r="731" spans="1:97" ht="13">
      <c r="A731" s="29"/>
      <c r="C731" s="32"/>
      <c r="I731" s="34"/>
      <c r="BP731" s="29"/>
      <c r="CC731" s="30" t="str">
        <f ca="1">IFERROR(__xludf.DUMMYFUNCTION("""COMPUTED_VALUE"""),"f595b844")</f>
        <v>f595b844</v>
      </c>
      <c r="CD731" s="29" t="str">
        <f ca="1">IFERROR(__xludf.DUMMYFUNCTION("""COMPUTED_VALUE"""),"Niñas y Niños (6 a 12 años)")</f>
        <v>Niñas y Niños (6 a 12 años)</v>
      </c>
      <c r="CE731" s="30" t="str">
        <f ca="1">IFERROR(__xludf.DUMMYFUNCTION("""COMPUTED_VALUE"""),"Mujer")</f>
        <v>Mujer</v>
      </c>
      <c r="CF731" s="30" t="str">
        <f ca="1">IFERROR(__xludf.DUMMYFUNCTION("""COMPUTED_VALUE"""),"Ninguno (Población General)")</f>
        <v>Ninguno (Población General)</v>
      </c>
      <c r="CG731" s="30">
        <f ca="1">IFERROR(__xludf.DUMMYFUNCTION("""COMPUTED_VALUE"""),16)</f>
        <v>16</v>
      </c>
      <c r="CJ731" s="29"/>
      <c r="CM731" s="30" t="str">
        <f ca="1">IFERROR(__xludf.DUMMYFUNCTION("""COMPUTED_VALUE"""),"")</f>
        <v/>
      </c>
      <c r="CN731" s="32" t="e">
        <f ca="1"/>
        <v>#NAME?</v>
      </c>
      <c r="CO731" s="32" t="e">
        <f ca="1"/>
        <v>#NAME?</v>
      </c>
      <c r="CP731" s="32" t="e">
        <f ca="1"/>
        <v>#NAME?</v>
      </c>
      <c r="CQ731" s="32" t="e">
        <f ca="1"/>
        <v>#NAME?</v>
      </c>
      <c r="CR731" s="30" t="e">
        <f ca="1"/>
        <v>#NAME?</v>
      </c>
      <c r="CS731" s="30" t="str">
        <f ca="1">IFERROR(__xludf.DUMMYFUNCTION("""COMPUTED_VALUE"""),"")</f>
        <v/>
      </c>
    </row>
    <row r="732" spans="1:97" ht="13">
      <c r="A732" s="29"/>
      <c r="C732" s="32"/>
      <c r="I732" s="34"/>
      <c r="BP732" s="29"/>
      <c r="CC732" s="30" t="str">
        <f ca="1">IFERROR(__xludf.DUMMYFUNCTION("""COMPUTED_VALUE"""),"e4f38520")</f>
        <v>e4f38520</v>
      </c>
      <c r="CD732" s="29" t="str">
        <f ca="1">IFERROR(__xludf.DUMMYFUNCTION("""COMPUTED_VALUE"""),"Población General")</f>
        <v>Población General</v>
      </c>
      <c r="CE732" s="30" t="str">
        <f ca="1">IFERROR(__xludf.DUMMYFUNCTION("""COMPUTED_VALUE"""),"No se cuenta con el dato")</f>
        <v>No se cuenta con el dato</v>
      </c>
      <c r="CF732" s="30" t="str">
        <f ca="1">IFERROR(__xludf.DUMMYFUNCTION("""COMPUTED_VALUE"""),"Ninguno (Población General)")</f>
        <v>Ninguno (Población General)</v>
      </c>
      <c r="CG732" s="30">
        <f ca="1">IFERROR(__xludf.DUMMYFUNCTION("""COMPUTED_VALUE"""),225)</f>
        <v>225</v>
      </c>
      <c r="CJ732" s="29"/>
      <c r="CM732" s="30" t="str">
        <f ca="1">IFERROR(__xludf.DUMMYFUNCTION("""COMPUTED_VALUE"""),"")</f>
        <v/>
      </c>
      <c r="CN732" s="32" t="e">
        <f ca="1"/>
        <v>#NAME?</v>
      </c>
      <c r="CO732" s="32" t="e">
        <f ca="1"/>
        <v>#NAME?</v>
      </c>
      <c r="CP732" s="32" t="e">
        <f ca="1"/>
        <v>#NAME?</v>
      </c>
      <c r="CQ732" s="32" t="e">
        <f ca="1"/>
        <v>#NAME?</v>
      </c>
      <c r="CR732" s="30" t="e">
        <f ca="1"/>
        <v>#NAME?</v>
      </c>
      <c r="CS732" s="30" t="str">
        <f ca="1">IFERROR(__xludf.DUMMYFUNCTION("""COMPUTED_VALUE"""),"")</f>
        <v/>
      </c>
    </row>
    <row r="733" spans="1:97" ht="13">
      <c r="A733" s="29"/>
      <c r="C733" s="32"/>
      <c r="I733" s="34"/>
      <c r="BP733" s="29"/>
      <c r="CC733" s="30" t="str">
        <f ca="1">IFERROR(__xludf.DUMMYFUNCTION("""COMPUTED_VALUE"""),"4be655e8")</f>
        <v>4be655e8</v>
      </c>
      <c r="CD733" s="29" t="str">
        <f ca="1">IFERROR(__xludf.DUMMYFUNCTION("""COMPUTED_VALUE"""),"Niñas y Niños (6 a 12 años)")</f>
        <v>Niñas y Niños (6 a 12 años)</v>
      </c>
      <c r="CE733" s="30" t="str">
        <f ca="1">IFERROR(__xludf.DUMMYFUNCTION("""COMPUTED_VALUE"""),"Mujer")</f>
        <v>Mujer</v>
      </c>
      <c r="CF733" s="30" t="str">
        <f ca="1">IFERROR(__xludf.DUMMYFUNCTION("""COMPUTED_VALUE"""),"NNA (Niñas, Niños y Adolescentes)")</f>
        <v>NNA (Niñas, Niños y Adolescentes)</v>
      </c>
      <c r="CG733" s="30">
        <f ca="1">IFERROR(__xludf.DUMMYFUNCTION("""COMPUTED_VALUE"""),13)</f>
        <v>13</v>
      </c>
      <c r="CJ733" s="29"/>
      <c r="CM733" s="30" t="str">
        <f ca="1">IFERROR(__xludf.DUMMYFUNCTION("""COMPUTED_VALUE"""),"")</f>
        <v/>
      </c>
      <c r="CN733" s="32" t="e">
        <f ca="1"/>
        <v>#NAME?</v>
      </c>
      <c r="CO733" s="32" t="e">
        <f ca="1"/>
        <v>#NAME?</v>
      </c>
      <c r="CP733" s="32" t="e">
        <f ca="1"/>
        <v>#NAME?</v>
      </c>
      <c r="CQ733" s="32" t="e">
        <f ca="1"/>
        <v>#NAME?</v>
      </c>
      <c r="CR733" s="30" t="e">
        <f ca="1"/>
        <v>#NAME?</v>
      </c>
      <c r="CS733" s="30" t="str">
        <f ca="1">IFERROR(__xludf.DUMMYFUNCTION("""COMPUTED_VALUE"""),"")</f>
        <v/>
      </c>
    </row>
    <row r="734" spans="1:97" ht="13">
      <c r="A734" s="29"/>
      <c r="C734" s="32"/>
      <c r="I734" s="34"/>
      <c r="BP734" s="29"/>
      <c r="CC734" s="30" t="str">
        <f ca="1">IFERROR(__xludf.DUMMYFUNCTION("""COMPUTED_VALUE"""),"c8e4067c")</f>
        <v>c8e4067c</v>
      </c>
      <c r="CD734" s="29" t="str">
        <f ca="1">IFERROR(__xludf.DUMMYFUNCTION("""COMPUTED_VALUE"""),"Jóvenes (18 a 29 años)")</f>
        <v>Jóvenes (18 a 29 años)</v>
      </c>
      <c r="CE734" s="30" t="str">
        <f ca="1">IFERROR(__xludf.DUMMYFUNCTION("""COMPUTED_VALUE"""),"Mujer")</f>
        <v>Mujer</v>
      </c>
      <c r="CF734" s="30" t="str">
        <f ca="1">IFERROR(__xludf.DUMMYFUNCTION("""COMPUTED_VALUE"""),"Ninguno (Población General)")</f>
        <v>Ninguno (Población General)</v>
      </c>
      <c r="CG734" s="30">
        <f ca="1">IFERROR(__xludf.DUMMYFUNCTION("""COMPUTED_VALUE"""),5)</f>
        <v>5</v>
      </c>
      <c r="CJ734" s="29"/>
      <c r="CM734" s="30" t="str">
        <f ca="1">IFERROR(__xludf.DUMMYFUNCTION("""COMPUTED_VALUE"""),"")</f>
        <v/>
      </c>
      <c r="CN734" s="32" t="e">
        <f ca="1"/>
        <v>#NAME?</v>
      </c>
      <c r="CO734" s="32" t="e">
        <f ca="1"/>
        <v>#NAME?</v>
      </c>
      <c r="CP734" s="32" t="e">
        <f ca="1"/>
        <v>#NAME?</v>
      </c>
      <c r="CQ734" s="32" t="e">
        <f ca="1"/>
        <v>#NAME?</v>
      </c>
      <c r="CR734" s="30" t="e">
        <f ca="1"/>
        <v>#NAME?</v>
      </c>
      <c r="CS734" s="30" t="str">
        <f ca="1">IFERROR(__xludf.DUMMYFUNCTION("""COMPUTED_VALUE"""),"")</f>
        <v/>
      </c>
    </row>
    <row r="735" spans="1:97" ht="13">
      <c r="A735" s="29"/>
      <c r="C735" s="32"/>
      <c r="I735" s="34"/>
      <c r="BP735" s="29"/>
      <c r="CC735" s="30" t="str">
        <f ca="1">IFERROR(__xludf.DUMMYFUNCTION("""COMPUTED_VALUE"""),"22a6308e")</f>
        <v>22a6308e</v>
      </c>
      <c r="CD735" s="29" t="str">
        <f ca="1">IFERROR(__xludf.DUMMYFUNCTION("""COMPUTED_VALUE"""),"Niñas y Niños (6 a 12 años)")</f>
        <v>Niñas y Niños (6 a 12 años)</v>
      </c>
      <c r="CE735" s="30" t="str">
        <f ca="1">IFERROR(__xludf.DUMMYFUNCTION("""COMPUTED_VALUE"""),"No se cuenta con el dato")</f>
        <v>No se cuenta con el dato</v>
      </c>
      <c r="CF735" s="30" t="str">
        <f ca="1">IFERROR(__xludf.DUMMYFUNCTION("""COMPUTED_VALUE"""),"Ninguno (Población General)")</f>
        <v>Ninguno (Población General)</v>
      </c>
      <c r="CG735" s="30">
        <f ca="1">IFERROR(__xludf.DUMMYFUNCTION("""COMPUTED_VALUE"""),1)</f>
        <v>1</v>
      </c>
      <c r="CJ735" s="29"/>
      <c r="CM735" s="30" t="str">
        <f ca="1">IFERROR(__xludf.DUMMYFUNCTION("""COMPUTED_VALUE"""),"")</f>
        <v/>
      </c>
      <c r="CN735" s="32" t="e">
        <f ca="1"/>
        <v>#NAME?</v>
      </c>
      <c r="CO735" s="32" t="e">
        <f ca="1"/>
        <v>#NAME?</v>
      </c>
      <c r="CP735" s="32" t="e">
        <f ca="1"/>
        <v>#NAME?</v>
      </c>
      <c r="CQ735" s="32" t="e">
        <f ca="1"/>
        <v>#NAME?</v>
      </c>
      <c r="CR735" s="30" t="e">
        <f ca="1"/>
        <v>#NAME?</v>
      </c>
      <c r="CS735" s="30" t="str">
        <f ca="1">IFERROR(__xludf.DUMMYFUNCTION("""COMPUTED_VALUE"""),"")</f>
        <v/>
      </c>
    </row>
    <row r="736" spans="1:97" ht="13">
      <c r="A736" s="29"/>
      <c r="C736" s="32"/>
      <c r="I736" s="34"/>
      <c r="BP736" s="29"/>
      <c r="CC736" s="30" t="str">
        <f ca="1">IFERROR(__xludf.DUMMYFUNCTION("""COMPUTED_VALUE"""),"6f36a643")</f>
        <v>6f36a643</v>
      </c>
      <c r="CD736" s="29" t="str">
        <f ca="1">IFERROR(__xludf.DUMMYFUNCTION("""COMPUTED_VALUE"""),"Jóvenes (18 a 29 años)")</f>
        <v>Jóvenes (18 a 29 años)</v>
      </c>
      <c r="CE736" s="30" t="str">
        <f ca="1">IFERROR(__xludf.DUMMYFUNCTION("""COMPUTED_VALUE"""),"No se cuenta con el dato")</f>
        <v>No se cuenta con el dato</v>
      </c>
      <c r="CF736" s="30" t="str">
        <f ca="1">IFERROR(__xludf.DUMMYFUNCTION("""COMPUTED_VALUE"""),"Ninguno (Población General)")</f>
        <v>Ninguno (Población General)</v>
      </c>
      <c r="CG736" s="30">
        <f ca="1">IFERROR(__xludf.DUMMYFUNCTION("""COMPUTED_VALUE"""),3)</f>
        <v>3</v>
      </c>
      <c r="CJ736" s="29"/>
      <c r="CM736" s="30" t="str">
        <f ca="1">IFERROR(__xludf.DUMMYFUNCTION("""COMPUTED_VALUE"""),"")</f>
        <v/>
      </c>
      <c r="CN736" s="32" t="e">
        <f ca="1"/>
        <v>#NAME?</v>
      </c>
      <c r="CO736" s="32" t="e">
        <f ca="1"/>
        <v>#NAME?</v>
      </c>
      <c r="CP736" s="32" t="e">
        <f ca="1"/>
        <v>#NAME?</v>
      </c>
      <c r="CQ736" s="32" t="e">
        <f ca="1"/>
        <v>#NAME?</v>
      </c>
      <c r="CR736" s="30" t="e">
        <f ca="1"/>
        <v>#NAME?</v>
      </c>
      <c r="CS736" s="30" t="str">
        <f ca="1">IFERROR(__xludf.DUMMYFUNCTION("""COMPUTED_VALUE"""),"")</f>
        <v/>
      </c>
    </row>
    <row r="737" spans="1:97" ht="13">
      <c r="A737" s="29"/>
      <c r="C737" s="32"/>
      <c r="I737" s="34"/>
      <c r="BP737" s="29"/>
      <c r="CC737" s="30" t="str">
        <f ca="1">IFERROR(__xludf.DUMMYFUNCTION("""COMPUTED_VALUE"""),"dbc9c58e")</f>
        <v>dbc9c58e</v>
      </c>
      <c r="CD737" s="29" t="str">
        <f ca="1">IFERROR(__xludf.DUMMYFUNCTION("""COMPUTED_VALUE"""),"Adultos (30 a 59 años)")</f>
        <v>Adultos (30 a 59 años)</v>
      </c>
      <c r="CE737" s="30" t="str">
        <f ca="1">IFERROR(__xludf.DUMMYFUNCTION("""COMPUTED_VALUE"""),"No se cuenta con el dato")</f>
        <v>No se cuenta con el dato</v>
      </c>
      <c r="CF737" s="30" t="str">
        <f ca="1">IFERROR(__xludf.DUMMYFUNCTION("""COMPUTED_VALUE"""),"Ninguno (Población General)")</f>
        <v>Ninguno (Población General)</v>
      </c>
      <c r="CG737" s="30">
        <f ca="1">IFERROR(__xludf.DUMMYFUNCTION("""COMPUTED_VALUE"""),10)</f>
        <v>10</v>
      </c>
      <c r="CJ737" s="29"/>
      <c r="CM737" s="30" t="str">
        <f ca="1">IFERROR(__xludf.DUMMYFUNCTION("""COMPUTED_VALUE"""),"")</f>
        <v/>
      </c>
      <c r="CN737" s="32" t="e">
        <f ca="1"/>
        <v>#NAME?</v>
      </c>
      <c r="CO737" s="32" t="e">
        <f ca="1"/>
        <v>#NAME?</v>
      </c>
      <c r="CP737" s="32" t="e">
        <f ca="1"/>
        <v>#NAME?</v>
      </c>
      <c r="CQ737" s="32" t="e">
        <f ca="1"/>
        <v>#NAME?</v>
      </c>
      <c r="CR737" s="30" t="e">
        <f ca="1"/>
        <v>#NAME?</v>
      </c>
      <c r="CS737" s="30" t="str">
        <f ca="1">IFERROR(__xludf.DUMMYFUNCTION("""COMPUTED_VALUE"""),"")</f>
        <v/>
      </c>
    </row>
    <row r="738" spans="1:97" ht="13">
      <c r="A738" s="29"/>
      <c r="C738" s="32"/>
      <c r="I738" s="34"/>
      <c r="BP738" s="29"/>
      <c r="CC738" s="30" t="str">
        <f ca="1">IFERROR(__xludf.DUMMYFUNCTION("""COMPUTED_VALUE"""),"1407000a")</f>
        <v>1407000a</v>
      </c>
      <c r="CD738" s="29" t="str">
        <f ca="1">IFERROR(__xludf.DUMMYFUNCTION("""COMPUTED_VALUE"""),"Adultos Mayores (60 años o más)")</f>
        <v>Adultos Mayores (60 años o más)</v>
      </c>
      <c r="CE738" s="30" t="str">
        <f ca="1">IFERROR(__xludf.DUMMYFUNCTION("""COMPUTED_VALUE"""),"No se cuenta con el dato")</f>
        <v>No se cuenta con el dato</v>
      </c>
      <c r="CF738" s="30" t="str">
        <f ca="1">IFERROR(__xludf.DUMMYFUNCTION("""COMPUTED_VALUE"""),"Ninguno (Población General)")</f>
        <v>Ninguno (Población General)</v>
      </c>
      <c r="CG738" s="30">
        <f ca="1">IFERROR(__xludf.DUMMYFUNCTION("""COMPUTED_VALUE"""),1)</f>
        <v>1</v>
      </c>
      <c r="CJ738" s="29"/>
      <c r="CM738" s="30" t="str">
        <f ca="1">IFERROR(__xludf.DUMMYFUNCTION("""COMPUTED_VALUE"""),"")</f>
        <v/>
      </c>
      <c r="CN738" s="32" t="e">
        <f ca="1"/>
        <v>#NAME?</v>
      </c>
      <c r="CO738" s="32" t="e">
        <f ca="1"/>
        <v>#NAME?</v>
      </c>
      <c r="CP738" s="32" t="e">
        <f ca="1"/>
        <v>#NAME?</v>
      </c>
      <c r="CQ738" s="32" t="e">
        <f ca="1"/>
        <v>#NAME?</v>
      </c>
      <c r="CR738" s="30" t="e">
        <f ca="1"/>
        <v>#NAME?</v>
      </c>
      <c r="CS738" s="30" t="str">
        <f ca="1">IFERROR(__xludf.DUMMYFUNCTION("""COMPUTED_VALUE"""),"")</f>
        <v/>
      </c>
    </row>
    <row r="739" spans="1:97" ht="13">
      <c r="A739" s="29"/>
      <c r="C739" s="32"/>
      <c r="I739" s="34"/>
      <c r="BP739" s="29"/>
      <c r="CC739" s="30" t="str">
        <f ca="1">IFERROR(__xludf.DUMMYFUNCTION("""COMPUTED_VALUE"""),"5e245df7")</f>
        <v>5e245df7</v>
      </c>
      <c r="CD739" s="29" t="str">
        <f ca="1">IFERROR(__xludf.DUMMYFUNCTION("""COMPUTED_VALUE"""),"Niñas y Niños (6 a 12 años)")</f>
        <v>Niñas y Niños (6 a 12 años)</v>
      </c>
      <c r="CE739" s="30" t="str">
        <f ca="1">IFERROR(__xludf.DUMMYFUNCTION("""COMPUTED_VALUE"""),"No se cuenta con el dato")</f>
        <v>No se cuenta con el dato</v>
      </c>
      <c r="CF739" s="30" t="str">
        <f ca="1">IFERROR(__xludf.DUMMYFUNCTION("""COMPUTED_VALUE"""),"Personas Migrantes")</f>
        <v>Personas Migrantes</v>
      </c>
      <c r="CG739" s="30">
        <f ca="1">IFERROR(__xludf.DUMMYFUNCTION("""COMPUTED_VALUE"""),1)</f>
        <v>1</v>
      </c>
      <c r="CJ739" s="29"/>
      <c r="CM739" s="30" t="str">
        <f ca="1">IFERROR(__xludf.DUMMYFUNCTION("""COMPUTED_VALUE"""),"")</f>
        <v/>
      </c>
      <c r="CN739" s="32" t="e">
        <f ca="1"/>
        <v>#NAME?</v>
      </c>
      <c r="CO739" s="32" t="e">
        <f ca="1"/>
        <v>#NAME?</v>
      </c>
      <c r="CP739" s="32" t="e">
        <f ca="1"/>
        <v>#NAME?</v>
      </c>
      <c r="CQ739" s="32" t="e">
        <f ca="1"/>
        <v>#NAME?</v>
      </c>
      <c r="CR739" s="30" t="e">
        <f ca="1"/>
        <v>#NAME?</v>
      </c>
      <c r="CS739" s="30" t="str">
        <f ca="1">IFERROR(__xludf.DUMMYFUNCTION("""COMPUTED_VALUE"""),"")</f>
        <v/>
      </c>
    </row>
    <row r="740" spans="1:97" ht="13">
      <c r="A740" s="29"/>
      <c r="C740" s="32"/>
      <c r="I740" s="34"/>
      <c r="BP740" s="29"/>
      <c r="CC740" s="30" t="str">
        <f ca="1">IFERROR(__xludf.DUMMYFUNCTION("""COMPUTED_VALUE"""),"1e4f9f43")</f>
        <v>1e4f9f43</v>
      </c>
      <c r="CD740" s="29" t="str">
        <f ca="1">IFERROR(__xludf.DUMMYFUNCTION("""COMPUTED_VALUE"""),"Jóvenes (18 a 29 años)")</f>
        <v>Jóvenes (18 a 29 años)</v>
      </c>
      <c r="CE740" s="30" t="str">
        <f ca="1">IFERROR(__xludf.DUMMYFUNCTION("""COMPUTED_VALUE"""),"No se cuenta con el dato")</f>
        <v>No se cuenta con el dato</v>
      </c>
      <c r="CF740" s="30" t="str">
        <f ca="1">IFERROR(__xludf.DUMMYFUNCTION("""COMPUTED_VALUE"""),"Personas Migrantes")</f>
        <v>Personas Migrantes</v>
      </c>
      <c r="CG740" s="30">
        <f ca="1">IFERROR(__xludf.DUMMYFUNCTION("""COMPUTED_VALUE"""),3)</f>
        <v>3</v>
      </c>
      <c r="CJ740" s="29"/>
      <c r="CM740" s="30" t="str">
        <f ca="1">IFERROR(__xludf.DUMMYFUNCTION("""COMPUTED_VALUE"""),"")</f>
        <v/>
      </c>
      <c r="CN740" s="32" t="e">
        <f ca="1"/>
        <v>#NAME?</v>
      </c>
      <c r="CO740" s="32" t="e">
        <f ca="1"/>
        <v>#NAME?</v>
      </c>
      <c r="CP740" s="32" t="e">
        <f ca="1"/>
        <v>#NAME?</v>
      </c>
      <c r="CQ740" s="32" t="e">
        <f ca="1"/>
        <v>#NAME?</v>
      </c>
      <c r="CR740" s="30" t="e">
        <f ca="1"/>
        <v>#NAME?</v>
      </c>
      <c r="CS740" s="30" t="str">
        <f ca="1">IFERROR(__xludf.DUMMYFUNCTION("""COMPUTED_VALUE"""),"")</f>
        <v/>
      </c>
    </row>
    <row r="741" spans="1:97" ht="13">
      <c r="A741" s="29"/>
      <c r="C741" s="32"/>
      <c r="I741" s="34"/>
      <c r="BP741" s="29"/>
      <c r="CC741" s="30" t="str">
        <f ca="1">IFERROR(__xludf.DUMMYFUNCTION("""COMPUTED_VALUE"""),"5d4d87b5")</f>
        <v>5d4d87b5</v>
      </c>
      <c r="CD741" s="29" t="str">
        <f ca="1">IFERROR(__xludf.DUMMYFUNCTION("""COMPUTED_VALUE"""),"Adultos (30 a 59 años)")</f>
        <v>Adultos (30 a 59 años)</v>
      </c>
      <c r="CE741" s="30" t="str">
        <f ca="1">IFERROR(__xludf.DUMMYFUNCTION("""COMPUTED_VALUE"""),"No se cuenta con el dato")</f>
        <v>No se cuenta con el dato</v>
      </c>
      <c r="CF741" s="30" t="str">
        <f ca="1">IFERROR(__xludf.DUMMYFUNCTION("""COMPUTED_VALUE"""),"Personas Migrantes")</f>
        <v>Personas Migrantes</v>
      </c>
      <c r="CG741" s="30">
        <f ca="1">IFERROR(__xludf.DUMMYFUNCTION("""COMPUTED_VALUE"""),4)</f>
        <v>4</v>
      </c>
      <c r="CJ741" s="29"/>
      <c r="CM741" s="30" t="str">
        <f ca="1">IFERROR(__xludf.DUMMYFUNCTION("""COMPUTED_VALUE"""),"")</f>
        <v/>
      </c>
      <c r="CN741" s="32" t="e">
        <f ca="1"/>
        <v>#NAME?</v>
      </c>
      <c r="CO741" s="32" t="e">
        <f ca="1"/>
        <v>#NAME?</v>
      </c>
      <c r="CP741" s="32" t="e">
        <f ca="1"/>
        <v>#NAME?</v>
      </c>
      <c r="CQ741" s="32" t="e">
        <f ca="1"/>
        <v>#NAME?</v>
      </c>
      <c r="CR741" s="30" t="e">
        <f ca="1"/>
        <v>#NAME?</v>
      </c>
      <c r="CS741" s="30" t="str">
        <f ca="1">IFERROR(__xludf.DUMMYFUNCTION("""COMPUTED_VALUE"""),"")</f>
        <v/>
      </c>
    </row>
    <row r="742" spans="1:97" ht="13">
      <c r="A742" s="29"/>
      <c r="C742" s="32"/>
      <c r="I742" s="34"/>
      <c r="BP742" s="29"/>
      <c r="CC742" s="30" t="str">
        <f ca="1">IFERROR(__xludf.DUMMYFUNCTION("""COMPUTED_VALUE"""),"ab7c6684")</f>
        <v>ab7c6684</v>
      </c>
      <c r="CD742" s="29" t="str">
        <f ca="1">IFERROR(__xludf.DUMMYFUNCTION("""COMPUTED_VALUE"""),"Niñas y Niños (6 a 12 años)")</f>
        <v>Niñas y Niños (6 a 12 años)</v>
      </c>
      <c r="CE742" s="30" t="str">
        <f ca="1">IFERROR(__xludf.DUMMYFUNCTION("""COMPUTED_VALUE"""),"No se cuenta con el dato")</f>
        <v>No se cuenta con el dato</v>
      </c>
      <c r="CF742" s="30" t="str">
        <f ca="1">IFERROR(__xludf.DUMMYFUNCTION("""COMPUTED_VALUE"""),"Ninguno (Población General)")</f>
        <v>Ninguno (Población General)</v>
      </c>
      <c r="CG742" s="30">
        <f ca="1">IFERROR(__xludf.DUMMYFUNCTION("""COMPUTED_VALUE"""),2)</f>
        <v>2</v>
      </c>
      <c r="CJ742" s="29"/>
      <c r="CM742" s="30" t="str">
        <f ca="1">IFERROR(__xludf.DUMMYFUNCTION("""COMPUTED_VALUE"""),"")</f>
        <v/>
      </c>
      <c r="CN742" s="32" t="e">
        <f ca="1"/>
        <v>#NAME?</v>
      </c>
      <c r="CO742" s="32" t="e">
        <f ca="1"/>
        <v>#NAME?</v>
      </c>
      <c r="CP742" s="32" t="e">
        <f ca="1"/>
        <v>#NAME?</v>
      </c>
      <c r="CQ742" s="32" t="e">
        <f ca="1"/>
        <v>#NAME?</v>
      </c>
      <c r="CR742" s="30" t="e">
        <f ca="1"/>
        <v>#NAME?</v>
      </c>
      <c r="CS742" s="30" t="str">
        <f ca="1">IFERROR(__xludf.DUMMYFUNCTION("""COMPUTED_VALUE"""),"")</f>
        <v/>
      </c>
    </row>
    <row r="743" spans="1:97" ht="13">
      <c r="A743" s="29"/>
      <c r="C743" s="32"/>
      <c r="I743" s="34"/>
      <c r="BP743" s="29"/>
      <c r="CC743" s="30" t="str">
        <f ca="1">IFERROR(__xludf.DUMMYFUNCTION("""COMPUTED_VALUE"""),"c16676bf")</f>
        <v>c16676bf</v>
      </c>
      <c r="CD743" s="29" t="str">
        <f ca="1">IFERROR(__xludf.DUMMYFUNCTION("""COMPUTED_VALUE"""),"Adultos (30 a 59 años)")</f>
        <v>Adultos (30 a 59 años)</v>
      </c>
      <c r="CE743" s="30" t="str">
        <f ca="1">IFERROR(__xludf.DUMMYFUNCTION("""COMPUTED_VALUE"""),"No se cuenta con el dato")</f>
        <v>No se cuenta con el dato</v>
      </c>
      <c r="CF743" s="30" t="str">
        <f ca="1">IFERROR(__xludf.DUMMYFUNCTION("""COMPUTED_VALUE"""),"Ninguno (Población General)")</f>
        <v>Ninguno (Población General)</v>
      </c>
      <c r="CG743" s="30">
        <f ca="1">IFERROR(__xludf.DUMMYFUNCTION("""COMPUTED_VALUE"""),3)</f>
        <v>3</v>
      </c>
      <c r="CJ743" s="29"/>
      <c r="CM743" s="30" t="str">
        <f ca="1">IFERROR(__xludf.DUMMYFUNCTION("""COMPUTED_VALUE"""),"")</f>
        <v/>
      </c>
      <c r="CN743" s="32" t="e">
        <f ca="1"/>
        <v>#NAME?</v>
      </c>
      <c r="CO743" s="32" t="e">
        <f ca="1"/>
        <v>#NAME?</v>
      </c>
      <c r="CP743" s="32" t="e">
        <f ca="1"/>
        <v>#NAME?</v>
      </c>
      <c r="CQ743" s="32" t="e">
        <f ca="1"/>
        <v>#NAME?</v>
      </c>
      <c r="CR743" s="30" t="e">
        <f ca="1"/>
        <v>#NAME?</v>
      </c>
      <c r="CS743" s="30" t="str">
        <f ca="1">IFERROR(__xludf.DUMMYFUNCTION("""COMPUTED_VALUE"""),"")</f>
        <v/>
      </c>
    </row>
    <row r="744" spans="1:97" ht="13">
      <c r="A744" s="29"/>
      <c r="C744" s="32"/>
      <c r="I744" s="34"/>
      <c r="BP744" s="29"/>
      <c r="CC744" s="30" t="str">
        <f ca="1">IFERROR(__xludf.DUMMYFUNCTION("""COMPUTED_VALUE"""),"e02667d8")</f>
        <v>e02667d8</v>
      </c>
      <c r="CD744" s="29" t="str">
        <f ca="1">IFERROR(__xludf.DUMMYFUNCTION("""COMPUTED_VALUE"""),"Adultos Mayores (60 años o más)")</f>
        <v>Adultos Mayores (60 años o más)</v>
      </c>
      <c r="CE744" s="30" t="str">
        <f ca="1">IFERROR(__xludf.DUMMYFUNCTION("""COMPUTED_VALUE"""),"No se cuenta con el dato")</f>
        <v>No se cuenta con el dato</v>
      </c>
      <c r="CF744" s="30" t="str">
        <f ca="1">IFERROR(__xludf.DUMMYFUNCTION("""COMPUTED_VALUE"""),"Ninguno (Población General)")</f>
        <v>Ninguno (Población General)</v>
      </c>
      <c r="CG744" s="30">
        <f ca="1">IFERROR(__xludf.DUMMYFUNCTION("""COMPUTED_VALUE"""),1)</f>
        <v>1</v>
      </c>
      <c r="CJ744" s="29"/>
      <c r="CM744" s="30" t="str">
        <f ca="1">IFERROR(__xludf.DUMMYFUNCTION("""COMPUTED_VALUE"""),"")</f>
        <v/>
      </c>
      <c r="CN744" s="32" t="e">
        <f ca="1"/>
        <v>#NAME?</v>
      </c>
      <c r="CO744" s="32" t="e">
        <f ca="1"/>
        <v>#NAME?</v>
      </c>
      <c r="CP744" s="32" t="e">
        <f ca="1"/>
        <v>#NAME?</v>
      </c>
      <c r="CQ744" s="32" t="e">
        <f ca="1"/>
        <v>#NAME?</v>
      </c>
      <c r="CR744" s="30" t="e">
        <f ca="1"/>
        <v>#NAME?</v>
      </c>
      <c r="CS744" s="30" t="str">
        <f ca="1">IFERROR(__xludf.DUMMYFUNCTION("""COMPUTED_VALUE"""),"")</f>
        <v/>
      </c>
    </row>
    <row r="745" spans="1:97" ht="13">
      <c r="A745" s="29"/>
      <c r="C745" s="32"/>
      <c r="I745" s="34"/>
      <c r="BP745" s="29"/>
      <c r="CC745" s="30" t="str">
        <f ca="1">IFERROR(__xludf.DUMMYFUNCTION("""COMPUTED_VALUE"""),"0d332166")</f>
        <v>0d332166</v>
      </c>
      <c r="CD745" s="29" t="str">
        <f ca="1">IFERROR(__xludf.DUMMYFUNCTION("""COMPUTED_VALUE"""),"Población General")</f>
        <v>Población General</v>
      </c>
      <c r="CE745" s="30" t="str">
        <f ca="1">IFERROR(__xludf.DUMMYFUNCTION("""COMPUTED_VALUE"""),"No se cuenta con el dato")</f>
        <v>No se cuenta con el dato</v>
      </c>
      <c r="CF745" s="30" t="str">
        <f ca="1">IFERROR(__xludf.DUMMYFUNCTION("""COMPUTED_VALUE"""),"Ninguno (Población General)")</f>
        <v>Ninguno (Población General)</v>
      </c>
      <c r="CG745" s="30">
        <f ca="1">IFERROR(__xludf.DUMMYFUNCTION("""COMPUTED_VALUE"""),13)</f>
        <v>13</v>
      </c>
      <c r="CJ745" s="29"/>
      <c r="CM745" s="30" t="str">
        <f ca="1">IFERROR(__xludf.DUMMYFUNCTION("""COMPUTED_VALUE"""),"")</f>
        <v/>
      </c>
      <c r="CN745" s="32" t="e">
        <f ca="1"/>
        <v>#NAME?</v>
      </c>
      <c r="CO745" s="32" t="e">
        <f ca="1"/>
        <v>#NAME?</v>
      </c>
      <c r="CP745" s="32" t="e">
        <f ca="1"/>
        <v>#NAME?</v>
      </c>
      <c r="CQ745" s="32" t="e">
        <f ca="1"/>
        <v>#NAME?</v>
      </c>
      <c r="CR745" s="30" t="e">
        <f ca="1"/>
        <v>#NAME?</v>
      </c>
      <c r="CS745" s="30" t="str">
        <f ca="1">IFERROR(__xludf.DUMMYFUNCTION("""COMPUTED_VALUE"""),"")</f>
        <v/>
      </c>
    </row>
    <row r="746" spans="1:97" ht="13">
      <c r="A746" s="29"/>
      <c r="C746" s="32"/>
      <c r="I746" s="34"/>
      <c r="BP746" s="29"/>
      <c r="CC746" s="30" t="str">
        <f ca="1">IFERROR(__xludf.DUMMYFUNCTION("""COMPUTED_VALUE"""),"e69a63f8")</f>
        <v>e69a63f8</v>
      </c>
      <c r="CD746" s="29" t="str">
        <f ca="1">IFERROR(__xludf.DUMMYFUNCTION("""COMPUTED_VALUE"""),"Niñas y Niños (6 a 12 años)")</f>
        <v>Niñas y Niños (6 a 12 años)</v>
      </c>
      <c r="CE746" s="30" t="str">
        <f ca="1">IFERROR(__xludf.DUMMYFUNCTION("""COMPUTED_VALUE"""),"Mujer")</f>
        <v>Mujer</v>
      </c>
      <c r="CF746" s="30" t="str">
        <f ca="1">IFERROR(__xludf.DUMMYFUNCTION("""COMPUTED_VALUE"""),"Ninguno (Población General)")</f>
        <v>Ninguno (Población General)</v>
      </c>
      <c r="CG746" s="30">
        <f ca="1">IFERROR(__xludf.DUMMYFUNCTION("""COMPUTED_VALUE"""),4)</f>
        <v>4</v>
      </c>
      <c r="CJ746" s="29"/>
      <c r="CM746" s="30" t="str">
        <f ca="1">IFERROR(__xludf.DUMMYFUNCTION("""COMPUTED_VALUE"""),"")</f>
        <v/>
      </c>
      <c r="CN746" s="32" t="e">
        <f ca="1"/>
        <v>#NAME?</v>
      </c>
      <c r="CO746" s="32" t="e">
        <f ca="1"/>
        <v>#NAME?</v>
      </c>
      <c r="CP746" s="32" t="e">
        <f ca="1"/>
        <v>#NAME?</v>
      </c>
      <c r="CQ746" s="32" t="e">
        <f ca="1"/>
        <v>#NAME?</v>
      </c>
      <c r="CR746" s="30" t="e">
        <f ca="1"/>
        <v>#NAME?</v>
      </c>
      <c r="CS746" s="30" t="str">
        <f ca="1">IFERROR(__xludf.DUMMYFUNCTION("""COMPUTED_VALUE"""),"")</f>
        <v/>
      </c>
    </row>
    <row r="747" spans="1:97" ht="13">
      <c r="A747" s="29"/>
      <c r="C747" s="32"/>
      <c r="I747" s="34"/>
      <c r="BP747" s="29"/>
      <c r="CC747" s="30" t="str">
        <f ca="1">IFERROR(__xludf.DUMMYFUNCTION("""COMPUTED_VALUE"""),"4737036b")</f>
        <v>4737036b</v>
      </c>
      <c r="CD747" s="29" t="str">
        <f ca="1">IFERROR(__xludf.DUMMYFUNCTION("""COMPUTED_VALUE"""),"Niñas y Niños (6 a 12 años)")</f>
        <v>Niñas y Niños (6 a 12 años)</v>
      </c>
      <c r="CE747" s="30" t="str">
        <f ca="1">IFERROR(__xludf.DUMMYFUNCTION("""COMPUTED_VALUE"""),"Mujer")</f>
        <v>Mujer</v>
      </c>
      <c r="CF747" s="30" t="str">
        <f ca="1">IFERROR(__xludf.DUMMYFUNCTION("""COMPUTED_VALUE"""),"NNA (Niñas, Niños y Adolescentes)")</f>
        <v>NNA (Niñas, Niños y Adolescentes)</v>
      </c>
      <c r="CG747" s="30">
        <f ca="1">IFERROR(__xludf.DUMMYFUNCTION("""COMPUTED_VALUE"""),31)</f>
        <v>31</v>
      </c>
      <c r="CJ747" s="29"/>
      <c r="CM747" s="30" t="str">
        <f ca="1">IFERROR(__xludf.DUMMYFUNCTION("""COMPUTED_VALUE"""),"")</f>
        <v/>
      </c>
      <c r="CN747" s="32" t="e">
        <f ca="1"/>
        <v>#NAME?</v>
      </c>
      <c r="CO747" s="32" t="e">
        <f ca="1"/>
        <v>#NAME?</v>
      </c>
      <c r="CP747" s="32" t="e">
        <f ca="1"/>
        <v>#NAME?</v>
      </c>
      <c r="CQ747" s="32" t="e">
        <f ca="1"/>
        <v>#NAME?</v>
      </c>
      <c r="CR747" s="30" t="e">
        <f ca="1"/>
        <v>#NAME?</v>
      </c>
      <c r="CS747" s="30" t="str">
        <f ca="1">IFERROR(__xludf.DUMMYFUNCTION("""COMPUTED_VALUE"""),"")</f>
        <v/>
      </c>
    </row>
    <row r="748" spans="1:97" ht="13">
      <c r="A748" s="29"/>
      <c r="C748" s="32"/>
      <c r="I748" s="34"/>
      <c r="BP748" s="29"/>
      <c r="CC748" s="30" t="str">
        <f ca="1">IFERROR(__xludf.DUMMYFUNCTION("""COMPUTED_VALUE"""),"e4569f3b")</f>
        <v>e4569f3b</v>
      </c>
      <c r="CD748" s="29" t="str">
        <f ca="1">IFERROR(__xludf.DUMMYFUNCTION("""COMPUTED_VALUE"""),"Niñas y Niños (6 a 12 años)")</f>
        <v>Niñas y Niños (6 a 12 años)</v>
      </c>
      <c r="CE748" s="30" t="str">
        <f ca="1">IFERROR(__xludf.DUMMYFUNCTION("""COMPUTED_VALUE"""),"Mujer")</f>
        <v>Mujer</v>
      </c>
      <c r="CF748" s="30" t="str">
        <f ca="1">IFERROR(__xludf.DUMMYFUNCTION("""COMPUTED_VALUE"""),"Ninguno (Población General)")</f>
        <v>Ninguno (Población General)</v>
      </c>
      <c r="CG748" s="30">
        <f ca="1">IFERROR(__xludf.DUMMYFUNCTION("""COMPUTED_VALUE"""),19)</f>
        <v>19</v>
      </c>
      <c r="CJ748" s="29"/>
      <c r="CM748" s="30" t="str">
        <f ca="1">IFERROR(__xludf.DUMMYFUNCTION("""COMPUTED_VALUE"""),"")</f>
        <v/>
      </c>
      <c r="CN748" s="32" t="e">
        <f ca="1"/>
        <v>#NAME?</v>
      </c>
      <c r="CO748" s="32" t="e">
        <f ca="1"/>
        <v>#NAME?</v>
      </c>
      <c r="CP748" s="32" t="e">
        <f ca="1"/>
        <v>#NAME?</v>
      </c>
      <c r="CQ748" s="32" t="e">
        <f ca="1"/>
        <v>#NAME?</v>
      </c>
      <c r="CR748" s="30" t="e">
        <f ca="1"/>
        <v>#NAME?</v>
      </c>
      <c r="CS748" s="30" t="str">
        <f ca="1">IFERROR(__xludf.DUMMYFUNCTION("""COMPUTED_VALUE"""),"")</f>
        <v/>
      </c>
    </row>
    <row r="749" spans="1:97" ht="13">
      <c r="A749" s="29"/>
      <c r="C749" s="32"/>
      <c r="I749" s="34"/>
      <c r="BP749" s="29"/>
      <c r="CC749" s="30" t="str">
        <f ca="1">IFERROR(__xludf.DUMMYFUNCTION("""COMPUTED_VALUE"""),"9d434285")</f>
        <v>9d434285</v>
      </c>
      <c r="CD749" s="29" t="str">
        <f ca="1">IFERROR(__xludf.DUMMYFUNCTION("""COMPUTED_VALUE"""),"Jóvenes (18 a 29 años)")</f>
        <v>Jóvenes (18 a 29 años)</v>
      </c>
      <c r="CE749" s="30" t="str">
        <f ca="1">IFERROR(__xludf.DUMMYFUNCTION("""COMPUTED_VALUE"""),"No se cuenta con el dato")</f>
        <v>No se cuenta con el dato</v>
      </c>
      <c r="CF749" s="30" t="str">
        <f ca="1">IFERROR(__xludf.DUMMYFUNCTION("""COMPUTED_VALUE"""),"Ninguno (Población General)")</f>
        <v>Ninguno (Población General)</v>
      </c>
      <c r="CG749" s="30">
        <f ca="1">IFERROR(__xludf.DUMMYFUNCTION("""COMPUTED_VALUE"""),1)</f>
        <v>1</v>
      </c>
      <c r="CJ749" s="29"/>
      <c r="CM749" s="30" t="str">
        <f ca="1">IFERROR(__xludf.DUMMYFUNCTION("""COMPUTED_VALUE"""),"")</f>
        <v/>
      </c>
      <c r="CN749" s="32" t="e">
        <f ca="1"/>
        <v>#NAME?</v>
      </c>
      <c r="CO749" s="32" t="e">
        <f ca="1"/>
        <v>#NAME?</v>
      </c>
      <c r="CP749" s="32" t="e">
        <f ca="1"/>
        <v>#NAME?</v>
      </c>
      <c r="CQ749" s="32" t="e">
        <f ca="1"/>
        <v>#NAME?</v>
      </c>
      <c r="CR749" s="30" t="e">
        <f ca="1"/>
        <v>#NAME?</v>
      </c>
      <c r="CS749" s="30" t="str">
        <f ca="1">IFERROR(__xludf.DUMMYFUNCTION("""COMPUTED_VALUE"""),"")</f>
        <v/>
      </c>
    </row>
    <row r="750" spans="1:97" ht="13">
      <c r="A750" s="29"/>
      <c r="C750" s="32"/>
      <c r="I750" s="34"/>
      <c r="BP750" s="29"/>
      <c r="CC750" s="30" t="str">
        <f ca="1">IFERROR(__xludf.DUMMYFUNCTION("""COMPUTED_VALUE"""),"17f8d4ac")</f>
        <v>17f8d4ac</v>
      </c>
      <c r="CD750" s="29" t="str">
        <f ca="1">IFERROR(__xludf.DUMMYFUNCTION("""COMPUTED_VALUE"""),"Adultos (30 a 59 años)")</f>
        <v>Adultos (30 a 59 años)</v>
      </c>
      <c r="CE750" s="30" t="str">
        <f ca="1">IFERROR(__xludf.DUMMYFUNCTION("""COMPUTED_VALUE"""),"No se cuenta con el dato")</f>
        <v>No se cuenta con el dato</v>
      </c>
      <c r="CF750" s="30" t="str">
        <f ca="1">IFERROR(__xludf.DUMMYFUNCTION("""COMPUTED_VALUE"""),"Ninguno (Población General)")</f>
        <v>Ninguno (Población General)</v>
      </c>
      <c r="CG750" s="30">
        <f ca="1">IFERROR(__xludf.DUMMYFUNCTION("""COMPUTED_VALUE"""),1)</f>
        <v>1</v>
      </c>
      <c r="CJ750" s="29"/>
      <c r="CM750" s="30" t="str">
        <f ca="1">IFERROR(__xludf.DUMMYFUNCTION("""COMPUTED_VALUE"""),"")</f>
        <v/>
      </c>
      <c r="CN750" s="32" t="e">
        <f ca="1"/>
        <v>#NAME?</v>
      </c>
      <c r="CO750" s="32" t="e">
        <f ca="1"/>
        <v>#NAME?</v>
      </c>
      <c r="CP750" s="32" t="e">
        <f ca="1"/>
        <v>#NAME?</v>
      </c>
      <c r="CQ750" s="32" t="e">
        <f ca="1"/>
        <v>#NAME?</v>
      </c>
      <c r="CR750" s="30" t="e">
        <f ca="1"/>
        <v>#NAME?</v>
      </c>
      <c r="CS750" s="30" t="str">
        <f ca="1">IFERROR(__xludf.DUMMYFUNCTION("""COMPUTED_VALUE"""),"")</f>
        <v/>
      </c>
    </row>
    <row r="751" spans="1:97" ht="13">
      <c r="A751" s="29"/>
      <c r="C751" s="32"/>
      <c r="I751" s="34"/>
      <c r="BP751" s="29"/>
      <c r="CC751" s="30" t="str">
        <f ca="1">IFERROR(__xludf.DUMMYFUNCTION("""COMPUTED_VALUE"""),"35754913")</f>
        <v>35754913</v>
      </c>
      <c r="CD751" s="29" t="str">
        <f ca="1">IFERROR(__xludf.DUMMYFUNCTION("""COMPUTED_VALUE"""),"Población General")</f>
        <v>Población General</v>
      </c>
      <c r="CE751" s="30" t="str">
        <f ca="1">IFERROR(__xludf.DUMMYFUNCTION("""COMPUTED_VALUE"""),"Dato global")</f>
        <v>Dato global</v>
      </c>
      <c r="CF751" s="30" t="str">
        <f ca="1">IFERROR(__xludf.DUMMYFUNCTION("""COMPUTED_VALUE"""),"Ninguno (Población General)")</f>
        <v>Ninguno (Población General)</v>
      </c>
      <c r="CG751" s="30">
        <f ca="1">IFERROR(__xludf.DUMMYFUNCTION("""COMPUTED_VALUE"""),751)</f>
        <v>751</v>
      </c>
      <c r="CJ751" s="29"/>
      <c r="CM751" s="30" t="str">
        <f ca="1">IFERROR(__xludf.DUMMYFUNCTION("""COMPUTED_VALUE"""),"")</f>
        <v/>
      </c>
      <c r="CN751" s="32" t="e">
        <f ca="1"/>
        <v>#NAME?</v>
      </c>
      <c r="CO751" s="32" t="e">
        <f ca="1"/>
        <v>#NAME?</v>
      </c>
      <c r="CP751" s="32" t="e">
        <f ca="1"/>
        <v>#NAME?</v>
      </c>
      <c r="CQ751" s="32" t="e">
        <f ca="1"/>
        <v>#NAME?</v>
      </c>
      <c r="CR751" s="30" t="e">
        <f ca="1"/>
        <v>#NAME?</v>
      </c>
      <c r="CS751" s="30" t="str">
        <f ca="1">IFERROR(__xludf.DUMMYFUNCTION("""COMPUTED_VALUE"""),"")</f>
        <v/>
      </c>
    </row>
    <row r="752" spans="1:97" ht="13">
      <c r="A752" s="29"/>
      <c r="C752" s="32"/>
      <c r="I752" s="34"/>
      <c r="BP752" s="29"/>
      <c r="CC752" s="30" t="str">
        <f ca="1">IFERROR(__xludf.DUMMYFUNCTION("""COMPUTED_VALUE"""),"e756c526")</f>
        <v>e756c526</v>
      </c>
      <c r="CD752" s="29" t="str">
        <f ca="1">IFERROR(__xludf.DUMMYFUNCTION("""COMPUTED_VALUE"""),"Niñas y Niños (6 a 12 años)")</f>
        <v>Niñas y Niños (6 a 12 años)</v>
      </c>
      <c r="CE752" s="30" t="str">
        <f ca="1">IFERROR(__xludf.DUMMYFUNCTION("""COMPUTED_VALUE"""),"No se cuenta con el dato")</f>
        <v>No se cuenta con el dato</v>
      </c>
      <c r="CF752" s="30" t="str">
        <f ca="1">IFERROR(__xludf.DUMMYFUNCTION("""COMPUTED_VALUE"""),"Ninguno (Población General)")</f>
        <v>Ninguno (Población General)</v>
      </c>
      <c r="CG752" s="30">
        <f ca="1">IFERROR(__xludf.DUMMYFUNCTION("""COMPUTED_VALUE"""),3)</f>
        <v>3</v>
      </c>
      <c r="CJ752" s="29"/>
      <c r="CM752" s="30" t="str">
        <f ca="1">IFERROR(__xludf.DUMMYFUNCTION("""COMPUTED_VALUE"""),"")</f>
        <v/>
      </c>
      <c r="CN752" s="32" t="e">
        <f ca="1"/>
        <v>#NAME?</v>
      </c>
      <c r="CO752" s="32" t="e">
        <f ca="1"/>
        <v>#NAME?</v>
      </c>
      <c r="CP752" s="32" t="e">
        <f ca="1"/>
        <v>#NAME?</v>
      </c>
      <c r="CQ752" s="32" t="e">
        <f ca="1"/>
        <v>#NAME?</v>
      </c>
      <c r="CR752" s="30" t="e">
        <f ca="1"/>
        <v>#NAME?</v>
      </c>
      <c r="CS752" s="30" t="str">
        <f ca="1">IFERROR(__xludf.DUMMYFUNCTION("""COMPUTED_VALUE"""),"")</f>
        <v/>
      </c>
    </row>
    <row r="753" spans="1:97" ht="13">
      <c r="A753" s="29"/>
      <c r="C753" s="32"/>
      <c r="I753" s="34"/>
      <c r="BP753" s="29"/>
      <c r="CC753" s="30" t="str">
        <f ca="1">IFERROR(__xludf.DUMMYFUNCTION("""COMPUTED_VALUE"""),"48e6648f")</f>
        <v>48e6648f</v>
      </c>
      <c r="CD753" s="29" t="str">
        <f ca="1">IFERROR(__xludf.DUMMYFUNCTION("""COMPUTED_VALUE"""),"Adolescentes (13 a 17 años)")</f>
        <v>Adolescentes (13 a 17 años)</v>
      </c>
      <c r="CE753" s="30" t="str">
        <f ca="1">IFERROR(__xludf.DUMMYFUNCTION("""COMPUTED_VALUE"""),"No se cuenta con el dato")</f>
        <v>No se cuenta con el dato</v>
      </c>
      <c r="CF753" s="30" t="str">
        <f ca="1">IFERROR(__xludf.DUMMYFUNCTION("""COMPUTED_VALUE"""),"Ninguno (Población General)")</f>
        <v>Ninguno (Población General)</v>
      </c>
      <c r="CG753" s="30">
        <f ca="1">IFERROR(__xludf.DUMMYFUNCTION("""COMPUTED_VALUE"""),1)</f>
        <v>1</v>
      </c>
      <c r="CJ753" s="29"/>
      <c r="CM753" s="30" t="str">
        <f ca="1">IFERROR(__xludf.DUMMYFUNCTION("""COMPUTED_VALUE"""),"")</f>
        <v/>
      </c>
      <c r="CN753" s="32" t="e">
        <f ca="1"/>
        <v>#NAME?</v>
      </c>
      <c r="CO753" s="32" t="e">
        <f ca="1"/>
        <v>#NAME?</v>
      </c>
      <c r="CP753" s="32" t="e">
        <f ca="1"/>
        <v>#NAME?</v>
      </c>
      <c r="CQ753" s="32" t="e">
        <f ca="1"/>
        <v>#NAME?</v>
      </c>
      <c r="CR753" s="30" t="e">
        <f ca="1"/>
        <v>#NAME?</v>
      </c>
      <c r="CS753" s="30" t="str">
        <f ca="1">IFERROR(__xludf.DUMMYFUNCTION("""COMPUTED_VALUE"""),"")</f>
        <v/>
      </c>
    </row>
    <row r="754" spans="1:97" ht="13">
      <c r="A754" s="29"/>
      <c r="C754" s="32"/>
      <c r="I754" s="34"/>
      <c r="BP754" s="29"/>
      <c r="CC754" s="30" t="str">
        <f ca="1">IFERROR(__xludf.DUMMYFUNCTION("""COMPUTED_VALUE"""),"91b3e925")</f>
        <v>91b3e925</v>
      </c>
      <c r="CD754" s="29" t="str">
        <f ca="1">IFERROR(__xludf.DUMMYFUNCTION("""COMPUTED_VALUE"""),"Jóvenes (18 a 29 años)")</f>
        <v>Jóvenes (18 a 29 años)</v>
      </c>
      <c r="CE754" s="30" t="str">
        <f ca="1">IFERROR(__xludf.DUMMYFUNCTION("""COMPUTED_VALUE"""),"No se cuenta con el dato")</f>
        <v>No se cuenta con el dato</v>
      </c>
      <c r="CF754" s="30" t="str">
        <f ca="1">IFERROR(__xludf.DUMMYFUNCTION("""COMPUTED_VALUE"""),"Ninguno (Población General)")</f>
        <v>Ninguno (Población General)</v>
      </c>
      <c r="CG754" s="30">
        <f ca="1">IFERROR(__xludf.DUMMYFUNCTION("""COMPUTED_VALUE"""),1)</f>
        <v>1</v>
      </c>
      <c r="CJ754" s="29"/>
      <c r="CM754" s="30" t="str">
        <f ca="1">IFERROR(__xludf.DUMMYFUNCTION("""COMPUTED_VALUE"""),"")</f>
        <v/>
      </c>
      <c r="CN754" s="32" t="e">
        <f ca="1"/>
        <v>#NAME?</v>
      </c>
      <c r="CO754" s="32" t="e">
        <f ca="1"/>
        <v>#NAME?</v>
      </c>
      <c r="CP754" s="32" t="e">
        <f ca="1"/>
        <v>#NAME?</v>
      </c>
      <c r="CQ754" s="32" t="e">
        <f ca="1"/>
        <v>#NAME?</v>
      </c>
      <c r="CR754" s="30" t="e">
        <f ca="1"/>
        <v>#NAME?</v>
      </c>
      <c r="CS754" s="30" t="str">
        <f ca="1">IFERROR(__xludf.DUMMYFUNCTION("""COMPUTED_VALUE"""),"")</f>
        <v/>
      </c>
    </row>
    <row r="755" spans="1:97" ht="13">
      <c r="A755" s="29"/>
      <c r="C755" s="32"/>
      <c r="I755" s="34"/>
      <c r="BP755" s="29"/>
      <c r="CC755" s="30" t="str">
        <f ca="1">IFERROR(__xludf.DUMMYFUNCTION("""COMPUTED_VALUE"""),"d96eee9d")</f>
        <v>d96eee9d</v>
      </c>
      <c r="CD755" s="29" t="str">
        <f ca="1">IFERROR(__xludf.DUMMYFUNCTION("""COMPUTED_VALUE"""),"Adultos Mayores (60 años o más)")</f>
        <v>Adultos Mayores (60 años o más)</v>
      </c>
      <c r="CE755" s="30" t="str">
        <f ca="1">IFERROR(__xludf.DUMMYFUNCTION("""COMPUTED_VALUE"""),"No se cuenta con el dato")</f>
        <v>No se cuenta con el dato</v>
      </c>
      <c r="CF755" s="30" t="str">
        <f ca="1">IFERROR(__xludf.DUMMYFUNCTION("""COMPUTED_VALUE"""),"Ninguno (Población General)")</f>
        <v>Ninguno (Población General)</v>
      </c>
      <c r="CG755" s="30">
        <f ca="1">IFERROR(__xludf.DUMMYFUNCTION("""COMPUTED_VALUE"""),1)</f>
        <v>1</v>
      </c>
      <c r="CJ755" s="29"/>
      <c r="CM755" s="30" t="str">
        <f ca="1">IFERROR(__xludf.DUMMYFUNCTION("""COMPUTED_VALUE"""),"")</f>
        <v/>
      </c>
      <c r="CN755" s="32" t="e">
        <f ca="1"/>
        <v>#NAME?</v>
      </c>
      <c r="CO755" s="32" t="e">
        <f ca="1"/>
        <v>#NAME?</v>
      </c>
      <c r="CP755" s="32" t="e">
        <f ca="1"/>
        <v>#NAME?</v>
      </c>
      <c r="CQ755" s="32" t="e">
        <f ca="1"/>
        <v>#NAME?</v>
      </c>
      <c r="CR755" s="30" t="e">
        <f ca="1"/>
        <v>#NAME?</v>
      </c>
      <c r="CS755" s="30" t="str">
        <f ca="1">IFERROR(__xludf.DUMMYFUNCTION("""COMPUTED_VALUE"""),"")</f>
        <v/>
      </c>
    </row>
    <row r="756" spans="1:97" ht="13">
      <c r="A756" s="29"/>
      <c r="C756" s="32"/>
      <c r="I756" s="34"/>
      <c r="BP756" s="29"/>
      <c r="CC756" s="30" t="str">
        <f ca="1">IFERROR(__xludf.DUMMYFUNCTION("""COMPUTED_VALUE"""),"6158aa5a")</f>
        <v>6158aa5a</v>
      </c>
      <c r="CD756" s="29" t="str">
        <f ca="1">IFERROR(__xludf.DUMMYFUNCTION("""COMPUTED_VALUE"""),"Adultos (30 a 59 años)")</f>
        <v>Adultos (30 a 59 años)</v>
      </c>
      <c r="CE756" s="30" t="str">
        <f ca="1">IFERROR(__xludf.DUMMYFUNCTION("""COMPUTED_VALUE"""),"No se cuenta con el dato")</f>
        <v>No se cuenta con el dato</v>
      </c>
      <c r="CF756" s="30" t="str">
        <f ca="1">IFERROR(__xludf.DUMMYFUNCTION("""COMPUTED_VALUE"""),"Ninguno (Población General)")</f>
        <v>Ninguno (Población General)</v>
      </c>
      <c r="CG756" s="30">
        <f ca="1">IFERROR(__xludf.DUMMYFUNCTION("""COMPUTED_VALUE"""),1)</f>
        <v>1</v>
      </c>
      <c r="CJ756" s="29"/>
      <c r="CM756" s="30" t="str">
        <f ca="1">IFERROR(__xludf.DUMMYFUNCTION("""COMPUTED_VALUE"""),"")</f>
        <v/>
      </c>
      <c r="CN756" s="32" t="e">
        <f ca="1"/>
        <v>#NAME?</v>
      </c>
      <c r="CO756" s="32" t="e">
        <f ca="1"/>
        <v>#NAME?</v>
      </c>
      <c r="CP756" s="32" t="e">
        <f ca="1"/>
        <v>#NAME?</v>
      </c>
      <c r="CQ756" s="32" t="e">
        <f ca="1"/>
        <v>#NAME?</v>
      </c>
      <c r="CR756" s="30" t="e">
        <f ca="1"/>
        <v>#NAME?</v>
      </c>
      <c r="CS756" s="30" t="str">
        <f ca="1">IFERROR(__xludf.DUMMYFUNCTION("""COMPUTED_VALUE"""),"")</f>
        <v/>
      </c>
    </row>
    <row r="757" spans="1:97" ht="13">
      <c r="A757" s="29"/>
      <c r="C757" s="32"/>
      <c r="I757" s="34"/>
      <c r="BP757" s="29"/>
      <c r="CC757" s="30" t="str">
        <f ca="1">IFERROR(__xludf.DUMMYFUNCTION("""COMPUTED_VALUE"""),"f891d5d0")</f>
        <v>f891d5d0</v>
      </c>
      <c r="CD757" s="29" t="str">
        <f ca="1">IFERROR(__xludf.DUMMYFUNCTION("""COMPUTED_VALUE"""),"Niñas y Niños (6 a 12 años)")</f>
        <v>Niñas y Niños (6 a 12 años)</v>
      </c>
      <c r="CE757" s="30" t="str">
        <f ca="1">IFERROR(__xludf.DUMMYFUNCTION("""COMPUTED_VALUE"""),"No se cuenta con el dato")</f>
        <v>No se cuenta con el dato</v>
      </c>
      <c r="CF757" s="30" t="str">
        <f ca="1">IFERROR(__xludf.DUMMYFUNCTION("""COMPUTED_VALUE"""),"Ninguno (Población General)")</f>
        <v>Ninguno (Población General)</v>
      </c>
      <c r="CG757" s="30">
        <f ca="1">IFERROR(__xludf.DUMMYFUNCTION("""COMPUTED_VALUE"""),2)</f>
        <v>2</v>
      </c>
      <c r="CJ757" s="29"/>
      <c r="CM757" s="30" t="str">
        <f ca="1">IFERROR(__xludf.DUMMYFUNCTION("""COMPUTED_VALUE"""),"")</f>
        <v/>
      </c>
      <c r="CN757" s="32" t="e">
        <f ca="1"/>
        <v>#NAME?</v>
      </c>
      <c r="CO757" s="32" t="e">
        <f ca="1"/>
        <v>#NAME?</v>
      </c>
      <c r="CP757" s="32" t="e">
        <f ca="1"/>
        <v>#NAME?</v>
      </c>
      <c r="CQ757" s="32" t="e">
        <f ca="1"/>
        <v>#NAME?</v>
      </c>
      <c r="CR757" s="30" t="e">
        <f ca="1"/>
        <v>#NAME?</v>
      </c>
      <c r="CS757" s="30" t="str">
        <f ca="1">IFERROR(__xludf.DUMMYFUNCTION("""COMPUTED_VALUE"""),"")</f>
        <v/>
      </c>
    </row>
    <row r="758" spans="1:97" ht="13">
      <c r="A758" s="29"/>
      <c r="C758" s="32"/>
      <c r="I758" s="34"/>
      <c r="BP758" s="29"/>
      <c r="CC758" s="30" t="str">
        <f ca="1">IFERROR(__xludf.DUMMYFUNCTION("""COMPUTED_VALUE"""),"ff997b1d")</f>
        <v>ff997b1d</v>
      </c>
      <c r="CD758" s="29" t="str">
        <f ca="1">IFERROR(__xludf.DUMMYFUNCTION("""COMPUTED_VALUE"""),"Adolescentes (13 a 17 años)")</f>
        <v>Adolescentes (13 a 17 años)</v>
      </c>
      <c r="CE758" s="30" t="str">
        <f ca="1">IFERROR(__xludf.DUMMYFUNCTION("""COMPUTED_VALUE"""),"No se cuenta con el dato")</f>
        <v>No se cuenta con el dato</v>
      </c>
      <c r="CF758" s="30" t="str">
        <f ca="1">IFERROR(__xludf.DUMMYFUNCTION("""COMPUTED_VALUE"""),"Ninguno (Población General)")</f>
        <v>Ninguno (Población General)</v>
      </c>
      <c r="CG758" s="30">
        <f ca="1">IFERROR(__xludf.DUMMYFUNCTION("""COMPUTED_VALUE"""),5)</f>
        <v>5</v>
      </c>
      <c r="CJ758" s="29"/>
      <c r="CM758" s="30" t="str">
        <f ca="1">IFERROR(__xludf.DUMMYFUNCTION("""COMPUTED_VALUE"""),"")</f>
        <v/>
      </c>
      <c r="CN758" s="32" t="e">
        <f ca="1"/>
        <v>#NAME?</v>
      </c>
      <c r="CO758" s="32" t="e">
        <f ca="1"/>
        <v>#NAME?</v>
      </c>
      <c r="CP758" s="32" t="e">
        <f ca="1"/>
        <v>#NAME?</v>
      </c>
      <c r="CQ758" s="32" t="e">
        <f ca="1"/>
        <v>#NAME?</v>
      </c>
      <c r="CR758" s="30" t="e">
        <f ca="1"/>
        <v>#NAME?</v>
      </c>
      <c r="CS758" s="30" t="str">
        <f ca="1">IFERROR(__xludf.DUMMYFUNCTION("""COMPUTED_VALUE"""),"")</f>
        <v/>
      </c>
    </row>
    <row r="759" spans="1:97" ht="13">
      <c r="A759" s="29"/>
      <c r="C759" s="32"/>
      <c r="I759" s="34"/>
      <c r="BP759" s="29"/>
      <c r="CC759" s="30" t="str">
        <f ca="1">IFERROR(__xludf.DUMMYFUNCTION("""COMPUTED_VALUE"""),"2bf03357")</f>
        <v>2bf03357</v>
      </c>
      <c r="CD759" s="29" t="str">
        <f ca="1">IFERROR(__xludf.DUMMYFUNCTION("""COMPUTED_VALUE"""),"Jóvenes (18 a 29 años)")</f>
        <v>Jóvenes (18 a 29 años)</v>
      </c>
      <c r="CE759" s="30" t="str">
        <f ca="1">IFERROR(__xludf.DUMMYFUNCTION("""COMPUTED_VALUE"""),"No se cuenta con el dato")</f>
        <v>No se cuenta con el dato</v>
      </c>
      <c r="CF759" s="30" t="str">
        <f ca="1">IFERROR(__xludf.DUMMYFUNCTION("""COMPUTED_VALUE"""),"Ninguno (Población General)")</f>
        <v>Ninguno (Población General)</v>
      </c>
      <c r="CG759" s="30">
        <f ca="1">IFERROR(__xludf.DUMMYFUNCTION("""COMPUTED_VALUE"""),9)</f>
        <v>9</v>
      </c>
      <c r="CJ759" s="29"/>
      <c r="CM759" s="30" t="str">
        <f ca="1">IFERROR(__xludf.DUMMYFUNCTION("""COMPUTED_VALUE"""),"")</f>
        <v/>
      </c>
      <c r="CN759" s="32" t="e">
        <f ca="1"/>
        <v>#NAME?</v>
      </c>
      <c r="CO759" s="32" t="e">
        <f ca="1"/>
        <v>#NAME?</v>
      </c>
      <c r="CP759" s="32" t="e">
        <f ca="1"/>
        <v>#NAME?</v>
      </c>
      <c r="CQ759" s="32" t="e">
        <f ca="1"/>
        <v>#NAME?</v>
      </c>
      <c r="CR759" s="30" t="e">
        <f ca="1"/>
        <v>#NAME?</v>
      </c>
      <c r="CS759" s="30" t="str">
        <f ca="1">IFERROR(__xludf.DUMMYFUNCTION("""COMPUTED_VALUE"""),"")</f>
        <v/>
      </c>
    </row>
    <row r="760" spans="1:97" ht="13">
      <c r="A760" s="29"/>
      <c r="C760" s="32"/>
      <c r="I760" s="34"/>
      <c r="BP760" s="29"/>
      <c r="CC760" s="30" t="str">
        <f ca="1">IFERROR(__xludf.DUMMYFUNCTION("""COMPUTED_VALUE"""),"6429cb3c")</f>
        <v>6429cb3c</v>
      </c>
      <c r="CD760" s="29" t="str">
        <f ca="1">IFERROR(__xludf.DUMMYFUNCTION("""COMPUTED_VALUE"""),"Adultos (30 a 59 años)")</f>
        <v>Adultos (30 a 59 años)</v>
      </c>
      <c r="CE760" s="30" t="str">
        <f ca="1">IFERROR(__xludf.DUMMYFUNCTION("""COMPUTED_VALUE"""),"No se cuenta con el dato")</f>
        <v>No se cuenta con el dato</v>
      </c>
      <c r="CF760" s="30" t="str">
        <f ca="1">IFERROR(__xludf.DUMMYFUNCTION("""COMPUTED_VALUE"""),"Ninguno (Población General)")</f>
        <v>Ninguno (Población General)</v>
      </c>
      <c r="CG760" s="30">
        <f ca="1">IFERROR(__xludf.DUMMYFUNCTION("""COMPUTED_VALUE"""),5)</f>
        <v>5</v>
      </c>
      <c r="CJ760" s="29"/>
      <c r="CM760" s="30" t="str">
        <f ca="1">IFERROR(__xludf.DUMMYFUNCTION("""COMPUTED_VALUE"""),"")</f>
        <v/>
      </c>
      <c r="CN760" s="32" t="e">
        <f ca="1"/>
        <v>#NAME?</v>
      </c>
      <c r="CO760" s="32" t="e">
        <f ca="1"/>
        <v>#NAME?</v>
      </c>
      <c r="CP760" s="32" t="e">
        <f ca="1"/>
        <v>#NAME?</v>
      </c>
      <c r="CQ760" s="32" t="e">
        <f ca="1"/>
        <v>#NAME?</v>
      </c>
      <c r="CR760" s="30" t="e">
        <f ca="1"/>
        <v>#NAME?</v>
      </c>
      <c r="CS760" s="30" t="str">
        <f ca="1">IFERROR(__xludf.DUMMYFUNCTION("""COMPUTED_VALUE"""),"")</f>
        <v/>
      </c>
    </row>
    <row r="761" spans="1:97" ht="13">
      <c r="A761" s="29"/>
      <c r="C761" s="32"/>
      <c r="I761" s="34"/>
      <c r="BP761" s="29"/>
      <c r="CC761" s="30" t="str">
        <f ca="1">IFERROR(__xludf.DUMMYFUNCTION("""COMPUTED_VALUE"""),"590c4fc5")</f>
        <v>590c4fc5</v>
      </c>
      <c r="CD761" s="29" t="str">
        <f ca="1">IFERROR(__xludf.DUMMYFUNCTION("""COMPUTED_VALUE"""),"Población General")</f>
        <v>Población General</v>
      </c>
      <c r="CE761" s="30" t="str">
        <f ca="1">IFERROR(__xludf.DUMMYFUNCTION("""COMPUTED_VALUE"""),"Dato global")</f>
        <v>Dato global</v>
      </c>
      <c r="CF761" s="30" t="str">
        <f ca="1">IFERROR(__xludf.DUMMYFUNCTION("""COMPUTED_VALUE"""),"Ninguno (Población General)")</f>
        <v>Ninguno (Población General)</v>
      </c>
      <c r="CG761" s="30">
        <f ca="1">IFERROR(__xludf.DUMMYFUNCTION("""COMPUTED_VALUE"""),1338)</f>
        <v>1338</v>
      </c>
      <c r="CJ761" s="29"/>
      <c r="CM761" s="30" t="str">
        <f ca="1">IFERROR(__xludf.DUMMYFUNCTION("""COMPUTED_VALUE"""),"")</f>
        <v/>
      </c>
      <c r="CN761" s="32" t="e">
        <f ca="1"/>
        <v>#NAME?</v>
      </c>
      <c r="CO761" s="32" t="e">
        <f ca="1"/>
        <v>#NAME?</v>
      </c>
      <c r="CP761" s="32" t="e">
        <f ca="1"/>
        <v>#NAME?</v>
      </c>
      <c r="CQ761" s="32" t="e">
        <f ca="1"/>
        <v>#NAME?</v>
      </c>
      <c r="CR761" s="30" t="e">
        <f ca="1"/>
        <v>#NAME?</v>
      </c>
      <c r="CS761" s="30" t="str">
        <f ca="1">IFERROR(__xludf.DUMMYFUNCTION("""COMPUTED_VALUE"""),"")</f>
        <v/>
      </c>
    </row>
    <row r="762" spans="1:97" ht="13">
      <c r="A762" s="29"/>
      <c r="C762" s="32"/>
      <c r="I762" s="34"/>
      <c r="BP762" s="29"/>
      <c r="CC762" s="30" t="str">
        <f ca="1">IFERROR(__xludf.DUMMYFUNCTION("""COMPUTED_VALUE"""),"1036c8dc")</f>
        <v>1036c8dc</v>
      </c>
      <c r="CD762" s="29" t="str">
        <f ca="1">IFERROR(__xludf.DUMMYFUNCTION("""COMPUTED_VALUE"""),"Población General")</f>
        <v>Población General</v>
      </c>
      <c r="CE762" s="30" t="str">
        <f ca="1">IFERROR(__xludf.DUMMYFUNCTION("""COMPUTED_VALUE"""),"Dato global")</f>
        <v>Dato global</v>
      </c>
      <c r="CF762" s="30" t="str">
        <f ca="1">IFERROR(__xludf.DUMMYFUNCTION("""COMPUTED_VALUE"""),"Ninguno (Población General)")</f>
        <v>Ninguno (Población General)</v>
      </c>
      <c r="CG762" s="30">
        <f ca="1">IFERROR(__xludf.DUMMYFUNCTION("""COMPUTED_VALUE"""),445)</f>
        <v>445</v>
      </c>
      <c r="CJ762" s="29"/>
      <c r="CM762" s="30" t="str">
        <f ca="1">IFERROR(__xludf.DUMMYFUNCTION("""COMPUTED_VALUE"""),"")</f>
        <v/>
      </c>
      <c r="CN762" s="32" t="e">
        <f ca="1"/>
        <v>#NAME?</v>
      </c>
      <c r="CO762" s="32" t="e">
        <f ca="1"/>
        <v>#NAME?</v>
      </c>
      <c r="CP762" s="32" t="e">
        <f ca="1"/>
        <v>#NAME?</v>
      </c>
      <c r="CQ762" s="32" t="e">
        <f ca="1"/>
        <v>#NAME?</v>
      </c>
      <c r="CR762" s="30" t="e">
        <f ca="1"/>
        <v>#NAME?</v>
      </c>
      <c r="CS762" s="30" t="str">
        <f ca="1">IFERROR(__xludf.DUMMYFUNCTION("""COMPUTED_VALUE"""),"")</f>
        <v/>
      </c>
    </row>
    <row r="763" spans="1:97" ht="13">
      <c r="A763" s="29"/>
      <c r="C763" s="32"/>
      <c r="I763" s="34"/>
      <c r="BP763" s="29"/>
      <c r="CC763" s="30" t="str">
        <f ca="1">IFERROR(__xludf.DUMMYFUNCTION("""COMPUTED_VALUE"""),"c7d28f9a")</f>
        <v>c7d28f9a</v>
      </c>
      <c r="CD763" s="29" t="str">
        <f ca="1">IFERROR(__xludf.DUMMYFUNCTION("""COMPUTED_VALUE"""),"Adolescentes (13 a 17 años)")</f>
        <v>Adolescentes (13 a 17 años)</v>
      </c>
      <c r="CE763" s="30" t="str">
        <f ca="1">IFERROR(__xludf.DUMMYFUNCTION("""COMPUTED_VALUE"""),"No se cuenta con el dato")</f>
        <v>No se cuenta con el dato</v>
      </c>
      <c r="CF763" s="30" t="str">
        <f ca="1">IFERROR(__xludf.DUMMYFUNCTION("""COMPUTED_VALUE"""),"Ninguno (Población General)")</f>
        <v>Ninguno (Población General)</v>
      </c>
      <c r="CG763" s="30">
        <f ca="1">IFERROR(__xludf.DUMMYFUNCTION("""COMPUTED_VALUE"""),1)</f>
        <v>1</v>
      </c>
      <c r="CJ763" s="29"/>
      <c r="CM763" s="30" t="str">
        <f ca="1">IFERROR(__xludf.DUMMYFUNCTION("""COMPUTED_VALUE"""),"")</f>
        <v/>
      </c>
      <c r="CN763" s="32" t="e">
        <f ca="1"/>
        <v>#NAME?</v>
      </c>
      <c r="CO763" s="32" t="e">
        <f ca="1"/>
        <v>#NAME?</v>
      </c>
      <c r="CP763" s="32" t="e">
        <f ca="1"/>
        <v>#NAME?</v>
      </c>
      <c r="CQ763" s="32" t="e">
        <f ca="1"/>
        <v>#NAME?</v>
      </c>
      <c r="CR763" s="30" t="e">
        <f ca="1"/>
        <v>#NAME?</v>
      </c>
      <c r="CS763" s="30" t="str">
        <f ca="1">IFERROR(__xludf.DUMMYFUNCTION("""COMPUTED_VALUE"""),"")</f>
        <v/>
      </c>
    </row>
    <row r="764" spans="1:97" ht="13">
      <c r="A764" s="29"/>
      <c r="C764" s="32"/>
      <c r="I764" s="34"/>
      <c r="BP764" s="29"/>
      <c r="CC764" s="30" t="str">
        <f ca="1">IFERROR(__xludf.DUMMYFUNCTION("""COMPUTED_VALUE"""),"b212693a")</f>
        <v>b212693a</v>
      </c>
      <c r="CD764" s="29" t="str">
        <f ca="1">IFERROR(__xludf.DUMMYFUNCTION("""COMPUTED_VALUE"""),"Jóvenes (18 a 29 años)")</f>
        <v>Jóvenes (18 a 29 años)</v>
      </c>
      <c r="CE764" s="30" t="str">
        <f ca="1">IFERROR(__xludf.DUMMYFUNCTION("""COMPUTED_VALUE"""),"No se cuenta con el dato")</f>
        <v>No se cuenta con el dato</v>
      </c>
      <c r="CF764" s="30" t="str">
        <f ca="1">IFERROR(__xludf.DUMMYFUNCTION("""COMPUTED_VALUE"""),"Ninguno (Población General)")</f>
        <v>Ninguno (Población General)</v>
      </c>
      <c r="CG764" s="30">
        <f ca="1">IFERROR(__xludf.DUMMYFUNCTION("""COMPUTED_VALUE"""),2)</f>
        <v>2</v>
      </c>
      <c r="CJ764" s="29"/>
      <c r="CM764" s="30" t="str">
        <f ca="1">IFERROR(__xludf.DUMMYFUNCTION("""COMPUTED_VALUE"""),"")</f>
        <v/>
      </c>
      <c r="CN764" s="32" t="e">
        <f ca="1"/>
        <v>#NAME?</v>
      </c>
      <c r="CO764" s="32" t="e">
        <f ca="1"/>
        <v>#NAME?</v>
      </c>
      <c r="CP764" s="32" t="e">
        <f ca="1"/>
        <v>#NAME?</v>
      </c>
      <c r="CQ764" s="32" t="e">
        <f ca="1"/>
        <v>#NAME?</v>
      </c>
      <c r="CR764" s="30" t="e">
        <f ca="1"/>
        <v>#NAME?</v>
      </c>
      <c r="CS764" s="30" t="str">
        <f ca="1">IFERROR(__xludf.DUMMYFUNCTION("""COMPUTED_VALUE"""),"")</f>
        <v/>
      </c>
    </row>
    <row r="765" spans="1:97" ht="13">
      <c r="A765" s="29"/>
      <c r="C765" s="32"/>
      <c r="I765" s="34"/>
      <c r="BP765" s="29"/>
      <c r="CC765" s="30" t="str">
        <f ca="1">IFERROR(__xludf.DUMMYFUNCTION("""COMPUTED_VALUE"""),"8d868db3")</f>
        <v>8d868db3</v>
      </c>
      <c r="CD765" s="29" t="str">
        <f ca="1">IFERROR(__xludf.DUMMYFUNCTION("""COMPUTED_VALUE"""),"Adultos (30 a 59 años)")</f>
        <v>Adultos (30 a 59 años)</v>
      </c>
      <c r="CE765" s="30" t="str">
        <f ca="1">IFERROR(__xludf.DUMMYFUNCTION("""COMPUTED_VALUE"""),"No se cuenta con el dato")</f>
        <v>No se cuenta con el dato</v>
      </c>
      <c r="CF765" s="30" t="str">
        <f ca="1">IFERROR(__xludf.DUMMYFUNCTION("""COMPUTED_VALUE"""),"Ninguno (Población General)")</f>
        <v>Ninguno (Población General)</v>
      </c>
      <c r="CG765" s="30">
        <f ca="1">IFERROR(__xludf.DUMMYFUNCTION("""COMPUTED_VALUE"""),4)</f>
        <v>4</v>
      </c>
      <c r="CJ765" s="29"/>
      <c r="CM765" s="30" t="str">
        <f ca="1">IFERROR(__xludf.DUMMYFUNCTION("""COMPUTED_VALUE"""),"")</f>
        <v/>
      </c>
      <c r="CN765" s="32" t="e">
        <f ca="1"/>
        <v>#NAME?</v>
      </c>
      <c r="CO765" s="32" t="e">
        <f ca="1"/>
        <v>#NAME?</v>
      </c>
      <c r="CP765" s="32" t="e">
        <f ca="1"/>
        <v>#NAME?</v>
      </c>
      <c r="CQ765" s="32" t="e">
        <f ca="1"/>
        <v>#NAME?</v>
      </c>
      <c r="CR765" s="30" t="e">
        <f ca="1"/>
        <v>#NAME?</v>
      </c>
      <c r="CS765" s="30" t="str">
        <f ca="1">IFERROR(__xludf.DUMMYFUNCTION("""COMPUTED_VALUE"""),"")</f>
        <v/>
      </c>
    </row>
    <row r="766" spans="1:97" ht="13">
      <c r="A766" s="29"/>
      <c r="C766" s="32"/>
      <c r="I766" s="34"/>
      <c r="BP766" s="29"/>
      <c r="CC766" s="30" t="str">
        <f ca="1">IFERROR(__xludf.DUMMYFUNCTION("""COMPUTED_VALUE"""),"b9a5fe6f")</f>
        <v>b9a5fe6f</v>
      </c>
      <c r="CD766" s="29" t="str">
        <f ca="1">IFERROR(__xludf.DUMMYFUNCTION("""COMPUTED_VALUE"""),"Adultos Mayores (60 años o más)")</f>
        <v>Adultos Mayores (60 años o más)</v>
      </c>
      <c r="CE766" s="30" t="str">
        <f ca="1">IFERROR(__xludf.DUMMYFUNCTION("""COMPUTED_VALUE"""),"No se cuenta con el dato")</f>
        <v>No se cuenta con el dato</v>
      </c>
      <c r="CF766" s="30" t="str">
        <f ca="1">IFERROR(__xludf.DUMMYFUNCTION("""COMPUTED_VALUE"""),"Ninguno (Población General)")</f>
        <v>Ninguno (Población General)</v>
      </c>
      <c r="CG766" s="30">
        <f ca="1">IFERROR(__xludf.DUMMYFUNCTION("""COMPUTED_VALUE"""),5)</f>
        <v>5</v>
      </c>
      <c r="CJ766" s="29"/>
      <c r="CM766" s="30" t="str">
        <f ca="1">IFERROR(__xludf.DUMMYFUNCTION("""COMPUTED_VALUE"""),"")</f>
        <v/>
      </c>
      <c r="CN766" s="32" t="e">
        <f ca="1"/>
        <v>#NAME?</v>
      </c>
      <c r="CO766" s="32" t="e">
        <f ca="1"/>
        <v>#NAME?</v>
      </c>
      <c r="CP766" s="32" t="e">
        <f ca="1"/>
        <v>#NAME?</v>
      </c>
      <c r="CQ766" s="32" t="e">
        <f ca="1"/>
        <v>#NAME?</v>
      </c>
      <c r="CR766" s="30" t="e">
        <f ca="1"/>
        <v>#NAME?</v>
      </c>
      <c r="CS766" s="30" t="str">
        <f ca="1">IFERROR(__xludf.DUMMYFUNCTION("""COMPUTED_VALUE"""),"")</f>
        <v/>
      </c>
    </row>
    <row r="767" spans="1:97" ht="13">
      <c r="A767" s="29"/>
      <c r="C767" s="32"/>
      <c r="I767" s="34"/>
      <c r="BP767" s="29"/>
      <c r="CC767" s="30" t="str">
        <f ca="1">IFERROR(__xludf.DUMMYFUNCTION("""COMPUTED_VALUE"""),"8c6cc4ce")</f>
        <v>8c6cc4ce</v>
      </c>
      <c r="CD767" s="29" t="str">
        <f ca="1">IFERROR(__xludf.DUMMYFUNCTION("""COMPUTED_VALUE"""),"Niñas y Niños (6 a 12 años)")</f>
        <v>Niñas y Niños (6 a 12 años)</v>
      </c>
      <c r="CE767" s="30" t="str">
        <f ca="1">IFERROR(__xludf.DUMMYFUNCTION("""COMPUTED_VALUE"""),"No se cuenta con el dato")</f>
        <v>No se cuenta con el dato</v>
      </c>
      <c r="CF767" s="30" t="str">
        <f ca="1">IFERROR(__xludf.DUMMYFUNCTION("""COMPUTED_VALUE"""),"Ninguno (Población General)")</f>
        <v>Ninguno (Población General)</v>
      </c>
      <c r="CG767" s="30">
        <f ca="1">IFERROR(__xludf.DUMMYFUNCTION("""COMPUTED_VALUE"""),3)</f>
        <v>3</v>
      </c>
      <c r="CJ767" s="29"/>
      <c r="CM767" s="30" t="str">
        <f ca="1">IFERROR(__xludf.DUMMYFUNCTION("""COMPUTED_VALUE"""),"")</f>
        <v/>
      </c>
      <c r="CN767" s="32" t="e">
        <f ca="1"/>
        <v>#NAME?</v>
      </c>
      <c r="CO767" s="32" t="e">
        <f ca="1"/>
        <v>#NAME?</v>
      </c>
      <c r="CP767" s="32" t="e">
        <f ca="1"/>
        <v>#NAME?</v>
      </c>
      <c r="CQ767" s="32" t="e">
        <f ca="1"/>
        <v>#NAME?</v>
      </c>
      <c r="CR767" s="30" t="e">
        <f ca="1"/>
        <v>#NAME?</v>
      </c>
      <c r="CS767" s="30" t="str">
        <f ca="1">IFERROR(__xludf.DUMMYFUNCTION("""COMPUTED_VALUE"""),"")</f>
        <v/>
      </c>
    </row>
    <row r="768" spans="1:97" ht="13">
      <c r="A768" s="29"/>
      <c r="C768" s="32"/>
      <c r="I768" s="34"/>
      <c r="BP768" s="29"/>
      <c r="CC768" s="30" t="str">
        <f ca="1">IFERROR(__xludf.DUMMYFUNCTION("""COMPUTED_VALUE"""),"773ae4f4")</f>
        <v>773ae4f4</v>
      </c>
      <c r="CD768" s="29" t="str">
        <f ca="1">IFERROR(__xludf.DUMMYFUNCTION("""COMPUTED_VALUE"""),"Adolescentes (13 a 17 años)")</f>
        <v>Adolescentes (13 a 17 años)</v>
      </c>
      <c r="CE768" s="30" t="str">
        <f ca="1">IFERROR(__xludf.DUMMYFUNCTION("""COMPUTED_VALUE"""),"No se cuenta con el dato")</f>
        <v>No se cuenta con el dato</v>
      </c>
      <c r="CF768" s="30" t="str">
        <f ca="1">IFERROR(__xludf.DUMMYFUNCTION("""COMPUTED_VALUE"""),"Ninguno (Población General)")</f>
        <v>Ninguno (Población General)</v>
      </c>
      <c r="CG768" s="30">
        <f ca="1">IFERROR(__xludf.DUMMYFUNCTION("""COMPUTED_VALUE"""),3)</f>
        <v>3</v>
      </c>
      <c r="CJ768" s="29"/>
      <c r="CM768" s="30" t="str">
        <f ca="1">IFERROR(__xludf.DUMMYFUNCTION("""COMPUTED_VALUE"""),"")</f>
        <v/>
      </c>
      <c r="CN768" s="32" t="e">
        <f ca="1"/>
        <v>#NAME?</v>
      </c>
      <c r="CO768" s="32" t="e">
        <f ca="1"/>
        <v>#NAME?</v>
      </c>
      <c r="CP768" s="32" t="e">
        <f ca="1"/>
        <v>#NAME?</v>
      </c>
      <c r="CQ768" s="32" t="e">
        <f ca="1"/>
        <v>#NAME?</v>
      </c>
      <c r="CR768" s="30" t="e">
        <f ca="1"/>
        <v>#NAME?</v>
      </c>
      <c r="CS768" s="30" t="str">
        <f ca="1">IFERROR(__xludf.DUMMYFUNCTION("""COMPUTED_VALUE"""),"")</f>
        <v/>
      </c>
    </row>
    <row r="769" spans="1:97" ht="13">
      <c r="A769" s="29"/>
      <c r="C769" s="32"/>
      <c r="I769" s="34"/>
      <c r="BP769" s="29"/>
      <c r="CC769" s="30" t="str">
        <f ca="1">IFERROR(__xludf.DUMMYFUNCTION("""COMPUTED_VALUE"""),"51d82e16")</f>
        <v>51d82e16</v>
      </c>
      <c r="CD769" s="29" t="str">
        <f ca="1">IFERROR(__xludf.DUMMYFUNCTION("""COMPUTED_VALUE"""),"Jóvenes (18 a 29 años)")</f>
        <v>Jóvenes (18 a 29 años)</v>
      </c>
      <c r="CE769" s="30" t="str">
        <f ca="1">IFERROR(__xludf.DUMMYFUNCTION("""COMPUTED_VALUE"""),"No se cuenta con el dato")</f>
        <v>No se cuenta con el dato</v>
      </c>
      <c r="CF769" s="30" t="str">
        <f ca="1">IFERROR(__xludf.DUMMYFUNCTION("""COMPUTED_VALUE"""),"Ninguno (Población General)")</f>
        <v>Ninguno (Población General)</v>
      </c>
      <c r="CG769" s="30">
        <f ca="1">IFERROR(__xludf.DUMMYFUNCTION("""COMPUTED_VALUE"""),5)</f>
        <v>5</v>
      </c>
      <c r="CJ769" s="29"/>
      <c r="CM769" s="30" t="str">
        <f ca="1">IFERROR(__xludf.DUMMYFUNCTION("""COMPUTED_VALUE"""),"")</f>
        <v/>
      </c>
      <c r="CN769" s="32" t="e">
        <f ca="1"/>
        <v>#NAME?</v>
      </c>
      <c r="CO769" s="32" t="e">
        <f ca="1"/>
        <v>#NAME?</v>
      </c>
      <c r="CP769" s="32" t="e">
        <f ca="1"/>
        <v>#NAME?</v>
      </c>
      <c r="CQ769" s="32" t="e">
        <f ca="1"/>
        <v>#NAME?</v>
      </c>
      <c r="CR769" s="30" t="e">
        <f ca="1"/>
        <v>#NAME?</v>
      </c>
      <c r="CS769" s="30" t="str">
        <f ca="1">IFERROR(__xludf.DUMMYFUNCTION("""COMPUTED_VALUE"""),"")</f>
        <v/>
      </c>
    </row>
    <row r="770" spans="1:97" ht="13">
      <c r="A770" s="29"/>
      <c r="C770" s="32"/>
      <c r="I770" s="34"/>
      <c r="BP770" s="29"/>
      <c r="CC770" s="30" t="str">
        <f ca="1">IFERROR(__xludf.DUMMYFUNCTION("""COMPUTED_VALUE"""),"4fa9a513")</f>
        <v>4fa9a513</v>
      </c>
      <c r="CD770" s="29" t="str">
        <f ca="1">IFERROR(__xludf.DUMMYFUNCTION("""COMPUTED_VALUE"""),"Jóvenes (18 a 29 años)")</f>
        <v>Jóvenes (18 a 29 años)</v>
      </c>
      <c r="CE770" s="30" t="str">
        <f ca="1">IFERROR(__xludf.DUMMYFUNCTION("""COMPUTED_VALUE"""),"No se cuenta con el dato")</f>
        <v>No se cuenta con el dato</v>
      </c>
      <c r="CF770" s="30" t="str">
        <f ca="1">IFERROR(__xludf.DUMMYFUNCTION("""COMPUTED_VALUE"""),"Ninguno (Población General)")</f>
        <v>Ninguno (Población General)</v>
      </c>
      <c r="CG770" s="30">
        <f ca="1">IFERROR(__xludf.DUMMYFUNCTION("""COMPUTED_VALUE"""),2)</f>
        <v>2</v>
      </c>
      <c r="CJ770" s="29"/>
      <c r="CM770" s="30" t="str">
        <f ca="1">IFERROR(__xludf.DUMMYFUNCTION("""COMPUTED_VALUE"""),"")</f>
        <v/>
      </c>
      <c r="CN770" s="32" t="e">
        <f ca="1"/>
        <v>#NAME?</v>
      </c>
      <c r="CO770" s="32" t="e">
        <f ca="1"/>
        <v>#NAME?</v>
      </c>
      <c r="CP770" s="32" t="e">
        <f ca="1"/>
        <v>#NAME?</v>
      </c>
      <c r="CQ770" s="32" t="e">
        <f ca="1"/>
        <v>#NAME?</v>
      </c>
      <c r="CR770" s="30" t="e">
        <f ca="1"/>
        <v>#NAME?</v>
      </c>
      <c r="CS770" s="30" t="str">
        <f ca="1">IFERROR(__xludf.DUMMYFUNCTION("""COMPUTED_VALUE"""),"")</f>
        <v/>
      </c>
    </row>
    <row r="771" spans="1:97" ht="13">
      <c r="A771" s="29"/>
      <c r="C771" s="32"/>
      <c r="I771" s="34"/>
      <c r="BP771" s="29"/>
      <c r="CC771" s="30" t="str">
        <f ca="1">IFERROR(__xludf.DUMMYFUNCTION("""COMPUTED_VALUE"""),"0e9e6315")</f>
        <v>0e9e6315</v>
      </c>
      <c r="CD771" s="29" t="str">
        <f ca="1">IFERROR(__xludf.DUMMYFUNCTION("""COMPUTED_VALUE"""),"Adultos (30 a 59 años)")</f>
        <v>Adultos (30 a 59 años)</v>
      </c>
      <c r="CE771" s="30" t="str">
        <f ca="1">IFERROR(__xludf.DUMMYFUNCTION("""COMPUTED_VALUE"""),"No se cuenta con el dato")</f>
        <v>No se cuenta con el dato</v>
      </c>
      <c r="CF771" s="30" t="str">
        <f ca="1">IFERROR(__xludf.DUMMYFUNCTION("""COMPUTED_VALUE"""),"Ninguno (Población General)")</f>
        <v>Ninguno (Población General)</v>
      </c>
      <c r="CG771" s="30">
        <f ca="1">IFERROR(__xludf.DUMMYFUNCTION("""COMPUTED_VALUE"""),6)</f>
        <v>6</v>
      </c>
      <c r="CJ771" s="29"/>
      <c r="CM771" s="30" t="str">
        <f ca="1">IFERROR(__xludf.DUMMYFUNCTION("""COMPUTED_VALUE"""),"")</f>
        <v/>
      </c>
      <c r="CN771" s="32" t="e">
        <f ca="1"/>
        <v>#NAME?</v>
      </c>
      <c r="CO771" s="32" t="e">
        <f ca="1"/>
        <v>#NAME?</v>
      </c>
      <c r="CP771" s="32" t="e">
        <f ca="1"/>
        <v>#NAME?</v>
      </c>
      <c r="CQ771" s="32" t="e">
        <f ca="1"/>
        <v>#NAME?</v>
      </c>
      <c r="CR771" s="30" t="e">
        <f ca="1"/>
        <v>#NAME?</v>
      </c>
      <c r="CS771" s="30" t="str">
        <f ca="1">IFERROR(__xludf.DUMMYFUNCTION("""COMPUTED_VALUE"""),"")</f>
        <v/>
      </c>
    </row>
    <row r="772" spans="1:97" ht="13">
      <c r="A772" s="29"/>
      <c r="C772" s="32"/>
      <c r="I772" s="34"/>
      <c r="BP772" s="29"/>
      <c r="CC772" s="30" t="str">
        <f ca="1">IFERROR(__xludf.DUMMYFUNCTION("""COMPUTED_VALUE"""),"6de7c13b")</f>
        <v>6de7c13b</v>
      </c>
      <c r="CD772" s="29" t="str">
        <f ca="1">IFERROR(__xludf.DUMMYFUNCTION("""COMPUTED_VALUE"""),"Niñas y Niños (6 a 12 años)")</f>
        <v>Niñas y Niños (6 a 12 años)</v>
      </c>
      <c r="CE772" s="30" t="str">
        <f ca="1">IFERROR(__xludf.DUMMYFUNCTION("""COMPUTED_VALUE"""),"Mujer")</f>
        <v>Mujer</v>
      </c>
      <c r="CF772" s="30" t="str">
        <f ca="1">IFERROR(__xludf.DUMMYFUNCTION("""COMPUTED_VALUE"""),"NNA (Niñas, Niños y Adolescentes)")</f>
        <v>NNA (Niñas, Niños y Adolescentes)</v>
      </c>
      <c r="CG772" s="30">
        <f ca="1">IFERROR(__xludf.DUMMYFUNCTION("""COMPUTED_VALUE"""),14)</f>
        <v>14</v>
      </c>
      <c r="CJ772" s="29"/>
      <c r="CM772" s="30" t="str">
        <f ca="1">IFERROR(__xludf.DUMMYFUNCTION("""COMPUTED_VALUE"""),"")</f>
        <v/>
      </c>
      <c r="CN772" s="32" t="e">
        <f ca="1"/>
        <v>#NAME?</v>
      </c>
      <c r="CO772" s="32" t="e">
        <f ca="1"/>
        <v>#NAME?</v>
      </c>
      <c r="CP772" s="32" t="e">
        <f ca="1"/>
        <v>#NAME?</v>
      </c>
      <c r="CQ772" s="32" t="e">
        <f ca="1"/>
        <v>#NAME?</v>
      </c>
      <c r="CR772" s="30" t="e">
        <f ca="1"/>
        <v>#NAME?</v>
      </c>
      <c r="CS772" s="30" t="str">
        <f ca="1">IFERROR(__xludf.DUMMYFUNCTION("""COMPUTED_VALUE"""),"")</f>
        <v/>
      </c>
    </row>
    <row r="773" spans="1:97" ht="13">
      <c r="A773" s="29"/>
      <c r="C773" s="32"/>
      <c r="I773" s="34"/>
      <c r="BP773" s="29"/>
      <c r="CC773" s="30" t="str">
        <f ca="1">IFERROR(__xludf.DUMMYFUNCTION("""COMPUTED_VALUE"""),"56e75a1b")</f>
        <v>56e75a1b</v>
      </c>
      <c r="CD773" s="29" t="str">
        <f ca="1">IFERROR(__xludf.DUMMYFUNCTION("""COMPUTED_VALUE"""),"Niñas y Niños (6 a 12 años)")</f>
        <v>Niñas y Niños (6 a 12 años)</v>
      </c>
      <c r="CE773" s="30" t="str">
        <f ca="1">IFERROR(__xludf.DUMMYFUNCTION("""COMPUTED_VALUE"""),"Mujer")</f>
        <v>Mujer</v>
      </c>
      <c r="CF773" s="30" t="str">
        <f ca="1">IFERROR(__xludf.DUMMYFUNCTION("""COMPUTED_VALUE"""),"Ninguno (Población General)")</f>
        <v>Ninguno (Población General)</v>
      </c>
      <c r="CG773" s="30">
        <f ca="1">IFERROR(__xludf.DUMMYFUNCTION("""COMPUTED_VALUE"""),13)</f>
        <v>13</v>
      </c>
      <c r="CJ773" s="29"/>
      <c r="CM773" s="30" t="str">
        <f ca="1">IFERROR(__xludf.DUMMYFUNCTION("""COMPUTED_VALUE"""),"")</f>
        <v/>
      </c>
      <c r="CN773" s="32" t="e">
        <f ca="1"/>
        <v>#NAME?</v>
      </c>
      <c r="CO773" s="32" t="e">
        <f ca="1"/>
        <v>#NAME?</v>
      </c>
      <c r="CP773" s="32" t="e">
        <f ca="1"/>
        <v>#NAME?</v>
      </c>
      <c r="CQ773" s="32" t="e">
        <f ca="1"/>
        <v>#NAME?</v>
      </c>
      <c r="CR773" s="30" t="e">
        <f ca="1"/>
        <v>#NAME?</v>
      </c>
      <c r="CS773" s="30" t="str">
        <f ca="1">IFERROR(__xludf.DUMMYFUNCTION("""COMPUTED_VALUE"""),"")</f>
        <v/>
      </c>
    </row>
    <row r="774" spans="1:97" ht="13">
      <c r="A774" s="29"/>
      <c r="C774" s="32"/>
      <c r="I774" s="34"/>
      <c r="BP774" s="29"/>
      <c r="CC774" s="30" t="str">
        <f ca="1">IFERROR(__xludf.DUMMYFUNCTION("""COMPUTED_VALUE"""),"6956aa07")</f>
        <v>6956aa07</v>
      </c>
      <c r="CD774" s="29" t="str">
        <f ca="1">IFERROR(__xludf.DUMMYFUNCTION("""COMPUTED_VALUE"""),"Niñas y Niños (6 a 12 años)")</f>
        <v>Niñas y Niños (6 a 12 años)</v>
      </c>
      <c r="CE774" s="30" t="str">
        <f ca="1">IFERROR(__xludf.DUMMYFUNCTION("""COMPUTED_VALUE"""),"Mujer")</f>
        <v>Mujer</v>
      </c>
      <c r="CF774" s="30" t="str">
        <f ca="1">IFERROR(__xludf.DUMMYFUNCTION("""COMPUTED_VALUE"""),"Ninguno (Población General)")</f>
        <v>Ninguno (Población General)</v>
      </c>
      <c r="CG774" s="30">
        <f ca="1">IFERROR(__xludf.DUMMYFUNCTION("""COMPUTED_VALUE"""),16)</f>
        <v>16</v>
      </c>
      <c r="CJ774" s="29"/>
      <c r="CM774" s="30" t="str">
        <f ca="1">IFERROR(__xludf.DUMMYFUNCTION("""COMPUTED_VALUE"""),"")</f>
        <v/>
      </c>
      <c r="CN774" s="32" t="e">
        <f ca="1"/>
        <v>#NAME?</v>
      </c>
      <c r="CO774" s="32" t="e">
        <f ca="1"/>
        <v>#NAME?</v>
      </c>
      <c r="CP774" s="32" t="e">
        <f ca="1"/>
        <v>#NAME?</v>
      </c>
      <c r="CQ774" s="32" t="e">
        <f ca="1"/>
        <v>#NAME?</v>
      </c>
      <c r="CR774" s="30" t="e">
        <f ca="1"/>
        <v>#NAME?</v>
      </c>
      <c r="CS774" s="30" t="str">
        <f ca="1">IFERROR(__xludf.DUMMYFUNCTION("""COMPUTED_VALUE"""),"")</f>
        <v/>
      </c>
    </row>
    <row r="775" spans="1:97" ht="13">
      <c r="A775" s="29"/>
      <c r="C775" s="32"/>
      <c r="I775" s="34"/>
      <c r="BP775" s="29"/>
      <c r="CC775" s="30" t="str">
        <f ca="1">IFERROR(__xludf.DUMMYFUNCTION("""COMPUTED_VALUE"""),"1f369941")</f>
        <v>1f369941</v>
      </c>
      <c r="CD775" s="29" t="str">
        <f ca="1">IFERROR(__xludf.DUMMYFUNCTION("""COMPUTED_VALUE"""),"Niñas y Niños (6 a 12 años)")</f>
        <v>Niñas y Niños (6 a 12 años)</v>
      </c>
      <c r="CE775" s="30" t="str">
        <f ca="1">IFERROR(__xludf.DUMMYFUNCTION("""COMPUTED_VALUE"""),"Mujer")</f>
        <v>Mujer</v>
      </c>
      <c r="CF775" s="30" t="str">
        <f ca="1">IFERROR(__xludf.DUMMYFUNCTION("""COMPUTED_VALUE"""),"NNA (Niñas, Niños y Adolescentes)")</f>
        <v>NNA (Niñas, Niños y Adolescentes)</v>
      </c>
      <c r="CG775" s="30">
        <f ca="1">IFERROR(__xludf.DUMMYFUNCTION("""COMPUTED_VALUE"""),4)</f>
        <v>4</v>
      </c>
      <c r="CJ775" s="29"/>
      <c r="CM775" s="30" t="str">
        <f ca="1">IFERROR(__xludf.DUMMYFUNCTION("""COMPUTED_VALUE"""),"")</f>
        <v/>
      </c>
      <c r="CN775" s="32" t="e">
        <f ca="1"/>
        <v>#NAME?</v>
      </c>
      <c r="CO775" s="32" t="e">
        <f ca="1"/>
        <v>#NAME?</v>
      </c>
      <c r="CP775" s="32" t="e">
        <f ca="1"/>
        <v>#NAME?</v>
      </c>
      <c r="CQ775" s="32" t="e">
        <f ca="1"/>
        <v>#NAME?</v>
      </c>
      <c r="CR775" s="30" t="e">
        <f ca="1"/>
        <v>#NAME?</v>
      </c>
      <c r="CS775" s="30" t="str">
        <f ca="1">IFERROR(__xludf.DUMMYFUNCTION("""COMPUTED_VALUE"""),"")</f>
        <v/>
      </c>
    </row>
    <row r="776" spans="1:97" ht="13">
      <c r="A776" s="29"/>
      <c r="C776" s="32"/>
      <c r="I776" s="34"/>
      <c r="BP776" s="29"/>
      <c r="CC776" s="30" t="str">
        <f ca="1">IFERROR(__xludf.DUMMYFUNCTION("""COMPUTED_VALUE"""),"82d00eb1")</f>
        <v>82d00eb1</v>
      </c>
      <c r="CD776" s="29" t="str">
        <f ca="1">IFERROR(__xludf.DUMMYFUNCTION("""COMPUTED_VALUE"""),"Jóvenes (18 a 29 años)")</f>
        <v>Jóvenes (18 a 29 años)</v>
      </c>
      <c r="CE776" s="30" t="str">
        <f ca="1">IFERROR(__xludf.DUMMYFUNCTION("""COMPUTED_VALUE"""),"Mujer")</f>
        <v>Mujer</v>
      </c>
      <c r="CF776" s="30" t="str">
        <f ca="1">IFERROR(__xludf.DUMMYFUNCTION("""COMPUTED_VALUE"""),"Ninguno (Población General)")</f>
        <v>Ninguno (Población General)</v>
      </c>
      <c r="CG776" s="30">
        <f ca="1">IFERROR(__xludf.DUMMYFUNCTION("""COMPUTED_VALUE"""),252)</f>
        <v>252</v>
      </c>
      <c r="CJ776" s="29"/>
      <c r="CM776" s="30" t="str">
        <f ca="1">IFERROR(__xludf.DUMMYFUNCTION("""COMPUTED_VALUE"""),"")</f>
        <v/>
      </c>
      <c r="CN776" s="32" t="e">
        <f ca="1"/>
        <v>#NAME?</v>
      </c>
      <c r="CO776" s="32" t="e">
        <f ca="1"/>
        <v>#NAME?</v>
      </c>
      <c r="CP776" s="32" t="e">
        <f ca="1"/>
        <v>#NAME?</v>
      </c>
      <c r="CQ776" s="32" t="e">
        <f ca="1"/>
        <v>#NAME?</v>
      </c>
      <c r="CR776" s="30" t="e">
        <f ca="1"/>
        <v>#NAME?</v>
      </c>
      <c r="CS776" s="30" t="str">
        <f ca="1">IFERROR(__xludf.DUMMYFUNCTION("""COMPUTED_VALUE"""),"")</f>
        <v/>
      </c>
    </row>
    <row r="777" spans="1:97" ht="13">
      <c r="A777" s="29"/>
      <c r="C777" s="32"/>
      <c r="I777" s="34"/>
      <c r="BP777" s="29"/>
      <c r="CC777" s="30" t="str">
        <f ca="1">IFERROR(__xludf.DUMMYFUNCTION("""COMPUTED_VALUE"""),"06125dfa")</f>
        <v>06125dfa</v>
      </c>
      <c r="CD777" s="29" t="str">
        <f ca="1">IFERROR(__xludf.DUMMYFUNCTION("""COMPUTED_VALUE"""),"Jóvenes (18 a 29 años)")</f>
        <v>Jóvenes (18 a 29 años)</v>
      </c>
      <c r="CE777" s="30" t="str">
        <f ca="1">IFERROR(__xludf.DUMMYFUNCTION("""COMPUTED_VALUE"""),"Hombre")</f>
        <v>Hombre</v>
      </c>
      <c r="CF777" s="30" t="str">
        <f ca="1">IFERROR(__xludf.DUMMYFUNCTION("""COMPUTED_VALUE"""),"Ninguno (Población General)")</f>
        <v>Ninguno (Población General)</v>
      </c>
      <c r="CG777" s="30">
        <f ca="1">IFERROR(__xludf.DUMMYFUNCTION("""COMPUTED_VALUE"""),252)</f>
        <v>252</v>
      </c>
      <c r="CJ777" s="29"/>
      <c r="CM777" s="30" t="str">
        <f ca="1">IFERROR(__xludf.DUMMYFUNCTION("""COMPUTED_VALUE"""),"")</f>
        <v/>
      </c>
      <c r="CN777" s="32" t="e">
        <f ca="1"/>
        <v>#NAME?</v>
      </c>
      <c r="CO777" s="32" t="e">
        <f ca="1"/>
        <v>#NAME?</v>
      </c>
      <c r="CP777" s="32" t="e">
        <f ca="1"/>
        <v>#NAME?</v>
      </c>
      <c r="CQ777" s="32" t="e">
        <f ca="1"/>
        <v>#NAME?</v>
      </c>
      <c r="CR777" s="30" t="e">
        <f ca="1"/>
        <v>#NAME?</v>
      </c>
      <c r="CS777" s="30" t="str">
        <f ca="1">IFERROR(__xludf.DUMMYFUNCTION("""COMPUTED_VALUE"""),"")</f>
        <v/>
      </c>
    </row>
    <row r="778" spans="1:97" ht="13">
      <c r="A778" s="29"/>
      <c r="C778" s="32"/>
      <c r="I778" s="34"/>
      <c r="BP778" s="29"/>
      <c r="CC778" s="30" t="str">
        <f ca="1">IFERROR(__xludf.DUMMYFUNCTION("""COMPUTED_VALUE"""),"3fa272a9")</f>
        <v>3fa272a9</v>
      </c>
      <c r="CD778" s="29" t="str">
        <f ca="1">IFERROR(__xludf.DUMMYFUNCTION("""COMPUTED_VALUE"""),"Adultos (30 a 59 años)")</f>
        <v>Adultos (30 a 59 años)</v>
      </c>
      <c r="CE778" s="30" t="str">
        <f ca="1">IFERROR(__xludf.DUMMYFUNCTION("""COMPUTED_VALUE"""),"Mujer")</f>
        <v>Mujer</v>
      </c>
      <c r="CF778" s="30" t="str">
        <f ca="1">IFERROR(__xludf.DUMMYFUNCTION("""COMPUTED_VALUE"""),"Ninguno (Población General)")</f>
        <v>Ninguno (Población General)</v>
      </c>
      <c r="CG778" s="30">
        <f ca="1">IFERROR(__xludf.DUMMYFUNCTION("""COMPUTED_VALUE"""),252)</f>
        <v>252</v>
      </c>
      <c r="CJ778" s="29"/>
      <c r="CM778" s="30" t="str">
        <f ca="1">IFERROR(__xludf.DUMMYFUNCTION("""COMPUTED_VALUE"""),"")</f>
        <v/>
      </c>
      <c r="CN778" s="32" t="e">
        <f ca="1"/>
        <v>#NAME?</v>
      </c>
      <c r="CO778" s="32" t="e">
        <f ca="1"/>
        <v>#NAME?</v>
      </c>
      <c r="CP778" s="32" t="e">
        <f ca="1"/>
        <v>#NAME?</v>
      </c>
      <c r="CQ778" s="32" t="e">
        <f ca="1"/>
        <v>#NAME?</v>
      </c>
      <c r="CR778" s="30" t="e">
        <f ca="1"/>
        <v>#NAME?</v>
      </c>
      <c r="CS778" s="30" t="str">
        <f ca="1">IFERROR(__xludf.DUMMYFUNCTION("""COMPUTED_VALUE"""),"")</f>
        <v/>
      </c>
    </row>
    <row r="779" spans="1:97" ht="13">
      <c r="A779" s="29"/>
      <c r="C779" s="32"/>
      <c r="I779" s="34"/>
      <c r="BP779" s="29"/>
      <c r="CC779" s="30" t="str">
        <f ca="1">IFERROR(__xludf.DUMMYFUNCTION("""COMPUTED_VALUE"""),"55fd9101")</f>
        <v>55fd9101</v>
      </c>
      <c r="CD779" s="29" t="str">
        <f ca="1">IFERROR(__xludf.DUMMYFUNCTION("""COMPUTED_VALUE"""),"Adultos (30 a 59 años)")</f>
        <v>Adultos (30 a 59 años)</v>
      </c>
      <c r="CE779" s="30" t="str">
        <f ca="1">IFERROR(__xludf.DUMMYFUNCTION("""COMPUTED_VALUE"""),"Hombre")</f>
        <v>Hombre</v>
      </c>
      <c r="CF779" s="30" t="str">
        <f ca="1">IFERROR(__xludf.DUMMYFUNCTION("""COMPUTED_VALUE"""),"Ninguno (Población General)")</f>
        <v>Ninguno (Población General)</v>
      </c>
      <c r="CG779" s="30">
        <f ca="1">IFERROR(__xludf.DUMMYFUNCTION("""COMPUTED_VALUE"""),252)</f>
        <v>252</v>
      </c>
      <c r="CJ779" s="29"/>
      <c r="CM779" s="30" t="str">
        <f ca="1">IFERROR(__xludf.DUMMYFUNCTION("""COMPUTED_VALUE"""),"")</f>
        <v/>
      </c>
      <c r="CN779" s="32" t="e">
        <f ca="1"/>
        <v>#NAME?</v>
      </c>
      <c r="CO779" s="32" t="e">
        <f ca="1"/>
        <v>#NAME?</v>
      </c>
      <c r="CP779" s="32" t="e">
        <f ca="1"/>
        <v>#NAME?</v>
      </c>
      <c r="CQ779" s="32" t="e">
        <f ca="1"/>
        <v>#NAME?</v>
      </c>
      <c r="CR779" s="30" t="e">
        <f ca="1"/>
        <v>#NAME?</v>
      </c>
      <c r="CS779" s="30" t="str">
        <f ca="1">IFERROR(__xludf.DUMMYFUNCTION("""COMPUTED_VALUE"""),"")</f>
        <v/>
      </c>
    </row>
    <row r="780" spans="1:97" ht="13">
      <c r="A780" s="29"/>
      <c r="C780" s="32"/>
      <c r="I780" s="34"/>
      <c r="BP780" s="29"/>
      <c r="CC780" s="30" t="str">
        <f ca="1">IFERROR(__xludf.DUMMYFUNCTION("""COMPUTED_VALUE"""),"891acf36")</f>
        <v>891acf36</v>
      </c>
      <c r="CD780" s="29" t="str">
        <f ca="1">IFERROR(__xludf.DUMMYFUNCTION("""COMPUTED_VALUE"""),"Adultos Mayores (60 años o más)")</f>
        <v>Adultos Mayores (60 años o más)</v>
      </c>
      <c r="CE780" s="30" t="str">
        <f ca="1">IFERROR(__xludf.DUMMYFUNCTION("""COMPUTED_VALUE"""),"Mujer")</f>
        <v>Mujer</v>
      </c>
      <c r="CF780" s="30" t="str">
        <f ca="1">IFERROR(__xludf.DUMMYFUNCTION("""COMPUTED_VALUE"""),"Ninguno (Población General)")</f>
        <v>Ninguno (Población General)</v>
      </c>
      <c r="CG780" s="30">
        <f ca="1">IFERROR(__xludf.DUMMYFUNCTION("""COMPUTED_VALUE"""),252)</f>
        <v>252</v>
      </c>
      <c r="CJ780" s="29"/>
      <c r="CM780" s="30" t="str">
        <f ca="1">IFERROR(__xludf.DUMMYFUNCTION("""COMPUTED_VALUE"""),"")</f>
        <v/>
      </c>
      <c r="CN780" s="32" t="e">
        <f ca="1"/>
        <v>#NAME?</v>
      </c>
      <c r="CO780" s="32" t="e">
        <f ca="1"/>
        <v>#NAME?</v>
      </c>
      <c r="CP780" s="32" t="e">
        <f ca="1"/>
        <v>#NAME?</v>
      </c>
      <c r="CQ780" s="32" t="e">
        <f ca="1"/>
        <v>#NAME?</v>
      </c>
      <c r="CR780" s="30" t="e">
        <f ca="1"/>
        <v>#NAME?</v>
      </c>
      <c r="CS780" s="30" t="str">
        <f ca="1">IFERROR(__xludf.DUMMYFUNCTION("""COMPUTED_VALUE"""),"")</f>
        <v/>
      </c>
    </row>
    <row r="781" spans="1:97" ht="13">
      <c r="A781" s="29"/>
      <c r="C781" s="32"/>
      <c r="I781" s="34"/>
      <c r="BP781" s="29"/>
      <c r="CC781" s="30" t="str">
        <f ca="1">IFERROR(__xludf.DUMMYFUNCTION("""COMPUTED_VALUE"""),"6b3dd875")</f>
        <v>6b3dd875</v>
      </c>
      <c r="CD781" s="29" t="str">
        <f ca="1">IFERROR(__xludf.DUMMYFUNCTION("""COMPUTED_VALUE"""),"Adultos Mayores (60 años o más)")</f>
        <v>Adultos Mayores (60 años o más)</v>
      </c>
      <c r="CE781" s="30" t="str">
        <f ca="1">IFERROR(__xludf.DUMMYFUNCTION("""COMPUTED_VALUE"""),"Hombre")</f>
        <v>Hombre</v>
      </c>
      <c r="CF781" s="30" t="str">
        <f ca="1">IFERROR(__xludf.DUMMYFUNCTION("""COMPUTED_VALUE"""),"Ninguno (Población General)")</f>
        <v>Ninguno (Población General)</v>
      </c>
      <c r="CG781" s="30">
        <f ca="1">IFERROR(__xludf.DUMMYFUNCTION("""COMPUTED_VALUE"""),252)</f>
        <v>252</v>
      </c>
      <c r="CJ781" s="29"/>
      <c r="CM781" s="30" t="str">
        <f ca="1">IFERROR(__xludf.DUMMYFUNCTION("""COMPUTED_VALUE"""),"")</f>
        <v/>
      </c>
      <c r="CN781" s="32" t="e">
        <f ca="1"/>
        <v>#NAME?</v>
      </c>
      <c r="CO781" s="32" t="e">
        <f ca="1"/>
        <v>#NAME?</v>
      </c>
      <c r="CP781" s="32" t="e">
        <f ca="1"/>
        <v>#NAME?</v>
      </c>
      <c r="CQ781" s="32" t="e">
        <f ca="1"/>
        <v>#NAME?</v>
      </c>
      <c r="CR781" s="30" t="e">
        <f ca="1"/>
        <v>#NAME?</v>
      </c>
      <c r="CS781" s="30" t="str">
        <f ca="1">IFERROR(__xludf.DUMMYFUNCTION("""COMPUTED_VALUE"""),"")</f>
        <v/>
      </c>
    </row>
    <row r="782" spans="1:97" ht="13">
      <c r="A782" s="29"/>
      <c r="C782" s="32"/>
      <c r="I782" s="34"/>
      <c r="BP782" s="29"/>
      <c r="CC782" s="30" t="str">
        <f ca="1">IFERROR(__xludf.DUMMYFUNCTION("""COMPUTED_VALUE"""),"512e91a0")</f>
        <v>512e91a0</v>
      </c>
      <c r="CD782" s="29" t="str">
        <f ca="1">IFERROR(__xludf.DUMMYFUNCTION("""COMPUTED_VALUE"""),"Adolescentes (13 a 17 años)")</f>
        <v>Adolescentes (13 a 17 años)</v>
      </c>
      <c r="CE782" s="30" t="str">
        <f ca="1">IFERROR(__xludf.DUMMYFUNCTION("""COMPUTED_VALUE"""),"Hombre")</f>
        <v>Hombre</v>
      </c>
      <c r="CF782" s="30" t="str">
        <f ca="1">IFERROR(__xludf.DUMMYFUNCTION("""COMPUTED_VALUE"""),"Ninguno (Población General)")</f>
        <v>Ninguno (Población General)</v>
      </c>
      <c r="CG782" s="30">
        <f ca="1">IFERROR(__xludf.DUMMYFUNCTION("""COMPUTED_VALUE"""),42)</f>
        <v>42</v>
      </c>
      <c r="CJ782" s="29"/>
      <c r="CM782" s="30" t="str">
        <f ca="1">IFERROR(__xludf.DUMMYFUNCTION("""COMPUTED_VALUE"""),"")</f>
        <v/>
      </c>
      <c r="CN782" s="32" t="e">
        <f ca="1"/>
        <v>#NAME?</v>
      </c>
      <c r="CO782" s="32" t="e">
        <f ca="1"/>
        <v>#NAME?</v>
      </c>
      <c r="CP782" s="32" t="e">
        <f ca="1"/>
        <v>#NAME?</v>
      </c>
      <c r="CQ782" s="32" t="e">
        <f ca="1"/>
        <v>#NAME?</v>
      </c>
      <c r="CR782" s="30" t="e">
        <f ca="1"/>
        <v>#NAME?</v>
      </c>
      <c r="CS782" s="30" t="str">
        <f ca="1">IFERROR(__xludf.DUMMYFUNCTION("""COMPUTED_VALUE"""),"")</f>
        <v/>
      </c>
    </row>
    <row r="783" spans="1:97" ht="13">
      <c r="A783" s="29"/>
      <c r="C783" s="32"/>
      <c r="I783" s="34"/>
      <c r="BP783" s="29"/>
      <c r="CC783" s="30" t="str">
        <f ca="1">IFERROR(__xludf.DUMMYFUNCTION("""COMPUTED_VALUE"""),"7bd90a7b")</f>
        <v>7bd90a7b</v>
      </c>
      <c r="CD783" s="29" t="str">
        <f ca="1">IFERROR(__xludf.DUMMYFUNCTION("""COMPUTED_VALUE"""),"Jóvenes (18 a 29 años)")</f>
        <v>Jóvenes (18 a 29 años)</v>
      </c>
      <c r="CE783" s="30" t="str">
        <f ca="1">IFERROR(__xludf.DUMMYFUNCTION("""COMPUTED_VALUE"""),"Hombre")</f>
        <v>Hombre</v>
      </c>
      <c r="CF783" s="30" t="str">
        <f ca="1">IFERROR(__xludf.DUMMYFUNCTION("""COMPUTED_VALUE"""),"Ninguno (Población General)")</f>
        <v>Ninguno (Población General)</v>
      </c>
      <c r="CG783" s="30">
        <f ca="1">IFERROR(__xludf.DUMMYFUNCTION("""COMPUTED_VALUE"""),42)</f>
        <v>42</v>
      </c>
      <c r="CJ783" s="29"/>
      <c r="CM783" s="30" t="str">
        <f ca="1">IFERROR(__xludf.DUMMYFUNCTION("""COMPUTED_VALUE"""),"")</f>
        <v/>
      </c>
      <c r="CN783" s="32" t="e">
        <f ca="1"/>
        <v>#NAME?</v>
      </c>
      <c r="CO783" s="32" t="e">
        <f ca="1"/>
        <v>#NAME?</v>
      </c>
      <c r="CP783" s="32" t="e">
        <f ca="1"/>
        <v>#NAME?</v>
      </c>
      <c r="CQ783" s="32" t="e">
        <f ca="1"/>
        <v>#NAME?</v>
      </c>
      <c r="CR783" s="30" t="e">
        <f ca="1"/>
        <v>#NAME?</v>
      </c>
      <c r="CS783" s="30" t="str">
        <f ca="1">IFERROR(__xludf.DUMMYFUNCTION("""COMPUTED_VALUE"""),"")</f>
        <v/>
      </c>
    </row>
    <row r="784" spans="1:97" ht="13">
      <c r="A784" s="29"/>
      <c r="C784" s="32"/>
      <c r="I784" s="34"/>
      <c r="BP784" s="29"/>
      <c r="CC784" s="30" t="str">
        <f ca="1">IFERROR(__xludf.DUMMYFUNCTION("""COMPUTED_VALUE"""),"9deaa5ff")</f>
        <v>9deaa5ff</v>
      </c>
      <c r="CD784" s="29" t="str">
        <f ca="1">IFERROR(__xludf.DUMMYFUNCTION("""COMPUTED_VALUE"""),"Adultos (30 a 59 años)")</f>
        <v>Adultos (30 a 59 años)</v>
      </c>
      <c r="CE784" s="30" t="str">
        <f ca="1">IFERROR(__xludf.DUMMYFUNCTION("""COMPUTED_VALUE"""),"Hombre")</f>
        <v>Hombre</v>
      </c>
      <c r="CF784" s="30" t="str">
        <f ca="1">IFERROR(__xludf.DUMMYFUNCTION("""COMPUTED_VALUE"""),"Ninguno (Población General)")</f>
        <v>Ninguno (Población General)</v>
      </c>
      <c r="CG784" s="30">
        <f ca="1">IFERROR(__xludf.DUMMYFUNCTION("""COMPUTED_VALUE"""),42)</f>
        <v>42</v>
      </c>
      <c r="CJ784" s="29"/>
      <c r="CM784" s="30" t="str">
        <f ca="1">IFERROR(__xludf.DUMMYFUNCTION("""COMPUTED_VALUE"""),"")</f>
        <v/>
      </c>
      <c r="CN784" s="32" t="e">
        <f ca="1"/>
        <v>#NAME?</v>
      </c>
      <c r="CO784" s="32" t="e">
        <f ca="1"/>
        <v>#NAME?</v>
      </c>
      <c r="CP784" s="32" t="e">
        <f ca="1"/>
        <v>#NAME?</v>
      </c>
      <c r="CQ784" s="32" t="e">
        <f ca="1"/>
        <v>#NAME?</v>
      </c>
      <c r="CR784" s="30" t="e">
        <f ca="1"/>
        <v>#NAME?</v>
      </c>
      <c r="CS784" s="30" t="str">
        <f ca="1">IFERROR(__xludf.DUMMYFUNCTION("""COMPUTED_VALUE"""),"")</f>
        <v/>
      </c>
    </row>
    <row r="785" spans="1:97" ht="13">
      <c r="A785" s="29"/>
      <c r="C785" s="32"/>
      <c r="I785" s="34"/>
      <c r="BP785" s="29"/>
      <c r="CC785" s="30" t="str">
        <f ca="1">IFERROR(__xludf.DUMMYFUNCTION("""COMPUTED_VALUE"""),"950a1249")</f>
        <v>950a1249</v>
      </c>
      <c r="CD785" s="29" t="str">
        <f ca="1">IFERROR(__xludf.DUMMYFUNCTION("""COMPUTED_VALUE"""),"Adultos Mayores (60 años o más)")</f>
        <v>Adultos Mayores (60 años o más)</v>
      </c>
      <c r="CE785" s="30" t="str">
        <f ca="1">IFERROR(__xludf.DUMMYFUNCTION("""COMPUTED_VALUE"""),"Hombre")</f>
        <v>Hombre</v>
      </c>
      <c r="CF785" s="30" t="str">
        <f ca="1">IFERROR(__xludf.DUMMYFUNCTION("""COMPUTED_VALUE"""),"Ninguno (Población General)")</f>
        <v>Ninguno (Población General)</v>
      </c>
      <c r="CG785" s="30">
        <f ca="1">IFERROR(__xludf.DUMMYFUNCTION("""COMPUTED_VALUE"""),42)</f>
        <v>42</v>
      </c>
      <c r="CJ785" s="29"/>
      <c r="CM785" s="30" t="str">
        <f ca="1">IFERROR(__xludf.DUMMYFUNCTION("""COMPUTED_VALUE"""),"")</f>
        <v/>
      </c>
      <c r="CN785" s="32" t="e">
        <f ca="1"/>
        <v>#NAME?</v>
      </c>
      <c r="CO785" s="32" t="e">
        <f ca="1"/>
        <v>#NAME?</v>
      </c>
      <c r="CP785" s="32" t="e">
        <f ca="1"/>
        <v>#NAME?</v>
      </c>
      <c r="CQ785" s="32" t="e">
        <f ca="1"/>
        <v>#NAME?</v>
      </c>
      <c r="CR785" s="30" t="e">
        <f ca="1"/>
        <v>#NAME?</v>
      </c>
      <c r="CS785" s="30" t="str">
        <f ca="1">IFERROR(__xludf.DUMMYFUNCTION("""COMPUTED_VALUE"""),"")</f>
        <v/>
      </c>
    </row>
    <row r="786" spans="1:97" ht="13">
      <c r="A786" s="29"/>
      <c r="C786" s="32"/>
      <c r="I786" s="34"/>
      <c r="BP786" s="29"/>
      <c r="CC786" s="30" t="str">
        <f ca="1">IFERROR(__xludf.DUMMYFUNCTION("""COMPUTED_VALUE"""),"5e04bba1")</f>
        <v>5e04bba1</v>
      </c>
      <c r="CD786" s="29" t="str">
        <f ca="1">IFERROR(__xludf.DUMMYFUNCTION("""COMPUTED_VALUE"""),"Población General")</f>
        <v>Población General</v>
      </c>
      <c r="CE786" s="30" t="str">
        <f ca="1">IFERROR(__xludf.DUMMYFUNCTION("""COMPUTED_VALUE"""),"Hombre")</f>
        <v>Hombre</v>
      </c>
      <c r="CF786" s="30" t="str">
        <f ca="1">IFERROR(__xludf.DUMMYFUNCTION("""COMPUTED_VALUE"""),"Ninguno (Población General)")</f>
        <v>Ninguno (Población General)</v>
      </c>
      <c r="CG786" s="30">
        <f ca="1">IFERROR(__xludf.DUMMYFUNCTION("""COMPUTED_VALUE"""),44)</f>
        <v>44</v>
      </c>
      <c r="CJ786" s="29"/>
      <c r="CM786" s="30" t="str">
        <f ca="1">IFERROR(__xludf.DUMMYFUNCTION("""COMPUTED_VALUE"""),"")</f>
        <v/>
      </c>
      <c r="CN786" s="32" t="e">
        <f ca="1"/>
        <v>#NAME?</v>
      </c>
      <c r="CO786" s="32" t="e">
        <f ca="1"/>
        <v>#NAME?</v>
      </c>
      <c r="CP786" s="32" t="e">
        <f ca="1"/>
        <v>#NAME?</v>
      </c>
      <c r="CQ786" s="32" t="e">
        <f ca="1"/>
        <v>#NAME?</v>
      </c>
      <c r="CR786" s="30" t="e">
        <f ca="1"/>
        <v>#NAME?</v>
      </c>
      <c r="CS786" s="30" t="str">
        <f ca="1">IFERROR(__xludf.DUMMYFUNCTION("""COMPUTED_VALUE"""),"")</f>
        <v/>
      </c>
    </row>
    <row r="787" spans="1:97" ht="13">
      <c r="A787" s="29"/>
      <c r="C787" s="32"/>
      <c r="I787" s="34"/>
      <c r="BP787" s="29"/>
      <c r="CC787" s="30" t="str">
        <f ca="1">IFERROR(__xludf.DUMMYFUNCTION("""COMPUTED_VALUE"""),"fb1646ba")</f>
        <v>fb1646ba</v>
      </c>
      <c r="CD787" s="29" t="str">
        <f ca="1">IFERROR(__xludf.DUMMYFUNCTION("""COMPUTED_VALUE"""),"Población General")</f>
        <v>Población General</v>
      </c>
      <c r="CE787" s="30" t="str">
        <f ca="1">IFERROR(__xludf.DUMMYFUNCTION("""COMPUTED_VALUE"""),"Mujer")</f>
        <v>Mujer</v>
      </c>
      <c r="CF787" s="30" t="str">
        <f ca="1">IFERROR(__xludf.DUMMYFUNCTION("""COMPUTED_VALUE"""),"Ninguno (Población General)")</f>
        <v>Ninguno (Población General)</v>
      </c>
      <c r="CG787" s="30">
        <f ca="1">IFERROR(__xludf.DUMMYFUNCTION("""COMPUTED_VALUE"""),58)</f>
        <v>58</v>
      </c>
      <c r="CJ787" s="29"/>
      <c r="CM787" s="30" t="str">
        <f ca="1">IFERROR(__xludf.DUMMYFUNCTION("""COMPUTED_VALUE"""),"")</f>
        <v/>
      </c>
      <c r="CN787" s="32" t="e">
        <f ca="1"/>
        <v>#NAME?</v>
      </c>
      <c r="CO787" s="32" t="e">
        <f ca="1"/>
        <v>#NAME?</v>
      </c>
      <c r="CP787" s="32" t="e">
        <f ca="1"/>
        <v>#NAME?</v>
      </c>
      <c r="CQ787" s="32" t="e">
        <f ca="1"/>
        <v>#NAME?</v>
      </c>
      <c r="CR787" s="30" t="e">
        <f ca="1"/>
        <v>#NAME?</v>
      </c>
      <c r="CS787" s="30" t="str">
        <f ca="1">IFERROR(__xludf.DUMMYFUNCTION("""COMPUTED_VALUE"""),"")</f>
        <v/>
      </c>
    </row>
    <row r="788" spans="1:97" ht="13">
      <c r="A788" s="29"/>
      <c r="C788" s="32"/>
      <c r="I788" s="34"/>
      <c r="BP788" s="29"/>
      <c r="CC788" s="30" t="str">
        <f ca="1">IFERROR(__xludf.DUMMYFUNCTION("""COMPUTED_VALUE"""),"ba79c127")</f>
        <v>ba79c127</v>
      </c>
      <c r="CD788" s="29" t="str">
        <f ca="1">IFERROR(__xludf.DUMMYFUNCTION("""COMPUTED_VALUE"""),"Jóvenes (18 a 29 años)")</f>
        <v>Jóvenes (18 a 29 años)</v>
      </c>
      <c r="CE788" s="30" t="str">
        <f ca="1">IFERROR(__xludf.DUMMYFUNCTION("""COMPUTED_VALUE"""),"Mujer")</f>
        <v>Mujer</v>
      </c>
      <c r="CF788" s="30" t="str">
        <f ca="1">IFERROR(__xludf.DUMMYFUNCTION("""COMPUTED_VALUE"""),"Ninguno (Población General)")</f>
        <v>Ninguno (Población General)</v>
      </c>
      <c r="CG788" s="30">
        <f ca="1">IFERROR(__xludf.DUMMYFUNCTION("""COMPUTED_VALUE"""),7)</f>
        <v>7</v>
      </c>
      <c r="CJ788" s="29"/>
      <c r="CM788" s="30" t="str">
        <f ca="1">IFERROR(__xludf.DUMMYFUNCTION("""COMPUTED_VALUE"""),"")</f>
        <v/>
      </c>
      <c r="CN788" s="32" t="e">
        <f ca="1"/>
        <v>#NAME?</v>
      </c>
      <c r="CO788" s="32" t="e">
        <f ca="1"/>
        <v>#NAME?</v>
      </c>
      <c r="CP788" s="32" t="e">
        <f ca="1"/>
        <v>#NAME?</v>
      </c>
      <c r="CQ788" s="32" t="e">
        <f ca="1"/>
        <v>#NAME?</v>
      </c>
      <c r="CR788" s="30" t="e">
        <f ca="1"/>
        <v>#NAME?</v>
      </c>
      <c r="CS788" s="30" t="str">
        <f ca="1">IFERROR(__xludf.DUMMYFUNCTION("""COMPUTED_VALUE"""),"")</f>
        <v/>
      </c>
    </row>
    <row r="789" spans="1:97" ht="13">
      <c r="A789" s="29"/>
      <c r="C789" s="32"/>
      <c r="I789" s="34"/>
      <c r="BP789" s="29"/>
      <c r="CC789" s="30" t="str">
        <f ca="1">IFERROR(__xludf.DUMMYFUNCTION("""COMPUTED_VALUE"""),"5f10892b")</f>
        <v>5f10892b</v>
      </c>
      <c r="CD789" s="29" t="str">
        <f ca="1">IFERROR(__xludf.DUMMYFUNCTION("""COMPUTED_VALUE"""),"Adultos (30 a 59 años)")</f>
        <v>Adultos (30 a 59 años)</v>
      </c>
      <c r="CE789" s="30" t="str">
        <f ca="1">IFERROR(__xludf.DUMMYFUNCTION("""COMPUTED_VALUE"""),"Hombre")</f>
        <v>Hombre</v>
      </c>
      <c r="CF789" s="30" t="str">
        <f ca="1">IFERROR(__xludf.DUMMYFUNCTION("""COMPUTED_VALUE"""),"Ninguno (Población General)")</f>
        <v>Ninguno (Población General)</v>
      </c>
      <c r="CG789" s="30">
        <f ca="1">IFERROR(__xludf.DUMMYFUNCTION("""COMPUTED_VALUE"""),7)</f>
        <v>7</v>
      </c>
      <c r="CJ789" s="29"/>
      <c r="CM789" s="30" t="str">
        <f ca="1">IFERROR(__xludf.DUMMYFUNCTION("""COMPUTED_VALUE"""),"")</f>
        <v/>
      </c>
      <c r="CN789" s="32" t="e">
        <f ca="1"/>
        <v>#NAME?</v>
      </c>
      <c r="CO789" s="32" t="e">
        <f ca="1"/>
        <v>#NAME?</v>
      </c>
      <c r="CP789" s="32" t="e">
        <f ca="1"/>
        <v>#NAME?</v>
      </c>
      <c r="CQ789" s="32" t="e">
        <f ca="1"/>
        <v>#NAME?</v>
      </c>
      <c r="CR789" s="30" t="e">
        <f ca="1"/>
        <v>#NAME?</v>
      </c>
      <c r="CS789" s="30" t="str">
        <f ca="1">IFERROR(__xludf.DUMMYFUNCTION("""COMPUTED_VALUE"""),"")</f>
        <v/>
      </c>
    </row>
    <row r="790" spans="1:97" ht="13">
      <c r="A790" s="29"/>
      <c r="C790" s="32"/>
      <c r="I790" s="34"/>
      <c r="BP790" s="29"/>
      <c r="CC790" s="30" t="str">
        <f ca="1">IFERROR(__xludf.DUMMYFUNCTION("""COMPUTED_VALUE"""),"5b09242c")</f>
        <v>5b09242c</v>
      </c>
      <c r="CD790" s="29" t="str">
        <f ca="1">IFERROR(__xludf.DUMMYFUNCTION("""COMPUTED_VALUE"""),"Adolescentes (13 a 17 años)")</f>
        <v>Adolescentes (13 a 17 años)</v>
      </c>
      <c r="CE790" s="30" t="str">
        <f ca="1">IFERROR(__xludf.DUMMYFUNCTION("""COMPUTED_VALUE"""),"Mujer")</f>
        <v>Mujer</v>
      </c>
      <c r="CF790" s="30" t="str">
        <f ca="1">IFERROR(__xludf.DUMMYFUNCTION("""COMPUTED_VALUE"""),"Ninguno (Población General)")</f>
        <v>Ninguno (Población General)</v>
      </c>
      <c r="CG790" s="30">
        <f ca="1">IFERROR(__xludf.DUMMYFUNCTION("""COMPUTED_VALUE"""),11)</f>
        <v>11</v>
      </c>
      <c r="CJ790" s="29"/>
      <c r="CM790" s="30" t="str">
        <f ca="1">IFERROR(__xludf.DUMMYFUNCTION("""COMPUTED_VALUE"""),"")</f>
        <v/>
      </c>
      <c r="CN790" s="32" t="e">
        <f ca="1"/>
        <v>#NAME?</v>
      </c>
      <c r="CO790" s="32" t="e">
        <f ca="1"/>
        <v>#NAME?</v>
      </c>
      <c r="CP790" s="32" t="e">
        <f ca="1"/>
        <v>#NAME?</v>
      </c>
      <c r="CQ790" s="32" t="e">
        <f ca="1"/>
        <v>#NAME?</v>
      </c>
      <c r="CR790" s="30" t="e">
        <f ca="1"/>
        <v>#NAME?</v>
      </c>
      <c r="CS790" s="30" t="str">
        <f ca="1">IFERROR(__xludf.DUMMYFUNCTION("""COMPUTED_VALUE"""),"")</f>
        <v/>
      </c>
    </row>
    <row r="791" spans="1:97" ht="13">
      <c r="A791" s="29"/>
      <c r="C791" s="32"/>
      <c r="I791" s="34"/>
      <c r="BP791" s="29"/>
      <c r="CC791" s="30" t="str">
        <f ca="1">IFERROR(__xludf.DUMMYFUNCTION("""COMPUTED_VALUE"""),"a1938b87")</f>
        <v>a1938b87</v>
      </c>
      <c r="CD791" s="29" t="str">
        <f ca="1">IFERROR(__xludf.DUMMYFUNCTION("""COMPUTED_VALUE"""),"Jóvenes (18 a 29 años)")</f>
        <v>Jóvenes (18 a 29 años)</v>
      </c>
      <c r="CE791" s="30" t="str">
        <f ca="1">IFERROR(__xludf.DUMMYFUNCTION("""COMPUTED_VALUE"""),"Hombre")</f>
        <v>Hombre</v>
      </c>
      <c r="CF791" s="30" t="str">
        <f ca="1">IFERROR(__xludf.DUMMYFUNCTION("""COMPUTED_VALUE"""),"Ninguno (Población General)")</f>
        <v>Ninguno (Población General)</v>
      </c>
      <c r="CG791" s="30">
        <f ca="1">IFERROR(__xludf.DUMMYFUNCTION("""COMPUTED_VALUE"""),11)</f>
        <v>11</v>
      </c>
      <c r="CJ791" s="29"/>
      <c r="CM791" s="30" t="str">
        <f ca="1">IFERROR(__xludf.DUMMYFUNCTION("""COMPUTED_VALUE"""),"")</f>
        <v/>
      </c>
      <c r="CN791" s="32" t="e">
        <f ca="1"/>
        <v>#NAME?</v>
      </c>
      <c r="CO791" s="32" t="e">
        <f ca="1"/>
        <v>#NAME?</v>
      </c>
      <c r="CP791" s="32" t="e">
        <f ca="1"/>
        <v>#NAME?</v>
      </c>
      <c r="CQ791" s="32" t="e">
        <f ca="1"/>
        <v>#NAME?</v>
      </c>
      <c r="CR791" s="30" t="e">
        <f ca="1"/>
        <v>#NAME?</v>
      </c>
      <c r="CS791" s="30" t="str">
        <f ca="1">IFERROR(__xludf.DUMMYFUNCTION("""COMPUTED_VALUE"""),"")</f>
        <v/>
      </c>
    </row>
    <row r="792" spans="1:97" ht="13">
      <c r="A792" s="29"/>
      <c r="C792" s="32"/>
      <c r="I792" s="34"/>
      <c r="BP792" s="29"/>
      <c r="CC792" s="30" t="str">
        <f ca="1">IFERROR(__xludf.DUMMYFUNCTION("""COMPUTED_VALUE"""),"bbc8af97")</f>
        <v>bbc8af97</v>
      </c>
      <c r="CD792" s="29" t="str">
        <f ca="1">IFERROR(__xludf.DUMMYFUNCTION("""COMPUTED_VALUE"""),"Jóvenes (18 a 29 años)")</f>
        <v>Jóvenes (18 a 29 años)</v>
      </c>
      <c r="CE792" s="30" t="str">
        <f ca="1">IFERROR(__xludf.DUMMYFUNCTION("""COMPUTED_VALUE"""),"Mujer")</f>
        <v>Mujer</v>
      </c>
      <c r="CF792" s="30" t="str">
        <f ca="1">IFERROR(__xludf.DUMMYFUNCTION("""COMPUTED_VALUE"""),"Ninguno (Población General)")</f>
        <v>Ninguno (Población General)</v>
      </c>
      <c r="CG792" s="30">
        <f ca="1">IFERROR(__xludf.DUMMYFUNCTION("""COMPUTED_VALUE"""),11)</f>
        <v>11</v>
      </c>
      <c r="CJ792" s="29"/>
      <c r="CM792" s="30" t="str">
        <f ca="1">IFERROR(__xludf.DUMMYFUNCTION("""COMPUTED_VALUE"""),"")</f>
        <v/>
      </c>
      <c r="CN792" s="32" t="e">
        <f ca="1"/>
        <v>#NAME?</v>
      </c>
      <c r="CO792" s="32" t="e">
        <f ca="1"/>
        <v>#NAME?</v>
      </c>
      <c r="CP792" s="32" t="e">
        <f ca="1"/>
        <v>#NAME?</v>
      </c>
      <c r="CQ792" s="32" t="e">
        <f ca="1"/>
        <v>#NAME?</v>
      </c>
      <c r="CR792" s="30" t="e">
        <f ca="1"/>
        <v>#NAME?</v>
      </c>
      <c r="CS792" s="30" t="str">
        <f ca="1">IFERROR(__xludf.DUMMYFUNCTION("""COMPUTED_VALUE"""),"")</f>
        <v/>
      </c>
    </row>
    <row r="793" spans="1:97" ht="13">
      <c r="A793" s="29"/>
      <c r="C793" s="32"/>
      <c r="I793" s="34"/>
      <c r="BP793" s="29"/>
      <c r="CC793" s="30" t="str">
        <f ca="1">IFERROR(__xludf.DUMMYFUNCTION("""COMPUTED_VALUE"""),"d9262363")</f>
        <v>d9262363</v>
      </c>
      <c r="CD793" s="29" t="str">
        <f ca="1">IFERROR(__xludf.DUMMYFUNCTION("""COMPUTED_VALUE"""),"Adultos (30 a 59 años)")</f>
        <v>Adultos (30 a 59 años)</v>
      </c>
      <c r="CE793" s="30" t="str">
        <f ca="1">IFERROR(__xludf.DUMMYFUNCTION("""COMPUTED_VALUE"""),"Mujer")</f>
        <v>Mujer</v>
      </c>
      <c r="CF793" s="30" t="str">
        <f ca="1">IFERROR(__xludf.DUMMYFUNCTION("""COMPUTED_VALUE"""),"Ninguno (Población General)")</f>
        <v>Ninguno (Población General)</v>
      </c>
      <c r="CG793" s="30">
        <f ca="1">IFERROR(__xludf.DUMMYFUNCTION("""COMPUTED_VALUE"""),11)</f>
        <v>11</v>
      </c>
      <c r="CJ793" s="29"/>
      <c r="CM793" s="30" t="str">
        <f ca="1">IFERROR(__xludf.DUMMYFUNCTION("""COMPUTED_VALUE"""),"")</f>
        <v/>
      </c>
      <c r="CN793" s="32" t="e">
        <f ca="1"/>
        <v>#NAME?</v>
      </c>
      <c r="CO793" s="32" t="e">
        <f ca="1"/>
        <v>#NAME?</v>
      </c>
      <c r="CP793" s="32" t="e">
        <f ca="1"/>
        <v>#NAME?</v>
      </c>
      <c r="CQ793" s="32" t="e">
        <f ca="1"/>
        <v>#NAME?</v>
      </c>
      <c r="CR793" s="30" t="e">
        <f ca="1"/>
        <v>#NAME?</v>
      </c>
      <c r="CS793" s="30" t="str">
        <f ca="1">IFERROR(__xludf.DUMMYFUNCTION("""COMPUTED_VALUE"""),"")</f>
        <v/>
      </c>
    </row>
    <row r="794" spans="1:97" ht="13">
      <c r="A794" s="29"/>
      <c r="C794" s="32"/>
      <c r="I794" s="34"/>
      <c r="BP794" s="29"/>
      <c r="CC794" s="30" t="str">
        <f ca="1">IFERROR(__xludf.DUMMYFUNCTION("""COMPUTED_VALUE"""),"59f241cc")</f>
        <v>59f241cc</v>
      </c>
      <c r="CD794" s="29" t="str">
        <f ca="1">IFERROR(__xludf.DUMMYFUNCTION("""COMPUTED_VALUE"""),"Adultos (30 a 59 años)")</f>
        <v>Adultos (30 a 59 años)</v>
      </c>
      <c r="CE794" s="30" t="str">
        <f ca="1">IFERROR(__xludf.DUMMYFUNCTION("""COMPUTED_VALUE"""),"Hombre")</f>
        <v>Hombre</v>
      </c>
      <c r="CF794" s="30" t="str">
        <f ca="1">IFERROR(__xludf.DUMMYFUNCTION("""COMPUTED_VALUE"""),"Ninguno (Población General)")</f>
        <v>Ninguno (Población General)</v>
      </c>
      <c r="CG794" s="30">
        <f ca="1">IFERROR(__xludf.DUMMYFUNCTION("""COMPUTED_VALUE"""),11)</f>
        <v>11</v>
      </c>
      <c r="CJ794" s="29"/>
      <c r="CM794" s="30" t="str">
        <f ca="1">IFERROR(__xludf.DUMMYFUNCTION("""COMPUTED_VALUE"""),"")</f>
        <v/>
      </c>
      <c r="CN794" s="32" t="e">
        <f ca="1"/>
        <v>#NAME?</v>
      </c>
      <c r="CO794" s="32" t="e">
        <f ca="1"/>
        <v>#NAME?</v>
      </c>
      <c r="CP794" s="32" t="e">
        <f ca="1"/>
        <v>#NAME?</v>
      </c>
      <c r="CQ794" s="32" t="e">
        <f ca="1"/>
        <v>#NAME?</v>
      </c>
      <c r="CR794" s="30" t="e">
        <f ca="1"/>
        <v>#NAME?</v>
      </c>
      <c r="CS794" s="30" t="str">
        <f ca="1">IFERROR(__xludf.DUMMYFUNCTION("""COMPUTED_VALUE"""),"")</f>
        <v/>
      </c>
    </row>
    <row r="795" spans="1:97" ht="13">
      <c r="A795" s="29"/>
      <c r="C795" s="32"/>
      <c r="I795" s="34"/>
      <c r="BP795" s="29"/>
      <c r="CC795" s="30" t="str">
        <f ca="1">IFERROR(__xludf.DUMMYFUNCTION("""COMPUTED_VALUE"""),"c7a15b5c")</f>
        <v>c7a15b5c</v>
      </c>
      <c r="CD795" s="29" t="str">
        <f ca="1">IFERROR(__xludf.DUMMYFUNCTION("""COMPUTED_VALUE"""),"Jóvenes (18 a 29 años)")</f>
        <v>Jóvenes (18 a 29 años)</v>
      </c>
      <c r="CE795" s="30" t="str">
        <f ca="1">IFERROR(__xludf.DUMMYFUNCTION("""COMPUTED_VALUE"""),"Mujer")</f>
        <v>Mujer</v>
      </c>
      <c r="CF795" s="30" t="str">
        <f ca="1">IFERROR(__xludf.DUMMYFUNCTION("""COMPUTED_VALUE"""),"Ninguno (Población General)")</f>
        <v>Ninguno (Población General)</v>
      </c>
      <c r="CG795" s="30">
        <f ca="1">IFERROR(__xludf.DUMMYFUNCTION("""COMPUTED_VALUE"""),25)</f>
        <v>25</v>
      </c>
      <c r="CJ795" s="29"/>
      <c r="CM795" s="30" t="str">
        <f ca="1">IFERROR(__xludf.DUMMYFUNCTION("""COMPUTED_VALUE"""),"")</f>
        <v/>
      </c>
      <c r="CN795" s="32" t="e">
        <f ca="1"/>
        <v>#NAME?</v>
      </c>
      <c r="CO795" s="32" t="e">
        <f ca="1"/>
        <v>#NAME?</v>
      </c>
      <c r="CP795" s="32" t="e">
        <f ca="1"/>
        <v>#NAME?</v>
      </c>
      <c r="CQ795" s="32" t="e">
        <f ca="1"/>
        <v>#NAME?</v>
      </c>
      <c r="CR795" s="30" t="e">
        <f ca="1"/>
        <v>#NAME?</v>
      </c>
      <c r="CS795" s="30" t="str">
        <f ca="1">IFERROR(__xludf.DUMMYFUNCTION("""COMPUTED_VALUE"""),"")</f>
        <v/>
      </c>
    </row>
    <row r="796" spans="1:97" ht="13">
      <c r="A796" s="29"/>
      <c r="C796" s="32"/>
      <c r="I796" s="34"/>
      <c r="BP796" s="29"/>
      <c r="CC796" s="30" t="str">
        <f ca="1">IFERROR(__xludf.DUMMYFUNCTION("""COMPUTED_VALUE"""),"1ab25523")</f>
        <v>1ab25523</v>
      </c>
      <c r="CD796" s="29" t="str">
        <f ca="1">IFERROR(__xludf.DUMMYFUNCTION("""COMPUTED_VALUE"""),"Jóvenes (18 a 29 años)")</f>
        <v>Jóvenes (18 a 29 años)</v>
      </c>
      <c r="CE796" s="30" t="str">
        <f ca="1">IFERROR(__xludf.DUMMYFUNCTION("""COMPUTED_VALUE"""),"Hombre")</f>
        <v>Hombre</v>
      </c>
      <c r="CF796" s="30" t="str">
        <f ca="1">IFERROR(__xludf.DUMMYFUNCTION("""COMPUTED_VALUE"""),"Ninguno (Población General)")</f>
        <v>Ninguno (Población General)</v>
      </c>
      <c r="CG796" s="30">
        <f ca="1">IFERROR(__xludf.DUMMYFUNCTION("""COMPUTED_VALUE"""),25)</f>
        <v>25</v>
      </c>
      <c r="CJ796" s="29"/>
      <c r="CM796" s="30" t="str">
        <f ca="1">IFERROR(__xludf.DUMMYFUNCTION("""COMPUTED_VALUE"""),"")</f>
        <v/>
      </c>
      <c r="CN796" s="32" t="e">
        <f ca="1"/>
        <v>#NAME?</v>
      </c>
      <c r="CO796" s="32" t="e">
        <f ca="1"/>
        <v>#NAME?</v>
      </c>
      <c r="CP796" s="32" t="e">
        <f ca="1"/>
        <v>#NAME?</v>
      </c>
      <c r="CQ796" s="32" t="e">
        <f ca="1"/>
        <v>#NAME?</v>
      </c>
      <c r="CR796" s="30" t="e">
        <f ca="1"/>
        <v>#NAME?</v>
      </c>
      <c r="CS796" s="30" t="str">
        <f ca="1">IFERROR(__xludf.DUMMYFUNCTION("""COMPUTED_VALUE"""),"")</f>
        <v/>
      </c>
    </row>
    <row r="797" spans="1:97" ht="13">
      <c r="A797" s="29"/>
      <c r="C797" s="32"/>
      <c r="I797" s="34"/>
      <c r="BP797" s="29"/>
      <c r="CC797" s="30" t="str">
        <f ca="1">IFERROR(__xludf.DUMMYFUNCTION("""COMPUTED_VALUE"""),"f754c481")</f>
        <v>f754c481</v>
      </c>
      <c r="CD797" s="29" t="str">
        <f ca="1">IFERROR(__xludf.DUMMYFUNCTION("""COMPUTED_VALUE"""),"Población General")</f>
        <v>Población General</v>
      </c>
      <c r="CE797" s="30" t="str">
        <f ca="1">IFERROR(__xludf.DUMMYFUNCTION("""COMPUTED_VALUE"""),"Dato global")</f>
        <v>Dato global</v>
      </c>
      <c r="CF797" s="30" t="str">
        <f ca="1">IFERROR(__xludf.DUMMYFUNCTION("""COMPUTED_VALUE"""),"Comunidades Indígenas")</f>
        <v>Comunidades Indígenas</v>
      </c>
      <c r="CG797" s="30">
        <f ca="1">IFERROR(__xludf.DUMMYFUNCTION("""COMPUTED_VALUE"""),25)</f>
        <v>25</v>
      </c>
      <c r="CJ797" s="29"/>
      <c r="CM797" s="30" t="str">
        <f ca="1">IFERROR(__xludf.DUMMYFUNCTION("""COMPUTED_VALUE"""),"")</f>
        <v/>
      </c>
      <c r="CN797" s="32" t="e">
        <f ca="1"/>
        <v>#NAME?</v>
      </c>
      <c r="CO797" s="32" t="e">
        <f ca="1"/>
        <v>#NAME?</v>
      </c>
      <c r="CP797" s="32" t="e">
        <f ca="1"/>
        <v>#NAME?</v>
      </c>
      <c r="CQ797" s="32" t="e">
        <f ca="1"/>
        <v>#NAME?</v>
      </c>
      <c r="CR797" s="30" t="e">
        <f ca="1"/>
        <v>#NAME?</v>
      </c>
      <c r="CS797" s="30" t="str">
        <f ca="1">IFERROR(__xludf.DUMMYFUNCTION("""COMPUTED_VALUE"""),"")</f>
        <v/>
      </c>
    </row>
    <row r="798" spans="1:97" ht="13">
      <c r="A798" s="29"/>
      <c r="C798" s="32"/>
      <c r="I798" s="34"/>
      <c r="BP798" s="29"/>
      <c r="CC798" s="30" t="str">
        <f ca="1">IFERROR(__xludf.DUMMYFUNCTION("""COMPUTED_VALUE"""),"de59dd29")</f>
        <v>de59dd29</v>
      </c>
      <c r="CD798" s="29" t="str">
        <f ca="1">IFERROR(__xludf.DUMMYFUNCTION("""COMPUTED_VALUE"""),"Adultos (30 a 59 años)")</f>
        <v>Adultos (30 a 59 años)</v>
      </c>
      <c r="CE798" s="30" t="str">
        <f ca="1">IFERROR(__xludf.DUMMYFUNCTION("""COMPUTED_VALUE"""),"Dato global")</f>
        <v>Dato global</v>
      </c>
      <c r="CF798" s="30" t="str">
        <f ca="1">IFERROR(__xludf.DUMMYFUNCTION("""COMPUTED_VALUE"""),"Ninguno (Población General)")</f>
        <v>Ninguno (Población General)</v>
      </c>
      <c r="CG798" s="30">
        <f ca="1">IFERROR(__xludf.DUMMYFUNCTION("""COMPUTED_VALUE"""),25)</f>
        <v>25</v>
      </c>
      <c r="CJ798" s="29"/>
      <c r="CM798" s="30" t="str">
        <f ca="1">IFERROR(__xludf.DUMMYFUNCTION("""COMPUTED_VALUE"""),"")</f>
        <v/>
      </c>
      <c r="CN798" s="32" t="e">
        <f ca="1"/>
        <v>#NAME?</v>
      </c>
      <c r="CO798" s="32" t="e">
        <f ca="1"/>
        <v>#NAME?</v>
      </c>
      <c r="CP798" s="32" t="e">
        <f ca="1"/>
        <v>#NAME?</v>
      </c>
      <c r="CQ798" s="32" t="e">
        <f ca="1"/>
        <v>#NAME?</v>
      </c>
      <c r="CR798" s="30" t="e">
        <f ca="1"/>
        <v>#NAME?</v>
      </c>
      <c r="CS798" s="30" t="str">
        <f ca="1">IFERROR(__xludf.DUMMYFUNCTION("""COMPUTED_VALUE"""),"")</f>
        <v/>
      </c>
    </row>
    <row r="799" spans="1:97" ht="13">
      <c r="A799" s="29"/>
      <c r="C799" s="32"/>
      <c r="I799" s="34"/>
      <c r="BP799" s="29"/>
      <c r="CC799" s="30" t="str">
        <f ca="1">IFERROR(__xludf.DUMMYFUNCTION("""COMPUTED_VALUE"""),"8258e2e2")</f>
        <v>8258e2e2</v>
      </c>
      <c r="CD799" s="29" t="str">
        <f ca="1">IFERROR(__xludf.DUMMYFUNCTION("""COMPUTED_VALUE"""),"Adultos Mayores (60 años o más)")</f>
        <v>Adultos Mayores (60 años o más)</v>
      </c>
      <c r="CE799" s="30" t="str">
        <f ca="1">IFERROR(__xludf.DUMMYFUNCTION("""COMPUTED_VALUE"""),"Mujer")</f>
        <v>Mujer</v>
      </c>
      <c r="CF799" s="30" t="str">
        <f ca="1">IFERROR(__xludf.DUMMYFUNCTION("""COMPUTED_VALUE"""),"Ninguno (Población General)")</f>
        <v>Ninguno (Población General)</v>
      </c>
      <c r="CG799" s="30">
        <f ca="1">IFERROR(__xludf.DUMMYFUNCTION("""COMPUTED_VALUE"""),25)</f>
        <v>25</v>
      </c>
      <c r="CJ799" s="29"/>
      <c r="CM799" s="30" t="str">
        <f ca="1">IFERROR(__xludf.DUMMYFUNCTION("""COMPUTED_VALUE"""),"")</f>
        <v/>
      </c>
      <c r="CN799" s="32" t="e">
        <f ca="1"/>
        <v>#NAME?</v>
      </c>
      <c r="CO799" s="32" t="e">
        <f ca="1"/>
        <v>#NAME?</v>
      </c>
      <c r="CP799" s="32" t="e">
        <f ca="1"/>
        <v>#NAME?</v>
      </c>
      <c r="CQ799" s="32" t="e">
        <f ca="1"/>
        <v>#NAME?</v>
      </c>
      <c r="CR799" s="30" t="e">
        <f ca="1"/>
        <v>#NAME?</v>
      </c>
      <c r="CS799" s="30" t="str">
        <f ca="1">IFERROR(__xludf.DUMMYFUNCTION("""COMPUTED_VALUE"""),"")</f>
        <v/>
      </c>
    </row>
    <row r="800" spans="1:97" ht="13">
      <c r="A800" s="29"/>
      <c r="C800" s="32"/>
      <c r="I800" s="34"/>
      <c r="BP800" s="29"/>
      <c r="CC800" s="30" t="str">
        <f ca="1">IFERROR(__xludf.DUMMYFUNCTION("""COMPUTED_VALUE"""),"5a06a8a7")</f>
        <v>5a06a8a7</v>
      </c>
      <c r="CD800" s="29" t="str">
        <f ca="1">IFERROR(__xludf.DUMMYFUNCTION("""COMPUTED_VALUE"""),"Adultos Mayores (60 años o más)")</f>
        <v>Adultos Mayores (60 años o más)</v>
      </c>
      <c r="CE800" s="30" t="str">
        <f ca="1">IFERROR(__xludf.DUMMYFUNCTION("""COMPUTED_VALUE"""),"Hombre")</f>
        <v>Hombre</v>
      </c>
      <c r="CF800" s="30" t="str">
        <f ca="1">IFERROR(__xludf.DUMMYFUNCTION("""COMPUTED_VALUE"""),"Ninguno (Población General)")</f>
        <v>Ninguno (Población General)</v>
      </c>
      <c r="CG800" s="30">
        <f ca="1">IFERROR(__xludf.DUMMYFUNCTION("""COMPUTED_VALUE"""),25)</f>
        <v>25</v>
      </c>
      <c r="CJ800" s="29"/>
      <c r="CM800" s="30" t="str">
        <f ca="1">IFERROR(__xludf.DUMMYFUNCTION("""COMPUTED_VALUE"""),"")</f>
        <v/>
      </c>
      <c r="CN800" s="32" t="e">
        <f ca="1"/>
        <v>#NAME?</v>
      </c>
      <c r="CO800" s="32" t="e">
        <f ca="1"/>
        <v>#NAME?</v>
      </c>
      <c r="CP800" s="32" t="e">
        <f ca="1"/>
        <v>#NAME?</v>
      </c>
      <c r="CQ800" s="32" t="e">
        <f ca="1"/>
        <v>#NAME?</v>
      </c>
      <c r="CR800" s="30" t="e">
        <f ca="1"/>
        <v>#NAME?</v>
      </c>
      <c r="CS800" s="30" t="str">
        <f ca="1">IFERROR(__xludf.DUMMYFUNCTION("""COMPUTED_VALUE"""),"")</f>
        <v/>
      </c>
    </row>
    <row r="801" spans="1:97" ht="13">
      <c r="A801" s="29"/>
      <c r="C801" s="32"/>
      <c r="I801" s="34"/>
      <c r="BP801" s="29"/>
      <c r="CC801" s="30" t="str">
        <f ca="1">IFERROR(__xludf.DUMMYFUNCTION("""COMPUTED_VALUE"""),"78b8ec60")</f>
        <v>78b8ec60</v>
      </c>
      <c r="CD801" s="29" t="str">
        <f ca="1">IFERROR(__xludf.DUMMYFUNCTION("""COMPUTED_VALUE"""),"Adultos (30 a 59 años)")</f>
        <v>Adultos (30 a 59 años)</v>
      </c>
      <c r="CE801" s="30" t="str">
        <f ca="1">IFERROR(__xludf.DUMMYFUNCTION("""COMPUTED_VALUE"""),"Mujer")</f>
        <v>Mujer</v>
      </c>
      <c r="CF801" s="30" t="str">
        <f ca="1">IFERROR(__xludf.DUMMYFUNCTION("""COMPUTED_VALUE"""),"Ninguno (Población General)")</f>
        <v>Ninguno (Población General)</v>
      </c>
      <c r="CG801" s="30">
        <f ca="1">IFERROR(__xludf.DUMMYFUNCTION("""COMPUTED_VALUE"""),1)</f>
        <v>1</v>
      </c>
      <c r="CJ801" s="29"/>
      <c r="CM801" s="30" t="str">
        <f ca="1">IFERROR(__xludf.DUMMYFUNCTION("""COMPUTED_VALUE"""),"")</f>
        <v/>
      </c>
      <c r="CN801" s="32" t="e">
        <f ca="1"/>
        <v>#NAME?</v>
      </c>
      <c r="CO801" s="32" t="e">
        <f ca="1"/>
        <v>#NAME?</v>
      </c>
      <c r="CP801" s="32" t="e">
        <f ca="1"/>
        <v>#NAME?</v>
      </c>
      <c r="CQ801" s="32" t="e">
        <f ca="1"/>
        <v>#NAME?</v>
      </c>
      <c r="CR801" s="30" t="e">
        <f ca="1"/>
        <v>#NAME?</v>
      </c>
      <c r="CS801" s="30" t="str">
        <f ca="1">IFERROR(__xludf.DUMMYFUNCTION("""COMPUTED_VALUE"""),"")</f>
        <v/>
      </c>
    </row>
    <row r="802" spans="1:97" ht="13">
      <c r="A802" s="29"/>
      <c r="C802" s="32"/>
      <c r="I802" s="34"/>
      <c r="BP802" s="29"/>
      <c r="CC802" s="30" t="str">
        <f ca="1">IFERROR(__xludf.DUMMYFUNCTION("""COMPUTED_VALUE"""),"52d9920b")</f>
        <v>52d9920b</v>
      </c>
      <c r="CD802" s="29" t="str">
        <f ca="1">IFERROR(__xludf.DUMMYFUNCTION("""COMPUTED_VALUE"""),"Jóvenes (18 a 29 años)")</f>
        <v>Jóvenes (18 a 29 años)</v>
      </c>
      <c r="CE802" s="30" t="str">
        <f ca="1">IFERROR(__xludf.DUMMYFUNCTION("""COMPUTED_VALUE"""),"Hombre")</f>
        <v>Hombre</v>
      </c>
      <c r="CF802" s="30" t="str">
        <f ca="1">IFERROR(__xludf.DUMMYFUNCTION("""COMPUTED_VALUE"""),"Ninguno (Población General)")</f>
        <v>Ninguno (Población General)</v>
      </c>
      <c r="CG802" s="30">
        <f ca="1">IFERROR(__xludf.DUMMYFUNCTION("""COMPUTED_VALUE"""),1)</f>
        <v>1</v>
      </c>
      <c r="CJ802" s="29"/>
      <c r="CM802" s="30" t="str">
        <f ca="1">IFERROR(__xludf.DUMMYFUNCTION("""COMPUTED_VALUE"""),"")</f>
        <v/>
      </c>
      <c r="CN802" s="32" t="e">
        <f ca="1"/>
        <v>#NAME?</v>
      </c>
      <c r="CO802" s="32" t="e">
        <f ca="1"/>
        <v>#NAME?</v>
      </c>
      <c r="CP802" s="32" t="e">
        <f ca="1"/>
        <v>#NAME?</v>
      </c>
      <c r="CQ802" s="32" t="e">
        <f ca="1"/>
        <v>#NAME?</v>
      </c>
      <c r="CR802" s="30" t="e">
        <f ca="1"/>
        <v>#NAME?</v>
      </c>
      <c r="CS802" s="30" t="str">
        <f ca="1">IFERROR(__xludf.DUMMYFUNCTION("""COMPUTED_VALUE"""),"")</f>
        <v/>
      </c>
    </row>
    <row r="803" spans="1:97" ht="13">
      <c r="A803" s="29"/>
      <c r="C803" s="32"/>
      <c r="I803" s="34"/>
      <c r="BP803" s="29"/>
      <c r="CC803" s="30" t="str">
        <f ca="1">IFERROR(__xludf.DUMMYFUNCTION("""COMPUTED_VALUE"""),"d5fce56b")</f>
        <v>d5fce56b</v>
      </c>
      <c r="CD803" s="29" t="str">
        <f ca="1">IFERROR(__xludf.DUMMYFUNCTION("""COMPUTED_VALUE"""),"Adultos (30 a 59 años)")</f>
        <v>Adultos (30 a 59 años)</v>
      </c>
      <c r="CE803" s="30" t="str">
        <f ca="1">IFERROR(__xludf.DUMMYFUNCTION("""COMPUTED_VALUE"""),"Hombre")</f>
        <v>Hombre</v>
      </c>
      <c r="CF803" s="30" t="str">
        <f ca="1">IFERROR(__xludf.DUMMYFUNCTION("""COMPUTED_VALUE"""),"Ninguno (Población General)")</f>
        <v>Ninguno (Población General)</v>
      </c>
      <c r="CG803" s="30">
        <f ca="1">IFERROR(__xludf.DUMMYFUNCTION("""COMPUTED_VALUE"""),1)</f>
        <v>1</v>
      </c>
      <c r="CJ803" s="29"/>
      <c r="CM803" s="30" t="str">
        <f ca="1">IFERROR(__xludf.DUMMYFUNCTION("""COMPUTED_VALUE"""),"")</f>
        <v/>
      </c>
      <c r="CN803" s="32" t="e">
        <f ca="1"/>
        <v>#NAME?</v>
      </c>
      <c r="CO803" s="32" t="e">
        <f ca="1"/>
        <v>#NAME?</v>
      </c>
      <c r="CP803" s="32" t="e">
        <f ca="1"/>
        <v>#NAME?</v>
      </c>
      <c r="CQ803" s="32" t="e">
        <f ca="1"/>
        <v>#NAME?</v>
      </c>
      <c r="CR803" s="30" t="e">
        <f ca="1"/>
        <v>#NAME?</v>
      </c>
      <c r="CS803" s="30" t="str">
        <f ca="1">IFERROR(__xludf.DUMMYFUNCTION("""COMPUTED_VALUE"""),"")</f>
        <v/>
      </c>
    </row>
    <row r="804" spans="1:97" ht="13">
      <c r="A804" s="29"/>
      <c r="C804" s="32"/>
      <c r="I804" s="34"/>
      <c r="BP804" s="29"/>
      <c r="CC804" s="30" t="str">
        <f ca="1">IFERROR(__xludf.DUMMYFUNCTION("""COMPUTED_VALUE"""),"5fa2e44e")</f>
        <v>5fa2e44e</v>
      </c>
      <c r="CD804" s="29" t="str">
        <f ca="1">IFERROR(__xludf.DUMMYFUNCTION("""COMPUTED_VALUE"""),"Adultos Mayores (60 años o más)")</f>
        <v>Adultos Mayores (60 años o más)</v>
      </c>
      <c r="CE804" s="30" t="str">
        <f ca="1">IFERROR(__xludf.DUMMYFUNCTION("""COMPUTED_VALUE"""),"Mujer")</f>
        <v>Mujer</v>
      </c>
      <c r="CF804" s="30" t="str">
        <f ca="1">IFERROR(__xludf.DUMMYFUNCTION("""COMPUTED_VALUE"""),"Ninguno (Población General)")</f>
        <v>Ninguno (Población General)</v>
      </c>
      <c r="CG804" s="30">
        <f ca="1">IFERROR(__xludf.DUMMYFUNCTION("""COMPUTED_VALUE"""),1)</f>
        <v>1</v>
      </c>
      <c r="CJ804" s="29"/>
      <c r="CM804" s="30" t="str">
        <f ca="1">IFERROR(__xludf.DUMMYFUNCTION("""COMPUTED_VALUE"""),"")</f>
        <v/>
      </c>
      <c r="CN804" s="32" t="e">
        <f ca="1"/>
        <v>#NAME?</v>
      </c>
      <c r="CO804" s="32" t="e">
        <f ca="1"/>
        <v>#NAME?</v>
      </c>
      <c r="CP804" s="32" t="e">
        <f ca="1"/>
        <v>#NAME?</v>
      </c>
      <c r="CQ804" s="32" t="e">
        <f ca="1"/>
        <v>#NAME?</v>
      </c>
      <c r="CR804" s="30" t="e">
        <f ca="1"/>
        <v>#NAME?</v>
      </c>
      <c r="CS804" s="30" t="str">
        <f ca="1">IFERROR(__xludf.DUMMYFUNCTION("""COMPUTED_VALUE"""),"")</f>
        <v/>
      </c>
    </row>
    <row r="805" spans="1:97" ht="13">
      <c r="A805" s="29"/>
      <c r="C805" s="32"/>
      <c r="I805" s="34"/>
      <c r="BP805" s="29"/>
      <c r="CC805" s="30" t="str">
        <f ca="1">IFERROR(__xludf.DUMMYFUNCTION("""COMPUTED_VALUE"""),"4b49c8b8")</f>
        <v>4b49c8b8</v>
      </c>
      <c r="CD805" s="29" t="str">
        <f ca="1">IFERROR(__xludf.DUMMYFUNCTION("""COMPUTED_VALUE"""),"Adultos (30 a 59 años)")</f>
        <v>Adultos (30 a 59 años)</v>
      </c>
      <c r="CE805" s="30" t="str">
        <f ca="1">IFERROR(__xludf.DUMMYFUNCTION("""COMPUTED_VALUE"""),"Hombre")</f>
        <v>Hombre</v>
      </c>
      <c r="CF805" s="30" t="str">
        <f ca="1">IFERROR(__xludf.DUMMYFUNCTION("""COMPUTED_VALUE"""),"Ninguno (Población General)")</f>
        <v>Ninguno (Población General)</v>
      </c>
      <c r="CG805" s="30">
        <f ca="1">IFERROR(__xludf.DUMMYFUNCTION("""COMPUTED_VALUE"""),9)</f>
        <v>9</v>
      </c>
      <c r="CJ805" s="29"/>
      <c r="CM805" s="30" t="str">
        <f ca="1">IFERROR(__xludf.DUMMYFUNCTION("""COMPUTED_VALUE"""),"")</f>
        <v/>
      </c>
      <c r="CN805" s="32" t="e">
        <f ca="1"/>
        <v>#NAME?</v>
      </c>
      <c r="CO805" s="32" t="e">
        <f ca="1"/>
        <v>#NAME?</v>
      </c>
      <c r="CP805" s="32" t="e">
        <f ca="1"/>
        <v>#NAME?</v>
      </c>
      <c r="CQ805" s="32" t="e">
        <f ca="1"/>
        <v>#NAME?</v>
      </c>
      <c r="CR805" s="30" t="e">
        <f ca="1"/>
        <v>#NAME?</v>
      </c>
      <c r="CS805" s="30" t="str">
        <f ca="1">IFERROR(__xludf.DUMMYFUNCTION("""COMPUTED_VALUE"""),"")</f>
        <v/>
      </c>
    </row>
    <row r="806" spans="1:97" ht="13">
      <c r="A806" s="29"/>
      <c r="C806" s="32"/>
      <c r="I806" s="34"/>
      <c r="BP806" s="29"/>
      <c r="CC806" s="30" t="str">
        <f ca="1">IFERROR(__xludf.DUMMYFUNCTION("""COMPUTED_VALUE"""),"fcad919a")</f>
        <v>fcad919a</v>
      </c>
      <c r="CD806" s="29" t="str">
        <f ca="1">IFERROR(__xludf.DUMMYFUNCTION("""COMPUTED_VALUE"""),"Adultos (30 a 59 años)")</f>
        <v>Adultos (30 a 59 años)</v>
      </c>
      <c r="CE806" s="30" t="str">
        <f ca="1">IFERROR(__xludf.DUMMYFUNCTION("""COMPUTED_VALUE"""),"Mujer")</f>
        <v>Mujer</v>
      </c>
      <c r="CF806" s="30" t="str">
        <f ca="1">IFERROR(__xludf.DUMMYFUNCTION("""COMPUTED_VALUE"""),"Ninguno (Población General)")</f>
        <v>Ninguno (Población General)</v>
      </c>
      <c r="CG806" s="30">
        <f ca="1">IFERROR(__xludf.DUMMYFUNCTION("""COMPUTED_VALUE"""),6)</f>
        <v>6</v>
      </c>
      <c r="CJ806" s="29"/>
      <c r="CM806" s="30" t="str">
        <f ca="1">IFERROR(__xludf.DUMMYFUNCTION("""COMPUTED_VALUE"""),"")</f>
        <v/>
      </c>
      <c r="CN806" s="32" t="e">
        <f ca="1"/>
        <v>#NAME?</v>
      </c>
      <c r="CO806" s="32" t="e">
        <f ca="1"/>
        <v>#NAME?</v>
      </c>
      <c r="CP806" s="32" t="e">
        <f ca="1"/>
        <v>#NAME?</v>
      </c>
      <c r="CQ806" s="32" t="e">
        <f ca="1"/>
        <v>#NAME?</v>
      </c>
      <c r="CR806" s="30" t="e">
        <f ca="1"/>
        <v>#NAME?</v>
      </c>
      <c r="CS806" s="30" t="str">
        <f ca="1">IFERROR(__xludf.DUMMYFUNCTION("""COMPUTED_VALUE"""),"")</f>
        <v/>
      </c>
    </row>
    <row r="807" spans="1:97" ht="13">
      <c r="A807" s="29"/>
      <c r="C807" s="32"/>
      <c r="I807" s="34"/>
      <c r="BP807" s="29"/>
      <c r="CC807" s="30" t="str">
        <f ca="1">IFERROR(__xludf.DUMMYFUNCTION("""COMPUTED_VALUE"""),"46c720f3")</f>
        <v>46c720f3</v>
      </c>
      <c r="CD807" s="29" t="str">
        <f ca="1">IFERROR(__xludf.DUMMYFUNCTION("""COMPUTED_VALUE"""),"Adultos Mayores (60 años o más)")</f>
        <v>Adultos Mayores (60 años o más)</v>
      </c>
      <c r="CE807" s="30" t="str">
        <f ca="1">IFERROR(__xludf.DUMMYFUNCTION("""COMPUTED_VALUE"""),"Mujer")</f>
        <v>Mujer</v>
      </c>
      <c r="CF807" s="30" t="str">
        <f ca="1">IFERROR(__xludf.DUMMYFUNCTION("""COMPUTED_VALUE"""),"Ninguno (Población General)")</f>
        <v>Ninguno (Población General)</v>
      </c>
      <c r="CG807" s="30">
        <f ca="1">IFERROR(__xludf.DUMMYFUNCTION("""COMPUTED_VALUE"""),2)</f>
        <v>2</v>
      </c>
      <c r="CJ807" s="29"/>
      <c r="CM807" s="30" t="str">
        <f ca="1">IFERROR(__xludf.DUMMYFUNCTION("""COMPUTED_VALUE"""),"")</f>
        <v/>
      </c>
      <c r="CN807" s="32" t="e">
        <f ca="1"/>
        <v>#NAME?</v>
      </c>
      <c r="CO807" s="32" t="e">
        <f ca="1"/>
        <v>#NAME?</v>
      </c>
      <c r="CP807" s="32" t="e">
        <f ca="1"/>
        <v>#NAME?</v>
      </c>
      <c r="CQ807" s="32" t="e">
        <f ca="1"/>
        <v>#NAME?</v>
      </c>
      <c r="CR807" s="30" t="e">
        <f ca="1"/>
        <v>#NAME?</v>
      </c>
      <c r="CS807" s="30" t="str">
        <f ca="1">IFERROR(__xludf.DUMMYFUNCTION("""COMPUTED_VALUE"""),"")</f>
        <v/>
      </c>
    </row>
    <row r="808" spans="1:97" ht="13">
      <c r="A808" s="29"/>
      <c r="C808" s="32"/>
      <c r="I808" s="34"/>
      <c r="BP808" s="29"/>
      <c r="CC808" s="30" t="str">
        <f ca="1">IFERROR(__xludf.DUMMYFUNCTION("""COMPUTED_VALUE"""),"a8853bb3")</f>
        <v>a8853bb3</v>
      </c>
      <c r="CD808" s="29" t="str">
        <f ca="1">IFERROR(__xludf.DUMMYFUNCTION("""COMPUTED_VALUE"""),"Adultos Mayores (60 años o más)")</f>
        <v>Adultos Mayores (60 años o más)</v>
      </c>
      <c r="CE808" s="30" t="str">
        <f ca="1">IFERROR(__xludf.DUMMYFUNCTION("""COMPUTED_VALUE"""),"Hombre")</f>
        <v>Hombre</v>
      </c>
      <c r="CF808" s="30" t="str">
        <f ca="1">IFERROR(__xludf.DUMMYFUNCTION("""COMPUTED_VALUE"""),"Ninguno (Población General)")</f>
        <v>Ninguno (Población General)</v>
      </c>
      <c r="CG808" s="30">
        <f ca="1">IFERROR(__xludf.DUMMYFUNCTION("""COMPUTED_VALUE"""),1)</f>
        <v>1</v>
      </c>
      <c r="CJ808" s="29"/>
      <c r="CM808" s="30" t="str">
        <f ca="1">IFERROR(__xludf.DUMMYFUNCTION("""COMPUTED_VALUE"""),"")</f>
        <v/>
      </c>
      <c r="CN808" s="32" t="e">
        <f ca="1"/>
        <v>#NAME?</v>
      </c>
      <c r="CO808" s="32" t="e">
        <f ca="1"/>
        <v>#NAME?</v>
      </c>
      <c r="CP808" s="32" t="e">
        <f ca="1"/>
        <v>#NAME?</v>
      </c>
      <c r="CQ808" s="32" t="e">
        <f ca="1"/>
        <v>#NAME?</v>
      </c>
      <c r="CR808" s="30" t="e">
        <f ca="1"/>
        <v>#NAME?</v>
      </c>
      <c r="CS808" s="30" t="str">
        <f ca="1">IFERROR(__xludf.DUMMYFUNCTION("""COMPUTED_VALUE"""),"")</f>
        <v/>
      </c>
    </row>
    <row r="809" spans="1:97" ht="13">
      <c r="A809" s="29"/>
      <c r="C809" s="32"/>
      <c r="I809" s="34"/>
      <c r="BP809" s="29"/>
      <c r="CC809" s="30" t="str">
        <f ca="1">IFERROR(__xludf.DUMMYFUNCTION("""COMPUTED_VALUE"""),"8dd0ab33")</f>
        <v>8dd0ab33</v>
      </c>
      <c r="CD809" s="29" t="str">
        <f ca="1">IFERROR(__xludf.DUMMYFUNCTION("""COMPUTED_VALUE"""),"Jóvenes (18 a 29 años)")</f>
        <v>Jóvenes (18 a 29 años)</v>
      </c>
      <c r="CE809" s="30" t="str">
        <f ca="1">IFERROR(__xludf.DUMMYFUNCTION("""COMPUTED_VALUE"""),"Hombre")</f>
        <v>Hombre</v>
      </c>
      <c r="CF809" s="30" t="str">
        <f ca="1">IFERROR(__xludf.DUMMYFUNCTION("""COMPUTED_VALUE"""),"Ninguno (Población General)")</f>
        <v>Ninguno (Población General)</v>
      </c>
      <c r="CG809" s="30">
        <f ca="1">IFERROR(__xludf.DUMMYFUNCTION("""COMPUTED_VALUE"""),1)</f>
        <v>1</v>
      </c>
      <c r="CJ809" s="29"/>
      <c r="CM809" s="30" t="str">
        <f ca="1">IFERROR(__xludf.DUMMYFUNCTION("""COMPUTED_VALUE"""),"")</f>
        <v/>
      </c>
      <c r="CN809" s="32" t="e">
        <f ca="1"/>
        <v>#NAME?</v>
      </c>
      <c r="CO809" s="32" t="e">
        <f ca="1"/>
        <v>#NAME?</v>
      </c>
      <c r="CP809" s="32" t="e">
        <f ca="1"/>
        <v>#NAME?</v>
      </c>
      <c r="CQ809" s="32" t="e">
        <f ca="1"/>
        <v>#NAME?</v>
      </c>
      <c r="CR809" s="30" t="e">
        <f ca="1"/>
        <v>#NAME?</v>
      </c>
      <c r="CS809" s="30" t="str">
        <f ca="1">IFERROR(__xludf.DUMMYFUNCTION("""COMPUTED_VALUE"""),"")</f>
        <v/>
      </c>
    </row>
    <row r="810" spans="1:97" ht="13">
      <c r="A810" s="29"/>
      <c r="C810" s="32"/>
      <c r="I810" s="34"/>
      <c r="BP810" s="29"/>
      <c r="CC810" s="30" t="str">
        <f ca="1">IFERROR(__xludf.DUMMYFUNCTION("""COMPUTED_VALUE"""),"44f9e84f")</f>
        <v>44f9e84f</v>
      </c>
      <c r="CD810" s="29" t="str">
        <f ca="1">IFERROR(__xludf.DUMMYFUNCTION("""COMPUTED_VALUE"""),"Adultos (30 a 59 años)")</f>
        <v>Adultos (30 a 59 años)</v>
      </c>
      <c r="CE810" s="30" t="str">
        <f ca="1">IFERROR(__xludf.DUMMYFUNCTION("""COMPUTED_VALUE"""),"Mujer")</f>
        <v>Mujer</v>
      </c>
      <c r="CF810" s="30" t="str">
        <f ca="1">IFERROR(__xludf.DUMMYFUNCTION("""COMPUTED_VALUE"""),"Ninguno (Población General)")</f>
        <v>Ninguno (Población General)</v>
      </c>
      <c r="CG810" s="30">
        <f ca="1">IFERROR(__xludf.DUMMYFUNCTION("""COMPUTED_VALUE"""),6)</f>
        <v>6</v>
      </c>
      <c r="CJ810" s="29"/>
      <c r="CM810" s="30" t="str">
        <f ca="1">IFERROR(__xludf.DUMMYFUNCTION("""COMPUTED_VALUE"""),"")</f>
        <v/>
      </c>
      <c r="CN810" s="32" t="e">
        <f ca="1"/>
        <v>#NAME?</v>
      </c>
      <c r="CO810" s="32" t="e">
        <f ca="1"/>
        <v>#NAME?</v>
      </c>
      <c r="CP810" s="32" t="e">
        <f ca="1"/>
        <v>#NAME?</v>
      </c>
      <c r="CQ810" s="32" t="e">
        <f ca="1"/>
        <v>#NAME?</v>
      </c>
      <c r="CR810" s="30" t="e">
        <f ca="1"/>
        <v>#NAME?</v>
      </c>
      <c r="CS810" s="30" t="str">
        <f ca="1">IFERROR(__xludf.DUMMYFUNCTION("""COMPUTED_VALUE"""),"")</f>
        <v/>
      </c>
    </row>
    <row r="811" spans="1:97" ht="13">
      <c r="A811" s="29"/>
      <c r="C811" s="32"/>
      <c r="I811" s="34"/>
      <c r="BP811" s="29"/>
      <c r="CC811" s="30" t="str">
        <f ca="1">IFERROR(__xludf.DUMMYFUNCTION("""COMPUTED_VALUE"""),"c665da98")</f>
        <v>c665da98</v>
      </c>
      <c r="CD811" s="29" t="str">
        <f ca="1">IFERROR(__xludf.DUMMYFUNCTION("""COMPUTED_VALUE"""),"Adultos Mayores (60 años o más)")</f>
        <v>Adultos Mayores (60 años o más)</v>
      </c>
      <c r="CE811" s="30" t="str">
        <f ca="1">IFERROR(__xludf.DUMMYFUNCTION("""COMPUTED_VALUE"""),"Mujer")</f>
        <v>Mujer</v>
      </c>
      <c r="CF811" s="30" t="str">
        <f ca="1">IFERROR(__xludf.DUMMYFUNCTION("""COMPUTED_VALUE"""),"Ninguno (Población General)")</f>
        <v>Ninguno (Población General)</v>
      </c>
      <c r="CG811" s="30">
        <f ca="1">IFERROR(__xludf.DUMMYFUNCTION("""COMPUTED_VALUE"""),2)</f>
        <v>2</v>
      </c>
      <c r="CJ811" s="29"/>
      <c r="CM811" s="30" t="str">
        <f ca="1">IFERROR(__xludf.DUMMYFUNCTION("""COMPUTED_VALUE"""),"")</f>
        <v/>
      </c>
      <c r="CN811" s="32" t="e">
        <f ca="1"/>
        <v>#NAME?</v>
      </c>
      <c r="CO811" s="32" t="e">
        <f ca="1"/>
        <v>#NAME?</v>
      </c>
      <c r="CP811" s="32" t="e">
        <f ca="1"/>
        <v>#NAME?</v>
      </c>
      <c r="CQ811" s="32" t="e">
        <f ca="1"/>
        <v>#NAME?</v>
      </c>
      <c r="CR811" s="30" t="e">
        <f ca="1"/>
        <v>#NAME?</v>
      </c>
      <c r="CS811" s="30" t="str">
        <f ca="1">IFERROR(__xludf.DUMMYFUNCTION("""COMPUTED_VALUE"""),"")</f>
        <v/>
      </c>
    </row>
    <row r="812" spans="1:97" ht="13">
      <c r="A812" s="29"/>
      <c r="C812" s="32"/>
      <c r="I812" s="34"/>
      <c r="BP812" s="29"/>
      <c r="CC812" s="30" t="str">
        <f ca="1">IFERROR(__xludf.DUMMYFUNCTION("""COMPUTED_VALUE"""),"ec87561f")</f>
        <v>ec87561f</v>
      </c>
      <c r="CD812" s="29" t="str">
        <f ca="1">IFERROR(__xludf.DUMMYFUNCTION("""COMPUTED_VALUE"""),"Adultos (30 a 59 años)")</f>
        <v>Adultos (30 a 59 años)</v>
      </c>
      <c r="CE812" s="30" t="str">
        <f ca="1">IFERROR(__xludf.DUMMYFUNCTION("""COMPUTED_VALUE"""),"Mujer")</f>
        <v>Mujer</v>
      </c>
      <c r="CF812" s="30" t="str">
        <f ca="1">IFERROR(__xludf.DUMMYFUNCTION("""COMPUTED_VALUE"""),"Ninguno (Población General)")</f>
        <v>Ninguno (Población General)</v>
      </c>
      <c r="CG812" s="30">
        <f ca="1">IFERROR(__xludf.DUMMYFUNCTION("""COMPUTED_VALUE"""),3)</f>
        <v>3</v>
      </c>
      <c r="CJ812" s="29"/>
      <c r="CM812" s="30" t="str">
        <f ca="1">IFERROR(__xludf.DUMMYFUNCTION("""COMPUTED_VALUE"""),"")</f>
        <v/>
      </c>
      <c r="CN812" s="32" t="e">
        <f ca="1"/>
        <v>#NAME?</v>
      </c>
      <c r="CO812" s="32" t="e">
        <f ca="1"/>
        <v>#NAME?</v>
      </c>
      <c r="CP812" s="32" t="e">
        <f ca="1"/>
        <v>#NAME?</v>
      </c>
      <c r="CQ812" s="32" t="e">
        <f ca="1"/>
        <v>#NAME?</v>
      </c>
      <c r="CR812" s="30" t="e">
        <f ca="1"/>
        <v>#NAME?</v>
      </c>
      <c r="CS812" s="30" t="str">
        <f ca="1">IFERROR(__xludf.DUMMYFUNCTION("""COMPUTED_VALUE"""),"")</f>
        <v/>
      </c>
    </row>
    <row r="813" spans="1:97" ht="13">
      <c r="A813" s="29"/>
      <c r="C813" s="32"/>
      <c r="I813" s="34"/>
      <c r="BP813" s="29"/>
      <c r="CC813" s="30" t="str">
        <f ca="1">IFERROR(__xludf.DUMMYFUNCTION("""COMPUTED_VALUE"""),"bc607e15")</f>
        <v>bc607e15</v>
      </c>
      <c r="CD813" s="29" t="str">
        <f ca="1">IFERROR(__xludf.DUMMYFUNCTION("""COMPUTED_VALUE"""),"Adultos (30 a 59 años)")</f>
        <v>Adultos (30 a 59 años)</v>
      </c>
      <c r="CE813" s="30" t="str">
        <f ca="1">IFERROR(__xludf.DUMMYFUNCTION("""COMPUTED_VALUE"""),"Hombre")</f>
        <v>Hombre</v>
      </c>
      <c r="CF813" s="30" t="str">
        <f ca="1">IFERROR(__xludf.DUMMYFUNCTION("""COMPUTED_VALUE"""),"Ninguno (Población General)")</f>
        <v>Ninguno (Población General)</v>
      </c>
      <c r="CG813" s="30">
        <f ca="1">IFERROR(__xludf.DUMMYFUNCTION("""COMPUTED_VALUE"""),1)</f>
        <v>1</v>
      </c>
      <c r="CJ813" s="29"/>
      <c r="CM813" s="30" t="str">
        <f ca="1">IFERROR(__xludf.DUMMYFUNCTION("""COMPUTED_VALUE"""),"")</f>
        <v/>
      </c>
      <c r="CN813" s="32" t="e">
        <f ca="1"/>
        <v>#NAME?</v>
      </c>
      <c r="CO813" s="32" t="e">
        <f ca="1"/>
        <v>#NAME?</v>
      </c>
      <c r="CP813" s="32" t="e">
        <f ca="1"/>
        <v>#NAME?</v>
      </c>
      <c r="CQ813" s="32" t="e">
        <f ca="1"/>
        <v>#NAME?</v>
      </c>
      <c r="CR813" s="30" t="e">
        <f ca="1"/>
        <v>#NAME?</v>
      </c>
      <c r="CS813" s="30" t="str">
        <f ca="1">IFERROR(__xludf.DUMMYFUNCTION("""COMPUTED_VALUE"""),"")</f>
        <v/>
      </c>
    </row>
    <row r="814" spans="1:97" ht="13">
      <c r="A814" s="29"/>
      <c r="C814" s="32"/>
      <c r="I814" s="34"/>
      <c r="BP814" s="29"/>
      <c r="CC814" s="30" t="str">
        <f ca="1">IFERROR(__xludf.DUMMYFUNCTION("""COMPUTED_VALUE"""),"03dec282")</f>
        <v>03dec282</v>
      </c>
      <c r="CD814" s="29" t="str">
        <f ca="1">IFERROR(__xludf.DUMMYFUNCTION("""COMPUTED_VALUE"""),"Jóvenes (18 a 29 años)")</f>
        <v>Jóvenes (18 a 29 años)</v>
      </c>
      <c r="CE814" s="30" t="str">
        <f ca="1">IFERROR(__xludf.DUMMYFUNCTION("""COMPUTED_VALUE"""),"Hombre")</f>
        <v>Hombre</v>
      </c>
      <c r="CF814" s="30" t="str">
        <f ca="1">IFERROR(__xludf.DUMMYFUNCTION("""COMPUTED_VALUE"""),"Ninguno (Población General)")</f>
        <v>Ninguno (Población General)</v>
      </c>
      <c r="CG814" s="30">
        <f ca="1">IFERROR(__xludf.DUMMYFUNCTION("""COMPUTED_VALUE"""),5)</f>
        <v>5</v>
      </c>
      <c r="CJ814" s="29"/>
      <c r="CM814" s="30" t="str">
        <f ca="1">IFERROR(__xludf.DUMMYFUNCTION("""COMPUTED_VALUE"""),"")</f>
        <v/>
      </c>
      <c r="CN814" s="32" t="e">
        <f ca="1"/>
        <v>#NAME?</v>
      </c>
      <c r="CO814" s="32" t="e">
        <f ca="1"/>
        <v>#NAME?</v>
      </c>
      <c r="CP814" s="32" t="e">
        <f ca="1"/>
        <v>#NAME?</v>
      </c>
      <c r="CQ814" s="32" t="e">
        <f ca="1"/>
        <v>#NAME?</v>
      </c>
      <c r="CR814" s="30" t="e">
        <f ca="1"/>
        <v>#NAME?</v>
      </c>
      <c r="CS814" s="30" t="str">
        <f ca="1">IFERROR(__xludf.DUMMYFUNCTION("""COMPUTED_VALUE"""),"")</f>
        <v/>
      </c>
    </row>
    <row r="815" spans="1:97" ht="13">
      <c r="A815" s="29"/>
      <c r="C815" s="32"/>
      <c r="I815" s="34"/>
      <c r="BP815" s="29"/>
      <c r="CC815" s="30" t="str">
        <f ca="1">IFERROR(__xludf.DUMMYFUNCTION("""COMPUTED_VALUE"""),"606e2cd2")</f>
        <v>606e2cd2</v>
      </c>
      <c r="CD815" s="29" t="str">
        <f ca="1">IFERROR(__xludf.DUMMYFUNCTION("""COMPUTED_VALUE"""),"Adultos (30 a 59 años)")</f>
        <v>Adultos (30 a 59 años)</v>
      </c>
      <c r="CE815" s="30" t="str">
        <f ca="1">IFERROR(__xludf.DUMMYFUNCTION("""COMPUTED_VALUE"""),"Mujer")</f>
        <v>Mujer</v>
      </c>
      <c r="CF815" s="30" t="str">
        <f ca="1">IFERROR(__xludf.DUMMYFUNCTION("""COMPUTED_VALUE"""),"Ninguno (Población General)")</f>
        <v>Ninguno (Población General)</v>
      </c>
      <c r="CG815" s="30">
        <f ca="1">IFERROR(__xludf.DUMMYFUNCTION("""COMPUTED_VALUE"""),3)</f>
        <v>3</v>
      </c>
      <c r="CJ815" s="29"/>
      <c r="CM815" s="30" t="str">
        <f ca="1">IFERROR(__xludf.DUMMYFUNCTION("""COMPUTED_VALUE"""),"")</f>
        <v/>
      </c>
      <c r="CN815" s="32" t="e">
        <f ca="1"/>
        <v>#NAME?</v>
      </c>
      <c r="CO815" s="32" t="e">
        <f ca="1"/>
        <v>#NAME?</v>
      </c>
      <c r="CP815" s="32" t="e">
        <f ca="1"/>
        <v>#NAME?</v>
      </c>
      <c r="CQ815" s="32" t="e">
        <f ca="1"/>
        <v>#NAME?</v>
      </c>
      <c r="CR815" s="30" t="e">
        <f ca="1"/>
        <v>#NAME?</v>
      </c>
      <c r="CS815" s="30" t="str">
        <f ca="1">IFERROR(__xludf.DUMMYFUNCTION("""COMPUTED_VALUE"""),"")</f>
        <v/>
      </c>
    </row>
    <row r="816" spans="1:97" ht="13">
      <c r="A816" s="29"/>
      <c r="C816" s="32"/>
      <c r="I816" s="34"/>
      <c r="BP816" s="29"/>
      <c r="CC816" s="30" t="str">
        <f ca="1">IFERROR(__xludf.DUMMYFUNCTION("""COMPUTED_VALUE"""),"887a98b3")</f>
        <v>887a98b3</v>
      </c>
      <c r="CD816" s="29" t="str">
        <f ca="1">IFERROR(__xludf.DUMMYFUNCTION("""COMPUTED_VALUE"""),"Adultos (30 a 59 años)")</f>
        <v>Adultos (30 a 59 años)</v>
      </c>
      <c r="CE816" s="30" t="str">
        <f ca="1">IFERROR(__xludf.DUMMYFUNCTION("""COMPUTED_VALUE"""),"Hombre")</f>
        <v>Hombre</v>
      </c>
      <c r="CF816" s="30" t="str">
        <f ca="1">IFERROR(__xludf.DUMMYFUNCTION("""COMPUTED_VALUE"""),"Ninguno (Población General)")</f>
        <v>Ninguno (Población General)</v>
      </c>
      <c r="CG816" s="30">
        <f ca="1">IFERROR(__xludf.DUMMYFUNCTION("""COMPUTED_VALUE"""),3)</f>
        <v>3</v>
      </c>
      <c r="CJ816" s="29"/>
      <c r="CM816" s="30" t="str">
        <f ca="1">IFERROR(__xludf.DUMMYFUNCTION("""COMPUTED_VALUE"""),"")</f>
        <v/>
      </c>
      <c r="CN816" s="32" t="e">
        <f ca="1"/>
        <v>#NAME?</v>
      </c>
      <c r="CO816" s="32" t="e">
        <f ca="1"/>
        <v>#NAME?</v>
      </c>
      <c r="CP816" s="32" t="e">
        <f ca="1"/>
        <v>#NAME?</v>
      </c>
      <c r="CQ816" s="32" t="e">
        <f ca="1"/>
        <v>#NAME?</v>
      </c>
      <c r="CR816" s="30" t="e">
        <f ca="1"/>
        <v>#NAME?</v>
      </c>
      <c r="CS816" s="30" t="str">
        <f ca="1">IFERROR(__xludf.DUMMYFUNCTION("""COMPUTED_VALUE"""),"")</f>
        <v/>
      </c>
    </row>
    <row r="817" spans="1:97" ht="13">
      <c r="A817" s="29"/>
      <c r="C817" s="32"/>
      <c r="I817" s="34"/>
      <c r="BP817" s="29"/>
      <c r="CC817" s="30" t="str">
        <f ca="1">IFERROR(__xludf.DUMMYFUNCTION("""COMPUTED_VALUE"""),"b3d88eee")</f>
        <v>b3d88eee</v>
      </c>
      <c r="CD817" s="29" t="str">
        <f ca="1">IFERROR(__xludf.DUMMYFUNCTION("""COMPUTED_VALUE"""),"Jóvenes (18 a 29 años)")</f>
        <v>Jóvenes (18 a 29 años)</v>
      </c>
      <c r="CE817" s="30" t="str">
        <f ca="1">IFERROR(__xludf.DUMMYFUNCTION("""COMPUTED_VALUE"""),"Hombre")</f>
        <v>Hombre</v>
      </c>
      <c r="CF817" s="30" t="str">
        <f ca="1">IFERROR(__xludf.DUMMYFUNCTION("""COMPUTED_VALUE"""),"Ninguno (Población General)")</f>
        <v>Ninguno (Población General)</v>
      </c>
      <c r="CG817" s="30">
        <f ca="1">IFERROR(__xludf.DUMMYFUNCTION("""COMPUTED_VALUE"""),3)</f>
        <v>3</v>
      </c>
      <c r="CJ817" s="29"/>
      <c r="CM817" s="30" t="str">
        <f ca="1">IFERROR(__xludf.DUMMYFUNCTION("""COMPUTED_VALUE"""),"")</f>
        <v/>
      </c>
      <c r="CN817" s="32" t="e">
        <f ca="1"/>
        <v>#NAME?</v>
      </c>
      <c r="CO817" s="32" t="e">
        <f ca="1"/>
        <v>#NAME?</v>
      </c>
      <c r="CP817" s="32" t="e">
        <f ca="1"/>
        <v>#NAME?</v>
      </c>
      <c r="CQ817" s="32" t="e">
        <f ca="1"/>
        <v>#NAME?</v>
      </c>
      <c r="CR817" s="30" t="e">
        <f ca="1"/>
        <v>#NAME?</v>
      </c>
      <c r="CS817" s="30" t="str">
        <f ca="1">IFERROR(__xludf.DUMMYFUNCTION("""COMPUTED_VALUE"""),"")</f>
        <v/>
      </c>
    </row>
    <row r="818" spans="1:97" ht="13">
      <c r="A818" s="29"/>
      <c r="C818" s="32"/>
      <c r="I818" s="34"/>
      <c r="BP818" s="29"/>
      <c r="CC818" s="30" t="str">
        <f ca="1">IFERROR(__xludf.DUMMYFUNCTION("""COMPUTED_VALUE"""),"f9681817")</f>
        <v>f9681817</v>
      </c>
      <c r="CD818" s="29" t="str">
        <f ca="1">IFERROR(__xludf.DUMMYFUNCTION("""COMPUTED_VALUE"""),"Adultos (30 a 59 años)")</f>
        <v>Adultos (30 a 59 años)</v>
      </c>
      <c r="CE818" s="30" t="str">
        <f ca="1">IFERROR(__xludf.DUMMYFUNCTION("""COMPUTED_VALUE"""),"Mujer")</f>
        <v>Mujer</v>
      </c>
      <c r="CF818" s="30" t="str">
        <f ca="1">IFERROR(__xludf.DUMMYFUNCTION("""COMPUTED_VALUE"""),"Ninguno (Población General)")</f>
        <v>Ninguno (Población General)</v>
      </c>
      <c r="CG818" s="30">
        <f ca="1">IFERROR(__xludf.DUMMYFUNCTION("""COMPUTED_VALUE"""),3)</f>
        <v>3</v>
      </c>
      <c r="CJ818" s="29"/>
      <c r="CM818" s="30" t="str">
        <f ca="1">IFERROR(__xludf.DUMMYFUNCTION("""COMPUTED_VALUE"""),"")</f>
        <v/>
      </c>
      <c r="CN818" s="32" t="e">
        <f ca="1"/>
        <v>#NAME?</v>
      </c>
      <c r="CO818" s="32" t="e">
        <f ca="1"/>
        <v>#NAME?</v>
      </c>
      <c r="CP818" s="32" t="e">
        <f ca="1"/>
        <v>#NAME?</v>
      </c>
      <c r="CQ818" s="32" t="e">
        <f ca="1"/>
        <v>#NAME?</v>
      </c>
      <c r="CR818" s="30" t="e">
        <f ca="1"/>
        <v>#NAME?</v>
      </c>
      <c r="CS818" s="30" t="str">
        <f ca="1">IFERROR(__xludf.DUMMYFUNCTION("""COMPUTED_VALUE"""),"")</f>
        <v/>
      </c>
    </row>
    <row r="819" spans="1:97" ht="13">
      <c r="A819" s="29"/>
      <c r="C819" s="32"/>
      <c r="I819" s="34"/>
      <c r="BP819" s="29"/>
      <c r="CC819" s="30" t="str">
        <f ca="1">IFERROR(__xludf.DUMMYFUNCTION("""COMPUTED_VALUE"""),"de7c68ab")</f>
        <v>de7c68ab</v>
      </c>
      <c r="CD819" s="29" t="str">
        <f ca="1">IFERROR(__xludf.DUMMYFUNCTION("""COMPUTED_VALUE"""),"Adultos (30 a 59 años)")</f>
        <v>Adultos (30 a 59 años)</v>
      </c>
      <c r="CE819" s="30" t="str">
        <f ca="1">IFERROR(__xludf.DUMMYFUNCTION("""COMPUTED_VALUE"""),"Hombre")</f>
        <v>Hombre</v>
      </c>
      <c r="CF819" s="30" t="str">
        <f ca="1">IFERROR(__xludf.DUMMYFUNCTION("""COMPUTED_VALUE"""),"Ninguno (Población General)")</f>
        <v>Ninguno (Población General)</v>
      </c>
      <c r="CG819" s="30">
        <f ca="1">IFERROR(__xludf.DUMMYFUNCTION("""COMPUTED_VALUE"""),3)</f>
        <v>3</v>
      </c>
      <c r="CJ819" s="29"/>
      <c r="CM819" s="30" t="str">
        <f ca="1">IFERROR(__xludf.DUMMYFUNCTION("""COMPUTED_VALUE"""),"")</f>
        <v/>
      </c>
      <c r="CN819" s="32" t="e">
        <f ca="1"/>
        <v>#NAME?</v>
      </c>
      <c r="CO819" s="32" t="e">
        <f ca="1"/>
        <v>#NAME?</v>
      </c>
      <c r="CP819" s="32" t="e">
        <f ca="1"/>
        <v>#NAME?</v>
      </c>
      <c r="CQ819" s="32" t="e">
        <f ca="1"/>
        <v>#NAME?</v>
      </c>
      <c r="CR819" s="30" t="e">
        <f ca="1"/>
        <v>#NAME?</v>
      </c>
      <c r="CS819" s="30" t="str">
        <f ca="1">IFERROR(__xludf.DUMMYFUNCTION("""COMPUTED_VALUE"""),"")</f>
        <v/>
      </c>
    </row>
    <row r="820" spans="1:97" ht="13">
      <c r="A820" s="29"/>
      <c r="C820" s="32"/>
      <c r="I820" s="34"/>
      <c r="BP820" s="29"/>
      <c r="CC820" s="30" t="str">
        <f ca="1">IFERROR(__xludf.DUMMYFUNCTION("""COMPUTED_VALUE"""),"eb1b0180")</f>
        <v>eb1b0180</v>
      </c>
      <c r="CD820" s="29" t="str">
        <f ca="1">IFERROR(__xludf.DUMMYFUNCTION("""COMPUTED_VALUE"""),"Jóvenes (18 a 29 años)")</f>
        <v>Jóvenes (18 a 29 años)</v>
      </c>
      <c r="CE820" s="30" t="str">
        <f ca="1">IFERROR(__xludf.DUMMYFUNCTION("""COMPUTED_VALUE"""),"Hombre")</f>
        <v>Hombre</v>
      </c>
      <c r="CF820" s="30" t="str">
        <f ca="1">IFERROR(__xludf.DUMMYFUNCTION("""COMPUTED_VALUE"""),"Ninguno (Población General)")</f>
        <v>Ninguno (Población General)</v>
      </c>
      <c r="CG820" s="30">
        <f ca="1">IFERROR(__xludf.DUMMYFUNCTION("""COMPUTED_VALUE"""),4)</f>
        <v>4</v>
      </c>
      <c r="CJ820" s="29"/>
      <c r="CM820" s="30" t="str">
        <f ca="1">IFERROR(__xludf.DUMMYFUNCTION("""COMPUTED_VALUE"""),"")</f>
        <v/>
      </c>
      <c r="CN820" s="32" t="e">
        <f ca="1"/>
        <v>#NAME?</v>
      </c>
      <c r="CO820" s="32" t="e">
        <f ca="1"/>
        <v>#NAME?</v>
      </c>
      <c r="CP820" s="32" t="e">
        <f ca="1"/>
        <v>#NAME?</v>
      </c>
      <c r="CQ820" s="32" t="e">
        <f ca="1"/>
        <v>#NAME?</v>
      </c>
      <c r="CR820" s="30" t="e">
        <f ca="1"/>
        <v>#NAME?</v>
      </c>
      <c r="CS820" s="30" t="str">
        <f ca="1">IFERROR(__xludf.DUMMYFUNCTION("""COMPUTED_VALUE"""),"")</f>
        <v/>
      </c>
    </row>
    <row r="821" spans="1:97" ht="13">
      <c r="A821" s="29"/>
      <c r="C821" s="32"/>
      <c r="I821" s="34"/>
      <c r="BP821" s="29"/>
      <c r="CC821" s="30" t="str">
        <f ca="1">IFERROR(__xludf.DUMMYFUNCTION("""COMPUTED_VALUE"""),"2c44651e")</f>
        <v>2c44651e</v>
      </c>
      <c r="CD821" s="29" t="str">
        <f ca="1">IFERROR(__xludf.DUMMYFUNCTION("""COMPUTED_VALUE"""),"Adultos (30 a 59 años)")</f>
        <v>Adultos (30 a 59 años)</v>
      </c>
      <c r="CE821" s="30" t="str">
        <f ca="1">IFERROR(__xludf.DUMMYFUNCTION("""COMPUTED_VALUE"""),"Mujer")</f>
        <v>Mujer</v>
      </c>
      <c r="CF821" s="30" t="str">
        <f ca="1">IFERROR(__xludf.DUMMYFUNCTION("""COMPUTED_VALUE"""),"Ninguno (Población General)")</f>
        <v>Ninguno (Población General)</v>
      </c>
      <c r="CG821" s="30">
        <f ca="1">IFERROR(__xludf.DUMMYFUNCTION("""COMPUTED_VALUE"""),2)</f>
        <v>2</v>
      </c>
      <c r="CJ821" s="29"/>
      <c r="CM821" s="30" t="str">
        <f ca="1">IFERROR(__xludf.DUMMYFUNCTION("""COMPUTED_VALUE"""),"")</f>
        <v/>
      </c>
      <c r="CN821" s="32" t="e">
        <f ca="1"/>
        <v>#NAME?</v>
      </c>
      <c r="CO821" s="32" t="e">
        <f ca="1"/>
        <v>#NAME?</v>
      </c>
      <c r="CP821" s="32" t="e">
        <f ca="1"/>
        <v>#NAME?</v>
      </c>
      <c r="CQ821" s="32" t="e">
        <f ca="1"/>
        <v>#NAME?</v>
      </c>
      <c r="CR821" s="30" t="e">
        <f ca="1"/>
        <v>#NAME?</v>
      </c>
      <c r="CS821" s="30" t="str">
        <f ca="1">IFERROR(__xludf.DUMMYFUNCTION("""COMPUTED_VALUE"""),"")</f>
        <v/>
      </c>
    </row>
    <row r="822" spans="1:97" ht="13">
      <c r="A822" s="29"/>
      <c r="C822" s="32"/>
      <c r="I822" s="34"/>
      <c r="BP822" s="29"/>
      <c r="CC822" s="30" t="str">
        <f ca="1">IFERROR(__xludf.DUMMYFUNCTION("""COMPUTED_VALUE"""),"f56e03cc")</f>
        <v>f56e03cc</v>
      </c>
      <c r="CD822" s="29" t="str">
        <f ca="1">IFERROR(__xludf.DUMMYFUNCTION("""COMPUTED_VALUE"""),"Adultos (30 a 59 años)")</f>
        <v>Adultos (30 a 59 años)</v>
      </c>
      <c r="CE822" s="30" t="str">
        <f ca="1">IFERROR(__xludf.DUMMYFUNCTION("""COMPUTED_VALUE"""),"Hombre")</f>
        <v>Hombre</v>
      </c>
      <c r="CF822" s="30" t="str">
        <f ca="1">IFERROR(__xludf.DUMMYFUNCTION("""COMPUTED_VALUE"""),"Ninguno (Población General)")</f>
        <v>Ninguno (Población General)</v>
      </c>
      <c r="CG822" s="30">
        <f ca="1">IFERROR(__xludf.DUMMYFUNCTION("""COMPUTED_VALUE"""),3)</f>
        <v>3</v>
      </c>
      <c r="CJ822" s="29"/>
      <c r="CM822" s="30" t="str">
        <f ca="1">IFERROR(__xludf.DUMMYFUNCTION("""COMPUTED_VALUE"""),"")</f>
        <v/>
      </c>
      <c r="CN822" s="32" t="e">
        <f ca="1"/>
        <v>#NAME?</v>
      </c>
      <c r="CO822" s="32" t="e">
        <f ca="1"/>
        <v>#NAME?</v>
      </c>
      <c r="CP822" s="32" t="e">
        <f ca="1"/>
        <v>#NAME?</v>
      </c>
      <c r="CQ822" s="32" t="e">
        <f ca="1"/>
        <v>#NAME?</v>
      </c>
      <c r="CR822" s="30" t="e">
        <f ca="1"/>
        <v>#NAME?</v>
      </c>
      <c r="CS822" s="30" t="str">
        <f ca="1">IFERROR(__xludf.DUMMYFUNCTION("""COMPUTED_VALUE"""),"")</f>
        <v/>
      </c>
    </row>
    <row r="823" spans="1:97" ht="13">
      <c r="A823" s="29"/>
      <c r="C823" s="32"/>
      <c r="I823" s="34"/>
      <c r="BP823" s="29"/>
      <c r="CC823" s="30" t="str">
        <f ca="1">IFERROR(__xludf.DUMMYFUNCTION("""COMPUTED_VALUE"""),"e06d96e1")</f>
        <v>e06d96e1</v>
      </c>
      <c r="CD823" s="29" t="str">
        <f ca="1">IFERROR(__xludf.DUMMYFUNCTION("""COMPUTED_VALUE"""),"Adultos (30 a 59 años)")</f>
        <v>Adultos (30 a 59 años)</v>
      </c>
      <c r="CE823" s="30" t="str">
        <f ca="1">IFERROR(__xludf.DUMMYFUNCTION("""COMPUTED_VALUE"""),"Mujer")</f>
        <v>Mujer</v>
      </c>
      <c r="CF823" s="30" t="str">
        <f ca="1">IFERROR(__xludf.DUMMYFUNCTION("""COMPUTED_VALUE"""),"Ninguno (Población General)")</f>
        <v>Ninguno (Población General)</v>
      </c>
      <c r="CG823" s="30">
        <f ca="1">IFERROR(__xludf.DUMMYFUNCTION("""COMPUTED_VALUE"""),9)</f>
        <v>9</v>
      </c>
      <c r="CJ823" s="29"/>
      <c r="CM823" s="30" t="str">
        <f ca="1">IFERROR(__xludf.DUMMYFUNCTION("""COMPUTED_VALUE"""),"")</f>
        <v/>
      </c>
      <c r="CN823" s="32" t="e">
        <f ca="1"/>
        <v>#NAME?</v>
      </c>
      <c r="CO823" s="32" t="e">
        <f ca="1"/>
        <v>#NAME?</v>
      </c>
      <c r="CP823" s="32" t="e">
        <f ca="1"/>
        <v>#NAME?</v>
      </c>
      <c r="CQ823" s="32" t="e">
        <f ca="1"/>
        <v>#NAME?</v>
      </c>
      <c r="CR823" s="30" t="e">
        <f ca="1"/>
        <v>#NAME?</v>
      </c>
      <c r="CS823" s="30" t="str">
        <f ca="1">IFERROR(__xludf.DUMMYFUNCTION("""COMPUTED_VALUE"""),"")</f>
        <v/>
      </c>
    </row>
    <row r="824" spans="1:97" ht="13">
      <c r="A824" s="29"/>
      <c r="C824" s="32"/>
      <c r="I824" s="34"/>
      <c r="BP824" s="29"/>
      <c r="CC824" s="30" t="str">
        <f ca="1">IFERROR(__xludf.DUMMYFUNCTION("""COMPUTED_VALUE"""),"d08c28f2")</f>
        <v>d08c28f2</v>
      </c>
      <c r="CD824" s="29" t="str">
        <f ca="1">IFERROR(__xludf.DUMMYFUNCTION("""COMPUTED_VALUE"""),"Adultos (30 a 59 años)")</f>
        <v>Adultos (30 a 59 años)</v>
      </c>
      <c r="CE824" s="30" t="str">
        <f ca="1">IFERROR(__xludf.DUMMYFUNCTION("""COMPUTED_VALUE"""),"Hombre")</f>
        <v>Hombre</v>
      </c>
      <c r="CF824" s="30" t="str">
        <f ca="1">IFERROR(__xludf.DUMMYFUNCTION("""COMPUTED_VALUE"""),"Ninguno (Población General)")</f>
        <v>Ninguno (Población General)</v>
      </c>
      <c r="CG824" s="30">
        <f ca="1">IFERROR(__xludf.DUMMYFUNCTION("""COMPUTED_VALUE"""),13)</f>
        <v>13</v>
      </c>
      <c r="CJ824" s="29"/>
      <c r="CM824" s="30" t="str">
        <f ca="1">IFERROR(__xludf.DUMMYFUNCTION("""COMPUTED_VALUE"""),"")</f>
        <v/>
      </c>
      <c r="CN824" s="32" t="e">
        <f ca="1"/>
        <v>#NAME?</v>
      </c>
      <c r="CO824" s="32" t="e">
        <f ca="1"/>
        <v>#NAME?</v>
      </c>
      <c r="CP824" s="32" t="e">
        <f ca="1"/>
        <v>#NAME?</v>
      </c>
      <c r="CQ824" s="32" t="e">
        <f ca="1"/>
        <v>#NAME?</v>
      </c>
      <c r="CR824" s="30" t="e">
        <f ca="1"/>
        <v>#NAME?</v>
      </c>
      <c r="CS824" s="30" t="str">
        <f ca="1">IFERROR(__xludf.DUMMYFUNCTION("""COMPUTED_VALUE"""),"")</f>
        <v/>
      </c>
    </row>
    <row r="825" spans="1:97" ht="13">
      <c r="A825" s="29"/>
      <c r="C825" s="32"/>
      <c r="I825" s="34"/>
      <c r="BP825" s="29"/>
      <c r="CC825" s="30" t="str">
        <f ca="1">IFERROR(__xludf.DUMMYFUNCTION("""COMPUTED_VALUE"""),"c1b3ca4a")</f>
        <v>c1b3ca4a</v>
      </c>
      <c r="CD825" s="29" t="str">
        <f ca="1">IFERROR(__xludf.DUMMYFUNCTION("""COMPUTED_VALUE"""),"Adultos Mayores (60 años o más)")</f>
        <v>Adultos Mayores (60 años o más)</v>
      </c>
      <c r="CE825" s="30" t="str">
        <f ca="1">IFERROR(__xludf.DUMMYFUNCTION("""COMPUTED_VALUE"""),"Hombre")</f>
        <v>Hombre</v>
      </c>
      <c r="CF825" s="30" t="str">
        <f ca="1">IFERROR(__xludf.DUMMYFUNCTION("""COMPUTED_VALUE"""),"Ninguno (Población General)")</f>
        <v>Ninguno (Población General)</v>
      </c>
      <c r="CG825" s="30">
        <f ca="1">IFERROR(__xludf.DUMMYFUNCTION("""COMPUTED_VALUE"""),1)</f>
        <v>1</v>
      </c>
      <c r="CJ825" s="29"/>
      <c r="CM825" s="30" t="str">
        <f ca="1">IFERROR(__xludf.DUMMYFUNCTION("""COMPUTED_VALUE"""),"")</f>
        <v/>
      </c>
      <c r="CN825" s="32" t="e">
        <f ca="1"/>
        <v>#NAME?</v>
      </c>
      <c r="CO825" s="32" t="e">
        <f ca="1"/>
        <v>#NAME?</v>
      </c>
      <c r="CP825" s="32" t="e">
        <f ca="1"/>
        <v>#NAME?</v>
      </c>
      <c r="CQ825" s="32" t="e">
        <f ca="1"/>
        <v>#NAME?</v>
      </c>
      <c r="CR825" s="30" t="e">
        <f ca="1"/>
        <v>#NAME?</v>
      </c>
      <c r="CS825" s="30" t="str">
        <f ca="1">IFERROR(__xludf.DUMMYFUNCTION("""COMPUTED_VALUE"""),"")</f>
        <v/>
      </c>
    </row>
    <row r="826" spans="1:97" ht="13">
      <c r="A826" s="29"/>
      <c r="C826" s="32"/>
      <c r="I826" s="34"/>
      <c r="BP826" s="29"/>
      <c r="CC826" s="30" t="str">
        <f ca="1">IFERROR(__xludf.DUMMYFUNCTION("""COMPUTED_VALUE"""),"9fd69e8b")</f>
        <v>9fd69e8b</v>
      </c>
      <c r="CD826" s="29" t="str">
        <f ca="1">IFERROR(__xludf.DUMMYFUNCTION("""COMPUTED_VALUE"""),"Adultos Mayores (60 años o más)")</f>
        <v>Adultos Mayores (60 años o más)</v>
      </c>
      <c r="CE826" s="30" t="str">
        <f ca="1">IFERROR(__xludf.DUMMYFUNCTION("""COMPUTED_VALUE"""),"Mujer")</f>
        <v>Mujer</v>
      </c>
      <c r="CF826" s="30" t="str">
        <f ca="1">IFERROR(__xludf.DUMMYFUNCTION("""COMPUTED_VALUE"""),"Ninguno (Población General)")</f>
        <v>Ninguno (Población General)</v>
      </c>
      <c r="CG826" s="30">
        <f ca="1">IFERROR(__xludf.DUMMYFUNCTION("""COMPUTED_VALUE"""),1)</f>
        <v>1</v>
      </c>
      <c r="CJ826" s="29"/>
      <c r="CM826" s="30" t="str">
        <f ca="1">IFERROR(__xludf.DUMMYFUNCTION("""COMPUTED_VALUE"""),"")</f>
        <v/>
      </c>
      <c r="CN826" s="32" t="e">
        <f ca="1"/>
        <v>#NAME?</v>
      </c>
      <c r="CO826" s="32" t="e">
        <f ca="1"/>
        <v>#NAME?</v>
      </c>
      <c r="CP826" s="32" t="e">
        <f ca="1"/>
        <v>#NAME?</v>
      </c>
      <c r="CQ826" s="32" t="e">
        <f ca="1"/>
        <v>#NAME?</v>
      </c>
      <c r="CR826" s="30" t="e">
        <f ca="1"/>
        <v>#NAME?</v>
      </c>
      <c r="CS826" s="30" t="str">
        <f ca="1">IFERROR(__xludf.DUMMYFUNCTION("""COMPUTED_VALUE"""),"")</f>
        <v/>
      </c>
    </row>
    <row r="827" spans="1:97" ht="13">
      <c r="A827" s="29"/>
      <c r="C827" s="32"/>
      <c r="I827" s="34"/>
      <c r="BP827" s="29"/>
      <c r="CC827" s="30" t="str">
        <f ca="1">IFERROR(__xludf.DUMMYFUNCTION("""COMPUTED_VALUE"""),"a8193d03")</f>
        <v>a8193d03</v>
      </c>
      <c r="CD827" s="29" t="str">
        <f ca="1">IFERROR(__xludf.DUMMYFUNCTION("""COMPUTED_VALUE"""),"Niñas y Niños (6 a 12 años)")</f>
        <v>Niñas y Niños (6 a 12 años)</v>
      </c>
      <c r="CE827" s="30" t="str">
        <f ca="1">IFERROR(__xludf.DUMMYFUNCTION("""COMPUTED_VALUE"""),"Hombre")</f>
        <v>Hombre</v>
      </c>
      <c r="CF827" s="30" t="str">
        <f ca="1">IFERROR(__xludf.DUMMYFUNCTION("""COMPUTED_VALUE"""),"Ninguno (Población General)")</f>
        <v>Ninguno (Población General)</v>
      </c>
      <c r="CG827" s="30">
        <f ca="1">IFERROR(__xludf.DUMMYFUNCTION("""COMPUTED_VALUE"""),4)</f>
        <v>4</v>
      </c>
      <c r="CJ827" s="29"/>
      <c r="CM827" s="30" t="str">
        <f ca="1">IFERROR(__xludf.DUMMYFUNCTION("""COMPUTED_VALUE"""),"")</f>
        <v/>
      </c>
      <c r="CN827" s="32" t="e">
        <f ca="1"/>
        <v>#NAME?</v>
      </c>
      <c r="CO827" s="32" t="e">
        <f ca="1"/>
        <v>#NAME?</v>
      </c>
      <c r="CP827" s="32" t="e">
        <f ca="1"/>
        <v>#NAME?</v>
      </c>
      <c r="CQ827" s="32" t="e">
        <f ca="1"/>
        <v>#NAME?</v>
      </c>
      <c r="CR827" s="30" t="e">
        <f ca="1"/>
        <v>#NAME?</v>
      </c>
      <c r="CS827" s="30" t="str">
        <f ca="1">IFERROR(__xludf.DUMMYFUNCTION("""COMPUTED_VALUE"""),"")</f>
        <v/>
      </c>
    </row>
    <row r="828" spans="1:97" ht="13">
      <c r="A828" s="29"/>
      <c r="C828" s="32"/>
      <c r="I828" s="34"/>
      <c r="BP828" s="29"/>
      <c r="CC828" s="30" t="str">
        <f ca="1">IFERROR(__xludf.DUMMYFUNCTION("""COMPUTED_VALUE"""),"018c04c1")</f>
        <v>018c04c1</v>
      </c>
      <c r="CD828" s="29" t="str">
        <f ca="1">IFERROR(__xludf.DUMMYFUNCTION("""COMPUTED_VALUE"""),"Adolescentes (13 a 17 años)")</f>
        <v>Adolescentes (13 a 17 años)</v>
      </c>
      <c r="CE828" s="30" t="str">
        <f ca="1">IFERROR(__xludf.DUMMYFUNCTION("""COMPUTED_VALUE"""),"Mujer")</f>
        <v>Mujer</v>
      </c>
      <c r="CF828" s="30" t="str">
        <f ca="1">IFERROR(__xludf.DUMMYFUNCTION("""COMPUTED_VALUE"""),"Ninguno (Población General)")</f>
        <v>Ninguno (Población General)</v>
      </c>
      <c r="CG828" s="30">
        <f ca="1">IFERROR(__xludf.DUMMYFUNCTION("""COMPUTED_VALUE"""),10)</f>
        <v>10</v>
      </c>
      <c r="CJ828" s="29"/>
      <c r="CM828" s="30" t="str">
        <f ca="1">IFERROR(__xludf.DUMMYFUNCTION("""COMPUTED_VALUE"""),"")</f>
        <v/>
      </c>
      <c r="CN828" s="32" t="e">
        <f ca="1"/>
        <v>#NAME?</v>
      </c>
      <c r="CO828" s="32" t="e">
        <f ca="1"/>
        <v>#NAME?</v>
      </c>
      <c r="CP828" s="32" t="e">
        <f ca="1"/>
        <v>#NAME?</v>
      </c>
      <c r="CQ828" s="32" t="e">
        <f ca="1"/>
        <v>#NAME?</v>
      </c>
      <c r="CR828" s="30" t="e">
        <f ca="1"/>
        <v>#NAME?</v>
      </c>
      <c r="CS828" s="30" t="str">
        <f ca="1">IFERROR(__xludf.DUMMYFUNCTION("""COMPUTED_VALUE"""),"")</f>
        <v/>
      </c>
    </row>
    <row r="829" spans="1:97" ht="13">
      <c r="A829" s="29"/>
      <c r="C829" s="32"/>
      <c r="I829" s="34"/>
      <c r="BP829" s="29"/>
      <c r="CC829" s="30" t="str">
        <f ca="1">IFERROR(__xludf.DUMMYFUNCTION("""COMPUTED_VALUE"""),"bf0537c8")</f>
        <v>bf0537c8</v>
      </c>
      <c r="CD829" s="29" t="str">
        <f ca="1">IFERROR(__xludf.DUMMYFUNCTION("""COMPUTED_VALUE"""),"Adolescentes (13 a 17 años)")</f>
        <v>Adolescentes (13 a 17 años)</v>
      </c>
      <c r="CE829" s="30" t="str">
        <f ca="1">IFERROR(__xludf.DUMMYFUNCTION("""COMPUTED_VALUE"""),"Hombre")</f>
        <v>Hombre</v>
      </c>
      <c r="CF829" s="30" t="str">
        <f ca="1">IFERROR(__xludf.DUMMYFUNCTION("""COMPUTED_VALUE"""),"Ninguno (Población General)")</f>
        <v>Ninguno (Población General)</v>
      </c>
      <c r="CG829" s="30">
        <f ca="1">IFERROR(__xludf.DUMMYFUNCTION("""COMPUTED_VALUE"""),13)</f>
        <v>13</v>
      </c>
      <c r="CJ829" s="29"/>
      <c r="CM829" s="30" t="str">
        <f ca="1">IFERROR(__xludf.DUMMYFUNCTION("""COMPUTED_VALUE"""),"")</f>
        <v/>
      </c>
      <c r="CN829" s="32" t="e">
        <f ca="1"/>
        <v>#NAME?</v>
      </c>
      <c r="CO829" s="32" t="e">
        <f ca="1"/>
        <v>#NAME?</v>
      </c>
      <c r="CP829" s="32" t="e">
        <f ca="1"/>
        <v>#NAME?</v>
      </c>
      <c r="CQ829" s="32" t="e">
        <f ca="1"/>
        <v>#NAME?</v>
      </c>
      <c r="CR829" s="30" t="e">
        <f ca="1"/>
        <v>#NAME?</v>
      </c>
      <c r="CS829" s="30" t="str">
        <f ca="1">IFERROR(__xludf.DUMMYFUNCTION("""COMPUTED_VALUE"""),"")</f>
        <v/>
      </c>
    </row>
    <row r="830" spans="1:97" ht="13">
      <c r="A830" s="29"/>
      <c r="C830" s="32"/>
      <c r="I830" s="34"/>
      <c r="BP830" s="29"/>
      <c r="CC830" s="30" t="str">
        <f ca="1">IFERROR(__xludf.DUMMYFUNCTION("""COMPUTED_VALUE"""),"27df47e8")</f>
        <v>27df47e8</v>
      </c>
      <c r="CD830" s="29" t="str">
        <f ca="1">IFERROR(__xludf.DUMMYFUNCTION("""COMPUTED_VALUE"""),"Niñas y Niños (6 a 12 años)")</f>
        <v>Niñas y Niños (6 a 12 años)</v>
      </c>
      <c r="CE830" s="30" t="str">
        <f ca="1">IFERROR(__xludf.DUMMYFUNCTION("""COMPUTED_VALUE"""),"Hombre")</f>
        <v>Hombre</v>
      </c>
      <c r="CF830" s="30" t="str">
        <f ca="1">IFERROR(__xludf.DUMMYFUNCTION("""COMPUTED_VALUE"""),"NNA (Niñas, Niños y Adolescentes)")</f>
        <v>NNA (Niñas, Niños y Adolescentes)</v>
      </c>
      <c r="CG830" s="30">
        <f ca="1">IFERROR(__xludf.DUMMYFUNCTION("""COMPUTED_VALUE"""),12)</f>
        <v>12</v>
      </c>
      <c r="CJ830" s="29"/>
      <c r="CM830" s="30" t="str">
        <f ca="1">IFERROR(__xludf.DUMMYFUNCTION("""COMPUTED_VALUE"""),"")</f>
        <v/>
      </c>
      <c r="CN830" s="32" t="e">
        <f ca="1"/>
        <v>#NAME?</v>
      </c>
      <c r="CO830" s="32" t="e">
        <f ca="1"/>
        <v>#NAME?</v>
      </c>
      <c r="CP830" s="32" t="e">
        <f ca="1"/>
        <v>#NAME?</v>
      </c>
      <c r="CQ830" s="32" t="e">
        <f ca="1"/>
        <v>#NAME?</v>
      </c>
      <c r="CR830" s="30" t="e">
        <f ca="1"/>
        <v>#NAME?</v>
      </c>
      <c r="CS830" s="30" t="str">
        <f ca="1">IFERROR(__xludf.DUMMYFUNCTION("""COMPUTED_VALUE"""),"")</f>
        <v/>
      </c>
    </row>
    <row r="831" spans="1:97" ht="13">
      <c r="A831" s="29"/>
      <c r="C831" s="32"/>
      <c r="I831" s="34"/>
      <c r="BP831" s="29"/>
      <c r="CC831" s="30" t="str">
        <f ca="1">IFERROR(__xludf.DUMMYFUNCTION("""COMPUTED_VALUE"""),"32c8e65f")</f>
        <v>32c8e65f</v>
      </c>
      <c r="CD831" s="29" t="str">
        <f ca="1">IFERROR(__xludf.DUMMYFUNCTION("""COMPUTED_VALUE"""),"Adolescentes (13 a 17 años)")</f>
        <v>Adolescentes (13 a 17 años)</v>
      </c>
      <c r="CE831" s="30" t="str">
        <f ca="1">IFERROR(__xludf.DUMMYFUNCTION("""COMPUTED_VALUE"""),"Hombre")</f>
        <v>Hombre</v>
      </c>
      <c r="CF831" s="30" t="str">
        <f ca="1">IFERROR(__xludf.DUMMYFUNCTION("""COMPUTED_VALUE"""),"Ninguno (Población General)")</f>
        <v>Ninguno (Población General)</v>
      </c>
      <c r="CG831" s="30">
        <f ca="1">IFERROR(__xludf.DUMMYFUNCTION("""COMPUTED_VALUE"""),3)</f>
        <v>3</v>
      </c>
      <c r="CJ831" s="29"/>
      <c r="CM831" s="30" t="str">
        <f ca="1">IFERROR(__xludf.DUMMYFUNCTION("""COMPUTED_VALUE"""),"")</f>
        <v/>
      </c>
      <c r="CN831" s="32" t="e">
        <f ca="1"/>
        <v>#NAME?</v>
      </c>
      <c r="CO831" s="32" t="e">
        <f ca="1"/>
        <v>#NAME?</v>
      </c>
      <c r="CP831" s="32" t="e">
        <f ca="1"/>
        <v>#NAME?</v>
      </c>
      <c r="CQ831" s="32" t="e">
        <f ca="1"/>
        <v>#NAME?</v>
      </c>
      <c r="CR831" s="30" t="e">
        <f ca="1"/>
        <v>#NAME?</v>
      </c>
      <c r="CS831" s="30" t="str">
        <f ca="1">IFERROR(__xludf.DUMMYFUNCTION("""COMPUTED_VALUE"""),"")</f>
        <v/>
      </c>
    </row>
    <row r="832" spans="1:97" ht="13">
      <c r="A832" s="29"/>
      <c r="C832" s="32"/>
      <c r="I832" s="34"/>
      <c r="BP832" s="29"/>
      <c r="CC832" s="30" t="str">
        <f ca="1">IFERROR(__xludf.DUMMYFUNCTION("""COMPUTED_VALUE"""),"f8dea1df")</f>
        <v>f8dea1df</v>
      </c>
      <c r="CD832" s="29" t="str">
        <f ca="1">IFERROR(__xludf.DUMMYFUNCTION("""COMPUTED_VALUE"""),"Niñas y Niños (6 a 12 años)")</f>
        <v>Niñas y Niños (6 a 12 años)</v>
      </c>
      <c r="CE832" s="30" t="str">
        <f ca="1">IFERROR(__xludf.DUMMYFUNCTION("""COMPUTED_VALUE"""),"Hombre")</f>
        <v>Hombre</v>
      </c>
      <c r="CF832" s="30" t="str">
        <f ca="1">IFERROR(__xludf.DUMMYFUNCTION("""COMPUTED_VALUE"""),"Ninguno (Población General)")</f>
        <v>Ninguno (Población General)</v>
      </c>
      <c r="CG832" s="30">
        <f ca="1">IFERROR(__xludf.DUMMYFUNCTION("""COMPUTED_VALUE"""),15)</f>
        <v>15</v>
      </c>
      <c r="CJ832" s="29"/>
      <c r="CM832" s="30" t="str">
        <f ca="1">IFERROR(__xludf.DUMMYFUNCTION("""COMPUTED_VALUE"""),"")</f>
        <v/>
      </c>
      <c r="CN832" s="32" t="e">
        <f ca="1"/>
        <v>#NAME?</v>
      </c>
      <c r="CO832" s="32" t="e">
        <f ca="1"/>
        <v>#NAME?</v>
      </c>
      <c r="CP832" s="32" t="e">
        <f ca="1"/>
        <v>#NAME?</v>
      </c>
      <c r="CQ832" s="32" t="e">
        <f ca="1"/>
        <v>#NAME?</v>
      </c>
      <c r="CR832" s="30" t="e">
        <f ca="1"/>
        <v>#NAME?</v>
      </c>
      <c r="CS832" s="30" t="str">
        <f ca="1">IFERROR(__xludf.DUMMYFUNCTION("""COMPUTED_VALUE"""),"")</f>
        <v/>
      </c>
    </row>
    <row r="833" spans="1:97" ht="13">
      <c r="A833" s="29"/>
      <c r="C833" s="32"/>
      <c r="I833" s="34"/>
      <c r="BP833" s="29"/>
      <c r="CC833" s="30" t="str">
        <f ca="1">IFERROR(__xludf.DUMMYFUNCTION("""COMPUTED_VALUE"""),"f9d987d2")</f>
        <v>f9d987d2</v>
      </c>
      <c r="CD833" s="29" t="str">
        <f ca="1">IFERROR(__xludf.DUMMYFUNCTION("""COMPUTED_VALUE"""),"Jóvenes (18 a 29 años)")</f>
        <v>Jóvenes (18 a 29 años)</v>
      </c>
      <c r="CE833" s="30" t="str">
        <f ca="1">IFERROR(__xludf.DUMMYFUNCTION("""COMPUTED_VALUE"""),"Mujer")</f>
        <v>Mujer</v>
      </c>
      <c r="CF833" s="30" t="str">
        <f ca="1">IFERROR(__xludf.DUMMYFUNCTION("""COMPUTED_VALUE"""),"Ninguno (Población General)")</f>
        <v>Ninguno (Población General)</v>
      </c>
      <c r="CG833" s="30">
        <f ca="1">IFERROR(__xludf.DUMMYFUNCTION("""COMPUTED_VALUE"""),6)</f>
        <v>6</v>
      </c>
      <c r="CJ833" s="29"/>
      <c r="CM833" s="30" t="str">
        <f ca="1">IFERROR(__xludf.DUMMYFUNCTION("""COMPUTED_VALUE"""),"")</f>
        <v/>
      </c>
      <c r="CN833" s="32" t="e">
        <f ca="1"/>
        <v>#NAME?</v>
      </c>
      <c r="CO833" s="32" t="e">
        <f ca="1"/>
        <v>#NAME?</v>
      </c>
      <c r="CP833" s="32" t="e">
        <f ca="1"/>
        <v>#NAME?</v>
      </c>
      <c r="CQ833" s="32" t="e">
        <f ca="1"/>
        <v>#NAME?</v>
      </c>
      <c r="CR833" s="30" t="e">
        <f ca="1"/>
        <v>#NAME?</v>
      </c>
      <c r="CS833" s="30" t="str">
        <f ca="1">IFERROR(__xludf.DUMMYFUNCTION("""COMPUTED_VALUE"""),"")</f>
        <v/>
      </c>
    </row>
    <row r="834" spans="1:97" ht="13">
      <c r="A834" s="29"/>
      <c r="C834" s="32"/>
      <c r="I834" s="34"/>
      <c r="BP834" s="29"/>
      <c r="CC834" s="30" t="str">
        <f ca="1">IFERROR(__xludf.DUMMYFUNCTION("""COMPUTED_VALUE"""),"d21799b4")</f>
        <v>d21799b4</v>
      </c>
      <c r="CD834" s="29" t="str">
        <f ca="1">IFERROR(__xludf.DUMMYFUNCTION("""COMPUTED_VALUE"""),"Adultos Mayores (60 años o más)")</f>
        <v>Adultos Mayores (60 años o más)</v>
      </c>
      <c r="CE834" s="30" t="str">
        <f ca="1">IFERROR(__xludf.DUMMYFUNCTION("""COMPUTED_VALUE"""),"Mujer")</f>
        <v>Mujer</v>
      </c>
      <c r="CF834" s="30" t="str">
        <f ca="1">IFERROR(__xludf.DUMMYFUNCTION("""COMPUTED_VALUE"""),"Ninguno (Población General)")</f>
        <v>Ninguno (Población General)</v>
      </c>
      <c r="CG834" s="30">
        <f ca="1">IFERROR(__xludf.DUMMYFUNCTION("""COMPUTED_VALUE"""),1)</f>
        <v>1</v>
      </c>
      <c r="CJ834" s="29"/>
      <c r="CM834" s="30" t="str">
        <f ca="1">IFERROR(__xludf.DUMMYFUNCTION("""COMPUTED_VALUE"""),"")</f>
        <v/>
      </c>
      <c r="CN834" s="32" t="e">
        <f ca="1"/>
        <v>#NAME?</v>
      </c>
      <c r="CO834" s="32" t="e">
        <f ca="1"/>
        <v>#NAME?</v>
      </c>
      <c r="CP834" s="32" t="e">
        <f ca="1"/>
        <v>#NAME?</v>
      </c>
      <c r="CQ834" s="32" t="e">
        <f ca="1"/>
        <v>#NAME?</v>
      </c>
      <c r="CR834" s="30" t="e">
        <f ca="1"/>
        <v>#NAME?</v>
      </c>
      <c r="CS834" s="30" t="str">
        <f ca="1">IFERROR(__xludf.DUMMYFUNCTION("""COMPUTED_VALUE"""),"")</f>
        <v/>
      </c>
    </row>
    <row r="835" spans="1:97" ht="13">
      <c r="A835" s="29"/>
      <c r="C835" s="32"/>
      <c r="I835" s="34"/>
      <c r="BP835" s="29"/>
      <c r="CC835" s="30" t="str">
        <f ca="1">IFERROR(__xludf.DUMMYFUNCTION("""COMPUTED_VALUE"""),"5ad03feb")</f>
        <v>5ad03feb</v>
      </c>
      <c r="CD835" s="29" t="str">
        <f ca="1">IFERROR(__xludf.DUMMYFUNCTION("""COMPUTED_VALUE"""),"Jóvenes (18 a 29 años)")</f>
        <v>Jóvenes (18 a 29 años)</v>
      </c>
      <c r="CE835" s="30" t="str">
        <f ca="1">IFERROR(__xludf.DUMMYFUNCTION("""COMPUTED_VALUE"""),"Hombre")</f>
        <v>Hombre</v>
      </c>
      <c r="CF835" s="30" t="str">
        <f ca="1">IFERROR(__xludf.DUMMYFUNCTION("""COMPUTED_VALUE"""),"Ninguno (Población General)")</f>
        <v>Ninguno (Población General)</v>
      </c>
      <c r="CG835" s="30">
        <f ca="1">IFERROR(__xludf.DUMMYFUNCTION("""COMPUTED_VALUE"""),3)</f>
        <v>3</v>
      </c>
      <c r="CJ835" s="29"/>
      <c r="CM835" s="30" t="str">
        <f ca="1">IFERROR(__xludf.DUMMYFUNCTION("""COMPUTED_VALUE"""),"")</f>
        <v/>
      </c>
      <c r="CN835" s="32" t="e">
        <f ca="1"/>
        <v>#NAME?</v>
      </c>
      <c r="CO835" s="32" t="e">
        <f ca="1"/>
        <v>#NAME?</v>
      </c>
      <c r="CP835" s="32" t="e">
        <f ca="1"/>
        <v>#NAME?</v>
      </c>
      <c r="CQ835" s="32" t="e">
        <f ca="1"/>
        <v>#NAME?</v>
      </c>
      <c r="CR835" s="30" t="e">
        <f ca="1"/>
        <v>#NAME?</v>
      </c>
      <c r="CS835" s="30" t="str">
        <f ca="1">IFERROR(__xludf.DUMMYFUNCTION("""COMPUTED_VALUE"""),"")</f>
        <v/>
      </c>
    </row>
    <row r="836" spans="1:97" ht="13">
      <c r="A836" s="29"/>
      <c r="C836" s="32"/>
      <c r="I836" s="34"/>
      <c r="BP836" s="29"/>
      <c r="CC836" s="30" t="str">
        <f ca="1">IFERROR(__xludf.DUMMYFUNCTION("""COMPUTED_VALUE"""),"70661ff5")</f>
        <v>70661ff5</v>
      </c>
      <c r="CD836" s="29" t="str">
        <f ca="1">IFERROR(__xludf.DUMMYFUNCTION("""COMPUTED_VALUE"""),"Adultos (30 a 59 años)")</f>
        <v>Adultos (30 a 59 años)</v>
      </c>
      <c r="CE836" s="30" t="str">
        <f ca="1">IFERROR(__xludf.DUMMYFUNCTION("""COMPUTED_VALUE"""),"Mujer")</f>
        <v>Mujer</v>
      </c>
      <c r="CF836" s="30" t="str">
        <f ca="1">IFERROR(__xludf.DUMMYFUNCTION("""COMPUTED_VALUE"""),"Ninguno (Población General)")</f>
        <v>Ninguno (Población General)</v>
      </c>
      <c r="CG836" s="30">
        <f ca="1">IFERROR(__xludf.DUMMYFUNCTION("""COMPUTED_VALUE"""),5)</f>
        <v>5</v>
      </c>
      <c r="CJ836" s="29"/>
      <c r="CM836" s="30" t="str">
        <f ca="1">IFERROR(__xludf.DUMMYFUNCTION("""COMPUTED_VALUE"""),"")</f>
        <v/>
      </c>
      <c r="CN836" s="32" t="e">
        <f ca="1"/>
        <v>#NAME?</v>
      </c>
      <c r="CO836" s="32" t="e">
        <f ca="1"/>
        <v>#NAME?</v>
      </c>
      <c r="CP836" s="32" t="e">
        <f ca="1"/>
        <v>#NAME?</v>
      </c>
      <c r="CQ836" s="32" t="e">
        <f ca="1"/>
        <v>#NAME?</v>
      </c>
      <c r="CR836" s="30" t="e">
        <f ca="1"/>
        <v>#NAME?</v>
      </c>
      <c r="CS836" s="30" t="str">
        <f ca="1">IFERROR(__xludf.DUMMYFUNCTION("""COMPUTED_VALUE"""),"")</f>
        <v/>
      </c>
    </row>
    <row r="837" spans="1:97" ht="13">
      <c r="A837" s="29"/>
      <c r="C837" s="32"/>
      <c r="I837" s="34"/>
      <c r="BP837" s="29"/>
      <c r="CC837" s="30" t="str">
        <f ca="1">IFERROR(__xludf.DUMMYFUNCTION("""COMPUTED_VALUE"""),"04935a06")</f>
        <v>04935a06</v>
      </c>
      <c r="CD837" s="29" t="str">
        <f ca="1">IFERROR(__xludf.DUMMYFUNCTION("""COMPUTED_VALUE"""),"Adultos (30 a 59 años)")</f>
        <v>Adultos (30 a 59 años)</v>
      </c>
      <c r="CE837" s="30" t="str">
        <f ca="1">IFERROR(__xludf.DUMMYFUNCTION("""COMPUTED_VALUE"""),"Hombre")</f>
        <v>Hombre</v>
      </c>
      <c r="CF837" s="30" t="str">
        <f ca="1">IFERROR(__xludf.DUMMYFUNCTION("""COMPUTED_VALUE"""),"Ninguno (Población General)")</f>
        <v>Ninguno (Población General)</v>
      </c>
      <c r="CG837" s="30">
        <f ca="1">IFERROR(__xludf.DUMMYFUNCTION("""COMPUTED_VALUE"""),2)</f>
        <v>2</v>
      </c>
      <c r="CJ837" s="29"/>
      <c r="CM837" s="30" t="str">
        <f ca="1">IFERROR(__xludf.DUMMYFUNCTION("""COMPUTED_VALUE"""),"")</f>
        <v/>
      </c>
      <c r="CN837" s="32" t="e">
        <f ca="1"/>
        <v>#NAME?</v>
      </c>
      <c r="CO837" s="32" t="e">
        <f ca="1"/>
        <v>#NAME?</v>
      </c>
      <c r="CP837" s="32" t="e">
        <f ca="1"/>
        <v>#NAME?</v>
      </c>
      <c r="CQ837" s="32" t="e">
        <f ca="1"/>
        <v>#NAME?</v>
      </c>
      <c r="CR837" s="30" t="e">
        <f ca="1"/>
        <v>#NAME?</v>
      </c>
      <c r="CS837" s="30" t="str">
        <f ca="1">IFERROR(__xludf.DUMMYFUNCTION("""COMPUTED_VALUE"""),"")</f>
        <v/>
      </c>
    </row>
    <row r="838" spans="1:97" ht="13">
      <c r="A838" s="29"/>
      <c r="C838" s="32"/>
      <c r="I838" s="34"/>
      <c r="BP838" s="29"/>
      <c r="CC838" s="30" t="str">
        <f ca="1">IFERROR(__xludf.DUMMYFUNCTION("""COMPUTED_VALUE"""),"1427b4c9")</f>
        <v>1427b4c9</v>
      </c>
      <c r="CD838" s="29" t="str">
        <f ca="1">IFERROR(__xludf.DUMMYFUNCTION("""COMPUTED_VALUE"""),"Niñas y Niños (6 a 12 años)")</f>
        <v>Niñas y Niños (6 a 12 años)</v>
      </c>
      <c r="CE838" s="30" t="str">
        <f ca="1">IFERROR(__xludf.DUMMYFUNCTION("""COMPUTED_VALUE"""),"Hombre")</f>
        <v>Hombre</v>
      </c>
      <c r="CF838" s="30" t="str">
        <f ca="1">IFERROR(__xludf.DUMMYFUNCTION("""COMPUTED_VALUE"""),"NNA (Niñas, Niños y Adolescentes)")</f>
        <v>NNA (Niñas, Niños y Adolescentes)</v>
      </c>
      <c r="CG838" s="30">
        <f ca="1">IFERROR(__xludf.DUMMYFUNCTION("""COMPUTED_VALUE"""),2)</f>
        <v>2</v>
      </c>
      <c r="CJ838" s="29"/>
      <c r="CM838" s="30" t="str">
        <f ca="1">IFERROR(__xludf.DUMMYFUNCTION("""COMPUTED_VALUE"""),"")</f>
        <v/>
      </c>
      <c r="CN838" s="32" t="e">
        <f ca="1"/>
        <v>#NAME?</v>
      </c>
      <c r="CO838" s="32" t="e">
        <f ca="1"/>
        <v>#NAME?</v>
      </c>
      <c r="CP838" s="32" t="e">
        <f ca="1"/>
        <v>#NAME?</v>
      </c>
      <c r="CQ838" s="32" t="e">
        <f ca="1"/>
        <v>#NAME?</v>
      </c>
      <c r="CR838" s="30" t="e">
        <f ca="1"/>
        <v>#NAME?</v>
      </c>
      <c r="CS838" s="30" t="str">
        <f ca="1">IFERROR(__xludf.DUMMYFUNCTION("""COMPUTED_VALUE"""),"")</f>
        <v/>
      </c>
    </row>
    <row r="839" spans="1:97" ht="13">
      <c r="A839" s="29"/>
      <c r="C839" s="32"/>
      <c r="I839" s="34"/>
      <c r="BP839" s="29"/>
      <c r="CC839" s="30" t="str">
        <f ca="1">IFERROR(__xludf.DUMMYFUNCTION("""COMPUTED_VALUE"""),"fa0459bb")</f>
        <v>fa0459bb</v>
      </c>
      <c r="CD839" s="29" t="str">
        <f ca="1">IFERROR(__xludf.DUMMYFUNCTION("""COMPUTED_VALUE"""),"Adolescentes (13 a 17 años)")</f>
        <v>Adolescentes (13 a 17 años)</v>
      </c>
      <c r="CE839" s="30" t="str">
        <f ca="1">IFERROR(__xludf.DUMMYFUNCTION("""COMPUTED_VALUE"""),"Mujer")</f>
        <v>Mujer</v>
      </c>
      <c r="CF839" s="30" t="str">
        <f ca="1">IFERROR(__xludf.DUMMYFUNCTION("""COMPUTED_VALUE"""),"NNA (Niñas, Niños y Adolescentes)")</f>
        <v>NNA (Niñas, Niños y Adolescentes)</v>
      </c>
      <c r="CG839" s="30">
        <f ca="1">IFERROR(__xludf.DUMMYFUNCTION("""COMPUTED_VALUE"""),18)</f>
        <v>18</v>
      </c>
      <c r="CJ839" s="29"/>
      <c r="CM839" s="30" t="str">
        <f ca="1">IFERROR(__xludf.DUMMYFUNCTION("""COMPUTED_VALUE"""),"")</f>
        <v/>
      </c>
      <c r="CN839" s="32" t="e">
        <f ca="1"/>
        <v>#NAME?</v>
      </c>
      <c r="CO839" s="32" t="e">
        <f ca="1"/>
        <v>#NAME?</v>
      </c>
      <c r="CP839" s="32" t="e">
        <f ca="1"/>
        <v>#NAME?</v>
      </c>
      <c r="CQ839" s="32" t="e">
        <f ca="1"/>
        <v>#NAME?</v>
      </c>
      <c r="CR839" s="30" t="e">
        <f ca="1"/>
        <v>#NAME?</v>
      </c>
      <c r="CS839" s="30" t="str">
        <f ca="1">IFERROR(__xludf.DUMMYFUNCTION("""COMPUTED_VALUE"""),"")</f>
        <v/>
      </c>
    </row>
    <row r="840" spans="1:97" ht="13">
      <c r="A840" s="29"/>
      <c r="C840" s="32"/>
      <c r="I840" s="34"/>
      <c r="BP840" s="29"/>
      <c r="CC840" s="30" t="str">
        <f ca="1">IFERROR(__xludf.DUMMYFUNCTION("""COMPUTED_VALUE"""),"5af539c1")</f>
        <v>5af539c1</v>
      </c>
      <c r="CD840" s="29" t="str">
        <f ca="1">IFERROR(__xludf.DUMMYFUNCTION("""COMPUTED_VALUE"""),"Jóvenes (18 a 29 años)")</f>
        <v>Jóvenes (18 a 29 años)</v>
      </c>
      <c r="CE840" s="30" t="str">
        <f ca="1">IFERROR(__xludf.DUMMYFUNCTION("""COMPUTED_VALUE"""),"Hombre")</f>
        <v>Hombre</v>
      </c>
      <c r="CF840" s="30" t="str">
        <f ca="1">IFERROR(__xludf.DUMMYFUNCTION("""COMPUTED_VALUE"""),"Ninguno (Población General)")</f>
        <v>Ninguno (Población General)</v>
      </c>
      <c r="CG840" s="30">
        <f ca="1">IFERROR(__xludf.DUMMYFUNCTION("""COMPUTED_VALUE"""),6)</f>
        <v>6</v>
      </c>
      <c r="CJ840" s="29"/>
      <c r="CM840" s="30" t="str">
        <f ca="1">IFERROR(__xludf.DUMMYFUNCTION("""COMPUTED_VALUE"""),"")</f>
        <v/>
      </c>
      <c r="CN840" s="32" t="e">
        <f ca="1"/>
        <v>#NAME?</v>
      </c>
      <c r="CO840" s="32" t="e">
        <f ca="1"/>
        <v>#NAME?</v>
      </c>
      <c r="CP840" s="32" t="e">
        <f ca="1"/>
        <v>#NAME?</v>
      </c>
      <c r="CQ840" s="32" t="e">
        <f ca="1"/>
        <v>#NAME?</v>
      </c>
      <c r="CR840" s="30" t="e">
        <f ca="1"/>
        <v>#NAME?</v>
      </c>
      <c r="CS840" s="30" t="str">
        <f ca="1">IFERROR(__xludf.DUMMYFUNCTION("""COMPUTED_VALUE"""),"")</f>
        <v/>
      </c>
    </row>
    <row r="841" spans="1:97" ht="13">
      <c r="A841" s="29"/>
      <c r="C841" s="32"/>
      <c r="I841" s="34"/>
      <c r="BP841" s="29"/>
      <c r="CC841" s="30" t="str">
        <f ca="1">IFERROR(__xludf.DUMMYFUNCTION("""COMPUTED_VALUE"""),"b4e52950")</f>
        <v>b4e52950</v>
      </c>
      <c r="CD841" s="29" t="str">
        <f ca="1">IFERROR(__xludf.DUMMYFUNCTION("""COMPUTED_VALUE"""),"Adultos (30 a 59 años)")</f>
        <v>Adultos (30 a 59 años)</v>
      </c>
      <c r="CE841" s="30" t="str">
        <f ca="1">IFERROR(__xludf.DUMMYFUNCTION("""COMPUTED_VALUE"""),"Mujer")</f>
        <v>Mujer</v>
      </c>
      <c r="CF841" s="30" t="str">
        <f ca="1">IFERROR(__xludf.DUMMYFUNCTION("""COMPUTED_VALUE"""),"Ninguno (Población General)")</f>
        <v>Ninguno (Población General)</v>
      </c>
      <c r="CG841" s="30">
        <f ca="1">IFERROR(__xludf.DUMMYFUNCTION("""COMPUTED_VALUE"""),3)</f>
        <v>3</v>
      </c>
      <c r="CJ841" s="29"/>
      <c r="CM841" s="30" t="str">
        <f ca="1">IFERROR(__xludf.DUMMYFUNCTION("""COMPUTED_VALUE"""),"")</f>
        <v/>
      </c>
      <c r="CN841" s="32" t="e">
        <f ca="1"/>
        <v>#NAME?</v>
      </c>
      <c r="CO841" s="32" t="e">
        <f ca="1"/>
        <v>#NAME?</v>
      </c>
      <c r="CP841" s="32" t="e">
        <f ca="1"/>
        <v>#NAME?</v>
      </c>
      <c r="CQ841" s="32" t="e">
        <f ca="1"/>
        <v>#NAME?</v>
      </c>
      <c r="CR841" s="30" t="e">
        <f ca="1"/>
        <v>#NAME?</v>
      </c>
      <c r="CS841" s="30" t="str">
        <f ca="1">IFERROR(__xludf.DUMMYFUNCTION("""COMPUTED_VALUE"""),"")</f>
        <v/>
      </c>
    </row>
    <row r="842" spans="1:97" ht="13">
      <c r="A842" s="29"/>
      <c r="C842" s="32"/>
      <c r="I842" s="34"/>
      <c r="BP842" s="29"/>
      <c r="CC842" s="30" t="str">
        <f ca="1">IFERROR(__xludf.DUMMYFUNCTION("""COMPUTED_VALUE"""),"d9cd5c7d")</f>
        <v>d9cd5c7d</v>
      </c>
      <c r="CD842" s="29" t="str">
        <f ca="1">IFERROR(__xludf.DUMMYFUNCTION("""COMPUTED_VALUE"""),"Adultos (30 a 59 años)")</f>
        <v>Adultos (30 a 59 años)</v>
      </c>
      <c r="CE842" s="30" t="str">
        <f ca="1">IFERROR(__xludf.DUMMYFUNCTION("""COMPUTED_VALUE"""),"Hombre")</f>
        <v>Hombre</v>
      </c>
      <c r="CF842" s="30" t="str">
        <f ca="1">IFERROR(__xludf.DUMMYFUNCTION("""COMPUTED_VALUE"""),"Ninguno (Población General)")</f>
        <v>Ninguno (Población General)</v>
      </c>
      <c r="CG842" s="30">
        <f ca="1">IFERROR(__xludf.DUMMYFUNCTION("""COMPUTED_VALUE"""),3)</f>
        <v>3</v>
      </c>
      <c r="CJ842" s="29"/>
      <c r="CM842" s="30" t="str">
        <f ca="1">IFERROR(__xludf.DUMMYFUNCTION("""COMPUTED_VALUE"""),"")</f>
        <v/>
      </c>
      <c r="CN842" s="32" t="e">
        <f ca="1"/>
        <v>#NAME?</v>
      </c>
      <c r="CO842" s="32" t="e">
        <f ca="1"/>
        <v>#NAME?</v>
      </c>
      <c r="CP842" s="32" t="e">
        <f ca="1"/>
        <v>#NAME?</v>
      </c>
      <c r="CQ842" s="32" t="e">
        <f ca="1"/>
        <v>#NAME?</v>
      </c>
      <c r="CR842" s="30" t="e">
        <f ca="1"/>
        <v>#NAME?</v>
      </c>
      <c r="CS842" s="30" t="str">
        <f ca="1">IFERROR(__xludf.DUMMYFUNCTION("""COMPUTED_VALUE"""),"")</f>
        <v/>
      </c>
    </row>
    <row r="843" spans="1:97" ht="13">
      <c r="A843" s="29"/>
      <c r="C843" s="32"/>
      <c r="I843" s="34"/>
      <c r="BP843" s="29"/>
      <c r="CC843" s="30" t="str">
        <f ca="1">IFERROR(__xludf.DUMMYFUNCTION("""COMPUTED_VALUE"""),"e0133360")</f>
        <v>e0133360</v>
      </c>
      <c r="CD843" s="29" t="str">
        <f ca="1">IFERROR(__xludf.DUMMYFUNCTION("""COMPUTED_VALUE"""),"Niñas y Niños (6 a 12 años)")</f>
        <v>Niñas y Niños (6 a 12 años)</v>
      </c>
      <c r="CE843" s="30" t="str">
        <f ca="1">IFERROR(__xludf.DUMMYFUNCTION("""COMPUTED_VALUE"""),"Hombre")</f>
        <v>Hombre</v>
      </c>
      <c r="CF843" s="30" t="str">
        <f ca="1">IFERROR(__xludf.DUMMYFUNCTION("""COMPUTED_VALUE"""),"NNA (Niñas, Niños y Adolescentes)")</f>
        <v>NNA (Niñas, Niños y Adolescentes)</v>
      </c>
      <c r="CG843" s="30">
        <f ca="1">IFERROR(__xludf.DUMMYFUNCTION("""COMPUTED_VALUE"""),82)</f>
        <v>82</v>
      </c>
      <c r="CJ843" s="29"/>
      <c r="CM843" s="30" t="str">
        <f ca="1">IFERROR(__xludf.DUMMYFUNCTION("""COMPUTED_VALUE"""),"")</f>
        <v/>
      </c>
      <c r="CN843" s="32" t="e">
        <f ca="1"/>
        <v>#NAME?</v>
      </c>
      <c r="CO843" s="32" t="e">
        <f ca="1"/>
        <v>#NAME?</v>
      </c>
      <c r="CP843" s="32" t="e">
        <f ca="1"/>
        <v>#NAME?</v>
      </c>
      <c r="CQ843" s="32" t="e">
        <f ca="1"/>
        <v>#NAME?</v>
      </c>
      <c r="CR843" s="30" t="e">
        <f ca="1"/>
        <v>#NAME?</v>
      </c>
      <c r="CS843" s="30" t="str">
        <f ca="1">IFERROR(__xludf.DUMMYFUNCTION("""COMPUTED_VALUE"""),"")</f>
        <v/>
      </c>
    </row>
    <row r="844" spans="1:97" ht="13">
      <c r="A844" s="29"/>
      <c r="C844" s="32"/>
      <c r="I844" s="34"/>
      <c r="BP844" s="29"/>
      <c r="CC844" s="30" t="str">
        <f ca="1">IFERROR(__xludf.DUMMYFUNCTION("""COMPUTED_VALUE"""),"5df5106e")</f>
        <v>5df5106e</v>
      </c>
      <c r="CD844" s="29" t="str">
        <f ca="1">IFERROR(__xludf.DUMMYFUNCTION("""COMPUTED_VALUE"""),"Niñas y Niños (6 a 12 años)")</f>
        <v>Niñas y Niños (6 a 12 años)</v>
      </c>
      <c r="CE844" s="30" t="str">
        <f ca="1">IFERROR(__xludf.DUMMYFUNCTION("""COMPUTED_VALUE"""),"Hombre")</f>
        <v>Hombre</v>
      </c>
      <c r="CF844" s="30" t="str">
        <f ca="1">IFERROR(__xludf.DUMMYFUNCTION("""COMPUTED_VALUE"""),"NNA (Niñas, Niños y Adolescentes)")</f>
        <v>NNA (Niñas, Niños y Adolescentes)</v>
      </c>
      <c r="CG844" s="30">
        <f ca="1">IFERROR(__xludf.DUMMYFUNCTION("""COMPUTED_VALUE"""),18)</f>
        <v>18</v>
      </c>
      <c r="CJ844" s="29"/>
      <c r="CM844" s="30" t="str">
        <f ca="1">IFERROR(__xludf.DUMMYFUNCTION("""COMPUTED_VALUE"""),"")</f>
        <v/>
      </c>
      <c r="CN844" s="32" t="e">
        <f ca="1"/>
        <v>#NAME?</v>
      </c>
      <c r="CO844" s="32" t="e">
        <f ca="1"/>
        <v>#NAME?</v>
      </c>
      <c r="CP844" s="32" t="e">
        <f ca="1"/>
        <v>#NAME?</v>
      </c>
      <c r="CQ844" s="32" t="e">
        <f ca="1"/>
        <v>#NAME?</v>
      </c>
      <c r="CR844" s="30" t="e">
        <f ca="1"/>
        <v>#NAME?</v>
      </c>
      <c r="CS844" s="30" t="str">
        <f ca="1">IFERROR(__xludf.DUMMYFUNCTION("""COMPUTED_VALUE"""),"")</f>
        <v/>
      </c>
    </row>
    <row r="845" spans="1:97" ht="13">
      <c r="A845" s="29"/>
      <c r="C845" s="32"/>
      <c r="I845" s="34"/>
      <c r="BP845" s="29"/>
      <c r="CC845" s="30" t="str">
        <f ca="1">IFERROR(__xludf.DUMMYFUNCTION("""COMPUTED_VALUE"""),"db8cc9a9")</f>
        <v>db8cc9a9</v>
      </c>
      <c r="CD845" s="29" t="str">
        <f ca="1">IFERROR(__xludf.DUMMYFUNCTION("""COMPUTED_VALUE"""),"Niñas y Niños (6 a 12 años)")</f>
        <v>Niñas y Niños (6 a 12 años)</v>
      </c>
      <c r="CE845" s="30" t="str">
        <f ca="1">IFERROR(__xludf.DUMMYFUNCTION("""COMPUTED_VALUE"""),"Hombre")</f>
        <v>Hombre</v>
      </c>
      <c r="CF845" s="30" t="str">
        <f ca="1">IFERROR(__xludf.DUMMYFUNCTION("""COMPUTED_VALUE"""),"NNA (Niñas, Niños y Adolescentes)")</f>
        <v>NNA (Niñas, Niños y Adolescentes)</v>
      </c>
      <c r="CG845" s="30">
        <f ca="1">IFERROR(__xludf.DUMMYFUNCTION("""COMPUTED_VALUE"""),4)</f>
        <v>4</v>
      </c>
      <c r="CJ845" s="29"/>
      <c r="CM845" s="30" t="str">
        <f ca="1">IFERROR(__xludf.DUMMYFUNCTION("""COMPUTED_VALUE"""),"")</f>
        <v/>
      </c>
      <c r="CN845" s="32" t="e">
        <f ca="1"/>
        <v>#NAME?</v>
      </c>
      <c r="CO845" s="32" t="e">
        <f ca="1"/>
        <v>#NAME?</v>
      </c>
      <c r="CP845" s="32" t="e">
        <f ca="1"/>
        <v>#NAME?</v>
      </c>
      <c r="CQ845" s="32" t="e">
        <f ca="1"/>
        <v>#NAME?</v>
      </c>
      <c r="CR845" s="30" t="e">
        <f ca="1"/>
        <v>#NAME?</v>
      </c>
      <c r="CS845" s="30" t="str">
        <f ca="1">IFERROR(__xludf.DUMMYFUNCTION("""COMPUTED_VALUE"""),"")</f>
        <v/>
      </c>
    </row>
    <row r="846" spans="1:97" ht="13">
      <c r="A846" s="29"/>
      <c r="C846" s="32"/>
      <c r="I846" s="34"/>
      <c r="BP846" s="29"/>
      <c r="CC846" s="30" t="str">
        <f ca="1">IFERROR(__xludf.DUMMYFUNCTION("""COMPUTED_VALUE"""),"ef51c5ec")</f>
        <v>ef51c5ec</v>
      </c>
      <c r="CD846" s="29" t="str">
        <f ca="1">IFERROR(__xludf.DUMMYFUNCTION("""COMPUTED_VALUE"""),"Adolescentes (13 a 17 años)")</f>
        <v>Adolescentes (13 a 17 años)</v>
      </c>
      <c r="CE846" s="30" t="str">
        <f ca="1">IFERROR(__xludf.DUMMYFUNCTION("""COMPUTED_VALUE"""),"Mujer")</f>
        <v>Mujer</v>
      </c>
      <c r="CF846" s="30" t="str">
        <f ca="1">IFERROR(__xludf.DUMMYFUNCTION("""COMPUTED_VALUE"""),"NNA (Niñas, Niños y Adolescentes)")</f>
        <v>NNA (Niñas, Niños y Adolescentes)</v>
      </c>
      <c r="CG846" s="30">
        <f ca="1">IFERROR(__xludf.DUMMYFUNCTION("""COMPUTED_VALUE"""),10)</f>
        <v>10</v>
      </c>
      <c r="CJ846" s="29"/>
      <c r="CM846" s="30" t="str">
        <f ca="1">IFERROR(__xludf.DUMMYFUNCTION("""COMPUTED_VALUE"""),"")</f>
        <v/>
      </c>
      <c r="CN846" s="32" t="e">
        <f ca="1"/>
        <v>#NAME?</v>
      </c>
      <c r="CO846" s="32" t="e">
        <f ca="1"/>
        <v>#NAME?</v>
      </c>
      <c r="CP846" s="32" t="e">
        <f ca="1"/>
        <v>#NAME?</v>
      </c>
      <c r="CQ846" s="32" t="e">
        <f ca="1"/>
        <v>#NAME?</v>
      </c>
      <c r="CR846" s="30" t="e">
        <f ca="1"/>
        <v>#NAME?</v>
      </c>
      <c r="CS846" s="30" t="str">
        <f ca="1">IFERROR(__xludf.DUMMYFUNCTION("""COMPUTED_VALUE"""),"")</f>
        <v/>
      </c>
    </row>
    <row r="847" spans="1:97" ht="13">
      <c r="A847" s="29"/>
      <c r="C847" s="32"/>
      <c r="I847" s="34"/>
      <c r="BP847" s="29"/>
      <c r="CC847" s="30" t="str">
        <f ca="1">IFERROR(__xludf.DUMMYFUNCTION("""COMPUTED_VALUE"""),"0dfafdd9")</f>
        <v>0dfafdd9</v>
      </c>
      <c r="CD847" s="29" t="str">
        <f ca="1">IFERROR(__xludf.DUMMYFUNCTION("""COMPUTED_VALUE"""),"Adolescentes (13 a 17 años)")</f>
        <v>Adolescentes (13 a 17 años)</v>
      </c>
      <c r="CE847" s="30" t="str">
        <f ca="1">IFERROR(__xludf.DUMMYFUNCTION("""COMPUTED_VALUE"""),"Hombre")</f>
        <v>Hombre</v>
      </c>
      <c r="CF847" s="30" t="str">
        <f ca="1">IFERROR(__xludf.DUMMYFUNCTION("""COMPUTED_VALUE"""),"NNA (Niñas, Niños y Adolescentes)")</f>
        <v>NNA (Niñas, Niños y Adolescentes)</v>
      </c>
      <c r="CG847" s="30">
        <f ca="1">IFERROR(__xludf.DUMMYFUNCTION("""COMPUTED_VALUE"""),13)</f>
        <v>13</v>
      </c>
      <c r="CJ847" s="29"/>
      <c r="CM847" s="30" t="str">
        <f ca="1">IFERROR(__xludf.DUMMYFUNCTION("""COMPUTED_VALUE"""),"")</f>
        <v/>
      </c>
      <c r="CN847" s="32" t="e">
        <f ca="1"/>
        <v>#NAME?</v>
      </c>
      <c r="CO847" s="32" t="e">
        <f ca="1"/>
        <v>#NAME?</v>
      </c>
      <c r="CP847" s="32" t="e">
        <f ca="1"/>
        <v>#NAME?</v>
      </c>
      <c r="CQ847" s="32" t="e">
        <f ca="1"/>
        <v>#NAME?</v>
      </c>
      <c r="CR847" s="30" t="e">
        <f ca="1"/>
        <v>#NAME?</v>
      </c>
      <c r="CS847" s="30" t="str">
        <f ca="1">IFERROR(__xludf.DUMMYFUNCTION("""COMPUTED_VALUE"""),"")</f>
        <v/>
      </c>
    </row>
    <row r="848" spans="1:97" ht="13">
      <c r="A848" s="29"/>
      <c r="C848" s="32"/>
      <c r="I848" s="34"/>
      <c r="BP848" s="29"/>
      <c r="CC848" s="30" t="str">
        <f ca="1">IFERROR(__xludf.DUMMYFUNCTION("""COMPUTED_VALUE"""),"1304811b")</f>
        <v>1304811b</v>
      </c>
      <c r="CD848" s="29" t="str">
        <f ca="1">IFERROR(__xludf.DUMMYFUNCTION("""COMPUTED_VALUE"""),"Niñas y Niños (6 a 12 años)")</f>
        <v>Niñas y Niños (6 a 12 años)</v>
      </c>
      <c r="CE848" s="30" t="str">
        <f ca="1">IFERROR(__xludf.DUMMYFUNCTION("""COMPUTED_VALUE"""),"Hombre")</f>
        <v>Hombre</v>
      </c>
      <c r="CF848" s="30" t="str">
        <f ca="1">IFERROR(__xludf.DUMMYFUNCTION("""COMPUTED_VALUE"""),"NNA (Niñas, Niños y Adolescentes)")</f>
        <v>NNA (Niñas, Niños y Adolescentes)</v>
      </c>
      <c r="CG848" s="30">
        <f ca="1">IFERROR(__xludf.DUMMYFUNCTION("""COMPUTED_VALUE"""),14)</f>
        <v>14</v>
      </c>
      <c r="CJ848" s="29"/>
      <c r="CM848" s="30" t="str">
        <f ca="1">IFERROR(__xludf.DUMMYFUNCTION("""COMPUTED_VALUE"""),"")</f>
        <v/>
      </c>
      <c r="CN848" s="32" t="e">
        <f ca="1"/>
        <v>#NAME?</v>
      </c>
      <c r="CO848" s="32" t="e">
        <f ca="1"/>
        <v>#NAME?</v>
      </c>
      <c r="CP848" s="32" t="e">
        <f ca="1"/>
        <v>#NAME?</v>
      </c>
      <c r="CQ848" s="32" t="e">
        <f ca="1"/>
        <v>#NAME?</v>
      </c>
      <c r="CR848" s="30" t="e">
        <f ca="1"/>
        <v>#NAME?</v>
      </c>
      <c r="CS848" s="30" t="str">
        <f ca="1">IFERROR(__xludf.DUMMYFUNCTION("""COMPUTED_VALUE"""),"")</f>
        <v/>
      </c>
    </row>
    <row r="849" spans="1:97" ht="13">
      <c r="A849" s="29"/>
      <c r="C849" s="32"/>
      <c r="I849" s="34"/>
      <c r="BP849" s="29"/>
      <c r="CC849" s="30" t="str">
        <f ca="1">IFERROR(__xludf.DUMMYFUNCTION("""COMPUTED_VALUE"""),"eff73ed2")</f>
        <v>eff73ed2</v>
      </c>
      <c r="CD849" s="29" t="str">
        <f ca="1">IFERROR(__xludf.DUMMYFUNCTION("""COMPUTED_VALUE"""),"Adultos (30 a 59 años)")</f>
        <v>Adultos (30 a 59 años)</v>
      </c>
      <c r="CE849" s="30" t="str">
        <f ca="1">IFERROR(__xludf.DUMMYFUNCTION("""COMPUTED_VALUE"""),"Mujer")</f>
        <v>Mujer</v>
      </c>
      <c r="CF849" s="30" t="str">
        <f ca="1">IFERROR(__xludf.DUMMYFUNCTION("""COMPUTED_VALUE"""),"Ninguno (Población General)")</f>
        <v>Ninguno (Población General)</v>
      </c>
      <c r="CG849" s="30">
        <f ca="1">IFERROR(__xludf.DUMMYFUNCTION("""COMPUTED_VALUE"""),11)</f>
        <v>11</v>
      </c>
      <c r="CJ849" s="29"/>
      <c r="CM849" s="30" t="str">
        <f ca="1">IFERROR(__xludf.DUMMYFUNCTION("""COMPUTED_VALUE"""),"")</f>
        <v/>
      </c>
      <c r="CN849" s="32" t="e">
        <f ca="1"/>
        <v>#NAME?</v>
      </c>
      <c r="CO849" s="32" t="e">
        <f ca="1"/>
        <v>#NAME?</v>
      </c>
      <c r="CP849" s="32" t="e">
        <f ca="1"/>
        <v>#NAME?</v>
      </c>
      <c r="CQ849" s="32" t="e">
        <f ca="1"/>
        <v>#NAME?</v>
      </c>
      <c r="CR849" s="30" t="e">
        <f ca="1"/>
        <v>#NAME?</v>
      </c>
      <c r="CS849" s="30" t="str">
        <f ca="1">IFERROR(__xludf.DUMMYFUNCTION("""COMPUTED_VALUE"""),"")</f>
        <v/>
      </c>
    </row>
    <row r="850" spans="1:97" ht="13">
      <c r="A850" s="29"/>
      <c r="C850" s="32"/>
      <c r="I850" s="34"/>
      <c r="BP850" s="29"/>
      <c r="CC850" s="30" t="str">
        <f ca="1">IFERROR(__xludf.DUMMYFUNCTION("""COMPUTED_VALUE"""),"d0e23d3b")</f>
        <v>d0e23d3b</v>
      </c>
      <c r="CD850" s="29" t="str">
        <f ca="1">IFERROR(__xludf.DUMMYFUNCTION("""COMPUTED_VALUE"""),"Adultos (30 a 59 años)")</f>
        <v>Adultos (30 a 59 años)</v>
      </c>
      <c r="CE850" s="30" t="str">
        <f ca="1">IFERROR(__xludf.DUMMYFUNCTION("""COMPUTED_VALUE"""),"Hombre")</f>
        <v>Hombre</v>
      </c>
      <c r="CF850" s="30" t="str">
        <f ca="1">IFERROR(__xludf.DUMMYFUNCTION("""COMPUTED_VALUE"""),"Ninguno (Población General)")</f>
        <v>Ninguno (Población General)</v>
      </c>
      <c r="CG850" s="30">
        <f ca="1">IFERROR(__xludf.DUMMYFUNCTION("""COMPUTED_VALUE"""),2)</f>
        <v>2</v>
      </c>
      <c r="CJ850" s="29"/>
      <c r="CM850" s="30" t="str">
        <f ca="1">IFERROR(__xludf.DUMMYFUNCTION("""COMPUTED_VALUE"""),"")</f>
        <v/>
      </c>
      <c r="CN850" s="32" t="e">
        <f ca="1"/>
        <v>#NAME?</v>
      </c>
      <c r="CO850" s="32" t="e">
        <f ca="1"/>
        <v>#NAME?</v>
      </c>
      <c r="CP850" s="32" t="e">
        <f ca="1"/>
        <v>#NAME?</v>
      </c>
      <c r="CQ850" s="32" t="e">
        <f ca="1"/>
        <v>#NAME?</v>
      </c>
      <c r="CR850" s="30" t="e">
        <f ca="1"/>
        <v>#NAME?</v>
      </c>
      <c r="CS850" s="30" t="str">
        <f ca="1">IFERROR(__xludf.DUMMYFUNCTION("""COMPUTED_VALUE"""),"")</f>
        <v/>
      </c>
    </row>
    <row r="851" spans="1:97" ht="13">
      <c r="A851" s="29"/>
      <c r="C851" s="32"/>
      <c r="I851" s="34"/>
      <c r="BP851" s="29"/>
      <c r="CC851" s="30" t="str">
        <f ca="1">IFERROR(__xludf.DUMMYFUNCTION("""COMPUTED_VALUE"""),"0bd9a1eb")</f>
        <v>0bd9a1eb</v>
      </c>
      <c r="CD851" s="29" t="str">
        <f ca="1">IFERROR(__xludf.DUMMYFUNCTION("""COMPUTED_VALUE"""),"Jóvenes (18 a 29 años)")</f>
        <v>Jóvenes (18 a 29 años)</v>
      </c>
      <c r="CE851" s="30" t="str">
        <f ca="1">IFERROR(__xludf.DUMMYFUNCTION("""COMPUTED_VALUE"""),"Mujer")</f>
        <v>Mujer</v>
      </c>
      <c r="CF851" s="30" t="str">
        <f ca="1">IFERROR(__xludf.DUMMYFUNCTION("""COMPUTED_VALUE"""),"NNA (Niñas, Niños y Adolescentes)")</f>
        <v>NNA (Niñas, Niños y Adolescentes)</v>
      </c>
      <c r="CG851" s="30">
        <f ca="1">IFERROR(__xludf.DUMMYFUNCTION("""COMPUTED_VALUE"""),4)</f>
        <v>4</v>
      </c>
      <c r="CJ851" s="29"/>
      <c r="CM851" s="30" t="str">
        <f ca="1">IFERROR(__xludf.DUMMYFUNCTION("""COMPUTED_VALUE"""),"")</f>
        <v/>
      </c>
      <c r="CN851" s="32" t="e">
        <f ca="1"/>
        <v>#NAME?</v>
      </c>
      <c r="CO851" s="32" t="e">
        <f ca="1"/>
        <v>#NAME?</v>
      </c>
      <c r="CP851" s="32" t="e">
        <f ca="1"/>
        <v>#NAME?</v>
      </c>
      <c r="CQ851" s="32" t="e">
        <f ca="1"/>
        <v>#NAME?</v>
      </c>
      <c r="CR851" s="30" t="e">
        <f ca="1"/>
        <v>#NAME?</v>
      </c>
      <c r="CS851" s="30" t="str">
        <f ca="1">IFERROR(__xludf.DUMMYFUNCTION("""COMPUTED_VALUE"""),"")</f>
        <v/>
      </c>
    </row>
    <row r="852" spans="1:97" ht="13">
      <c r="A852" s="29"/>
      <c r="C852" s="32"/>
      <c r="I852" s="34"/>
      <c r="BP852" s="29"/>
      <c r="CC852" s="30" t="str">
        <f ca="1">IFERROR(__xludf.DUMMYFUNCTION("""COMPUTED_VALUE"""),"68958746")</f>
        <v>68958746</v>
      </c>
      <c r="CD852" s="29" t="str">
        <f ca="1">IFERROR(__xludf.DUMMYFUNCTION("""COMPUTED_VALUE"""),"Niñas y Niños (6 a 12 años)")</f>
        <v>Niñas y Niños (6 a 12 años)</v>
      </c>
      <c r="CE852" s="30" t="str">
        <f ca="1">IFERROR(__xludf.DUMMYFUNCTION("""COMPUTED_VALUE"""),"Hombre")</f>
        <v>Hombre</v>
      </c>
      <c r="CF852" s="30" t="str">
        <f ca="1">IFERROR(__xludf.DUMMYFUNCTION("""COMPUTED_VALUE"""),"NNA (Niñas, Niños y Adolescentes)")</f>
        <v>NNA (Niñas, Niños y Adolescentes)</v>
      </c>
      <c r="CG852" s="30">
        <f ca="1">IFERROR(__xludf.DUMMYFUNCTION("""COMPUTED_VALUE"""),25)</f>
        <v>25</v>
      </c>
      <c r="CJ852" s="29"/>
      <c r="CM852" s="30" t="str">
        <f ca="1">IFERROR(__xludf.DUMMYFUNCTION("""COMPUTED_VALUE"""),"")</f>
        <v/>
      </c>
      <c r="CN852" s="32" t="e">
        <f ca="1"/>
        <v>#NAME?</v>
      </c>
      <c r="CO852" s="32" t="e">
        <f ca="1"/>
        <v>#NAME?</v>
      </c>
      <c r="CP852" s="32" t="e">
        <f ca="1"/>
        <v>#NAME?</v>
      </c>
      <c r="CQ852" s="32" t="e">
        <f ca="1"/>
        <v>#NAME?</v>
      </c>
      <c r="CR852" s="30" t="e">
        <f ca="1"/>
        <v>#NAME?</v>
      </c>
      <c r="CS852" s="30" t="str">
        <f ca="1">IFERROR(__xludf.DUMMYFUNCTION("""COMPUTED_VALUE"""),"")</f>
        <v/>
      </c>
    </row>
    <row r="853" spans="1:97" ht="13">
      <c r="A853" s="29"/>
      <c r="C853" s="32"/>
      <c r="I853" s="34"/>
      <c r="BP853" s="29"/>
      <c r="CC853" s="30" t="str">
        <f ca="1">IFERROR(__xludf.DUMMYFUNCTION("""COMPUTED_VALUE"""),"6f704e52")</f>
        <v>6f704e52</v>
      </c>
      <c r="CD853" s="29" t="str">
        <f ca="1">IFERROR(__xludf.DUMMYFUNCTION("""COMPUTED_VALUE"""),"Niñas y Niños (6 a 12 años)")</f>
        <v>Niñas y Niños (6 a 12 años)</v>
      </c>
      <c r="CE853" s="30" t="str">
        <f ca="1">IFERROR(__xludf.DUMMYFUNCTION("""COMPUTED_VALUE"""),"Hombre")</f>
        <v>Hombre</v>
      </c>
      <c r="CF853" s="30" t="str">
        <f ca="1">IFERROR(__xludf.DUMMYFUNCTION("""COMPUTED_VALUE"""),"NNA (Niñas, Niños y Adolescentes)")</f>
        <v>NNA (Niñas, Niños y Adolescentes)</v>
      </c>
      <c r="CG853" s="30">
        <f ca="1">IFERROR(__xludf.DUMMYFUNCTION("""COMPUTED_VALUE"""),18)</f>
        <v>18</v>
      </c>
      <c r="CJ853" s="29"/>
      <c r="CM853" s="30" t="str">
        <f ca="1">IFERROR(__xludf.DUMMYFUNCTION("""COMPUTED_VALUE"""),"")</f>
        <v/>
      </c>
      <c r="CN853" s="32" t="e">
        <f ca="1"/>
        <v>#NAME?</v>
      </c>
      <c r="CO853" s="32" t="e">
        <f ca="1"/>
        <v>#NAME?</v>
      </c>
      <c r="CP853" s="32" t="e">
        <f ca="1"/>
        <v>#NAME?</v>
      </c>
      <c r="CQ853" s="32" t="e">
        <f ca="1"/>
        <v>#NAME?</v>
      </c>
      <c r="CR853" s="30" t="e">
        <f ca="1"/>
        <v>#NAME?</v>
      </c>
      <c r="CS853" s="30" t="str">
        <f ca="1">IFERROR(__xludf.DUMMYFUNCTION("""COMPUTED_VALUE"""),"")</f>
        <v/>
      </c>
    </row>
    <row r="854" spans="1:97" ht="13">
      <c r="A854" s="29"/>
      <c r="C854" s="32"/>
      <c r="I854" s="34"/>
      <c r="BP854" s="29"/>
      <c r="CC854" s="30" t="str">
        <f ca="1">IFERROR(__xludf.DUMMYFUNCTION("""COMPUTED_VALUE"""),"7582abd7")</f>
        <v>7582abd7</v>
      </c>
      <c r="CD854" s="29" t="str">
        <f ca="1">IFERROR(__xludf.DUMMYFUNCTION("""COMPUTED_VALUE"""),"Niñas y Niños (6 a 12 años)")</f>
        <v>Niñas y Niños (6 a 12 años)</v>
      </c>
      <c r="CE854" s="30" t="str">
        <f ca="1">IFERROR(__xludf.DUMMYFUNCTION("""COMPUTED_VALUE"""),"Hombre")</f>
        <v>Hombre</v>
      </c>
      <c r="CF854" s="30" t="str">
        <f ca="1">IFERROR(__xludf.DUMMYFUNCTION("""COMPUTED_VALUE"""),"NNA (Niñas, Niños y Adolescentes)")</f>
        <v>NNA (Niñas, Niños y Adolescentes)</v>
      </c>
      <c r="CG854" s="30">
        <f ca="1">IFERROR(__xludf.DUMMYFUNCTION("""COMPUTED_VALUE"""),15)</f>
        <v>15</v>
      </c>
      <c r="CJ854" s="29"/>
      <c r="CM854" s="30" t="str">
        <f ca="1">IFERROR(__xludf.DUMMYFUNCTION("""COMPUTED_VALUE"""),"")</f>
        <v/>
      </c>
      <c r="CN854" s="32" t="e">
        <f ca="1"/>
        <v>#NAME?</v>
      </c>
      <c r="CO854" s="32" t="e">
        <f ca="1"/>
        <v>#NAME?</v>
      </c>
      <c r="CP854" s="32" t="e">
        <f ca="1"/>
        <v>#NAME?</v>
      </c>
      <c r="CQ854" s="32" t="e">
        <f ca="1"/>
        <v>#NAME?</v>
      </c>
      <c r="CR854" s="30" t="e">
        <f ca="1"/>
        <v>#NAME?</v>
      </c>
      <c r="CS854" s="30" t="str">
        <f ca="1">IFERROR(__xludf.DUMMYFUNCTION("""COMPUTED_VALUE"""),"")</f>
        <v/>
      </c>
    </row>
    <row r="855" spans="1:97" ht="13">
      <c r="A855" s="29"/>
      <c r="C855" s="32"/>
      <c r="I855" s="34"/>
      <c r="BP855" s="29"/>
      <c r="CC855" s="30" t="str">
        <f ca="1">IFERROR(__xludf.DUMMYFUNCTION("""COMPUTED_VALUE"""),"1e384b07")</f>
        <v>1e384b07</v>
      </c>
      <c r="CD855" s="29" t="str">
        <f ca="1">IFERROR(__xludf.DUMMYFUNCTION("""COMPUTED_VALUE"""),"Niñas y Niños (6 a 12 años)")</f>
        <v>Niñas y Niños (6 a 12 años)</v>
      </c>
      <c r="CE855" s="30" t="str">
        <f ca="1">IFERROR(__xludf.DUMMYFUNCTION("""COMPUTED_VALUE"""),"Mujer")</f>
        <v>Mujer</v>
      </c>
      <c r="CF855" s="30" t="str">
        <f ca="1">IFERROR(__xludf.DUMMYFUNCTION("""COMPUTED_VALUE"""),"NNA (Niñas, Niños y Adolescentes)")</f>
        <v>NNA (Niñas, Niños y Adolescentes)</v>
      </c>
      <c r="CG855" s="30">
        <f ca="1">IFERROR(__xludf.DUMMYFUNCTION("""COMPUTED_VALUE"""),4)</f>
        <v>4</v>
      </c>
      <c r="CJ855" s="29"/>
      <c r="CM855" s="30" t="str">
        <f ca="1">IFERROR(__xludf.DUMMYFUNCTION("""COMPUTED_VALUE"""),"")</f>
        <v/>
      </c>
      <c r="CN855" s="32" t="e">
        <f ca="1"/>
        <v>#NAME?</v>
      </c>
      <c r="CO855" s="32" t="e">
        <f ca="1"/>
        <v>#NAME?</v>
      </c>
      <c r="CP855" s="32" t="e">
        <f ca="1"/>
        <v>#NAME?</v>
      </c>
      <c r="CQ855" s="32" t="e">
        <f ca="1"/>
        <v>#NAME?</v>
      </c>
      <c r="CR855" s="30" t="e">
        <f ca="1"/>
        <v>#NAME?</v>
      </c>
      <c r="CS855" s="30" t="str">
        <f ca="1">IFERROR(__xludf.DUMMYFUNCTION("""COMPUTED_VALUE"""),"")</f>
        <v/>
      </c>
    </row>
    <row r="856" spans="1:97" ht="13">
      <c r="A856" s="29"/>
      <c r="C856" s="32"/>
      <c r="I856" s="34"/>
      <c r="BP856" s="29"/>
      <c r="CC856" s="30" t="str">
        <f ca="1">IFERROR(__xludf.DUMMYFUNCTION("""COMPUTED_VALUE"""),"dbf1ae5f")</f>
        <v>dbf1ae5f</v>
      </c>
      <c r="CD856" s="29" t="str">
        <f ca="1">IFERROR(__xludf.DUMMYFUNCTION("""COMPUTED_VALUE"""),"Niñas y Niños (6 a 12 años)")</f>
        <v>Niñas y Niños (6 a 12 años)</v>
      </c>
      <c r="CE856" s="30" t="str">
        <f ca="1">IFERROR(__xludf.DUMMYFUNCTION("""COMPUTED_VALUE"""),"Hombre")</f>
        <v>Hombre</v>
      </c>
      <c r="CF856" s="30" t="str">
        <f ca="1">IFERROR(__xludf.DUMMYFUNCTION("""COMPUTED_VALUE"""),"NNA (Niñas, Niños y Adolescentes)")</f>
        <v>NNA (Niñas, Niños y Adolescentes)</v>
      </c>
      <c r="CG856" s="30">
        <f ca="1">IFERROR(__xludf.DUMMYFUNCTION("""COMPUTED_VALUE"""),5)</f>
        <v>5</v>
      </c>
      <c r="CJ856" s="29"/>
      <c r="CM856" s="30" t="str">
        <f ca="1">IFERROR(__xludf.DUMMYFUNCTION("""COMPUTED_VALUE"""),"")</f>
        <v/>
      </c>
      <c r="CN856" s="32" t="e">
        <f ca="1"/>
        <v>#NAME?</v>
      </c>
      <c r="CO856" s="32" t="e">
        <f ca="1"/>
        <v>#NAME?</v>
      </c>
      <c r="CP856" s="32" t="e">
        <f ca="1"/>
        <v>#NAME?</v>
      </c>
      <c r="CQ856" s="32" t="e">
        <f ca="1"/>
        <v>#NAME?</v>
      </c>
      <c r="CR856" s="30" t="e">
        <f ca="1"/>
        <v>#NAME?</v>
      </c>
      <c r="CS856" s="30" t="str">
        <f ca="1">IFERROR(__xludf.DUMMYFUNCTION("""COMPUTED_VALUE"""),"")</f>
        <v/>
      </c>
    </row>
    <row r="857" spans="1:97" ht="13">
      <c r="A857" s="29"/>
      <c r="C857" s="32"/>
      <c r="I857" s="34"/>
      <c r="BP857" s="29"/>
      <c r="CC857" s="30" t="str">
        <f ca="1">IFERROR(__xludf.DUMMYFUNCTION("""COMPUTED_VALUE"""),"6649cb89")</f>
        <v>6649cb89</v>
      </c>
      <c r="CD857" s="29" t="str">
        <f ca="1">IFERROR(__xludf.DUMMYFUNCTION("""COMPUTED_VALUE"""),"Niñas y Niños (6 a 12 años)")</f>
        <v>Niñas y Niños (6 a 12 años)</v>
      </c>
      <c r="CE857" s="30" t="str">
        <f ca="1">IFERROR(__xludf.DUMMYFUNCTION("""COMPUTED_VALUE"""),"No se cuenta con el dato")</f>
        <v>No se cuenta con el dato</v>
      </c>
      <c r="CF857" s="30" t="str">
        <f ca="1">IFERROR(__xludf.DUMMYFUNCTION("""COMPUTED_VALUE"""),"Ninguno (Población General)")</f>
        <v>Ninguno (Población General)</v>
      </c>
      <c r="CG857" s="30">
        <f ca="1">IFERROR(__xludf.DUMMYFUNCTION("""COMPUTED_VALUE"""),2)</f>
        <v>2</v>
      </c>
      <c r="CJ857" s="29"/>
      <c r="CM857" s="30" t="str">
        <f ca="1">IFERROR(__xludf.DUMMYFUNCTION("""COMPUTED_VALUE"""),"")</f>
        <v/>
      </c>
      <c r="CN857" s="32" t="e">
        <f ca="1"/>
        <v>#NAME?</v>
      </c>
      <c r="CO857" s="32" t="e">
        <f ca="1"/>
        <v>#NAME?</v>
      </c>
      <c r="CP857" s="32" t="e">
        <f ca="1"/>
        <v>#NAME?</v>
      </c>
      <c r="CQ857" s="32" t="e">
        <f ca="1"/>
        <v>#NAME?</v>
      </c>
      <c r="CR857" s="30" t="e">
        <f ca="1"/>
        <v>#NAME?</v>
      </c>
      <c r="CS857" s="30" t="str">
        <f ca="1">IFERROR(__xludf.DUMMYFUNCTION("""COMPUTED_VALUE"""),"")</f>
        <v/>
      </c>
    </row>
    <row r="858" spans="1:97" ht="13">
      <c r="A858" s="29"/>
      <c r="C858" s="32"/>
      <c r="I858" s="34"/>
      <c r="BP858" s="29"/>
      <c r="CC858" s="30" t="str">
        <f ca="1">IFERROR(__xludf.DUMMYFUNCTION("""COMPUTED_VALUE"""),"fdf0d7e9")</f>
        <v>fdf0d7e9</v>
      </c>
      <c r="CD858" s="29" t="str">
        <f ca="1">IFERROR(__xludf.DUMMYFUNCTION("""COMPUTED_VALUE"""),"Jóvenes (18 a 29 años)")</f>
        <v>Jóvenes (18 a 29 años)</v>
      </c>
      <c r="CE858" s="30" t="str">
        <f ca="1">IFERROR(__xludf.DUMMYFUNCTION("""COMPUTED_VALUE"""),"No se cuenta con el dato")</f>
        <v>No se cuenta con el dato</v>
      </c>
      <c r="CF858" s="30" t="str">
        <f ca="1">IFERROR(__xludf.DUMMYFUNCTION("""COMPUTED_VALUE"""),"Ninguno (Población General)")</f>
        <v>Ninguno (Población General)</v>
      </c>
      <c r="CG858" s="30">
        <f ca="1">IFERROR(__xludf.DUMMYFUNCTION("""COMPUTED_VALUE"""),2)</f>
        <v>2</v>
      </c>
      <c r="CJ858" s="29"/>
      <c r="CM858" s="30" t="str">
        <f ca="1">IFERROR(__xludf.DUMMYFUNCTION("""COMPUTED_VALUE"""),"")</f>
        <v/>
      </c>
      <c r="CN858" s="32" t="e">
        <f ca="1"/>
        <v>#NAME?</v>
      </c>
      <c r="CO858" s="32" t="e">
        <f ca="1"/>
        <v>#NAME?</v>
      </c>
      <c r="CP858" s="32" t="e">
        <f ca="1"/>
        <v>#NAME?</v>
      </c>
      <c r="CQ858" s="32" t="e">
        <f ca="1"/>
        <v>#NAME?</v>
      </c>
      <c r="CR858" s="30" t="e">
        <f ca="1"/>
        <v>#NAME?</v>
      </c>
      <c r="CS858" s="30" t="str">
        <f ca="1">IFERROR(__xludf.DUMMYFUNCTION("""COMPUTED_VALUE"""),"")</f>
        <v/>
      </c>
    </row>
    <row r="859" spans="1:97" ht="13">
      <c r="A859" s="29"/>
      <c r="C859" s="32"/>
      <c r="I859" s="34"/>
      <c r="BP859" s="29"/>
      <c r="CC859" s="30" t="str">
        <f ca="1">IFERROR(__xludf.DUMMYFUNCTION("""COMPUTED_VALUE"""),"a78fb17d")</f>
        <v>a78fb17d</v>
      </c>
      <c r="CD859" s="29" t="str">
        <f ca="1">IFERROR(__xludf.DUMMYFUNCTION("""COMPUTED_VALUE"""),"Adultos (30 a 59 años)")</f>
        <v>Adultos (30 a 59 años)</v>
      </c>
      <c r="CE859" s="30" t="str">
        <f ca="1">IFERROR(__xludf.DUMMYFUNCTION("""COMPUTED_VALUE"""),"No se cuenta con el dato")</f>
        <v>No se cuenta con el dato</v>
      </c>
      <c r="CF859" s="30" t="str">
        <f ca="1">IFERROR(__xludf.DUMMYFUNCTION("""COMPUTED_VALUE"""),"Ninguno (Población General)")</f>
        <v>Ninguno (Población General)</v>
      </c>
      <c r="CG859" s="30">
        <f ca="1">IFERROR(__xludf.DUMMYFUNCTION("""COMPUTED_VALUE"""),7)</f>
        <v>7</v>
      </c>
      <c r="CJ859" s="29"/>
      <c r="CM859" s="30" t="str">
        <f ca="1">IFERROR(__xludf.DUMMYFUNCTION("""COMPUTED_VALUE"""),"")</f>
        <v/>
      </c>
      <c r="CN859" s="32" t="e">
        <f ca="1"/>
        <v>#NAME?</v>
      </c>
      <c r="CO859" s="32" t="e">
        <f ca="1"/>
        <v>#NAME?</v>
      </c>
      <c r="CP859" s="32" t="e">
        <f ca="1"/>
        <v>#NAME?</v>
      </c>
      <c r="CQ859" s="32" t="e">
        <f ca="1"/>
        <v>#NAME?</v>
      </c>
      <c r="CR859" s="30" t="e">
        <f ca="1"/>
        <v>#NAME?</v>
      </c>
      <c r="CS859" s="30" t="str">
        <f ca="1">IFERROR(__xludf.DUMMYFUNCTION("""COMPUTED_VALUE"""),"")</f>
        <v/>
      </c>
    </row>
    <row r="860" spans="1:97" ht="13">
      <c r="A860" s="29"/>
      <c r="C860" s="32"/>
      <c r="I860" s="34"/>
      <c r="BP860" s="29"/>
      <c r="CC860" s="30" t="str">
        <f ca="1">IFERROR(__xludf.DUMMYFUNCTION("""COMPUTED_VALUE"""),"a977213f")</f>
        <v>a977213f</v>
      </c>
      <c r="CD860" s="29" t="str">
        <f ca="1">IFERROR(__xludf.DUMMYFUNCTION("""COMPUTED_VALUE"""),"Niñas y Niños (6 a 12 años)")</f>
        <v>Niñas y Niños (6 a 12 años)</v>
      </c>
      <c r="CE860" s="30" t="str">
        <f ca="1">IFERROR(__xludf.DUMMYFUNCTION("""COMPUTED_VALUE"""),"No se cuenta con el dato")</f>
        <v>No se cuenta con el dato</v>
      </c>
      <c r="CF860" s="30" t="str">
        <f ca="1">IFERROR(__xludf.DUMMYFUNCTION("""COMPUTED_VALUE"""),"Ninguno (Población General)")</f>
        <v>Ninguno (Población General)</v>
      </c>
      <c r="CG860" s="30">
        <f ca="1">IFERROR(__xludf.DUMMYFUNCTION("""COMPUTED_VALUE"""),1)</f>
        <v>1</v>
      </c>
      <c r="CJ860" s="29"/>
      <c r="CM860" s="30" t="str">
        <f ca="1">IFERROR(__xludf.DUMMYFUNCTION("""COMPUTED_VALUE"""),"")</f>
        <v/>
      </c>
      <c r="CN860" s="32" t="e">
        <f ca="1"/>
        <v>#NAME?</v>
      </c>
      <c r="CO860" s="32" t="e">
        <f ca="1"/>
        <v>#NAME?</v>
      </c>
      <c r="CP860" s="32" t="e">
        <f ca="1"/>
        <v>#NAME?</v>
      </c>
      <c r="CQ860" s="32" t="e">
        <f ca="1"/>
        <v>#NAME?</v>
      </c>
      <c r="CR860" s="30" t="e">
        <f ca="1"/>
        <v>#NAME?</v>
      </c>
      <c r="CS860" s="30" t="str">
        <f ca="1">IFERROR(__xludf.DUMMYFUNCTION("""COMPUTED_VALUE"""),"")</f>
        <v/>
      </c>
    </row>
    <row r="861" spans="1:97" ht="13">
      <c r="A861" s="29"/>
      <c r="C861" s="32"/>
      <c r="I861" s="34"/>
      <c r="BP861" s="29"/>
      <c r="CC861" s="30" t="str">
        <f ca="1">IFERROR(__xludf.DUMMYFUNCTION("""COMPUTED_VALUE"""),"11c61407")</f>
        <v>11c61407</v>
      </c>
      <c r="CD861" s="29" t="str">
        <f ca="1">IFERROR(__xludf.DUMMYFUNCTION("""COMPUTED_VALUE"""),"Jóvenes (18 a 29 años)")</f>
        <v>Jóvenes (18 a 29 años)</v>
      </c>
      <c r="CE861" s="30" t="str">
        <f ca="1">IFERROR(__xludf.DUMMYFUNCTION("""COMPUTED_VALUE"""),"No se cuenta con el dato")</f>
        <v>No se cuenta con el dato</v>
      </c>
      <c r="CF861" s="30" t="str">
        <f ca="1">IFERROR(__xludf.DUMMYFUNCTION("""COMPUTED_VALUE"""),"Ninguno (Población General)")</f>
        <v>Ninguno (Población General)</v>
      </c>
      <c r="CG861" s="30">
        <f ca="1">IFERROR(__xludf.DUMMYFUNCTION("""COMPUTED_VALUE"""),2)</f>
        <v>2</v>
      </c>
      <c r="CJ861" s="29"/>
      <c r="CM861" s="30" t="str">
        <f ca="1">IFERROR(__xludf.DUMMYFUNCTION("""COMPUTED_VALUE"""),"")</f>
        <v/>
      </c>
      <c r="CN861" s="32" t="e">
        <f ca="1"/>
        <v>#NAME?</v>
      </c>
      <c r="CO861" s="32" t="e">
        <f ca="1"/>
        <v>#NAME?</v>
      </c>
      <c r="CP861" s="32" t="e">
        <f ca="1"/>
        <v>#NAME?</v>
      </c>
      <c r="CQ861" s="32" t="e">
        <f ca="1"/>
        <v>#NAME?</v>
      </c>
      <c r="CR861" s="30" t="e">
        <f ca="1"/>
        <v>#NAME?</v>
      </c>
      <c r="CS861" s="30" t="str">
        <f ca="1">IFERROR(__xludf.DUMMYFUNCTION("""COMPUTED_VALUE"""),"")</f>
        <v/>
      </c>
    </row>
    <row r="862" spans="1:97" ht="13">
      <c r="A862" s="29"/>
      <c r="C862" s="32"/>
      <c r="I862" s="34"/>
      <c r="BP862" s="29"/>
      <c r="CC862" s="30" t="str">
        <f ca="1">IFERROR(__xludf.DUMMYFUNCTION("""COMPUTED_VALUE"""),"085a5139")</f>
        <v>085a5139</v>
      </c>
      <c r="CD862" s="29" t="str">
        <f ca="1">IFERROR(__xludf.DUMMYFUNCTION("""COMPUTED_VALUE"""),"Adultos (30 a 59 años)")</f>
        <v>Adultos (30 a 59 años)</v>
      </c>
      <c r="CE862" s="30" t="str">
        <f ca="1">IFERROR(__xludf.DUMMYFUNCTION("""COMPUTED_VALUE"""),"No se cuenta con el dato")</f>
        <v>No se cuenta con el dato</v>
      </c>
      <c r="CF862" s="30" t="str">
        <f ca="1">IFERROR(__xludf.DUMMYFUNCTION("""COMPUTED_VALUE"""),"Ninguno (Población General)")</f>
        <v>Ninguno (Población General)</v>
      </c>
      <c r="CG862" s="30">
        <f ca="1">IFERROR(__xludf.DUMMYFUNCTION("""COMPUTED_VALUE"""),3)</f>
        <v>3</v>
      </c>
      <c r="CJ862" s="29"/>
      <c r="CM862" s="30" t="str">
        <f ca="1">IFERROR(__xludf.DUMMYFUNCTION("""COMPUTED_VALUE"""),"")</f>
        <v/>
      </c>
      <c r="CN862" s="32" t="e">
        <f ca="1"/>
        <v>#NAME?</v>
      </c>
      <c r="CO862" s="32" t="e">
        <f ca="1"/>
        <v>#NAME?</v>
      </c>
      <c r="CP862" s="32" t="e">
        <f ca="1"/>
        <v>#NAME?</v>
      </c>
      <c r="CQ862" s="32" t="e">
        <f ca="1"/>
        <v>#NAME?</v>
      </c>
      <c r="CR862" s="30" t="e">
        <f ca="1"/>
        <v>#NAME?</v>
      </c>
      <c r="CS862" s="30" t="str">
        <f ca="1">IFERROR(__xludf.DUMMYFUNCTION("""COMPUTED_VALUE"""),"")</f>
        <v/>
      </c>
    </row>
    <row r="863" spans="1:97" ht="13">
      <c r="A863" s="29"/>
      <c r="C863" s="32"/>
      <c r="I863" s="34"/>
      <c r="BP863" s="29"/>
      <c r="CC863" s="30" t="str">
        <f ca="1">IFERROR(__xludf.DUMMYFUNCTION("""COMPUTED_VALUE"""),"82beb78b")</f>
        <v>82beb78b</v>
      </c>
      <c r="CD863" s="29" t="str">
        <f ca="1">IFERROR(__xludf.DUMMYFUNCTION("""COMPUTED_VALUE"""),"Adolescentes (13 a 17 años)")</f>
        <v>Adolescentes (13 a 17 años)</v>
      </c>
      <c r="CE863" s="30" t="str">
        <f ca="1">IFERROR(__xludf.DUMMYFUNCTION("""COMPUTED_VALUE"""),"No se cuenta con el dato")</f>
        <v>No se cuenta con el dato</v>
      </c>
      <c r="CF863" s="30" t="str">
        <f ca="1">IFERROR(__xludf.DUMMYFUNCTION("""COMPUTED_VALUE"""),"Ninguno (Población General)")</f>
        <v>Ninguno (Población General)</v>
      </c>
      <c r="CG863" s="30">
        <f ca="1">IFERROR(__xludf.DUMMYFUNCTION("""COMPUTED_VALUE"""),1)</f>
        <v>1</v>
      </c>
      <c r="CJ863" s="29"/>
      <c r="CM863" s="30" t="str">
        <f ca="1">IFERROR(__xludf.DUMMYFUNCTION("""COMPUTED_VALUE"""),"")</f>
        <v/>
      </c>
      <c r="CN863" s="32" t="e">
        <f ca="1"/>
        <v>#NAME?</v>
      </c>
      <c r="CO863" s="32" t="e">
        <f ca="1"/>
        <v>#NAME?</v>
      </c>
      <c r="CP863" s="32" t="e">
        <f ca="1"/>
        <v>#NAME?</v>
      </c>
      <c r="CQ863" s="32" t="e">
        <f ca="1"/>
        <v>#NAME?</v>
      </c>
      <c r="CR863" s="30" t="e">
        <f ca="1"/>
        <v>#NAME?</v>
      </c>
      <c r="CS863" s="30" t="str">
        <f ca="1">IFERROR(__xludf.DUMMYFUNCTION("""COMPUTED_VALUE"""),"")</f>
        <v/>
      </c>
    </row>
    <row r="864" spans="1:97" ht="13">
      <c r="A864" s="29"/>
      <c r="C864" s="32"/>
      <c r="I864" s="34"/>
      <c r="BP864" s="29"/>
      <c r="CC864" s="30" t="str">
        <f ca="1">IFERROR(__xludf.DUMMYFUNCTION("""COMPUTED_VALUE"""),"9a398c67")</f>
        <v>9a398c67</v>
      </c>
      <c r="CD864" s="29" t="str">
        <f ca="1">IFERROR(__xludf.DUMMYFUNCTION("""COMPUTED_VALUE"""),"Jóvenes (18 a 29 años)")</f>
        <v>Jóvenes (18 a 29 años)</v>
      </c>
      <c r="CE864" s="30" t="str">
        <f ca="1">IFERROR(__xludf.DUMMYFUNCTION("""COMPUTED_VALUE"""),"No se cuenta con el dato")</f>
        <v>No se cuenta con el dato</v>
      </c>
      <c r="CF864" s="30" t="str">
        <f ca="1">IFERROR(__xludf.DUMMYFUNCTION("""COMPUTED_VALUE"""),"Ninguno (Población General)")</f>
        <v>Ninguno (Población General)</v>
      </c>
      <c r="CG864" s="30">
        <f ca="1">IFERROR(__xludf.DUMMYFUNCTION("""COMPUTED_VALUE"""),2)</f>
        <v>2</v>
      </c>
      <c r="CJ864" s="29"/>
      <c r="CM864" s="30" t="str">
        <f ca="1">IFERROR(__xludf.DUMMYFUNCTION("""COMPUTED_VALUE"""),"")</f>
        <v/>
      </c>
      <c r="CN864" s="32" t="e">
        <f ca="1"/>
        <v>#NAME?</v>
      </c>
      <c r="CO864" s="32" t="e">
        <f ca="1"/>
        <v>#NAME?</v>
      </c>
      <c r="CP864" s="32" t="e">
        <f ca="1"/>
        <v>#NAME?</v>
      </c>
      <c r="CQ864" s="32" t="e">
        <f ca="1"/>
        <v>#NAME?</v>
      </c>
      <c r="CR864" s="30" t="e">
        <f ca="1"/>
        <v>#NAME?</v>
      </c>
      <c r="CS864" s="30" t="str">
        <f ca="1">IFERROR(__xludf.DUMMYFUNCTION("""COMPUTED_VALUE"""),"")</f>
        <v/>
      </c>
    </row>
    <row r="865" spans="1:97" ht="13">
      <c r="A865" s="29"/>
      <c r="C865" s="32"/>
      <c r="I865" s="34"/>
      <c r="BP865" s="29"/>
      <c r="CC865" s="30" t="str">
        <f ca="1">IFERROR(__xludf.DUMMYFUNCTION("""COMPUTED_VALUE"""),"cd5d3828")</f>
        <v>cd5d3828</v>
      </c>
      <c r="CD865" s="29" t="str">
        <f ca="1">IFERROR(__xludf.DUMMYFUNCTION("""COMPUTED_VALUE"""),"Adultos (30 a 59 años)")</f>
        <v>Adultos (30 a 59 años)</v>
      </c>
      <c r="CE865" s="30" t="str">
        <f ca="1">IFERROR(__xludf.DUMMYFUNCTION("""COMPUTED_VALUE"""),"No se cuenta con el dato")</f>
        <v>No se cuenta con el dato</v>
      </c>
      <c r="CF865" s="30" t="str">
        <f ca="1">IFERROR(__xludf.DUMMYFUNCTION("""COMPUTED_VALUE"""),"Ninguno (Población General)")</f>
        <v>Ninguno (Población General)</v>
      </c>
      <c r="CG865" s="30">
        <f ca="1">IFERROR(__xludf.DUMMYFUNCTION("""COMPUTED_VALUE"""),16)</f>
        <v>16</v>
      </c>
      <c r="CJ865" s="29"/>
      <c r="CM865" s="30" t="str">
        <f ca="1">IFERROR(__xludf.DUMMYFUNCTION("""COMPUTED_VALUE"""),"")</f>
        <v/>
      </c>
      <c r="CN865" s="32" t="e">
        <f ca="1"/>
        <v>#NAME?</v>
      </c>
      <c r="CO865" s="32" t="e">
        <f ca="1"/>
        <v>#NAME?</v>
      </c>
      <c r="CP865" s="32" t="e">
        <f ca="1"/>
        <v>#NAME?</v>
      </c>
      <c r="CQ865" s="32" t="e">
        <f ca="1"/>
        <v>#NAME?</v>
      </c>
      <c r="CR865" s="30" t="e">
        <f ca="1"/>
        <v>#NAME?</v>
      </c>
      <c r="CS865" s="30" t="str">
        <f ca="1">IFERROR(__xludf.DUMMYFUNCTION("""COMPUTED_VALUE"""),"")</f>
        <v/>
      </c>
    </row>
    <row r="866" spans="1:97" ht="13">
      <c r="A866" s="29"/>
      <c r="C866" s="32"/>
      <c r="I866" s="34"/>
      <c r="BP866" s="29"/>
      <c r="CC866" s="30" t="str">
        <f ca="1">IFERROR(__xludf.DUMMYFUNCTION("""COMPUTED_VALUE"""),"eb94b65c")</f>
        <v>eb94b65c</v>
      </c>
      <c r="CD866" s="29" t="str">
        <f ca="1">IFERROR(__xludf.DUMMYFUNCTION("""COMPUTED_VALUE"""),"Adultos Mayores (60 años o más)")</f>
        <v>Adultos Mayores (60 años o más)</v>
      </c>
      <c r="CE866" s="30" t="str">
        <f ca="1">IFERROR(__xludf.DUMMYFUNCTION("""COMPUTED_VALUE"""),"No se cuenta con el dato")</f>
        <v>No se cuenta con el dato</v>
      </c>
      <c r="CF866" s="30" t="str">
        <f ca="1">IFERROR(__xludf.DUMMYFUNCTION("""COMPUTED_VALUE"""),"Ninguno (Población General)")</f>
        <v>Ninguno (Población General)</v>
      </c>
      <c r="CG866" s="30">
        <f ca="1">IFERROR(__xludf.DUMMYFUNCTION("""COMPUTED_VALUE"""),12)</f>
        <v>12</v>
      </c>
      <c r="CJ866" s="29"/>
      <c r="CM866" s="30" t="str">
        <f ca="1">IFERROR(__xludf.DUMMYFUNCTION("""COMPUTED_VALUE"""),"")</f>
        <v/>
      </c>
      <c r="CN866" s="32" t="e">
        <f ca="1"/>
        <v>#NAME?</v>
      </c>
      <c r="CO866" s="32" t="e">
        <f ca="1"/>
        <v>#NAME?</v>
      </c>
      <c r="CP866" s="32" t="e">
        <f ca="1"/>
        <v>#NAME?</v>
      </c>
      <c r="CQ866" s="32" t="e">
        <f ca="1"/>
        <v>#NAME?</v>
      </c>
      <c r="CR866" s="30" t="e">
        <f ca="1"/>
        <v>#NAME?</v>
      </c>
      <c r="CS866" s="30" t="str">
        <f ca="1">IFERROR(__xludf.DUMMYFUNCTION("""COMPUTED_VALUE"""),"")</f>
        <v/>
      </c>
    </row>
    <row r="867" spans="1:97" ht="13">
      <c r="A867" s="29"/>
      <c r="C867" s="32"/>
      <c r="I867" s="34"/>
      <c r="BP867" s="29"/>
      <c r="CC867" s="30" t="str">
        <f ca="1">IFERROR(__xludf.DUMMYFUNCTION("""COMPUTED_VALUE"""),"cb4abe73")</f>
        <v>cb4abe73</v>
      </c>
      <c r="CD867" s="29" t="str">
        <f ca="1">IFERROR(__xludf.DUMMYFUNCTION("""COMPUTED_VALUE"""),"Adolescentes (13 a 17 años)")</f>
        <v>Adolescentes (13 a 17 años)</v>
      </c>
      <c r="CE867" s="30" t="str">
        <f ca="1">IFERROR(__xludf.DUMMYFUNCTION("""COMPUTED_VALUE"""),"No se cuenta con el dato")</f>
        <v>No se cuenta con el dato</v>
      </c>
      <c r="CF867" s="30" t="str">
        <f ca="1">IFERROR(__xludf.DUMMYFUNCTION("""COMPUTED_VALUE"""),"Ninguno (Población General)")</f>
        <v>Ninguno (Población General)</v>
      </c>
      <c r="CG867" s="30">
        <f ca="1">IFERROR(__xludf.DUMMYFUNCTION("""COMPUTED_VALUE"""),2)</f>
        <v>2</v>
      </c>
      <c r="CJ867" s="29"/>
      <c r="CM867" s="30" t="str">
        <f ca="1">IFERROR(__xludf.DUMMYFUNCTION("""COMPUTED_VALUE"""),"")</f>
        <v/>
      </c>
      <c r="CN867" s="32" t="e">
        <f ca="1"/>
        <v>#NAME?</v>
      </c>
      <c r="CO867" s="32" t="e">
        <f ca="1"/>
        <v>#NAME?</v>
      </c>
      <c r="CP867" s="32" t="e">
        <f ca="1"/>
        <v>#NAME?</v>
      </c>
      <c r="CQ867" s="32" t="e">
        <f ca="1"/>
        <v>#NAME?</v>
      </c>
      <c r="CR867" s="30" t="e">
        <f ca="1"/>
        <v>#NAME?</v>
      </c>
      <c r="CS867" s="30" t="str">
        <f ca="1">IFERROR(__xludf.DUMMYFUNCTION("""COMPUTED_VALUE"""),"")</f>
        <v/>
      </c>
    </row>
    <row r="868" spans="1:97" ht="13">
      <c r="A868" s="29"/>
      <c r="C868" s="32"/>
      <c r="I868" s="34"/>
      <c r="BP868" s="29"/>
      <c r="CC868" s="30" t="str">
        <f ca="1">IFERROR(__xludf.DUMMYFUNCTION("""COMPUTED_VALUE"""),"524d466e")</f>
        <v>524d466e</v>
      </c>
      <c r="CD868" s="29" t="str">
        <f ca="1">IFERROR(__xludf.DUMMYFUNCTION("""COMPUTED_VALUE"""),"Jóvenes (18 a 29 años)")</f>
        <v>Jóvenes (18 a 29 años)</v>
      </c>
      <c r="CE868" s="30" t="str">
        <f ca="1">IFERROR(__xludf.DUMMYFUNCTION("""COMPUTED_VALUE"""),"No se cuenta con el dato")</f>
        <v>No se cuenta con el dato</v>
      </c>
      <c r="CF868" s="30" t="str">
        <f ca="1">IFERROR(__xludf.DUMMYFUNCTION("""COMPUTED_VALUE"""),"Ninguno (Población General)")</f>
        <v>Ninguno (Población General)</v>
      </c>
      <c r="CG868" s="30">
        <f ca="1">IFERROR(__xludf.DUMMYFUNCTION("""COMPUTED_VALUE"""),1)</f>
        <v>1</v>
      </c>
      <c r="CJ868" s="29"/>
      <c r="CM868" s="30" t="str">
        <f ca="1">IFERROR(__xludf.DUMMYFUNCTION("""COMPUTED_VALUE"""),"")</f>
        <v/>
      </c>
      <c r="CN868" s="32" t="e">
        <f ca="1"/>
        <v>#NAME?</v>
      </c>
      <c r="CO868" s="32" t="e">
        <f ca="1"/>
        <v>#NAME?</v>
      </c>
      <c r="CP868" s="32" t="e">
        <f ca="1"/>
        <v>#NAME?</v>
      </c>
      <c r="CQ868" s="32" t="e">
        <f ca="1"/>
        <v>#NAME?</v>
      </c>
      <c r="CR868" s="30" t="e">
        <f ca="1"/>
        <v>#NAME?</v>
      </c>
      <c r="CS868" s="30" t="str">
        <f ca="1">IFERROR(__xludf.DUMMYFUNCTION("""COMPUTED_VALUE"""),"")</f>
        <v/>
      </c>
    </row>
    <row r="869" spans="1:97" ht="13">
      <c r="A869" s="29"/>
      <c r="C869" s="32"/>
      <c r="I869" s="34"/>
      <c r="BP869" s="29"/>
      <c r="CC869" s="30" t="str">
        <f ca="1">IFERROR(__xludf.DUMMYFUNCTION("""COMPUTED_VALUE"""),"6453171f")</f>
        <v>6453171f</v>
      </c>
      <c r="CD869" s="29" t="str">
        <f ca="1">IFERROR(__xludf.DUMMYFUNCTION("""COMPUTED_VALUE"""),"Adultos (30 a 59 años)")</f>
        <v>Adultos (30 a 59 años)</v>
      </c>
      <c r="CE869" s="30" t="str">
        <f ca="1">IFERROR(__xludf.DUMMYFUNCTION("""COMPUTED_VALUE"""),"No se cuenta con el dato")</f>
        <v>No se cuenta con el dato</v>
      </c>
      <c r="CF869" s="30" t="str">
        <f ca="1">IFERROR(__xludf.DUMMYFUNCTION("""COMPUTED_VALUE"""),"Ninguno (Población General)")</f>
        <v>Ninguno (Población General)</v>
      </c>
      <c r="CG869" s="30">
        <f ca="1">IFERROR(__xludf.DUMMYFUNCTION("""COMPUTED_VALUE"""),1)</f>
        <v>1</v>
      </c>
      <c r="CJ869" s="29"/>
      <c r="CM869" s="30" t="str">
        <f ca="1">IFERROR(__xludf.DUMMYFUNCTION("""COMPUTED_VALUE"""),"")</f>
        <v/>
      </c>
      <c r="CN869" s="32" t="e">
        <f ca="1"/>
        <v>#NAME?</v>
      </c>
      <c r="CO869" s="32" t="e">
        <f ca="1"/>
        <v>#NAME?</v>
      </c>
      <c r="CP869" s="32" t="e">
        <f ca="1"/>
        <v>#NAME?</v>
      </c>
      <c r="CQ869" s="32" t="e">
        <f ca="1"/>
        <v>#NAME?</v>
      </c>
      <c r="CR869" s="30" t="e">
        <f ca="1"/>
        <v>#NAME?</v>
      </c>
      <c r="CS869" s="30" t="str">
        <f ca="1">IFERROR(__xludf.DUMMYFUNCTION("""COMPUTED_VALUE"""),"")</f>
        <v/>
      </c>
    </row>
    <row r="870" spans="1:97" ht="13">
      <c r="A870" s="29"/>
      <c r="C870" s="32"/>
      <c r="I870" s="34"/>
      <c r="BP870" s="29"/>
      <c r="CC870" s="30" t="str">
        <f ca="1">IFERROR(__xludf.DUMMYFUNCTION("""COMPUTED_VALUE"""),"995b09ff")</f>
        <v>995b09ff</v>
      </c>
      <c r="CD870" s="29" t="str">
        <f ca="1">IFERROR(__xludf.DUMMYFUNCTION("""COMPUTED_VALUE"""),"Adolescentes (13 a 17 años)")</f>
        <v>Adolescentes (13 a 17 años)</v>
      </c>
      <c r="CE870" s="30" t="str">
        <f ca="1">IFERROR(__xludf.DUMMYFUNCTION("""COMPUTED_VALUE"""),"Hombre")</f>
        <v>Hombre</v>
      </c>
      <c r="CF870" s="30" t="str">
        <f ca="1">IFERROR(__xludf.DUMMYFUNCTION("""COMPUTED_VALUE"""),"Ninguno (Población General)")</f>
        <v>Ninguno (Población General)</v>
      </c>
      <c r="CG870" s="30">
        <f ca="1">IFERROR(__xludf.DUMMYFUNCTION("""COMPUTED_VALUE"""),1)</f>
        <v>1</v>
      </c>
      <c r="CJ870" s="29"/>
      <c r="CM870" s="30" t="str">
        <f ca="1">IFERROR(__xludf.DUMMYFUNCTION("""COMPUTED_VALUE"""),"")</f>
        <v/>
      </c>
      <c r="CN870" s="32" t="e">
        <f ca="1"/>
        <v>#NAME?</v>
      </c>
      <c r="CO870" s="32" t="e">
        <f ca="1"/>
        <v>#NAME?</v>
      </c>
      <c r="CP870" s="32" t="e">
        <f ca="1"/>
        <v>#NAME?</v>
      </c>
      <c r="CQ870" s="32" t="e">
        <f ca="1"/>
        <v>#NAME?</v>
      </c>
      <c r="CR870" s="30" t="e">
        <f ca="1"/>
        <v>#NAME?</v>
      </c>
      <c r="CS870" s="30" t="str">
        <f ca="1">IFERROR(__xludf.DUMMYFUNCTION("""COMPUTED_VALUE"""),"")</f>
        <v/>
      </c>
    </row>
    <row r="871" spans="1:97" ht="13">
      <c r="A871" s="29"/>
      <c r="C871" s="32"/>
      <c r="I871" s="34"/>
      <c r="BP871" s="29"/>
      <c r="CC871" s="30" t="str">
        <f ca="1">IFERROR(__xludf.DUMMYFUNCTION("""COMPUTED_VALUE"""),"15a9b9f2")</f>
        <v>15a9b9f2</v>
      </c>
      <c r="CD871" s="29" t="str">
        <f ca="1">IFERROR(__xludf.DUMMYFUNCTION("""COMPUTED_VALUE"""),"Jóvenes (18 a 29 años)")</f>
        <v>Jóvenes (18 a 29 años)</v>
      </c>
      <c r="CE871" s="30" t="str">
        <f ca="1">IFERROR(__xludf.DUMMYFUNCTION("""COMPUTED_VALUE"""),"Mujer")</f>
        <v>Mujer</v>
      </c>
      <c r="CF871" s="30" t="str">
        <f ca="1">IFERROR(__xludf.DUMMYFUNCTION("""COMPUTED_VALUE"""),"Ninguno (Población General)")</f>
        <v>Ninguno (Población General)</v>
      </c>
      <c r="CG871" s="30">
        <f ca="1">IFERROR(__xludf.DUMMYFUNCTION("""COMPUTED_VALUE"""),1)</f>
        <v>1</v>
      </c>
      <c r="CJ871" s="29"/>
      <c r="CM871" s="30" t="str">
        <f ca="1">IFERROR(__xludf.DUMMYFUNCTION("""COMPUTED_VALUE"""),"")</f>
        <v/>
      </c>
      <c r="CN871" s="32" t="e">
        <f ca="1"/>
        <v>#NAME?</v>
      </c>
      <c r="CO871" s="32" t="e">
        <f ca="1"/>
        <v>#NAME?</v>
      </c>
      <c r="CP871" s="32" t="e">
        <f ca="1"/>
        <v>#NAME?</v>
      </c>
      <c r="CQ871" s="32" t="e">
        <f ca="1"/>
        <v>#NAME?</v>
      </c>
      <c r="CR871" s="30" t="e">
        <f ca="1"/>
        <v>#NAME?</v>
      </c>
      <c r="CS871" s="30" t="str">
        <f ca="1">IFERROR(__xludf.DUMMYFUNCTION("""COMPUTED_VALUE"""),"")</f>
        <v/>
      </c>
    </row>
    <row r="872" spans="1:97" ht="13">
      <c r="A872" s="29"/>
      <c r="C872" s="32"/>
      <c r="I872" s="34"/>
      <c r="BP872" s="29"/>
      <c r="CC872" s="30" t="str">
        <f ca="1">IFERROR(__xludf.DUMMYFUNCTION("""COMPUTED_VALUE"""),"55a12751")</f>
        <v>55a12751</v>
      </c>
      <c r="CD872" s="29" t="str">
        <f ca="1">IFERROR(__xludf.DUMMYFUNCTION("""COMPUTED_VALUE"""),"Jóvenes (18 a 29 años)")</f>
        <v>Jóvenes (18 a 29 años)</v>
      </c>
      <c r="CE872" s="30" t="str">
        <f ca="1">IFERROR(__xludf.DUMMYFUNCTION("""COMPUTED_VALUE"""),"Hombre")</f>
        <v>Hombre</v>
      </c>
      <c r="CF872" s="30" t="str">
        <f ca="1">IFERROR(__xludf.DUMMYFUNCTION("""COMPUTED_VALUE"""),"Ninguno (Población General)")</f>
        <v>Ninguno (Población General)</v>
      </c>
      <c r="CG872" s="30">
        <f ca="1">IFERROR(__xludf.DUMMYFUNCTION("""COMPUTED_VALUE"""),3)</f>
        <v>3</v>
      </c>
      <c r="CJ872" s="29"/>
      <c r="CM872" s="30" t="str">
        <f ca="1">IFERROR(__xludf.DUMMYFUNCTION("""COMPUTED_VALUE"""),"")</f>
        <v/>
      </c>
      <c r="CN872" s="32" t="e">
        <f ca="1"/>
        <v>#NAME?</v>
      </c>
      <c r="CO872" s="32" t="e">
        <f ca="1"/>
        <v>#NAME?</v>
      </c>
      <c r="CP872" s="32" t="e">
        <f ca="1"/>
        <v>#NAME?</v>
      </c>
      <c r="CQ872" s="32" t="e">
        <f ca="1"/>
        <v>#NAME?</v>
      </c>
      <c r="CR872" s="30" t="e">
        <f ca="1"/>
        <v>#NAME?</v>
      </c>
      <c r="CS872" s="30" t="str">
        <f ca="1">IFERROR(__xludf.DUMMYFUNCTION("""COMPUTED_VALUE"""),"")</f>
        <v/>
      </c>
    </row>
    <row r="873" spans="1:97" ht="13">
      <c r="A873" s="29"/>
      <c r="C873" s="32"/>
      <c r="I873" s="34"/>
      <c r="BP873" s="29"/>
      <c r="CC873" s="30" t="str">
        <f ca="1">IFERROR(__xludf.DUMMYFUNCTION("""COMPUTED_VALUE"""),"64128a7c")</f>
        <v>64128a7c</v>
      </c>
      <c r="CD873" s="29" t="str">
        <f ca="1">IFERROR(__xludf.DUMMYFUNCTION("""COMPUTED_VALUE"""),"Adultos (30 a 59 años)")</f>
        <v>Adultos (30 a 59 años)</v>
      </c>
      <c r="CE873" s="30" t="str">
        <f ca="1">IFERROR(__xludf.DUMMYFUNCTION("""COMPUTED_VALUE"""),"Mujer")</f>
        <v>Mujer</v>
      </c>
      <c r="CF873" s="30" t="str">
        <f ca="1">IFERROR(__xludf.DUMMYFUNCTION("""COMPUTED_VALUE"""),"Ninguno (Población General)")</f>
        <v>Ninguno (Población General)</v>
      </c>
      <c r="CG873" s="30">
        <f ca="1">IFERROR(__xludf.DUMMYFUNCTION("""COMPUTED_VALUE"""),5)</f>
        <v>5</v>
      </c>
      <c r="CJ873" s="29"/>
      <c r="CM873" s="30" t="str">
        <f ca="1">IFERROR(__xludf.DUMMYFUNCTION("""COMPUTED_VALUE"""),"")</f>
        <v/>
      </c>
      <c r="CN873" s="32" t="e">
        <f ca="1"/>
        <v>#NAME?</v>
      </c>
      <c r="CO873" s="32" t="e">
        <f ca="1"/>
        <v>#NAME?</v>
      </c>
      <c r="CP873" s="32" t="e">
        <f ca="1"/>
        <v>#NAME?</v>
      </c>
      <c r="CQ873" s="32" t="e">
        <f ca="1"/>
        <v>#NAME?</v>
      </c>
      <c r="CR873" s="30" t="e">
        <f ca="1"/>
        <v>#NAME?</v>
      </c>
      <c r="CS873" s="30" t="str">
        <f ca="1">IFERROR(__xludf.DUMMYFUNCTION("""COMPUTED_VALUE"""),"")</f>
        <v/>
      </c>
    </row>
    <row r="874" spans="1:97" ht="13">
      <c r="A874" s="29"/>
      <c r="C874" s="32"/>
      <c r="I874" s="34"/>
      <c r="BP874" s="29"/>
      <c r="CC874" s="30" t="str">
        <f ca="1">IFERROR(__xludf.DUMMYFUNCTION("""COMPUTED_VALUE"""),"c28a3dd8")</f>
        <v>c28a3dd8</v>
      </c>
      <c r="CD874" s="29" t="str">
        <f ca="1">IFERROR(__xludf.DUMMYFUNCTION("""COMPUTED_VALUE"""),"Adultos (30 a 59 años)")</f>
        <v>Adultos (30 a 59 años)</v>
      </c>
      <c r="CE874" s="30" t="str">
        <f ca="1">IFERROR(__xludf.DUMMYFUNCTION("""COMPUTED_VALUE"""),"Hombre")</f>
        <v>Hombre</v>
      </c>
      <c r="CF874" s="30" t="str">
        <f ca="1">IFERROR(__xludf.DUMMYFUNCTION("""COMPUTED_VALUE"""),"Ninguno (Población General)")</f>
        <v>Ninguno (Población General)</v>
      </c>
      <c r="CG874" s="30">
        <f ca="1">IFERROR(__xludf.DUMMYFUNCTION("""COMPUTED_VALUE"""),1)</f>
        <v>1</v>
      </c>
      <c r="CJ874" s="29"/>
      <c r="CM874" s="30" t="str">
        <f ca="1">IFERROR(__xludf.DUMMYFUNCTION("""COMPUTED_VALUE"""),"")</f>
        <v/>
      </c>
      <c r="CN874" s="32" t="e">
        <f ca="1"/>
        <v>#NAME?</v>
      </c>
      <c r="CO874" s="32" t="e">
        <f ca="1"/>
        <v>#NAME?</v>
      </c>
      <c r="CP874" s="32" t="e">
        <f ca="1"/>
        <v>#NAME?</v>
      </c>
      <c r="CQ874" s="32" t="e">
        <f ca="1"/>
        <v>#NAME?</v>
      </c>
      <c r="CR874" s="30" t="e">
        <f ca="1"/>
        <v>#NAME?</v>
      </c>
      <c r="CS874" s="30" t="str">
        <f ca="1">IFERROR(__xludf.DUMMYFUNCTION("""COMPUTED_VALUE"""),"")</f>
        <v/>
      </c>
    </row>
    <row r="875" spans="1:97" ht="13">
      <c r="A875" s="29"/>
      <c r="C875" s="32"/>
      <c r="I875" s="34"/>
      <c r="BP875" s="29"/>
      <c r="CC875" s="30" t="str">
        <f ca="1">IFERROR(__xludf.DUMMYFUNCTION("""COMPUTED_VALUE"""),"2865fd59")</f>
        <v>2865fd59</v>
      </c>
      <c r="CD875" s="29" t="str">
        <f ca="1">IFERROR(__xludf.DUMMYFUNCTION("""COMPUTED_VALUE"""),"Adolescentes (13 a 17 años)")</f>
        <v>Adolescentes (13 a 17 años)</v>
      </c>
      <c r="CE875" s="30" t="str">
        <f ca="1">IFERROR(__xludf.DUMMYFUNCTION("""COMPUTED_VALUE"""),"Hombre")</f>
        <v>Hombre</v>
      </c>
      <c r="CF875" s="30" t="str">
        <f ca="1">IFERROR(__xludf.DUMMYFUNCTION("""COMPUTED_VALUE"""),"Ninguno (Población General)")</f>
        <v>Ninguno (Población General)</v>
      </c>
      <c r="CG875" s="30">
        <f ca="1">IFERROR(__xludf.DUMMYFUNCTION("""COMPUTED_VALUE"""),1)</f>
        <v>1</v>
      </c>
      <c r="CJ875" s="29"/>
      <c r="CM875" s="30" t="str">
        <f ca="1">IFERROR(__xludf.DUMMYFUNCTION("""COMPUTED_VALUE"""),"")</f>
        <v/>
      </c>
      <c r="CN875" s="32" t="e">
        <f ca="1"/>
        <v>#NAME?</v>
      </c>
      <c r="CO875" s="32" t="e">
        <f ca="1"/>
        <v>#NAME?</v>
      </c>
      <c r="CP875" s="32" t="e">
        <f ca="1"/>
        <v>#NAME?</v>
      </c>
      <c r="CQ875" s="32" t="e">
        <f ca="1"/>
        <v>#NAME?</v>
      </c>
      <c r="CR875" s="30" t="e">
        <f ca="1"/>
        <v>#NAME?</v>
      </c>
      <c r="CS875" s="30" t="str">
        <f ca="1">IFERROR(__xludf.DUMMYFUNCTION("""COMPUTED_VALUE"""),"")</f>
        <v/>
      </c>
    </row>
    <row r="876" spans="1:97" ht="13">
      <c r="A876" s="29"/>
      <c r="C876" s="32"/>
      <c r="I876" s="34"/>
      <c r="BP876" s="29"/>
      <c r="CC876" s="30" t="str">
        <f ca="1">IFERROR(__xludf.DUMMYFUNCTION("""COMPUTED_VALUE"""),"4a2e109c")</f>
        <v>4a2e109c</v>
      </c>
      <c r="CD876" s="29" t="str">
        <f ca="1">IFERROR(__xludf.DUMMYFUNCTION("""COMPUTED_VALUE"""),"Jóvenes (18 a 29 años)")</f>
        <v>Jóvenes (18 a 29 años)</v>
      </c>
      <c r="CE876" s="30" t="str">
        <f ca="1">IFERROR(__xludf.DUMMYFUNCTION("""COMPUTED_VALUE"""),"Mujer")</f>
        <v>Mujer</v>
      </c>
      <c r="CF876" s="30" t="str">
        <f ca="1">IFERROR(__xludf.DUMMYFUNCTION("""COMPUTED_VALUE"""),"Ninguno (Población General)")</f>
        <v>Ninguno (Población General)</v>
      </c>
      <c r="CG876" s="30">
        <f ca="1">IFERROR(__xludf.DUMMYFUNCTION("""COMPUTED_VALUE"""),6)</f>
        <v>6</v>
      </c>
      <c r="CJ876" s="29"/>
      <c r="CM876" s="30" t="str">
        <f ca="1">IFERROR(__xludf.DUMMYFUNCTION("""COMPUTED_VALUE"""),"")</f>
        <v/>
      </c>
      <c r="CN876" s="32" t="e">
        <f ca="1"/>
        <v>#NAME?</v>
      </c>
      <c r="CO876" s="32" t="e">
        <f ca="1"/>
        <v>#NAME?</v>
      </c>
      <c r="CP876" s="32" t="e">
        <f ca="1"/>
        <v>#NAME?</v>
      </c>
      <c r="CQ876" s="32" t="e">
        <f ca="1"/>
        <v>#NAME?</v>
      </c>
      <c r="CR876" s="30" t="e">
        <f ca="1"/>
        <v>#NAME?</v>
      </c>
      <c r="CS876" s="30" t="str">
        <f ca="1">IFERROR(__xludf.DUMMYFUNCTION("""COMPUTED_VALUE"""),"")</f>
        <v/>
      </c>
    </row>
    <row r="877" spans="1:97" ht="13">
      <c r="A877" s="29"/>
      <c r="C877" s="32"/>
      <c r="I877" s="34"/>
      <c r="BP877" s="29"/>
      <c r="CC877" s="30" t="str">
        <f ca="1">IFERROR(__xludf.DUMMYFUNCTION("""COMPUTED_VALUE"""),"e3bbdbd1")</f>
        <v>e3bbdbd1</v>
      </c>
      <c r="CD877" s="29" t="str">
        <f ca="1">IFERROR(__xludf.DUMMYFUNCTION("""COMPUTED_VALUE"""),"Jóvenes (18 a 29 años)")</f>
        <v>Jóvenes (18 a 29 años)</v>
      </c>
      <c r="CE877" s="30" t="str">
        <f ca="1">IFERROR(__xludf.DUMMYFUNCTION("""COMPUTED_VALUE"""),"Hombre")</f>
        <v>Hombre</v>
      </c>
      <c r="CF877" s="30" t="str">
        <f ca="1">IFERROR(__xludf.DUMMYFUNCTION("""COMPUTED_VALUE"""),"Ninguno (Población General)")</f>
        <v>Ninguno (Población General)</v>
      </c>
      <c r="CG877" s="30">
        <f ca="1">IFERROR(__xludf.DUMMYFUNCTION("""COMPUTED_VALUE"""),3)</f>
        <v>3</v>
      </c>
      <c r="CJ877" s="29"/>
      <c r="CM877" s="30" t="str">
        <f ca="1">IFERROR(__xludf.DUMMYFUNCTION("""COMPUTED_VALUE"""),"")</f>
        <v/>
      </c>
      <c r="CN877" s="32" t="e">
        <f ca="1"/>
        <v>#NAME?</v>
      </c>
      <c r="CO877" s="32" t="e">
        <f ca="1"/>
        <v>#NAME?</v>
      </c>
      <c r="CP877" s="32" t="e">
        <f ca="1"/>
        <v>#NAME?</v>
      </c>
      <c r="CQ877" s="32" t="e">
        <f ca="1"/>
        <v>#NAME?</v>
      </c>
      <c r="CR877" s="30" t="e">
        <f ca="1"/>
        <v>#NAME?</v>
      </c>
      <c r="CS877" s="30" t="str">
        <f ca="1">IFERROR(__xludf.DUMMYFUNCTION("""COMPUTED_VALUE"""),"")</f>
        <v/>
      </c>
    </row>
    <row r="878" spans="1:97" ht="13">
      <c r="A878" s="29"/>
      <c r="C878" s="32"/>
      <c r="I878" s="34"/>
      <c r="BP878" s="29"/>
      <c r="CC878" s="30" t="str">
        <f ca="1">IFERROR(__xludf.DUMMYFUNCTION("""COMPUTED_VALUE"""),"6a7710b2")</f>
        <v>6a7710b2</v>
      </c>
      <c r="CD878" s="29" t="str">
        <f ca="1">IFERROR(__xludf.DUMMYFUNCTION("""COMPUTED_VALUE"""),"Adultos (30 a 59 años)")</f>
        <v>Adultos (30 a 59 años)</v>
      </c>
      <c r="CE878" s="30" t="str">
        <f ca="1">IFERROR(__xludf.DUMMYFUNCTION("""COMPUTED_VALUE"""),"Mujer")</f>
        <v>Mujer</v>
      </c>
      <c r="CF878" s="30" t="str">
        <f ca="1">IFERROR(__xludf.DUMMYFUNCTION("""COMPUTED_VALUE"""),"Ninguno (Población General)")</f>
        <v>Ninguno (Población General)</v>
      </c>
      <c r="CG878" s="30">
        <f ca="1">IFERROR(__xludf.DUMMYFUNCTION("""COMPUTED_VALUE"""),6)</f>
        <v>6</v>
      </c>
      <c r="CJ878" s="29"/>
      <c r="CM878" s="30" t="str">
        <f ca="1">IFERROR(__xludf.DUMMYFUNCTION("""COMPUTED_VALUE"""),"")</f>
        <v/>
      </c>
      <c r="CN878" s="32" t="e">
        <f ca="1"/>
        <v>#NAME?</v>
      </c>
      <c r="CO878" s="32" t="e">
        <f ca="1"/>
        <v>#NAME?</v>
      </c>
      <c r="CP878" s="32" t="e">
        <f ca="1"/>
        <v>#NAME?</v>
      </c>
      <c r="CQ878" s="32" t="e">
        <f ca="1"/>
        <v>#NAME?</v>
      </c>
      <c r="CR878" s="30" t="e">
        <f ca="1"/>
        <v>#NAME?</v>
      </c>
      <c r="CS878" s="30" t="str">
        <f ca="1">IFERROR(__xludf.DUMMYFUNCTION("""COMPUTED_VALUE"""),"")</f>
        <v/>
      </c>
    </row>
    <row r="879" spans="1:97" ht="13">
      <c r="A879" s="29"/>
      <c r="C879" s="32"/>
      <c r="I879" s="34"/>
      <c r="BP879" s="29"/>
      <c r="CC879" s="30" t="str">
        <f ca="1">IFERROR(__xludf.DUMMYFUNCTION("""COMPUTED_VALUE"""),"aacce233")</f>
        <v>aacce233</v>
      </c>
      <c r="CD879" s="29" t="str">
        <f ca="1">IFERROR(__xludf.DUMMYFUNCTION("""COMPUTED_VALUE"""),"Adultos (30 a 59 años)")</f>
        <v>Adultos (30 a 59 años)</v>
      </c>
      <c r="CE879" s="30" t="str">
        <f ca="1">IFERROR(__xludf.DUMMYFUNCTION("""COMPUTED_VALUE"""),"Hombre")</f>
        <v>Hombre</v>
      </c>
      <c r="CF879" s="30" t="str">
        <f ca="1">IFERROR(__xludf.DUMMYFUNCTION("""COMPUTED_VALUE"""),"Ninguno (Población General)")</f>
        <v>Ninguno (Población General)</v>
      </c>
      <c r="CG879" s="30">
        <f ca="1">IFERROR(__xludf.DUMMYFUNCTION("""COMPUTED_VALUE"""),1)</f>
        <v>1</v>
      </c>
      <c r="CJ879" s="29"/>
      <c r="CM879" s="30" t="str">
        <f ca="1">IFERROR(__xludf.DUMMYFUNCTION("""COMPUTED_VALUE"""),"")</f>
        <v/>
      </c>
      <c r="CN879" s="32" t="e">
        <f ca="1"/>
        <v>#NAME?</v>
      </c>
      <c r="CO879" s="32" t="e">
        <f ca="1"/>
        <v>#NAME?</v>
      </c>
      <c r="CP879" s="32" t="e">
        <f ca="1"/>
        <v>#NAME?</v>
      </c>
      <c r="CQ879" s="32" t="e">
        <f ca="1"/>
        <v>#NAME?</v>
      </c>
      <c r="CR879" s="30" t="e">
        <f ca="1"/>
        <v>#NAME?</v>
      </c>
      <c r="CS879" s="30" t="str">
        <f ca="1">IFERROR(__xludf.DUMMYFUNCTION("""COMPUTED_VALUE"""),"")</f>
        <v/>
      </c>
    </row>
    <row r="880" spans="1:97" ht="13">
      <c r="A880" s="29"/>
      <c r="C880" s="32"/>
      <c r="I880" s="34"/>
      <c r="BP880" s="29"/>
      <c r="CC880" s="30" t="str">
        <f ca="1">IFERROR(__xludf.DUMMYFUNCTION("""COMPUTED_VALUE"""),"5d24cebf")</f>
        <v>5d24cebf</v>
      </c>
      <c r="CD880" s="29" t="str">
        <f ca="1">IFERROR(__xludf.DUMMYFUNCTION("""COMPUTED_VALUE"""),"Adultos Mayores (60 años o más)")</f>
        <v>Adultos Mayores (60 años o más)</v>
      </c>
      <c r="CE880" s="30" t="str">
        <f ca="1">IFERROR(__xludf.DUMMYFUNCTION("""COMPUTED_VALUE"""),"Mujer")</f>
        <v>Mujer</v>
      </c>
      <c r="CF880" s="30" t="str">
        <f ca="1">IFERROR(__xludf.DUMMYFUNCTION("""COMPUTED_VALUE"""),"Ninguno (Población General)")</f>
        <v>Ninguno (Población General)</v>
      </c>
      <c r="CG880" s="30">
        <f ca="1">IFERROR(__xludf.DUMMYFUNCTION("""COMPUTED_VALUE"""),1)</f>
        <v>1</v>
      </c>
      <c r="CJ880" s="29"/>
      <c r="CM880" s="30" t="str">
        <f ca="1">IFERROR(__xludf.DUMMYFUNCTION("""COMPUTED_VALUE"""),"")</f>
        <v/>
      </c>
      <c r="CN880" s="32" t="e">
        <f ca="1"/>
        <v>#NAME?</v>
      </c>
      <c r="CO880" s="32" t="e">
        <f ca="1"/>
        <v>#NAME?</v>
      </c>
      <c r="CP880" s="32" t="e">
        <f ca="1"/>
        <v>#NAME?</v>
      </c>
      <c r="CQ880" s="32" t="e">
        <f ca="1"/>
        <v>#NAME?</v>
      </c>
      <c r="CR880" s="30" t="e">
        <f ca="1"/>
        <v>#NAME?</v>
      </c>
      <c r="CS880" s="30" t="str">
        <f ca="1">IFERROR(__xludf.DUMMYFUNCTION("""COMPUTED_VALUE"""),"")</f>
        <v/>
      </c>
    </row>
    <row r="881" spans="1:97" ht="13">
      <c r="A881" s="29"/>
      <c r="C881" s="32"/>
      <c r="I881" s="34"/>
      <c r="BP881" s="29"/>
      <c r="CC881" s="30" t="str">
        <f ca="1">IFERROR(__xludf.DUMMYFUNCTION("""COMPUTED_VALUE"""),"00e844d2")</f>
        <v>00e844d2</v>
      </c>
      <c r="CD881" s="29" t="str">
        <f ca="1">IFERROR(__xludf.DUMMYFUNCTION("""COMPUTED_VALUE"""),"Adolescentes (13 a 17 años)")</f>
        <v>Adolescentes (13 a 17 años)</v>
      </c>
      <c r="CE881" s="30" t="str">
        <f ca="1">IFERROR(__xludf.DUMMYFUNCTION("""COMPUTED_VALUE"""),"Mujer")</f>
        <v>Mujer</v>
      </c>
      <c r="CF881" s="30" t="str">
        <f ca="1">IFERROR(__xludf.DUMMYFUNCTION("""COMPUTED_VALUE"""),"Ninguno (Población General)")</f>
        <v>Ninguno (Población General)</v>
      </c>
      <c r="CG881" s="30">
        <f ca="1">IFERROR(__xludf.DUMMYFUNCTION("""COMPUTED_VALUE"""),5)</f>
        <v>5</v>
      </c>
      <c r="CJ881" s="29"/>
      <c r="CM881" s="30" t="str">
        <f ca="1">IFERROR(__xludf.DUMMYFUNCTION("""COMPUTED_VALUE"""),"")</f>
        <v/>
      </c>
      <c r="CN881" s="32" t="e">
        <f ca="1"/>
        <v>#NAME?</v>
      </c>
      <c r="CO881" s="32" t="e">
        <f ca="1"/>
        <v>#NAME?</v>
      </c>
      <c r="CP881" s="32" t="e">
        <f ca="1"/>
        <v>#NAME?</v>
      </c>
      <c r="CQ881" s="32" t="e">
        <f ca="1"/>
        <v>#NAME?</v>
      </c>
      <c r="CR881" s="30" t="e">
        <f ca="1"/>
        <v>#NAME?</v>
      </c>
      <c r="CS881" s="30" t="str">
        <f ca="1">IFERROR(__xludf.DUMMYFUNCTION("""COMPUTED_VALUE"""),"")</f>
        <v/>
      </c>
    </row>
    <row r="882" spans="1:97" ht="13">
      <c r="A882" s="29"/>
      <c r="C882" s="32"/>
      <c r="I882" s="34"/>
      <c r="BP882" s="29"/>
      <c r="CC882" s="30" t="str">
        <f ca="1">IFERROR(__xludf.DUMMYFUNCTION("""COMPUTED_VALUE"""),"b1a00a86")</f>
        <v>b1a00a86</v>
      </c>
      <c r="CD882" s="29" t="str">
        <f ca="1">IFERROR(__xludf.DUMMYFUNCTION("""COMPUTED_VALUE"""),"Jóvenes (18 a 29 años)")</f>
        <v>Jóvenes (18 a 29 años)</v>
      </c>
      <c r="CE882" s="30" t="str">
        <f ca="1">IFERROR(__xludf.DUMMYFUNCTION("""COMPUTED_VALUE"""),"Mujer")</f>
        <v>Mujer</v>
      </c>
      <c r="CF882" s="30" t="str">
        <f ca="1">IFERROR(__xludf.DUMMYFUNCTION("""COMPUTED_VALUE"""),"Ninguno (Población General)")</f>
        <v>Ninguno (Población General)</v>
      </c>
      <c r="CG882" s="30">
        <f ca="1">IFERROR(__xludf.DUMMYFUNCTION("""COMPUTED_VALUE"""),10)</f>
        <v>10</v>
      </c>
      <c r="CJ882" s="29"/>
      <c r="CM882" s="30" t="str">
        <f ca="1">IFERROR(__xludf.DUMMYFUNCTION("""COMPUTED_VALUE"""),"")</f>
        <v/>
      </c>
      <c r="CN882" s="32" t="e">
        <f ca="1"/>
        <v>#NAME?</v>
      </c>
      <c r="CO882" s="32" t="e">
        <f ca="1"/>
        <v>#NAME?</v>
      </c>
      <c r="CP882" s="32" t="e">
        <f ca="1"/>
        <v>#NAME?</v>
      </c>
      <c r="CQ882" s="32" t="e">
        <f ca="1"/>
        <v>#NAME?</v>
      </c>
      <c r="CR882" s="30" t="e">
        <f ca="1"/>
        <v>#NAME?</v>
      </c>
      <c r="CS882" s="30" t="str">
        <f ca="1">IFERROR(__xludf.DUMMYFUNCTION("""COMPUTED_VALUE"""),"")</f>
        <v/>
      </c>
    </row>
    <row r="883" spans="1:97" ht="13">
      <c r="A883" s="29"/>
      <c r="C883" s="32"/>
      <c r="I883" s="34"/>
      <c r="BP883" s="29"/>
      <c r="CC883" s="30" t="str">
        <f ca="1">IFERROR(__xludf.DUMMYFUNCTION("""COMPUTED_VALUE"""),"17e15e45")</f>
        <v>17e15e45</v>
      </c>
      <c r="CD883" s="29" t="str">
        <f ca="1">IFERROR(__xludf.DUMMYFUNCTION("""COMPUTED_VALUE"""),"Adultos (30 a 59 años)")</f>
        <v>Adultos (30 a 59 años)</v>
      </c>
      <c r="CE883" s="30" t="str">
        <f ca="1">IFERROR(__xludf.DUMMYFUNCTION("""COMPUTED_VALUE"""),"Mujer")</f>
        <v>Mujer</v>
      </c>
      <c r="CF883" s="30" t="str">
        <f ca="1">IFERROR(__xludf.DUMMYFUNCTION("""COMPUTED_VALUE"""),"Ninguno (Población General)")</f>
        <v>Ninguno (Población General)</v>
      </c>
      <c r="CG883" s="30">
        <f ca="1">IFERROR(__xludf.DUMMYFUNCTION("""COMPUTED_VALUE"""),6)</f>
        <v>6</v>
      </c>
      <c r="CJ883" s="29"/>
      <c r="CM883" s="30" t="str">
        <f ca="1">IFERROR(__xludf.DUMMYFUNCTION("""COMPUTED_VALUE"""),"")</f>
        <v/>
      </c>
      <c r="CN883" s="32" t="e">
        <f ca="1"/>
        <v>#NAME?</v>
      </c>
      <c r="CO883" s="32" t="e">
        <f ca="1"/>
        <v>#NAME?</v>
      </c>
      <c r="CP883" s="32" t="e">
        <f ca="1"/>
        <v>#NAME?</v>
      </c>
      <c r="CQ883" s="32" t="e">
        <f ca="1"/>
        <v>#NAME?</v>
      </c>
      <c r="CR883" s="30" t="e">
        <f ca="1"/>
        <v>#NAME?</v>
      </c>
      <c r="CS883" s="30" t="str">
        <f ca="1">IFERROR(__xludf.DUMMYFUNCTION("""COMPUTED_VALUE"""),"")</f>
        <v/>
      </c>
    </row>
    <row r="884" spans="1:97" ht="13">
      <c r="A884" s="29"/>
      <c r="C884" s="32"/>
      <c r="I884" s="34"/>
      <c r="BP884" s="29"/>
      <c r="CC884" s="30" t="str">
        <f ca="1">IFERROR(__xludf.DUMMYFUNCTION("""COMPUTED_VALUE"""),"d2454984")</f>
        <v>d2454984</v>
      </c>
      <c r="CD884" s="29" t="str">
        <f ca="1">IFERROR(__xludf.DUMMYFUNCTION("""COMPUTED_VALUE"""),"Adultos (30 a 59 años)")</f>
        <v>Adultos (30 a 59 años)</v>
      </c>
      <c r="CE884" s="30" t="str">
        <f ca="1">IFERROR(__xludf.DUMMYFUNCTION("""COMPUTED_VALUE"""),"Hombre")</f>
        <v>Hombre</v>
      </c>
      <c r="CF884" s="30" t="str">
        <f ca="1">IFERROR(__xludf.DUMMYFUNCTION("""COMPUTED_VALUE"""),"Ninguno (Población General)")</f>
        <v>Ninguno (Población General)</v>
      </c>
      <c r="CG884" s="30">
        <f ca="1">IFERROR(__xludf.DUMMYFUNCTION("""COMPUTED_VALUE"""),1)</f>
        <v>1</v>
      </c>
      <c r="CJ884" s="29"/>
      <c r="CM884" s="30" t="str">
        <f ca="1">IFERROR(__xludf.DUMMYFUNCTION("""COMPUTED_VALUE"""),"")</f>
        <v/>
      </c>
      <c r="CN884" s="32" t="e">
        <f ca="1"/>
        <v>#NAME?</v>
      </c>
      <c r="CO884" s="32" t="e">
        <f ca="1"/>
        <v>#NAME?</v>
      </c>
      <c r="CP884" s="32" t="e">
        <f ca="1"/>
        <v>#NAME?</v>
      </c>
      <c r="CQ884" s="32" t="e">
        <f ca="1"/>
        <v>#NAME?</v>
      </c>
      <c r="CR884" s="30" t="e">
        <f ca="1"/>
        <v>#NAME?</v>
      </c>
      <c r="CS884" s="30" t="str">
        <f ca="1">IFERROR(__xludf.DUMMYFUNCTION("""COMPUTED_VALUE"""),"")</f>
        <v/>
      </c>
    </row>
    <row r="885" spans="1:97" ht="13">
      <c r="A885" s="29"/>
      <c r="C885" s="32"/>
      <c r="I885" s="34"/>
      <c r="BP885" s="29"/>
      <c r="CC885" s="30" t="str">
        <f ca="1">IFERROR(__xludf.DUMMYFUNCTION("""COMPUTED_VALUE"""),"b07b95cf")</f>
        <v>b07b95cf</v>
      </c>
      <c r="CD885" s="29" t="str">
        <f ca="1">IFERROR(__xludf.DUMMYFUNCTION("""COMPUTED_VALUE"""),"Adolescentes (13 a 17 años)")</f>
        <v>Adolescentes (13 a 17 años)</v>
      </c>
      <c r="CE885" s="30" t="str">
        <f ca="1">IFERROR(__xludf.DUMMYFUNCTION("""COMPUTED_VALUE"""),"Hombre")</f>
        <v>Hombre</v>
      </c>
      <c r="CF885" s="30" t="str">
        <f ca="1">IFERROR(__xludf.DUMMYFUNCTION("""COMPUTED_VALUE"""),"Ninguno (Población General)")</f>
        <v>Ninguno (Población General)</v>
      </c>
      <c r="CG885" s="30">
        <f ca="1">IFERROR(__xludf.DUMMYFUNCTION("""COMPUTED_VALUE"""),1)</f>
        <v>1</v>
      </c>
      <c r="CJ885" s="29"/>
      <c r="CM885" s="30" t="str">
        <f ca="1">IFERROR(__xludf.DUMMYFUNCTION("""COMPUTED_VALUE"""),"")</f>
        <v/>
      </c>
      <c r="CN885" s="32" t="e">
        <f ca="1"/>
        <v>#NAME?</v>
      </c>
      <c r="CO885" s="32" t="e">
        <f ca="1"/>
        <v>#NAME?</v>
      </c>
      <c r="CP885" s="32" t="e">
        <f ca="1"/>
        <v>#NAME?</v>
      </c>
      <c r="CQ885" s="32" t="e">
        <f ca="1"/>
        <v>#NAME?</v>
      </c>
      <c r="CR885" s="30" t="e">
        <f ca="1"/>
        <v>#NAME?</v>
      </c>
      <c r="CS885" s="30" t="str">
        <f ca="1">IFERROR(__xludf.DUMMYFUNCTION("""COMPUTED_VALUE"""),"")</f>
        <v/>
      </c>
    </row>
    <row r="886" spans="1:97" ht="13">
      <c r="A886" s="29"/>
      <c r="C886" s="32"/>
      <c r="I886" s="34"/>
      <c r="BP886" s="29"/>
      <c r="CC886" s="30" t="str">
        <f ca="1">IFERROR(__xludf.DUMMYFUNCTION("""COMPUTED_VALUE"""),"9cab791b")</f>
        <v>9cab791b</v>
      </c>
      <c r="CD886" s="29" t="str">
        <f ca="1">IFERROR(__xludf.DUMMYFUNCTION("""COMPUTED_VALUE"""),"Jóvenes (18 a 29 años)")</f>
        <v>Jóvenes (18 a 29 años)</v>
      </c>
      <c r="CE886" s="30" t="str">
        <f ca="1">IFERROR(__xludf.DUMMYFUNCTION("""COMPUTED_VALUE"""),"Hombre")</f>
        <v>Hombre</v>
      </c>
      <c r="CF886" s="30" t="str">
        <f ca="1">IFERROR(__xludf.DUMMYFUNCTION("""COMPUTED_VALUE"""),"Ninguno (Población General)")</f>
        <v>Ninguno (Población General)</v>
      </c>
      <c r="CG886" s="30">
        <f ca="1">IFERROR(__xludf.DUMMYFUNCTION("""COMPUTED_VALUE"""),1)</f>
        <v>1</v>
      </c>
      <c r="CJ886" s="29"/>
      <c r="CM886" s="30" t="str">
        <f ca="1">IFERROR(__xludf.DUMMYFUNCTION("""COMPUTED_VALUE"""),"")</f>
        <v/>
      </c>
      <c r="CN886" s="32" t="e">
        <f ca="1"/>
        <v>#NAME?</v>
      </c>
      <c r="CO886" s="32" t="e">
        <f ca="1"/>
        <v>#NAME?</v>
      </c>
      <c r="CP886" s="32" t="e">
        <f ca="1"/>
        <v>#NAME?</v>
      </c>
      <c r="CQ886" s="32" t="e">
        <f ca="1"/>
        <v>#NAME?</v>
      </c>
      <c r="CR886" s="30" t="e">
        <f ca="1"/>
        <v>#NAME?</v>
      </c>
      <c r="CS886" s="30" t="str">
        <f ca="1">IFERROR(__xludf.DUMMYFUNCTION("""COMPUTED_VALUE"""),"")</f>
        <v/>
      </c>
    </row>
    <row r="887" spans="1:97" ht="13">
      <c r="A887" s="29"/>
      <c r="C887" s="32"/>
      <c r="I887" s="34"/>
      <c r="BP887" s="29"/>
      <c r="CC887" s="30" t="str">
        <f ca="1">IFERROR(__xludf.DUMMYFUNCTION("""COMPUTED_VALUE"""),"5274d4e8")</f>
        <v>5274d4e8</v>
      </c>
      <c r="CD887" s="29" t="str">
        <f ca="1">IFERROR(__xludf.DUMMYFUNCTION("""COMPUTED_VALUE"""),"Jóvenes (18 a 29 años)")</f>
        <v>Jóvenes (18 a 29 años)</v>
      </c>
      <c r="CE887" s="30" t="str">
        <f ca="1">IFERROR(__xludf.DUMMYFUNCTION("""COMPUTED_VALUE"""),"Mujer")</f>
        <v>Mujer</v>
      </c>
      <c r="CF887" s="30" t="str">
        <f ca="1">IFERROR(__xludf.DUMMYFUNCTION("""COMPUTED_VALUE"""),"Ninguno (Población General)")</f>
        <v>Ninguno (Población General)</v>
      </c>
      <c r="CG887" s="30">
        <f ca="1">IFERROR(__xludf.DUMMYFUNCTION("""COMPUTED_VALUE"""),1)</f>
        <v>1</v>
      </c>
      <c r="CJ887" s="29"/>
      <c r="CM887" s="30" t="str">
        <f ca="1">IFERROR(__xludf.DUMMYFUNCTION("""COMPUTED_VALUE"""),"")</f>
        <v/>
      </c>
      <c r="CN887" s="32" t="e">
        <f ca="1"/>
        <v>#NAME?</v>
      </c>
      <c r="CO887" s="32" t="e">
        <f ca="1"/>
        <v>#NAME?</v>
      </c>
      <c r="CP887" s="32" t="e">
        <f ca="1"/>
        <v>#NAME?</v>
      </c>
      <c r="CQ887" s="32" t="e">
        <f ca="1"/>
        <v>#NAME?</v>
      </c>
      <c r="CR887" s="30" t="e">
        <f ca="1"/>
        <v>#NAME?</v>
      </c>
      <c r="CS887" s="30" t="str">
        <f ca="1">IFERROR(__xludf.DUMMYFUNCTION("""COMPUTED_VALUE"""),"")</f>
        <v/>
      </c>
    </row>
    <row r="888" spans="1:97" ht="13">
      <c r="A888" s="29"/>
      <c r="C888" s="32"/>
      <c r="I888" s="34"/>
      <c r="BP888" s="29"/>
      <c r="CC888" s="30" t="str">
        <f ca="1">IFERROR(__xludf.DUMMYFUNCTION("""COMPUTED_VALUE"""),"e1a80d71")</f>
        <v>e1a80d71</v>
      </c>
      <c r="CD888" s="29" t="str">
        <f ca="1">IFERROR(__xludf.DUMMYFUNCTION("""COMPUTED_VALUE"""),"Adultos (30 a 59 años)")</f>
        <v>Adultos (30 a 59 años)</v>
      </c>
      <c r="CE888" s="30" t="str">
        <f ca="1">IFERROR(__xludf.DUMMYFUNCTION("""COMPUTED_VALUE"""),"Hombre")</f>
        <v>Hombre</v>
      </c>
      <c r="CF888" s="30" t="str">
        <f ca="1">IFERROR(__xludf.DUMMYFUNCTION("""COMPUTED_VALUE"""),"Ninguno (Población General)")</f>
        <v>Ninguno (Población General)</v>
      </c>
      <c r="CG888" s="30">
        <f ca="1">IFERROR(__xludf.DUMMYFUNCTION("""COMPUTED_VALUE"""),5)</f>
        <v>5</v>
      </c>
      <c r="CJ888" s="29"/>
      <c r="CM888" s="30" t="str">
        <f ca="1">IFERROR(__xludf.DUMMYFUNCTION("""COMPUTED_VALUE"""),"")</f>
        <v/>
      </c>
      <c r="CN888" s="32" t="e">
        <f ca="1"/>
        <v>#NAME?</v>
      </c>
      <c r="CO888" s="32" t="e">
        <f ca="1"/>
        <v>#NAME?</v>
      </c>
      <c r="CP888" s="32" t="e">
        <f ca="1"/>
        <v>#NAME?</v>
      </c>
      <c r="CQ888" s="32" t="e">
        <f ca="1"/>
        <v>#NAME?</v>
      </c>
      <c r="CR888" s="30" t="e">
        <f ca="1"/>
        <v>#NAME?</v>
      </c>
      <c r="CS888" s="30" t="str">
        <f ca="1">IFERROR(__xludf.DUMMYFUNCTION("""COMPUTED_VALUE"""),"")</f>
        <v/>
      </c>
    </row>
    <row r="889" spans="1:97" ht="13">
      <c r="A889" s="29"/>
      <c r="C889" s="32"/>
      <c r="I889" s="34"/>
      <c r="BP889" s="29"/>
      <c r="CC889" s="30" t="str">
        <f ca="1">IFERROR(__xludf.DUMMYFUNCTION("""COMPUTED_VALUE"""),"c0f4e366")</f>
        <v>c0f4e366</v>
      </c>
      <c r="CD889" s="29" t="str">
        <f ca="1">IFERROR(__xludf.DUMMYFUNCTION("""COMPUTED_VALUE"""),"Jóvenes (18 a 29 años)")</f>
        <v>Jóvenes (18 a 29 años)</v>
      </c>
      <c r="CE889" s="30" t="str">
        <f ca="1">IFERROR(__xludf.DUMMYFUNCTION("""COMPUTED_VALUE"""),"Mujer")</f>
        <v>Mujer</v>
      </c>
      <c r="CF889" s="30" t="str">
        <f ca="1">IFERROR(__xludf.DUMMYFUNCTION("""COMPUTED_VALUE"""),"Ninguno (Población General)")</f>
        <v>Ninguno (Población General)</v>
      </c>
      <c r="CG889" s="30">
        <f ca="1">IFERROR(__xludf.DUMMYFUNCTION("""COMPUTED_VALUE"""),1)</f>
        <v>1</v>
      </c>
      <c r="CJ889" s="29"/>
      <c r="CM889" s="30" t="str">
        <f ca="1">IFERROR(__xludf.DUMMYFUNCTION("""COMPUTED_VALUE"""),"")</f>
        <v/>
      </c>
      <c r="CN889" s="32" t="e">
        <f ca="1"/>
        <v>#NAME?</v>
      </c>
      <c r="CO889" s="32" t="e">
        <f ca="1"/>
        <v>#NAME?</v>
      </c>
      <c r="CP889" s="32" t="e">
        <f ca="1"/>
        <v>#NAME?</v>
      </c>
      <c r="CQ889" s="32" t="e">
        <f ca="1"/>
        <v>#NAME?</v>
      </c>
      <c r="CR889" s="30" t="e">
        <f ca="1"/>
        <v>#NAME?</v>
      </c>
      <c r="CS889" s="30" t="str">
        <f ca="1">IFERROR(__xludf.DUMMYFUNCTION("""COMPUTED_VALUE"""),"")</f>
        <v/>
      </c>
    </row>
    <row r="890" spans="1:97" ht="13">
      <c r="A890" s="29"/>
      <c r="C890" s="32"/>
      <c r="I890" s="34"/>
      <c r="BP890" s="29"/>
      <c r="CC890" s="30" t="str">
        <f ca="1">IFERROR(__xludf.DUMMYFUNCTION("""COMPUTED_VALUE"""),"a38b9631")</f>
        <v>a38b9631</v>
      </c>
      <c r="CD890" s="29" t="str">
        <f ca="1">IFERROR(__xludf.DUMMYFUNCTION("""COMPUTED_VALUE"""),"Adultos (30 a 59 años)")</f>
        <v>Adultos (30 a 59 años)</v>
      </c>
      <c r="CE890" s="30" t="str">
        <f ca="1">IFERROR(__xludf.DUMMYFUNCTION("""COMPUTED_VALUE"""),"Mujer")</f>
        <v>Mujer</v>
      </c>
      <c r="CF890" s="30" t="str">
        <f ca="1">IFERROR(__xludf.DUMMYFUNCTION("""COMPUTED_VALUE"""),"Ninguno (Población General)")</f>
        <v>Ninguno (Población General)</v>
      </c>
      <c r="CG890" s="30">
        <f ca="1">IFERROR(__xludf.DUMMYFUNCTION("""COMPUTED_VALUE"""),3)</f>
        <v>3</v>
      </c>
      <c r="CJ890" s="29"/>
      <c r="CM890" s="30" t="str">
        <f ca="1">IFERROR(__xludf.DUMMYFUNCTION("""COMPUTED_VALUE"""),"")</f>
        <v/>
      </c>
      <c r="CN890" s="32" t="e">
        <f ca="1"/>
        <v>#NAME?</v>
      </c>
      <c r="CO890" s="32" t="e">
        <f ca="1"/>
        <v>#NAME?</v>
      </c>
      <c r="CP890" s="32" t="e">
        <f ca="1"/>
        <v>#NAME?</v>
      </c>
      <c r="CQ890" s="32" t="e">
        <f ca="1"/>
        <v>#NAME?</v>
      </c>
      <c r="CR890" s="30" t="e">
        <f ca="1"/>
        <v>#NAME?</v>
      </c>
      <c r="CS890" s="30" t="str">
        <f ca="1">IFERROR(__xludf.DUMMYFUNCTION("""COMPUTED_VALUE"""),"")</f>
        <v/>
      </c>
    </row>
    <row r="891" spans="1:97" ht="13">
      <c r="A891" s="29"/>
      <c r="C891" s="32"/>
      <c r="I891" s="34"/>
      <c r="BP891" s="29"/>
      <c r="CC891" s="30" t="str">
        <f ca="1">IFERROR(__xludf.DUMMYFUNCTION("""COMPUTED_VALUE"""),"bbd2096c")</f>
        <v>bbd2096c</v>
      </c>
      <c r="CD891" s="29" t="str">
        <f ca="1">IFERROR(__xludf.DUMMYFUNCTION("""COMPUTED_VALUE"""),"Adultos (30 a 59 años)")</f>
        <v>Adultos (30 a 59 años)</v>
      </c>
      <c r="CE891" s="30" t="str">
        <f ca="1">IFERROR(__xludf.DUMMYFUNCTION("""COMPUTED_VALUE"""),"Hombre")</f>
        <v>Hombre</v>
      </c>
      <c r="CF891" s="30" t="str">
        <f ca="1">IFERROR(__xludf.DUMMYFUNCTION("""COMPUTED_VALUE"""),"Ninguno (Población General)")</f>
        <v>Ninguno (Población General)</v>
      </c>
      <c r="CG891" s="30">
        <f ca="1">IFERROR(__xludf.DUMMYFUNCTION("""COMPUTED_VALUE"""),2)</f>
        <v>2</v>
      </c>
      <c r="CJ891" s="29"/>
      <c r="CM891" s="30" t="str">
        <f ca="1">IFERROR(__xludf.DUMMYFUNCTION("""COMPUTED_VALUE"""),"")</f>
        <v/>
      </c>
      <c r="CN891" s="32" t="e">
        <f ca="1"/>
        <v>#NAME?</v>
      </c>
      <c r="CO891" s="32" t="e">
        <f ca="1"/>
        <v>#NAME?</v>
      </c>
      <c r="CP891" s="32" t="e">
        <f ca="1"/>
        <v>#NAME?</v>
      </c>
      <c r="CQ891" s="32" t="e">
        <f ca="1"/>
        <v>#NAME?</v>
      </c>
      <c r="CR891" s="30" t="e">
        <f ca="1"/>
        <v>#NAME?</v>
      </c>
      <c r="CS891" s="30" t="str">
        <f ca="1">IFERROR(__xludf.DUMMYFUNCTION("""COMPUTED_VALUE"""),"")</f>
        <v/>
      </c>
    </row>
    <row r="892" spans="1:97" ht="13">
      <c r="A892" s="29"/>
      <c r="C892" s="32"/>
      <c r="I892" s="34"/>
      <c r="BP892" s="29"/>
      <c r="CC892" s="30" t="str">
        <f ca="1">IFERROR(__xludf.DUMMYFUNCTION("""COMPUTED_VALUE"""),"200f80fd")</f>
        <v>200f80fd</v>
      </c>
      <c r="CD892" s="29" t="str">
        <f ca="1">IFERROR(__xludf.DUMMYFUNCTION("""COMPUTED_VALUE"""),"Adultos Mayores (60 años o más)")</f>
        <v>Adultos Mayores (60 años o más)</v>
      </c>
      <c r="CE892" s="30" t="str">
        <f ca="1">IFERROR(__xludf.DUMMYFUNCTION("""COMPUTED_VALUE"""),"Hombre")</f>
        <v>Hombre</v>
      </c>
      <c r="CF892" s="30" t="str">
        <f ca="1">IFERROR(__xludf.DUMMYFUNCTION("""COMPUTED_VALUE"""),"Ninguno (Población General)")</f>
        <v>Ninguno (Población General)</v>
      </c>
      <c r="CG892" s="30">
        <f ca="1">IFERROR(__xludf.DUMMYFUNCTION("""COMPUTED_VALUE"""),1)</f>
        <v>1</v>
      </c>
      <c r="CJ892" s="29"/>
      <c r="CM892" s="30" t="str">
        <f ca="1">IFERROR(__xludf.DUMMYFUNCTION("""COMPUTED_VALUE"""),"")</f>
        <v/>
      </c>
      <c r="CN892" s="32" t="e">
        <f ca="1"/>
        <v>#NAME?</v>
      </c>
      <c r="CO892" s="32" t="e">
        <f ca="1"/>
        <v>#NAME?</v>
      </c>
      <c r="CP892" s="32" t="e">
        <f ca="1"/>
        <v>#NAME?</v>
      </c>
      <c r="CQ892" s="32" t="e">
        <f ca="1"/>
        <v>#NAME?</v>
      </c>
      <c r="CR892" s="30" t="e">
        <f ca="1"/>
        <v>#NAME?</v>
      </c>
      <c r="CS892" s="30" t="str">
        <f ca="1">IFERROR(__xludf.DUMMYFUNCTION("""COMPUTED_VALUE"""),"")</f>
        <v/>
      </c>
    </row>
    <row r="893" spans="1:97" ht="13">
      <c r="A893" s="29"/>
      <c r="C893" s="32"/>
      <c r="I893" s="34"/>
      <c r="BP893" s="29"/>
      <c r="CC893" s="30" t="str">
        <f ca="1">IFERROR(__xludf.DUMMYFUNCTION("""COMPUTED_VALUE"""),"7d1ae3ff")</f>
        <v>7d1ae3ff</v>
      </c>
      <c r="CD893" s="29" t="str">
        <f ca="1">IFERROR(__xludf.DUMMYFUNCTION("""COMPUTED_VALUE"""),"Adultos Mayores (60 años o más)")</f>
        <v>Adultos Mayores (60 años o más)</v>
      </c>
      <c r="CE893" s="30" t="str">
        <f ca="1">IFERROR(__xludf.DUMMYFUNCTION("""COMPUTED_VALUE"""),"Mujer")</f>
        <v>Mujer</v>
      </c>
      <c r="CF893" s="30" t="str">
        <f ca="1">IFERROR(__xludf.DUMMYFUNCTION("""COMPUTED_VALUE"""),"Ninguno (Población General)")</f>
        <v>Ninguno (Población General)</v>
      </c>
      <c r="CG893" s="30">
        <f ca="1">IFERROR(__xludf.DUMMYFUNCTION("""COMPUTED_VALUE"""),1)</f>
        <v>1</v>
      </c>
      <c r="CJ893" s="29"/>
      <c r="CM893" s="30" t="str">
        <f ca="1">IFERROR(__xludf.DUMMYFUNCTION("""COMPUTED_VALUE"""),"")</f>
        <v/>
      </c>
      <c r="CN893" s="32" t="e">
        <f ca="1"/>
        <v>#NAME?</v>
      </c>
      <c r="CO893" s="32" t="e">
        <f ca="1"/>
        <v>#NAME?</v>
      </c>
      <c r="CP893" s="32" t="e">
        <f ca="1"/>
        <v>#NAME?</v>
      </c>
      <c r="CQ893" s="32" t="e">
        <f ca="1"/>
        <v>#NAME?</v>
      </c>
      <c r="CR893" s="30" t="e">
        <f ca="1"/>
        <v>#NAME?</v>
      </c>
      <c r="CS893" s="30" t="str">
        <f ca="1">IFERROR(__xludf.DUMMYFUNCTION("""COMPUTED_VALUE"""),"")</f>
        <v/>
      </c>
    </row>
    <row r="894" spans="1:97" ht="13">
      <c r="A894" s="29"/>
      <c r="C894" s="32"/>
      <c r="I894" s="34"/>
      <c r="BP894" s="29"/>
      <c r="CC894" s="30" t="str">
        <f ca="1">IFERROR(__xludf.DUMMYFUNCTION("""COMPUTED_VALUE"""),"7417d524")</f>
        <v>7417d524</v>
      </c>
      <c r="CD894" s="29" t="str">
        <f ca="1">IFERROR(__xludf.DUMMYFUNCTION("""COMPUTED_VALUE"""),"Jóvenes (18 a 29 años)")</f>
        <v>Jóvenes (18 a 29 años)</v>
      </c>
      <c r="CE894" s="30" t="str">
        <f ca="1">IFERROR(__xludf.DUMMYFUNCTION("""COMPUTED_VALUE"""),"Mujer")</f>
        <v>Mujer</v>
      </c>
      <c r="CF894" s="30" t="str">
        <f ca="1">IFERROR(__xludf.DUMMYFUNCTION("""COMPUTED_VALUE"""),"Ninguno (Población General)")</f>
        <v>Ninguno (Población General)</v>
      </c>
      <c r="CG894" s="30">
        <f ca="1">IFERROR(__xludf.DUMMYFUNCTION("""COMPUTED_VALUE"""),10)</f>
        <v>10</v>
      </c>
      <c r="CJ894" s="29"/>
      <c r="CM894" s="30" t="str">
        <f ca="1">IFERROR(__xludf.DUMMYFUNCTION("""COMPUTED_VALUE"""),"")</f>
        <v/>
      </c>
      <c r="CN894" s="32" t="e">
        <f ca="1"/>
        <v>#NAME?</v>
      </c>
      <c r="CO894" s="32" t="e">
        <f ca="1"/>
        <v>#NAME?</v>
      </c>
      <c r="CP894" s="32" t="e">
        <f ca="1"/>
        <v>#NAME?</v>
      </c>
      <c r="CQ894" s="32" t="e">
        <f ca="1"/>
        <v>#NAME?</v>
      </c>
      <c r="CR894" s="30" t="e">
        <f ca="1"/>
        <v>#NAME?</v>
      </c>
      <c r="CS894" s="30" t="str">
        <f ca="1">IFERROR(__xludf.DUMMYFUNCTION("""COMPUTED_VALUE"""),"")</f>
        <v/>
      </c>
    </row>
    <row r="895" spans="1:97" ht="13">
      <c r="A895" s="29"/>
      <c r="C895" s="32"/>
      <c r="I895" s="34"/>
      <c r="BP895" s="29"/>
      <c r="CC895" s="30" t="str">
        <f ca="1">IFERROR(__xludf.DUMMYFUNCTION("""COMPUTED_VALUE"""),"80843bb9")</f>
        <v>80843bb9</v>
      </c>
      <c r="CD895" s="29" t="str">
        <f ca="1">IFERROR(__xludf.DUMMYFUNCTION("""COMPUTED_VALUE"""),"Jóvenes (18 a 29 años)")</f>
        <v>Jóvenes (18 a 29 años)</v>
      </c>
      <c r="CE895" s="30" t="str">
        <f ca="1">IFERROR(__xludf.DUMMYFUNCTION("""COMPUTED_VALUE"""),"Hombre")</f>
        <v>Hombre</v>
      </c>
      <c r="CF895" s="30" t="str">
        <f ca="1">IFERROR(__xludf.DUMMYFUNCTION("""COMPUTED_VALUE"""),"Ninguno (Población General)")</f>
        <v>Ninguno (Población General)</v>
      </c>
      <c r="CG895" s="30">
        <f ca="1">IFERROR(__xludf.DUMMYFUNCTION("""COMPUTED_VALUE"""),3)</f>
        <v>3</v>
      </c>
      <c r="CJ895" s="29"/>
      <c r="CM895" s="30" t="str">
        <f ca="1">IFERROR(__xludf.DUMMYFUNCTION("""COMPUTED_VALUE"""),"")</f>
        <v/>
      </c>
      <c r="CN895" s="32" t="e">
        <f ca="1"/>
        <v>#NAME?</v>
      </c>
      <c r="CO895" s="32" t="e">
        <f ca="1"/>
        <v>#NAME?</v>
      </c>
      <c r="CP895" s="32" t="e">
        <f ca="1"/>
        <v>#NAME?</v>
      </c>
      <c r="CQ895" s="32" t="e">
        <f ca="1"/>
        <v>#NAME?</v>
      </c>
      <c r="CR895" s="30" t="e">
        <f ca="1"/>
        <v>#NAME?</v>
      </c>
      <c r="CS895" s="30" t="str">
        <f ca="1">IFERROR(__xludf.DUMMYFUNCTION("""COMPUTED_VALUE"""),"")</f>
        <v/>
      </c>
    </row>
    <row r="896" spans="1:97" ht="13">
      <c r="A896" s="29"/>
      <c r="C896" s="32"/>
      <c r="I896" s="34"/>
      <c r="BP896" s="29"/>
      <c r="CC896" s="30" t="str">
        <f ca="1">IFERROR(__xludf.DUMMYFUNCTION("""COMPUTED_VALUE"""),"d8fd2256")</f>
        <v>d8fd2256</v>
      </c>
      <c r="CD896" s="29" t="str">
        <f ca="1">IFERROR(__xludf.DUMMYFUNCTION("""COMPUTED_VALUE"""),"Adultos (30 a 59 años)")</f>
        <v>Adultos (30 a 59 años)</v>
      </c>
      <c r="CE896" s="30" t="str">
        <f ca="1">IFERROR(__xludf.DUMMYFUNCTION("""COMPUTED_VALUE"""),"Mujer")</f>
        <v>Mujer</v>
      </c>
      <c r="CF896" s="30" t="str">
        <f ca="1">IFERROR(__xludf.DUMMYFUNCTION("""COMPUTED_VALUE"""),"Ninguno (Población General)")</f>
        <v>Ninguno (Población General)</v>
      </c>
      <c r="CG896" s="30">
        <f ca="1">IFERROR(__xludf.DUMMYFUNCTION("""COMPUTED_VALUE"""),7)</f>
        <v>7</v>
      </c>
      <c r="CJ896" s="29"/>
      <c r="CM896" s="30" t="str">
        <f ca="1">IFERROR(__xludf.DUMMYFUNCTION("""COMPUTED_VALUE"""),"")</f>
        <v/>
      </c>
      <c r="CN896" s="32" t="e">
        <f ca="1"/>
        <v>#NAME?</v>
      </c>
      <c r="CO896" s="32" t="e">
        <f ca="1"/>
        <v>#NAME?</v>
      </c>
      <c r="CP896" s="32" t="e">
        <f ca="1"/>
        <v>#NAME?</v>
      </c>
      <c r="CQ896" s="32" t="e">
        <f ca="1"/>
        <v>#NAME?</v>
      </c>
      <c r="CR896" s="30" t="e">
        <f ca="1"/>
        <v>#NAME?</v>
      </c>
      <c r="CS896" s="30" t="str">
        <f ca="1">IFERROR(__xludf.DUMMYFUNCTION("""COMPUTED_VALUE"""),"")</f>
        <v/>
      </c>
    </row>
    <row r="897" spans="1:97" ht="13">
      <c r="A897" s="29"/>
      <c r="C897" s="32"/>
      <c r="I897" s="34"/>
      <c r="BP897" s="29"/>
      <c r="CC897" s="30" t="str">
        <f ca="1">IFERROR(__xludf.DUMMYFUNCTION("""COMPUTED_VALUE"""),"efaf510e")</f>
        <v>efaf510e</v>
      </c>
      <c r="CD897" s="29" t="str">
        <f ca="1">IFERROR(__xludf.DUMMYFUNCTION("""COMPUTED_VALUE"""),"Adultos (30 a 59 años)")</f>
        <v>Adultos (30 a 59 años)</v>
      </c>
      <c r="CE897" s="30" t="str">
        <f ca="1">IFERROR(__xludf.DUMMYFUNCTION("""COMPUTED_VALUE"""),"Hombre")</f>
        <v>Hombre</v>
      </c>
      <c r="CF897" s="30" t="str">
        <f ca="1">IFERROR(__xludf.DUMMYFUNCTION("""COMPUTED_VALUE"""),"Ninguno (Población General)")</f>
        <v>Ninguno (Población General)</v>
      </c>
      <c r="CG897" s="30">
        <f ca="1">IFERROR(__xludf.DUMMYFUNCTION("""COMPUTED_VALUE"""),7)</f>
        <v>7</v>
      </c>
      <c r="CJ897" s="29"/>
      <c r="CM897" s="30" t="str">
        <f ca="1">IFERROR(__xludf.DUMMYFUNCTION("""COMPUTED_VALUE"""),"")</f>
        <v/>
      </c>
      <c r="CN897" s="32" t="e">
        <f ca="1"/>
        <v>#NAME?</v>
      </c>
      <c r="CO897" s="32" t="e">
        <f ca="1"/>
        <v>#NAME?</v>
      </c>
      <c r="CP897" s="32" t="e">
        <f ca="1"/>
        <v>#NAME?</v>
      </c>
      <c r="CQ897" s="32" t="e">
        <f ca="1"/>
        <v>#NAME?</v>
      </c>
      <c r="CR897" s="30" t="e">
        <f ca="1"/>
        <v>#NAME?</v>
      </c>
      <c r="CS897" s="30" t="str">
        <f ca="1">IFERROR(__xludf.DUMMYFUNCTION("""COMPUTED_VALUE"""),"")</f>
        <v/>
      </c>
    </row>
    <row r="898" spans="1:97" ht="13">
      <c r="A898" s="29"/>
      <c r="C898" s="32"/>
      <c r="I898" s="34"/>
      <c r="BP898" s="29"/>
      <c r="CC898" s="30" t="str">
        <f ca="1">IFERROR(__xludf.DUMMYFUNCTION("""COMPUTED_VALUE"""),"345fb6cd")</f>
        <v>345fb6cd</v>
      </c>
      <c r="CD898" s="29" t="str">
        <f ca="1">IFERROR(__xludf.DUMMYFUNCTION("""COMPUTED_VALUE"""),"Adolescentes (13 a 17 años)")</f>
        <v>Adolescentes (13 a 17 años)</v>
      </c>
      <c r="CE898" s="30" t="str">
        <f ca="1">IFERROR(__xludf.DUMMYFUNCTION("""COMPUTED_VALUE"""),"Mujer")</f>
        <v>Mujer</v>
      </c>
      <c r="CF898" s="30" t="str">
        <f ca="1">IFERROR(__xludf.DUMMYFUNCTION("""COMPUTED_VALUE"""),"NNA (Niñas, Niños y Adolescentes)")</f>
        <v>NNA (Niñas, Niños y Adolescentes)</v>
      </c>
      <c r="CG898" s="30">
        <f ca="1">IFERROR(__xludf.DUMMYFUNCTION("""COMPUTED_VALUE"""),10)</f>
        <v>10</v>
      </c>
      <c r="CJ898" s="29"/>
      <c r="CM898" s="30" t="str">
        <f ca="1">IFERROR(__xludf.DUMMYFUNCTION("""COMPUTED_VALUE"""),"")</f>
        <v/>
      </c>
      <c r="CN898" s="32" t="e">
        <f ca="1"/>
        <v>#NAME?</v>
      </c>
      <c r="CO898" s="32" t="e">
        <f ca="1"/>
        <v>#NAME?</v>
      </c>
      <c r="CP898" s="32" t="e">
        <f ca="1"/>
        <v>#NAME?</v>
      </c>
      <c r="CQ898" s="32" t="e">
        <f ca="1"/>
        <v>#NAME?</v>
      </c>
      <c r="CR898" s="30" t="e">
        <f ca="1"/>
        <v>#NAME?</v>
      </c>
      <c r="CS898" s="30" t="str">
        <f ca="1">IFERROR(__xludf.DUMMYFUNCTION("""COMPUTED_VALUE"""),"")</f>
        <v/>
      </c>
    </row>
    <row r="899" spans="1:97" ht="13">
      <c r="A899" s="29"/>
      <c r="C899" s="32"/>
      <c r="I899" s="34"/>
      <c r="BP899" s="29"/>
      <c r="CC899" s="30" t="str">
        <f ca="1">IFERROR(__xludf.DUMMYFUNCTION("""COMPUTED_VALUE"""),"73f39275")</f>
        <v>73f39275</v>
      </c>
      <c r="CD899" s="29" t="str">
        <f ca="1">IFERROR(__xludf.DUMMYFUNCTION("""COMPUTED_VALUE"""),"Adolescentes (13 a 17 años)")</f>
        <v>Adolescentes (13 a 17 años)</v>
      </c>
      <c r="CE899" s="30" t="str">
        <f ca="1">IFERROR(__xludf.DUMMYFUNCTION("""COMPUTED_VALUE"""),"Hombre")</f>
        <v>Hombre</v>
      </c>
      <c r="CF899" s="30" t="str">
        <f ca="1">IFERROR(__xludf.DUMMYFUNCTION("""COMPUTED_VALUE"""),"NNA (Niñas, Niños y Adolescentes)")</f>
        <v>NNA (Niñas, Niños y Adolescentes)</v>
      </c>
      <c r="CG899" s="30">
        <f ca="1">IFERROR(__xludf.DUMMYFUNCTION("""COMPUTED_VALUE"""),10)</f>
        <v>10</v>
      </c>
      <c r="CJ899" s="29"/>
      <c r="CM899" s="30" t="str">
        <f ca="1">IFERROR(__xludf.DUMMYFUNCTION("""COMPUTED_VALUE"""),"")</f>
        <v/>
      </c>
      <c r="CN899" s="32" t="e">
        <f ca="1"/>
        <v>#NAME?</v>
      </c>
      <c r="CO899" s="32" t="e">
        <f ca="1"/>
        <v>#NAME?</v>
      </c>
      <c r="CP899" s="32" t="e">
        <f ca="1"/>
        <v>#NAME?</v>
      </c>
      <c r="CQ899" s="32" t="e">
        <f ca="1"/>
        <v>#NAME?</v>
      </c>
      <c r="CR899" s="30" t="e">
        <f ca="1"/>
        <v>#NAME?</v>
      </c>
      <c r="CS899" s="30" t="str">
        <f ca="1">IFERROR(__xludf.DUMMYFUNCTION("""COMPUTED_VALUE"""),"")</f>
        <v/>
      </c>
    </row>
    <row r="900" spans="1:97" ht="13">
      <c r="A900" s="29"/>
      <c r="C900" s="32"/>
      <c r="I900" s="34"/>
      <c r="BP900" s="29"/>
      <c r="CC900" s="30" t="str">
        <f ca="1">IFERROR(__xludf.DUMMYFUNCTION("""COMPUTED_VALUE"""),"fa19cc4d")</f>
        <v>fa19cc4d</v>
      </c>
      <c r="CD900" s="29" t="str">
        <f ca="1">IFERROR(__xludf.DUMMYFUNCTION("""COMPUTED_VALUE"""),"Jóvenes (18 a 29 años)")</f>
        <v>Jóvenes (18 a 29 años)</v>
      </c>
      <c r="CE900" s="30" t="str">
        <f ca="1">IFERROR(__xludf.DUMMYFUNCTION("""COMPUTED_VALUE"""),"Mujer")</f>
        <v>Mujer</v>
      </c>
      <c r="CF900" s="30" t="str">
        <f ca="1">IFERROR(__xludf.DUMMYFUNCTION("""COMPUTED_VALUE"""),"Ninguno (Población General)")</f>
        <v>Ninguno (Población General)</v>
      </c>
      <c r="CG900" s="30">
        <f ca="1">IFERROR(__xludf.DUMMYFUNCTION("""COMPUTED_VALUE"""),15)</f>
        <v>15</v>
      </c>
      <c r="CJ900" s="29"/>
      <c r="CM900" s="30" t="str">
        <f ca="1">IFERROR(__xludf.DUMMYFUNCTION("""COMPUTED_VALUE"""),"")</f>
        <v/>
      </c>
      <c r="CN900" s="32" t="e">
        <f ca="1"/>
        <v>#NAME?</v>
      </c>
      <c r="CO900" s="32" t="e">
        <f ca="1"/>
        <v>#NAME?</v>
      </c>
      <c r="CP900" s="32" t="e">
        <f ca="1"/>
        <v>#NAME?</v>
      </c>
      <c r="CQ900" s="32" t="e">
        <f ca="1"/>
        <v>#NAME?</v>
      </c>
      <c r="CR900" s="30" t="e">
        <f ca="1"/>
        <v>#NAME?</v>
      </c>
      <c r="CS900" s="30" t="str">
        <f ca="1">IFERROR(__xludf.DUMMYFUNCTION("""COMPUTED_VALUE"""),"")</f>
        <v/>
      </c>
    </row>
    <row r="901" spans="1:97" ht="13">
      <c r="A901" s="29"/>
      <c r="C901" s="32"/>
      <c r="I901" s="34"/>
      <c r="BP901" s="29"/>
      <c r="CC901" s="30" t="str">
        <f ca="1">IFERROR(__xludf.DUMMYFUNCTION("""COMPUTED_VALUE"""),"77d62abe")</f>
        <v>77d62abe</v>
      </c>
      <c r="CD901" s="29" t="str">
        <f ca="1">IFERROR(__xludf.DUMMYFUNCTION("""COMPUTED_VALUE"""),"Jóvenes (18 a 29 años)")</f>
        <v>Jóvenes (18 a 29 años)</v>
      </c>
      <c r="CE901" s="30" t="str">
        <f ca="1">IFERROR(__xludf.DUMMYFUNCTION("""COMPUTED_VALUE"""),"Hombre")</f>
        <v>Hombre</v>
      </c>
      <c r="CF901" s="30" t="str">
        <f ca="1">IFERROR(__xludf.DUMMYFUNCTION("""COMPUTED_VALUE"""),"Ninguno (Población General)")</f>
        <v>Ninguno (Población General)</v>
      </c>
      <c r="CG901" s="30">
        <f ca="1">IFERROR(__xludf.DUMMYFUNCTION("""COMPUTED_VALUE"""),15)</f>
        <v>15</v>
      </c>
      <c r="CJ901" s="29"/>
      <c r="CM901" s="30" t="str">
        <f ca="1">IFERROR(__xludf.DUMMYFUNCTION("""COMPUTED_VALUE"""),"")</f>
        <v/>
      </c>
      <c r="CN901" s="32" t="e">
        <f ca="1"/>
        <v>#NAME?</v>
      </c>
      <c r="CO901" s="32" t="e">
        <f ca="1"/>
        <v>#NAME?</v>
      </c>
      <c r="CP901" s="32" t="e">
        <f ca="1"/>
        <v>#NAME?</v>
      </c>
      <c r="CQ901" s="32" t="e">
        <f ca="1"/>
        <v>#NAME?</v>
      </c>
      <c r="CR901" s="30" t="e">
        <f ca="1"/>
        <v>#NAME?</v>
      </c>
      <c r="CS901" s="30" t="str">
        <f ca="1">IFERROR(__xludf.DUMMYFUNCTION("""COMPUTED_VALUE"""),"")</f>
        <v/>
      </c>
    </row>
    <row r="902" spans="1:97" ht="13">
      <c r="A902" s="29"/>
      <c r="C902" s="32"/>
      <c r="I902" s="34"/>
      <c r="BP902" s="29"/>
      <c r="CC902" s="30" t="str">
        <f ca="1">IFERROR(__xludf.DUMMYFUNCTION("""COMPUTED_VALUE"""),"a968afb4")</f>
        <v>a968afb4</v>
      </c>
      <c r="CD902" s="29" t="str">
        <f ca="1">IFERROR(__xludf.DUMMYFUNCTION("""COMPUTED_VALUE"""),"Adultos (30 a 59 años)")</f>
        <v>Adultos (30 a 59 años)</v>
      </c>
      <c r="CE902" s="30" t="str">
        <f ca="1">IFERROR(__xludf.DUMMYFUNCTION("""COMPUTED_VALUE"""),"Mujer")</f>
        <v>Mujer</v>
      </c>
      <c r="CF902" s="30" t="str">
        <f ca="1">IFERROR(__xludf.DUMMYFUNCTION("""COMPUTED_VALUE"""),"Ninguno (Población General)")</f>
        <v>Ninguno (Población General)</v>
      </c>
      <c r="CG902" s="30">
        <f ca="1">IFERROR(__xludf.DUMMYFUNCTION("""COMPUTED_VALUE"""),10)</f>
        <v>10</v>
      </c>
      <c r="CJ902" s="29"/>
      <c r="CM902" s="30" t="str">
        <f ca="1">IFERROR(__xludf.DUMMYFUNCTION("""COMPUTED_VALUE"""),"")</f>
        <v/>
      </c>
      <c r="CN902" s="32" t="e">
        <f ca="1"/>
        <v>#NAME?</v>
      </c>
      <c r="CO902" s="32" t="e">
        <f ca="1"/>
        <v>#NAME?</v>
      </c>
      <c r="CP902" s="32" t="e">
        <f ca="1"/>
        <v>#NAME?</v>
      </c>
      <c r="CQ902" s="32" t="e">
        <f ca="1"/>
        <v>#NAME?</v>
      </c>
      <c r="CR902" s="30" t="e">
        <f ca="1"/>
        <v>#NAME?</v>
      </c>
      <c r="CS902" s="30" t="str">
        <f ca="1">IFERROR(__xludf.DUMMYFUNCTION("""COMPUTED_VALUE"""),"")</f>
        <v/>
      </c>
    </row>
    <row r="903" spans="1:97" ht="13">
      <c r="A903" s="29"/>
      <c r="C903" s="32"/>
      <c r="I903" s="34"/>
      <c r="BP903" s="29"/>
      <c r="CC903" s="30" t="str">
        <f ca="1">IFERROR(__xludf.DUMMYFUNCTION("""COMPUTED_VALUE"""),"59ad74fd")</f>
        <v>59ad74fd</v>
      </c>
      <c r="CD903" s="29" t="str">
        <f ca="1">IFERROR(__xludf.DUMMYFUNCTION("""COMPUTED_VALUE"""),"Adultos (30 a 59 años)")</f>
        <v>Adultos (30 a 59 años)</v>
      </c>
      <c r="CE903" s="30" t="str">
        <f ca="1">IFERROR(__xludf.DUMMYFUNCTION("""COMPUTED_VALUE"""),"Hombre")</f>
        <v>Hombre</v>
      </c>
      <c r="CF903" s="30" t="str">
        <f ca="1">IFERROR(__xludf.DUMMYFUNCTION("""COMPUTED_VALUE"""),"Ninguno (Población General)")</f>
        <v>Ninguno (Población General)</v>
      </c>
      <c r="CG903" s="30">
        <f ca="1">IFERROR(__xludf.DUMMYFUNCTION("""COMPUTED_VALUE"""),10)</f>
        <v>10</v>
      </c>
      <c r="CJ903" s="29"/>
      <c r="CM903" s="30" t="str">
        <f ca="1">IFERROR(__xludf.DUMMYFUNCTION("""COMPUTED_VALUE"""),"")</f>
        <v/>
      </c>
      <c r="CN903" s="32" t="e">
        <f ca="1"/>
        <v>#NAME?</v>
      </c>
      <c r="CO903" s="32" t="e">
        <f ca="1"/>
        <v>#NAME?</v>
      </c>
      <c r="CP903" s="32" t="e">
        <f ca="1"/>
        <v>#NAME?</v>
      </c>
      <c r="CQ903" s="32" t="e">
        <f ca="1"/>
        <v>#NAME?</v>
      </c>
      <c r="CR903" s="30" t="e">
        <f ca="1"/>
        <v>#NAME?</v>
      </c>
      <c r="CS903" s="30" t="str">
        <f ca="1">IFERROR(__xludf.DUMMYFUNCTION("""COMPUTED_VALUE"""),"")</f>
        <v/>
      </c>
    </row>
    <row r="904" spans="1:97" ht="13">
      <c r="A904" s="29"/>
      <c r="C904" s="32"/>
      <c r="I904" s="34"/>
      <c r="BP904" s="29"/>
      <c r="CC904" s="30" t="str">
        <f ca="1">IFERROR(__xludf.DUMMYFUNCTION("""COMPUTED_VALUE"""),"0cc55e3b")</f>
        <v>0cc55e3b</v>
      </c>
      <c r="CD904" s="29" t="str">
        <f ca="1">IFERROR(__xludf.DUMMYFUNCTION("""COMPUTED_VALUE"""),"Niñas y Niños (6 a 12 años)")</f>
        <v>Niñas y Niños (6 a 12 años)</v>
      </c>
      <c r="CE904" s="30" t="str">
        <f ca="1">IFERROR(__xludf.DUMMYFUNCTION("""COMPUTED_VALUE"""),"Mujer")</f>
        <v>Mujer</v>
      </c>
      <c r="CF904" s="30" t="str">
        <f ca="1">IFERROR(__xludf.DUMMYFUNCTION("""COMPUTED_VALUE"""),"NNA (Niñas, Niños y Adolescentes)")</f>
        <v>NNA (Niñas, Niños y Adolescentes)</v>
      </c>
      <c r="CG904" s="30">
        <f ca="1">IFERROR(__xludf.DUMMYFUNCTION("""COMPUTED_VALUE"""),9)</f>
        <v>9</v>
      </c>
      <c r="CJ904" s="29"/>
      <c r="CM904" s="30" t="str">
        <f ca="1">IFERROR(__xludf.DUMMYFUNCTION("""COMPUTED_VALUE"""),"")</f>
        <v/>
      </c>
      <c r="CN904" s="32" t="e">
        <f ca="1"/>
        <v>#NAME?</v>
      </c>
      <c r="CO904" s="32" t="e">
        <f ca="1"/>
        <v>#NAME?</v>
      </c>
      <c r="CP904" s="32" t="e">
        <f ca="1"/>
        <v>#NAME?</v>
      </c>
      <c r="CQ904" s="32" t="e">
        <f ca="1"/>
        <v>#NAME?</v>
      </c>
      <c r="CR904" s="30" t="e">
        <f ca="1"/>
        <v>#NAME?</v>
      </c>
      <c r="CS904" s="30" t="str">
        <f ca="1">IFERROR(__xludf.DUMMYFUNCTION("""COMPUTED_VALUE"""),"")</f>
        <v/>
      </c>
    </row>
    <row r="905" spans="1:97" ht="13">
      <c r="A905" s="29"/>
      <c r="C905" s="32"/>
      <c r="I905" s="34"/>
      <c r="BP905" s="29"/>
      <c r="CC905" s="30" t="str">
        <f ca="1">IFERROR(__xludf.DUMMYFUNCTION("""COMPUTED_VALUE"""),"45b8d58d")</f>
        <v>45b8d58d</v>
      </c>
      <c r="CD905" s="29" t="str">
        <f ca="1">IFERROR(__xludf.DUMMYFUNCTION("""COMPUTED_VALUE"""),"Niñas y Niños (6 a 12 años)")</f>
        <v>Niñas y Niños (6 a 12 años)</v>
      </c>
      <c r="CE905" s="30" t="str">
        <f ca="1">IFERROR(__xludf.DUMMYFUNCTION("""COMPUTED_VALUE"""),"Hombre")</f>
        <v>Hombre</v>
      </c>
      <c r="CF905" s="30" t="str">
        <f ca="1">IFERROR(__xludf.DUMMYFUNCTION("""COMPUTED_VALUE"""),"NNA (Niñas, Niños y Adolescentes)")</f>
        <v>NNA (Niñas, Niños y Adolescentes)</v>
      </c>
      <c r="CG905" s="30">
        <f ca="1">IFERROR(__xludf.DUMMYFUNCTION("""COMPUTED_VALUE"""),18)</f>
        <v>18</v>
      </c>
      <c r="CJ905" s="29"/>
      <c r="CM905" s="30" t="str">
        <f ca="1">IFERROR(__xludf.DUMMYFUNCTION("""COMPUTED_VALUE"""),"")</f>
        <v/>
      </c>
      <c r="CN905" s="32" t="e">
        <f ca="1"/>
        <v>#NAME?</v>
      </c>
      <c r="CO905" s="32" t="e">
        <f ca="1"/>
        <v>#NAME?</v>
      </c>
      <c r="CP905" s="32" t="e">
        <f ca="1"/>
        <v>#NAME?</v>
      </c>
      <c r="CQ905" s="32" t="e">
        <f ca="1"/>
        <v>#NAME?</v>
      </c>
      <c r="CR905" s="30" t="e">
        <f ca="1"/>
        <v>#NAME?</v>
      </c>
      <c r="CS905" s="30" t="str">
        <f ca="1">IFERROR(__xludf.DUMMYFUNCTION("""COMPUTED_VALUE"""),"")</f>
        <v/>
      </c>
    </row>
    <row r="906" spans="1:97" ht="13">
      <c r="A906" s="29"/>
      <c r="C906" s="32"/>
      <c r="I906" s="34"/>
      <c r="BP906" s="29"/>
      <c r="CC906" s="30" t="str">
        <f ca="1">IFERROR(__xludf.DUMMYFUNCTION("""COMPUTED_VALUE"""),"80009063")</f>
        <v>80009063</v>
      </c>
      <c r="CD906" s="29" t="str">
        <f ca="1">IFERROR(__xludf.DUMMYFUNCTION("""COMPUTED_VALUE"""),"Adolescentes (13 a 17 años)")</f>
        <v>Adolescentes (13 a 17 años)</v>
      </c>
      <c r="CE906" s="30" t="str">
        <f ca="1">IFERROR(__xludf.DUMMYFUNCTION("""COMPUTED_VALUE"""),"Mujer")</f>
        <v>Mujer</v>
      </c>
      <c r="CF906" s="30" t="str">
        <f ca="1">IFERROR(__xludf.DUMMYFUNCTION("""COMPUTED_VALUE"""),"NNA (Niñas, Niños y Adolescentes)")</f>
        <v>NNA (Niñas, Niños y Adolescentes)</v>
      </c>
      <c r="CG906" s="30">
        <f ca="1">IFERROR(__xludf.DUMMYFUNCTION("""COMPUTED_VALUE"""),5)</f>
        <v>5</v>
      </c>
      <c r="CJ906" s="29"/>
      <c r="CM906" s="30" t="str">
        <f ca="1">IFERROR(__xludf.DUMMYFUNCTION("""COMPUTED_VALUE"""),"")</f>
        <v/>
      </c>
      <c r="CN906" s="32" t="e">
        <f ca="1"/>
        <v>#NAME?</v>
      </c>
      <c r="CO906" s="32" t="e">
        <f ca="1"/>
        <v>#NAME?</v>
      </c>
      <c r="CP906" s="32" t="e">
        <f ca="1"/>
        <v>#NAME?</v>
      </c>
      <c r="CQ906" s="32" t="e">
        <f ca="1"/>
        <v>#NAME?</v>
      </c>
      <c r="CR906" s="30" t="e">
        <f ca="1"/>
        <v>#NAME?</v>
      </c>
      <c r="CS906" s="30" t="str">
        <f ca="1">IFERROR(__xludf.DUMMYFUNCTION("""COMPUTED_VALUE"""),"")</f>
        <v/>
      </c>
    </row>
    <row r="907" spans="1:97" ht="13">
      <c r="A907" s="29"/>
      <c r="C907" s="32"/>
      <c r="I907" s="34"/>
      <c r="BP907" s="29"/>
      <c r="CC907" s="30" t="str">
        <f ca="1">IFERROR(__xludf.DUMMYFUNCTION("""COMPUTED_VALUE"""),"a677d720")</f>
        <v>a677d720</v>
      </c>
      <c r="CD907" s="29" t="str">
        <f ca="1">IFERROR(__xludf.DUMMYFUNCTION("""COMPUTED_VALUE"""),"Adolescentes (13 a 17 años)")</f>
        <v>Adolescentes (13 a 17 años)</v>
      </c>
      <c r="CE907" s="30" t="str">
        <f ca="1">IFERROR(__xludf.DUMMYFUNCTION("""COMPUTED_VALUE"""),"Hombre")</f>
        <v>Hombre</v>
      </c>
      <c r="CF907" s="30" t="str">
        <f ca="1">IFERROR(__xludf.DUMMYFUNCTION("""COMPUTED_VALUE"""),"NNA (Niñas, Niños y Adolescentes)")</f>
        <v>NNA (Niñas, Niños y Adolescentes)</v>
      </c>
      <c r="CG907" s="30">
        <f ca="1">IFERROR(__xludf.DUMMYFUNCTION("""COMPUTED_VALUE"""),4)</f>
        <v>4</v>
      </c>
      <c r="CJ907" s="29"/>
      <c r="CM907" s="30" t="str">
        <f ca="1">IFERROR(__xludf.DUMMYFUNCTION("""COMPUTED_VALUE"""),"")</f>
        <v/>
      </c>
      <c r="CN907" s="32" t="e">
        <f ca="1"/>
        <v>#NAME?</v>
      </c>
      <c r="CO907" s="32" t="e">
        <f ca="1"/>
        <v>#NAME?</v>
      </c>
      <c r="CP907" s="32" t="e">
        <f ca="1"/>
        <v>#NAME?</v>
      </c>
      <c r="CQ907" s="32" t="e">
        <f ca="1"/>
        <v>#NAME?</v>
      </c>
      <c r="CR907" s="30" t="e">
        <f ca="1"/>
        <v>#NAME?</v>
      </c>
      <c r="CS907" s="30" t="str">
        <f ca="1">IFERROR(__xludf.DUMMYFUNCTION("""COMPUTED_VALUE"""),"")</f>
        <v/>
      </c>
    </row>
    <row r="908" spans="1:97" ht="13">
      <c r="A908" s="29"/>
      <c r="C908" s="32"/>
      <c r="I908" s="34"/>
      <c r="BP908" s="29"/>
      <c r="CC908" s="30" t="str">
        <f ca="1">IFERROR(__xludf.DUMMYFUNCTION("""COMPUTED_VALUE"""),"92f44586")</f>
        <v>92f44586</v>
      </c>
      <c r="CD908" s="29" t="str">
        <f ca="1">IFERROR(__xludf.DUMMYFUNCTION("""COMPUTED_VALUE"""),"Niñas y Niños (6 a 12 años)")</f>
        <v>Niñas y Niños (6 a 12 años)</v>
      </c>
      <c r="CE908" s="30" t="str">
        <f ca="1">IFERROR(__xludf.DUMMYFUNCTION("""COMPUTED_VALUE"""),"Mujer")</f>
        <v>Mujer</v>
      </c>
      <c r="CF908" s="30" t="str">
        <f ca="1">IFERROR(__xludf.DUMMYFUNCTION("""COMPUTED_VALUE"""),"Ninguno (Población General)")</f>
        <v>Ninguno (Población General)</v>
      </c>
      <c r="CG908" s="30">
        <f ca="1">IFERROR(__xludf.DUMMYFUNCTION("""COMPUTED_VALUE"""),40)</f>
        <v>40</v>
      </c>
      <c r="CJ908" s="29"/>
      <c r="CM908" s="30" t="str">
        <f ca="1">IFERROR(__xludf.DUMMYFUNCTION("""COMPUTED_VALUE"""),"")</f>
        <v/>
      </c>
      <c r="CN908" s="32" t="e">
        <f ca="1"/>
        <v>#NAME?</v>
      </c>
      <c r="CO908" s="32" t="e">
        <f ca="1"/>
        <v>#NAME?</v>
      </c>
      <c r="CP908" s="32" t="e">
        <f ca="1"/>
        <v>#NAME?</v>
      </c>
      <c r="CQ908" s="32" t="e">
        <f ca="1"/>
        <v>#NAME?</v>
      </c>
      <c r="CR908" s="30" t="e">
        <f ca="1"/>
        <v>#NAME?</v>
      </c>
      <c r="CS908" s="30" t="str">
        <f ca="1">IFERROR(__xludf.DUMMYFUNCTION("""COMPUTED_VALUE"""),"")</f>
        <v/>
      </c>
    </row>
    <row r="909" spans="1:97" ht="13">
      <c r="A909" s="29"/>
      <c r="C909" s="32"/>
      <c r="I909" s="34"/>
      <c r="BP909" s="29"/>
      <c r="CC909" s="30" t="str">
        <f ca="1">IFERROR(__xludf.DUMMYFUNCTION("""COMPUTED_VALUE"""),"1434865f")</f>
        <v>1434865f</v>
      </c>
      <c r="CD909" s="29" t="str">
        <f ca="1">IFERROR(__xludf.DUMMYFUNCTION("""COMPUTED_VALUE"""),"Niñas y Niños (6 a 12 años)")</f>
        <v>Niñas y Niños (6 a 12 años)</v>
      </c>
      <c r="CE909" s="30" t="str">
        <f ca="1">IFERROR(__xludf.DUMMYFUNCTION("""COMPUTED_VALUE"""),"Hombre")</f>
        <v>Hombre</v>
      </c>
      <c r="CF909" s="30" t="str">
        <f ca="1">IFERROR(__xludf.DUMMYFUNCTION("""COMPUTED_VALUE"""),"Ninguno (Población General)")</f>
        <v>Ninguno (Población General)</v>
      </c>
      <c r="CG909" s="30">
        <f ca="1">IFERROR(__xludf.DUMMYFUNCTION("""COMPUTED_VALUE"""),40)</f>
        <v>40</v>
      </c>
      <c r="CJ909" s="29"/>
      <c r="CM909" s="30" t="str">
        <f ca="1">IFERROR(__xludf.DUMMYFUNCTION("""COMPUTED_VALUE"""),"")</f>
        <v/>
      </c>
      <c r="CN909" s="32" t="e">
        <f ca="1"/>
        <v>#NAME?</v>
      </c>
      <c r="CO909" s="32" t="e">
        <f ca="1"/>
        <v>#NAME?</v>
      </c>
      <c r="CP909" s="32" t="e">
        <f ca="1"/>
        <v>#NAME?</v>
      </c>
      <c r="CQ909" s="32" t="e">
        <f ca="1"/>
        <v>#NAME?</v>
      </c>
      <c r="CR909" s="30" t="e">
        <f ca="1"/>
        <v>#NAME?</v>
      </c>
      <c r="CS909" s="30" t="str">
        <f ca="1">IFERROR(__xludf.DUMMYFUNCTION("""COMPUTED_VALUE"""),"")</f>
        <v/>
      </c>
    </row>
    <row r="910" spans="1:97" ht="13">
      <c r="A910" s="29"/>
      <c r="C910" s="32"/>
      <c r="I910" s="34"/>
      <c r="BP910" s="29"/>
      <c r="CC910" s="30" t="str">
        <f ca="1">IFERROR(__xludf.DUMMYFUNCTION("""COMPUTED_VALUE"""),"ad3cf95f")</f>
        <v>ad3cf95f</v>
      </c>
      <c r="CD910" s="29" t="str">
        <f ca="1">IFERROR(__xludf.DUMMYFUNCTION("""COMPUTED_VALUE"""),"Niñas y Niños (6 a 12 años)")</f>
        <v>Niñas y Niños (6 a 12 años)</v>
      </c>
      <c r="CE910" s="30" t="str">
        <f ca="1">IFERROR(__xludf.DUMMYFUNCTION("""COMPUTED_VALUE"""),"Hombre")</f>
        <v>Hombre</v>
      </c>
      <c r="CF910" s="30" t="str">
        <f ca="1">IFERROR(__xludf.DUMMYFUNCTION("""COMPUTED_VALUE"""),"NNA (Niñas, Niños y Adolescentes)")</f>
        <v>NNA (Niñas, Niños y Adolescentes)</v>
      </c>
      <c r="CG910" s="30">
        <f ca="1">IFERROR(__xludf.DUMMYFUNCTION("""COMPUTED_VALUE"""),16)</f>
        <v>16</v>
      </c>
      <c r="CJ910" s="29"/>
      <c r="CM910" s="30" t="str">
        <f ca="1">IFERROR(__xludf.DUMMYFUNCTION("""COMPUTED_VALUE"""),"")</f>
        <v/>
      </c>
      <c r="CN910" s="32" t="e">
        <f ca="1"/>
        <v>#NAME?</v>
      </c>
      <c r="CO910" s="32" t="e">
        <f ca="1"/>
        <v>#NAME?</v>
      </c>
      <c r="CP910" s="32" t="e">
        <f ca="1"/>
        <v>#NAME?</v>
      </c>
      <c r="CQ910" s="32" t="e">
        <f ca="1"/>
        <v>#NAME?</v>
      </c>
      <c r="CR910" s="30" t="e">
        <f ca="1"/>
        <v>#NAME?</v>
      </c>
      <c r="CS910" s="30" t="str">
        <f ca="1">IFERROR(__xludf.DUMMYFUNCTION("""COMPUTED_VALUE"""),"")</f>
        <v/>
      </c>
    </row>
    <row r="911" spans="1:97" ht="13">
      <c r="A911" s="29"/>
      <c r="C911" s="32"/>
      <c r="I911" s="34"/>
      <c r="BP911" s="29"/>
      <c r="CC911" s="30" t="str">
        <f ca="1">IFERROR(__xludf.DUMMYFUNCTION("""COMPUTED_VALUE"""),"a1d1cc32")</f>
        <v>a1d1cc32</v>
      </c>
      <c r="CD911" s="29" t="str">
        <f ca="1">IFERROR(__xludf.DUMMYFUNCTION("""COMPUTED_VALUE"""),"Niñas y Niños (6 a 12 años)")</f>
        <v>Niñas y Niños (6 a 12 años)</v>
      </c>
      <c r="CE911" s="30" t="str">
        <f ca="1">IFERROR(__xludf.DUMMYFUNCTION("""COMPUTED_VALUE"""),"Mujer")</f>
        <v>Mujer</v>
      </c>
      <c r="CF911" s="30" t="str">
        <f ca="1">IFERROR(__xludf.DUMMYFUNCTION("""COMPUTED_VALUE"""),"NNA (Niñas, Niños y Adolescentes)")</f>
        <v>NNA (Niñas, Niños y Adolescentes)</v>
      </c>
      <c r="CG911" s="30">
        <f ca="1">IFERROR(__xludf.DUMMYFUNCTION("""COMPUTED_VALUE"""),24)</f>
        <v>24</v>
      </c>
      <c r="CJ911" s="29"/>
      <c r="CM911" s="30" t="str">
        <f ca="1">IFERROR(__xludf.DUMMYFUNCTION("""COMPUTED_VALUE"""),"")</f>
        <v/>
      </c>
      <c r="CN911" s="32" t="e">
        <f ca="1"/>
        <v>#NAME?</v>
      </c>
      <c r="CO911" s="32" t="e">
        <f ca="1"/>
        <v>#NAME?</v>
      </c>
      <c r="CP911" s="32" t="e">
        <f ca="1"/>
        <v>#NAME?</v>
      </c>
      <c r="CQ911" s="32" t="e">
        <f ca="1"/>
        <v>#NAME?</v>
      </c>
      <c r="CR911" s="30" t="e">
        <f ca="1"/>
        <v>#NAME?</v>
      </c>
      <c r="CS911" s="30" t="str">
        <f ca="1">IFERROR(__xludf.DUMMYFUNCTION("""COMPUTED_VALUE"""),"")</f>
        <v/>
      </c>
    </row>
    <row r="912" spans="1:97" ht="13">
      <c r="A912" s="29"/>
      <c r="C912" s="32"/>
      <c r="I912" s="34"/>
      <c r="BP912" s="29"/>
      <c r="CC912" s="30" t="str">
        <f ca="1">IFERROR(__xludf.DUMMYFUNCTION("""COMPUTED_VALUE"""),"a687ad5f")</f>
        <v>a687ad5f</v>
      </c>
      <c r="CD912" s="29" t="str">
        <f ca="1">IFERROR(__xludf.DUMMYFUNCTION("""COMPUTED_VALUE"""),"Niñas y Niños (6 a 12 años)")</f>
        <v>Niñas y Niños (6 a 12 años)</v>
      </c>
      <c r="CE912" s="30" t="str">
        <f ca="1">IFERROR(__xludf.DUMMYFUNCTION("""COMPUTED_VALUE"""),"Mujer")</f>
        <v>Mujer</v>
      </c>
      <c r="CF912" s="30" t="str">
        <f ca="1">IFERROR(__xludf.DUMMYFUNCTION("""COMPUTED_VALUE"""),"NNA (Niñas, Niños y Adolescentes)")</f>
        <v>NNA (Niñas, Niños y Adolescentes)</v>
      </c>
      <c r="CG912" s="30">
        <f ca="1">IFERROR(__xludf.DUMMYFUNCTION("""COMPUTED_VALUE"""),20)</f>
        <v>20</v>
      </c>
      <c r="CJ912" s="29"/>
      <c r="CM912" s="30" t="str">
        <f ca="1">IFERROR(__xludf.DUMMYFUNCTION("""COMPUTED_VALUE"""),"")</f>
        <v/>
      </c>
      <c r="CN912" s="32" t="e">
        <f ca="1"/>
        <v>#NAME?</v>
      </c>
      <c r="CO912" s="32" t="e">
        <f ca="1"/>
        <v>#NAME?</v>
      </c>
      <c r="CP912" s="32" t="e">
        <f ca="1"/>
        <v>#NAME?</v>
      </c>
      <c r="CQ912" s="32" t="e">
        <f ca="1"/>
        <v>#NAME?</v>
      </c>
      <c r="CR912" s="30" t="e">
        <f ca="1"/>
        <v>#NAME?</v>
      </c>
      <c r="CS912" s="30" t="str">
        <f ca="1">IFERROR(__xludf.DUMMYFUNCTION("""COMPUTED_VALUE"""),"")</f>
        <v/>
      </c>
    </row>
    <row r="913" spans="1:97" ht="13">
      <c r="A913" s="29"/>
      <c r="C913" s="32"/>
      <c r="I913" s="34"/>
      <c r="BP913" s="29"/>
      <c r="CC913" s="30" t="str">
        <f ca="1">IFERROR(__xludf.DUMMYFUNCTION("""COMPUTED_VALUE"""),"1a1374ed")</f>
        <v>1a1374ed</v>
      </c>
      <c r="CD913" s="29" t="str">
        <f ca="1">IFERROR(__xludf.DUMMYFUNCTION("""COMPUTED_VALUE"""),"Niñas y Niños (6 a 12 años)")</f>
        <v>Niñas y Niños (6 a 12 años)</v>
      </c>
      <c r="CE913" s="30" t="str">
        <f ca="1">IFERROR(__xludf.DUMMYFUNCTION("""COMPUTED_VALUE"""),"Hombre")</f>
        <v>Hombre</v>
      </c>
      <c r="CF913" s="30" t="str">
        <f ca="1">IFERROR(__xludf.DUMMYFUNCTION("""COMPUTED_VALUE"""),"NNA (Niñas, Niños y Adolescentes)")</f>
        <v>NNA (Niñas, Niños y Adolescentes)</v>
      </c>
      <c r="CG913" s="30">
        <f ca="1">IFERROR(__xludf.DUMMYFUNCTION("""COMPUTED_VALUE"""),16)</f>
        <v>16</v>
      </c>
      <c r="CJ913" s="29"/>
      <c r="CM913" s="30" t="str">
        <f ca="1">IFERROR(__xludf.DUMMYFUNCTION("""COMPUTED_VALUE"""),"")</f>
        <v/>
      </c>
      <c r="CN913" s="32" t="e">
        <f ca="1"/>
        <v>#NAME?</v>
      </c>
      <c r="CO913" s="32" t="e">
        <f ca="1"/>
        <v>#NAME?</v>
      </c>
      <c r="CP913" s="32" t="e">
        <f ca="1"/>
        <v>#NAME?</v>
      </c>
      <c r="CQ913" s="32" t="e">
        <f ca="1"/>
        <v>#NAME?</v>
      </c>
      <c r="CR913" s="30" t="e">
        <f ca="1"/>
        <v>#NAME?</v>
      </c>
      <c r="CS913" s="30" t="str">
        <f ca="1">IFERROR(__xludf.DUMMYFUNCTION("""COMPUTED_VALUE"""),"")</f>
        <v/>
      </c>
    </row>
    <row r="914" spans="1:97" ht="13">
      <c r="A914" s="29"/>
      <c r="C914" s="32"/>
      <c r="I914" s="34"/>
      <c r="BP914" s="29"/>
      <c r="CC914" s="30" t="str">
        <f ca="1">IFERROR(__xludf.DUMMYFUNCTION("""COMPUTED_VALUE"""),"1a493cfb")</f>
        <v>1a493cfb</v>
      </c>
      <c r="CD914" s="29" t="str">
        <f ca="1">IFERROR(__xludf.DUMMYFUNCTION("""COMPUTED_VALUE"""),"Niñas y Niños (6 a 12 años)")</f>
        <v>Niñas y Niños (6 a 12 años)</v>
      </c>
      <c r="CE914" s="30" t="str">
        <f ca="1">IFERROR(__xludf.DUMMYFUNCTION("""COMPUTED_VALUE"""),"No se cuenta con el dato")</f>
        <v>No se cuenta con el dato</v>
      </c>
      <c r="CF914" s="30" t="str">
        <f ca="1">IFERROR(__xludf.DUMMYFUNCTION("""COMPUTED_VALUE"""),"Comunidad LGBTIQ+")</f>
        <v>Comunidad LGBTIQ+</v>
      </c>
      <c r="CG914" s="30">
        <f ca="1">IFERROR(__xludf.DUMMYFUNCTION("""COMPUTED_VALUE"""),4)</f>
        <v>4</v>
      </c>
      <c r="CJ914" s="29"/>
      <c r="CM914" s="30" t="str">
        <f ca="1">IFERROR(__xludf.DUMMYFUNCTION("""COMPUTED_VALUE"""),"")</f>
        <v/>
      </c>
      <c r="CN914" s="32" t="e">
        <f ca="1"/>
        <v>#NAME?</v>
      </c>
      <c r="CO914" s="32" t="e">
        <f ca="1"/>
        <v>#NAME?</v>
      </c>
      <c r="CP914" s="32" t="e">
        <f ca="1"/>
        <v>#NAME?</v>
      </c>
      <c r="CQ914" s="32" t="e">
        <f ca="1"/>
        <v>#NAME?</v>
      </c>
      <c r="CR914" s="30" t="e">
        <f ca="1"/>
        <v>#NAME?</v>
      </c>
      <c r="CS914" s="30" t="str">
        <f ca="1">IFERROR(__xludf.DUMMYFUNCTION("""COMPUTED_VALUE"""),"")</f>
        <v/>
      </c>
    </row>
    <row r="915" spans="1:97" ht="13">
      <c r="A915" s="29"/>
      <c r="C915" s="32"/>
      <c r="I915" s="34"/>
      <c r="BP915" s="29"/>
      <c r="CC915" s="30" t="str">
        <f ca="1">IFERROR(__xludf.DUMMYFUNCTION("""COMPUTED_VALUE"""),"c2f3378f")</f>
        <v>c2f3378f</v>
      </c>
      <c r="CD915" s="29" t="str">
        <f ca="1">IFERROR(__xludf.DUMMYFUNCTION("""COMPUTED_VALUE"""),"Niñas y Niños (6 a 12 años)")</f>
        <v>Niñas y Niños (6 a 12 años)</v>
      </c>
      <c r="CE915" s="30" t="str">
        <f ca="1">IFERROR(__xludf.DUMMYFUNCTION("""COMPUTED_VALUE"""),"Hombre")</f>
        <v>Hombre</v>
      </c>
      <c r="CF915" s="30" t="str">
        <f ca="1">IFERROR(__xludf.DUMMYFUNCTION("""COMPUTED_VALUE"""),"NNA (Niñas, Niños y Adolescentes)")</f>
        <v>NNA (Niñas, Niños y Adolescentes)</v>
      </c>
      <c r="CG915" s="30">
        <f ca="1">IFERROR(__xludf.DUMMYFUNCTION("""COMPUTED_VALUE"""),20)</f>
        <v>20</v>
      </c>
      <c r="CJ915" s="29"/>
      <c r="CM915" s="30" t="str">
        <f ca="1">IFERROR(__xludf.DUMMYFUNCTION("""COMPUTED_VALUE"""),"")</f>
        <v/>
      </c>
      <c r="CN915" s="32" t="e">
        <f ca="1"/>
        <v>#NAME?</v>
      </c>
      <c r="CO915" s="32" t="e">
        <f ca="1"/>
        <v>#NAME?</v>
      </c>
      <c r="CP915" s="32" t="e">
        <f ca="1"/>
        <v>#NAME?</v>
      </c>
      <c r="CQ915" s="32" t="e">
        <f ca="1"/>
        <v>#NAME?</v>
      </c>
      <c r="CR915" s="30" t="e">
        <f ca="1"/>
        <v>#NAME?</v>
      </c>
      <c r="CS915" s="30" t="str">
        <f ca="1">IFERROR(__xludf.DUMMYFUNCTION("""COMPUTED_VALUE"""),"")</f>
        <v/>
      </c>
    </row>
    <row r="916" spans="1:97" ht="13">
      <c r="A916" s="29"/>
      <c r="C916" s="32"/>
      <c r="I916" s="34"/>
      <c r="BP916" s="29"/>
      <c r="CC916" s="30" t="str">
        <f ca="1">IFERROR(__xludf.DUMMYFUNCTION("""COMPUTED_VALUE"""),"9b195999")</f>
        <v>9b195999</v>
      </c>
      <c r="CD916" s="29" t="str">
        <f ca="1">IFERROR(__xludf.DUMMYFUNCTION("""COMPUTED_VALUE"""),"Niñas y Niños (6 a 12 años)")</f>
        <v>Niñas y Niños (6 a 12 años)</v>
      </c>
      <c r="CE916" s="30" t="str">
        <f ca="1">IFERROR(__xludf.DUMMYFUNCTION("""COMPUTED_VALUE"""),"Mujer")</f>
        <v>Mujer</v>
      </c>
      <c r="CF916" s="30" t="str">
        <f ca="1">IFERROR(__xludf.DUMMYFUNCTION("""COMPUTED_VALUE"""),"NNA (Niñas, Niños y Adolescentes)")</f>
        <v>NNA (Niñas, Niños y Adolescentes)</v>
      </c>
      <c r="CG916" s="30">
        <f ca="1">IFERROR(__xludf.DUMMYFUNCTION("""COMPUTED_VALUE"""),20)</f>
        <v>20</v>
      </c>
      <c r="CJ916" s="29"/>
      <c r="CM916" s="30" t="str">
        <f ca="1">IFERROR(__xludf.DUMMYFUNCTION("""COMPUTED_VALUE"""),"")</f>
        <v/>
      </c>
      <c r="CN916" s="32" t="e">
        <f ca="1"/>
        <v>#NAME?</v>
      </c>
      <c r="CO916" s="32" t="e">
        <f ca="1"/>
        <v>#NAME?</v>
      </c>
      <c r="CP916" s="32" t="e">
        <f ca="1"/>
        <v>#NAME?</v>
      </c>
      <c r="CQ916" s="32" t="e">
        <f ca="1"/>
        <v>#NAME?</v>
      </c>
      <c r="CR916" s="30" t="e">
        <f ca="1"/>
        <v>#NAME?</v>
      </c>
      <c r="CS916" s="30" t="str">
        <f ca="1">IFERROR(__xludf.DUMMYFUNCTION("""COMPUTED_VALUE"""),"")</f>
        <v/>
      </c>
    </row>
    <row r="917" spans="1:97" ht="13">
      <c r="A917" s="29"/>
      <c r="C917" s="32"/>
      <c r="I917" s="34"/>
      <c r="BP917" s="29"/>
      <c r="CC917" s="30" t="str">
        <f ca="1">IFERROR(__xludf.DUMMYFUNCTION("""COMPUTED_VALUE"""),"3ba7af21")</f>
        <v>3ba7af21</v>
      </c>
      <c r="CD917" s="29" t="str">
        <f ca="1">IFERROR(__xludf.DUMMYFUNCTION("""COMPUTED_VALUE"""),"Adultos (30 a 59 años)")</f>
        <v>Adultos (30 a 59 años)</v>
      </c>
      <c r="CE917" s="30" t="str">
        <f ca="1">IFERROR(__xludf.DUMMYFUNCTION("""COMPUTED_VALUE"""),"No se cuenta con el dato")</f>
        <v>No se cuenta con el dato</v>
      </c>
      <c r="CF917" s="30" t="str">
        <f ca="1">IFERROR(__xludf.DUMMYFUNCTION("""COMPUTED_VALUE"""),"Ninguno (Población General)")</f>
        <v>Ninguno (Población General)</v>
      </c>
      <c r="CG917" s="30">
        <f ca="1">IFERROR(__xludf.DUMMYFUNCTION("""COMPUTED_VALUE"""),3)</f>
        <v>3</v>
      </c>
      <c r="CJ917" s="29"/>
      <c r="CM917" s="30" t="str">
        <f ca="1">IFERROR(__xludf.DUMMYFUNCTION("""COMPUTED_VALUE"""),"")</f>
        <v/>
      </c>
      <c r="CN917" s="32" t="e">
        <f ca="1"/>
        <v>#NAME?</v>
      </c>
      <c r="CO917" s="32" t="e">
        <f ca="1"/>
        <v>#NAME?</v>
      </c>
      <c r="CP917" s="32" t="e">
        <f ca="1"/>
        <v>#NAME?</v>
      </c>
      <c r="CQ917" s="32" t="e">
        <f ca="1"/>
        <v>#NAME?</v>
      </c>
      <c r="CR917" s="30" t="e">
        <f ca="1"/>
        <v>#NAME?</v>
      </c>
      <c r="CS917" s="30" t="str">
        <f ca="1">IFERROR(__xludf.DUMMYFUNCTION("""COMPUTED_VALUE"""),"")</f>
        <v/>
      </c>
    </row>
    <row r="918" spans="1:97" ht="13">
      <c r="A918" s="29"/>
      <c r="C918" s="32"/>
      <c r="I918" s="34"/>
      <c r="BP918" s="29"/>
      <c r="CC918" s="30" t="str">
        <f ca="1">IFERROR(__xludf.DUMMYFUNCTION("""COMPUTED_VALUE"""),"d8617719")</f>
        <v>d8617719</v>
      </c>
      <c r="CD918" s="29" t="str">
        <f ca="1">IFERROR(__xludf.DUMMYFUNCTION("""COMPUTED_VALUE"""),"Adultos (30 a 59 años)")</f>
        <v>Adultos (30 a 59 años)</v>
      </c>
      <c r="CE918" s="30" t="str">
        <f ca="1">IFERROR(__xludf.DUMMYFUNCTION("""COMPUTED_VALUE"""),"No se cuenta con el dato")</f>
        <v>No se cuenta con el dato</v>
      </c>
      <c r="CF918" s="30" t="str">
        <f ca="1">IFERROR(__xludf.DUMMYFUNCTION("""COMPUTED_VALUE"""),"Ninguno (Población General)")</f>
        <v>Ninguno (Población General)</v>
      </c>
      <c r="CG918" s="30">
        <f ca="1">IFERROR(__xludf.DUMMYFUNCTION("""COMPUTED_VALUE"""),2)</f>
        <v>2</v>
      </c>
      <c r="CJ918" s="29"/>
      <c r="CM918" s="30" t="str">
        <f ca="1">IFERROR(__xludf.DUMMYFUNCTION("""COMPUTED_VALUE"""),"")</f>
        <v/>
      </c>
      <c r="CN918" s="32" t="e">
        <f ca="1"/>
        <v>#NAME?</v>
      </c>
      <c r="CO918" s="32" t="e">
        <f ca="1"/>
        <v>#NAME?</v>
      </c>
      <c r="CP918" s="32" t="e">
        <f ca="1"/>
        <v>#NAME?</v>
      </c>
      <c r="CQ918" s="32" t="e">
        <f ca="1"/>
        <v>#NAME?</v>
      </c>
      <c r="CR918" s="30" t="e">
        <f ca="1"/>
        <v>#NAME?</v>
      </c>
      <c r="CS918" s="30" t="str">
        <f ca="1">IFERROR(__xludf.DUMMYFUNCTION("""COMPUTED_VALUE"""),"")</f>
        <v/>
      </c>
    </row>
    <row r="919" spans="1:97" ht="13">
      <c r="A919" s="29"/>
      <c r="C919" s="32"/>
      <c r="I919" s="34"/>
      <c r="BP919" s="29"/>
      <c r="CC919" s="30" t="str">
        <f ca="1">IFERROR(__xludf.DUMMYFUNCTION("""COMPUTED_VALUE"""),"3aaa97d9")</f>
        <v>3aaa97d9</v>
      </c>
      <c r="CD919" s="29" t="str">
        <f ca="1">IFERROR(__xludf.DUMMYFUNCTION("""COMPUTED_VALUE"""),"Adultos (30 a 59 años)")</f>
        <v>Adultos (30 a 59 años)</v>
      </c>
      <c r="CE919" s="30" t="str">
        <f ca="1">IFERROR(__xludf.DUMMYFUNCTION("""COMPUTED_VALUE"""),"No se cuenta con el dato")</f>
        <v>No se cuenta con el dato</v>
      </c>
      <c r="CF919" s="30" t="str">
        <f ca="1">IFERROR(__xludf.DUMMYFUNCTION("""COMPUTED_VALUE"""),"Ninguno (Población General)")</f>
        <v>Ninguno (Población General)</v>
      </c>
      <c r="CG919" s="30">
        <f ca="1">IFERROR(__xludf.DUMMYFUNCTION("""COMPUTED_VALUE"""),3)</f>
        <v>3</v>
      </c>
      <c r="CJ919" s="29"/>
      <c r="CM919" s="30" t="str">
        <f ca="1">IFERROR(__xludf.DUMMYFUNCTION("""COMPUTED_VALUE"""),"")</f>
        <v/>
      </c>
      <c r="CN919" s="32" t="e">
        <f ca="1"/>
        <v>#NAME?</v>
      </c>
      <c r="CO919" s="32" t="e">
        <f ca="1"/>
        <v>#NAME?</v>
      </c>
      <c r="CP919" s="32" t="e">
        <f ca="1"/>
        <v>#NAME?</v>
      </c>
      <c r="CQ919" s="32" t="e">
        <f ca="1"/>
        <v>#NAME?</v>
      </c>
      <c r="CR919" s="30" t="e">
        <f ca="1"/>
        <v>#NAME?</v>
      </c>
      <c r="CS919" s="30" t="str">
        <f ca="1">IFERROR(__xludf.DUMMYFUNCTION("""COMPUTED_VALUE"""),"")</f>
        <v/>
      </c>
    </row>
    <row r="920" spans="1:97" ht="13">
      <c r="A920" s="29"/>
      <c r="C920" s="32"/>
      <c r="I920" s="34"/>
      <c r="BP920" s="29"/>
      <c r="CC920" s="30" t="str">
        <f ca="1">IFERROR(__xludf.DUMMYFUNCTION("""COMPUTED_VALUE"""),"5bb95cc4")</f>
        <v>5bb95cc4</v>
      </c>
      <c r="CD920" s="29" t="str">
        <f ca="1">IFERROR(__xludf.DUMMYFUNCTION("""COMPUTED_VALUE"""),"Adultos (30 a 59 años)")</f>
        <v>Adultos (30 a 59 años)</v>
      </c>
      <c r="CE920" s="30" t="str">
        <f ca="1">IFERROR(__xludf.DUMMYFUNCTION("""COMPUTED_VALUE"""),"No se cuenta con el dato")</f>
        <v>No se cuenta con el dato</v>
      </c>
      <c r="CF920" s="30" t="str">
        <f ca="1">IFERROR(__xludf.DUMMYFUNCTION("""COMPUTED_VALUE"""),"Ninguno (Población General)")</f>
        <v>Ninguno (Población General)</v>
      </c>
      <c r="CG920" s="30">
        <f ca="1">IFERROR(__xludf.DUMMYFUNCTION("""COMPUTED_VALUE"""),5)</f>
        <v>5</v>
      </c>
      <c r="CJ920" s="29"/>
      <c r="CM920" s="30" t="str">
        <f ca="1">IFERROR(__xludf.DUMMYFUNCTION("""COMPUTED_VALUE"""),"")</f>
        <v/>
      </c>
      <c r="CN920" s="32" t="e">
        <f ca="1"/>
        <v>#NAME?</v>
      </c>
      <c r="CO920" s="32" t="e">
        <f ca="1"/>
        <v>#NAME?</v>
      </c>
      <c r="CP920" s="32" t="e">
        <f ca="1"/>
        <v>#NAME?</v>
      </c>
      <c r="CQ920" s="32" t="e">
        <f ca="1"/>
        <v>#NAME?</v>
      </c>
      <c r="CR920" s="30" t="e">
        <f ca="1"/>
        <v>#NAME?</v>
      </c>
      <c r="CS920" s="30" t="str">
        <f ca="1">IFERROR(__xludf.DUMMYFUNCTION("""COMPUTED_VALUE"""),"")</f>
        <v/>
      </c>
    </row>
    <row r="921" spans="1:97" ht="13">
      <c r="A921" s="29"/>
      <c r="C921" s="32"/>
      <c r="I921" s="34"/>
      <c r="BP921" s="29"/>
      <c r="CC921" s="30" t="str">
        <f ca="1">IFERROR(__xludf.DUMMYFUNCTION("""COMPUTED_VALUE"""),"6cb5ba2a")</f>
        <v>6cb5ba2a</v>
      </c>
      <c r="CD921" s="29" t="str">
        <f ca="1">IFERROR(__xludf.DUMMYFUNCTION("""COMPUTED_VALUE"""),"Jóvenes (18 a 29 años)")</f>
        <v>Jóvenes (18 a 29 años)</v>
      </c>
      <c r="CE921" s="30" t="str">
        <f ca="1">IFERROR(__xludf.DUMMYFUNCTION("""COMPUTED_VALUE"""),"No se cuenta con el dato")</f>
        <v>No se cuenta con el dato</v>
      </c>
      <c r="CF921" s="30" t="str">
        <f ca="1">IFERROR(__xludf.DUMMYFUNCTION("""COMPUTED_VALUE"""),"Ninguno (Población General)")</f>
        <v>Ninguno (Población General)</v>
      </c>
      <c r="CG921" s="30">
        <f ca="1">IFERROR(__xludf.DUMMYFUNCTION("""COMPUTED_VALUE"""),4)</f>
        <v>4</v>
      </c>
      <c r="CJ921" s="29"/>
      <c r="CM921" s="30" t="str">
        <f ca="1">IFERROR(__xludf.DUMMYFUNCTION("""COMPUTED_VALUE"""),"")</f>
        <v/>
      </c>
      <c r="CN921" s="32" t="e">
        <f ca="1"/>
        <v>#NAME?</v>
      </c>
      <c r="CO921" s="32" t="e">
        <f ca="1"/>
        <v>#NAME?</v>
      </c>
      <c r="CP921" s="32" t="e">
        <f ca="1"/>
        <v>#NAME?</v>
      </c>
      <c r="CQ921" s="32" t="e">
        <f ca="1"/>
        <v>#NAME?</v>
      </c>
      <c r="CR921" s="30" t="e">
        <f ca="1"/>
        <v>#NAME?</v>
      </c>
      <c r="CS921" s="30" t="str">
        <f ca="1">IFERROR(__xludf.DUMMYFUNCTION("""COMPUTED_VALUE"""),"")</f>
        <v/>
      </c>
    </row>
    <row r="922" spans="1:97" ht="13">
      <c r="A922" s="29"/>
      <c r="C922" s="32"/>
      <c r="I922" s="34"/>
      <c r="BP922" s="29"/>
      <c r="CC922" s="30" t="str">
        <f ca="1">IFERROR(__xludf.DUMMYFUNCTION("""COMPUTED_VALUE"""),"1a2c1d00")</f>
        <v>1a2c1d00</v>
      </c>
      <c r="CD922" s="29" t="str">
        <f ca="1">IFERROR(__xludf.DUMMYFUNCTION("""COMPUTED_VALUE"""),"Adultos (30 a 59 años)")</f>
        <v>Adultos (30 a 59 años)</v>
      </c>
      <c r="CE922" s="30" t="str">
        <f ca="1">IFERROR(__xludf.DUMMYFUNCTION("""COMPUTED_VALUE"""),"No se cuenta con el dato")</f>
        <v>No se cuenta con el dato</v>
      </c>
      <c r="CF922" s="30" t="str">
        <f ca="1">IFERROR(__xludf.DUMMYFUNCTION("""COMPUTED_VALUE"""),"Ninguno (Población General)")</f>
        <v>Ninguno (Población General)</v>
      </c>
      <c r="CG922" s="30">
        <f ca="1">IFERROR(__xludf.DUMMYFUNCTION("""COMPUTED_VALUE"""),3)</f>
        <v>3</v>
      </c>
      <c r="CJ922" s="29"/>
      <c r="CM922" s="30" t="str">
        <f ca="1">IFERROR(__xludf.DUMMYFUNCTION("""COMPUTED_VALUE"""),"")</f>
        <v/>
      </c>
      <c r="CN922" s="32" t="e">
        <f ca="1"/>
        <v>#NAME?</v>
      </c>
      <c r="CO922" s="32" t="e">
        <f ca="1"/>
        <v>#NAME?</v>
      </c>
      <c r="CP922" s="32" t="e">
        <f ca="1"/>
        <v>#NAME?</v>
      </c>
      <c r="CQ922" s="32" t="e">
        <f ca="1"/>
        <v>#NAME?</v>
      </c>
      <c r="CR922" s="30" t="e">
        <f ca="1"/>
        <v>#NAME?</v>
      </c>
      <c r="CS922" s="30" t="str">
        <f ca="1">IFERROR(__xludf.DUMMYFUNCTION("""COMPUTED_VALUE"""),"")</f>
        <v/>
      </c>
    </row>
    <row r="923" spans="1:97" ht="13">
      <c r="A923" s="29"/>
      <c r="C923" s="32"/>
      <c r="I923" s="34"/>
      <c r="BP923" s="29"/>
      <c r="CC923" s="30" t="str">
        <f ca="1">IFERROR(__xludf.DUMMYFUNCTION("""COMPUTED_VALUE"""),"5a07fea6")</f>
        <v>5a07fea6</v>
      </c>
      <c r="CD923" s="29" t="str">
        <f ca="1">IFERROR(__xludf.DUMMYFUNCTION("""COMPUTED_VALUE"""),"Adultos Mayores (60 años o más)")</f>
        <v>Adultos Mayores (60 años o más)</v>
      </c>
      <c r="CE923" s="30" t="str">
        <f ca="1">IFERROR(__xludf.DUMMYFUNCTION("""COMPUTED_VALUE"""),"No se cuenta con el dato")</f>
        <v>No se cuenta con el dato</v>
      </c>
      <c r="CF923" s="30" t="str">
        <f ca="1">IFERROR(__xludf.DUMMYFUNCTION("""COMPUTED_VALUE"""),"Ninguno (Población General)")</f>
        <v>Ninguno (Población General)</v>
      </c>
      <c r="CG923" s="30">
        <f ca="1">IFERROR(__xludf.DUMMYFUNCTION("""COMPUTED_VALUE"""),2)</f>
        <v>2</v>
      </c>
      <c r="CJ923" s="29"/>
      <c r="CM923" s="30" t="str">
        <f ca="1">IFERROR(__xludf.DUMMYFUNCTION("""COMPUTED_VALUE"""),"")</f>
        <v/>
      </c>
      <c r="CN923" s="32" t="e">
        <f ca="1"/>
        <v>#NAME?</v>
      </c>
      <c r="CO923" s="32" t="e">
        <f ca="1"/>
        <v>#NAME?</v>
      </c>
      <c r="CP923" s="32" t="e">
        <f ca="1"/>
        <v>#NAME?</v>
      </c>
      <c r="CQ923" s="32" t="e">
        <f ca="1"/>
        <v>#NAME?</v>
      </c>
      <c r="CR923" s="30" t="e">
        <f ca="1"/>
        <v>#NAME?</v>
      </c>
      <c r="CS923" s="30" t="str">
        <f ca="1">IFERROR(__xludf.DUMMYFUNCTION("""COMPUTED_VALUE"""),"")</f>
        <v/>
      </c>
    </row>
    <row r="924" spans="1:97" ht="13">
      <c r="A924" s="29"/>
      <c r="C924" s="32"/>
      <c r="I924" s="34"/>
      <c r="BP924" s="29"/>
      <c r="CC924" s="30" t="str">
        <f ca="1">IFERROR(__xludf.DUMMYFUNCTION("""COMPUTED_VALUE"""),"bfd0704e")</f>
        <v>bfd0704e</v>
      </c>
      <c r="CD924" s="29" t="str">
        <f ca="1">IFERROR(__xludf.DUMMYFUNCTION("""COMPUTED_VALUE"""),"Jóvenes (18 a 29 años)")</f>
        <v>Jóvenes (18 a 29 años)</v>
      </c>
      <c r="CE924" s="30" t="str">
        <f ca="1">IFERROR(__xludf.DUMMYFUNCTION("""COMPUTED_VALUE"""),"No se cuenta con el dato")</f>
        <v>No se cuenta con el dato</v>
      </c>
      <c r="CF924" s="30" t="str">
        <f ca="1">IFERROR(__xludf.DUMMYFUNCTION("""COMPUTED_VALUE"""),"Ninguno (Población General)")</f>
        <v>Ninguno (Población General)</v>
      </c>
      <c r="CG924" s="30">
        <f ca="1">IFERROR(__xludf.DUMMYFUNCTION("""COMPUTED_VALUE"""),2)</f>
        <v>2</v>
      </c>
      <c r="CJ924" s="29"/>
      <c r="CM924" s="30" t="str">
        <f ca="1">IFERROR(__xludf.DUMMYFUNCTION("""COMPUTED_VALUE"""),"")</f>
        <v/>
      </c>
      <c r="CN924" s="32" t="e">
        <f ca="1"/>
        <v>#NAME?</v>
      </c>
      <c r="CO924" s="32" t="e">
        <f ca="1"/>
        <v>#NAME?</v>
      </c>
      <c r="CP924" s="32" t="e">
        <f ca="1"/>
        <v>#NAME?</v>
      </c>
      <c r="CQ924" s="32" t="e">
        <f ca="1"/>
        <v>#NAME?</v>
      </c>
      <c r="CR924" s="30" t="e">
        <f ca="1"/>
        <v>#NAME?</v>
      </c>
      <c r="CS924" s="30" t="str">
        <f ca="1">IFERROR(__xludf.DUMMYFUNCTION("""COMPUTED_VALUE"""),"")</f>
        <v/>
      </c>
    </row>
    <row r="925" spans="1:97" ht="13">
      <c r="A925" s="29"/>
      <c r="C925" s="32"/>
      <c r="I925" s="34"/>
      <c r="BP925" s="29"/>
      <c r="CC925" s="30" t="str">
        <f ca="1">IFERROR(__xludf.DUMMYFUNCTION("""COMPUTED_VALUE"""),"8f1e1222")</f>
        <v>8f1e1222</v>
      </c>
      <c r="CD925" s="29" t="str">
        <f ca="1">IFERROR(__xludf.DUMMYFUNCTION("""COMPUTED_VALUE"""),"Adultos (30 a 59 años)")</f>
        <v>Adultos (30 a 59 años)</v>
      </c>
      <c r="CE925" s="30" t="str">
        <f ca="1">IFERROR(__xludf.DUMMYFUNCTION("""COMPUTED_VALUE"""),"No se cuenta con el dato")</f>
        <v>No se cuenta con el dato</v>
      </c>
      <c r="CF925" s="30" t="str">
        <f ca="1">IFERROR(__xludf.DUMMYFUNCTION("""COMPUTED_VALUE"""),"Ninguno (Población General)")</f>
        <v>Ninguno (Población General)</v>
      </c>
      <c r="CG925" s="30">
        <f ca="1">IFERROR(__xludf.DUMMYFUNCTION("""COMPUTED_VALUE"""),6)</f>
        <v>6</v>
      </c>
      <c r="CJ925" s="29"/>
      <c r="CM925" s="30" t="str">
        <f ca="1">IFERROR(__xludf.DUMMYFUNCTION("""COMPUTED_VALUE"""),"")</f>
        <v/>
      </c>
      <c r="CN925" s="32" t="e">
        <f ca="1"/>
        <v>#NAME?</v>
      </c>
      <c r="CO925" s="32" t="e">
        <f ca="1"/>
        <v>#NAME?</v>
      </c>
      <c r="CP925" s="32" t="e">
        <f ca="1"/>
        <v>#NAME?</v>
      </c>
      <c r="CQ925" s="32" t="e">
        <f ca="1"/>
        <v>#NAME?</v>
      </c>
      <c r="CR925" s="30" t="e">
        <f ca="1"/>
        <v>#NAME?</v>
      </c>
      <c r="CS925" s="30" t="str">
        <f ca="1">IFERROR(__xludf.DUMMYFUNCTION("""COMPUTED_VALUE"""),"")</f>
        <v/>
      </c>
    </row>
    <row r="926" spans="1:97" ht="13">
      <c r="A926" s="29"/>
      <c r="C926" s="32"/>
      <c r="I926" s="34"/>
      <c r="BP926" s="29"/>
      <c r="CC926" s="30" t="str">
        <f ca="1">IFERROR(__xludf.DUMMYFUNCTION("""COMPUTED_VALUE"""),"413c6d6a")</f>
        <v>413c6d6a</v>
      </c>
      <c r="CD926" s="29" t="str">
        <f ca="1">IFERROR(__xludf.DUMMYFUNCTION("""COMPUTED_VALUE"""),"Adolescentes (13 a 17 años)")</f>
        <v>Adolescentes (13 a 17 años)</v>
      </c>
      <c r="CE926" s="30" t="str">
        <f ca="1">IFERROR(__xludf.DUMMYFUNCTION("""COMPUTED_VALUE"""),"No se cuenta con el dato")</f>
        <v>No se cuenta con el dato</v>
      </c>
      <c r="CF926" s="30" t="str">
        <f ca="1">IFERROR(__xludf.DUMMYFUNCTION("""COMPUTED_VALUE"""),"Ninguno (Población General)")</f>
        <v>Ninguno (Población General)</v>
      </c>
      <c r="CG926" s="30">
        <f ca="1">IFERROR(__xludf.DUMMYFUNCTION("""COMPUTED_VALUE"""),9)</f>
        <v>9</v>
      </c>
      <c r="CJ926" s="29"/>
      <c r="CM926" s="30" t="str">
        <f ca="1">IFERROR(__xludf.DUMMYFUNCTION("""COMPUTED_VALUE"""),"")</f>
        <v/>
      </c>
      <c r="CN926" s="32" t="e">
        <f ca="1"/>
        <v>#NAME?</v>
      </c>
      <c r="CO926" s="32" t="e">
        <f ca="1"/>
        <v>#NAME?</v>
      </c>
      <c r="CP926" s="32" t="e">
        <f ca="1"/>
        <v>#NAME?</v>
      </c>
      <c r="CQ926" s="32" t="e">
        <f ca="1"/>
        <v>#NAME?</v>
      </c>
      <c r="CR926" s="30" t="e">
        <f ca="1"/>
        <v>#NAME?</v>
      </c>
      <c r="CS926" s="30" t="str">
        <f ca="1">IFERROR(__xludf.DUMMYFUNCTION("""COMPUTED_VALUE"""),"")</f>
        <v/>
      </c>
    </row>
    <row r="927" spans="1:97" ht="13">
      <c r="A927" s="29"/>
      <c r="C927" s="32"/>
      <c r="I927" s="34"/>
      <c r="BP927" s="29"/>
      <c r="CC927" s="30" t="str">
        <f ca="1">IFERROR(__xludf.DUMMYFUNCTION("""COMPUTED_VALUE"""),"3ac5085a")</f>
        <v>3ac5085a</v>
      </c>
      <c r="CD927" s="29" t="str">
        <f ca="1">IFERROR(__xludf.DUMMYFUNCTION("""COMPUTED_VALUE"""),"Adultos (30 a 59 años)")</f>
        <v>Adultos (30 a 59 años)</v>
      </c>
      <c r="CE927" s="30" t="str">
        <f ca="1">IFERROR(__xludf.DUMMYFUNCTION("""COMPUTED_VALUE"""),"No se cuenta con el dato")</f>
        <v>No se cuenta con el dato</v>
      </c>
      <c r="CF927" s="30" t="str">
        <f ca="1">IFERROR(__xludf.DUMMYFUNCTION("""COMPUTED_VALUE"""),"Ninguno (Población General)")</f>
        <v>Ninguno (Población General)</v>
      </c>
      <c r="CG927" s="30">
        <f ca="1">IFERROR(__xludf.DUMMYFUNCTION("""COMPUTED_VALUE"""),3)</f>
        <v>3</v>
      </c>
      <c r="CJ927" s="29"/>
      <c r="CM927" s="30" t="str">
        <f ca="1">IFERROR(__xludf.DUMMYFUNCTION("""COMPUTED_VALUE"""),"")</f>
        <v/>
      </c>
      <c r="CN927" s="32" t="e">
        <f ca="1"/>
        <v>#NAME?</v>
      </c>
      <c r="CO927" s="32" t="e">
        <f ca="1"/>
        <v>#NAME?</v>
      </c>
      <c r="CP927" s="32" t="e">
        <f ca="1"/>
        <v>#NAME?</v>
      </c>
      <c r="CQ927" s="32" t="e">
        <f ca="1"/>
        <v>#NAME?</v>
      </c>
      <c r="CR927" s="30" t="e">
        <f ca="1"/>
        <v>#NAME?</v>
      </c>
      <c r="CS927" s="30" t="str">
        <f ca="1">IFERROR(__xludf.DUMMYFUNCTION("""COMPUTED_VALUE"""),"")</f>
        <v/>
      </c>
    </row>
    <row r="928" spans="1:97" ht="13">
      <c r="A928" s="29"/>
      <c r="C928" s="32"/>
      <c r="I928" s="34"/>
      <c r="BP928" s="29"/>
      <c r="CC928" s="30" t="str">
        <f ca="1">IFERROR(__xludf.DUMMYFUNCTION("""COMPUTED_VALUE"""),"1218c4ae")</f>
        <v>1218c4ae</v>
      </c>
      <c r="CD928" s="29" t="str">
        <f ca="1">IFERROR(__xludf.DUMMYFUNCTION("""COMPUTED_VALUE"""),"Jóvenes (18 a 29 años)")</f>
        <v>Jóvenes (18 a 29 años)</v>
      </c>
      <c r="CE928" s="30" t="str">
        <f ca="1">IFERROR(__xludf.DUMMYFUNCTION("""COMPUTED_VALUE"""),"No se cuenta con el dato")</f>
        <v>No se cuenta con el dato</v>
      </c>
      <c r="CF928" s="30" t="str">
        <f ca="1">IFERROR(__xludf.DUMMYFUNCTION("""COMPUTED_VALUE"""),"Ninguno (Población General)")</f>
        <v>Ninguno (Población General)</v>
      </c>
      <c r="CG928" s="30">
        <f ca="1">IFERROR(__xludf.DUMMYFUNCTION("""COMPUTED_VALUE"""),2)</f>
        <v>2</v>
      </c>
      <c r="CJ928" s="29"/>
      <c r="CM928" s="30" t="str">
        <f ca="1">IFERROR(__xludf.DUMMYFUNCTION("""COMPUTED_VALUE"""),"")</f>
        <v/>
      </c>
      <c r="CN928" s="32" t="e">
        <f ca="1"/>
        <v>#NAME?</v>
      </c>
      <c r="CO928" s="32" t="e">
        <f ca="1"/>
        <v>#NAME?</v>
      </c>
      <c r="CP928" s="32" t="e">
        <f ca="1"/>
        <v>#NAME?</v>
      </c>
      <c r="CQ928" s="32" t="e">
        <f ca="1"/>
        <v>#NAME?</v>
      </c>
      <c r="CR928" s="30" t="e">
        <f ca="1"/>
        <v>#NAME?</v>
      </c>
      <c r="CS928" s="30" t="str">
        <f ca="1">IFERROR(__xludf.DUMMYFUNCTION("""COMPUTED_VALUE"""),"")</f>
        <v/>
      </c>
    </row>
    <row r="929" spans="1:97" ht="13">
      <c r="A929" s="29"/>
      <c r="C929" s="32"/>
      <c r="I929" s="34"/>
      <c r="BP929" s="29"/>
      <c r="CC929" s="30" t="str">
        <f ca="1">IFERROR(__xludf.DUMMYFUNCTION("""COMPUTED_VALUE"""),"1363826c")</f>
        <v>1363826c</v>
      </c>
      <c r="CD929" s="29" t="str">
        <f ca="1">IFERROR(__xludf.DUMMYFUNCTION("""COMPUTED_VALUE"""),"Adultos (30 a 59 años)")</f>
        <v>Adultos (30 a 59 años)</v>
      </c>
      <c r="CE929" s="30" t="str">
        <f ca="1">IFERROR(__xludf.DUMMYFUNCTION("""COMPUTED_VALUE"""),"No se cuenta con el dato")</f>
        <v>No se cuenta con el dato</v>
      </c>
      <c r="CF929" s="30" t="str">
        <f ca="1">IFERROR(__xludf.DUMMYFUNCTION("""COMPUTED_VALUE"""),"Ninguno (Población General)")</f>
        <v>Ninguno (Población General)</v>
      </c>
      <c r="CG929" s="30">
        <f ca="1">IFERROR(__xludf.DUMMYFUNCTION("""COMPUTED_VALUE"""),2)</f>
        <v>2</v>
      </c>
      <c r="CJ929" s="29"/>
      <c r="CM929" s="30" t="str">
        <f ca="1">IFERROR(__xludf.DUMMYFUNCTION("""COMPUTED_VALUE"""),"")</f>
        <v/>
      </c>
      <c r="CN929" s="32" t="e">
        <f ca="1"/>
        <v>#NAME?</v>
      </c>
      <c r="CO929" s="32" t="e">
        <f ca="1"/>
        <v>#NAME?</v>
      </c>
      <c r="CP929" s="32" t="e">
        <f ca="1"/>
        <v>#NAME?</v>
      </c>
      <c r="CQ929" s="32" t="e">
        <f ca="1"/>
        <v>#NAME?</v>
      </c>
      <c r="CR929" s="30" t="e">
        <f ca="1"/>
        <v>#NAME?</v>
      </c>
      <c r="CS929" s="30" t="str">
        <f ca="1">IFERROR(__xludf.DUMMYFUNCTION("""COMPUTED_VALUE"""),"")</f>
        <v/>
      </c>
    </row>
    <row r="930" spans="1:97" ht="13">
      <c r="A930" s="29"/>
      <c r="C930" s="32"/>
      <c r="I930" s="34"/>
      <c r="BP930" s="29"/>
      <c r="CC930" s="30" t="str">
        <f ca="1">IFERROR(__xludf.DUMMYFUNCTION("""COMPUTED_VALUE"""),"45ff2299")</f>
        <v>45ff2299</v>
      </c>
      <c r="CD930" s="29" t="str">
        <f ca="1">IFERROR(__xludf.DUMMYFUNCTION("""COMPUTED_VALUE"""),"Adultos Mayores (60 años o más)")</f>
        <v>Adultos Mayores (60 años o más)</v>
      </c>
      <c r="CE930" s="30" t="str">
        <f ca="1">IFERROR(__xludf.DUMMYFUNCTION("""COMPUTED_VALUE"""),"No se cuenta con el dato")</f>
        <v>No se cuenta con el dato</v>
      </c>
      <c r="CF930" s="30" t="str">
        <f ca="1">IFERROR(__xludf.DUMMYFUNCTION("""COMPUTED_VALUE"""),"Ninguno (Población General)")</f>
        <v>Ninguno (Población General)</v>
      </c>
      <c r="CG930" s="30">
        <f ca="1">IFERROR(__xludf.DUMMYFUNCTION("""COMPUTED_VALUE"""),7)</f>
        <v>7</v>
      </c>
      <c r="CJ930" s="29"/>
      <c r="CM930" s="30" t="str">
        <f ca="1">IFERROR(__xludf.DUMMYFUNCTION("""COMPUTED_VALUE"""),"")</f>
        <v/>
      </c>
      <c r="CN930" s="32" t="e">
        <f ca="1"/>
        <v>#NAME?</v>
      </c>
      <c r="CO930" s="32" t="e">
        <f ca="1"/>
        <v>#NAME?</v>
      </c>
      <c r="CP930" s="32" t="e">
        <f ca="1"/>
        <v>#NAME?</v>
      </c>
      <c r="CQ930" s="32" t="e">
        <f ca="1"/>
        <v>#NAME?</v>
      </c>
      <c r="CR930" s="30" t="e">
        <f ca="1"/>
        <v>#NAME?</v>
      </c>
      <c r="CS930" s="30" t="str">
        <f ca="1">IFERROR(__xludf.DUMMYFUNCTION("""COMPUTED_VALUE"""),"")</f>
        <v/>
      </c>
    </row>
    <row r="931" spans="1:97" ht="13">
      <c r="A931" s="29"/>
      <c r="C931" s="32"/>
      <c r="I931" s="34"/>
      <c r="BP931" s="29"/>
      <c r="CC931" s="30" t="str">
        <f ca="1">IFERROR(__xludf.DUMMYFUNCTION("""COMPUTED_VALUE"""),"313090df")</f>
        <v>313090df</v>
      </c>
      <c r="CD931" s="29" t="str">
        <f ca="1">IFERROR(__xludf.DUMMYFUNCTION("""COMPUTED_VALUE"""),"Adultos (30 a 59 años)")</f>
        <v>Adultos (30 a 59 años)</v>
      </c>
      <c r="CE931" s="30" t="str">
        <f ca="1">IFERROR(__xludf.DUMMYFUNCTION("""COMPUTED_VALUE"""),"No se cuenta con el dato")</f>
        <v>No se cuenta con el dato</v>
      </c>
      <c r="CF931" s="30" t="str">
        <f ca="1">IFERROR(__xludf.DUMMYFUNCTION("""COMPUTED_VALUE"""),"Ninguno (Población General)")</f>
        <v>Ninguno (Población General)</v>
      </c>
      <c r="CG931" s="30">
        <f ca="1">IFERROR(__xludf.DUMMYFUNCTION("""COMPUTED_VALUE"""),3)</f>
        <v>3</v>
      </c>
      <c r="CJ931" s="29"/>
      <c r="CM931" s="30" t="str">
        <f ca="1">IFERROR(__xludf.DUMMYFUNCTION("""COMPUTED_VALUE"""),"")</f>
        <v/>
      </c>
      <c r="CN931" s="32" t="e">
        <f ca="1"/>
        <v>#NAME?</v>
      </c>
      <c r="CO931" s="32" t="e">
        <f ca="1"/>
        <v>#NAME?</v>
      </c>
      <c r="CP931" s="32" t="e">
        <f ca="1"/>
        <v>#NAME?</v>
      </c>
      <c r="CQ931" s="32" t="e">
        <f ca="1"/>
        <v>#NAME?</v>
      </c>
      <c r="CR931" s="30" t="e">
        <f ca="1"/>
        <v>#NAME?</v>
      </c>
      <c r="CS931" s="30" t="str">
        <f ca="1">IFERROR(__xludf.DUMMYFUNCTION("""COMPUTED_VALUE"""),"")</f>
        <v/>
      </c>
    </row>
    <row r="932" spans="1:97" ht="13">
      <c r="A932" s="29"/>
      <c r="C932" s="32"/>
      <c r="I932" s="34"/>
      <c r="BP932" s="29"/>
      <c r="CC932" s="30" t="str">
        <f ca="1">IFERROR(__xludf.DUMMYFUNCTION("""COMPUTED_VALUE"""),"f9ce7e72")</f>
        <v>f9ce7e72</v>
      </c>
      <c r="CD932" s="29" t="str">
        <f ca="1">IFERROR(__xludf.DUMMYFUNCTION("""COMPUTED_VALUE"""),"Jóvenes (18 a 29 años)")</f>
        <v>Jóvenes (18 a 29 años)</v>
      </c>
      <c r="CE932" s="30" t="str">
        <f ca="1">IFERROR(__xludf.DUMMYFUNCTION("""COMPUTED_VALUE"""),"No se cuenta con el dato")</f>
        <v>No se cuenta con el dato</v>
      </c>
      <c r="CF932" s="30" t="str">
        <f ca="1">IFERROR(__xludf.DUMMYFUNCTION("""COMPUTED_VALUE"""),"Ninguno (Población General)")</f>
        <v>Ninguno (Población General)</v>
      </c>
      <c r="CG932" s="30">
        <f ca="1">IFERROR(__xludf.DUMMYFUNCTION("""COMPUTED_VALUE"""),3)</f>
        <v>3</v>
      </c>
      <c r="CJ932" s="29"/>
      <c r="CM932" s="30" t="str">
        <f ca="1">IFERROR(__xludf.DUMMYFUNCTION("""COMPUTED_VALUE"""),"")</f>
        <v/>
      </c>
      <c r="CN932" s="32" t="e">
        <f ca="1"/>
        <v>#NAME?</v>
      </c>
      <c r="CO932" s="32" t="e">
        <f ca="1"/>
        <v>#NAME?</v>
      </c>
      <c r="CP932" s="32" t="e">
        <f ca="1"/>
        <v>#NAME?</v>
      </c>
      <c r="CQ932" s="32" t="e">
        <f ca="1"/>
        <v>#NAME?</v>
      </c>
      <c r="CR932" s="30" t="e">
        <f ca="1"/>
        <v>#NAME?</v>
      </c>
      <c r="CS932" s="30" t="str">
        <f ca="1">IFERROR(__xludf.DUMMYFUNCTION("""COMPUTED_VALUE"""),"")</f>
        <v/>
      </c>
    </row>
    <row r="933" spans="1:97" ht="13">
      <c r="A933" s="29"/>
      <c r="C933" s="32"/>
      <c r="I933" s="34"/>
      <c r="BP933" s="29"/>
      <c r="CC933" s="30" t="str">
        <f ca="1">IFERROR(__xludf.DUMMYFUNCTION("""COMPUTED_VALUE"""),"7fed208c")</f>
        <v>7fed208c</v>
      </c>
      <c r="CD933" s="29" t="str">
        <f ca="1">IFERROR(__xludf.DUMMYFUNCTION("""COMPUTED_VALUE"""),"Jóvenes (18 a 29 años)")</f>
        <v>Jóvenes (18 a 29 años)</v>
      </c>
      <c r="CE933" s="30" t="str">
        <f ca="1">IFERROR(__xludf.DUMMYFUNCTION("""COMPUTED_VALUE"""),"No se cuenta con el dato")</f>
        <v>No se cuenta con el dato</v>
      </c>
      <c r="CF933" s="30" t="str">
        <f ca="1">IFERROR(__xludf.DUMMYFUNCTION("""COMPUTED_VALUE"""),"Ninguno (Población General)")</f>
        <v>Ninguno (Población General)</v>
      </c>
      <c r="CG933" s="30">
        <f ca="1">IFERROR(__xludf.DUMMYFUNCTION("""COMPUTED_VALUE"""),2)</f>
        <v>2</v>
      </c>
      <c r="CJ933" s="29"/>
      <c r="CM933" s="30" t="str">
        <f ca="1">IFERROR(__xludf.DUMMYFUNCTION("""COMPUTED_VALUE"""),"")</f>
        <v/>
      </c>
      <c r="CN933" s="32" t="e">
        <f ca="1"/>
        <v>#NAME?</v>
      </c>
      <c r="CO933" s="32" t="e">
        <f ca="1"/>
        <v>#NAME?</v>
      </c>
      <c r="CP933" s="32" t="e">
        <f ca="1"/>
        <v>#NAME?</v>
      </c>
      <c r="CQ933" s="32" t="e">
        <f ca="1"/>
        <v>#NAME?</v>
      </c>
      <c r="CR933" s="30" t="e">
        <f ca="1"/>
        <v>#NAME?</v>
      </c>
      <c r="CS933" s="30" t="str">
        <f ca="1">IFERROR(__xludf.DUMMYFUNCTION("""COMPUTED_VALUE"""),"")</f>
        <v/>
      </c>
    </row>
    <row r="934" spans="1:97" ht="13">
      <c r="A934" s="29"/>
      <c r="C934" s="32"/>
      <c r="I934" s="34"/>
      <c r="BP934" s="29"/>
      <c r="CC934" s="30" t="str">
        <f ca="1">IFERROR(__xludf.DUMMYFUNCTION("""COMPUTED_VALUE"""),"4d39c011")</f>
        <v>4d39c011</v>
      </c>
      <c r="CD934" s="29" t="str">
        <f ca="1">IFERROR(__xludf.DUMMYFUNCTION("""COMPUTED_VALUE"""),"Adultos (30 a 59 años)")</f>
        <v>Adultos (30 a 59 años)</v>
      </c>
      <c r="CE934" s="30" t="str">
        <f ca="1">IFERROR(__xludf.DUMMYFUNCTION("""COMPUTED_VALUE"""),"No se cuenta con el dato")</f>
        <v>No se cuenta con el dato</v>
      </c>
      <c r="CF934" s="30" t="str">
        <f ca="1">IFERROR(__xludf.DUMMYFUNCTION("""COMPUTED_VALUE"""),"Ninguno (Población General)")</f>
        <v>Ninguno (Población General)</v>
      </c>
      <c r="CG934" s="30">
        <f ca="1">IFERROR(__xludf.DUMMYFUNCTION("""COMPUTED_VALUE"""),4)</f>
        <v>4</v>
      </c>
      <c r="CJ934" s="29"/>
      <c r="CM934" s="30" t="str">
        <f ca="1">IFERROR(__xludf.DUMMYFUNCTION("""COMPUTED_VALUE"""),"")</f>
        <v/>
      </c>
      <c r="CN934" s="32" t="e">
        <f ca="1"/>
        <v>#NAME?</v>
      </c>
      <c r="CO934" s="32" t="e">
        <f ca="1"/>
        <v>#NAME?</v>
      </c>
      <c r="CP934" s="32" t="e">
        <f ca="1"/>
        <v>#NAME?</v>
      </c>
      <c r="CQ934" s="32" t="e">
        <f ca="1"/>
        <v>#NAME?</v>
      </c>
      <c r="CR934" s="30" t="e">
        <f ca="1"/>
        <v>#NAME?</v>
      </c>
      <c r="CS934" s="30" t="str">
        <f ca="1">IFERROR(__xludf.DUMMYFUNCTION("""COMPUTED_VALUE"""),"")</f>
        <v/>
      </c>
    </row>
    <row r="935" spans="1:97" ht="13">
      <c r="A935" s="29"/>
      <c r="C935" s="32"/>
      <c r="I935" s="34"/>
      <c r="BP935" s="29"/>
      <c r="CC935" s="30" t="str">
        <f ca="1">IFERROR(__xludf.DUMMYFUNCTION("""COMPUTED_VALUE"""),"ee5518a1")</f>
        <v>ee5518a1</v>
      </c>
      <c r="CD935" s="29" t="str">
        <f ca="1">IFERROR(__xludf.DUMMYFUNCTION("""COMPUTED_VALUE"""),"Adultos (30 a 59 años)")</f>
        <v>Adultos (30 a 59 años)</v>
      </c>
      <c r="CE935" s="30" t="str">
        <f ca="1">IFERROR(__xludf.DUMMYFUNCTION("""COMPUTED_VALUE"""),"Mujer")</f>
        <v>Mujer</v>
      </c>
      <c r="CF935" s="30" t="str">
        <f ca="1">IFERROR(__xludf.DUMMYFUNCTION("""COMPUTED_VALUE"""),"Ninguno (Población General)")</f>
        <v>Ninguno (Población General)</v>
      </c>
      <c r="CG935" s="30">
        <f ca="1">IFERROR(__xludf.DUMMYFUNCTION("""COMPUTED_VALUE"""),1)</f>
        <v>1</v>
      </c>
      <c r="CJ935" s="29"/>
      <c r="CM935" s="30" t="str">
        <f ca="1">IFERROR(__xludf.DUMMYFUNCTION("""COMPUTED_VALUE"""),"")</f>
        <v/>
      </c>
      <c r="CN935" s="32" t="e">
        <f ca="1"/>
        <v>#NAME?</v>
      </c>
      <c r="CO935" s="32" t="e">
        <f ca="1"/>
        <v>#NAME?</v>
      </c>
      <c r="CP935" s="32" t="e">
        <f ca="1"/>
        <v>#NAME?</v>
      </c>
      <c r="CQ935" s="32" t="e">
        <f ca="1"/>
        <v>#NAME?</v>
      </c>
      <c r="CR935" s="30" t="e">
        <f ca="1"/>
        <v>#NAME?</v>
      </c>
      <c r="CS935" s="30" t="str">
        <f ca="1">IFERROR(__xludf.DUMMYFUNCTION("""COMPUTED_VALUE"""),"")</f>
        <v/>
      </c>
    </row>
    <row r="936" spans="1:97" ht="13">
      <c r="A936" s="29"/>
      <c r="C936" s="32"/>
      <c r="I936" s="34"/>
      <c r="BP936" s="29"/>
      <c r="CC936" s="30" t="str">
        <f ca="1">IFERROR(__xludf.DUMMYFUNCTION("""COMPUTED_VALUE"""),"7cf159c4")</f>
        <v>7cf159c4</v>
      </c>
      <c r="CD936" s="29" t="str">
        <f ca="1">IFERROR(__xludf.DUMMYFUNCTION("""COMPUTED_VALUE"""),"Adultos Mayores (60 años o más)")</f>
        <v>Adultos Mayores (60 años o más)</v>
      </c>
      <c r="CE936" s="30" t="str">
        <f ca="1">IFERROR(__xludf.DUMMYFUNCTION("""COMPUTED_VALUE"""),"Mujer")</f>
        <v>Mujer</v>
      </c>
      <c r="CF936" s="30" t="str">
        <f ca="1">IFERROR(__xludf.DUMMYFUNCTION("""COMPUTED_VALUE"""),"Ninguno (Población General)")</f>
        <v>Ninguno (Población General)</v>
      </c>
      <c r="CG936" s="30">
        <f ca="1">IFERROR(__xludf.DUMMYFUNCTION("""COMPUTED_VALUE"""),5)</f>
        <v>5</v>
      </c>
      <c r="CJ936" s="29"/>
      <c r="CM936" s="30" t="str">
        <f ca="1">IFERROR(__xludf.DUMMYFUNCTION("""COMPUTED_VALUE"""),"")</f>
        <v/>
      </c>
      <c r="CN936" s="32" t="e">
        <f ca="1"/>
        <v>#NAME?</v>
      </c>
      <c r="CO936" s="32" t="e">
        <f ca="1"/>
        <v>#NAME?</v>
      </c>
      <c r="CP936" s="32" t="e">
        <f ca="1"/>
        <v>#NAME?</v>
      </c>
      <c r="CQ936" s="32" t="e">
        <f ca="1"/>
        <v>#NAME?</v>
      </c>
      <c r="CR936" s="30" t="e">
        <f ca="1"/>
        <v>#NAME?</v>
      </c>
      <c r="CS936" s="30" t="str">
        <f ca="1">IFERROR(__xludf.DUMMYFUNCTION("""COMPUTED_VALUE"""),"")</f>
        <v/>
      </c>
    </row>
    <row r="937" spans="1:97" ht="13">
      <c r="A937" s="29"/>
      <c r="C937" s="32"/>
      <c r="I937" s="34"/>
      <c r="BP937" s="29"/>
      <c r="CC937" s="30" t="str">
        <f ca="1">IFERROR(__xludf.DUMMYFUNCTION("""COMPUTED_VALUE"""),"1e1b7abd")</f>
        <v>1e1b7abd</v>
      </c>
      <c r="CD937" s="29" t="str">
        <f ca="1">IFERROR(__xludf.DUMMYFUNCTION("""COMPUTED_VALUE"""),"Jóvenes (18 a 29 años)")</f>
        <v>Jóvenes (18 a 29 años)</v>
      </c>
      <c r="CE937" s="30" t="str">
        <f ca="1">IFERROR(__xludf.DUMMYFUNCTION("""COMPUTED_VALUE"""),"No se cuenta con el dato")</f>
        <v>No se cuenta con el dato</v>
      </c>
      <c r="CF937" s="30" t="str">
        <f ca="1">IFERROR(__xludf.DUMMYFUNCTION("""COMPUTED_VALUE"""),"Ninguno (Población General)")</f>
        <v>Ninguno (Población General)</v>
      </c>
      <c r="CG937" s="30">
        <f ca="1">IFERROR(__xludf.DUMMYFUNCTION("""COMPUTED_VALUE"""),2)</f>
        <v>2</v>
      </c>
      <c r="CJ937" s="29"/>
      <c r="CM937" s="30" t="str">
        <f ca="1">IFERROR(__xludf.DUMMYFUNCTION("""COMPUTED_VALUE"""),"")</f>
        <v/>
      </c>
      <c r="CN937" s="32" t="e">
        <f ca="1"/>
        <v>#NAME?</v>
      </c>
      <c r="CO937" s="32" t="e">
        <f ca="1"/>
        <v>#NAME?</v>
      </c>
      <c r="CP937" s="32" t="e">
        <f ca="1"/>
        <v>#NAME?</v>
      </c>
      <c r="CQ937" s="32" t="e">
        <f ca="1"/>
        <v>#NAME?</v>
      </c>
      <c r="CR937" s="30" t="e">
        <f ca="1"/>
        <v>#NAME?</v>
      </c>
      <c r="CS937" s="30" t="str">
        <f ca="1">IFERROR(__xludf.DUMMYFUNCTION("""COMPUTED_VALUE"""),"")</f>
        <v/>
      </c>
    </row>
    <row r="938" spans="1:97" ht="13">
      <c r="A938" s="29"/>
      <c r="C938" s="32"/>
      <c r="I938" s="34"/>
      <c r="BP938" s="29"/>
      <c r="CC938" s="30" t="str">
        <f ca="1">IFERROR(__xludf.DUMMYFUNCTION("""COMPUTED_VALUE"""),"72a9b085")</f>
        <v>72a9b085</v>
      </c>
      <c r="CD938" s="29" t="str">
        <f ca="1">IFERROR(__xludf.DUMMYFUNCTION("""COMPUTED_VALUE"""),"Adultos (30 a 59 años)")</f>
        <v>Adultos (30 a 59 años)</v>
      </c>
      <c r="CE938" s="30" t="str">
        <f ca="1">IFERROR(__xludf.DUMMYFUNCTION("""COMPUTED_VALUE"""),"No se cuenta con el dato")</f>
        <v>No se cuenta con el dato</v>
      </c>
      <c r="CF938" s="30" t="str">
        <f ca="1">IFERROR(__xludf.DUMMYFUNCTION("""COMPUTED_VALUE"""),"Ninguno (Población General)")</f>
        <v>Ninguno (Población General)</v>
      </c>
      <c r="CG938" s="30">
        <f ca="1">IFERROR(__xludf.DUMMYFUNCTION("""COMPUTED_VALUE"""),5)</f>
        <v>5</v>
      </c>
      <c r="CJ938" s="29"/>
      <c r="CM938" s="30" t="str">
        <f ca="1">IFERROR(__xludf.DUMMYFUNCTION("""COMPUTED_VALUE"""),"")</f>
        <v/>
      </c>
      <c r="CN938" s="32" t="e">
        <f ca="1"/>
        <v>#NAME?</v>
      </c>
      <c r="CO938" s="32" t="e">
        <f ca="1"/>
        <v>#NAME?</v>
      </c>
      <c r="CP938" s="32" t="e">
        <f ca="1"/>
        <v>#NAME?</v>
      </c>
      <c r="CQ938" s="32" t="e">
        <f ca="1"/>
        <v>#NAME?</v>
      </c>
      <c r="CR938" s="30" t="e">
        <f ca="1"/>
        <v>#NAME?</v>
      </c>
      <c r="CS938" s="30" t="str">
        <f ca="1">IFERROR(__xludf.DUMMYFUNCTION("""COMPUTED_VALUE"""),"")</f>
        <v/>
      </c>
    </row>
    <row r="939" spans="1:97" ht="13">
      <c r="A939" s="29"/>
      <c r="C939" s="32"/>
      <c r="I939" s="34"/>
      <c r="BP939" s="29"/>
      <c r="CC939" s="30" t="str">
        <f ca="1">IFERROR(__xludf.DUMMYFUNCTION("""COMPUTED_VALUE"""),"635266d4")</f>
        <v>635266d4</v>
      </c>
      <c r="CD939" s="29" t="str">
        <f ca="1">IFERROR(__xludf.DUMMYFUNCTION("""COMPUTED_VALUE"""),"Adultos (30 a 59 años)")</f>
        <v>Adultos (30 a 59 años)</v>
      </c>
      <c r="CE939" s="30" t="str">
        <f ca="1">IFERROR(__xludf.DUMMYFUNCTION("""COMPUTED_VALUE"""),"No se cuenta con el dato")</f>
        <v>No se cuenta con el dato</v>
      </c>
      <c r="CF939" s="30" t="str">
        <f ca="1">IFERROR(__xludf.DUMMYFUNCTION("""COMPUTED_VALUE"""),"Ninguno (Población General)")</f>
        <v>Ninguno (Población General)</v>
      </c>
      <c r="CG939" s="30">
        <f ca="1">IFERROR(__xludf.DUMMYFUNCTION("""COMPUTED_VALUE"""),4)</f>
        <v>4</v>
      </c>
      <c r="CJ939" s="29"/>
      <c r="CM939" s="30" t="str">
        <f ca="1">IFERROR(__xludf.DUMMYFUNCTION("""COMPUTED_VALUE"""),"")</f>
        <v/>
      </c>
      <c r="CN939" s="32" t="e">
        <f ca="1"/>
        <v>#NAME?</v>
      </c>
      <c r="CO939" s="32" t="e">
        <f ca="1"/>
        <v>#NAME?</v>
      </c>
      <c r="CP939" s="32" t="e">
        <f ca="1"/>
        <v>#NAME?</v>
      </c>
      <c r="CQ939" s="32" t="e">
        <f ca="1"/>
        <v>#NAME?</v>
      </c>
      <c r="CR939" s="30" t="e">
        <f ca="1"/>
        <v>#NAME?</v>
      </c>
      <c r="CS939" s="30" t="str">
        <f ca="1">IFERROR(__xludf.DUMMYFUNCTION("""COMPUTED_VALUE"""),"")</f>
        <v/>
      </c>
    </row>
    <row r="940" spans="1:97" ht="13">
      <c r="A940" s="29"/>
      <c r="C940" s="32"/>
      <c r="I940" s="34"/>
      <c r="BP940" s="29"/>
      <c r="CC940" s="30" t="str">
        <f ca="1">IFERROR(__xludf.DUMMYFUNCTION("""COMPUTED_VALUE"""),"4407bb88")</f>
        <v>4407bb88</v>
      </c>
      <c r="CD940" s="29" t="str">
        <f ca="1">IFERROR(__xludf.DUMMYFUNCTION("""COMPUTED_VALUE"""),"Adultos Mayores (60 años o más)")</f>
        <v>Adultos Mayores (60 años o más)</v>
      </c>
      <c r="CE940" s="30" t="str">
        <f ca="1">IFERROR(__xludf.DUMMYFUNCTION("""COMPUTED_VALUE"""),"No se cuenta con el dato")</f>
        <v>No se cuenta con el dato</v>
      </c>
      <c r="CF940" s="30" t="str">
        <f ca="1">IFERROR(__xludf.DUMMYFUNCTION("""COMPUTED_VALUE"""),"Ninguno (Población General)")</f>
        <v>Ninguno (Población General)</v>
      </c>
      <c r="CG940" s="30">
        <f ca="1">IFERROR(__xludf.DUMMYFUNCTION("""COMPUTED_VALUE"""),3)</f>
        <v>3</v>
      </c>
      <c r="CJ940" s="29"/>
      <c r="CM940" s="30" t="str">
        <f ca="1">IFERROR(__xludf.DUMMYFUNCTION("""COMPUTED_VALUE"""),"")</f>
        <v/>
      </c>
      <c r="CN940" s="32" t="e">
        <f ca="1"/>
        <v>#NAME?</v>
      </c>
      <c r="CO940" s="32" t="e">
        <f ca="1"/>
        <v>#NAME?</v>
      </c>
      <c r="CP940" s="32" t="e">
        <f ca="1"/>
        <v>#NAME?</v>
      </c>
      <c r="CQ940" s="32" t="e">
        <f ca="1"/>
        <v>#NAME?</v>
      </c>
      <c r="CR940" s="30" t="e">
        <f ca="1"/>
        <v>#NAME?</v>
      </c>
      <c r="CS940" s="30" t="str">
        <f ca="1">IFERROR(__xludf.DUMMYFUNCTION("""COMPUTED_VALUE"""),"")</f>
        <v/>
      </c>
    </row>
    <row r="941" spans="1:97" ht="13">
      <c r="A941" s="29"/>
      <c r="C941" s="32"/>
      <c r="I941" s="34"/>
      <c r="BP941" s="29"/>
      <c r="CC941" s="30" t="str">
        <f ca="1">IFERROR(__xludf.DUMMYFUNCTION("""COMPUTED_VALUE"""),"6d24b434")</f>
        <v>6d24b434</v>
      </c>
      <c r="CD941" s="29" t="str">
        <f ca="1">IFERROR(__xludf.DUMMYFUNCTION("""COMPUTED_VALUE"""),"Adultos Mayores (60 años o más)")</f>
        <v>Adultos Mayores (60 años o más)</v>
      </c>
      <c r="CE941" s="30" t="str">
        <f ca="1">IFERROR(__xludf.DUMMYFUNCTION("""COMPUTED_VALUE"""),"No se cuenta con el dato")</f>
        <v>No se cuenta con el dato</v>
      </c>
      <c r="CF941" s="30" t="str">
        <f ca="1">IFERROR(__xludf.DUMMYFUNCTION("""COMPUTED_VALUE"""),"Ninguno (Población General)")</f>
        <v>Ninguno (Población General)</v>
      </c>
      <c r="CG941" s="30">
        <f ca="1">IFERROR(__xludf.DUMMYFUNCTION("""COMPUTED_VALUE"""),4)</f>
        <v>4</v>
      </c>
      <c r="CJ941" s="29"/>
      <c r="CM941" s="30" t="str">
        <f ca="1">IFERROR(__xludf.DUMMYFUNCTION("""COMPUTED_VALUE"""),"")</f>
        <v/>
      </c>
      <c r="CN941" s="32" t="e">
        <f ca="1"/>
        <v>#NAME?</v>
      </c>
      <c r="CO941" s="32" t="e">
        <f ca="1"/>
        <v>#NAME?</v>
      </c>
      <c r="CP941" s="32" t="e">
        <f ca="1"/>
        <v>#NAME?</v>
      </c>
      <c r="CQ941" s="32" t="e">
        <f ca="1"/>
        <v>#NAME?</v>
      </c>
      <c r="CR941" s="30" t="e">
        <f ca="1"/>
        <v>#NAME?</v>
      </c>
      <c r="CS941" s="30" t="str">
        <f ca="1">IFERROR(__xludf.DUMMYFUNCTION("""COMPUTED_VALUE"""),"")</f>
        <v/>
      </c>
    </row>
    <row r="942" spans="1:97" ht="13">
      <c r="A942" s="29"/>
      <c r="C942" s="32"/>
      <c r="I942" s="34"/>
      <c r="BP942" s="29"/>
      <c r="CC942" s="30" t="str">
        <f ca="1">IFERROR(__xludf.DUMMYFUNCTION("""COMPUTED_VALUE"""),"609c264e")</f>
        <v>609c264e</v>
      </c>
      <c r="CD942" s="29" t="str">
        <f ca="1">IFERROR(__xludf.DUMMYFUNCTION("""COMPUTED_VALUE"""),"Adultos (30 a 59 años)")</f>
        <v>Adultos (30 a 59 años)</v>
      </c>
      <c r="CE942" s="30" t="str">
        <f ca="1">IFERROR(__xludf.DUMMYFUNCTION("""COMPUTED_VALUE"""),"No se cuenta con el dato")</f>
        <v>No se cuenta con el dato</v>
      </c>
      <c r="CF942" s="30" t="str">
        <f ca="1">IFERROR(__xludf.DUMMYFUNCTION("""COMPUTED_VALUE"""),"Ninguno (Población General)")</f>
        <v>Ninguno (Población General)</v>
      </c>
      <c r="CG942" s="30">
        <f ca="1">IFERROR(__xludf.DUMMYFUNCTION("""COMPUTED_VALUE"""),5)</f>
        <v>5</v>
      </c>
      <c r="CJ942" s="29"/>
      <c r="CM942" s="30" t="str">
        <f ca="1">IFERROR(__xludf.DUMMYFUNCTION("""COMPUTED_VALUE"""),"")</f>
        <v/>
      </c>
      <c r="CN942" s="32" t="e">
        <f ca="1"/>
        <v>#NAME?</v>
      </c>
      <c r="CO942" s="32" t="e">
        <f ca="1"/>
        <v>#NAME?</v>
      </c>
      <c r="CP942" s="32" t="e">
        <f ca="1"/>
        <v>#NAME?</v>
      </c>
      <c r="CQ942" s="32" t="e">
        <f ca="1"/>
        <v>#NAME?</v>
      </c>
      <c r="CR942" s="30" t="e">
        <f ca="1"/>
        <v>#NAME?</v>
      </c>
      <c r="CS942" s="30" t="str">
        <f ca="1">IFERROR(__xludf.DUMMYFUNCTION("""COMPUTED_VALUE"""),"")</f>
        <v/>
      </c>
    </row>
    <row r="943" spans="1:97" ht="13">
      <c r="A943" s="29"/>
      <c r="C943" s="32"/>
      <c r="I943" s="34"/>
      <c r="BP943" s="29"/>
      <c r="CC943" s="30" t="str">
        <f ca="1">IFERROR(__xludf.DUMMYFUNCTION("""COMPUTED_VALUE"""),"ada7efa6")</f>
        <v>ada7efa6</v>
      </c>
      <c r="CD943" s="29" t="str">
        <f ca="1">IFERROR(__xludf.DUMMYFUNCTION("""COMPUTED_VALUE"""),"Adultos (30 a 59 años)")</f>
        <v>Adultos (30 a 59 años)</v>
      </c>
      <c r="CE943" s="30" t="str">
        <f ca="1">IFERROR(__xludf.DUMMYFUNCTION("""COMPUTED_VALUE"""),"Dato global")</f>
        <v>Dato global</v>
      </c>
      <c r="CF943" s="30" t="str">
        <f ca="1">IFERROR(__xludf.DUMMYFUNCTION("""COMPUTED_VALUE"""),"Ninguno (Población General)")</f>
        <v>Ninguno (Población General)</v>
      </c>
      <c r="CG943" s="30">
        <f ca="1">IFERROR(__xludf.DUMMYFUNCTION("""COMPUTED_VALUE"""),41)</f>
        <v>41</v>
      </c>
      <c r="CJ943" s="29"/>
      <c r="CM943" s="30" t="str">
        <f ca="1">IFERROR(__xludf.DUMMYFUNCTION("""COMPUTED_VALUE"""),"")</f>
        <v/>
      </c>
      <c r="CN943" s="32" t="e">
        <f ca="1"/>
        <v>#NAME?</v>
      </c>
      <c r="CO943" s="32" t="e">
        <f ca="1"/>
        <v>#NAME?</v>
      </c>
      <c r="CP943" s="32" t="e">
        <f ca="1"/>
        <v>#NAME?</v>
      </c>
      <c r="CQ943" s="32" t="e">
        <f ca="1"/>
        <v>#NAME?</v>
      </c>
      <c r="CR943" s="30" t="e">
        <f ca="1"/>
        <v>#NAME?</v>
      </c>
      <c r="CS943" s="30" t="str">
        <f ca="1">IFERROR(__xludf.DUMMYFUNCTION("""COMPUTED_VALUE"""),"")</f>
        <v/>
      </c>
    </row>
    <row r="944" spans="1:97" ht="13">
      <c r="A944" s="29"/>
      <c r="C944" s="32"/>
      <c r="I944" s="34"/>
      <c r="BP944" s="29"/>
      <c r="CC944" s="30" t="str">
        <f ca="1">IFERROR(__xludf.DUMMYFUNCTION("""COMPUTED_VALUE"""),"10d0e1ab")</f>
        <v>10d0e1ab</v>
      </c>
      <c r="CD944" s="29" t="str">
        <f ca="1">IFERROR(__xludf.DUMMYFUNCTION("""COMPUTED_VALUE"""),"Jóvenes (18 a 29 años)")</f>
        <v>Jóvenes (18 a 29 años)</v>
      </c>
      <c r="CE944" s="30" t="str">
        <f ca="1">IFERROR(__xludf.DUMMYFUNCTION("""COMPUTED_VALUE"""),"Mujer")</f>
        <v>Mujer</v>
      </c>
      <c r="CF944" s="30" t="str">
        <f ca="1">IFERROR(__xludf.DUMMYFUNCTION("""COMPUTED_VALUE"""),"Ninguno (Población General)")</f>
        <v>Ninguno (Población General)</v>
      </c>
      <c r="CG944" s="30">
        <f ca="1">IFERROR(__xludf.DUMMYFUNCTION("""COMPUTED_VALUE"""),9)</f>
        <v>9</v>
      </c>
      <c r="CJ944" s="29"/>
      <c r="CM944" s="30" t="str">
        <f ca="1">IFERROR(__xludf.DUMMYFUNCTION("""COMPUTED_VALUE"""),"")</f>
        <v/>
      </c>
      <c r="CN944" s="32" t="e">
        <f ca="1"/>
        <v>#NAME?</v>
      </c>
      <c r="CO944" s="32" t="e">
        <f ca="1"/>
        <v>#NAME?</v>
      </c>
      <c r="CP944" s="32" t="e">
        <f ca="1"/>
        <v>#NAME?</v>
      </c>
      <c r="CQ944" s="32" t="e">
        <f ca="1"/>
        <v>#NAME?</v>
      </c>
      <c r="CR944" s="30" t="e">
        <f ca="1"/>
        <v>#NAME?</v>
      </c>
      <c r="CS944" s="30" t="str">
        <f ca="1">IFERROR(__xludf.DUMMYFUNCTION("""COMPUTED_VALUE"""),"")</f>
        <v/>
      </c>
    </row>
    <row r="945" spans="1:97" ht="13">
      <c r="A945" s="29"/>
      <c r="C945" s="32"/>
      <c r="I945" s="34"/>
      <c r="BP945" s="29"/>
      <c r="CC945" s="30" t="str">
        <f ca="1">IFERROR(__xludf.DUMMYFUNCTION("""COMPUTED_VALUE"""),"23c82105")</f>
        <v>23c82105</v>
      </c>
      <c r="CD945" s="29" t="str">
        <f ca="1">IFERROR(__xludf.DUMMYFUNCTION("""COMPUTED_VALUE"""),"Población General")</f>
        <v>Población General</v>
      </c>
      <c r="CE945" s="30" t="str">
        <f ca="1">IFERROR(__xludf.DUMMYFUNCTION("""COMPUTED_VALUE"""),"No se cuenta con el dato")</f>
        <v>No se cuenta con el dato</v>
      </c>
      <c r="CF945" s="30" t="str">
        <f ca="1">IFERROR(__xludf.DUMMYFUNCTION("""COMPUTED_VALUE"""),"Ninguno (Población General)")</f>
        <v>Ninguno (Población General)</v>
      </c>
      <c r="CG945" s="30">
        <f ca="1">IFERROR(__xludf.DUMMYFUNCTION("""COMPUTED_VALUE"""),250)</f>
        <v>250</v>
      </c>
      <c r="CJ945" s="29"/>
      <c r="CM945" s="30" t="str">
        <f ca="1">IFERROR(__xludf.DUMMYFUNCTION("""COMPUTED_VALUE"""),"")</f>
        <v/>
      </c>
      <c r="CN945" s="32" t="e">
        <f ca="1"/>
        <v>#NAME?</v>
      </c>
      <c r="CO945" s="32" t="e">
        <f ca="1"/>
        <v>#NAME?</v>
      </c>
      <c r="CP945" s="32" t="e">
        <f ca="1"/>
        <v>#NAME?</v>
      </c>
      <c r="CQ945" s="32" t="e">
        <f ca="1"/>
        <v>#NAME?</v>
      </c>
      <c r="CR945" s="30" t="e">
        <f ca="1"/>
        <v>#NAME?</v>
      </c>
      <c r="CS945" s="30" t="str">
        <f ca="1">IFERROR(__xludf.DUMMYFUNCTION("""COMPUTED_VALUE"""),"")</f>
        <v/>
      </c>
    </row>
    <row r="946" spans="1:97" ht="13">
      <c r="A946" s="29"/>
      <c r="C946" s="32"/>
      <c r="I946" s="34"/>
      <c r="BP946" s="29"/>
      <c r="CC946" s="30" t="str">
        <f ca="1">IFERROR(__xludf.DUMMYFUNCTION("""COMPUTED_VALUE"""),"05f32055")</f>
        <v>05f32055</v>
      </c>
      <c r="CD946" s="29" t="str">
        <f ca="1">IFERROR(__xludf.DUMMYFUNCTION("""COMPUTED_VALUE"""),"Población General")</f>
        <v>Población General</v>
      </c>
      <c r="CE946" s="30" t="str">
        <f ca="1">IFERROR(__xludf.DUMMYFUNCTION("""COMPUTED_VALUE"""),"No se cuenta con el dato")</f>
        <v>No se cuenta con el dato</v>
      </c>
      <c r="CF946" s="30" t="str">
        <f ca="1">IFERROR(__xludf.DUMMYFUNCTION("""COMPUTED_VALUE"""),"Ninguno (Población General)")</f>
        <v>Ninguno (Población General)</v>
      </c>
      <c r="CG946" s="30">
        <f ca="1">IFERROR(__xludf.DUMMYFUNCTION("""COMPUTED_VALUE"""),60)</f>
        <v>60</v>
      </c>
      <c r="CJ946" s="29"/>
      <c r="CM946" s="30" t="str">
        <f ca="1">IFERROR(__xludf.DUMMYFUNCTION("""COMPUTED_VALUE"""),"")</f>
        <v/>
      </c>
      <c r="CN946" s="32" t="e">
        <f ca="1"/>
        <v>#NAME?</v>
      </c>
      <c r="CO946" s="32" t="e">
        <f ca="1"/>
        <v>#NAME?</v>
      </c>
      <c r="CP946" s="32" t="e">
        <f ca="1"/>
        <v>#NAME?</v>
      </c>
      <c r="CQ946" s="32" t="e">
        <f ca="1"/>
        <v>#NAME?</v>
      </c>
      <c r="CR946" s="30" t="e">
        <f ca="1"/>
        <v>#NAME?</v>
      </c>
      <c r="CS946" s="30" t="str">
        <f ca="1">IFERROR(__xludf.DUMMYFUNCTION("""COMPUTED_VALUE"""),"")</f>
        <v/>
      </c>
    </row>
    <row r="947" spans="1:97" ht="13">
      <c r="A947" s="29"/>
      <c r="C947" s="32"/>
      <c r="I947" s="34"/>
      <c r="BP947" s="29"/>
      <c r="CC947" s="30" t="str">
        <f ca="1">IFERROR(__xludf.DUMMYFUNCTION("""COMPUTED_VALUE"""),"62718a61")</f>
        <v>62718a61</v>
      </c>
      <c r="CD947" s="29" t="str">
        <f ca="1">IFERROR(__xludf.DUMMYFUNCTION("""COMPUTED_VALUE"""),"Adultos Mayores (60 años o más)")</f>
        <v>Adultos Mayores (60 años o más)</v>
      </c>
      <c r="CE947" s="30" t="str">
        <f ca="1">IFERROR(__xludf.DUMMYFUNCTION("""COMPUTED_VALUE"""),"No se cuenta con el dato")</f>
        <v>No se cuenta con el dato</v>
      </c>
      <c r="CF947" s="30" t="str">
        <f ca="1">IFERROR(__xludf.DUMMYFUNCTION("""COMPUTED_VALUE"""),"Ninguno (Población General)")</f>
        <v>Ninguno (Población General)</v>
      </c>
      <c r="CG947" s="30">
        <f ca="1">IFERROR(__xludf.DUMMYFUNCTION("""COMPUTED_VALUE"""),38)</f>
        <v>38</v>
      </c>
      <c r="CJ947" s="29"/>
      <c r="CM947" s="30" t="str">
        <f ca="1">IFERROR(__xludf.DUMMYFUNCTION("""COMPUTED_VALUE"""),"")</f>
        <v/>
      </c>
      <c r="CN947" s="32" t="e">
        <f ca="1"/>
        <v>#NAME?</v>
      </c>
      <c r="CO947" s="32" t="e">
        <f ca="1"/>
        <v>#NAME?</v>
      </c>
      <c r="CP947" s="32" t="e">
        <f ca="1"/>
        <v>#NAME?</v>
      </c>
      <c r="CQ947" s="32" t="e">
        <f ca="1"/>
        <v>#NAME?</v>
      </c>
      <c r="CR947" s="30" t="e">
        <f ca="1"/>
        <v>#NAME?</v>
      </c>
      <c r="CS947" s="30" t="str">
        <f ca="1">IFERROR(__xludf.DUMMYFUNCTION("""COMPUTED_VALUE"""),"")</f>
        <v/>
      </c>
    </row>
    <row r="948" spans="1:97" ht="13">
      <c r="A948" s="29"/>
      <c r="C948" s="32"/>
      <c r="I948" s="34"/>
      <c r="BP948" s="29"/>
      <c r="CC948" s="30" t="str">
        <f ca="1">IFERROR(__xludf.DUMMYFUNCTION("""COMPUTED_VALUE"""),"19d0969e")</f>
        <v>19d0969e</v>
      </c>
      <c r="CD948" s="29" t="str">
        <f ca="1">IFERROR(__xludf.DUMMYFUNCTION("""COMPUTED_VALUE"""),"Jóvenes (18 a 29 años)")</f>
        <v>Jóvenes (18 a 29 años)</v>
      </c>
      <c r="CE948" s="30" t="str">
        <f ca="1">IFERROR(__xludf.DUMMYFUNCTION("""COMPUTED_VALUE"""),"No se cuenta con el dato")</f>
        <v>No se cuenta con el dato</v>
      </c>
      <c r="CF948" s="30" t="str">
        <f ca="1">IFERROR(__xludf.DUMMYFUNCTION("""COMPUTED_VALUE"""),"Ninguno (Población General)")</f>
        <v>Ninguno (Población General)</v>
      </c>
      <c r="CG948" s="30">
        <f ca="1">IFERROR(__xludf.DUMMYFUNCTION("""COMPUTED_VALUE"""),4)</f>
        <v>4</v>
      </c>
      <c r="CJ948" s="29"/>
      <c r="CM948" s="30" t="str">
        <f ca="1">IFERROR(__xludf.DUMMYFUNCTION("""COMPUTED_VALUE"""),"")</f>
        <v/>
      </c>
      <c r="CN948" s="32" t="e">
        <f ca="1"/>
        <v>#NAME?</v>
      </c>
      <c r="CO948" s="32" t="e">
        <f ca="1"/>
        <v>#NAME?</v>
      </c>
      <c r="CP948" s="32" t="e">
        <f ca="1"/>
        <v>#NAME?</v>
      </c>
      <c r="CQ948" s="32" t="e">
        <f ca="1"/>
        <v>#NAME?</v>
      </c>
      <c r="CR948" s="30" t="e">
        <f ca="1"/>
        <v>#NAME?</v>
      </c>
      <c r="CS948" s="30" t="str">
        <f ca="1">IFERROR(__xludf.DUMMYFUNCTION("""COMPUTED_VALUE"""),"")</f>
        <v/>
      </c>
    </row>
    <row r="949" spans="1:97" ht="13">
      <c r="A949" s="29"/>
      <c r="C949" s="32"/>
      <c r="I949" s="34"/>
      <c r="BP949" s="29"/>
      <c r="CC949" s="30" t="str">
        <f ca="1">IFERROR(__xludf.DUMMYFUNCTION("""COMPUTED_VALUE"""),"30740161")</f>
        <v>30740161</v>
      </c>
      <c r="CD949" s="29" t="str">
        <f ca="1">IFERROR(__xludf.DUMMYFUNCTION("""COMPUTED_VALUE"""),"Niñas y Niños (6 a 12 años)")</f>
        <v>Niñas y Niños (6 a 12 años)</v>
      </c>
      <c r="CE949" s="30" t="str">
        <f ca="1">IFERROR(__xludf.DUMMYFUNCTION("""COMPUTED_VALUE"""),"Mujer")</f>
        <v>Mujer</v>
      </c>
      <c r="CF949" s="30" t="str">
        <f ca="1">IFERROR(__xludf.DUMMYFUNCTION("""COMPUTED_VALUE"""),"NNA (Niñas, Niños y Adolescentes)")</f>
        <v>NNA (Niñas, Niños y Adolescentes)</v>
      </c>
      <c r="CG949" s="30">
        <f ca="1">IFERROR(__xludf.DUMMYFUNCTION("""COMPUTED_VALUE"""),9)</f>
        <v>9</v>
      </c>
      <c r="CJ949" s="29"/>
      <c r="CM949" s="30" t="str">
        <f ca="1">IFERROR(__xludf.DUMMYFUNCTION("""COMPUTED_VALUE"""),"")</f>
        <v/>
      </c>
      <c r="CN949" s="32" t="e">
        <f ca="1"/>
        <v>#NAME?</v>
      </c>
      <c r="CO949" s="32" t="e">
        <f ca="1"/>
        <v>#NAME?</v>
      </c>
      <c r="CP949" s="32" t="e">
        <f ca="1"/>
        <v>#NAME?</v>
      </c>
      <c r="CQ949" s="32" t="e">
        <f ca="1"/>
        <v>#NAME?</v>
      </c>
      <c r="CR949" s="30" t="e">
        <f ca="1"/>
        <v>#NAME?</v>
      </c>
      <c r="CS949" s="30" t="str">
        <f ca="1">IFERROR(__xludf.DUMMYFUNCTION("""COMPUTED_VALUE"""),"")</f>
        <v/>
      </c>
    </row>
    <row r="950" spans="1:97" ht="13">
      <c r="A950" s="29"/>
      <c r="C950" s="32"/>
      <c r="I950" s="34"/>
      <c r="BP950" s="29"/>
      <c r="CC950" s="30" t="str">
        <f ca="1">IFERROR(__xludf.DUMMYFUNCTION("""COMPUTED_VALUE"""),"efafa465")</f>
        <v>efafa465</v>
      </c>
      <c r="CD950" s="29" t="str">
        <f ca="1">IFERROR(__xludf.DUMMYFUNCTION("""COMPUTED_VALUE"""),"Niñas y Niños (6 a 12 años)")</f>
        <v>Niñas y Niños (6 a 12 años)</v>
      </c>
      <c r="CE950" s="30" t="str">
        <f ca="1">IFERROR(__xludf.DUMMYFUNCTION("""COMPUTED_VALUE"""),"Hombre")</f>
        <v>Hombre</v>
      </c>
      <c r="CF950" s="30" t="str">
        <f ca="1">IFERROR(__xludf.DUMMYFUNCTION("""COMPUTED_VALUE"""),"NNA (Niñas, Niños y Adolescentes)")</f>
        <v>NNA (Niñas, Niños y Adolescentes)</v>
      </c>
      <c r="CG950" s="30">
        <f ca="1">IFERROR(__xludf.DUMMYFUNCTION("""COMPUTED_VALUE"""),8)</f>
        <v>8</v>
      </c>
      <c r="CJ950" s="29"/>
      <c r="CM950" s="30" t="str">
        <f ca="1">IFERROR(__xludf.DUMMYFUNCTION("""COMPUTED_VALUE"""),"")</f>
        <v/>
      </c>
      <c r="CN950" s="32" t="e">
        <f ca="1"/>
        <v>#NAME?</v>
      </c>
      <c r="CO950" s="32" t="e">
        <f ca="1"/>
        <v>#NAME?</v>
      </c>
      <c r="CP950" s="32" t="e">
        <f ca="1"/>
        <v>#NAME?</v>
      </c>
      <c r="CQ950" s="32" t="e">
        <f ca="1"/>
        <v>#NAME?</v>
      </c>
      <c r="CR950" s="30" t="e">
        <f ca="1"/>
        <v>#NAME?</v>
      </c>
      <c r="CS950" s="30" t="str">
        <f ca="1">IFERROR(__xludf.DUMMYFUNCTION("""COMPUTED_VALUE"""),"")</f>
        <v/>
      </c>
    </row>
    <row r="951" spans="1:97" ht="13">
      <c r="A951" s="29"/>
      <c r="C951" s="32"/>
      <c r="I951" s="34"/>
      <c r="BP951" s="29"/>
      <c r="CC951" s="30" t="str">
        <f ca="1">IFERROR(__xludf.DUMMYFUNCTION("""COMPUTED_VALUE"""),"4b2c0f3a")</f>
        <v>4b2c0f3a</v>
      </c>
      <c r="CD951" s="29" t="str">
        <f ca="1">IFERROR(__xludf.DUMMYFUNCTION("""COMPUTED_VALUE"""),"Adolescentes (13 a 17 años)")</f>
        <v>Adolescentes (13 a 17 años)</v>
      </c>
      <c r="CE951" s="30" t="str">
        <f ca="1">IFERROR(__xludf.DUMMYFUNCTION("""COMPUTED_VALUE"""),"Mujer")</f>
        <v>Mujer</v>
      </c>
      <c r="CF951" s="30" t="str">
        <f ca="1">IFERROR(__xludf.DUMMYFUNCTION("""COMPUTED_VALUE"""),"NNA (Niñas, Niños y Adolescentes)")</f>
        <v>NNA (Niñas, Niños y Adolescentes)</v>
      </c>
      <c r="CG951" s="30">
        <f ca="1">IFERROR(__xludf.DUMMYFUNCTION("""COMPUTED_VALUE"""),57)</f>
        <v>57</v>
      </c>
      <c r="CJ951" s="29"/>
      <c r="CM951" s="30" t="str">
        <f ca="1">IFERROR(__xludf.DUMMYFUNCTION("""COMPUTED_VALUE"""),"")</f>
        <v/>
      </c>
      <c r="CN951" s="32" t="e">
        <f ca="1"/>
        <v>#NAME?</v>
      </c>
      <c r="CO951" s="32" t="e">
        <f ca="1"/>
        <v>#NAME?</v>
      </c>
      <c r="CP951" s="32" t="e">
        <f ca="1"/>
        <v>#NAME?</v>
      </c>
      <c r="CQ951" s="32" t="e">
        <f ca="1"/>
        <v>#NAME?</v>
      </c>
      <c r="CR951" s="30" t="e">
        <f ca="1"/>
        <v>#NAME?</v>
      </c>
      <c r="CS951" s="30" t="str">
        <f ca="1">IFERROR(__xludf.DUMMYFUNCTION("""COMPUTED_VALUE"""),"")</f>
        <v/>
      </c>
    </row>
    <row r="952" spans="1:97" ht="13">
      <c r="A952" s="29"/>
      <c r="C952" s="32"/>
      <c r="I952" s="34"/>
      <c r="BP952" s="29"/>
      <c r="CC952" s="30" t="str">
        <f ca="1">IFERROR(__xludf.DUMMYFUNCTION("""COMPUTED_VALUE"""),"e1d1d3bd")</f>
        <v>e1d1d3bd</v>
      </c>
      <c r="CD952" s="29" t="str">
        <f ca="1">IFERROR(__xludf.DUMMYFUNCTION("""COMPUTED_VALUE"""),"Adolescentes (13 a 17 años)")</f>
        <v>Adolescentes (13 a 17 años)</v>
      </c>
      <c r="CE952" s="30" t="str">
        <f ca="1">IFERROR(__xludf.DUMMYFUNCTION("""COMPUTED_VALUE"""),"Hombre")</f>
        <v>Hombre</v>
      </c>
      <c r="CF952" s="30" t="str">
        <f ca="1">IFERROR(__xludf.DUMMYFUNCTION("""COMPUTED_VALUE"""),"NNA (Niñas, Niños y Adolescentes)")</f>
        <v>NNA (Niñas, Niños y Adolescentes)</v>
      </c>
      <c r="CG952" s="30">
        <f ca="1">IFERROR(__xludf.DUMMYFUNCTION("""COMPUTED_VALUE"""),55)</f>
        <v>55</v>
      </c>
      <c r="CJ952" s="29"/>
      <c r="CM952" s="30" t="str">
        <f ca="1">IFERROR(__xludf.DUMMYFUNCTION("""COMPUTED_VALUE"""),"")</f>
        <v/>
      </c>
      <c r="CN952" s="32" t="e">
        <f ca="1"/>
        <v>#NAME?</v>
      </c>
      <c r="CO952" s="32" t="e">
        <f ca="1"/>
        <v>#NAME?</v>
      </c>
      <c r="CP952" s="32" t="e">
        <f ca="1"/>
        <v>#NAME?</v>
      </c>
      <c r="CQ952" s="32" t="e">
        <f ca="1"/>
        <v>#NAME?</v>
      </c>
      <c r="CR952" s="30" t="e">
        <f ca="1"/>
        <v>#NAME?</v>
      </c>
      <c r="CS952" s="30" t="str">
        <f ca="1">IFERROR(__xludf.DUMMYFUNCTION("""COMPUTED_VALUE"""),"")</f>
        <v/>
      </c>
    </row>
    <row r="953" spans="1:97" ht="13">
      <c r="A953" s="29"/>
      <c r="C953" s="32"/>
      <c r="I953" s="34"/>
      <c r="BP953" s="29"/>
      <c r="CC953" s="30" t="str">
        <f ca="1">IFERROR(__xludf.DUMMYFUNCTION("""COMPUTED_VALUE"""),"d5823e3c")</f>
        <v>d5823e3c</v>
      </c>
      <c r="CD953" s="29" t="str">
        <f ca="1">IFERROR(__xludf.DUMMYFUNCTION("""COMPUTED_VALUE"""),"Niñas y Niños (6 a 12 años)")</f>
        <v>Niñas y Niños (6 a 12 años)</v>
      </c>
      <c r="CE953" s="30" t="str">
        <f ca="1">IFERROR(__xludf.DUMMYFUNCTION("""COMPUTED_VALUE"""),"No se cuenta con el dato")</f>
        <v>No se cuenta con el dato</v>
      </c>
      <c r="CF953" s="30" t="str">
        <f ca="1">IFERROR(__xludf.DUMMYFUNCTION("""COMPUTED_VALUE"""),"NNA (Niñas, Niños y Adolescentes)")</f>
        <v>NNA (Niñas, Niños y Adolescentes)</v>
      </c>
      <c r="CG953" s="30">
        <f ca="1">IFERROR(__xludf.DUMMYFUNCTION("""COMPUTED_VALUE"""),14)</f>
        <v>14</v>
      </c>
      <c r="CJ953" s="29"/>
      <c r="CM953" s="30" t="str">
        <f ca="1">IFERROR(__xludf.DUMMYFUNCTION("""COMPUTED_VALUE"""),"")</f>
        <v/>
      </c>
      <c r="CN953" s="32" t="e">
        <f ca="1"/>
        <v>#NAME?</v>
      </c>
      <c r="CO953" s="32" t="e">
        <f ca="1"/>
        <v>#NAME?</v>
      </c>
      <c r="CP953" s="32" t="e">
        <f ca="1"/>
        <v>#NAME?</v>
      </c>
      <c r="CQ953" s="32" t="e">
        <f ca="1"/>
        <v>#NAME?</v>
      </c>
      <c r="CR953" s="30" t="e">
        <f ca="1"/>
        <v>#NAME?</v>
      </c>
      <c r="CS953" s="30" t="str">
        <f ca="1">IFERROR(__xludf.DUMMYFUNCTION("""COMPUTED_VALUE"""),"")</f>
        <v/>
      </c>
    </row>
    <row r="954" spans="1:97" ht="13">
      <c r="A954" s="29"/>
      <c r="C954" s="32"/>
      <c r="I954" s="34"/>
      <c r="BP954" s="29"/>
      <c r="CC954" s="30" t="str">
        <f ca="1">IFERROR(__xludf.DUMMYFUNCTION("""COMPUTED_VALUE"""),"a7944f30")</f>
        <v>a7944f30</v>
      </c>
      <c r="CD954" s="29" t="str">
        <f ca="1">IFERROR(__xludf.DUMMYFUNCTION("""COMPUTED_VALUE"""),"Jóvenes (18 a 29 años)")</f>
        <v>Jóvenes (18 a 29 años)</v>
      </c>
      <c r="CE954" s="30" t="str">
        <f ca="1">IFERROR(__xludf.DUMMYFUNCTION("""COMPUTED_VALUE"""),"No se cuenta con el dato")</f>
        <v>No se cuenta con el dato</v>
      </c>
      <c r="CF954" s="30" t="str">
        <f ca="1">IFERROR(__xludf.DUMMYFUNCTION("""COMPUTED_VALUE"""),"Comunidad LGBTIQ+")</f>
        <v>Comunidad LGBTIQ+</v>
      </c>
      <c r="CG954" s="30">
        <f ca="1">IFERROR(__xludf.DUMMYFUNCTION("""COMPUTED_VALUE"""),19)</f>
        <v>19</v>
      </c>
      <c r="CJ954" s="29"/>
      <c r="CM954" s="30" t="str">
        <f ca="1">IFERROR(__xludf.DUMMYFUNCTION("""COMPUTED_VALUE"""),"")</f>
        <v/>
      </c>
      <c r="CN954" s="32" t="e">
        <f ca="1"/>
        <v>#NAME?</v>
      </c>
      <c r="CO954" s="32" t="e">
        <f ca="1"/>
        <v>#NAME?</v>
      </c>
      <c r="CP954" s="32" t="e">
        <f ca="1"/>
        <v>#NAME?</v>
      </c>
      <c r="CQ954" s="32" t="e">
        <f ca="1"/>
        <v>#NAME?</v>
      </c>
      <c r="CR954" s="30" t="e">
        <f ca="1"/>
        <v>#NAME?</v>
      </c>
      <c r="CS954" s="30" t="str">
        <f ca="1">IFERROR(__xludf.DUMMYFUNCTION("""COMPUTED_VALUE"""),"")</f>
        <v/>
      </c>
    </row>
    <row r="955" spans="1:97" ht="13">
      <c r="A955" s="29"/>
      <c r="C955" s="32"/>
      <c r="I955" s="34"/>
      <c r="BP955" s="29"/>
      <c r="CC955" s="30" t="str">
        <f ca="1">IFERROR(__xludf.DUMMYFUNCTION("""COMPUTED_VALUE"""),"2d3fc2cc")</f>
        <v>2d3fc2cc</v>
      </c>
      <c r="CD955" s="29" t="str">
        <f ca="1">IFERROR(__xludf.DUMMYFUNCTION("""COMPUTED_VALUE"""),"Adolescentes (13 a 17 años)")</f>
        <v>Adolescentes (13 a 17 años)</v>
      </c>
      <c r="CE955" s="30" t="str">
        <f ca="1">IFERROR(__xludf.DUMMYFUNCTION("""COMPUTED_VALUE"""),"Dato global")</f>
        <v>Dato global</v>
      </c>
      <c r="CF955" s="30" t="str">
        <f ca="1">IFERROR(__xludf.DUMMYFUNCTION("""COMPUTED_VALUE"""),"Ninguno (Población General)")</f>
        <v>Ninguno (Población General)</v>
      </c>
      <c r="CG955" s="30">
        <f ca="1">IFERROR(__xludf.DUMMYFUNCTION("""COMPUTED_VALUE"""),7)</f>
        <v>7</v>
      </c>
      <c r="CJ955" s="29"/>
      <c r="CM955" s="30" t="str">
        <f ca="1">IFERROR(__xludf.DUMMYFUNCTION("""COMPUTED_VALUE"""),"")</f>
        <v/>
      </c>
      <c r="CN955" s="32" t="e">
        <f ca="1"/>
        <v>#NAME?</v>
      </c>
      <c r="CO955" s="32" t="e">
        <f ca="1"/>
        <v>#NAME?</v>
      </c>
      <c r="CP955" s="32" t="e">
        <f ca="1"/>
        <v>#NAME?</v>
      </c>
      <c r="CQ955" s="32" t="e">
        <f ca="1"/>
        <v>#NAME?</v>
      </c>
      <c r="CR955" s="30" t="e">
        <f ca="1"/>
        <v>#NAME?</v>
      </c>
      <c r="CS955" s="30" t="str">
        <f ca="1">IFERROR(__xludf.DUMMYFUNCTION("""COMPUTED_VALUE"""),"")</f>
        <v/>
      </c>
    </row>
    <row r="956" spans="1:97" ht="13">
      <c r="A956" s="29"/>
      <c r="C956" s="32"/>
      <c r="I956" s="34"/>
      <c r="BP956" s="29"/>
      <c r="CC956" s="30" t="str">
        <f ca="1">IFERROR(__xludf.DUMMYFUNCTION("""COMPUTED_VALUE"""),"690733a7")</f>
        <v>690733a7</v>
      </c>
      <c r="CD956" s="29" t="str">
        <f ca="1">IFERROR(__xludf.DUMMYFUNCTION("""COMPUTED_VALUE"""),"Jóvenes (18 a 29 años)")</f>
        <v>Jóvenes (18 a 29 años)</v>
      </c>
      <c r="CE956" s="30" t="str">
        <f ca="1">IFERROR(__xludf.DUMMYFUNCTION("""COMPUTED_VALUE"""),"No se cuenta con el dato")</f>
        <v>No se cuenta con el dato</v>
      </c>
      <c r="CF956" s="30" t="str">
        <f ca="1">IFERROR(__xludf.DUMMYFUNCTION("""COMPUTED_VALUE"""),"Ninguno (Población General)")</f>
        <v>Ninguno (Población General)</v>
      </c>
      <c r="CG956" s="30">
        <f ca="1">IFERROR(__xludf.DUMMYFUNCTION("""COMPUTED_VALUE"""),25)</f>
        <v>25</v>
      </c>
      <c r="CJ956" s="29"/>
      <c r="CM956" s="30" t="str">
        <f ca="1">IFERROR(__xludf.DUMMYFUNCTION("""COMPUTED_VALUE"""),"")</f>
        <v/>
      </c>
      <c r="CN956" s="32" t="e">
        <f ca="1"/>
        <v>#NAME?</v>
      </c>
      <c r="CO956" s="32" t="e">
        <f ca="1"/>
        <v>#NAME?</v>
      </c>
      <c r="CP956" s="32" t="e">
        <f ca="1"/>
        <v>#NAME?</v>
      </c>
      <c r="CQ956" s="32" t="e">
        <f ca="1"/>
        <v>#NAME?</v>
      </c>
      <c r="CR956" s="30" t="e">
        <f ca="1"/>
        <v>#NAME?</v>
      </c>
      <c r="CS956" s="30" t="str">
        <f ca="1">IFERROR(__xludf.DUMMYFUNCTION("""COMPUTED_VALUE"""),"")</f>
        <v/>
      </c>
    </row>
    <row r="957" spans="1:97" ht="13">
      <c r="A957" s="29"/>
      <c r="C957" s="32"/>
      <c r="I957" s="34"/>
      <c r="BP957" s="29"/>
      <c r="CC957" s="30" t="str">
        <f ca="1">IFERROR(__xludf.DUMMYFUNCTION("""COMPUTED_VALUE"""),"b9ae0ae3")</f>
        <v>b9ae0ae3</v>
      </c>
      <c r="CD957" s="29" t="str">
        <f ca="1">IFERROR(__xludf.DUMMYFUNCTION("""COMPUTED_VALUE"""),"Jóvenes (18 a 29 años)")</f>
        <v>Jóvenes (18 a 29 años)</v>
      </c>
      <c r="CE957" s="30" t="str">
        <f ca="1">IFERROR(__xludf.DUMMYFUNCTION("""COMPUTED_VALUE"""),"No se cuenta con el dato")</f>
        <v>No se cuenta con el dato</v>
      </c>
      <c r="CF957" s="30" t="str">
        <f ca="1">IFERROR(__xludf.DUMMYFUNCTION("""COMPUTED_VALUE"""),"Ninguno (Población General)")</f>
        <v>Ninguno (Población General)</v>
      </c>
      <c r="CG957" s="30">
        <f ca="1">IFERROR(__xludf.DUMMYFUNCTION("""COMPUTED_VALUE"""),28)</f>
        <v>28</v>
      </c>
      <c r="CJ957" s="29"/>
      <c r="CM957" s="30" t="str">
        <f ca="1">IFERROR(__xludf.DUMMYFUNCTION("""COMPUTED_VALUE"""),"")</f>
        <v/>
      </c>
      <c r="CN957" s="32" t="e">
        <f ca="1"/>
        <v>#NAME?</v>
      </c>
      <c r="CO957" s="32" t="e">
        <f ca="1"/>
        <v>#NAME?</v>
      </c>
      <c r="CP957" s="32" t="e">
        <f ca="1"/>
        <v>#NAME?</v>
      </c>
      <c r="CQ957" s="32" t="e">
        <f ca="1"/>
        <v>#NAME?</v>
      </c>
      <c r="CR957" s="30" t="e">
        <f ca="1"/>
        <v>#NAME?</v>
      </c>
      <c r="CS957" s="30" t="str">
        <f ca="1">IFERROR(__xludf.DUMMYFUNCTION("""COMPUTED_VALUE"""),"")</f>
        <v/>
      </c>
    </row>
    <row r="958" spans="1:97" ht="13">
      <c r="A958" s="29"/>
      <c r="C958" s="32"/>
      <c r="I958" s="34"/>
      <c r="BP958" s="29"/>
      <c r="CC958" s="30" t="str">
        <f ca="1">IFERROR(__xludf.DUMMYFUNCTION("""COMPUTED_VALUE"""),"8ed98d01")</f>
        <v>8ed98d01</v>
      </c>
      <c r="CD958" s="29" t="str">
        <f ca="1">IFERROR(__xludf.DUMMYFUNCTION("""COMPUTED_VALUE"""),"Jóvenes (18 a 29 años)")</f>
        <v>Jóvenes (18 a 29 años)</v>
      </c>
      <c r="CE958" s="30" t="str">
        <f ca="1">IFERROR(__xludf.DUMMYFUNCTION("""COMPUTED_VALUE"""),"No se cuenta con el dato")</f>
        <v>No se cuenta con el dato</v>
      </c>
      <c r="CF958" s="30" t="str">
        <f ca="1">IFERROR(__xludf.DUMMYFUNCTION("""COMPUTED_VALUE"""),"Ninguno (Población General)")</f>
        <v>Ninguno (Población General)</v>
      </c>
      <c r="CG958" s="30">
        <f ca="1">IFERROR(__xludf.DUMMYFUNCTION("""COMPUTED_VALUE"""),12)</f>
        <v>12</v>
      </c>
      <c r="CJ958" s="29"/>
      <c r="CM958" s="30" t="str">
        <f ca="1">IFERROR(__xludf.DUMMYFUNCTION("""COMPUTED_VALUE"""),"")</f>
        <v/>
      </c>
      <c r="CN958" s="32" t="e">
        <f ca="1"/>
        <v>#NAME?</v>
      </c>
      <c r="CO958" s="32" t="e">
        <f ca="1"/>
        <v>#NAME?</v>
      </c>
      <c r="CP958" s="32" t="e">
        <f ca="1"/>
        <v>#NAME?</v>
      </c>
      <c r="CQ958" s="32" t="e">
        <f ca="1"/>
        <v>#NAME?</v>
      </c>
      <c r="CR958" s="30" t="e">
        <f ca="1"/>
        <v>#NAME?</v>
      </c>
      <c r="CS958" s="30" t="str">
        <f ca="1">IFERROR(__xludf.DUMMYFUNCTION("""COMPUTED_VALUE"""),"")</f>
        <v/>
      </c>
    </row>
    <row r="959" spans="1:97" ht="13">
      <c r="A959" s="29"/>
      <c r="C959" s="32"/>
      <c r="I959" s="34"/>
      <c r="BP959" s="29"/>
      <c r="CC959" s="30" t="str">
        <f ca="1">IFERROR(__xludf.DUMMYFUNCTION("""COMPUTED_VALUE"""),"62425bed")</f>
        <v>62425bed</v>
      </c>
      <c r="CD959" s="29" t="str">
        <f ca="1">IFERROR(__xludf.DUMMYFUNCTION("""COMPUTED_VALUE"""),"Jóvenes (18 a 29 años)")</f>
        <v>Jóvenes (18 a 29 años)</v>
      </c>
      <c r="CE959" s="30" t="str">
        <f ca="1">IFERROR(__xludf.DUMMYFUNCTION("""COMPUTED_VALUE"""),"Mujer")</f>
        <v>Mujer</v>
      </c>
      <c r="CF959" s="30" t="str">
        <f ca="1">IFERROR(__xludf.DUMMYFUNCTION("""COMPUTED_VALUE"""),"Ninguno (Población General)")</f>
        <v>Ninguno (Población General)</v>
      </c>
      <c r="CG959" s="30">
        <f ca="1">IFERROR(__xludf.DUMMYFUNCTION("""COMPUTED_VALUE"""),5)</f>
        <v>5</v>
      </c>
      <c r="CJ959" s="29"/>
      <c r="CM959" s="30" t="str">
        <f ca="1">IFERROR(__xludf.DUMMYFUNCTION("""COMPUTED_VALUE"""),"")</f>
        <v/>
      </c>
      <c r="CN959" s="32" t="e">
        <f ca="1"/>
        <v>#NAME?</v>
      </c>
      <c r="CO959" s="32" t="e">
        <f ca="1"/>
        <v>#NAME?</v>
      </c>
      <c r="CP959" s="32" t="e">
        <f ca="1"/>
        <v>#NAME?</v>
      </c>
      <c r="CQ959" s="32" t="e">
        <f ca="1"/>
        <v>#NAME?</v>
      </c>
      <c r="CR959" s="30" t="e">
        <f ca="1"/>
        <v>#NAME?</v>
      </c>
      <c r="CS959" s="30" t="str">
        <f ca="1">IFERROR(__xludf.DUMMYFUNCTION("""COMPUTED_VALUE"""),"")</f>
        <v/>
      </c>
    </row>
    <row r="960" spans="1:97" ht="13">
      <c r="A960" s="29"/>
      <c r="C960" s="32"/>
      <c r="I960" s="34"/>
      <c r="BP960" s="29"/>
      <c r="CC960" s="30" t="str">
        <f ca="1">IFERROR(__xludf.DUMMYFUNCTION("""COMPUTED_VALUE"""),"3aef45ca")</f>
        <v>3aef45ca</v>
      </c>
      <c r="CD960" s="29" t="str">
        <f ca="1">IFERROR(__xludf.DUMMYFUNCTION("""COMPUTED_VALUE"""),"Jóvenes (18 a 29 años)")</f>
        <v>Jóvenes (18 a 29 años)</v>
      </c>
      <c r="CE960" s="30" t="str">
        <f ca="1">IFERROR(__xludf.DUMMYFUNCTION("""COMPUTED_VALUE"""),"Hombre")</f>
        <v>Hombre</v>
      </c>
      <c r="CF960" s="30" t="str">
        <f ca="1">IFERROR(__xludf.DUMMYFUNCTION("""COMPUTED_VALUE"""),"Ninguno (Población General)")</f>
        <v>Ninguno (Población General)</v>
      </c>
      <c r="CG960" s="30">
        <f ca="1">IFERROR(__xludf.DUMMYFUNCTION("""COMPUTED_VALUE"""),3)</f>
        <v>3</v>
      </c>
      <c r="CJ960" s="29"/>
      <c r="CM960" s="30" t="str">
        <f ca="1">IFERROR(__xludf.DUMMYFUNCTION("""COMPUTED_VALUE"""),"")</f>
        <v/>
      </c>
      <c r="CN960" s="32" t="e">
        <f ca="1"/>
        <v>#NAME?</v>
      </c>
      <c r="CO960" s="32" t="e">
        <f ca="1"/>
        <v>#NAME?</v>
      </c>
      <c r="CP960" s="32" t="e">
        <f ca="1"/>
        <v>#NAME?</v>
      </c>
      <c r="CQ960" s="32" t="e">
        <f ca="1"/>
        <v>#NAME?</v>
      </c>
      <c r="CR960" s="30" t="e">
        <f ca="1"/>
        <v>#NAME?</v>
      </c>
      <c r="CS960" s="30" t="str">
        <f ca="1">IFERROR(__xludf.DUMMYFUNCTION("""COMPUTED_VALUE"""),"")</f>
        <v/>
      </c>
    </row>
    <row r="961" spans="1:97" ht="13">
      <c r="A961" s="29"/>
      <c r="C961" s="32"/>
      <c r="I961" s="34"/>
      <c r="BP961" s="29"/>
      <c r="CC961" s="30" t="str">
        <f ca="1">IFERROR(__xludf.DUMMYFUNCTION("""COMPUTED_VALUE"""),"34615988")</f>
        <v>34615988</v>
      </c>
      <c r="CD961" s="29" t="str">
        <f ca="1">IFERROR(__xludf.DUMMYFUNCTION("""COMPUTED_VALUE"""),"Adultos (30 a 59 años)")</f>
        <v>Adultos (30 a 59 años)</v>
      </c>
      <c r="CE961" s="30" t="str">
        <f ca="1">IFERROR(__xludf.DUMMYFUNCTION("""COMPUTED_VALUE"""),"Mujer")</f>
        <v>Mujer</v>
      </c>
      <c r="CF961" s="30" t="str">
        <f ca="1">IFERROR(__xludf.DUMMYFUNCTION("""COMPUTED_VALUE"""),"Ninguno (Población General)")</f>
        <v>Ninguno (Población General)</v>
      </c>
      <c r="CG961" s="30">
        <f ca="1">IFERROR(__xludf.DUMMYFUNCTION("""COMPUTED_VALUE"""),11)</f>
        <v>11</v>
      </c>
      <c r="CJ961" s="29"/>
      <c r="CM961" s="30" t="str">
        <f ca="1">IFERROR(__xludf.DUMMYFUNCTION("""COMPUTED_VALUE"""),"")</f>
        <v/>
      </c>
      <c r="CN961" s="32" t="e">
        <f ca="1"/>
        <v>#NAME?</v>
      </c>
      <c r="CO961" s="32" t="e">
        <f ca="1"/>
        <v>#NAME?</v>
      </c>
      <c r="CP961" s="32" t="e">
        <f ca="1"/>
        <v>#NAME?</v>
      </c>
      <c r="CQ961" s="32" t="e">
        <f ca="1"/>
        <v>#NAME?</v>
      </c>
      <c r="CR961" s="30" t="e">
        <f ca="1"/>
        <v>#NAME?</v>
      </c>
      <c r="CS961" s="30" t="str">
        <f ca="1">IFERROR(__xludf.DUMMYFUNCTION("""COMPUTED_VALUE"""),"")</f>
        <v/>
      </c>
    </row>
    <row r="962" spans="1:97" ht="13">
      <c r="A962" s="29"/>
      <c r="C962" s="32"/>
      <c r="I962" s="34"/>
      <c r="BP962" s="29"/>
      <c r="CC962" s="30" t="str">
        <f ca="1">IFERROR(__xludf.DUMMYFUNCTION("""COMPUTED_VALUE"""),"2f6c6a7b")</f>
        <v>2f6c6a7b</v>
      </c>
      <c r="CD962" s="29" t="str">
        <f ca="1">IFERROR(__xludf.DUMMYFUNCTION("""COMPUTED_VALUE"""),"Adultos (30 a 59 años)")</f>
        <v>Adultos (30 a 59 años)</v>
      </c>
      <c r="CE962" s="30" t="str">
        <f ca="1">IFERROR(__xludf.DUMMYFUNCTION("""COMPUTED_VALUE"""),"Hombre")</f>
        <v>Hombre</v>
      </c>
      <c r="CF962" s="30" t="str">
        <f ca="1">IFERROR(__xludf.DUMMYFUNCTION("""COMPUTED_VALUE"""),"Ninguno (Población General)")</f>
        <v>Ninguno (Población General)</v>
      </c>
      <c r="CG962" s="30">
        <f ca="1">IFERROR(__xludf.DUMMYFUNCTION("""COMPUTED_VALUE"""),7)</f>
        <v>7</v>
      </c>
      <c r="CJ962" s="29"/>
      <c r="CM962" s="30" t="str">
        <f ca="1">IFERROR(__xludf.DUMMYFUNCTION("""COMPUTED_VALUE"""),"")</f>
        <v/>
      </c>
      <c r="CN962" s="32" t="e">
        <f ca="1"/>
        <v>#NAME?</v>
      </c>
      <c r="CO962" s="32" t="e">
        <f ca="1"/>
        <v>#NAME?</v>
      </c>
      <c r="CP962" s="32" t="e">
        <f ca="1"/>
        <v>#NAME?</v>
      </c>
      <c r="CQ962" s="32" t="e">
        <f ca="1"/>
        <v>#NAME?</v>
      </c>
      <c r="CR962" s="30" t="e">
        <f ca="1"/>
        <v>#NAME?</v>
      </c>
      <c r="CS962" s="30" t="str">
        <f ca="1">IFERROR(__xludf.DUMMYFUNCTION("""COMPUTED_VALUE"""),"")</f>
        <v/>
      </c>
    </row>
    <row r="963" spans="1:97" ht="13">
      <c r="A963" s="29"/>
      <c r="C963" s="32"/>
      <c r="I963" s="34"/>
      <c r="BP963" s="29"/>
      <c r="CC963" s="30" t="str">
        <f ca="1">IFERROR(__xludf.DUMMYFUNCTION("""COMPUTED_VALUE"""),"b0edb06e")</f>
        <v>b0edb06e</v>
      </c>
      <c r="CD963" s="29" t="str">
        <f ca="1">IFERROR(__xludf.DUMMYFUNCTION("""COMPUTED_VALUE"""),"Jóvenes (18 a 29 años)")</f>
        <v>Jóvenes (18 a 29 años)</v>
      </c>
      <c r="CE963" s="30" t="str">
        <f ca="1">IFERROR(__xludf.DUMMYFUNCTION("""COMPUTED_VALUE"""),"Mujer")</f>
        <v>Mujer</v>
      </c>
      <c r="CF963" s="30" t="str">
        <f ca="1">IFERROR(__xludf.DUMMYFUNCTION("""COMPUTED_VALUE"""),"Ninguno (Población General)")</f>
        <v>Ninguno (Población General)</v>
      </c>
      <c r="CG963" s="30">
        <f ca="1">IFERROR(__xludf.DUMMYFUNCTION("""COMPUTED_VALUE"""),2)</f>
        <v>2</v>
      </c>
      <c r="CJ963" s="29"/>
      <c r="CM963" s="30" t="str">
        <f ca="1">IFERROR(__xludf.DUMMYFUNCTION("""COMPUTED_VALUE"""),"")</f>
        <v/>
      </c>
      <c r="CN963" s="32" t="e">
        <f ca="1"/>
        <v>#NAME?</v>
      </c>
      <c r="CO963" s="32" t="e">
        <f ca="1"/>
        <v>#NAME?</v>
      </c>
      <c r="CP963" s="32" t="e">
        <f ca="1"/>
        <v>#NAME?</v>
      </c>
      <c r="CQ963" s="32" t="e">
        <f ca="1"/>
        <v>#NAME?</v>
      </c>
      <c r="CR963" s="30" t="e">
        <f ca="1"/>
        <v>#NAME?</v>
      </c>
      <c r="CS963" s="30" t="str">
        <f ca="1">IFERROR(__xludf.DUMMYFUNCTION("""COMPUTED_VALUE"""),"")</f>
        <v/>
      </c>
    </row>
    <row r="964" spans="1:97" ht="13">
      <c r="A964" s="29"/>
      <c r="C964" s="32"/>
      <c r="I964" s="34"/>
      <c r="BP964" s="29"/>
      <c r="CC964" s="30" t="str">
        <f ca="1">IFERROR(__xludf.DUMMYFUNCTION("""COMPUTED_VALUE"""),"6bc5f7b5")</f>
        <v>6bc5f7b5</v>
      </c>
      <c r="CD964" s="29" t="str">
        <f ca="1">IFERROR(__xludf.DUMMYFUNCTION("""COMPUTED_VALUE"""),"Adultos (30 a 59 años)")</f>
        <v>Adultos (30 a 59 años)</v>
      </c>
      <c r="CE964" s="30" t="str">
        <f ca="1">IFERROR(__xludf.DUMMYFUNCTION("""COMPUTED_VALUE"""),"Hombre")</f>
        <v>Hombre</v>
      </c>
      <c r="CF964" s="30" t="str">
        <f ca="1">IFERROR(__xludf.DUMMYFUNCTION("""COMPUTED_VALUE"""),"Ninguno (Población General)")</f>
        <v>Ninguno (Población General)</v>
      </c>
      <c r="CG964" s="30">
        <f ca="1">IFERROR(__xludf.DUMMYFUNCTION("""COMPUTED_VALUE"""),4)</f>
        <v>4</v>
      </c>
      <c r="CJ964" s="29"/>
      <c r="CM964" s="30" t="str">
        <f ca="1">IFERROR(__xludf.DUMMYFUNCTION("""COMPUTED_VALUE"""),"")</f>
        <v/>
      </c>
      <c r="CN964" s="32" t="e">
        <f ca="1"/>
        <v>#NAME?</v>
      </c>
      <c r="CO964" s="32" t="e">
        <f ca="1"/>
        <v>#NAME?</v>
      </c>
      <c r="CP964" s="32" t="e">
        <f ca="1"/>
        <v>#NAME?</v>
      </c>
      <c r="CQ964" s="32" t="e">
        <f ca="1"/>
        <v>#NAME?</v>
      </c>
      <c r="CR964" s="30" t="e">
        <f ca="1"/>
        <v>#NAME?</v>
      </c>
      <c r="CS964" s="30" t="str">
        <f ca="1">IFERROR(__xludf.DUMMYFUNCTION("""COMPUTED_VALUE"""),"")</f>
        <v/>
      </c>
    </row>
    <row r="965" spans="1:97" ht="13">
      <c r="A965" s="29"/>
      <c r="C965" s="32"/>
      <c r="I965" s="34"/>
      <c r="BP965" s="29"/>
      <c r="CC965" s="30" t="str">
        <f ca="1">IFERROR(__xludf.DUMMYFUNCTION("""COMPUTED_VALUE"""),"c3e130c7")</f>
        <v>c3e130c7</v>
      </c>
      <c r="CD965" s="29" t="str">
        <f ca="1">IFERROR(__xludf.DUMMYFUNCTION("""COMPUTED_VALUE"""),"Adultos (30 a 59 años)")</f>
        <v>Adultos (30 a 59 años)</v>
      </c>
      <c r="CE965" s="30" t="str">
        <f ca="1">IFERROR(__xludf.DUMMYFUNCTION("""COMPUTED_VALUE"""),"Mujer")</f>
        <v>Mujer</v>
      </c>
      <c r="CF965" s="30" t="str">
        <f ca="1">IFERROR(__xludf.DUMMYFUNCTION("""COMPUTED_VALUE"""),"Ninguno (Población General)")</f>
        <v>Ninguno (Población General)</v>
      </c>
      <c r="CG965" s="30">
        <f ca="1">IFERROR(__xludf.DUMMYFUNCTION("""COMPUTED_VALUE"""),4)</f>
        <v>4</v>
      </c>
      <c r="CJ965" s="29"/>
      <c r="CM965" s="30" t="str">
        <f ca="1">IFERROR(__xludf.DUMMYFUNCTION("""COMPUTED_VALUE"""),"")</f>
        <v/>
      </c>
      <c r="CN965" s="32" t="e">
        <f ca="1"/>
        <v>#NAME?</v>
      </c>
      <c r="CO965" s="32" t="e">
        <f ca="1"/>
        <v>#NAME?</v>
      </c>
      <c r="CP965" s="32" t="e">
        <f ca="1"/>
        <v>#NAME?</v>
      </c>
      <c r="CQ965" s="32" t="e">
        <f ca="1"/>
        <v>#NAME?</v>
      </c>
      <c r="CR965" s="30" t="e">
        <f ca="1"/>
        <v>#NAME?</v>
      </c>
      <c r="CS965" s="30" t="str">
        <f ca="1">IFERROR(__xludf.DUMMYFUNCTION("""COMPUTED_VALUE"""),"")</f>
        <v/>
      </c>
    </row>
    <row r="966" spans="1:97" ht="13">
      <c r="A966" s="29"/>
      <c r="C966" s="32"/>
      <c r="I966" s="34"/>
      <c r="BP966" s="29"/>
      <c r="CC966" s="30" t="str">
        <f ca="1">IFERROR(__xludf.DUMMYFUNCTION("""COMPUTED_VALUE"""),"9815cd0f")</f>
        <v>9815cd0f</v>
      </c>
      <c r="CD966" s="29" t="str">
        <f ca="1">IFERROR(__xludf.DUMMYFUNCTION("""COMPUTED_VALUE"""),"Jóvenes (18 a 29 años)")</f>
        <v>Jóvenes (18 a 29 años)</v>
      </c>
      <c r="CE966" s="30" t="str">
        <f ca="1">IFERROR(__xludf.DUMMYFUNCTION("""COMPUTED_VALUE"""),"Mujer")</f>
        <v>Mujer</v>
      </c>
      <c r="CF966" s="30" t="str">
        <f ca="1">IFERROR(__xludf.DUMMYFUNCTION("""COMPUTED_VALUE"""),"Ninguno (Población General)")</f>
        <v>Ninguno (Población General)</v>
      </c>
      <c r="CG966" s="30">
        <f ca="1">IFERROR(__xludf.DUMMYFUNCTION("""COMPUTED_VALUE"""),2)</f>
        <v>2</v>
      </c>
      <c r="CJ966" s="29"/>
      <c r="CM966" s="30" t="str">
        <f ca="1">IFERROR(__xludf.DUMMYFUNCTION("""COMPUTED_VALUE"""),"")</f>
        <v/>
      </c>
      <c r="CN966" s="32" t="e">
        <f ca="1"/>
        <v>#NAME?</v>
      </c>
      <c r="CO966" s="32" t="e">
        <f ca="1"/>
        <v>#NAME?</v>
      </c>
      <c r="CP966" s="32" t="e">
        <f ca="1"/>
        <v>#NAME?</v>
      </c>
      <c r="CQ966" s="32" t="e">
        <f ca="1"/>
        <v>#NAME?</v>
      </c>
      <c r="CR966" s="30" t="e">
        <f ca="1"/>
        <v>#NAME?</v>
      </c>
      <c r="CS966" s="30" t="str">
        <f ca="1">IFERROR(__xludf.DUMMYFUNCTION("""COMPUTED_VALUE"""),"")</f>
        <v/>
      </c>
    </row>
    <row r="967" spans="1:97" ht="13">
      <c r="A967" s="29"/>
      <c r="C967" s="32"/>
      <c r="I967" s="34"/>
      <c r="BP967" s="29"/>
      <c r="CC967" s="30" t="str">
        <f ca="1">IFERROR(__xludf.DUMMYFUNCTION("""COMPUTED_VALUE"""),"ffb52daf")</f>
        <v>ffb52daf</v>
      </c>
      <c r="CD967" s="29" t="str">
        <f ca="1">IFERROR(__xludf.DUMMYFUNCTION("""COMPUTED_VALUE"""),"Adultos (30 a 59 años)")</f>
        <v>Adultos (30 a 59 años)</v>
      </c>
      <c r="CE967" s="30" t="str">
        <f ca="1">IFERROR(__xludf.DUMMYFUNCTION("""COMPUTED_VALUE"""),"Mujer")</f>
        <v>Mujer</v>
      </c>
      <c r="CF967" s="30" t="str">
        <f ca="1">IFERROR(__xludf.DUMMYFUNCTION("""COMPUTED_VALUE"""),"Ninguno (Población General)")</f>
        <v>Ninguno (Población General)</v>
      </c>
      <c r="CG967" s="30">
        <f ca="1">IFERROR(__xludf.DUMMYFUNCTION("""COMPUTED_VALUE"""),5)</f>
        <v>5</v>
      </c>
      <c r="CJ967" s="29"/>
      <c r="CM967" s="30" t="str">
        <f ca="1">IFERROR(__xludf.DUMMYFUNCTION("""COMPUTED_VALUE"""),"")</f>
        <v/>
      </c>
      <c r="CN967" s="32" t="e">
        <f ca="1"/>
        <v>#NAME?</v>
      </c>
      <c r="CO967" s="32" t="e">
        <f ca="1"/>
        <v>#NAME?</v>
      </c>
      <c r="CP967" s="32" t="e">
        <f ca="1"/>
        <v>#NAME?</v>
      </c>
      <c r="CQ967" s="32" t="e">
        <f ca="1"/>
        <v>#NAME?</v>
      </c>
      <c r="CR967" s="30" t="e">
        <f ca="1"/>
        <v>#NAME?</v>
      </c>
      <c r="CS967" s="30" t="str">
        <f ca="1">IFERROR(__xludf.DUMMYFUNCTION("""COMPUTED_VALUE"""),"")</f>
        <v/>
      </c>
    </row>
    <row r="968" spans="1:97" ht="13">
      <c r="A968" s="29"/>
      <c r="C968" s="32"/>
      <c r="I968" s="34"/>
      <c r="BP968" s="29"/>
      <c r="CC968" s="30" t="str">
        <f ca="1">IFERROR(__xludf.DUMMYFUNCTION("""COMPUTED_VALUE"""),"743cf062")</f>
        <v>743cf062</v>
      </c>
      <c r="CD968" s="29" t="str">
        <f ca="1">IFERROR(__xludf.DUMMYFUNCTION("""COMPUTED_VALUE"""),"Adultos (30 a 59 años)")</f>
        <v>Adultos (30 a 59 años)</v>
      </c>
      <c r="CE968" s="30" t="str">
        <f ca="1">IFERROR(__xludf.DUMMYFUNCTION("""COMPUTED_VALUE"""),"Hombre")</f>
        <v>Hombre</v>
      </c>
      <c r="CF968" s="30" t="str">
        <f ca="1">IFERROR(__xludf.DUMMYFUNCTION("""COMPUTED_VALUE"""),"Ninguno (Población General)")</f>
        <v>Ninguno (Población General)</v>
      </c>
      <c r="CG968" s="30">
        <f ca="1">IFERROR(__xludf.DUMMYFUNCTION("""COMPUTED_VALUE"""),11)</f>
        <v>11</v>
      </c>
      <c r="CJ968" s="29"/>
      <c r="CM968" s="30" t="str">
        <f ca="1">IFERROR(__xludf.DUMMYFUNCTION("""COMPUTED_VALUE"""),"")</f>
        <v/>
      </c>
      <c r="CN968" s="32" t="e">
        <f ca="1"/>
        <v>#NAME?</v>
      </c>
      <c r="CO968" s="32" t="e">
        <f ca="1"/>
        <v>#NAME?</v>
      </c>
      <c r="CP968" s="32" t="e">
        <f ca="1"/>
        <v>#NAME?</v>
      </c>
      <c r="CQ968" s="32" t="e">
        <f ca="1"/>
        <v>#NAME?</v>
      </c>
      <c r="CR968" s="30" t="e">
        <f ca="1"/>
        <v>#NAME?</v>
      </c>
      <c r="CS968" s="30" t="str">
        <f ca="1">IFERROR(__xludf.DUMMYFUNCTION("""COMPUTED_VALUE"""),"")</f>
        <v/>
      </c>
    </row>
    <row r="969" spans="1:97" ht="13">
      <c r="A969" s="29"/>
      <c r="C969" s="32"/>
      <c r="I969" s="34"/>
      <c r="BP969" s="29"/>
      <c r="CC969" s="30" t="str">
        <f ca="1">IFERROR(__xludf.DUMMYFUNCTION("""COMPUTED_VALUE"""),"de401b63")</f>
        <v>de401b63</v>
      </c>
      <c r="CD969" s="29" t="str">
        <f ca="1">IFERROR(__xludf.DUMMYFUNCTION("""COMPUTED_VALUE"""),"Jóvenes (18 a 29 años)")</f>
        <v>Jóvenes (18 a 29 años)</v>
      </c>
      <c r="CE969" s="30" t="str">
        <f ca="1">IFERROR(__xludf.DUMMYFUNCTION("""COMPUTED_VALUE"""),"Mujer")</f>
        <v>Mujer</v>
      </c>
      <c r="CF969" s="30" t="str">
        <f ca="1">IFERROR(__xludf.DUMMYFUNCTION("""COMPUTED_VALUE"""),"Ninguno (Población General)")</f>
        <v>Ninguno (Población General)</v>
      </c>
      <c r="CG969" s="30">
        <f ca="1">IFERROR(__xludf.DUMMYFUNCTION("""COMPUTED_VALUE"""),2)</f>
        <v>2</v>
      </c>
      <c r="CJ969" s="29"/>
      <c r="CM969" s="30" t="str">
        <f ca="1">IFERROR(__xludf.DUMMYFUNCTION("""COMPUTED_VALUE"""),"")</f>
        <v/>
      </c>
      <c r="CN969" s="32" t="e">
        <f ca="1"/>
        <v>#NAME?</v>
      </c>
      <c r="CO969" s="32" t="e">
        <f ca="1"/>
        <v>#NAME?</v>
      </c>
      <c r="CP969" s="32" t="e">
        <f ca="1"/>
        <v>#NAME?</v>
      </c>
      <c r="CQ969" s="32" t="e">
        <f ca="1"/>
        <v>#NAME?</v>
      </c>
      <c r="CR969" s="30" t="e">
        <f ca="1"/>
        <v>#NAME?</v>
      </c>
      <c r="CS969" s="30" t="str">
        <f ca="1">IFERROR(__xludf.DUMMYFUNCTION("""COMPUTED_VALUE"""),"")</f>
        <v/>
      </c>
    </row>
    <row r="970" spans="1:97" ht="13">
      <c r="A970" s="29"/>
      <c r="C970" s="32"/>
      <c r="I970" s="34"/>
      <c r="BP970" s="29"/>
      <c r="CC970" s="30" t="str">
        <f ca="1">IFERROR(__xludf.DUMMYFUNCTION("""COMPUTED_VALUE"""),"94731db1")</f>
        <v>94731db1</v>
      </c>
      <c r="CD970" s="29" t="str">
        <f ca="1">IFERROR(__xludf.DUMMYFUNCTION("""COMPUTED_VALUE"""),"Jóvenes (18 a 29 años)")</f>
        <v>Jóvenes (18 a 29 años)</v>
      </c>
      <c r="CE970" s="30" t="str">
        <f ca="1">IFERROR(__xludf.DUMMYFUNCTION("""COMPUTED_VALUE"""),"Hombre")</f>
        <v>Hombre</v>
      </c>
      <c r="CF970" s="30" t="str">
        <f ca="1">IFERROR(__xludf.DUMMYFUNCTION("""COMPUTED_VALUE"""),"Ninguno (Población General)")</f>
        <v>Ninguno (Población General)</v>
      </c>
      <c r="CG970" s="30">
        <f ca="1">IFERROR(__xludf.DUMMYFUNCTION("""COMPUTED_VALUE"""),2)</f>
        <v>2</v>
      </c>
      <c r="CJ970" s="29"/>
      <c r="CM970" s="30" t="str">
        <f ca="1">IFERROR(__xludf.DUMMYFUNCTION("""COMPUTED_VALUE"""),"")</f>
        <v/>
      </c>
      <c r="CN970" s="32" t="e">
        <f ca="1"/>
        <v>#NAME?</v>
      </c>
      <c r="CO970" s="32" t="e">
        <f ca="1"/>
        <v>#NAME?</v>
      </c>
      <c r="CP970" s="32" t="e">
        <f ca="1"/>
        <v>#NAME?</v>
      </c>
      <c r="CQ970" s="32" t="e">
        <f ca="1"/>
        <v>#NAME?</v>
      </c>
      <c r="CR970" s="30" t="e">
        <f ca="1"/>
        <v>#NAME?</v>
      </c>
      <c r="CS970" s="30" t="str">
        <f ca="1">IFERROR(__xludf.DUMMYFUNCTION("""COMPUTED_VALUE"""),"")</f>
        <v/>
      </c>
    </row>
    <row r="971" spans="1:97" ht="13">
      <c r="A971" s="29"/>
      <c r="C971" s="32"/>
      <c r="I971" s="34"/>
      <c r="BP971" s="29"/>
      <c r="CC971" s="30" t="str">
        <f ca="1">IFERROR(__xludf.DUMMYFUNCTION("""COMPUTED_VALUE"""),"26ffec5e")</f>
        <v>26ffec5e</v>
      </c>
      <c r="CD971" s="29" t="str">
        <f ca="1">IFERROR(__xludf.DUMMYFUNCTION("""COMPUTED_VALUE"""),"Adultos (30 a 59 años)")</f>
        <v>Adultos (30 a 59 años)</v>
      </c>
      <c r="CE971" s="30" t="str">
        <f ca="1">IFERROR(__xludf.DUMMYFUNCTION("""COMPUTED_VALUE"""),"Mujer")</f>
        <v>Mujer</v>
      </c>
      <c r="CF971" s="30" t="str">
        <f ca="1">IFERROR(__xludf.DUMMYFUNCTION("""COMPUTED_VALUE"""),"Ninguno (Población General)")</f>
        <v>Ninguno (Población General)</v>
      </c>
      <c r="CG971" s="30">
        <f ca="1">IFERROR(__xludf.DUMMYFUNCTION("""COMPUTED_VALUE"""),11)</f>
        <v>11</v>
      </c>
      <c r="CJ971" s="29"/>
      <c r="CM971" s="30" t="str">
        <f ca="1">IFERROR(__xludf.DUMMYFUNCTION("""COMPUTED_VALUE"""),"")</f>
        <v/>
      </c>
      <c r="CN971" s="32" t="e">
        <f ca="1"/>
        <v>#NAME?</v>
      </c>
      <c r="CO971" s="32" t="e">
        <f ca="1"/>
        <v>#NAME?</v>
      </c>
      <c r="CP971" s="32" t="e">
        <f ca="1"/>
        <v>#NAME?</v>
      </c>
      <c r="CQ971" s="32" t="e">
        <f ca="1"/>
        <v>#NAME?</v>
      </c>
      <c r="CR971" s="30" t="e">
        <f ca="1"/>
        <v>#NAME?</v>
      </c>
      <c r="CS971" s="30" t="str">
        <f ca="1">IFERROR(__xludf.DUMMYFUNCTION("""COMPUTED_VALUE"""),"")</f>
        <v/>
      </c>
    </row>
    <row r="972" spans="1:97" ht="13">
      <c r="A972" s="29"/>
      <c r="C972" s="32"/>
      <c r="I972" s="34"/>
      <c r="BP972" s="29"/>
      <c r="CC972" s="30" t="str">
        <f ca="1">IFERROR(__xludf.DUMMYFUNCTION("""COMPUTED_VALUE"""),"0cf3aa2e")</f>
        <v>0cf3aa2e</v>
      </c>
      <c r="CD972" s="29" t="str">
        <f ca="1">IFERROR(__xludf.DUMMYFUNCTION("""COMPUTED_VALUE"""),"Adultos (30 a 59 años)")</f>
        <v>Adultos (30 a 59 años)</v>
      </c>
      <c r="CE972" s="30" t="str">
        <f ca="1">IFERROR(__xludf.DUMMYFUNCTION("""COMPUTED_VALUE"""),"Hombre")</f>
        <v>Hombre</v>
      </c>
      <c r="CF972" s="30" t="str">
        <f ca="1">IFERROR(__xludf.DUMMYFUNCTION("""COMPUTED_VALUE"""),"Ninguno (Población General)")</f>
        <v>Ninguno (Población General)</v>
      </c>
      <c r="CG972" s="30">
        <f ca="1">IFERROR(__xludf.DUMMYFUNCTION("""COMPUTED_VALUE"""),16)</f>
        <v>16</v>
      </c>
      <c r="CJ972" s="29"/>
      <c r="CM972" s="30" t="str">
        <f ca="1">IFERROR(__xludf.DUMMYFUNCTION("""COMPUTED_VALUE"""),"")</f>
        <v/>
      </c>
      <c r="CN972" s="32" t="e">
        <f ca="1"/>
        <v>#NAME?</v>
      </c>
      <c r="CO972" s="32" t="e">
        <f ca="1"/>
        <v>#NAME?</v>
      </c>
      <c r="CP972" s="32" t="e">
        <f ca="1"/>
        <v>#NAME?</v>
      </c>
      <c r="CQ972" s="32" t="e">
        <f ca="1"/>
        <v>#NAME?</v>
      </c>
      <c r="CR972" s="30" t="e">
        <f ca="1"/>
        <v>#NAME?</v>
      </c>
      <c r="CS972" s="30" t="str">
        <f ca="1">IFERROR(__xludf.DUMMYFUNCTION("""COMPUTED_VALUE"""),"")</f>
        <v/>
      </c>
    </row>
    <row r="973" spans="1:97" ht="13">
      <c r="A973" s="29"/>
      <c r="C973" s="32"/>
      <c r="I973" s="34"/>
      <c r="BP973" s="29"/>
      <c r="CC973" s="30" t="str">
        <f ca="1">IFERROR(__xludf.DUMMYFUNCTION("""COMPUTED_VALUE"""),"a14a5b9f")</f>
        <v>a14a5b9f</v>
      </c>
      <c r="CD973" s="29" t="str">
        <f ca="1">IFERROR(__xludf.DUMMYFUNCTION("""COMPUTED_VALUE"""),"Adolescentes (13 a 17 años)")</f>
        <v>Adolescentes (13 a 17 años)</v>
      </c>
      <c r="CE973" s="30" t="str">
        <f ca="1">IFERROR(__xludf.DUMMYFUNCTION("""COMPUTED_VALUE"""),"Mujer")</f>
        <v>Mujer</v>
      </c>
      <c r="CF973" s="30" t="str">
        <f ca="1">IFERROR(__xludf.DUMMYFUNCTION("""COMPUTED_VALUE"""),"NNA (Niñas, Niños y Adolescentes)")</f>
        <v>NNA (Niñas, Niños y Adolescentes)</v>
      </c>
      <c r="CG973" s="30">
        <f ca="1">IFERROR(__xludf.DUMMYFUNCTION("""COMPUTED_VALUE"""),49)</f>
        <v>49</v>
      </c>
      <c r="CJ973" s="29"/>
      <c r="CM973" s="30" t="str">
        <f ca="1">IFERROR(__xludf.DUMMYFUNCTION("""COMPUTED_VALUE"""),"")</f>
        <v/>
      </c>
      <c r="CN973" s="32" t="e">
        <f ca="1"/>
        <v>#NAME?</v>
      </c>
      <c r="CO973" s="32" t="e">
        <f ca="1"/>
        <v>#NAME?</v>
      </c>
      <c r="CP973" s="32" t="e">
        <f ca="1"/>
        <v>#NAME?</v>
      </c>
      <c r="CQ973" s="32" t="e">
        <f ca="1"/>
        <v>#NAME?</v>
      </c>
      <c r="CR973" s="30" t="e">
        <f ca="1"/>
        <v>#NAME?</v>
      </c>
      <c r="CS973" s="30" t="str">
        <f ca="1">IFERROR(__xludf.DUMMYFUNCTION("""COMPUTED_VALUE"""),"")</f>
        <v/>
      </c>
    </row>
    <row r="974" spans="1:97" ht="13">
      <c r="A974" s="29"/>
      <c r="C974" s="32"/>
      <c r="I974" s="34"/>
      <c r="BP974" s="29"/>
      <c r="CC974" s="30" t="str">
        <f ca="1">IFERROR(__xludf.DUMMYFUNCTION("""COMPUTED_VALUE"""),"7aaedd84")</f>
        <v>7aaedd84</v>
      </c>
      <c r="CD974" s="29" t="str">
        <f ca="1">IFERROR(__xludf.DUMMYFUNCTION("""COMPUTED_VALUE"""),"Adolescentes (13 a 17 años)")</f>
        <v>Adolescentes (13 a 17 años)</v>
      </c>
      <c r="CE974" s="30" t="str">
        <f ca="1">IFERROR(__xludf.DUMMYFUNCTION("""COMPUTED_VALUE"""),"Hombre")</f>
        <v>Hombre</v>
      </c>
      <c r="CF974" s="30" t="str">
        <f ca="1">IFERROR(__xludf.DUMMYFUNCTION("""COMPUTED_VALUE"""),"NNA (Niñas, Niños y Adolescentes)")</f>
        <v>NNA (Niñas, Niños y Adolescentes)</v>
      </c>
      <c r="CG974" s="30">
        <f ca="1">IFERROR(__xludf.DUMMYFUNCTION("""COMPUTED_VALUE"""),47)</f>
        <v>47</v>
      </c>
      <c r="CJ974" s="29"/>
      <c r="CM974" s="30" t="str">
        <f ca="1">IFERROR(__xludf.DUMMYFUNCTION("""COMPUTED_VALUE"""),"")</f>
        <v/>
      </c>
      <c r="CN974" s="32" t="e">
        <f ca="1"/>
        <v>#NAME?</v>
      </c>
      <c r="CO974" s="32" t="e">
        <f ca="1"/>
        <v>#NAME?</v>
      </c>
      <c r="CP974" s="32" t="e">
        <f ca="1"/>
        <v>#NAME?</v>
      </c>
      <c r="CQ974" s="32" t="e">
        <f ca="1"/>
        <v>#NAME?</v>
      </c>
      <c r="CR974" s="30" t="e">
        <f ca="1"/>
        <v>#NAME?</v>
      </c>
      <c r="CS974" s="30" t="str">
        <f ca="1">IFERROR(__xludf.DUMMYFUNCTION("""COMPUTED_VALUE"""),"")</f>
        <v/>
      </c>
    </row>
    <row r="975" spans="1:97" ht="13">
      <c r="A975" s="29"/>
      <c r="C975" s="32"/>
      <c r="I975" s="34"/>
      <c r="BP975" s="29"/>
      <c r="CC975" s="30" t="str">
        <f ca="1">IFERROR(__xludf.DUMMYFUNCTION("""COMPUTED_VALUE"""),"ca599b2f")</f>
        <v>ca599b2f</v>
      </c>
      <c r="CD975" s="29" t="str">
        <f ca="1">IFERROR(__xludf.DUMMYFUNCTION("""COMPUTED_VALUE"""),"Adultos (30 a 59 años)")</f>
        <v>Adultos (30 a 59 años)</v>
      </c>
      <c r="CE975" s="30" t="str">
        <f ca="1">IFERROR(__xludf.DUMMYFUNCTION("""COMPUTED_VALUE"""),"Mujer")</f>
        <v>Mujer</v>
      </c>
      <c r="CF975" s="30" t="str">
        <f ca="1">IFERROR(__xludf.DUMMYFUNCTION("""COMPUTED_VALUE"""),"Ninguno (Población General)")</f>
        <v>Ninguno (Población General)</v>
      </c>
      <c r="CG975" s="30">
        <f ca="1">IFERROR(__xludf.DUMMYFUNCTION("""COMPUTED_VALUE"""),8)</f>
        <v>8</v>
      </c>
      <c r="CJ975" s="29"/>
      <c r="CM975" s="30" t="str">
        <f ca="1">IFERROR(__xludf.DUMMYFUNCTION("""COMPUTED_VALUE"""),"")</f>
        <v/>
      </c>
      <c r="CN975" s="32" t="e">
        <f ca="1"/>
        <v>#NAME?</v>
      </c>
      <c r="CO975" s="32" t="e">
        <f ca="1"/>
        <v>#NAME?</v>
      </c>
      <c r="CP975" s="32" t="e">
        <f ca="1"/>
        <v>#NAME?</v>
      </c>
      <c r="CQ975" s="32" t="e">
        <f ca="1"/>
        <v>#NAME?</v>
      </c>
      <c r="CR975" s="30" t="e">
        <f ca="1"/>
        <v>#NAME?</v>
      </c>
      <c r="CS975" s="30" t="str">
        <f ca="1">IFERROR(__xludf.DUMMYFUNCTION("""COMPUTED_VALUE"""),"")</f>
        <v/>
      </c>
    </row>
    <row r="976" spans="1:97" ht="13">
      <c r="A976" s="29"/>
      <c r="C976" s="32"/>
      <c r="I976" s="34"/>
      <c r="BP976" s="29"/>
      <c r="CC976" s="30" t="str">
        <f ca="1">IFERROR(__xludf.DUMMYFUNCTION("""COMPUTED_VALUE"""),"81dffea0")</f>
        <v>81dffea0</v>
      </c>
      <c r="CD976" s="29" t="str">
        <f ca="1">IFERROR(__xludf.DUMMYFUNCTION("""COMPUTED_VALUE"""),"Adultos (30 a 59 años)")</f>
        <v>Adultos (30 a 59 años)</v>
      </c>
      <c r="CE976" s="30" t="str">
        <f ca="1">IFERROR(__xludf.DUMMYFUNCTION("""COMPUTED_VALUE"""),"Hombre")</f>
        <v>Hombre</v>
      </c>
      <c r="CF976" s="30" t="str">
        <f ca="1">IFERROR(__xludf.DUMMYFUNCTION("""COMPUTED_VALUE"""),"Ninguno (Población General)")</f>
        <v>Ninguno (Población General)</v>
      </c>
      <c r="CG976" s="30">
        <f ca="1">IFERROR(__xludf.DUMMYFUNCTION("""COMPUTED_VALUE"""),1)</f>
        <v>1</v>
      </c>
      <c r="CJ976" s="29"/>
      <c r="CM976" s="30" t="str">
        <f ca="1">IFERROR(__xludf.DUMMYFUNCTION("""COMPUTED_VALUE"""),"")</f>
        <v/>
      </c>
      <c r="CN976" s="32" t="e">
        <f ca="1"/>
        <v>#NAME?</v>
      </c>
      <c r="CO976" s="32" t="e">
        <f ca="1"/>
        <v>#NAME?</v>
      </c>
      <c r="CP976" s="32" t="e">
        <f ca="1"/>
        <v>#NAME?</v>
      </c>
      <c r="CQ976" s="32" t="e">
        <f ca="1"/>
        <v>#NAME?</v>
      </c>
      <c r="CR976" s="30" t="e">
        <f ca="1"/>
        <v>#NAME?</v>
      </c>
      <c r="CS976" s="30" t="str">
        <f ca="1">IFERROR(__xludf.DUMMYFUNCTION("""COMPUTED_VALUE"""),"")</f>
        <v/>
      </c>
    </row>
    <row r="977" spans="1:97" ht="13">
      <c r="A977" s="29"/>
      <c r="C977" s="32"/>
      <c r="I977" s="34"/>
      <c r="BP977" s="29"/>
      <c r="CC977" s="30" t="str">
        <f ca="1">IFERROR(__xludf.DUMMYFUNCTION("""COMPUTED_VALUE"""),"b8c3302d")</f>
        <v>b8c3302d</v>
      </c>
      <c r="CD977" s="29" t="str">
        <f ca="1">IFERROR(__xludf.DUMMYFUNCTION("""COMPUTED_VALUE"""),"Jóvenes (18 a 29 años)")</f>
        <v>Jóvenes (18 a 29 años)</v>
      </c>
      <c r="CE977" s="30" t="str">
        <f ca="1">IFERROR(__xludf.DUMMYFUNCTION("""COMPUTED_VALUE"""),"No se cuenta con el dato")</f>
        <v>No se cuenta con el dato</v>
      </c>
      <c r="CF977" s="30" t="str">
        <f ca="1">IFERROR(__xludf.DUMMYFUNCTION("""COMPUTED_VALUE"""),"Ninguno (Población General)")</f>
        <v>Ninguno (Población General)</v>
      </c>
      <c r="CG977" s="30">
        <f ca="1">IFERROR(__xludf.DUMMYFUNCTION("""COMPUTED_VALUE"""),10)</f>
        <v>10</v>
      </c>
      <c r="CJ977" s="29"/>
      <c r="CM977" s="30" t="str">
        <f ca="1">IFERROR(__xludf.DUMMYFUNCTION("""COMPUTED_VALUE"""),"")</f>
        <v/>
      </c>
      <c r="CN977" s="32" t="e">
        <f ca="1"/>
        <v>#NAME?</v>
      </c>
      <c r="CO977" s="32" t="e">
        <f ca="1"/>
        <v>#NAME?</v>
      </c>
      <c r="CP977" s="32" t="e">
        <f ca="1"/>
        <v>#NAME?</v>
      </c>
      <c r="CQ977" s="32" t="e">
        <f ca="1"/>
        <v>#NAME?</v>
      </c>
      <c r="CR977" s="30" t="e">
        <f ca="1"/>
        <v>#NAME?</v>
      </c>
      <c r="CS977" s="30" t="str">
        <f ca="1">IFERROR(__xludf.DUMMYFUNCTION("""COMPUTED_VALUE"""),"")</f>
        <v/>
      </c>
    </row>
    <row r="978" spans="1:97" ht="13">
      <c r="A978" s="29"/>
      <c r="C978" s="32"/>
      <c r="I978" s="34"/>
      <c r="BP978" s="29"/>
      <c r="CC978" s="30" t="str">
        <f ca="1">IFERROR(__xludf.DUMMYFUNCTION("""COMPUTED_VALUE"""),"5e25fec9")</f>
        <v>5e25fec9</v>
      </c>
      <c r="CD978" s="29" t="str">
        <f ca="1">IFERROR(__xludf.DUMMYFUNCTION("""COMPUTED_VALUE"""),"Jóvenes (18 a 29 años)")</f>
        <v>Jóvenes (18 a 29 años)</v>
      </c>
      <c r="CE978" s="30" t="str">
        <f ca="1">IFERROR(__xludf.DUMMYFUNCTION("""COMPUTED_VALUE"""),"No se cuenta con el dato")</f>
        <v>No se cuenta con el dato</v>
      </c>
      <c r="CF978" s="30" t="str">
        <f ca="1">IFERROR(__xludf.DUMMYFUNCTION("""COMPUTED_VALUE"""),"Ninguno (Población General)")</f>
        <v>Ninguno (Población General)</v>
      </c>
      <c r="CG978" s="30">
        <f ca="1">IFERROR(__xludf.DUMMYFUNCTION("""COMPUTED_VALUE"""),17)</f>
        <v>17</v>
      </c>
      <c r="CJ978" s="29"/>
      <c r="CM978" s="30" t="str">
        <f ca="1">IFERROR(__xludf.DUMMYFUNCTION("""COMPUTED_VALUE"""),"")</f>
        <v/>
      </c>
      <c r="CN978" s="32" t="e">
        <f ca="1"/>
        <v>#NAME?</v>
      </c>
      <c r="CO978" s="32" t="e">
        <f ca="1"/>
        <v>#NAME?</v>
      </c>
      <c r="CP978" s="32" t="e">
        <f ca="1"/>
        <v>#NAME?</v>
      </c>
      <c r="CQ978" s="32" t="e">
        <f ca="1"/>
        <v>#NAME?</v>
      </c>
      <c r="CR978" s="30" t="e">
        <f ca="1"/>
        <v>#NAME?</v>
      </c>
      <c r="CS978" s="30" t="str">
        <f ca="1">IFERROR(__xludf.DUMMYFUNCTION("""COMPUTED_VALUE"""),"")</f>
        <v/>
      </c>
    </row>
    <row r="979" spans="1:97" ht="13">
      <c r="A979" s="29"/>
      <c r="C979" s="32"/>
      <c r="I979" s="34"/>
      <c r="BP979" s="29"/>
      <c r="CC979" s="30" t="str">
        <f ca="1">IFERROR(__xludf.DUMMYFUNCTION("""COMPUTED_VALUE"""),"9075aa56")</f>
        <v>9075aa56</v>
      </c>
      <c r="CD979" s="29" t="str">
        <f ca="1">IFERROR(__xludf.DUMMYFUNCTION("""COMPUTED_VALUE"""),"Adultos (30 a 59 años)")</f>
        <v>Adultos (30 a 59 años)</v>
      </c>
      <c r="CE979" s="30" t="str">
        <f ca="1">IFERROR(__xludf.DUMMYFUNCTION("""COMPUTED_VALUE"""),"Dato global")</f>
        <v>Dato global</v>
      </c>
      <c r="CF979" s="30" t="str">
        <f ca="1">IFERROR(__xludf.DUMMYFUNCTION("""COMPUTED_VALUE"""),"Ninguno (Población General)")</f>
        <v>Ninguno (Población General)</v>
      </c>
      <c r="CG979" s="30">
        <f ca="1">IFERROR(__xludf.DUMMYFUNCTION("""COMPUTED_VALUE"""),26)</f>
        <v>26</v>
      </c>
      <c r="CJ979" s="29"/>
      <c r="CM979" s="30" t="str">
        <f ca="1">IFERROR(__xludf.DUMMYFUNCTION("""COMPUTED_VALUE"""),"")</f>
        <v/>
      </c>
      <c r="CN979" s="32" t="e">
        <f ca="1"/>
        <v>#NAME?</v>
      </c>
      <c r="CO979" s="32" t="e">
        <f ca="1"/>
        <v>#NAME?</v>
      </c>
      <c r="CP979" s="32" t="e">
        <f ca="1"/>
        <v>#NAME?</v>
      </c>
      <c r="CQ979" s="32" t="e">
        <f ca="1"/>
        <v>#NAME?</v>
      </c>
      <c r="CR979" s="30" t="e">
        <f ca="1"/>
        <v>#NAME?</v>
      </c>
      <c r="CS979" s="30" t="str">
        <f ca="1">IFERROR(__xludf.DUMMYFUNCTION("""COMPUTED_VALUE"""),"")</f>
        <v/>
      </c>
    </row>
    <row r="980" spans="1:97" ht="13">
      <c r="A980" s="29"/>
      <c r="C980" s="32"/>
      <c r="I980" s="34"/>
      <c r="BP980" s="29"/>
      <c r="CC980" s="30" t="str">
        <f ca="1">IFERROR(__xludf.DUMMYFUNCTION("""COMPUTED_VALUE"""),"efaad462")</f>
        <v>efaad462</v>
      </c>
      <c r="CD980" s="29" t="str">
        <f ca="1">IFERROR(__xludf.DUMMYFUNCTION("""COMPUTED_VALUE"""),"Adultos Mayores (60 años o más)")</f>
        <v>Adultos Mayores (60 años o más)</v>
      </c>
      <c r="CE980" s="30" t="str">
        <f ca="1">IFERROR(__xludf.DUMMYFUNCTION("""COMPUTED_VALUE"""),"No se cuenta con el dato")</f>
        <v>No se cuenta con el dato</v>
      </c>
      <c r="CF980" s="30" t="str">
        <f ca="1">IFERROR(__xludf.DUMMYFUNCTION("""COMPUTED_VALUE"""),"Ninguno (Población General)")</f>
        <v>Ninguno (Población General)</v>
      </c>
      <c r="CG980" s="30">
        <f ca="1">IFERROR(__xludf.DUMMYFUNCTION("""COMPUTED_VALUE"""),28)</f>
        <v>28</v>
      </c>
      <c r="CJ980" s="29"/>
      <c r="CM980" s="30" t="str">
        <f ca="1">IFERROR(__xludf.DUMMYFUNCTION("""COMPUTED_VALUE"""),"")</f>
        <v/>
      </c>
      <c r="CN980" s="32" t="e">
        <f ca="1"/>
        <v>#NAME?</v>
      </c>
      <c r="CO980" s="32" t="e">
        <f ca="1"/>
        <v>#NAME?</v>
      </c>
      <c r="CP980" s="32" t="e">
        <f ca="1"/>
        <v>#NAME?</v>
      </c>
      <c r="CQ980" s="32" t="e">
        <f ca="1"/>
        <v>#NAME?</v>
      </c>
      <c r="CR980" s="30" t="e">
        <f ca="1"/>
        <v>#NAME?</v>
      </c>
      <c r="CS980" s="30" t="str">
        <f ca="1">IFERROR(__xludf.DUMMYFUNCTION("""COMPUTED_VALUE"""),"")</f>
        <v/>
      </c>
    </row>
    <row r="981" spans="1:97" ht="13">
      <c r="A981" s="29"/>
      <c r="C981" s="32"/>
      <c r="I981" s="34"/>
      <c r="BP981" s="29"/>
      <c r="CC981" s="30" t="str">
        <f ca="1">IFERROR(__xludf.DUMMYFUNCTION("""COMPUTED_VALUE"""),"622c4538")</f>
        <v>622c4538</v>
      </c>
      <c r="CD981" s="29" t="str">
        <f ca="1">IFERROR(__xludf.DUMMYFUNCTION("""COMPUTED_VALUE"""),"Adultos (30 a 59 años)")</f>
        <v>Adultos (30 a 59 años)</v>
      </c>
      <c r="CE981" s="30" t="str">
        <f ca="1">IFERROR(__xludf.DUMMYFUNCTION("""COMPUTED_VALUE"""),"No se cuenta con el dato")</f>
        <v>No se cuenta con el dato</v>
      </c>
      <c r="CF981" s="30" t="str">
        <f ca="1">IFERROR(__xludf.DUMMYFUNCTION("""COMPUTED_VALUE"""),"Ninguno (Población General)")</f>
        <v>Ninguno (Población General)</v>
      </c>
      <c r="CG981" s="30">
        <f ca="1">IFERROR(__xludf.DUMMYFUNCTION("""COMPUTED_VALUE"""),10)</f>
        <v>10</v>
      </c>
      <c r="CJ981" s="29"/>
      <c r="CM981" s="30" t="str">
        <f ca="1">IFERROR(__xludf.DUMMYFUNCTION("""COMPUTED_VALUE"""),"")</f>
        <v/>
      </c>
      <c r="CN981" s="32" t="e">
        <f ca="1"/>
        <v>#NAME?</v>
      </c>
      <c r="CO981" s="32" t="e">
        <f ca="1"/>
        <v>#NAME?</v>
      </c>
      <c r="CP981" s="32" t="e">
        <f ca="1"/>
        <v>#NAME?</v>
      </c>
      <c r="CQ981" s="32" t="e">
        <f ca="1"/>
        <v>#NAME?</v>
      </c>
      <c r="CR981" s="30" t="e">
        <f ca="1"/>
        <v>#NAME?</v>
      </c>
      <c r="CS981" s="30" t="str">
        <f ca="1">IFERROR(__xludf.DUMMYFUNCTION("""COMPUTED_VALUE"""),"")</f>
        <v/>
      </c>
    </row>
    <row r="982" spans="1:97" ht="13">
      <c r="A982" s="29"/>
      <c r="C982" s="32"/>
      <c r="I982" s="34"/>
      <c r="BP982" s="29"/>
      <c r="CC982" s="30" t="str">
        <f ca="1">IFERROR(__xludf.DUMMYFUNCTION("""COMPUTED_VALUE"""),"f05b9277")</f>
        <v>f05b9277</v>
      </c>
      <c r="CD982" s="29" t="str">
        <f ca="1">IFERROR(__xludf.DUMMYFUNCTION("""COMPUTED_VALUE"""),"Niñas y Niños (6 a 12 años)")</f>
        <v>Niñas y Niños (6 a 12 años)</v>
      </c>
      <c r="CE982" s="30" t="str">
        <f ca="1">IFERROR(__xludf.DUMMYFUNCTION("""COMPUTED_VALUE"""),"Mujer")</f>
        <v>Mujer</v>
      </c>
      <c r="CF982" s="30" t="str">
        <f ca="1">IFERROR(__xludf.DUMMYFUNCTION("""COMPUTED_VALUE"""),"NNA (Niñas, Niños y Adolescentes)")</f>
        <v>NNA (Niñas, Niños y Adolescentes)</v>
      </c>
      <c r="CG982" s="30">
        <f ca="1">IFERROR(__xludf.DUMMYFUNCTION("""COMPUTED_VALUE"""),8)</f>
        <v>8</v>
      </c>
      <c r="CJ982" s="29"/>
      <c r="CM982" s="30" t="str">
        <f ca="1">IFERROR(__xludf.DUMMYFUNCTION("""COMPUTED_VALUE"""),"")</f>
        <v/>
      </c>
      <c r="CN982" s="32" t="e">
        <f ca="1"/>
        <v>#NAME?</v>
      </c>
      <c r="CO982" s="32" t="e">
        <f ca="1"/>
        <v>#NAME?</v>
      </c>
      <c r="CP982" s="32" t="e">
        <f ca="1"/>
        <v>#NAME?</v>
      </c>
      <c r="CQ982" s="32" t="e">
        <f ca="1"/>
        <v>#NAME?</v>
      </c>
      <c r="CR982" s="30" t="e">
        <f ca="1"/>
        <v>#NAME?</v>
      </c>
      <c r="CS982" s="30" t="str">
        <f ca="1">IFERROR(__xludf.DUMMYFUNCTION("""COMPUTED_VALUE"""),"")</f>
        <v/>
      </c>
    </row>
    <row r="983" spans="1:97" ht="13">
      <c r="A983" s="29"/>
      <c r="C983" s="32"/>
      <c r="I983" s="34"/>
      <c r="BP983" s="29"/>
      <c r="CC983" s="30" t="str">
        <f ca="1">IFERROR(__xludf.DUMMYFUNCTION("""COMPUTED_VALUE"""),"f32aaa9d")</f>
        <v>f32aaa9d</v>
      </c>
      <c r="CD983" s="29" t="str">
        <f ca="1">IFERROR(__xludf.DUMMYFUNCTION("""COMPUTED_VALUE"""),"Niñas y Niños (6 a 12 años)")</f>
        <v>Niñas y Niños (6 a 12 años)</v>
      </c>
      <c r="CE983" s="30" t="str">
        <f ca="1">IFERROR(__xludf.DUMMYFUNCTION("""COMPUTED_VALUE"""),"Hombre")</f>
        <v>Hombre</v>
      </c>
      <c r="CF983" s="30" t="str">
        <f ca="1">IFERROR(__xludf.DUMMYFUNCTION("""COMPUTED_VALUE"""),"NNA (Niñas, Niños y Adolescentes)")</f>
        <v>NNA (Niñas, Niños y Adolescentes)</v>
      </c>
      <c r="CG983" s="30">
        <f ca="1">IFERROR(__xludf.DUMMYFUNCTION("""COMPUTED_VALUE"""),8)</f>
        <v>8</v>
      </c>
      <c r="CJ983" s="29"/>
      <c r="CM983" s="30" t="str">
        <f ca="1">IFERROR(__xludf.DUMMYFUNCTION("""COMPUTED_VALUE"""),"")</f>
        <v/>
      </c>
      <c r="CN983" s="32" t="e">
        <f ca="1"/>
        <v>#NAME?</v>
      </c>
      <c r="CO983" s="32" t="e">
        <f ca="1"/>
        <v>#NAME?</v>
      </c>
      <c r="CP983" s="32" t="e">
        <f ca="1"/>
        <v>#NAME?</v>
      </c>
      <c r="CQ983" s="32" t="e">
        <f ca="1"/>
        <v>#NAME?</v>
      </c>
      <c r="CR983" s="30" t="e">
        <f ca="1"/>
        <v>#NAME?</v>
      </c>
      <c r="CS983" s="30" t="str">
        <f ca="1">IFERROR(__xludf.DUMMYFUNCTION("""COMPUTED_VALUE"""),"")</f>
        <v/>
      </c>
    </row>
    <row r="984" spans="1:97" ht="13">
      <c r="A984" s="29"/>
      <c r="C984" s="32"/>
      <c r="I984" s="34"/>
      <c r="BP984" s="29"/>
      <c r="CC984" s="30" t="str">
        <f ca="1">IFERROR(__xludf.DUMMYFUNCTION("""COMPUTED_VALUE"""),"fbad1953")</f>
        <v>fbad1953</v>
      </c>
      <c r="CD984" s="29" t="str">
        <f ca="1">IFERROR(__xludf.DUMMYFUNCTION("""COMPUTED_VALUE"""),"Adolescentes (13 a 17 años)")</f>
        <v>Adolescentes (13 a 17 años)</v>
      </c>
      <c r="CE984" s="30" t="str">
        <f ca="1">IFERROR(__xludf.DUMMYFUNCTION("""COMPUTED_VALUE"""),"Mujer")</f>
        <v>Mujer</v>
      </c>
      <c r="CF984" s="30" t="str">
        <f ca="1">IFERROR(__xludf.DUMMYFUNCTION("""COMPUTED_VALUE"""),"NNA (Niñas, Niños y Adolescentes)")</f>
        <v>NNA (Niñas, Niños y Adolescentes)</v>
      </c>
      <c r="CG984" s="30">
        <f ca="1">IFERROR(__xludf.DUMMYFUNCTION("""COMPUTED_VALUE"""),8)</f>
        <v>8</v>
      </c>
      <c r="CJ984" s="29"/>
      <c r="CM984" s="30" t="str">
        <f ca="1">IFERROR(__xludf.DUMMYFUNCTION("""COMPUTED_VALUE"""),"")</f>
        <v/>
      </c>
      <c r="CN984" s="32" t="e">
        <f ca="1"/>
        <v>#NAME?</v>
      </c>
      <c r="CO984" s="32" t="e">
        <f ca="1"/>
        <v>#NAME?</v>
      </c>
      <c r="CP984" s="32" t="e">
        <f ca="1"/>
        <v>#NAME?</v>
      </c>
      <c r="CQ984" s="32" t="e">
        <f ca="1"/>
        <v>#NAME?</v>
      </c>
      <c r="CR984" s="30" t="e">
        <f ca="1"/>
        <v>#NAME?</v>
      </c>
      <c r="CS984" s="30" t="str">
        <f ca="1">IFERROR(__xludf.DUMMYFUNCTION("""COMPUTED_VALUE"""),"")</f>
        <v/>
      </c>
    </row>
    <row r="985" spans="1:97" ht="13">
      <c r="A985" s="29"/>
      <c r="C985" s="32"/>
      <c r="I985" s="34"/>
      <c r="BP985" s="29"/>
      <c r="CC985" s="30" t="str">
        <f ca="1">IFERROR(__xludf.DUMMYFUNCTION("""COMPUTED_VALUE"""),"29d05a10")</f>
        <v>29d05a10</v>
      </c>
      <c r="CD985" s="29" t="str">
        <f ca="1">IFERROR(__xludf.DUMMYFUNCTION("""COMPUTED_VALUE"""),"Adolescentes (13 a 17 años)")</f>
        <v>Adolescentes (13 a 17 años)</v>
      </c>
      <c r="CE985" s="30" t="str">
        <f ca="1">IFERROR(__xludf.DUMMYFUNCTION("""COMPUTED_VALUE"""),"Hombre")</f>
        <v>Hombre</v>
      </c>
      <c r="CF985" s="30" t="str">
        <f ca="1">IFERROR(__xludf.DUMMYFUNCTION("""COMPUTED_VALUE"""),"NNA (Niñas, Niños y Adolescentes)")</f>
        <v>NNA (Niñas, Niños y Adolescentes)</v>
      </c>
      <c r="CG985" s="30">
        <f ca="1">IFERROR(__xludf.DUMMYFUNCTION("""COMPUTED_VALUE"""),10)</f>
        <v>10</v>
      </c>
      <c r="CJ985" s="29"/>
      <c r="CM985" s="30" t="str">
        <f ca="1">IFERROR(__xludf.DUMMYFUNCTION("""COMPUTED_VALUE"""),"")</f>
        <v/>
      </c>
      <c r="CN985" s="32" t="e">
        <f ca="1"/>
        <v>#NAME?</v>
      </c>
      <c r="CO985" s="32" t="e">
        <f ca="1"/>
        <v>#NAME?</v>
      </c>
      <c r="CP985" s="32" t="e">
        <f ca="1"/>
        <v>#NAME?</v>
      </c>
      <c r="CQ985" s="32" t="e">
        <f ca="1"/>
        <v>#NAME?</v>
      </c>
      <c r="CR985" s="30" t="e">
        <f ca="1"/>
        <v>#NAME?</v>
      </c>
      <c r="CS985" s="30" t="str">
        <f ca="1">IFERROR(__xludf.DUMMYFUNCTION("""COMPUTED_VALUE"""),"")</f>
        <v/>
      </c>
    </row>
    <row r="986" spans="1:97" ht="13">
      <c r="A986" s="29"/>
      <c r="C986" s="32"/>
      <c r="I986" s="34"/>
      <c r="BP986" s="29"/>
      <c r="CC986" s="30" t="str">
        <f ca="1">IFERROR(__xludf.DUMMYFUNCTION("""COMPUTED_VALUE"""),"e80b6c55")</f>
        <v>e80b6c55</v>
      </c>
      <c r="CD986" s="29" t="str">
        <f ca="1">IFERROR(__xludf.DUMMYFUNCTION("""COMPUTED_VALUE"""),"Jóvenes (18 a 29 años)")</f>
        <v>Jóvenes (18 a 29 años)</v>
      </c>
      <c r="CE986" s="30" t="str">
        <f ca="1">IFERROR(__xludf.DUMMYFUNCTION("""COMPUTED_VALUE"""),"Mujer")</f>
        <v>Mujer</v>
      </c>
      <c r="CF986" s="30" t="str">
        <f ca="1">IFERROR(__xludf.DUMMYFUNCTION("""COMPUTED_VALUE"""),"Ninguno (Población General)")</f>
        <v>Ninguno (Población General)</v>
      </c>
      <c r="CG986" s="30">
        <f ca="1">IFERROR(__xludf.DUMMYFUNCTION("""COMPUTED_VALUE"""),2)</f>
        <v>2</v>
      </c>
      <c r="CJ986" s="29"/>
      <c r="CM986" s="30" t="str">
        <f ca="1">IFERROR(__xludf.DUMMYFUNCTION("""COMPUTED_VALUE"""),"")</f>
        <v/>
      </c>
      <c r="CN986" s="32" t="e">
        <f ca="1"/>
        <v>#NAME?</v>
      </c>
      <c r="CO986" s="32" t="e">
        <f ca="1"/>
        <v>#NAME?</v>
      </c>
      <c r="CP986" s="32" t="e">
        <f ca="1"/>
        <v>#NAME?</v>
      </c>
      <c r="CQ986" s="32" t="e">
        <f ca="1"/>
        <v>#NAME?</v>
      </c>
      <c r="CR986" s="30" t="e">
        <f ca="1"/>
        <v>#NAME?</v>
      </c>
      <c r="CS986" s="30" t="str">
        <f ca="1">IFERROR(__xludf.DUMMYFUNCTION("""COMPUTED_VALUE"""),"")</f>
        <v/>
      </c>
    </row>
    <row r="987" spans="1:97" ht="13">
      <c r="A987" s="29"/>
      <c r="C987" s="32"/>
      <c r="I987" s="34"/>
      <c r="BP987" s="29"/>
      <c r="CC987" s="30" t="str">
        <f ca="1">IFERROR(__xludf.DUMMYFUNCTION("""COMPUTED_VALUE"""),"a6c34da6")</f>
        <v>a6c34da6</v>
      </c>
      <c r="CD987" s="29" t="str">
        <f ca="1">IFERROR(__xludf.DUMMYFUNCTION("""COMPUTED_VALUE"""),"Jóvenes (18 a 29 años)")</f>
        <v>Jóvenes (18 a 29 años)</v>
      </c>
      <c r="CE987" s="30" t="str">
        <f ca="1">IFERROR(__xludf.DUMMYFUNCTION("""COMPUTED_VALUE"""),"Hombre")</f>
        <v>Hombre</v>
      </c>
      <c r="CF987" s="30" t="str">
        <f ca="1">IFERROR(__xludf.DUMMYFUNCTION("""COMPUTED_VALUE"""),"Ninguno (Población General)")</f>
        <v>Ninguno (Población General)</v>
      </c>
      <c r="CG987" s="30">
        <f ca="1">IFERROR(__xludf.DUMMYFUNCTION("""COMPUTED_VALUE"""),2)</f>
        <v>2</v>
      </c>
      <c r="CJ987" s="29"/>
      <c r="CM987" s="30" t="str">
        <f ca="1">IFERROR(__xludf.DUMMYFUNCTION("""COMPUTED_VALUE"""),"")</f>
        <v/>
      </c>
      <c r="CN987" s="32" t="e">
        <f ca="1"/>
        <v>#NAME?</v>
      </c>
      <c r="CO987" s="32" t="e">
        <f ca="1"/>
        <v>#NAME?</v>
      </c>
      <c r="CP987" s="32" t="e">
        <f ca="1"/>
        <v>#NAME?</v>
      </c>
      <c r="CQ987" s="32" t="e">
        <f ca="1"/>
        <v>#NAME?</v>
      </c>
      <c r="CR987" s="30" t="e">
        <f ca="1"/>
        <v>#NAME?</v>
      </c>
      <c r="CS987" s="30" t="str">
        <f ca="1">IFERROR(__xludf.DUMMYFUNCTION("""COMPUTED_VALUE"""),"")</f>
        <v/>
      </c>
    </row>
    <row r="988" spans="1:97" ht="13">
      <c r="A988" s="29"/>
      <c r="C988" s="32"/>
      <c r="I988" s="34"/>
      <c r="BP988" s="29"/>
      <c r="CC988" s="30" t="str">
        <f ca="1">IFERROR(__xludf.DUMMYFUNCTION("""COMPUTED_VALUE"""),"85cf1890")</f>
        <v>85cf1890</v>
      </c>
      <c r="CD988" s="29" t="str">
        <f ca="1">IFERROR(__xludf.DUMMYFUNCTION("""COMPUTED_VALUE"""),"Adultos (30 a 59 años)")</f>
        <v>Adultos (30 a 59 años)</v>
      </c>
      <c r="CE988" s="30" t="str">
        <f ca="1">IFERROR(__xludf.DUMMYFUNCTION("""COMPUTED_VALUE"""),"Mujer")</f>
        <v>Mujer</v>
      </c>
      <c r="CF988" s="30" t="str">
        <f ca="1">IFERROR(__xludf.DUMMYFUNCTION("""COMPUTED_VALUE"""),"Ninguno (Población General)")</f>
        <v>Ninguno (Población General)</v>
      </c>
      <c r="CG988" s="30">
        <f ca="1">IFERROR(__xludf.DUMMYFUNCTION("""COMPUTED_VALUE"""),6)</f>
        <v>6</v>
      </c>
      <c r="CJ988" s="29"/>
      <c r="CM988" s="30" t="str">
        <f ca="1">IFERROR(__xludf.DUMMYFUNCTION("""COMPUTED_VALUE"""),"")</f>
        <v/>
      </c>
      <c r="CN988" s="32" t="e">
        <f ca="1"/>
        <v>#NAME?</v>
      </c>
      <c r="CO988" s="32" t="e">
        <f ca="1"/>
        <v>#NAME?</v>
      </c>
      <c r="CP988" s="32" t="e">
        <f ca="1"/>
        <v>#NAME?</v>
      </c>
      <c r="CQ988" s="32" t="e">
        <f ca="1"/>
        <v>#NAME?</v>
      </c>
      <c r="CR988" s="30" t="e">
        <f ca="1"/>
        <v>#NAME?</v>
      </c>
      <c r="CS988" s="30" t="str">
        <f ca="1">IFERROR(__xludf.DUMMYFUNCTION("""COMPUTED_VALUE"""),"")</f>
        <v/>
      </c>
    </row>
    <row r="989" spans="1:97" ht="13">
      <c r="A989" s="29"/>
      <c r="C989" s="32"/>
      <c r="I989" s="34"/>
      <c r="BP989" s="29"/>
      <c r="CC989" s="30" t="str">
        <f ca="1">IFERROR(__xludf.DUMMYFUNCTION("""COMPUTED_VALUE"""),"e3c69ba5")</f>
        <v>e3c69ba5</v>
      </c>
      <c r="CD989" s="29" t="str">
        <f ca="1">IFERROR(__xludf.DUMMYFUNCTION("""COMPUTED_VALUE"""),"Adultos (30 a 59 años)")</f>
        <v>Adultos (30 a 59 años)</v>
      </c>
      <c r="CE989" s="30" t="str">
        <f ca="1">IFERROR(__xludf.DUMMYFUNCTION("""COMPUTED_VALUE"""),"Hombre")</f>
        <v>Hombre</v>
      </c>
      <c r="CF989" s="30" t="str">
        <f ca="1">IFERROR(__xludf.DUMMYFUNCTION("""COMPUTED_VALUE"""),"Ninguno (Población General)")</f>
        <v>Ninguno (Población General)</v>
      </c>
      <c r="CG989" s="30">
        <f ca="1">IFERROR(__xludf.DUMMYFUNCTION("""COMPUTED_VALUE"""),6)</f>
        <v>6</v>
      </c>
      <c r="CJ989" s="29"/>
      <c r="CM989" s="30" t="str">
        <f ca="1">IFERROR(__xludf.DUMMYFUNCTION("""COMPUTED_VALUE"""),"")</f>
        <v/>
      </c>
      <c r="CN989" s="32" t="e">
        <f ca="1"/>
        <v>#NAME?</v>
      </c>
      <c r="CO989" s="32" t="e">
        <f ca="1"/>
        <v>#NAME?</v>
      </c>
      <c r="CP989" s="32" t="e">
        <f ca="1"/>
        <v>#NAME?</v>
      </c>
      <c r="CQ989" s="32" t="e">
        <f ca="1"/>
        <v>#NAME?</v>
      </c>
      <c r="CR989" s="30" t="e">
        <f ca="1"/>
        <v>#NAME?</v>
      </c>
      <c r="CS989" s="30" t="str">
        <f ca="1">IFERROR(__xludf.DUMMYFUNCTION("""COMPUTED_VALUE"""),"")</f>
        <v/>
      </c>
    </row>
    <row r="990" spans="1:97" ht="13">
      <c r="A990" s="29"/>
      <c r="C990" s="32"/>
      <c r="I990" s="34"/>
      <c r="BP990" s="29"/>
      <c r="CC990" s="30" t="str">
        <f ca="1">IFERROR(__xludf.DUMMYFUNCTION("""COMPUTED_VALUE"""),"96aac1f3")</f>
        <v>96aac1f3</v>
      </c>
      <c r="CD990" s="29" t="str">
        <f ca="1">IFERROR(__xludf.DUMMYFUNCTION("""COMPUTED_VALUE"""),"Adultos Mayores (60 años o más)")</f>
        <v>Adultos Mayores (60 años o más)</v>
      </c>
      <c r="CE990" s="30" t="str">
        <f ca="1">IFERROR(__xludf.DUMMYFUNCTION("""COMPUTED_VALUE"""),"Mujer")</f>
        <v>Mujer</v>
      </c>
      <c r="CF990" s="30" t="str">
        <f ca="1">IFERROR(__xludf.DUMMYFUNCTION("""COMPUTED_VALUE"""),"Ninguno (Población General)")</f>
        <v>Ninguno (Población General)</v>
      </c>
      <c r="CG990" s="30">
        <f ca="1">IFERROR(__xludf.DUMMYFUNCTION("""COMPUTED_VALUE"""),10)</f>
        <v>10</v>
      </c>
      <c r="CJ990" s="29"/>
      <c r="CM990" s="30" t="str">
        <f ca="1">IFERROR(__xludf.DUMMYFUNCTION("""COMPUTED_VALUE"""),"")</f>
        <v/>
      </c>
      <c r="CN990" s="32" t="e">
        <f ca="1"/>
        <v>#NAME?</v>
      </c>
      <c r="CO990" s="32" t="e">
        <f ca="1"/>
        <v>#NAME?</v>
      </c>
      <c r="CP990" s="32" t="e">
        <f ca="1"/>
        <v>#NAME?</v>
      </c>
      <c r="CQ990" s="32" t="e">
        <f ca="1"/>
        <v>#NAME?</v>
      </c>
      <c r="CR990" s="30" t="e">
        <f ca="1"/>
        <v>#NAME?</v>
      </c>
      <c r="CS990" s="30" t="str">
        <f ca="1">IFERROR(__xludf.DUMMYFUNCTION("""COMPUTED_VALUE"""),"")</f>
        <v/>
      </c>
    </row>
    <row r="991" spans="1:97" ht="13">
      <c r="A991" s="29"/>
      <c r="C991" s="32"/>
      <c r="I991" s="34"/>
      <c r="BP991" s="29"/>
      <c r="CC991" s="30" t="str">
        <f ca="1">IFERROR(__xludf.DUMMYFUNCTION("""COMPUTED_VALUE"""),"24c2a558")</f>
        <v>24c2a558</v>
      </c>
      <c r="CD991" s="29" t="str">
        <f ca="1">IFERROR(__xludf.DUMMYFUNCTION("""COMPUTED_VALUE"""),"Adultos Mayores (60 años o más)")</f>
        <v>Adultos Mayores (60 años o más)</v>
      </c>
      <c r="CE991" s="30" t="str">
        <f ca="1">IFERROR(__xludf.DUMMYFUNCTION("""COMPUTED_VALUE"""),"Hombre")</f>
        <v>Hombre</v>
      </c>
      <c r="CF991" s="30" t="str">
        <f ca="1">IFERROR(__xludf.DUMMYFUNCTION("""COMPUTED_VALUE"""),"Ninguno (Población General)")</f>
        <v>Ninguno (Población General)</v>
      </c>
      <c r="CG991" s="30">
        <f ca="1">IFERROR(__xludf.DUMMYFUNCTION("""COMPUTED_VALUE"""),10)</f>
        <v>10</v>
      </c>
      <c r="CJ991" s="29"/>
      <c r="CM991" s="30" t="str">
        <f ca="1">IFERROR(__xludf.DUMMYFUNCTION("""COMPUTED_VALUE"""),"")</f>
        <v/>
      </c>
      <c r="CN991" s="32" t="e">
        <f ca="1"/>
        <v>#NAME?</v>
      </c>
      <c r="CO991" s="32" t="e">
        <f ca="1"/>
        <v>#NAME?</v>
      </c>
      <c r="CP991" s="32" t="e">
        <f ca="1"/>
        <v>#NAME?</v>
      </c>
      <c r="CQ991" s="32" t="e">
        <f ca="1"/>
        <v>#NAME?</v>
      </c>
      <c r="CR991" s="30" t="e">
        <f ca="1"/>
        <v>#NAME?</v>
      </c>
      <c r="CS991" s="30" t="str">
        <f ca="1">IFERROR(__xludf.DUMMYFUNCTION("""COMPUTED_VALUE"""),"")</f>
        <v/>
      </c>
    </row>
    <row r="992" spans="1:97" ht="13">
      <c r="A992" s="29"/>
      <c r="C992" s="32"/>
      <c r="I992" s="34"/>
      <c r="BP992" s="29"/>
      <c r="CC992" s="30" t="str">
        <f ca="1">IFERROR(__xludf.DUMMYFUNCTION("""COMPUTED_VALUE"""),"4aed06f6")</f>
        <v>4aed06f6</v>
      </c>
      <c r="CD992" s="29" t="str">
        <f ca="1">IFERROR(__xludf.DUMMYFUNCTION("""COMPUTED_VALUE"""),"Población General")</f>
        <v>Población General</v>
      </c>
      <c r="CE992" s="30" t="str">
        <f ca="1">IFERROR(__xludf.DUMMYFUNCTION("""COMPUTED_VALUE"""),"No se cuenta con el dato")</f>
        <v>No se cuenta con el dato</v>
      </c>
      <c r="CF992" s="30" t="str">
        <f ca="1">IFERROR(__xludf.DUMMYFUNCTION("""COMPUTED_VALUE"""),"Ninguno (Población General)")</f>
        <v>Ninguno (Población General)</v>
      </c>
      <c r="CG992" s="30">
        <f ca="1">IFERROR(__xludf.DUMMYFUNCTION("""COMPUTED_VALUE"""),187)</f>
        <v>187</v>
      </c>
      <c r="CJ992" s="29"/>
      <c r="CM992" s="30" t="str">
        <f ca="1">IFERROR(__xludf.DUMMYFUNCTION("""COMPUTED_VALUE"""),"")</f>
        <v/>
      </c>
      <c r="CN992" s="32" t="e">
        <f ca="1"/>
        <v>#NAME?</v>
      </c>
      <c r="CO992" s="32" t="e">
        <f ca="1"/>
        <v>#NAME?</v>
      </c>
      <c r="CP992" s="32" t="e">
        <f ca="1"/>
        <v>#NAME?</v>
      </c>
      <c r="CQ992" s="32" t="e">
        <f ca="1"/>
        <v>#NAME?</v>
      </c>
      <c r="CR992" s="30" t="e">
        <f ca="1"/>
        <v>#NAME?</v>
      </c>
      <c r="CS992" s="30" t="str">
        <f ca="1">IFERROR(__xludf.DUMMYFUNCTION("""COMPUTED_VALUE"""),"")</f>
        <v/>
      </c>
    </row>
    <row r="993" spans="1:97" ht="13">
      <c r="A993" s="29"/>
      <c r="C993" s="32"/>
      <c r="I993" s="34"/>
      <c r="BP993" s="29"/>
      <c r="CC993" s="30" t="str">
        <f ca="1">IFERROR(__xludf.DUMMYFUNCTION("""COMPUTED_VALUE"""),"fc061ae1")</f>
        <v>fc061ae1</v>
      </c>
      <c r="CD993" s="29" t="str">
        <f ca="1">IFERROR(__xludf.DUMMYFUNCTION("""COMPUTED_VALUE"""),"Adultos (30 a 59 años)")</f>
        <v>Adultos (30 a 59 años)</v>
      </c>
      <c r="CE993" s="30" t="str">
        <f ca="1">IFERROR(__xludf.DUMMYFUNCTION("""COMPUTED_VALUE"""),"No se cuenta con el dato")</f>
        <v>No se cuenta con el dato</v>
      </c>
      <c r="CF993" s="30" t="str">
        <f ca="1">IFERROR(__xludf.DUMMYFUNCTION("""COMPUTED_VALUE"""),"Ninguno (Población General)")</f>
        <v>Ninguno (Población General)</v>
      </c>
      <c r="CG993" s="30">
        <f ca="1">IFERROR(__xludf.DUMMYFUNCTION("""COMPUTED_VALUE"""),2)</f>
        <v>2</v>
      </c>
      <c r="CJ993" s="29"/>
      <c r="CM993" s="30" t="str">
        <f ca="1">IFERROR(__xludf.DUMMYFUNCTION("""COMPUTED_VALUE"""),"")</f>
        <v/>
      </c>
      <c r="CN993" s="32" t="e">
        <f ca="1"/>
        <v>#NAME?</v>
      </c>
      <c r="CO993" s="32" t="e">
        <f ca="1"/>
        <v>#NAME?</v>
      </c>
      <c r="CP993" s="32" t="e">
        <f ca="1"/>
        <v>#NAME?</v>
      </c>
      <c r="CQ993" s="32" t="e">
        <f ca="1"/>
        <v>#NAME?</v>
      </c>
      <c r="CR993" s="30" t="e">
        <f ca="1"/>
        <v>#NAME?</v>
      </c>
      <c r="CS993" s="30" t="str">
        <f ca="1">IFERROR(__xludf.DUMMYFUNCTION("""COMPUTED_VALUE"""),"")</f>
        <v/>
      </c>
    </row>
    <row r="994" spans="1:97" ht="13">
      <c r="A994" s="29"/>
      <c r="C994" s="32"/>
      <c r="I994" s="34"/>
      <c r="BP994" s="29"/>
      <c r="CC994" s="30" t="str">
        <f ca="1">IFERROR(__xludf.DUMMYFUNCTION("""COMPUTED_VALUE"""),"6f315677")</f>
        <v>6f315677</v>
      </c>
      <c r="CD994" s="29" t="str">
        <f ca="1">IFERROR(__xludf.DUMMYFUNCTION("""COMPUTED_VALUE"""),"Población General")</f>
        <v>Población General</v>
      </c>
      <c r="CE994" s="30" t="str">
        <f ca="1">IFERROR(__xludf.DUMMYFUNCTION("""COMPUTED_VALUE"""),"No se cuenta con el dato")</f>
        <v>No se cuenta con el dato</v>
      </c>
      <c r="CF994" s="30" t="str">
        <f ca="1">IFERROR(__xludf.DUMMYFUNCTION("""COMPUTED_VALUE"""),"Ninguno (Población General)")</f>
        <v>Ninguno (Población General)</v>
      </c>
      <c r="CG994" s="30">
        <f ca="1">IFERROR(__xludf.DUMMYFUNCTION("""COMPUTED_VALUE"""),3)</f>
        <v>3</v>
      </c>
      <c r="CJ994" s="29"/>
      <c r="CM994" s="30" t="str">
        <f ca="1">IFERROR(__xludf.DUMMYFUNCTION("""COMPUTED_VALUE"""),"")</f>
        <v/>
      </c>
      <c r="CN994" s="32" t="e">
        <f ca="1"/>
        <v>#NAME?</v>
      </c>
      <c r="CO994" s="32" t="e">
        <f ca="1"/>
        <v>#NAME?</v>
      </c>
      <c r="CP994" s="32" t="e">
        <f ca="1"/>
        <v>#NAME?</v>
      </c>
      <c r="CQ994" s="32" t="e">
        <f ca="1"/>
        <v>#NAME?</v>
      </c>
      <c r="CR994" s="30" t="e">
        <f ca="1"/>
        <v>#NAME?</v>
      </c>
      <c r="CS994" s="30" t="str">
        <f ca="1">IFERROR(__xludf.DUMMYFUNCTION("""COMPUTED_VALUE"""),"")</f>
        <v/>
      </c>
    </row>
    <row r="995" spans="1:97" ht="13">
      <c r="A995" s="29"/>
      <c r="C995" s="32"/>
      <c r="I995" s="34"/>
      <c r="BP995" s="29"/>
      <c r="CC995" s="30" t="str">
        <f ca="1">IFERROR(__xludf.DUMMYFUNCTION("""COMPUTED_VALUE"""),"2ab0f271")</f>
        <v>2ab0f271</v>
      </c>
      <c r="CD995" s="29" t="str">
        <f ca="1">IFERROR(__xludf.DUMMYFUNCTION("""COMPUTED_VALUE"""),"Jóvenes (18 a 29 años)")</f>
        <v>Jóvenes (18 a 29 años)</v>
      </c>
      <c r="CE995" s="30" t="str">
        <f ca="1">IFERROR(__xludf.DUMMYFUNCTION("""COMPUTED_VALUE"""),"No se cuenta con el dato")</f>
        <v>No se cuenta con el dato</v>
      </c>
      <c r="CF995" s="30" t="str">
        <f ca="1">IFERROR(__xludf.DUMMYFUNCTION("""COMPUTED_VALUE"""),"Ninguno (Población General)")</f>
        <v>Ninguno (Población General)</v>
      </c>
      <c r="CG995" s="30">
        <f ca="1">IFERROR(__xludf.DUMMYFUNCTION("""COMPUTED_VALUE"""),11)</f>
        <v>11</v>
      </c>
      <c r="CJ995" s="29"/>
      <c r="CM995" s="30" t="str">
        <f ca="1">IFERROR(__xludf.DUMMYFUNCTION("""COMPUTED_VALUE"""),"")</f>
        <v/>
      </c>
      <c r="CN995" s="32" t="e">
        <f ca="1"/>
        <v>#NAME?</v>
      </c>
      <c r="CO995" s="32" t="e">
        <f ca="1"/>
        <v>#NAME?</v>
      </c>
      <c r="CP995" s="32" t="e">
        <f ca="1"/>
        <v>#NAME?</v>
      </c>
      <c r="CQ995" s="32" t="e">
        <f ca="1"/>
        <v>#NAME?</v>
      </c>
      <c r="CR995" s="30" t="e">
        <f ca="1"/>
        <v>#NAME?</v>
      </c>
      <c r="CS995" s="30" t="str">
        <f ca="1">IFERROR(__xludf.DUMMYFUNCTION("""COMPUTED_VALUE"""),"")</f>
        <v/>
      </c>
    </row>
    <row r="996" spans="1:97" ht="13">
      <c r="A996" s="29"/>
      <c r="C996" s="32"/>
      <c r="I996" s="34"/>
      <c r="BP996" s="29"/>
      <c r="CC996" s="30" t="str">
        <f ca="1">IFERROR(__xludf.DUMMYFUNCTION("""COMPUTED_VALUE"""),"41236de2")</f>
        <v>41236de2</v>
      </c>
      <c r="CD996" s="29" t="str">
        <f ca="1">IFERROR(__xludf.DUMMYFUNCTION("""COMPUTED_VALUE"""),"Población General")</f>
        <v>Población General</v>
      </c>
      <c r="CE996" s="30" t="str">
        <f ca="1">IFERROR(__xludf.DUMMYFUNCTION("""COMPUTED_VALUE"""),"Mujer")</f>
        <v>Mujer</v>
      </c>
      <c r="CF996" s="30" t="str">
        <f ca="1">IFERROR(__xludf.DUMMYFUNCTION("""COMPUTED_VALUE"""),"Ninguno (Población General)")</f>
        <v>Ninguno (Población General)</v>
      </c>
      <c r="CG996" s="30">
        <f ca="1">IFERROR(__xludf.DUMMYFUNCTION("""COMPUTED_VALUE"""),19)</f>
        <v>19</v>
      </c>
      <c r="CJ996" s="29"/>
      <c r="CM996" s="30" t="str">
        <f ca="1">IFERROR(__xludf.DUMMYFUNCTION("""COMPUTED_VALUE"""),"")</f>
        <v/>
      </c>
      <c r="CN996" s="32" t="e">
        <f ca="1"/>
        <v>#NAME?</v>
      </c>
      <c r="CO996" s="32" t="e">
        <f ca="1"/>
        <v>#NAME?</v>
      </c>
      <c r="CP996" s="32" t="e">
        <f ca="1"/>
        <v>#NAME?</v>
      </c>
      <c r="CQ996" s="32" t="e">
        <f ca="1"/>
        <v>#NAME?</v>
      </c>
      <c r="CR996" s="30" t="e">
        <f ca="1"/>
        <v>#NAME?</v>
      </c>
      <c r="CS996" s="30" t="str">
        <f ca="1">IFERROR(__xludf.DUMMYFUNCTION("""COMPUTED_VALUE"""),"")</f>
        <v/>
      </c>
    </row>
    <row r="997" spans="1:97" ht="13">
      <c r="A997" s="29"/>
      <c r="C997" s="32"/>
      <c r="I997" s="34"/>
      <c r="BP997" s="29"/>
      <c r="CC997" s="30" t="str">
        <f ca="1">IFERROR(__xludf.DUMMYFUNCTION("""COMPUTED_VALUE"""),"f3375367")</f>
        <v>f3375367</v>
      </c>
      <c r="CD997" s="29" t="str">
        <f ca="1">IFERROR(__xludf.DUMMYFUNCTION("""COMPUTED_VALUE"""),"Población General")</f>
        <v>Población General</v>
      </c>
      <c r="CE997" s="30" t="str">
        <f ca="1">IFERROR(__xludf.DUMMYFUNCTION("""COMPUTED_VALUE"""),"Hombre")</f>
        <v>Hombre</v>
      </c>
      <c r="CF997" s="30" t="str">
        <f ca="1">IFERROR(__xludf.DUMMYFUNCTION("""COMPUTED_VALUE"""),"Ninguno (Población General)")</f>
        <v>Ninguno (Población General)</v>
      </c>
      <c r="CG997" s="30">
        <f ca="1">IFERROR(__xludf.DUMMYFUNCTION("""COMPUTED_VALUE"""),2)</f>
        <v>2</v>
      </c>
      <c r="CJ997" s="29"/>
      <c r="CM997" s="30" t="str">
        <f ca="1">IFERROR(__xludf.DUMMYFUNCTION("""COMPUTED_VALUE"""),"")</f>
        <v/>
      </c>
      <c r="CN997" s="32" t="e">
        <f ca="1"/>
        <v>#NAME?</v>
      </c>
      <c r="CO997" s="32" t="e">
        <f ca="1"/>
        <v>#NAME?</v>
      </c>
      <c r="CP997" s="32" t="e">
        <f ca="1"/>
        <v>#NAME?</v>
      </c>
      <c r="CQ997" s="32" t="e">
        <f ca="1"/>
        <v>#NAME?</v>
      </c>
      <c r="CR997" s="30" t="e">
        <f ca="1"/>
        <v>#NAME?</v>
      </c>
      <c r="CS997" s="30" t="str">
        <f ca="1">IFERROR(__xludf.DUMMYFUNCTION("""COMPUTED_VALUE"""),"")</f>
        <v/>
      </c>
    </row>
    <row r="998" spans="1:97" ht="13">
      <c r="A998" s="29"/>
      <c r="C998" s="32"/>
      <c r="I998" s="34"/>
      <c r="BP998" s="29"/>
      <c r="CC998" s="30" t="str">
        <f ca="1">IFERROR(__xludf.DUMMYFUNCTION("""COMPUTED_VALUE"""),"8d65746d")</f>
        <v>8d65746d</v>
      </c>
      <c r="CD998" s="29" t="str">
        <f ca="1">IFERROR(__xludf.DUMMYFUNCTION("""COMPUTED_VALUE"""),"Jóvenes (18 a 29 años)")</f>
        <v>Jóvenes (18 a 29 años)</v>
      </c>
      <c r="CE998" s="30" t="str">
        <f ca="1">IFERROR(__xludf.DUMMYFUNCTION("""COMPUTED_VALUE"""),"Mujer")</f>
        <v>Mujer</v>
      </c>
      <c r="CF998" s="30" t="str">
        <f ca="1">IFERROR(__xludf.DUMMYFUNCTION("""COMPUTED_VALUE"""),"Ninguno (Población General)")</f>
        <v>Ninguno (Población General)</v>
      </c>
      <c r="CG998" s="30">
        <f ca="1">IFERROR(__xludf.DUMMYFUNCTION("""COMPUTED_VALUE"""),2)</f>
        <v>2</v>
      </c>
      <c r="CJ998" s="29"/>
      <c r="CM998" s="30" t="str">
        <f ca="1">IFERROR(__xludf.DUMMYFUNCTION("""COMPUTED_VALUE"""),"")</f>
        <v/>
      </c>
      <c r="CN998" s="32" t="e">
        <f ca="1"/>
        <v>#NAME?</v>
      </c>
      <c r="CO998" s="32" t="e">
        <f ca="1"/>
        <v>#NAME?</v>
      </c>
      <c r="CP998" s="32" t="e">
        <f ca="1"/>
        <v>#NAME?</v>
      </c>
      <c r="CQ998" s="32" t="e">
        <f ca="1"/>
        <v>#NAME?</v>
      </c>
      <c r="CR998" s="30" t="e">
        <f ca="1"/>
        <v>#NAME?</v>
      </c>
      <c r="CS998" s="30" t="str">
        <f ca="1">IFERROR(__xludf.DUMMYFUNCTION("""COMPUTED_VALUE"""),"")</f>
        <v/>
      </c>
    </row>
    <row r="999" spans="1:97" ht="13">
      <c r="A999" s="29"/>
      <c r="C999" s="32"/>
      <c r="I999" s="34"/>
      <c r="BP999" s="29"/>
      <c r="CC999" s="30" t="str">
        <f ca="1">IFERROR(__xludf.DUMMYFUNCTION("""COMPUTED_VALUE"""),"d1ae755a")</f>
        <v>d1ae755a</v>
      </c>
      <c r="CD999" s="29" t="str">
        <f ca="1">IFERROR(__xludf.DUMMYFUNCTION("""COMPUTED_VALUE"""),"Jóvenes (18 a 29 años)")</f>
        <v>Jóvenes (18 a 29 años)</v>
      </c>
      <c r="CE999" s="30" t="str">
        <f ca="1">IFERROR(__xludf.DUMMYFUNCTION("""COMPUTED_VALUE"""),"Hombre")</f>
        <v>Hombre</v>
      </c>
      <c r="CF999" s="30" t="str">
        <f ca="1">IFERROR(__xludf.DUMMYFUNCTION("""COMPUTED_VALUE"""),"Ninguno (Población General)")</f>
        <v>Ninguno (Población General)</v>
      </c>
      <c r="CG999" s="30">
        <f ca="1">IFERROR(__xludf.DUMMYFUNCTION("""COMPUTED_VALUE"""),1)</f>
        <v>1</v>
      </c>
      <c r="CJ999" s="29"/>
      <c r="CM999" s="30" t="str">
        <f ca="1">IFERROR(__xludf.DUMMYFUNCTION("""COMPUTED_VALUE"""),"")</f>
        <v/>
      </c>
      <c r="CN999" s="32" t="e">
        <f ca="1"/>
        <v>#NAME?</v>
      </c>
      <c r="CO999" s="32" t="e">
        <f ca="1"/>
        <v>#NAME?</v>
      </c>
      <c r="CP999" s="32" t="e">
        <f ca="1"/>
        <v>#NAME?</v>
      </c>
      <c r="CQ999" s="32" t="e">
        <f ca="1"/>
        <v>#NAME?</v>
      </c>
      <c r="CR999" s="30" t="e">
        <f ca="1"/>
        <v>#NAME?</v>
      </c>
      <c r="CS999" s="30" t="str">
        <f ca="1">IFERROR(__xludf.DUMMYFUNCTION("""COMPUTED_VALUE"""),"")</f>
        <v/>
      </c>
    </row>
    <row r="1000" spans="1:97" ht="13">
      <c r="A1000" s="29"/>
      <c r="C1000" s="32"/>
      <c r="I1000" s="34"/>
      <c r="BP1000" s="29"/>
      <c r="CC1000" s="30" t="str">
        <f ca="1">IFERROR(__xludf.DUMMYFUNCTION("""COMPUTED_VALUE"""),"0ef32c5c")</f>
        <v>0ef32c5c</v>
      </c>
      <c r="CD1000" s="29" t="str">
        <f ca="1">IFERROR(__xludf.DUMMYFUNCTION("""COMPUTED_VALUE"""),"Adultos (30 a 59 años)")</f>
        <v>Adultos (30 a 59 años)</v>
      </c>
      <c r="CE1000" s="30" t="str">
        <f ca="1">IFERROR(__xludf.DUMMYFUNCTION("""COMPUTED_VALUE"""),"Mujer")</f>
        <v>Mujer</v>
      </c>
      <c r="CF1000" s="30" t="str">
        <f ca="1">IFERROR(__xludf.DUMMYFUNCTION("""COMPUTED_VALUE"""),"Ninguno (Población General)")</f>
        <v>Ninguno (Población General)</v>
      </c>
      <c r="CG1000" s="30">
        <f ca="1">IFERROR(__xludf.DUMMYFUNCTION("""COMPUTED_VALUE"""),4)</f>
        <v>4</v>
      </c>
      <c r="CJ1000" s="29"/>
      <c r="CM1000" s="30" t="str">
        <f ca="1">IFERROR(__xludf.DUMMYFUNCTION("""COMPUTED_VALUE"""),"")</f>
        <v/>
      </c>
      <c r="CN1000" s="32" t="e">
        <f ca="1"/>
        <v>#NAME?</v>
      </c>
      <c r="CO1000" s="32" t="e">
        <f ca="1"/>
        <v>#NAME?</v>
      </c>
      <c r="CP1000" s="32" t="e">
        <f ca="1"/>
        <v>#NAME?</v>
      </c>
      <c r="CQ1000" s="32" t="e">
        <f ca="1"/>
        <v>#NAME?</v>
      </c>
      <c r="CR1000" s="30" t="e">
        <f ca="1"/>
        <v>#NAME?</v>
      </c>
      <c r="CS1000" s="30" t="str">
        <f ca="1">IFERROR(__xludf.DUMMYFUNCTION("""COMPUTED_VALUE"""),"")</f>
        <v/>
      </c>
    </row>
    <row r="1001" spans="1:97" ht="13">
      <c r="A1001" s="29"/>
      <c r="C1001" s="32"/>
      <c r="I1001" s="34"/>
      <c r="BP1001" s="29"/>
      <c r="CC1001" s="30" t="str">
        <f ca="1">IFERROR(__xludf.DUMMYFUNCTION("""COMPUTED_VALUE"""),"df5999ea")</f>
        <v>df5999ea</v>
      </c>
      <c r="CD1001" s="29" t="str">
        <f ca="1">IFERROR(__xludf.DUMMYFUNCTION("""COMPUTED_VALUE"""),"Adultos (30 a 59 años)")</f>
        <v>Adultos (30 a 59 años)</v>
      </c>
      <c r="CE1001" s="30" t="str">
        <f ca="1">IFERROR(__xludf.DUMMYFUNCTION("""COMPUTED_VALUE"""),"Hombre")</f>
        <v>Hombre</v>
      </c>
      <c r="CF1001" s="30" t="str">
        <f ca="1">IFERROR(__xludf.DUMMYFUNCTION("""COMPUTED_VALUE"""),"Ninguno (Población General)")</f>
        <v>Ninguno (Población General)</v>
      </c>
      <c r="CG1001" s="30">
        <f ca="1">IFERROR(__xludf.DUMMYFUNCTION("""COMPUTED_VALUE"""),7)</f>
        <v>7</v>
      </c>
      <c r="CJ1001" s="29"/>
      <c r="CM1001" s="30" t="str">
        <f ca="1">IFERROR(__xludf.DUMMYFUNCTION("""COMPUTED_VALUE"""),"")</f>
        <v/>
      </c>
      <c r="CN1001" s="32" t="e">
        <f ca="1"/>
        <v>#NAME?</v>
      </c>
      <c r="CO1001" s="32" t="e">
        <f ca="1"/>
        <v>#NAME?</v>
      </c>
      <c r="CP1001" s="32" t="e">
        <f ca="1"/>
        <v>#NAME?</v>
      </c>
      <c r="CQ1001" s="32" t="e">
        <f ca="1"/>
        <v>#NAME?</v>
      </c>
      <c r="CR1001" s="30" t="e">
        <f ca="1"/>
        <v>#NAME?</v>
      </c>
      <c r="CS1001" s="30" t="str">
        <f ca="1">IFERROR(__xludf.DUMMYFUNCTION("""COMPUTED_VALUE"""),"")</f>
        <v/>
      </c>
    </row>
    <row r="1002" spans="1:97" ht="13">
      <c r="A1002" s="29"/>
      <c r="C1002" s="32"/>
      <c r="I1002" s="34"/>
      <c r="BP1002" s="29"/>
      <c r="CC1002" s="30" t="str">
        <f ca="1">IFERROR(__xludf.DUMMYFUNCTION("""COMPUTED_VALUE"""),"0136cee7")</f>
        <v>0136cee7</v>
      </c>
      <c r="CD1002" s="29" t="str">
        <f ca="1">IFERROR(__xludf.DUMMYFUNCTION("""COMPUTED_VALUE"""),"Adultos Mayores (60 años o más)")</f>
        <v>Adultos Mayores (60 años o más)</v>
      </c>
      <c r="CE1002" s="30" t="str">
        <f ca="1">IFERROR(__xludf.DUMMYFUNCTION("""COMPUTED_VALUE"""),"Mujer")</f>
        <v>Mujer</v>
      </c>
      <c r="CF1002" s="30" t="str">
        <f ca="1">IFERROR(__xludf.DUMMYFUNCTION("""COMPUTED_VALUE"""),"Ninguno (Población General)")</f>
        <v>Ninguno (Población General)</v>
      </c>
      <c r="CG1002" s="30">
        <f ca="1">IFERROR(__xludf.DUMMYFUNCTION("""COMPUTED_VALUE"""),1)</f>
        <v>1</v>
      </c>
      <c r="CJ1002" s="29"/>
      <c r="CM1002" s="30" t="str">
        <f ca="1">IFERROR(__xludf.DUMMYFUNCTION("""COMPUTED_VALUE"""),"")</f>
        <v/>
      </c>
      <c r="CN1002" s="32" t="e">
        <f ca="1"/>
        <v>#NAME?</v>
      </c>
      <c r="CO1002" s="32" t="e">
        <f ca="1"/>
        <v>#NAME?</v>
      </c>
      <c r="CP1002" s="32" t="e">
        <f ca="1"/>
        <v>#NAME?</v>
      </c>
      <c r="CQ1002" s="32" t="e">
        <f ca="1"/>
        <v>#NAME?</v>
      </c>
      <c r="CR1002" s="30" t="e">
        <f ca="1"/>
        <v>#NAME?</v>
      </c>
      <c r="CS1002" s="30" t="str">
        <f ca="1">IFERROR(__xludf.DUMMYFUNCTION("""COMPUTED_VALUE"""),"")</f>
        <v/>
      </c>
    </row>
    <row r="1003" spans="1:97" ht="13">
      <c r="A1003" s="29"/>
      <c r="C1003" s="32"/>
      <c r="I1003" s="34"/>
      <c r="BP1003" s="29"/>
      <c r="CC1003" s="30" t="str">
        <f ca="1">IFERROR(__xludf.DUMMYFUNCTION("""COMPUTED_VALUE"""),"8cc20f02")</f>
        <v>8cc20f02</v>
      </c>
      <c r="CD1003" s="29" t="str">
        <f ca="1">IFERROR(__xludf.DUMMYFUNCTION("""COMPUTED_VALUE"""),"Jóvenes (18 a 29 años)")</f>
        <v>Jóvenes (18 a 29 años)</v>
      </c>
      <c r="CE1003" s="30" t="str">
        <f ca="1">IFERROR(__xludf.DUMMYFUNCTION("""COMPUTED_VALUE"""),"Mujer")</f>
        <v>Mujer</v>
      </c>
      <c r="CF1003" s="30" t="str">
        <f ca="1">IFERROR(__xludf.DUMMYFUNCTION("""COMPUTED_VALUE"""),"Ninguno (Población General)")</f>
        <v>Ninguno (Población General)</v>
      </c>
      <c r="CG1003" s="30">
        <f ca="1">IFERROR(__xludf.DUMMYFUNCTION("""COMPUTED_VALUE"""),3)</f>
        <v>3</v>
      </c>
      <c r="CJ1003" s="29"/>
      <c r="CM1003" s="30" t="str">
        <f ca="1">IFERROR(__xludf.DUMMYFUNCTION("""COMPUTED_VALUE"""),"")</f>
        <v/>
      </c>
      <c r="CN1003" s="32" t="e">
        <f ca="1"/>
        <v>#NAME?</v>
      </c>
      <c r="CO1003" s="32" t="e">
        <f ca="1"/>
        <v>#NAME?</v>
      </c>
      <c r="CP1003" s="32" t="e">
        <f ca="1"/>
        <v>#NAME?</v>
      </c>
      <c r="CQ1003" s="32" t="e">
        <f ca="1"/>
        <v>#NAME?</v>
      </c>
      <c r="CR1003" s="30" t="e">
        <f ca="1"/>
        <v>#NAME?</v>
      </c>
      <c r="CS1003" s="30" t="str">
        <f ca="1">IFERROR(__xludf.DUMMYFUNCTION("""COMPUTED_VALUE"""),"")</f>
        <v/>
      </c>
    </row>
    <row r="1004" spans="1:97" ht="13">
      <c r="A1004" s="29"/>
      <c r="C1004" s="32"/>
      <c r="I1004" s="34"/>
      <c r="BP1004" s="29"/>
      <c r="CC1004" s="30" t="str">
        <f ca="1">IFERROR(__xludf.DUMMYFUNCTION("""COMPUTED_VALUE"""),"cbf2a437")</f>
        <v>cbf2a437</v>
      </c>
      <c r="CD1004" s="29" t="str">
        <f ca="1">IFERROR(__xludf.DUMMYFUNCTION("""COMPUTED_VALUE"""),"Jóvenes (18 a 29 años)")</f>
        <v>Jóvenes (18 a 29 años)</v>
      </c>
      <c r="CE1004" s="30" t="str">
        <f ca="1">IFERROR(__xludf.DUMMYFUNCTION("""COMPUTED_VALUE"""),"Hombre")</f>
        <v>Hombre</v>
      </c>
      <c r="CF1004" s="30" t="str">
        <f ca="1">IFERROR(__xludf.DUMMYFUNCTION("""COMPUTED_VALUE"""),"Ninguno (Población General)")</f>
        <v>Ninguno (Población General)</v>
      </c>
      <c r="CG1004" s="30">
        <f ca="1">IFERROR(__xludf.DUMMYFUNCTION("""COMPUTED_VALUE"""),1)</f>
        <v>1</v>
      </c>
      <c r="CJ1004" s="29"/>
      <c r="CM1004" s="30" t="str">
        <f ca="1">IFERROR(__xludf.DUMMYFUNCTION("""COMPUTED_VALUE"""),"")</f>
        <v/>
      </c>
      <c r="CN1004" s="32" t="e">
        <f ca="1"/>
        <v>#NAME?</v>
      </c>
      <c r="CO1004" s="32" t="e">
        <f ca="1"/>
        <v>#NAME?</v>
      </c>
      <c r="CP1004" s="32" t="e">
        <f ca="1"/>
        <v>#NAME?</v>
      </c>
      <c r="CQ1004" s="32" t="e">
        <f ca="1"/>
        <v>#NAME?</v>
      </c>
      <c r="CR1004" s="30" t="e">
        <f ca="1"/>
        <v>#NAME?</v>
      </c>
      <c r="CS1004" s="30" t="str">
        <f ca="1">IFERROR(__xludf.DUMMYFUNCTION("""COMPUTED_VALUE"""),"")</f>
        <v/>
      </c>
    </row>
    <row r="1005" spans="1:97" ht="13">
      <c r="A1005" s="29"/>
      <c r="C1005" s="32"/>
      <c r="I1005" s="34"/>
      <c r="BP1005" s="29"/>
      <c r="CC1005" s="30" t="str">
        <f ca="1">IFERROR(__xludf.DUMMYFUNCTION("""COMPUTED_VALUE"""),"3de7510f")</f>
        <v>3de7510f</v>
      </c>
      <c r="CD1005" s="29" t="str">
        <f ca="1">IFERROR(__xludf.DUMMYFUNCTION("""COMPUTED_VALUE"""),"Adultos (30 a 59 años)")</f>
        <v>Adultos (30 a 59 años)</v>
      </c>
      <c r="CE1005" s="30" t="str">
        <f ca="1">IFERROR(__xludf.DUMMYFUNCTION("""COMPUTED_VALUE"""),"Mujer")</f>
        <v>Mujer</v>
      </c>
      <c r="CF1005" s="30" t="str">
        <f ca="1">IFERROR(__xludf.DUMMYFUNCTION("""COMPUTED_VALUE"""),"Ninguno (Población General)")</f>
        <v>Ninguno (Población General)</v>
      </c>
      <c r="CG1005" s="30">
        <f ca="1">IFERROR(__xludf.DUMMYFUNCTION("""COMPUTED_VALUE"""),10)</f>
        <v>10</v>
      </c>
      <c r="CJ1005" s="29"/>
      <c r="CM1005" s="30" t="str">
        <f ca="1">IFERROR(__xludf.DUMMYFUNCTION("""COMPUTED_VALUE"""),"")</f>
        <v/>
      </c>
      <c r="CN1005" s="32" t="e">
        <f ca="1"/>
        <v>#NAME?</v>
      </c>
      <c r="CO1005" s="32" t="e">
        <f ca="1"/>
        <v>#NAME?</v>
      </c>
      <c r="CP1005" s="32" t="e">
        <f ca="1"/>
        <v>#NAME?</v>
      </c>
      <c r="CQ1005" s="32" t="e">
        <f ca="1"/>
        <v>#NAME?</v>
      </c>
      <c r="CR1005" s="30" t="e">
        <f ca="1"/>
        <v>#NAME?</v>
      </c>
      <c r="CS1005" s="30" t="str">
        <f ca="1">IFERROR(__xludf.DUMMYFUNCTION("""COMPUTED_VALUE"""),"")</f>
        <v/>
      </c>
    </row>
    <row r="1006" spans="1:97" ht="13">
      <c r="A1006" s="29"/>
      <c r="C1006" s="32"/>
      <c r="I1006" s="34"/>
      <c r="BP1006" s="29"/>
      <c r="CC1006" s="30" t="str">
        <f ca="1">IFERROR(__xludf.DUMMYFUNCTION("""COMPUTED_VALUE"""),"75d8582c")</f>
        <v>75d8582c</v>
      </c>
      <c r="CD1006" s="29" t="str">
        <f ca="1">IFERROR(__xludf.DUMMYFUNCTION("""COMPUTED_VALUE"""),"Niñas y Niños (6 a 12 años)")</f>
        <v>Niñas y Niños (6 a 12 años)</v>
      </c>
      <c r="CE1006" s="30" t="str">
        <f ca="1">IFERROR(__xludf.DUMMYFUNCTION("""COMPUTED_VALUE"""),"No se cuenta con el dato")</f>
        <v>No se cuenta con el dato</v>
      </c>
      <c r="CF1006" s="30" t="str">
        <f ca="1">IFERROR(__xludf.DUMMYFUNCTION("""COMPUTED_VALUE"""),"Ninguno (Población General)")</f>
        <v>Ninguno (Población General)</v>
      </c>
      <c r="CG1006" s="30">
        <f ca="1">IFERROR(__xludf.DUMMYFUNCTION("""COMPUTED_VALUE"""),9)</f>
        <v>9</v>
      </c>
      <c r="CJ1006" s="29"/>
      <c r="CM1006" s="30" t="str">
        <f ca="1">IFERROR(__xludf.DUMMYFUNCTION("""COMPUTED_VALUE"""),"")</f>
        <v/>
      </c>
      <c r="CN1006" s="32" t="e">
        <f ca="1"/>
        <v>#NAME?</v>
      </c>
      <c r="CO1006" s="32" t="e">
        <f ca="1"/>
        <v>#NAME?</v>
      </c>
      <c r="CP1006" s="32" t="e">
        <f ca="1"/>
        <v>#NAME?</v>
      </c>
      <c r="CQ1006" s="32" t="e">
        <f ca="1"/>
        <v>#NAME?</v>
      </c>
      <c r="CR1006" s="30" t="e">
        <f ca="1"/>
        <v>#NAME?</v>
      </c>
      <c r="CS1006" s="30" t="str">
        <f ca="1">IFERROR(__xludf.DUMMYFUNCTION("""COMPUTED_VALUE"""),"")</f>
        <v/>
      </c>
    </row>
    <row r="1007" spans="1:97" ht="13">
      <c r="A1007" s="29"/>
      <c r="C1007" s="32"/>
      <c r="I1007" s="34"/>
      <c r="BP1007" s="29"/>
      <c r="CC1007" s="30" t="str">
        <f ca="1">IFERROR(__xludf.DUMMYFUNCTION("""COMPUTED_VALUE"""),"8af03d24")</f>
        <v>8af03d24</v>
      </c>
      <c r="CD1007" s="29" t="str">
        <f ca="1">IFERROR(__xludf.DUMMYFUNCTION("""COMPUTED_VALUE"""),"Jóvenes (18 a 29 años)")</f>
        <v>Jóvenes (18 a 29 años)</v>
      </c>
      <c r="CE1007" s="30" t="str">
        <f ca="1">IFERROR(__xludf.DUMMYFUNCTION("""COMPUTED_VALUE"""),"Mujer")</f>
        <v>Mujer</v>
      </c>
      <c r="CF1007" s="30" t="str">
        <f ca="1">IFERROR(__xludf.DUMMYFUNCTION("""COMPUTED_VALUE"""),"Ninguno (Población General)")</f>
        <v>Ninguno (Población General)</v>
      </c>
      <c r="CG1007" s="30">
        <f ca="1">IFERROR(__xludf.DUMMYFUNCTION("""COMPUTED_VALUE"""),7)</f>
        <v>7</v>
      </c>
      <c r="CJ1007" s="29"/>
      <c r="CM1007" s="30" t="str">
        <f ca="1">IFERROR(__xludf.DUMMYFUNCTION("""COMPUTED_VALUE"""),"")</f>
        <v/>
      </c>
      <c r="CN1007" s="32" t="e">
        <f ca="1"/>
        <v>#NAME?</v>
      </c>
      <c r="CO1007" s="32" t="e">
        <f ca="1"/>
        <v>#NAME?</v>
      </c>
      <c r="CP1007" s="32" t="e">
        <f ca="1"/>
        <v>#NAME?</v>
      </c>
      <c r="CQ1007" s="32" t="e">
        <f ca="1"/>
        <v>#NAME?</v>
      </c>
      <c r="CR1007" s="30" t="e">
        <f ca="1"/>
        <v>#NAME?</v>
      </c>
      <c r="CS1007" s="30" t="str">
        <f ca="1">IFERROR(__xludf.DUMMYFUNCTION("""COMPUTED_VALUE"""),"")</f>
        <v/>
      </c>
    </row>
    <row r="1008" spans="1:97" ht="13">
      <c r="A1008" s="29"/>
      <c r="C1008" s="32"/>
      <c r="I1008" s="34"/>
      <c r="BP1008" s="29"/>
      <c r="CC1008" s="30" t="str">
        <f ca="1">IFERROR(__xludf.DUMMYFUNCTION("""COMPUTED_VALUE"""),"5822e78a")</f>
        <v>5822e78a</v>
      </c>
      <c r="CD1008" s="29" t="str">
        <f ca="1">IFERROR(__xludf.DUMMYFUNCTION("""COMPUTED_VALUE"""),"Jóvenes (18 a 29 años)")</f>
        <v>Jóvenes (18 a 29 años)</v>
      </c>
      <c r="CE1008" s="30" t="str">
        <f ca="1">IFERROR(__xludf.DUMMYFUNCTION("""COMPUTED_VALUE"""),"Hombre")</f>
        <v>Hombre</v>
      </c>
      <c r="CF1008" s="30" t="str">
        <f ca="1">IFERROR(__xludf.DUMMYFUNCTION("""COMPUTED_VALUE"""),"Ninguno (Población General)")</f>
        <v>Ninguno (Población General)</v>
      </c>
      <c r="CG1008" s="30">
        <f ca="1">IFERROR(__xludf.DUMMYFUNCTION("""COMPUTED_VALUE"""),3)</f>
        <v>3</v>
      </c>
      <c r="CJ1008" s="29"/>
      <c r="CM1008" s="30" t="str">
        <f ca="1">IFERROR(__xludf.DUMMYFUNCTION("""COMPUTED_VALUE"""),"")</f>
        <v/>
      </c>
      <c r="CN1008" s="32" t="e">
        <f ca="1"/>
        <v>#NAME?</v>
      </c>
      <c r="CO1008" s="32" t="e">
        <f ca="1"/>
        <v>#NAME?</v>
      </c>
      <c r="CP1008" s="32" t="e">
        <f ca="1"/>
        <v>#NAME?</v>
      </c>
      <c r="CQ1008" s="32" t="e">
        <f ca="1"/>
        <v>#NAME?</v>
      </c>
      <c r="CR1008" s="30" t="e">
        <f ca="1"/>
        <v>#NAME?</v>
      </c>
      <c r="CS1008" s="30" t="str">
        <f ca="1">IFERROR(__xludf.DUMMYFUNCTION("""COMPUTED_VALUE"""),"")</f>
        <v/>
      </c>
    </row>
    <row r="1009" spans="1:97" ht="13">
      <c r="A1009" s="29"/>
      <c r="C1009" s="32"/>
      <c r="I1009" s="34"/>
      <c r="BP1009" s="29"/>
      <c r="CC1009" s="30" t="str">
        <f ca="1">IFERROR(__xludf.DUMMYFUNCTION("""COMPUTED_VALUE"""),"981a587e")</f>
        <v>981a587e</v>
      </c>
      <c r="CD1009" s="29" t="str">
        <f ca="1">IFERROR(__xludf.DUMMYFUNCTION("""COMPUTED_VALUE"""),"Adultos (30 a 59 años)")</f>
        <v>Adultos (30 a 59 años)</v>
      </c>
      <c r="CE1009" s="30" t="str">
        <f ca="1">IFERROR(__xludf.DUMMYFUNCTION("""COMPUTED_VALUE"""),"Mujer")</f>
        <v>Mujer</v>
      </c>
      <c r="CF1009" s="30" t="str">
        <f ca="1">IFERROR(__xludf.DUMMYFUNCTION("""COMPUTED_VALUE"""),"Ninguno (Población General)")</f>
        <v>Ninguno (Población General)</v>
      </c>
      <c r="CG1009" s="30">
        <f ca="1">IFERROR(__xludf.DUMMYFUNCTION("""COMPUTED_VALUE"""),2)</f>
        <v>2</v>
      </c>
      <c r="CJ1009" s="29"/>
      <c r="CM1009" s="30" t="str">
        <f ca="1">IFERROR(__xludf.DUMMYFUNCTION("""COMPUTED_VALUE"""),"")</f>
        <v/>
      </c>
      <c r="CN1009" s="32" t="e">
        <f ca="1"/>
        <v>#NAME?</v>
      </c>
      <c r="CO1009" s="32" t="e">
        <f ca="1"/>
        <v>#NAME?</v>
      </c>
      <c r="CP1009" s="32" t="e">
        <f ca="1"/>
        <v>#NAME?</v>
      </c>
      <c r="CQ1009" s="32" t="e">
        <f ca="1"/>
        <v>#NAME?</v>
      </c>
      <c r="CR1009" s="30" t="e">
        <f ca="1"/>
        <v>#NAME?</v>
      </c>
      <c r="CS1009" s="30" t="str">
        <f ca="1">IFERROR(__xludf.DUMMYFUNCTION("""COMPUTED_VALUE"""),"")</f>
        <v/>
      </c>
    </row>
    <row r="1010" spans="1:97" ht="13">
      <c r="A1010" s="29"/>
      <c r="C1010" s="32"/>
      <c r="I1010" s="34"/>
      <c r="BP1010" s="29"/>
      <c r="CC1010" s="30" t="str">
        <f ca="1">IFERROR(__xludf.DUMMYFUNCTION("""COMPUTED_VALUE"""),"64d96083")</f>
        <v>64d96083</v>
      </c>
      <c r="CD1010" s="29" t="str">
        <f ca="1">IFERROR(__xludf.DUMMYFUNCTION("""COMPUTED_VALUE"""),"Adultos (30 a 59 años)")</f>
        <v>Adultos (30 a 59 años)</v>
      </c>
      <c r="CE1010" s="30" t="str">
        <f ca="1">IFERROR(__xludf.DUMMYFUNCTION("""COMPUTED_VALUE"""),"Hombre")</f>
        <v>Hombre</v>
      </c>
      <c r="CF1010" s="30" t="str">
        <f ca="1">IFERROR(__xludf.DUMMYFUNCTION("""COMPUTED_VALUE"""),"Ninguno (Población General)")</f>
        <v>Ninguno (Población General)</v>
      </c>
      <c r="CG1010" s="30">
        <f ca="1">IFERROR(__xludf.DUMMYFUNCTION("""COMPUTED_VALUE"""),3)</f>
        <v>3</v>
      </c>
      <c r="CJ1010" s="29"/>
      <c r="CM1010" s="30" t="str">
        <f ca="1">IFERROR(__xludf.DUMMYFUNCTION("""COMPUTED_VALUE"""),"")</f>
        <v/>
      </c>
      <c r="CN1010" s="32" t="e">
        <f ca="1"/>
        <v>#NAME?</v>
      </c>
      <c r="CO1010" s="32" t="e">
        <f ca="1"/>
        <v>#NAME?</v>
      </c>
      <c r="CP1010" s="32" t="e">
        <f ca="1"/>
        <v>#NAME?</v>
      </c>
      <c r="CQ1010" s="32" t="e">
        <f ca="1"/>
        <v>#NAME?</v>
      </c>
      <c r="CR1010" s="30" t="e">
        <f ca="1"/>
        <v>#NAME?</v>
      </c>
      <c r="CS1010" s="30" t="str">
        <f ca="1">IFERROR(__xludf.DUMMYFUNCTION("""COMPUTED_VALUE"""),"")</f>
        <v/>
      </c>
    </row>
    <row r="1011" spans="1:97" ht="13">
      <c r="A1011" s="29"/>
      <c r="C1011" s="32"/>
      <c r="I1011" s="34"/>
      <c r="BP1011" s="29"/>
      <c r="CC1011" s="30" t="str">
        <f ca="1">IFERROR(__xludf.DUMMYFUNCTION("""COMPUTED_VALUE"""),"403f4b55")</f>
        <v>403f4b55</v>
      </c>
      <c r="CD1011" s="29" t="str">
        <f ca="1">IFERROR(__xludf.DUMMYFUNCTION("""COMPUTED_VALUE"""),"Jóvenes (18 a 29 años)")</f>
        <v>Jóvenes (18 a 29 años)</v>
      </c>
      <c r="CE1011" s="30" t="str">
        <f ca="1">IFERROR(__xludf.DUMMYFUNCTION("""COMPUTED_VALUE"""),"Mujer")</f>
        <v>Mujer</v>
      </c>
      <c r="CF1011" s="30" t="str">
        <f ca="1">IFERROR(__xludf.DUMMYFUNCTION("""COMPUTED_VALUE"""),"Ninguno (Población General)")</f>
        <v>Ninguno (Población General)</v>
      </c>
      <c r="CG1011" s="30">
        <f ca="1">IFERROR(__xludf.DUMMYFUNCTION("""COMPUTED_VALUE"""),1)</f>
        <v>1</v>
      </c>
      <c r="CJ1011" s="29"/>
      <c r="CM1011" s="30" t="str">
        <f ca="1">IFERROR(__xludf.DUMMYFUNCTION("""COMPUTED_VALUE"""),"")</f>
        <v/>
      </c>
      <c r="CN1011" s="32" t="e">
        <f ca="1"/>
        <v>#NAME?</v>
      </c>
      <c r="CO1011" s="32" t="e">
        <f ca="1"/>
        <v>#NAME?</v>
      </c>
      <c r="CP1011" s="32" t="e">
        <f ca="1"/>
        <v>#NAME?</v>
      </c>
      <c r="CQ1011" s="32" t="e">
        <f ca="1"/>
        <v>#NAME?</v>
      </c>
      <c r="CR1011" s="30" t="e">
        <f ca="1"/>
        <v>#NAME?</v>
      </c>
      <c r="CS1011" s="30" t="str">
        <f ca="1">IFERROR(__xludf.DUMMYFUNCTION("""COMPUTED_VALUE"""),"")</f>
        <v/>
      </c>
    </row>
    <row r="1012" spans="1:97" ht="13">
      <c r="A1012" s="29"/>
      <c r="C1012" s="32"/>
      <c r="I1012" s="34"/>
      <c r="BP1012" s="29"/>
      <c r="CC1012" s="30" t="str">
        <f ca="1">IFERROR(__xludf.DUMMYFUNCTION("""COMPUTED_VALUE"""),"6b74e727")</f>
        <v>6b74e727</v>
      </c>
      <c r="CD1012" s="29" t="str">
        <f ca="1">IFERROR(__xludf.DUMMYFUNCTION("""COMPUTED_VALUE"""),"Jóvenes (18 a 29 años)")</f>
        <v>Jóvenes (18 a 29 años)</v>
      </c>
      <c r="CE1012" s="30" t="str">
        <f ca="1">IFERROR(__xludf.DUMMYFUNCTION("""COMPUTED_VALUE"""),"Hombre")</f>
        <v>Hombre</v>
      </c>
      <c r="CF1012" s="30" t="str">
        <f ca="1">IFERROR(__xludf.DUMMYFUNCTION("""COMPUTED_VALUE"""),"Ninguno (Población General)")</f>
        <v>Ninguno (Población General)</v>
      </c>
      <c r="CG1012" s="30">
        <f ca="1">IFERROR(__xludf.DUMMYFUNCTION("""COMPUTED_VALUE"""),4)</f>
        <v>4</v>
      </c>
      <c r="CJ1012" s="29"/>
      <c r="CM1012" s="30" t="str">
        <f ca="1">IFERROR(__xludf.DUMMYFUNCTION("""COMPUTED_VALUE"""),"")</f>
        <v/>
      </c>
      <c r="CN1012" s="32" t="e">
        <f ca="1"/>
        <v>#NAME?</v>
      </c>
      <c r="CO1012" s="32" t="e">
        <f ca="1"/>
        <v>#NAME?</v>
      </c>
      <c r="CP1012" s="32" t="e">
        <f ca="1"/>
        <v>#NAME?</v>
      </c>
      <c r="CQ1012" s="32" t="e">
        <f ca="1"/>
        <v>#NAME?</v>
      </c>
      <c r="CR1012" s="30" t="e">
        <f ca="1"/>
        <v>#NAME?</v>
      </c>
      <c r="CS1012" s="30" t="str">
        <f ca="1">IFERROR(__xludf.DUMMYFUNCTION("""COMPUTED_VALUE"""),"")</f>
        <v/>
      </c>
    </row>
    <row r="1013" spans="1:97" ht="13">
      <c r="A1013" s="29"/>
      <c r="C1013" s="32"/>
      <c r="I1013" s="34"/>
      <c r="BP1013" s="29"/>
      <c r="CC1013" s="30" t="str">
        <f ca="1">IFERROR(__xludf.DUMMYFUNCTION("""COMPUTED_VALUE"""),"961d8ff9")</f>
        <v>961d8ff9</v>
      </c>
      <c r="CD1013" s="29" t="str">
        <f ca="1">IFERROR(__xludf.DUMMYFUNCTION("""COMPUTED_VALUE"""),"Adultos (30 a 59 años)")</f>
        <v>Adultos (30 a 59 años)</v>
      </c>
      <c r="CE1013" s="30" t="str">
        <f ca="1">IFERROR(__xludf.DUMMYFUNCTION("""COMPUTED_VALUE"""),"Mujer")</f>
        <v>Mujer</v>
      </c>
      <c r="CF1013" s="30" t="str">
        <f ca="1">IFERROR(__xludf.DUMMYFUNCTION("""COMPUTED_VALUE"""),"Ninguno (Población General)")</f>
        <v>Ninguno (Población General)</v>
      </c>
      <c r="CG1013" s="30">
        <f ca="1">IFERROR(__xludf.DUMMYFUNCTION("""COMPUTED_VALUE"""),11)</f>
        <v>11</v>
      </c>
      <c r="CJ1013" s="29"/>
      <c r="CM1013" s="30" t="str">
        <f ca="1">IFERROR(__xludf.DUMMYFUNCTION("""COMPUTED_VALUE"""),"")</f>
        <v/>
      </c>
      <c r="CN1013" s="32" t="e">
        <f ca="1"/>
        <v>#NAME?</v>
      </c>
      <c r="CO1013" s="32" t="e">
        <f ca="1"/>
        <v>#NAME?</v>
      </c>
      <c r="CP1013" s="32" t="e">
        <f ca="1"/>
        <v>#NAME?</v>
      </c>
      <c r="CQ1013" s="32" t="e">
        <f ca="1"/>
        <v>#NAME?</v>
      </c>
      <c r="CR1013" s="30" t="e">
        <f ca="1"/>
        <v>#NAME?</v>
      </c>
      <c r="CS1013" s="30" t="str">
        <f ca="1">IFERROR(__xludf.DUMMYFUNCTION("""COMPUTED_VALUE"""),"")</f>
        <v/>
      </c>
    </row>
    <row r="1014" spans="1:97" ht="13">
      <c r="A1014" s="29"/>
      <c r="C1014" s="32"/>
      <c r="I1014" s="34"/>
      <c r="BP1014" s="29"/>
      <c r="CC1014" s="30" t="str">
        <f ca="1">IFERROR(__xludf.DUMMYFUNCTION("""COMPUTED_VALUE"""),"96092466")</f>
        <v>96092466</v>
      </c>
      <c r="CD1014" s="29" t="str">
        <f ca="1">IFERROR(__xludf.DUMMYFUNCTION("""COMPUTED_VALUE"""),"Adultos (30 a 59 años)")</f>
        <v>Adultos (30 a 59 años)</v>
      </c>
      <c r="CE1014" s="30" t="str">
        <f ca="1">IFERROR(__xludf.DUMMYFUNCTION("""COMPUTED_VALUE"""),"Hombre")</f>
        <v>Hombre</v>
      </c>
      <c r="CF1014" s="30" t="str">
        <f ca="1">IFERROR(__xludf.DUMMYFUNCTION("""COMPUTED_VALUE"""),"Ninguno (Población General)")</f>
        <v>Ninguno (Población General)</v>
      </c>
      <c r="CG1014" s="30">
        <f ca="1">IFERROR(__xludf.DUMMYFUNCTION("""COMPUTED_VALUE"""),19)</f>
        <v>19</v>
      </c>
      <c r="CJ1014" s="29"/>
      <c r="CM1014" s="30" t="str">
        <f ca="1">IFERROR(__xludf.DUMMYFUNCTION("""COMPUTED_VALUE"""),"")</f>
        <v/>
      </c>
      <c r="CN1014" s="32" t="e">
        <f ca="1"/>
        <v>#NAME?</v>
      </c>
      <c r="CO1014" s="32" t="e">
        <f ca="1"/>
        <v>#NAME?</v>
      </c>
      <c r="CP1014" s="32" t="e">
        <f ca="1"/>
        <v>#NAME?</v>
      </c>
      <c r="CQ1014" s="32" t="e">
        <f ca="1"/>
        <v>#NAME?</v>
      </c>
      <c r="CR1014" s="30" t="e">
        <f ca="1"/>
        <v>#NAME?</v>
      </c>
      <c r="CS1014" s="30" t="str">
        <f ca="1">IFERROR(__xludf.DUMMYFUNCTION("""COMPUTED_VALUE"""),"")</f>
        <v/>
      </c>
    </row>
    <row r="1015" spans="1:97" ht="13">
      <c r="A1015" s="29"/>
      <c r="C1015" s="32"/>
      <c r="I1015" s="34"/>
      <c r="BP1015" s="29"/>
      <c r="CC1015" s="30" t="str">
        <f ca="1">IFERROR(__xludf.DUMMYFUNCTION("""COMPUTED_VALUE"""),"04651f61")</f>
        <v>04651f61</v>
      </c>
      <c r="CD1015" s="29" t="str">
        <f ca="1">IFERROR(__xludf.DUMMYFUNCTION("""COMPUTED_VALUE"""),"Adultos Mayores (60 años o más)")</f>
        <v>Adultos Mayores (60 años o más)</v>
      </c>
      <c r="CE1015" s="30" t="str">
        <f ca="1">IFERROR(__xludf.DUMMYFUNCTION("""COMPUTED_VALUE"""),"Hombre")</f>
        <v>Hombre</v>
      </c>
      <c r="CF1015" s="30" t="str">
        <f ca="1">IFERROR(__xludf.DUMMYFUNCTION("""COMPUTED_VALUE"""),"Ninguno (Población General)")</f>
        <v>Ninguno (Población General)</v>
      </c>
      <c r="CG1015" s="30">
        <f ca="1">IFERROR(__xludf.DUMMYFUNCTION("""COMPUTED_VALUE"""),2)</f>
        <v>2</v>
      </c>
      <c r="CJ1015" s="29"/>
      <c r="CM1015" s="30" t="str">
        <f ca="1">IFERROR(__xludf.DUMMYFUNCTION("""COMPUTED_VALUE"""),"")</f>
        <v/>
      </c>
      <c r="CN1015" s="32" t="e">
        <f ca="1"/>
        <v>#NAME?</v>
      </c>
      <c r="CO1015" s="32" t="e">
        <f ca="1"/>
        <v>#NAME?</v>
      </c>
      <c r="CP1015" s="32" t="e">
        <f ca="1"/>
        <v>#NAME?</v>
      </c>
      <c r="CQ1015" s="32" t="e">
        <f ca="1"/>
        <v>#NAME?</v>
      </c>
      <c r="CR1015" s="30" t="e">
        <f ca="1"/>
        <v>#NAME?</v>
      </c>
      <c r="CS1015" s="30" t="str">
        <f ca="1">IFERROR(__xludf.DUMMYFUNCTION("""COMPUTED_VALUE"""),"")</f>
        <v/>
      </c>
    </row>
    <row r="1016" spans="1:97" ht="13">
      <c r="A1016" s="29"/>
      <c r="C1016" s="32"/>
      <c r="I1016" s="34"/>
      <c r="BP1016" s="29"/>
      <c r="CC1016" s="30" t="str">
        <f ca="1">IFERROR(__xludf.DUMMYFUNCTION("""COMPUTED_VALUE"""),"06dc9395")</f>
        <v>06dc9395</v>
      </c>
      <c r="CD1016" s="29" t="str">
        <f ca="1">IFERROR(__xludf.DUMMYFUNCTION("""COMPUTED_VALUE"""),"Jóvenes (18 a 29 años)")</f>
        <v>Jóvenes (18 a 29 años)</v>
      </c>
      <c r="CE1016" s="30" t="str">
        <f ca="1">IFERROR(__xludf.DUMMYFUNCTION("""COMPUTED_VALUE"""),"No se cuenta con el dato")</f>
        <v>No se cuenta con el dato</v>
      </c>
      <c r="CF1016" s="30" t="str">
        <f ca="1">IFERROR(__xludf.DUMMYFUNCTION("""COMPUTED_VALUE"""),"Ninguno (Población General)")</f>
        <v>Ninguno (Población General)</v>
      </c>
      <c r="CG1016" s="30">
        <f ca="1">IFERROR(__xludf.DUMMYFUNCTION("""COMPUTED_VALUE"""),19)</f>
        <v>19</v>
      </c>
      <c r="CJ1016" s="29"/>
      <c r="CM1016" s="30" t="str">
        <f ca="1">IFERROR(__xludf.DUMMYFUNCTION("""COMPUTED_VALUE"""),"")</f>
        <v/>
      </c>
      <c r="CN1016" s="32" t="e">
        <f ca="1"/>
        <v>#NAME?</v>
      </c>
      <c r="CO1016" s="32" t="e">
        <f ca="1"/>
        <v>#NAME?</v>
      </c>
      <c r="CP1016" s="32" t="e">
        <f ca="1"/>
        <v>#NAME?</v>
      </c>
      <c r="CQ1016" s="32" t="e">
        <f ca="1"/>
        <v>#NAME?</v>
      </c>
      <c r="CR1016" s="30" t="e">
        <f ca="1"/>
        <v>#NAME?</v>
      </c>
      <c r="CS1016" s="30" t="str">
        <f ca="1">IFERROR(__xludf.DUMMYFUNCTION("""COMPUTED_VALUE"""),"")</f>
        <v/>
      </c>
    </row>
    <row r="1017" spans="1:97" ht="13">
      <c r="A1017" s="29"/>
      <c r="C1017" s="32"/>
      <c r="I1017" s="34"/>
      <c r="BP1017" s="29"/>
      <c r="CC1017" s="30" t="str">
        <f ca="1">IFERROR(__xludf.DUMMYFUNCTION("""COMPUTED_VALUE"""),"338322da")</f>
        <v>338322da</v>
      </c>
      <c r="CD1017" s="29" t="str">
        <f ca="1">IFERROR(__xludf.DUMMYFUNCTION("""COMPUTED_VALUE"""),"Adolescentes (13 a 17 años)")</f>
        <v>Adolescentes (13 a 17 años)</v>
      </c>
      <c r="CE1017" s="30" t="str">
        <f ca="1">IFERROR(__xludf.DUMMYFUNCTION("""COMPUTED_VALUE"""),"Mujer")</f>
        <v>Mujer</v>
      </c>
      <c r="CF1017" s="30" t="str">
        <f ca="1">IFERROR(__xludf.DUMMYFUNCTION("""COMPUTED_VALUE"""),"NNA (Niñas, Niños y Adolescentes)")</f>
        <v>NNA (Niñas, Niños y Adolescentes)</v>
      </c>
      <c r="CG1017" s="30">
        <f ca="1">IFERROR(__xludf.DUMMYFUNCTION("""COMPUTED_VALUE"""),2)</f>
        <v>2</v>
      </c>
      <c r="CJ1017" s="29"/>
      <c r="CM1017" s="30" t="str">
        <f ca="1">IFERROR(__xludf.DUMMYFUNCTION("""COMPUTED_VALUE"""),"")</f>
        <v/>
      </c>
      <c r="CN1017" s="32" t="e">
        <f ca="1"/>
        <v>#NAME?</v>
      </c>
      <c r="CO1017" s="32" t="e">
        <f ca="1"/>
        <v>#NAME?</v>
      </c>
      <c r="CP1017" s="32" t="e">
        <f ca="1"/>
        <v>#NAME?</v>
      </c>
      <c r="CQ1017" s="32" t="e">
        <f ca="1"/>
        <v>#NAME?</v>
      </c>
      <c r="CR1017" s="30" t="e">
        <f ca="1"/>
        <v>#NAME?</v>
      </c>
      <c r="CS1017" s="30" t="str">
        <f ca="1">IFERROR(__xludf.DUMMYFUNCTION("""COMPUTED_VALUE"""),"")</f>
        <v/>
      </c>
    </row>
    <row r="1018" spans="1:97" ht="13">
      <c r="A1018" s="29"/>
      <c r="C1018" s="32"/>
      <c r="I1018" s="34"/>
      <c r="BP1018" s="29"/>
      <c r="CC1018" s="30" t="str">
        <f ca="1">IFERROR(__xludf.DUMMYFUNCTION("""COMPUTED_VALUE"""),"d550c990")</f>
        <v>d550c990</v>
      </c>
      <c r="CD1018" s="29" t="str">
        <f ca="1">IFERROR(__xludf.DUMMYFUNCTION("""COMPUTED_VALUE"""),"Adolescentes (13 a 17 años)")</f>
        <v>Adolescentes (13 a 17 años)</v>
      </c>
      <c r="CE1018" s="30" t="str">
        <f ca="1">IFERROR(__xludf.DUMMYFUNCTION("""COMPUTED_VALUE"""),"Hombre")</f>
        <v>Hombre</v>
      </c>
      <c r="CF1018" s="30" t="str">
        <f ca="1">IFERROR(__xludf.DUMMYFUNCTION("""COMPUTED_VALUE"""),"NNA (Niñas, Niños y Adolescentes)")</f>
        <v>NNA (Niñas, Niños y Adolescentes)</v>
      </c>
      <c r="CG1018" s="30">
        <f ca="1">IFERROR(__xludf.DUMMYFUNCTION("""COMPUTED_VALUE"""),2)</f>
        <v>2</v>
      </c>
      <c r="CJ1018" s="29"/>
      <c r="CM1018" s="30" t="str">
        <f ca="1">IFERROR(__xludf.DUMMYFUNCTION("""COMPUTED_VALUE"""),"")</f>
        <v/>
      </c>
      <c r="CN1018" s="32" t="e">
        <f ca="1"/>
        <v>#NAME?</v>
      </c>
      <c r="CO1018" s="32" t="e">
        <f ca="1"/>
        <v>#NAME?</v>
      </c>
      <c r="CP1018" s="32" t="e">
        <f ca="1"/>
        <v>#NAME?</v>
      </c>
      <c r="CQ1018" s="32" t="e">
        <f ca="1"/>
        <v>#NAME?</v>
      </c>
      <c r="CR1018" s="30" t="e">
        <f ca="1"/>
        <v>#NAME?</v>
      </c>
      <c r="CS1018" s="30" t="str">
        <f ca="1">IFERROR(__xludf.DUMMYFUNCTION("""COMPUTED_VALUE"""),"")</f>
        <v/>
      </c>
    </row>
    <row r="1019" spans="1:97" ht="13">
      <c r="A1019" s="29"/>
      <c r="C1019" s="32"/>
      <c r="I1019" s="34"/>
      <c r="BP1019" s="29"/>
      <c r="CC1019" s="30" t="str">
        <f ca="1">IFERROR(__xludf.DUMMYFUNCTION("""COMPUTED_VALUE"""),"b4cb9091")</f>
        <v>b4cb9091</v>
      </c>
      <c r="CD1019" s="29" t="str">
        <f ca="1">IFERROR(__xludf.DUMMYFUNCTION("""COMPUTED_VALUE"""),"Jóvenes (18 a 29 años)")</f>
        <v>Jóvenes (18 a 29 años)</v>
      </c>
      <c r="CE1019" s="30" t="str">
        <f ca="1">IFERROR(__xludf.DUMMYFUNCTION("""COMPUTED_VALUE"""),"Hombre")</f>
        <v>Hombre</v>
      </c>
      <c r="CF1019" s="30" t="str">
        <f ca="1">IFERROR(__xludf.DUMMYFUNCTION("""COMPUTED_VALUE"""),"NNA (Niñas, Niños y Adolescentes)")</f>
        <v>NNA (Niñas, Niños y Adolescentes)</v>
      </c>
      <c r="CG1019" s="30">
        <f ca="1">IFERROR(__xludf.DUMMYFUNCTION("""COMPUTED_VALUE"""),1)</f>
        <v>1</v>
      </c>
      <c r="CJ1019" s="29"/>
      <c r="CM1019" s="30" t="str">
        <f ca="1">IFERROR(__xludf.DUMMYFUNCTION("""COMPUTED_VALUE"""),"")</f>
        <v/>
      </c>
      <c r="CN1019" s="32" t="e">
        <f ca="1"/>
        <v>#NAME?</v>
      </c>
      <c r="CO1019" s="32" t="e">
        <f ca="1"/>
        <v>#NAME?</v>
      </c>
      <c r="CP1019" s="32" t="e">
        <f ca="1"/>
        <v>#NAME?</v>
      </c>
      <c r="CQ1019" s="32" t="e">
        <f ca="1"/>
        <v>#NAME?</v>
      </c>
      <c r="CR1019" s="30" t="e">
        <f ca="1"/>
        <v>#NAME?</v>
      </c>
      <c r="CS1019" s="30" t="str">
        <f ca="1">IFERROR(__xludf.DUMMYFUNCTION("""COMPUTED_VALUE"""),"")</f>
        <v/>
      </c>
    </row>
    <row r="1020" spans="1:97" ht="13">
      <c r="A1020" s="29"/>
      <c r="C1020" s="32"/>
      <c r="I1020" s="34"/>
      <c r="BP1020" s="29"/>
      <c r="CC1020" s="30" t="str">
        <f ca="1">IFERROR(__xludf.DUMMYFUNCTION("""COMPUTED_VALUE"""),"6074278d")</f>
        <v>6074278d</v>
      </c>
      <c r="CD1020" s="29" t="str">
        <f ca="1">IFERROR(__xludf.DUMMYFUNCTION("""COMPUTED_VALUE"""),"Adolescentes (13 a 17 años)")</f>
        <v>Adolescentes (13 a 17 años)</v>
      </c>
      <c r="CE1020" s="30" t="str">
        <f ca="1">IFERROR(__xludf.DUMMYFUNCTION("""COMPUTED_VALUE"""),"No se cuenta con el dato")</f>
        <v>No se cuenta con el dato</v>
      </c>
      <c r="CF1020" s="30" t="str">
        <f ca="1">IFERROR(__xludf.DUMMYFUNCTION("""COMPUTED_VALUE"""),"Ninguno (Población General)")</f>
        <v>Ninguno (Población General)</v>
      </c>
      <c r="CG1020" s="30">
        <f ca="1">IFERROR(__xludf.DUMMYFUNCTION("""COMPUTED_VALUE"""),10)</f>
        <v>10</v>
      </c>
      <c r="CJ1020" s="29"/>
      <c r="CM1020" s="30" t="str">
        <f ca="1">IFERROR(__xludf.DUMMYFUNCTION("""COMPUTED_VALUE"""),"")</f>
        <v/>
      </c>
      <c r="CN1020" s="32" t="e">
        <f ca="1"/>
        <v>#NAME?</v>
      </c>
      <c r="CO1020" s="32" t="e">
        <f ca="1"/>
        <v>#NAME?</v>
      </c>
      <c r="CP1020" s="32" t="e">
        <f ca="1"/>
        <v>#NAME?</v>
      </c>
      <c r="CQ1020" s="32" t="e">
        <f ca="1"/>
        <v>#NAME?</v>
      </c>
      <c r="CR1020" s="30" t="e">
        <f ca="1"/>
        <v>#NAME?</v>
      </c>
      <c r="CS1020" s="30" t="str">
        <f ca="1">IFERROR(__xludf.DUMMYFUNCTION("""COMPUTED_VALUE"""),"")</f>
        <v/>
      </c>
    </row>
    <row r="1021" spans="1:97" ht="13">
      <c r="A1021" s="29"/>
      <c r="C1021" s="32"/>
      <c r="I1021" s="34"/>
      <c r="BP1021" s="29"/>
      <c r="CC1021" s="30" t="str">
        <f ca="1">IFERROR(__xludf.DUMMYFUNCTION("""COMPUTED_VALUE"""),"2bb75fc7")</f>
        <v>2bb75fc7</v>
      </c>
      <c r="CD1021" s="29" t="str">
        <f ca="1">IFERROR(__xludf.DUMMYFUNCTION("""COMPUTED_VALUE"""),"Adolescentes (13 a 17 años)")</f>
        <v>Adolescentes (13 a 17 años)</v>
      </c>
      <c r="CE1021" s="30" t="str">
        <f ca="1">IFERROR(__xludf.DUMMYFUNCTION("""COMPUTED_VALUE"""),"No se cuenta con el dato")</f>
        <v>No se cuenta con el dato</v>
      </c>
      <c r="CF1021" s="30" t="str">
        <f ca="1">IFERROR(__xludf.DUMMYFUNCTION("""COMPUTED_VALUE"""),"Ninguno (Población General)")</f>
        <v>Ninguno (Población General)</v>
      </c>
      <c r="CG1021" s="30">
        <f ca="1">IFERROR(__xludf.DUMMYFUNCTION("""COMPUTED_VALUE"""),86)</f>
        <v>86</v>
      </c>
      <c r="CJ1021" s="29"/>
      <c r="CM1021" s="30" t="str">
        <f ca="1">IFERROR(__xludf.DUMMYFUNCTION("""COMPUTED_VALUE"""),"")</f>
        <v/>
      </c>
      <c r="CN1021" s="32" t="e">
        <f ca="1"/>
        <v>#NAME?</v>
      </c>
      <c r="CO1021" s="32" t="e">
        <f ca="1"/>
        <v>#NAME?</v>
      </c>
      <c r="CP1021" s="32" t="e">
        <f ca="1"/>
        <v>#NAME?</v>
      </c>
      <c r="CQ1021" s="32" t="e">
        <f ca="1"/>
        <v>#NAME?</v>
      </c>
      <c r="CR1021" s="30" t="e">
        <f ca="1"/>
        <v>#NAME?</v>
      </c>
      <c r="CS1021" s="30" t="str">
        <f ca="1">IFERROR(__xludf.DUMMYFUNCTION("""COMPUTED_VALUE"""),"")</f>
        <v/>
      </c>
    </row>
    <row r="1022" spans="1:97" ht="13">
      <c r="A1022" s="29"/>
      <c r="C1022" s="32"/>
      <c r="I1022" s="34"/>
      <c r="BP1022" s="29"/>
      <c r="CC1022" s="30" t="str">
        <f ca="1">IFERROR(__xludf.DUMMYFUNCTION("""COMPUTED_VALUE"""),"955bd6e0")</f>
        <v>955bd6e0</v>
      </c>
      <c r="CD1022" s="29" t="str">
        <f ca="1">IFERROR(__xludf.DUMMYFUNCTION("""COMPUTED_VALUE"""),"Adultos (30 a 59 años)")</f>
        <v>Adultos (30 a 59 años)</v>
      </c>
      <c r="CE1022" s="30" t="str">
        <f ca="1">IFERROR(__xludf.DUMMYFUNCTION("""COMPUTED_VALUE"""),"No se cuenta con el dato")</f>
        <v>No se cuenta con el dato</v>
      </c>
      <c r="CF1022" s="30" t="str">
        <f ca="1">IFERROR(__xludf.DUMMYFUNCTION("""COMPUTED_VALUE"""),"Ninguno (Población General)")</f>
        <v>Ninguno (Población General)</v>
      </c>
      <c r="CG1022" s="30">
        <f ca="1">IFERROR(__xludf.DUMMYFUNCTION("""COMPUTED_VALUE"""),15)</f>
        <v>15</v>
      </c>
      <c r="CJ1022" s="29"/>
      <c r="CM1022" s="30" t="str">
        <f ca="1">IFERROR(__xludf.DUMMYFUNCTION("""COMPUTED_VALUE"""),"")</f>
        <v/>
      </c>
      <c r="CN1022" s="32" t="e">
        <f ca="1"/>
        <v>#NAME?</v>
      </c>
      <c r="CO1022" s="32" t="e">
        <f ca="1"/>
        <v>#NAME?</v>
      </c>
      <c r="CP1022" s="32" t="e">
        <f ca="1"/>
        <v>#NAME?</v>
      </c>
      <c r="CQ1022" s="32" t="e">
        <f ca="1"/>
        <v>#NAME?</v>
      </c>
      <c r="CR1022" s="30" t="e">
        <f ca="1"/>
        <v>#NAME?</v>
      </c>
      <c r="CS1022" s="30" t="str">
        <f ca="1">IFERROR(__xludf.DUMMYFUNCTION("""COMPUTED_VALUE"""),"")</f>
        <v/>
      </c>
    </row>
    <row r="1023" spans="1:97" ht="13">
      <c r="A1023" s="29"/>
      <c r="C1023" s="32"/>
      <c r="I1023" s="34"/>
      <c r="BP1023" s="29"/>
      <c r="CC1023" s="30" t="str">
        <f ca="1">IFERROR(__xludf.DUMMYFUNCTION("""COMPUTED_VALUE"""),"53b8a8c8")</f>
        <v>53b8a8c8</v>
      </c>
      <c r="CD1023" s="29" t="str">
        <f ca="1">IFERROR(__xludf.DUMMYFUNCTION("""COMPUTED_VALUE"""),"Adolescentes (13 a 17 años)")</f>
        <v>Adolescentes (13 a 17 años)</v>
      </c>
      <c r="CE1023" s="30" t="str">
        <f ca="1">IFERROR(__xludf.DUMMYFUNCTION("""COMPUTED_VALUE"""),"No se cuenta con el dato")</f>
        <v>No se cuenta con el dato</v>
      </c>
      <c r="CF1023" s="30" t="str">
        <f ca="1">IFERROR(__xludf.DUMMYFUNCTION("""COMPUTED_VALUE"""),"Ninguno (Población General)")</f>
        <v>Ninguno (Población General)</v>
      </c>
      <c r="CG1023" s="30">
        <f ca="1">IFERROR(__xludf.DUMMYFUNCTION("""COMPUTED_VALUE"""),10)</f>
        <v>10</v>
      </c>
      <c r="CJ1023" s="29"/>
      <c r="CM1023" s="30" t="str">
        <f ca="1">IFERROR(__xludf.DUMMYFUNCTION("""COMPUTED_VALUE"""),"")</f>
        <v/>
      </c>
      <c r="CN1023" s="32" t="e">
        <f ca="1"/>
        <v>#NAME?</v>
      </c>
      <c r="CO1023" s="32" t="e">
        <f ca="1"/>
        <v>#NAME?</v>
      </c>
      <c r="CP1023" s="32" t="e">
        <f ca="1"/>
        <v>#NAME?</v>
      </c>
      <c r="CQ1023" s="32" t="e">
        <f ca="1"/>
        <v>#NAME?</v>
      </c>
      <c r="CR1023" s="30" t="e">
        <f ca="1"/>
        <v>#NAME?</v>
      </c>
      <c r="CS1023" s="30" t="str">
        <f ca="1">IFERROR(__xludf.DUMMYFUNCTION("""COMPUTED_VALUE"""),"")</f>
        <v/>
      </c>
    </row>
    <row r="1024" spans="1:97" ht="13">
      <c r="A1024" s="29"/>
      <c r="C1024" s="32"/>
      <c r="I1024" s="34"/>
      <c r="BP1024" s="29"/>
      <c r="CC1024" s="30" t="str">
        <f ca="1">IFERROR(__xludf.DUMMYFUNCTION("""COMPUTED_VALUE"""),"cbd14df5")</f>
        <v>cbd14df5</v>
      </c>
      <c r="CD1024" s="29" t="str">
        <f ca="1">IFERROR(__xludf.DUMMYFUNCTION("""COMPUTED_VALUE"""),"Jóvenes (18 a 29 años)")</f>
        <v>Jóvenes (18 a 29 años)</v>
      </c>
      <c r="CE1024" s="30" t="str">
        <f ca="1">IFERROR(__xludf.DUMMYFUNCTION("""COMPUTED_VALUE"""),"No se cuenta con el dato")</f>
        <v>No se cuenta con el dato</v>
      </c>
      <c r="CF1024" s="30" t="str">
        <f ca="1">IFERROR(__xludf.DUMMYFUNCTION("""COMPUTED_VALUE"""),"Ninguno (Población General)")</f>
        <v>Ninguno (Población General)</v>
      </c>
      <c r="CG1024" s="30">
        <f ca="1">IFERROR(__xludf.DUMMYFUNCTION("""COMPUTED_VALUE"""),34)</f>
        <v>34</v>
      </c>
      <c r="CJ1024" s="29"/>
      <c r="CM1024" s="30" t="str">
        <f ca="1">IFERROR(__xludf.DUMMYFUNCTION("""COMPUTED_VALUE"""),"")</f>
        <v/>
      </c>
      <c r="CN1024" s="32" t="e">
        <f ca="1"/>
        <v>#NAME?</v>
      </c>
      <c r="CO1024" s="32" t="e">
        <f ca="1"/>
        <v>#NAME?</v>
      </c>
      <c r="CP1024" s="32" t="e">
        <f ca="1"/>
        <v>#NAME?</v>
      </c>
      <c r="CQ1024" s="32" t="e">
        <f ca="1"/>
        <v>#NAME?</v>
      </c>
      <c r="CR1024" s="30" t="e">
        <f ca="1"/>
        <v>#NAME?</v>
      </c>
      <c r="CS1024" s="30" t="str">
        <f ca="1">IFERROR(__xludf.DUMMYFUNCTION("""COMPUTED_VALUE"""),"")</f>
        <v/>
      </c>
    </row>
    <row r="1025" spans="1:97" ht="13">
      <c r="A1025" s="29"/>
      <c r="C1025" s="32"/>
      <c r="I1025" s="34"/>
      <c r="BP1025" s="29"/>
      <c r="CC1025" s="30" t="str">
        <f ca="1">IFERROR(__xludf.DUMMYFUNCTION("""COMPUTED_VALUE"""),"0a7245e8")</f>
        <v>0a7245e8</v>
      </c>
      <c r="CD1025" s="29" t="str">
        <f ca="1">IFERROR(__xludf.DUMMYFUNCTION("""COMPUTED_VALUE"""),"Jóvenes (18 a 29 años)")</f>
        <v>Jóvenes (18 a 29 años)</v>
      </c>
      <c r="CE1025" s="30" t="str">
        <f ca="1">IFERROR(__xludf.DUMMYFUNCTION("""COMPUTED_VALUE"""),"No se cuenta con el dato")</f>
        <v>No se cuenta con el dato</v>
      </c>
      <c r="CF1025" s="30" t="str">
        <f ca="1">IFERROR(__xludf.DUMMYFUNCTION("""COMPUTED_VALUE"""),"Ninguno (Población General)")</f>
        <v>Ninguno (Población General)</v>
      </c>
      <c r="CG1025" s="30">
        <f ca="1">IFERROR(__xludf.DUMMYFUNCTION("""COMPUTED_VALUE"""),15)</f>
        <v>15</v>
      </c>
      <c r="CJ1025" s="29"/>
      <c r="CM1025" s="30" t="str">
        <f ca="1">IFERROR(__xludf.DUMMYFUNCTION("""COMPUTED_VALUE"""),"")</f>
        <v/>
      </c>
      <c r="CN1025" s="32" t="e">
        <f ca="1"/>
        <v>#NAME?</v>
      </c>
      <c r="CO1025" s="32" t="e">
        <f ca="1"/>
        <v>#NAME?</v>
      </c>
      <c r="CP1025" s="32" t="e">
        <f ca="1"/>
        <v>#NAME?</v>
      </c>
      <c r="CQ1025" s="32" t="e">
        <f ca="1"/>
        <v>#NAME?</v>
      </c>
      <c r="CR1025" s="30" t="e">
        <f ca="1"/>
        <v>#NAME?</v>
      </c>
      <c r="CS1025" s="30" t="str">
        <f ca="1">IFERROR(__xludf.DUMMYFUNCTION("""COMPUTED_VALUE"""),"")</f>
        <v/>
      </c>
    </row>
    <row r="1026" spans="1:97" ht="13">
      <c r="A1026" s="29"/>
      <c r="C1026" s="32"/>
      <c r="I1026" s="34"/>
      <c r="BP1026" s="29"/>
      <c r="CC1026" s="30" t="str">
        <f ca="1">IFERROR(__xludf.DUMMYFUNCTION("""COMPUTED_VALUE"""),"2b433ef5")</f>
        <v>2b433ef5</v>
      </c>
      <c r="CD1026" s="29" t="str">
        <f ca="1">IFERROR(__xludf.DUMMYFUNCTION("""COMPUTED_VALUE"""),"Jóvenes (18 a 29 años)")</f>
        <v>Jóvenes (18 a 29 años)</v>
      </c>
      <c r="CE1026" s="30" t="str">
        <f ca="1">IFERROR(__xludf.DUMMYFUNCTION("""COMPUTED_VALUE"""),"No se cuenta con el dato")</f>
        <v>No se cuenta con el dato</v>
      </c>
      <c r="CF1026" s="30" t="str">
        <f ca="1">IFERROR(__xludf.DUMMYFUNCTION("""COMPUTED_VALUE"""),"Ninguno (Población General)")</f>
        <v>Ninguno (Población General)</v>
      </c>
      <c r="CG1026" s="30">
        <f ca="1">IFERROR(__xludf.DUMMYFUNCTION("""COMPUTED_VALUE"""),21)</f>
        <v>21</v>
      </c>
      <c r="CJ1026" s="29"/>
      <c r="CM1026" s="30" t="str">
        <f ca="1">IFERROR(__xludf.DUMMYFUNCTION("""COMPUTED_VALUE"""),"")</f>
        <v/>
      </c>
      <c r="CN1026" s="32" t="e">
        <f ca="1"/>
        <v>#NAME?</v>
      </c>
      <c r="CO1026" s="32" t="e">
        <f ca="1"/>
        <v>#NAME?</v>
      </c>
      <c r="CP1026" s="32" t="e">
        <f ca="1"/>
        <v>#NAME?</v>
      </c>
      <c r="CQ1026" s="32" t="e">
        <f ca="1"/>
        <v>#NAME?</v>
      </c>
      <c r="CR1026" s="30" t="e">
        <f ca="1"/>
        <v>#NAME?</v>
      </c>
      <c r="CS1026" s="30" t="str">
        <f ca="1">IFERROR(__xludf.DUMMYFUNCTION("""COMPUTED_VALUE"""),"")</f>
        <v/>
      </c>
    </row>
    <row r="1027" spans="1:97" ht="13">
      <c r="A1027" s="29"/>
      <c r="C1027" s="32"/>
      <c r="I1027" s="34"/>
      <c r="BP1027" s="29"/>
      <c r="CC1027" s="30" t="str">
        <f ca="1">IFERROR(__xludf.DUMMYFUNCTION("""COMPUTED_VALUE"""),"baa9cc35")</f>
        <v>baa9cc35</v>
      </c>
      <c r="CD1027" s="29" t="str">
        <f ca="1">IFERROR(__xludf.DUMMYFUNCTION("""COMPUTED_VALUE"""),"Jóvenes (18 a 29 años)")</f>
        <v>Jóvenes (18 a 29 años)</v>
      </c>
      <c r="CE1027" s="30" t="str">
        <f ca="1">IFERROR(__xludf.DUMMYFUNCTION("""COMPUTED_VALUE"""),"No se cuenta con el dato")</f>
        <v>No se cuenta con el dato</v>
      </c>
      <c r="CF1027" s="30" t="str">
        <f ca="1">IFERROR(__xludf.DUMMYFUNCTION("""COMPUTED_VALUE"""),"Ninguno (Población General)")</f>
        <v>Ninguno (Población General)</v>
      </c>
      <c r="CG1027" s="30">
        <f ca="1">IFERROR(__xludf.DUMMYFUNCTION("""COMPUTED_VALUE"""),21)</f>
        <v>21</v>
      </c>
      <c r="CJ1027" s="29"/>
      <c r="CM1027" s="30" t="str">
        <f ca="1">IFERROR(__xludf.DUMMYFUNCTION("""COMPUTED_VALUE"""),"")</f>
        <v/>
      </c>
      <c r="CN1027" s="32" t="e">
        <f ca="1"/>
        <v>#NAME?</v>
      </c>
      <c r="CO1027" s="32" t="e">
        <f ca="1"/>
        <v>#NAME?</v>
      </c>
      <c r="CP1027" s="32" t="e">
        <f ca="1"/>
        <v>#NAME?</v>
      </c>
      <c r="CQ1027" s="32" t="e">
        <f ca="1"/>
        <v>#NAME?</v>
      </c>
      <c r="CR1027" s="30" t="e">
        <f ca="1"/>
        <v>#NAME?</v>
      </c>
      <c r="CS1027" s="30" t="str">
        <f ca="1">IFERROR(__xludf.DUMMYFUNCTION("""COMPUTED_VALUE"""),"")</f>
        <v/>
      </c>
    </row>
    <row r="1028" spans="1:97" ht="13">
      <c r="A1028" s="29"/>
      <c r="C1028" s="32"/>
      <c r="I1028" s="34"/>
      <c r="BP1028" s="29"/>
      <c r="CC1028" s="30" t="str">
        <f ca="1">IFERROR(__xludf.DUMMYFUNCTION("""COMPUTED_VALUE"""),"1aaa70de")</f>
        <v>1aaa70de</v>
      </c>
      <c r="CD1028" s="29" t="str">
        <f ca="1">IFERROR(__xludf.DUMMYFUNCTION("""COMPUTED_VALUE"""),"Adolescentes (13 a 17 años)")</f>
        <v>Adolescentes (13 a 17 años)</v>
      </c>
      <c r="CE1028" s="30" t="str">
        <f ca="1">IFERROR(__xludf.DUMMYFUNCTION("""COMPUTED_VALUE"""),"No se cuenta con el dato")</f>
        <v>No se cuenta con el dato</v>
      </c>
      <c r="CF1028" s="30" t="str">
        <f ca="1">IFERROR(__xludf.DUMMYFUNCTION("""COMPUTED_VALUE"""),"Ninguno (Población General)")</f>
        <v>Ninguno (Población General)</v>
      </c>
      <c r="CG1028" s="30">
        <f ca="1">IFERROR(__xludf.DUMMYFUNCTION("""COMPUTED_VALUE"""),10)</f>
        <v>10</v>
      </c>
      <c r="CJ1028" s="29"/>
      <c r="CM1028" s="30" t="str">
        <f ca="1">IFERROR(__xludf.DUMMYFUNCTION("""COMPUTED_VALUE"""),"")</f>
        <v/>
      </c>
      <c r="CN1028" s="32" t="e">
        <f ca="1"/>
        <v>#NAME?</v>
      </c>
      <c r="CO1028" s="32" t="e">
        <f ca="1"/>
        <v>#NAME?</v>
      </c>
      <c r="CP1028" s="32" t="e">
        <f ca="1"/>
        <v>#NAME?</v>
      </c>
      <c r="CQ1028" s="32" t="e">
        <f ca="1"/>
        <v>#NAME?</v>
      </c>
      <c r="CR1028" s="30" t="e">
        <f ca="1"/>
        <v>#NAME?</v>
      </c>
      <c r="CS1028" s="30" t="str">
        <f ca="1">IFERROR(__xludf.DUMMYFUNCTION("""COMPUTED_VALUE"""),"")</f>
        <v/>
      </c>
    </row>
    <row r="1029" spans="1:97" ht="13">
      <c r="A1029" s="29"/>
      <c r="C1029" s="32"/>
      <c r="I1029" s="34"/>
      <c r="BP1029" s="29"/>
      <c r="CC1029" s="30" t="str">
        <f ca="1">IFERROR(__xludf.DUMMYFUNCTION("""COMPUTED_VALUE"""),"9dbbbde1")</f>
        <v>9dbbbde1</v>
      </c>
      <c r="CD1029" s="29" t="str">
        <f ca="1">IFERROR(__xludf.DUMMYFUNCTION("""COMPUTED_VALUE"""),"Jóvenes (18 a 29 años)")</f>
        <v>Jóvenes (18 a 29 años)</v>
      </c>
      <c r="CE1029" s="30" t="str">
        <f ca="1">IFERROR(__xludf.DUMMYFUNCTION("""COMPUTED_VALUE"""),"No se cuenta con el dato")</f>
        <v>No se cuenta con el dato</v>
      </c>
      <c r="CF1029" s="30" t="str">
        <f ca="1">IFERROR(__xludf.DUMMYFUNCTION("""COMPUTED_VALUE"""),"Ninguno (Población General)")</f>
        <v>Ninguno (Población General)</v>
      </c>
      <c r="CG1029" s="30">
        <f ca="1">IFERROR(__xludf.DUMMYFUNCTION("""COMPUTED_VALUE"""),27)</f>
        <v>27</v>
      </c>
      <c r="CJ1029" s="29"/>
      <c r="CM1029" s="30" t="str">
        <f ca="1">IFERROR(__xludf.DUMMYFUNCTION("""COMPUTED_VALUE"""),"")</f>
        <v/>
      </c>
      <c r="CN1029" s="32" t="e">
        <f ca="1"/>
        <v>#NAME?</v>
      </c>
      <c r="CO1029" s="32" t="e">
        <f ca="1"/>
        <v>#NAME?</v>
      </c>
      <c r="CP1029" s="32" t="e">
        <f ca="1"/>
        <v>#NAME?</v>
      </c>
      <c r="CQ1029" s="32" t="e">
        <f ca="1"/>
        <v>#NAME?</v>
      </c>
      <c r="CR1029" s="30" t="e">
        <f ca="1"/>
        <v>#NAME?</v>
      </c>
      <c r="CS1029" s="30" t="str">
        <f ca="1">IFERROR(__xludf.DUMMYFUNCTION("""COMPUTED_VALUE"""),"")</f>
        <v/>
      </c>
    </row>
    <row r="1030" spans="1:97" ht="13">
      <c r="A1030" s="29"/>
      <c r="C1030" s="32"/>
      <c r="I1030" s="34"/>
      <c r="BP1030" s="29"/>
      <c r="CC1030" s="30" t="str">
        <f ca="1">IFERROR(__xludf.DUMMYFUNCTION("""COMPUTED_VALUE"""),"69beb3d6")</f>
        <v>69beb3d6</v>
      </c>
      <c r="CD1030" s="29" t="str">
        <f ca="1">IFERROR(__xludf.DUMMYFUNCTION("""COMPUTED_VALUE"""),"Niñas y Niños (6 a 12 años)")</f>
        <v>Niñas y Niños (6 a 12 años)</v>
      </c>
      <c r="CE1030" s="30" t="str">
        <f ca="1">IFERROR(__xludf.DUMMYFUNCTION("""COMPUTED_VALUE"""),"No se cuenta con el dato")</f>
        <v>No se cuenta con el dato</v>
      </c>
      <c r="CF1030" s="30" t="str">
        <f ca="1">IFERROR(__xludf.DUMMYFUNCTION("""COMPUTED_VALUE"""),"Ninguno (Población General)")</f>
        <v>Ninguno (Población General)</v>
      </c>
      <c r="CG1030" s="30">
        <f ca="1">IFERROR(__xludf.DUMMYFUNCTION("""COMPUTED_VALUE"""),16)</f>
        <v>16</v>
      </c>
      <c r="CJ1030" s="29"/>
      <c r="CM1030" s="30" t="str">
        <f ca="1">IFERROR(__xludf.DUMMYFUNCTION("""COMPUTED_VALUE"""),"")</f>
        <v/>
      </c>
      <c r="CN1030" s="32" t="e">
        <f ca="1"/>
        <v>#NAME?</v>
      </c>
      <c r="CO1030" s="32" t="e">
        <f ca="1"/>
        <v>#NAME?</v>
      </c>
      <c r="CP1030" s="32" t="e">
        <f ca="1"/>
        <v>#NAME?</v>
      </c>
      <c r="CQ1030" s="32" t="e">
        <f ca="1"/>
        <v>#NAME?</v>
      </c>
      <c r="CR1030" s="30" t="e">
        <f ca="1"/>
        <v>#NAME?</v>
      </c>
      <c r="CS1030" s="30" t="str">
        <f ca="1">IFERROR(__xludf.DUMMYFUNCTION("""COMPUTED_VALUE"""),"")</f>
        <v/>
      </c>
    </row>
    <row r="1031" spans="1:97" ht="13">
      <c r="A1031" s="29"/>
      <c r="C1031" s="32"/>
      <c r="I1031" s="34"/>
      <c r="BP1031" s="29"/>
      <c r="CC1031" s="30" t="str">
        <f ca="1">IFERROR(__xludf.DUMMYFUNCTION("""COMPUTED_VALUE"""),"9a909478")</f>
        <v>9a909478</v>
      </c>
      <c r="CD1031" s="29" t="str">
        <f ca="1">IFERROR(__xludf.DUMMYFUNCTION("""COMPUTED_VALUE"""),"Adultos (30 a 59 años)")</f>
        <v>Adultos (30 a 59 años)</v>
      </c>
      <c r="CE1031" s="30" t="str">
        <f ca="1">IFERROR(__xludf.DUMMYFUNCTION("""COMPUTED_VALUE"""),"No se cuenta con el dato")</f>
        <v>No se cuenta con el dato</v>
      </c>
      <c r="CF1031" s="30" t="str">
        <f ca="1">IFERROR(__xludf.DUMMYFUNCTION("""COMPUTED_VALUE"""),"Ninguno (Población General)")</f>
        <v>Ninguno (Población General)</v>
      </c>
      <c r="CG1031" s="30">
        <f ca="1">IFERROR(__xludf.DUMMYFUNCTION("""COMPUTED_VALUE"""),10)</f>
        <v>10</v>
      </c>
      <c r="CJ1031" s="29"/>
      <c r="CM1031" s="30" t="str">
        <f ca="1">IFERROR(__xludf.DUMMYFUNCTION("""COMPUTED_VALUE"""),"")</f>
        <v/>
      </c>
      <c r="CN1031" s="32" t="e">
        <f ca="1"/>
        <v>#NAME?</v>
      </c>
      <c r="CO1031" s="32" t="e">
        <f ca="1"/>
        <v>#NAME?</v>
      </c>
      <c r="CP1031" s="32" t="e">
        <f ca="1"/>
        <v>#NAME?</v>
      </c>
      <c r="CQ1031" s="32" t="e">
        <f ca="1"/>
        <v>#NAME?</v>
      </c>
      <c r="CR1031" s="30" t="e">
        <f ca="1"/>
        <v>#NAME?</v>
      </c>
      <c r="CS1031" s="30" t="str">
        <f ca="1">IFERROR(__xludf.DUMMYFUNCTION("""COMPUTED_VALUE"""),"")</f>
        <v/>
      </c>
    </row>
    <row r="1032" spans="1:97" ht="13">
      <c r="A1032" s="29"/>
      <c r="C1032" s="32"/>
      <c r="I1032" s="34"/>
      <c r="BP1032" s="29"/>
      <c r="CC1032" s="30" t="str">
        <f ca="1">IFERROR(__xludf.DUMMYFUNCTION("""COMPUTED_VALUE"""),"1a69f8ce")</f>
        <v>1a69f8ce</v>
      </c>
      <c r="CD1032" s="29" t="str">
        <f ca="1">IFERROR(__xludf.DUMMYFUNCTION("""COMPUTED_VALUE"""),"Población General")</f>
        <v>Población General</v>
      </c>
      <c r="CE1032" s="30" t="str">
        <f ca="1">IFERROR(__xludf.DUMMYFUNCTION("""COMPUTED_VALUE"""),"Dato global")</f>
        <v>Dato global</v>
      </c>
      <c r="CF1032" s="30" t="str">
        <f ca="1">IFERROR(__xludf.DUMMYFUNCTION("""COMPUTED_VALUE"""),"Ninguno (Población General)")</f>
        <v>Ninguno (Población General)</v>
      </c>
      <c r="CG1032" s="30">
        <f ca="1">IFERROR(__xludf.DUMMYFUNCTION("""COMPUTED_VALUE"""),116)</f>
        <v>116</v>
      </c>
      <c r="CJ1032" s="29"/>
      <c r="CM1032" s="30" t="str">
        <f ca="1">IFERROR(__xludf.DUMMYFUNCTION("""COMPUTED_VALUE"""),"")</f>
        <v/>
      </c>
      <c r="CN1032" s="32" t="e">
        <f ca="1"/>
        <v>#NAME?</v>
      </c>
      <c r="CO1032" s="32" t="e">
        <f ca="1"/>
        <v>#NAME?</v>
      </c>
      <c r="CP1032" s="32" t="e">
        <f ca="1"/>
        <v>#NAME?</v>
      </c>
      <c r="CQ1032" s="32" t="e">
        <f ca="1"/>
        <v>#NAME?</v>
      </c>
      <c r="CR1032" s="30" t="e">
        <f ca="1"/>
        <v>#NAME?</v>
      </c>
      <c r="CS1032" s="30" t="str">
        <f ca="1">IFERROR(__xludf.DUMMYFUNCTION("""COMPUTED_VALUE"""),"")</f>
        <v/>
      </c>
    </row>
    <row r="1033" spans="1:97" ht="13">
      <c r="A1033" s="29"/>
      <c r="C1033" s="32"/>
      <c r="I1033" s="34"/>
      <c r="BP1033" s="29"/>
      <c r="CC1033" s="30" t="str">
        <f ca="1">IFERROR(__xludf.DUMMYFUNCTION("""COMPUTED_VALUE"""),"2a90e625")</f>
        <v>2a90e625</v>
      </c>
      <c r="CD1033" s="29" t="str">
        <f ca="1">IFERROR(__xludf.DUMMYFUNCTION("""COMPUTED_VALUE"""),"Población General")</f>
        <v>Población General</v>
      </c>
      <c r="CE1033" s="30" t="str">
        <f ca="1">IFERROR(__xludf.DUMMYFUNCTION("""COMPUTED_VALUE"""),"Dato global")</f>
        <v>Dato global</v>
      </c>
      <c r="CF1033" s="30" t="str">
        <f ca="1">IFERROR(__xludf.DUMMYFUNCTION("""COMPUTED_VALUE"""),"Ninguno (Población General)")</f>
        <v>Ninguno (Población General)</v>
      </c>
      <c r="CG1033" s="30">
        <f ca="1">IFERROR(__xludf.DUMMYFUNCTION("""COMPUTED_VALUE"""),16765)</f>
        <v>16765</v>
      </c>
      <c r="CJ1033" s="29"/>
      <c r="CM1033" s="30" t="str">
        <f ca="1">IFERROR(__xludf.DUMMYFUNCTION("""COMPUTED_VALUE"""),"")</f>
        <v/>
      </c>
      <c r="CN1033" s="32" t="e">
        <f ca="1"/>
        <v>#NAME?</v>
      </c>
      <c r="CO1033" s="32" t="e">
        <f ca="1"/>
        <v>#NAME?</v>
      </c>
      <c r="CP1033" s="32" t="e">
        <f ca="1"/>
        <v>#NAME?</v>
      </c>
      <c r="CQ1033" s="32" t="e">
        <f ca="1"/>
        <v>#NAME?</v>
      </c>
      <c r="CR1033" s="30" t="e">
        <f ca="1"/>
        <v>#NAME?</v>
      </c>
      <c r="CS1033" s="30" t="str">
        <f ca="1">IFERROR(__xludf.DUMMYFUNCTION("""COMPUTED_VALUE"""),"")</f>
        <v/>
      </c>
    </row>
    <row r="1034" spans="1:97" ht="13">
      <c r="A1034" s="29"/>
      <c r="C1034" s="32"/>
      <c r="I1034" s="34"/>
      <c r="BP1034" s="29"/>
      <c r="CC1034" s="30" t="str">
        <f ca="1">IFERROR(__xludf.DUMMYFUNCTION("""COMPUTED_VALUE"""),"cf6d0c32")</f>
        <v>cf6d0c32</v>
      </c>
      <c r="CD1034" s="29" t="str">
        <f ca="1">IFERROR(__xludf.DUMMYFUNCTION("""COMPUTED_VALUE"""),"Población General")</f>
        <v>Población General</v>
      </c>
      <c r="CE1034" s="30" t="str">
        <f ca="1">IFERROR(__xludf.DUMMYFUNCTION("""COMPUTED_VALUE"""),"Dato global")</f>
        <v>Dato global</v>
      </c>
      <c r="CF1034" s="30" t="str">
        <f ca="1">IFERROR(__xludf.DUMMYFUNCTION("""COMPUTED_VALUE"""),"Ninguno (Población General)")</f>
        <v>Ninguno (Población General)</v>
      </c>
      <c r="CG1034" s="30">
        <f ca="1">IFERROR(__xludf.DUMMYFUNCTION("""COMPUTED_VALUE"""),406)</f>
        <v>406</v>
      </c>
      <c r="CJ1034" s="29"/>
      <c r="CM1034" s="30" t="str">
        <f ca="1">IFERROR(__xludf.DUMMYFUNCTION("""COMPUTED_VALUE"""),"")</f>
        <v/>
      </c>
      <c r="CN1034" s="32" t="e">
        <f ca="1"/>
        <v>#NAME?</v>
      </c>
      <c r="CO1034" s="32" t="e">
        <f ca="1"/>
        <v>#NAME?</v>
      </c>
      <c r="CP1034" s="32" t="e">
        <f ca="1"/>
        <v>#NAME?</v>
      </c>
      <c r="CQ1034" s="32" t="e">
        <f ca="1"/>
        <v>#NAME?</v>
      </c>
      <c r="CR1034" s="30" t="e">
        <f ca="1"/>
        <v>#NAME?</v>
      </c>
      <c r="CS1034" s="30" t="str">
        <f ca="1">IFERROR(__xludf.DUMMYFUNCTION("""COMPUTED_VALUE"""),"")</f>
        <v/>
      </c>
    </row>
    <row r="1035" spans="1:97" ht="13">
      <c r="A1035" s="29"/>
      <c r="C1035" s="32"/>
      <c r="I1035" s="34"/>
      <c r="BP1035" s="29"/>
      <c r="CC1035" s="30" t="str">
        <f ca="1">IFERROR(__xludf.DUMMYFUNCTION("""COMPUTED_VALUE"""),"ac875271")</f>
        <v>ac875271</v>
      </c>
      <c r="CD1035" s="29" t="str">
        <f ca="1">IFERROR(__xludf.DUMMYFUNCTION("""COMPUTED_VALUE"""),"Población General")</f>
        <v>Población General</v>
      </c>
      <c r="CE1035" s="30" t="str">
        <f ca="1">IFERROR(__xludf.DUMMYFUNCTION("""COMPUTED_VALUE"""),"No se cuenta con el dato")</f>
        <v>No se cuenta con el dato</v>
      </c>
      <c r="CF1035" s="30" t="str">
        <f ca="1">IFERROR(__xludf.DUMMYFUNCTION("""COMPUTED_VALUE"""),"Ninguno (Población General)")</f>
        <v>Ninguno (Población General)</v>
      </c>
      <c r="CG1035" s="30">
        <f ca="1">IFERROR(__xludf.DUMMYFUNCTION("""COMPUTED_VALUE"""),77)</f>
        <v>77</v>
      </c>
      <c r="CJ1035" s="29"/>
      <c r="CM1035" s="30" t="str">
        <f ca="1">IFERROR(__xludf.DUMMYFUNCTION("""COMPUTED_VALUE"""),"")</f>
        <v/>
      </c>
      <c r="CN1035" s="32" t="e">
        <f ca="1"/>
        <v>#NAME?</v>
      </c>
      <c r="CO1035" s="32" t="e">
        <f ca="1"/>
        <v>#NAME?</v>
      </c>
      <c r="CP1035" s="32" t="e">
        <f ca="1"/>
        <v>#NAME?</v>
      </c>
      <c r="CQ1035" s="32" t="e">
        <f ca="1"/>
        <v>#NAME?</v>
      </c>
      <c r="CR1035" s="30" t="e">
        <f ca="1"/>
        <v>#NAME?</v>
      </c>
      <c r="CS1035" s="30" t="str">
        <f ca="1">IFERROR(__xludf.DUMMYFUNCTION("""COMPUTED_VALUE"""),"")</f>
        <v/>
      </c>
    </row>
    <row r="1036" spans="1:97" ht="13">
      <c r="A1036" s="29"/>
      <c r="C1036" s="32"/>
      <c r="I1036" s="34"/>
      <c r="BP1036" s="29"/>
      <c r="CC1036" s="30" t="str">
        <f ca="1">IFERROR(__xludf.DUMMYFUNCTION("""COMPUTED_VALUE"""),"214c8a13")</f>
        <v>214c8a13</v>
      </c>
      <c r="CD1036" s="29" t="str">
        <f ca="1">IFERROR(__xludf.DUMMYFUNCTION("""COMPUTED_VALUE"""),"Población General")</f>
        <v>Población General</v>
      </c>
      <c r="CE1036" s="30" t="str">
        <f ca="1">IFERROR(__xludf.DUMMYFUNCTION("""COMPUTED_VALUE"""),"Dato global")</f>
        <v>Dato global</v>
      </c>
      <c r="CF1036" s="30" t="str">
        <f ca="1">IFERROR(__xludf.DUMMYFUNCTION("""COMPUTED_VALUE"""),"Ninguno (Población General)")</f>
        <v>Ninguno (Población General)</v>
      </c>
      <c r="CG1036" s="30">
        <f ca="1">IFERROR(__xludf.DUMMYFUNCTION("""COMPUTED_VALUE"""),708)</f>
        <v>708</v>
      </c>
      <c r="CJ1036" s="29"/>
      <c r="CM1036" s="30" t="str">
        <f ca="1">IFERROR(__xludf.DUMMYFUNCTION("""COMPUTED_VALUE"""),"")</f>
        <v/>
      </c>
      <c r="CN1036" s="32" t="e">
        <f ca="1"/>
        <v>#NAME?</v>
      </c>
      <c r="CO1036" s="32" t="e">
        <f ca="1"/>
        <v>#NAME?</v>
      </c>
      <c r="CP1036" s="32" t="e">
        <f ca="1"/>
        <v>#NAME?</v>
      </c>
      <c r="CQ1036" s="32" t="e">
        <f ca="1"/>
        <v>#NAME?</v>
      </c>
      <c r="CR1036" s="30" t="e">
        <f ca="1"/>
        <v>#NAME?</v>
      </c>
      <c r="CS1036" s="30" t="str">
        <f ca="1">IFERROR(__xludf.DUMMYFUNCTION("""COMPUTED_VALUE"""),"")</f>
        <v/>
      </c>
    </row>
    <row r="1037" spans="1:97" ht="13">
      <c r="A1037" s="29"/>
      <c r="C1037" s="32"/>
      <c r="I1037" s="34"/>
      <c r="BP1037" s="29"/>
      <c r="CC1037" s="30" t="str">
        <f ca="1">IFERROR(__xludf.DUMMYFUNCTION("""COMPUTED_VALUE"""),"a95b48ed")</f>
        <v>a95b48ed</v>
      </c>
      <c r="CD1037" s="29" t="str">
        <f ca="1">IFERROR(__xludf.DUMMYFUNCTION("""COMPUTED_VALUE"""),"Población General")</f>
        <v>Población General</v>
      </c>
      <c r="CE1037" s="30" t="str">
        <f ca="1">IFERROR(__xludf.DUMMYFUNCTION("""COMPUTED_VALUE"""),"Dato global")</f>
        <v>Dato global</v>
      </c>
      <c r="CF1037" s="30" t="str">
        <f ca="1">IFERROR(__xludf.DUMMYFUNCTION("""COMPUTED_VALUE"""),"Ninguno (Población General)")</f>
        <v>Ninguno (Población General)</v>
      </c>
      <c r="CG1037" s="30">
        <f ca="1">IFERROR(__xludf.DUMMYFUNCTION("""COMPUTED_VALUE"""),336)</f>
        <v>336</v>
      </c>
      <c r="CJ1037" s="29"/>
      <c r="CM1037" s="30" t="str">
        <f ca="1">IFERROR(__xludf.DUMMYFUNCTION("""COMPUTED_VALUE"""),"")</f>
        <v/>
      </c>
      <c r="CN1037" s="32" t="e">
        <f ca="1"/>
        <v>#NAME?</v>
      </c>
      <c r="CO1037" s="32" t="e">
        <f ca="1"/>
        <v>#NAME?</v>
      </c>
      <c r="CP1037" s="32" t="e">
        <f ca="1"/>
        <v>#NAME?</v>
      </c>
      <c r="CQ1037" s="32" t="e">
        <f ca="1"/>
        <v>#NAME?</v>
      </c>
      <c r="CR1037" s="30" t="e">
        <f ca="1"/>
        <v>#NAME?</v>
      </c>
      <c r="CS1037" s="30" t="str">
        <f ca="1">IFERROR(__xludf.DUMMYFUNCTION("""COMPUTED_VALUE"""),"")</f>
        <v/>
      </c>
    </row>
    <row r="1038" spans="1:97" ht="13">
      <c r="A1038" s="29"/>
      <c r="C1038" s="32"/>
      <c r="I1038" s="34"/>
      <c r="BP1038" s="29"/>
      <c r="CC1038" s="30" t="str">
        <f ca="1">IFERROR(__xludf.DUMMYFUNCTION("""COMPUTED_VALUE"""),"481abd8e")</f>
        <v>481abd8e</v>
      </c>
      <c r="CD1038" s="29" t="str">
        <f ca="1">IFERROR(__xludf.DUMMYFUNCTION("""COMPUTED_VALUE"""),"Población General")</f>
        <v>Población General</v>
      </c>
      <c r="CE1038" s="30" t="str">
        <f ca="1">IFERROR(__xludf.DUMMYFUNCTION("""COMPUTED_VALUE"""),"No se cuenta con el dato")</f>
        <v>No se cuenta con el dato</v>
      </c>
      <c r="CF1038" s="30" t="str">
        <f ca="1">IFERROR(__xludf.DUMMYFUNCTION("""COMPUTED_VALUE"""),"Ninguno (Población General)")</f>
        <v>Ninguno (Población General)</v>
      </c>
      <c r="CG1038" s="30">
        <f ca="1">IFERROR(__xludf.DUMMYFUNCTION("""COMPUTED_VALUE"""),43)</f>
        <v>43</v>
      </c>
      <c r="CJ1038" s="29"/>
      <c r="CM1038" s="30" t="str">
        <f ca="1">IFERROR(__xludf.DUMMYFUNCTION("""COMPUTED_VALUE"""),"")</f>
        <v/>
      </c>
      <c r="CN1038" s="32" t="e">
        <f ca="1"/>
        <v>#NAME?</v>
      </c>
      <c r="CO1038" s="32" t="e">
        <f ca="1"/>
        <v>#NAME?</v>
      </c>
      <c r="CP1038" s="32" t="e">
        <f ca="1"/>
        <v>#NAME?</v>
      </c>
      <c r="CQ1038" s="32" t="e">
        <f ca="1"/>
        <v>#NAME?</v>
      </c>
      <c r="CR1038" s="30" t="e">
        <f ca="1"/>
        <v>#NAME?</v>
      </c>
      <c r="CS1038" s="30" t="str">
        <f ca="1">IFERROR(__xludf.DUMMYFUNCTION("""COMPUTED_VALUE"""),"")</f>
        <v/>
      </c>
    </row>
    <row r="1039" spans="1:97" ht="13">
      <c r="A1039" s="29"/>
      <c r="C1039" s="32"/>
      <c r="I1039" s="34"/>
      <c r="BP1039" s="29"/>
      <c r="CC1039" s="30" t="str">
        <f ca="1">IFERROR(__xludf.DUMMYFUNCTION("""COMPUTED_VALUE"""),"b4e36af9")</f>
        <v>b4e36af9</v>
      </c>
      <c r="CD1039" s="29" t="str">
        <f ca="1">IFERROR(__xludf.DUMMYFUNCTION("""COMPUTED_VALUE"""),"Población General")</f>
        <v>Población General</v>
      </c>
      <c r="CE1039" s="30" t="str">
        <f ca="1">IFERROR(__xludf.DUMMYFUNCTION("""COMPUTED_VALUE"""),"Dato global")</f>
        <v>Dato global</v>
      </c>
      <c r="CF1039" s="30" t="str">
        <f ca="1">IFERROR(__xludf.DUMMYFUNCTION("""COMPUTED_VALUE"""),"Ninguno (Población General)")</f>
        <v>Ninguno (Población General)</v>
      </c>
      <c r="CG1039" s="30">
        <f ca="1">IFERROR(__xludf.DUMMYFUNCTION("""COMPUTED_VALUE"""),36)</f>
        <v>36</v>
      </c>
      <c r="CJ1039" s="29"/>
      <c r="CM1039" s="30" t="str">
        <f ca="1">IFERROR(__xludf.DUMMYFUNCTION("""COMPUTED_VALUE"""),"")</f>
        <v/>
      </c>
      <c r="CN1039" s="32" t="e">
        <f ca="1"/>
        <v>#NAME?</v>
      </c>
      <c r="CO1039" s="32" t="e">
        <f ca="1"/>
        <v>#NAME?</v>
      </c>
      <c r="CP1039" s="32" t="e">
        <f ca="1"/>
        <v>#NAME?</v>
      </c>
      <c r="CQ1039" s="32" t="e">
        <f ca="1"/>
        <v>#NAME?</v>
      </c>
      <c r="CR1039" s="30" t="e">
        <f ca="1"/>
        <v>#NAME?</v>
      </c>
      <c r="CS1039" s="30" t="str">
        <f ca="1">IFERROR(__xludf.DUMMYFUNCTION("""COMPUTED_VALUE"""),"")</f>
        <v/>
      </c>
    </row>
    <row r="1040" spans="1:97" ht="13">
      <c r="A1040" s="29"/>
      <c r="C1040" s="32"/>
      <c r="I1040" s="34"/>
      <c r="BP1040" s="29"/>
      <c r="CC1040" s="30" t="str">
        <f ca="1">IFERROR(__xludf.DUMMYFUNCTION("""COMPUTED_VALUE"""),"edc06936")</f>
        <v>edc06936</v>
      </c>
      <c r="CD1040" s="29" t="str">
        <f ca="1">IFERROR(__xludf.DUMMYFUNCTION("""COMPUTED_VALUE"""),"Adultos (30 a 59 años)")</f>
        <v>Adultos (30 a 59 años)</v>
      </c>
      <c r="CE1040" s="30" t="str">
        <f ca="1">IFERROR(__xludf.DUMMYFUNCTION("""COMPUTED_VALUE"""),"No se cuenta con el dato")</f>
        <v>No se cuenta con el dato</v>
      </c>
      <c r="CF1040" s="30" t="str">
        <f ca="1">IFERROR(__xludf.DUMMYFUNCTION("""COMPUTED_VALUE"""),"Ninguno (Población General)")</f>
        <v>Ninguno (Población General)</v>
      </c>
      <c r="CG1040" s="30">
        <f ca="1">IFERROR(__xludf.DUMMYFUNCTION("""COMPUTED_VALUE"""),4)</f>
        <v>4</v>
      </c>
      <c r="CJ1040" s="29"/>
      <c r="CM1040" s="30" t="str">
        <f ca="1">IFERROR(__xludf.DUMMYFUNCTION("""COMPUTED_VALUE"""),"")</f>
        <v/>
      </c>
      <c r="CN1040" s="32" t="e">
        <f ca="1"/>
        <v>#NAME?</v>
      </c>
      <c r="CO1040" s="32" t="e">
        <f ca="1"/>
        <v>#NAME?</v>
      </c>
      <c r="CP1040" s="32" t="e">
        <f ca="1"/>
        <v>#NAME?</v>
      </c>
      <c r="CQ1040" s="32" t="e">
        <f ca="1"/>
        <v>#NAME?</v>
      </c>
      <c r="CR1040" s="30" t="e">
        <f ca="1"/>
        <v>#NAME?</v>
      </c>
      <c r="CS1040" s="30" t="str">
        <f ca="1">IFERROR(__xludf.DUMMYFUNCTION("""COMPUTED_VALUE"""),"")</f>
        <v/>
      </c>
    </row>
    <row r="1041" spans="1:97" ht="13">
      <c r="A1041" s="29"/>
      <c r="C1041" s="32"/>
      <c r="I1041" s="34"/>
      <c r="BP1041" s="29"/>
      <c r="CC1041" s="30" t="str">
        <f ca="1">IFERROR(__xludf.DUMMYFUNCTION("""COMPUTED_VALUE"""),"e65763bd")</f>
        <v>e65763bd</v>
      </c>
      <c r="CD1041" s="29" t="str">
        <f ca="1">IFERROR(__xludf.DUMMYFUNCTION("""COMPUTED_VALUE"""),"Adultos (30 a 59 años)")</f>
        <v>Adultos (30 a 59 años)</v>
      </c>
      <c r="CE1041" s="30" t="str">
        <f ca="1">IFERROR(__xludf.DUMMYFUNCTION("""COMPUTED_VALUE"""),"No se cuenta con el dato")</f>
        <v>No se cuenta con el dato</v>
      </c>
      <c r="CF1041" s="30" t="str">
        <f ca="1">IFERROR(__xludf.DUMMYFUNCTION("""COMPUTED_VALUE"""),"Ninguno (Población General)")</f>
        <v>Ninguno (Población General)</v>
      </c>
      <c r="CG1041" s="30">
        <f ca="1">IFERROR(__xludf.DUMMYFUNCTION("""COMPUTED_VALUE"""),4)</f>
        <v>4</v>
      </c>
      <c r="CJ1041" s="29"/>
      <c r="CM1041" s="30" t="str">
        <f ca="1">IFERROR(__xludf.DUMMYFUNCTION("""COMPUTED_VALUE"""),"")</f>
        <v/>
      </c>
      <c r="CN1041" s="32" t="e">
        <f ca="1"/>
        <v>#NAME?</v>
      </c>
      <c r="CO1041" s="32" t="e">
        <f ca="1"/>
        <v>#NAME?</v>
      </c>
      <c r="CP1041" s="32" t="e">
        <f ca="1"/>
        <v>#NAME?</v>
      </c>
      <c r="CQ1041" s="32" t="e">
        <f ca="1"/>
        <v>#NAME?</v>
      </c>
      <c r="CR1041" s="30" t="e">
        <f ca="1"/>
        <v>#NAME?</v>
      </c>
      <c r="CS1041" s="30" t="str">
        <f ca="1">IFERROR(__xludf.DUMMYFUNCTION("""COMPUTED_VALUE"""),"")</f>
        <v/>
      </c>
    </row>
    <row r="1042" spans="1:97" ht="13">
      <c r="A1042" s="29"/>
      <c r="C1042" s="32"/>
      <c r="I1042" s="34"/>
      <c r="BP1042" s="29"/>
      <c r="CC1042" s="30" t="str">
        <f ca="1">IFERROR(__xludf.DUMMYFUNCTION("""COMPUTED_VALUE"""),"40e1c242")</f>
        <v>40e1c242</v>
      </c>
      <c r="CD1042" s="29" t="str">
        <f ca="1">IFERROR(__xludf.DUMMYFUNCTION("""COMPUTED_VALUE"""),"Jóvenes (18 a 29 años)")</f>
        <v>Jóvenes (18 a 29 años)</v>
      </c>
      <c r="CE1042" s="30" t="str">
        <f ca="1">IFERROR(__xludf.DUMMYFUNCTION("""COMPUTED_VALUE"""),"No se cuenta con el dato")</f>
        <v>No se cuenta con el dato</v>
      </c>
      <c r="CF1042" s="30" t="str">
        <f ca="1">IFERROR(__xludf.DUMMYFUNCTION("""COMPUTED_VALUE"""),"Ninguno (Población General)")</f>
        <v>Ninguno (Población General)</v>
      </c>
      <c r="CG1042" s="30">
        <f ca="1">IFERROR(__xludf.DUMMYFUNCTION("""COMPUTED_VALUE"""),5)</f>
        <v>5</v>
      </c>
      <c r="CJ1042" s="29"/>
      <c r="CM1042" s="30" t="str">
        <f ca="1">IFERROR(__xludf.DUMMYFUNCTION("""COMPUTED_VALUE"""),"")</f>
        <v/>
      </c>
      <c r="CN1042" s="32" t="e">
        <f ca="1"/>
        <v>#NAME?</v>
      </c>
      <c r="CO1042" s="32" t="e">
        <f ca="1"/>
        <v>#NAME?</v>
      </c>
      <c r="CP1042" s="32" t="e">
        <f ca="1"/>
        <v>#NAME?</v>
      </c>
      <c r="CQ1042" s="32" t="e">
        <f ca="1"/>
        <v>#NAME?</v>
      </c>
      <c r="CR1042" s="30" t="e">
        <f ca="1"/>
        <v>#NAME?</v>
      </c>
      <c r="CS1042" s="30" t="str">
        <f ca="1">IFERROR(__xludf.DUMMYFUNCTION("""COMPUTED_VALUE"""),"")</f>
        <v/>
      </c>
    </row>
    <row r="1043" spans="1:97" ht="13">
      <c r="A1043" s="29"/>
      <c r="C1043" s="32"/>
      <c r="I1043" s="34"/>
      <c r="BP1043" s="29"/>
      <c r="CC1043" s="30" t="str">
        <f ca="1">IFERROR(__xludf.DUMMYFUNCTION("""COMPUTED_VALUE"""),"7b9a1221")</f>
        <v>7b9a1221</v>
      </c>
      <c r="CD1043" s="29" t="str">
        <f ca="1">IFERROR(__xludf.DUMMYFUNCTION("""COMPUTED_VALUE"""),"Población General")</f>
        <v>Población General</v>
      </c>
      <c r="CE1043" s="30" t="str">
        <f ca="1">IFERROR(__xludf.DUMMYFUNCTION("""COMPUTED_VALUE"""),"Dato global")</f>
        <v>Dato global</v>
      </c>
      <c r="CF1043" s="30" t="str">
        <f ca="1">IFERROR(__xludf.DUMMYFUNCTION("""COMPUTED_VALUE"""),"Ninguno (Población General)")</f>
        <v>Ninguno (Población General)</v>
      </c>
      <c r="CG1043" s="30">
        <f ca="1">IFERROR(__xludf.DUMMYFUNCTION("""COMPUTED_VALUE"""),12542)</f>
        <v>12542</v>
      </c>
      <c r="CJ1043" s="29"/>
      <c r="CM1043" s="30" t="str">
        <f ca="1">IFERROR(__xludf.DUMMYFUNCTION("""COMPUTED_VALUE"""),"")</f>
        <v/>
      </c>
      <c r="CN1043" s="32" t="e">
        <f ca="1"/>
        <v>#NAME?</v>
      </c>
      <c r="CO1043" s="32" t="e">
        <f ca="1"/>
        <v>#NAME?</v>
      </c>
      <c r="CP1043" s="32" t="e">
        <f ca="1"/>
        <v>#NAME?</v>
      </c>
      <c r="CQ1043" s="32" t="e">
        <f ca="1"/>
        <v>#NAME?</v>
      </c>
      <c r="CR1043" s="30" t="e">
        <f ca="1"/>
        <v>#NAME?</v>
      </c>
      <c r="CS1043" s="30" t="str">
        <f ca="1">IFERROR(__xludf.DUMMYFUNCTION("""COMPUTED_VALUE"""),"")</f>
        <v/>
      </c>
    </row>
    <row r="1044" spans="1:97" ht="13">
      <c r="A1044" s="29"/>
      <c r="C1044" s="32"/>
      <c r="I1044" s="34"/>
      <c r="BP1044" s="29"/>
      <c r="CC1044" s="30" t="str">
        <f ca="1">IFERROR(__xludf.DUMMYFUNCTION("""COMPUTED_VALUE"""),"d767b963")</f>
        <v>d767b963</v>
      </c>
      <c r="CD1044" s="29" t="str">
        <f ca="1">IFERROR(__xludf.DUMMYFUNCTION("""COMPUTED_VALUE"""),"Adultos (30 a 59 años)")</f>
        <v>Adultos (30 a 59 años)</v>
      </c>
      <c r="CE1044" s="30" t="str">
        <f ca="1">IFERROR(__xludf.DUMMYFUNCTION("""COMPUTED_VALUE"""),"No se cuenta con el dato")</f>
        <v>No se cuenta con el dato</v>
      </c>
      <c r="CF1044" s="30" t="str">
        <f ca="1">IFERROR(__xludf.DUMMYFUNCTION("""COMPUTED_VALUE"""),"Ninguno (Población General)")</f>
        <v>Ninguno (Población General)</v>
      </c>
      <c r="CG1044" s="30">
        <f ca="1">IFERROR(__xludf.DUMMYFUNCTION("""COMPUTED_VALUE"""),5)</f>
        <v>5</v>
      </c>
      <c r="CJ1044" s="29"/>
      <c r="CM1044" s="30" t="str">
        <f ca="1">IFERROR(__xludf.DUMMYFUNCTION("""COMPUTED_VALUE"""),"")</f>
        <v/>
      </c>
      <c r="CN1044" s="32" t="e">
        <f ca="1"/>
        <v>#NAME?</v>
      </c>
      <c r="CO1044" s="32" t="e">
        <f ca="1"/>
        <v>#NAME?</v>
      </c>
      <c r="CP1044" s="32" t="e">
        <f ca="1"/>
        <v>#NAME?</v>
      </c>
      <c r="CQ1044" s="32" t="e">
        <f ca="1"/>
        <v>#NAME?</v>
      </c>
      <c r="CR1044" s="30" t="e">
        <f ca="1"/>
        <v>#NAME?</v>
      </c>
      <c r="CS1044" s="30" t="str">
        <f ca="1">IFERROR(__xludf.DUMMYFUNCTION("""COMPUTED_VALUE"""),"")</f>
        <v/>
      </c>
    </row>
    <row r="1045" spans="1:97" ht="13">
      <c r="A1045" s="29"/>
      <c r="C1045" s="32"/>
      <c r="I1045" s="34"/>
      <c r="BP1045" s="29"/>
      <c r="CC1045" s="30" t="str">
        <f ca="1">IFERROR(__xludf.DUMMYFUNCTION("""COMPUTED_VALUE"""),"8c769ccf")</f>
        <v>8c769ccf</v>
      </c>
      <c r="CD1045" s="29" t="str">
        <f ca="1">IFERROR(__xludf.DUMMYFUNCTION("""COMPUTED_VALUE"""),"Adultos (30 a 59 años)")</f>
        <v>Adultos (30 a 59 años)</v>
      </c>
      <c r="CE1045" s="30" t="str">
        <f ca="1">IFERROR(__xludf.DUMMYFUNCTION("""COMPUTED_VALUE"""),"No se cuenta con el dato")</f>
        <v>No se cuenta con el dato</v>
      </c>
      <c r="CF1045" s="30" t="str">
        <f ca="1">IFERROR(__xludf.DUMMYFUNCTION("""COMPUTED_VALUE"""),"Ninguno (Población General)")</f>
        <v>Ninguno (Población General)</v>
      </c>
      <c r="CG1045" s="30">
        <f ca="1">IFERROR(__xludf.DUMMYFUNCTION("""COMPUTED_VALUE"""),15)</f>
        <v>15</v>
      </c>
      <c r="CJ1045" s="29"/>
      <c r="CM1045" s="30" t="str">
        <f ca="1">IFERROR(__xludf.DUMMYFUNCTION("""COMPUTED_VALUE"""),"")</f>
        <v/>
      </c>
      <c r="CN1045" s="32" t="e">
        <f ca="1"/>
        <v>#NAME?</v>
      </c>
      <c r="CO1045" s="32" t="e">
        <f ca="1"/>
        <v>#NAME?</v>
      </c>
      <c r="CP1045" s="32" t="e">
        <f ca="1"/>
        <v>#NAME?</v>
      </c>
      <c r="CQ1045" s="32" t="e">
        <f ca="1"/>
        <v>#NAME?</v>
      </c>
      <c r="CR1045" s="30" t="e">
        <f ca="1"/>
        <v>#NAME?</v>
      </c>
      <c r="CS1045" s="30" t="str">
        <f ca="1">IFERROR(__xludf.DUMMYFUNCTION("""COMPUTED_VALUE"""),"")</f>
        <v/>
      </c>
    </row>
    <row r="1046" spans="1:97" ht="13">
      <c r="A1046" s="29"/>
      <c r="C1046" s="32"/>
      <c r="I1046" s="34"/>
      <c r="BP1046" s="29"/>
      <c r="CC1046" s="30" t="str">
        <f ca="1">IFERROR(__xludf.DUMMYFUNCTION("""COMPUTED_VALUE"""),"0cdda240")</f>
        <v>0cdda240</v>
      </c>
      <c r="CD1046" s="29" t="str">
        <f ca="1">IFERROR(__xludf.DUMMYFUNCTION("""COMPUTED_VALUE"""),"Adultos Mayores (60 años o más)")</f>
        <v>Adultos Mayores (60 años o más)</v>
      </c>
      <c r="CE1046" s="30" t="str">
        <f ca="1">IFERROR(__xludf.DUMMYFUNCTION("""COMPUTED_VALUE"""),"No se cuenta con el dato")</f>
        <v>No se cuenta con el dato</v>
      </c>
      <c r="CF1046" s="30" t="str">
        <f ca="1">IFERROR(__xludf.DUMMYFUNCTION("""COMPUTED_VALUE"""),"Ninguno (Población General)")</f>
        <v>Ninguno (Población General)</v>
      </c>
      <c r="CG1046" s="30">
        <f ca="1">IFERROR(__xludf.DUMMYFUNCTION("""COMPUTED_VALUE"""),23)</f>
        <v>23</v>
      </c>
      <c r="CJ1046" s="29"/>
      <c r="CM1046" s="30" t="str">
        <f ca="1">IFERROR(__xludf.DUMMYFUNCTION("""COMPUTED_VALUE"""),"")</f>
        <v/>
      </c>
      <c r="CN1046" s="32" t="e">
        <f ca="1"/>
        <v>#NAME?</v>
      </c>
      <c r="CO1046" s="32" t="e">
        <f ca="1"/>
        <v>#NAME?</v>
      </c>
      <c r="CP1046" s="32" t="e">
        <f ca="1"/>
        <v>#NAME?</v>
      </c>
      <c r="CQ1046" s="32" t="e">
        <f ca="1"/>
        <v>#NAME?</v>
      </c>
      <c r="CR1046" s="30" t="e">
        <f ca="1"/>
        <v>#NAME?</v>
      </c>
      <c r="CS1046" s="30" t="str">
        <f ca="1">IFERROR(__xludf.DUMMYFUNCTION("""COMPUTED_VALUE"""),"")</f>
        <v/>
      </c>
    </row>
    <row r="1047" spans="1:97" ht="13">
      <c r="A1047" s="29"/>
      <c r="C1047" s="32"/>
      <c r="I1047" s="34"/>
      <c r="BP1047" s="29"/>
      <c r="CC1047" s="30" t="str">
        <f ca="1">IFERROR(__xludf.DUMMYFUNCTION("""COMPUTED_VALUE"""),"06f35d43")</f>
        <v>06f35d43</v>
      </c>
      <c r="CD1047" s="29" t="str">
        <f ca="1">IFERROR(__xludf.DUMMYFUNCTION("""COMPUTED_VALUE"""),"Niñas y Niños (6 a 12 años)")</f>
        <v>Niñas y Niños (6 a 12 años)</v>
      </c>
      <c r="CE1047" s="30" t="str">
        <f ca="1">IFERROR(__xludf.DUMMYFUNCTION("""COMPUTED_VALUE"""),"No se cuenta con el dato")</f>
        <v>No se cuenta con el dato</v>
      </c>
      <c r="CF1047" s="30" t="str">
        <f ca="1">IFERROR(__xludf.DUMMYFUNCTION("""COMPUTED_VALUE"""),"Ninguno (Población General)")</f>
        <v>Ninguno (Población General)</v>
      </c>
      <c r="CG1047" s="30">
        <f ca="1">IFERROR(__xludf.DUMMYFUNCTION("""COMPUTED_VALUE"""),11)</f>
        <v>11</v>
      </c>
      <c r="CJ1047" s="29"/>
      <c r="CM1047" s="30" t="str">
        <f ca="1">IFERROR(__xludf.DUMMYFUNCTION("""COMPUTED_VALUE"""),"")</f>
        <v/>
      </c>
      <c r="CN1047" s="32" t="e">
        <f ca="1"/>
        <v>#NAME?</v>
      </c>
      <c r="CO1047" s="32" t="e">
        <f ca="1"/>
        <v>#NAME?</v>
      </c>
      <c r="CP1047" s="32" t="e">
        <f ca="1"/>
        <v>#NAME?</v>
      </c>
      <c r="CQ1047" s="32" t="e">
        <f ca="1"/>
        <v>#NAME?</v>
      </c>
      <c r="CR1047" s="30" t="e">
        <f ca="1"/>
        <v>#NAME?</v>
      </c>
      <c r="CS1047" s="30" t="str">
        <f ca="1">IFERROR(__xludf.DUMMYFUNCTION("""COMPUTED_VALUE"""),"")</f>
        <v/>
      </c>
    </row>
    <row r="1048" spans="1:97" ht="13">
      <c r="A1048" s="29"/>
      <c r="C1048" s="32"/>
      <c r="I1048" s="34"/>
      <c r="BP1048" s="29"/>
      <c r="CC1048" s="30" t="str">
        <f ca="1">IFERROR(__xludf.DUMMYFUNCTION("""COMPUTED_VALUE"""),"f22fddd7")</f>
        <v>f22fddd7</v>
      </c>
      <c r="CD1048" s="29" t="str">
        <f ca="1">IFERROR(__xludf.DUMMYFUNCTION("""COMPUTED_VALUE"""),"Niñas y Niños (6 a 12 años)")</f>
        <v>Niñas y Niños (6 a 12 años)</v>
      </c>
      <c r="CE1048" s="30" t="str">
        <f ca="1">IFERROR(__xludf.DUMMYFUNCTION("""COMPUTED_VALUE"""),"No se cuenta con el dato")</f>
        <v>No se cuenta con el dato</v>
      </c>
      <c r="CF1048" s="30" t="str">
        <f ca="1">IFERROR(__xludf.DUMMYFUNCTION("""COMPUTED_VALUE"""),"Ninguno (Población General)")</f>
        <v>Ninguno (Población General)</v>
      </c>
      <c r="CG1048" s="30">
        <f ca="1">IFERROR(__xludf.DUMMYFUNCTION("""COMPUTED_VALUE"""),4)</f>
        <v>4</v>
      </c>
      <c r="CJ1048" s="29"/>
      <c r="CM1048" s="30" t="str">
        <f ca="1">IFERROR(__xludf.DUMMYFUNCTION("""COMPUTED_VALUE"""),"")</f>
        <v/>
      </c>
      <c r="CN1048" s="32" t="e">
        <f ca="1"/>
        <v>#NAME?</v>
      </c>
      <c r="CO1048" s="32" t="e">
        <f ca="1"/>
        <v>#NAME?</v>
      </c>
      <c r="CP1048" s="32" t="e">
        <f ca="1"/>
        <v>#NAME?</v>
      </c>
      <c r="CQ1048" s="32" t="e">
        <f ca="1"/>
        <v>#NAME?</v>
      </c>
      <c r="CR1048" s="30" t="e">
        <f ca="1"/>
        <v>#NAME?</v>
      </c>
      <c r="CS1048" s="30" t="str">
        <f ca="1">IFERROR(__xludf.DUMMYFUNCTION("""COMPUTED_VALUE"""),"")</f>
        <v/>
      </c>
    </row>
    <row r="1049" spans="1:97" ht="13">
      <c r="A1049" s="29"/>
      <c r="C1049" s="32"/>
      <c r="I1049" s="34"/>
      <c r="BP1049" s="29"/>
      <c r="CC1049" s="30" t="str">
        <f ca="1">IFERROR(__xludf.DUMMYFUNCTION("""COMPUTED_VALUE"""),"0dc5b33f")</f>
        <v>0dc5b33f</v>
      </c>
      <c r="CD1049" s="29" t="str">
        <f ca="1">IFERROR(__xludf.DUMMYFUNCTION("""COMPUTED_VALUE"""),"Adultos (30 a 59 años)")</f>
        <v>Adultos (30 a 59 años)</v>
      </c>
      <c r="CE1049" s="30" t="str">
        <f ca="1">IFERROR(__xludf.DUMMYFUNCTION("""COMPUTED_VALUE"""),"No se cuenta con el dato")</f>
        <v>No se cuenta con el dato</v>
      </c>
      <c r="CF1049" s="30" t="str">
        <f ca="1">IFERROR(__xludf.DUMMYFUNCTION("""COMPUTED_VALUE"""),"Ninguno (Población General)")</f>
        <v>Ninguno (Población General)</v>
      </c>
      <c r="CG1049" s="30">
        <f ca="1">IFERROR(__xludf.DUMMYFUNCTION("""COMPUTED_VALUE"""),14)</f>
        <v>14</v>
      </c>
      <c r="CJ1049" s="29"/>
      <c r="CM1049" s="30" t="str">
        <f ca="1">IFERROR(__xludf.DUMMYFUNCTION("""COMPUTED_VALUE"""),"")</f>
        <v/>
      </c>
      <c r="CN1049" s="32" t="e">
        <f ca="1"/>
        <v>#NAME?</v>
      </c>
      <c r="CO1049" s="32" t="e">
        <f ca="1"/>
        <v>#NAME?</v>
      </c>
      <c r="CP1049" s="32" t="e">
        <f ca="1"/>
        <v>#NAME?</v>
      </c>
      <c r="CQ1049" s="32" t="e">
        <f ca="1"/>
        <v>#NAME?</v>
      </c>
      <c r="CR1049" s="30" t="e">
        <f ca="1"/>
        <v>#NAME?</v>
      </c>
      <c r="CS1049" s="30" t="str">
        <f ca="1">IFERROR(__xludf.DUMMYFUNCTION("""COMPUTED_VALUE"""),"")</f>
        <v/>
      </c>
    </row>
    <row r="1050" spans="1:97" ht="13">
      <c r="A1050" s="29"/>
      <c r="C1050" s="32"/>
      <c r="I1050" s="34"/>
      <c r="BP1050" s="29"/>
      <c r="CC1050" s="30" t="str">
        <f ca="1">IFERROR(__xludf.DUMMYFUNCTION("""COMPUTED_VALUE"""),"ddcf389e")</f>
        <v>ddcf389e</v>
      </c>
      <c r="CD1050" s="29" t="str">
        <f ca="1">IFERROR(__xludf.DUMMYFUNCTION("""COMPUTED_VALUE"""),"Adultos Mayores (60 años o más)")</f>
        <v>Adultos Mayores (60 años o más)</v>
      </c>
      <c r="CE1050" s="30" t="str">
        <f ca="1">IFERROR(__xludf.DUMMYFUNCTION("""COMPUTED_VALUE"""),"No se cuenta con el dato")</f>
        <v>No se cuenta con el dato</v>
      </c>
      <c r="CF1050" s="30" t="str">
        <f ca="1">IFERROR(__xludf.DUMMYFUNCTION("""COMPUTED_VALUE"""),"Ninguno (Población General)")</f>
        <v>Ninguno (Población General)</v>
      </c>
      <c r="CG1050" s="30">
        <f ca="1">IFERROR(__xludf.DUMMYFUNCTION("""COMPUTED_VALUE"""),25)</f>
        <v>25</v>
      </c>
      <c r="CJ1050" s="29"/>
      <c r="CM1050" s="30" t="str">
        <f ca="1">IFERROR(__xludf.DUMMYFUNCTION("""COMPUTED_VALUE"""),"")</f>
        <v/>
      </c>
      <c r="CN1050" s="32" t="e">
        <f ca="1"/>
        <v>#NAME?</v>
      </c>
      <c r="CO1050" s="32" t="e">
        <f ca="1"/>
        <v>#NAME?</v>
      </c>
      <c r="CP1050" s="32" t="e">
        <f ca="1"/>
        <v>#NAME?</v>
      </c>
      <c r="CQ1050" s="32" t="e">
        <f ca="1"/>
        <v>#NAME?</v>
      </c>
      <c r="CR1050" s="30" t="e">
        <f ca="1"/>
        <v>#NAME?</v>
      </c>
      <c r="CS1050" s="30" t="str">
        <f ca="1">IFERROR(__xludf.DUMMYFUNCTION("""COMPUTED_VALUE"""),"")</f>
        <v/>
      </c>
    </row>
    <row r="1051" spans="1:97" ht="13">
      <c r="A1051" s="29"/>
      <c r="C1051" s="32"/>
      <c r="I1051" s="34"/>
      <c r="BP1051" s="29"/>
      <c r="CC1051" s="30" t="str">
        <f ca="1">IFERROR(__xludf.DUMMYFUNCTION("""COMPUTED_VALUE"""),"f13c1249")</f>
        <v>f13c1249</v>
      </c>
      <c r="CD1051" s="29" t="str">
        <f ca="1">IFERROR(__xludf.DUMMYFUNCTION("""COMPUTED_VALUE"""),"Niñas y Niños (6 a 12 años)")</f>
        <v>Niñas y Niños (6 a 12 años)</v>
      </c>
      <c r="CE1051" s="30" t="str">
        <f ca="1">IFERROR(__xludf.DUMMYFUNCTION("""COMPUTED_VALUE"""),"No se cuenta con el dato")</f>
        <v>No se cuenta con el dato</v>
      </c>
      <c r="CF1051" s="30" t="str">
        <f ca="1">IFERROR(__xludf.DUMMYFUNCTION("""COMPUTED_VALUE"""),"Ninguno (Población General)")</f>
        <v>Ninguno (Población General)</v>
      </c>
      <c r="CG1051" s="30">
        <f ca="1">IFERROR(__xludf.DUMMYFUNCTION("""COMPUTED_VALUE"""),4)</f>
        <v>4</v>
      </c>
      <c r="CJ1051" s="29"/>
      <c r="CM1051" s="30" t="str">
        <f ca="1">IFERROR(__xludf.DUMMYFUNCTION("""COMPUTED_VALUE"""),"")</f>
        <v/>
      </c>
      <c r="CN1051" s="32" t="e">
        <f ca="1"/>
        <v>#NAME?</v>
      </c>
      <c r="CO1051" s="32" t="e">
        <f ca="1"/>
        <v>#NAME?</v>
      </c>
      <c r="CP1051" s="32" t="e">
        <f ca="1"/>
        <v>#NAME?</v>
      </c>
      <c r="CQ1051" s="32" t="e">
        <f ca="1"/>
        <v>#NAME?</v>
      </c>
      <c r="CR1051" s="30" t="e">
        <f ca="1"/>
        <v>#NAME?</v>
      </c>
      <c r="CS1051" s="30" t="str">
        <f ca="1">IFERROR(__xludf.DUMMYFUNCTION("""COMPUTED_VALUE"""),"")</f>
        <v/>
      </c>
    </row>
    <row r="1052" spans="1:97" ht="13">
      <c r="A1052" s="29"/>
      <c r="C1052" s="32"/>
      <c r="I1052" s="34"/>
      <c r="BP1052" s="29"/>
      <c r="CC1052" s="30" t="str">
        <f ca="1">IFERROR(__xludf.DUMMYFUNCTION("""COMPUTED_VALUE"""),"4b920d4d")</f>
        <v>4b920d4d</v>
      </c>
      <c r="CD1052" s="29" t="str">
        <f ca="1">IFERROR(__xludf.DUMMYFUNCTION("""COMPUTED_VALUE"""),"Niñas y Niños (6 a 12 años)")</f>
        <v>Niñas y Niños (6 a 12 años)</v>
      </c>
      <c r="CE1052" s="30" t="str">
        <f ca="1">IFERROR(__xludf.DUMMYFUNCTION("""COMPUTED_VALUE"""),"No se cuenta con el dato")</f>
        <v>No se cuenta con el dato</v>
      </c>
      <c r="CF1052" s="30" t="str">
        <f ca="1">IFERROR(__xludf.DUMMYFUNCTION("""COMPUTED_VALUE"""),"Ninguno (Población General)")</f>
        <v>Ninguno (Población General)</v>
      </c>
      <c r="CG1052" s="30">
        <f ca="1">IFERROR(__xludf.DUMMYFUNCTION("""COMPUTED_VALUE"""),16)</f>
        <v>16</v>
      </c>
      <c r="CJ1052" s="29"/>
      <c r="CM1052" s="30" t="str">
        <f ca="1">IFERROR(__xludf.DUMMYFUNCTION("""COMPUTED_VALUE"""),"")</f>
        <v/>
      </c>
      <c r="CN1052" s="32" t="e">
        <f ca="1"/>
        <v>#NAME?</v>
      </c>
      <c r="CO1052" s="32" t="e">
        <f ca="1"/>
        <v>#NAME?</v>
      </c>
      <c r="CP1052" s="32" t="e">
        <f ca="1"/>
        <v>#NAME?</v>
      </c>
      <c r="CQ1052" s="32" t="e">
        <f ca="1"/>
        <v>#NAME?</v>
      </c>
      <c r="CR1052" s="30" t="e">
        <f ca="1"/>
        <v>#NAME?</v>
      </c>
      <c r="CS1052" s="30" t="str">
        <f ca="1">IFERROR(__xludf.DUMMYFUNCTION("""COMPUTED_VALUE"""),"")</f>
        <v/>
      </c>
    </row>
    <row r="1053" spans="1:97" ht="13">
      <c r="A1053" s="29"/>
      <c r="C1053" s="32"/>
      <c r="I1053" s="34"/>
      <c r="BP1053" s="29"/>
      <c r="CC1053" s="30" t="str">
        <f ca="1">IFERROR(__xludf.DUMMYFUNCTION("""COMPUTED_VALUE"""),"8c952a74")</f>
        <v>8c952a74</v>
      </c>
      <c r="CD1053" s="29" t="str">
        <f ca="1">IFERROR(__xludf.DUMMYFUNCTION("""COMPUTED_VALUE"""),"Niñas y Niños (6 a 12 años)")</f>
        <v>Niñas y Niños (6 a 12 años)</v>
      </c>
      <c r="CE1053" s="30" t="str">
        <f ca="1">IFERROR(__xludf.DUMMYFUNCTION("""COMPUTED_VALUE"""),"Dato global")</f>
        <v>Dato global</v>
      </c>
      <c r="CF1053" s="30" t="str">
        <f ca="1">IFERROR(__xludf.DUMMYFUNCTION("""COMPUTED_VALUE"""),"Ninguno (Población General)")</f>
        <v>Ninguno (Población General)</v>
      </c>
      <c r="CG1053" s="30">
        <f ca="1">IFERROR(__xludf.DUMMYFUNCTION("""COMPUTED_VALUE"""),52)</f>
        <v>52</v>
      </c>
      <c r="CJ1053" s="29"/>
      <c r="CM1053" s="30" t="str">
        <f ca="1">IFERROR(__xludf.DUMMYFUNCTION("""COMPUTED_VALUE"""),"")</f>
        <v/>
      </c>
      <c r="CN1053" s="32" t="e">
        <f ca="1"/>
        <v>#NAME?</v>
      </c>
      <c r="CO1053" s="32" t="e">
        <f ca="1"/>
        <v>#NAME?</v>
      </c>
      <c r="CP1053" s="32" t="e">
        <f ca="1"/>
        <v>#NAME?</v>
      </c>
      <c r="CQ1053" s="32" t="e">
        <f ca="1"/>
        <v>#NAME?</v>
      </c>
      <c r="CR1053" s="30" t="e">
        <f ca="1"/>
        <v>#NAME?</v>
      </c>
      <c r="CS1053" s="30" t="str">
        <f ca="1">IFERROR(__xludf.DUMMYFUNCTION("""COMPUTED_VALUE"""),"")</f>
        <v/>
      </c>
    </row>
    <row r="1054" spans="1:97" ht="13">
      <c r="A1054" s="29"/>
      <c r="C1054" s="32"/>
      <c r="I1054" s="34"/>
      <c r="BP1054" s="29"/>
      <c r="CC1054" s="30" t="str">
        <f ca="1">IFERROR(__xludf.DUMMYFUNCTION("""COMPUTED_VALUE"""),"02ef3333")</f>
        <v>02ef3333</v>
      </c>
      <c r="CD1054" s="29" t="str">
        <f ca="1">IFERROR(__xludf.DUMMYFUNCTION("""COMPUTED_VALUE"""),"Adultos (30 a 59 años)")</f>
        <v>Adultos (30 a 59 años)</v>
      </c>
      <c r="CE1054" s="30" t="str">
        <f ca="1">IFERROR(__xludf.DUMMYFUNCTION("""COMPUTED_VALUE"""),"No se cuenta con el dato")</f>
        <v>No se cuenta con el dato</v>
      </c>
      <c r="CF1054" s="30" t="str">
        <f ca="1">IFERROR(__xludf.DUMMYFUNCTION("""COMPUTED_VALUE"""),"Ninguno (Población General)")</f>
        <v>Ninguno (Población General)</v>
      </c>
      <c r="CG1054" s="30">
        <f ca="1">IFERROR(__xludf.DUMMYFUNCTION("""COMPUTED_VALUE"""),15)</f>
        <v>15</v>
      </c>
      <c r="CJ1054" s="29"/>
      <c r="CM1054" s="30" t="str">
        <f ca="1">IFERROR(__xludf.DUMMYFUNCTION("""COMPUTED_VALUE"""),"")</f>
        <v/>
      </c>
      <c r="CN1054" s="32" t="e">
        <f ca="1"/>
        <v>#NAME?</v>
      </c>
      <c r="CO1054" s="32" t="e">
        <f ca="1"/>
        <v>#NAME?</v>
      </c>
      <c r="CP1054" s="32" t="e">
        <f ca="1"/>
        <v>#NAME?</v>
      </c>
      <c r="CQ1054" s="32" t="e">
        <f ca="1"/>
        <v>#NAME?</v>
      </c>
      <c r="CR1054" s="30" t="e">
        <f ca="1"/>
        <v>#NAME?</v>
      </c>
      <c r="CS1054" s="30" t="str">
        <f ca="1">IFERROR(__xludf.DUMMYFUNCTION("""COMPUTED_VALUE"""),"")</f>
        <v/>
      </c>
    </row>
    <row r="1055" spans="1:97" ht="13">
      <c r="A1055" s="29"/>
      <c r="C1055" s="32"/>
      <c r="I1055" s="34"/>
      <c r="BP1055" s="29"/>
      <c r="CC1055" s="30" t="str">
        <f ca="1">IFERROR(__xludf.DUMMYFUNCTION("""COMPUTED_VALUE"""),"4bc4a299")</f>
        <v>4bc4a299</v>
      </c>
      <c r="CD1055" s="29" t="str">
        <f ca="1">IFERROR(__xludf.DUMMYFUNCTION("""COMPUTED_VALUE"""),"Adolescentes (13 a 17 años)")</f>
        <v>Adolescentes (13 a 17 años)</v>
      </c>
      <c r="CE1055" s="30" t="str">
        <f ca="1">IFERROR(__xludf.DUMMYFUNCTION("""COMPUTED_VALUE"""),"No se cuenta con el dato")</f>
        <v>No se cuenta con el dato</v>
      </c>
      <c r="CF1055" s="30" t="str">
        <f ca="1">IFERROR(__xludf.DUMMYFUNCTION("""COMPUTED_VALUE"""),"Ninguno (Población General)")</f>
        <v>Ninguno (Población General)</v>
      </c>
      <c r="CG1055" s="30">
        <f ca="1">IFERROR(__xludf.DUMMYFUNCTION("""COMPUTED_VALUE"""),34)</f>
        <v>34</v>
      </c>
      <c r="CJ1055" s="29"/>
      <c r="CM1055" s="30" t="str">
        <f ca="1">IFERROR(__xludf.DUMMYFUNCTION("""COMPUTED_VALUE"""),"")</f>
        <v/>
      </c>
      <c r="CN1055" s="32" t="e">
        <f ca="1"/>
        <v>#NAME?</v>
      </c>
      <c r="CO1055" s="32" t="e">
        <f ca="1"/>
        <v>#NAME?</v>
      </c>
      <c r="CP1055" s="32" t="e">
        <f ca="1"/>
        <v>#NAME?</v>
      </c>
      <c r="CQ1055" s="32" t="e">
        <f ca="1"/>
        <v>#NAME?</v>
      </c>
      <c r="CR1055" s="30" t="e">
        <f ca="1"/>
        <v>#NAME?</v>
      </c>
      <c r="CS1055" s="30" t="str">
        <f ca="1">IFERROR(__xludf.DUMMYFUNCTION("""COMPUTED_VALUE"""),"")</f>
        <v/>
      </c>
    </row>
    <row r="1056" spans="1:97" ht="13">
      <c r="A1056" s="29"/>
      <c r="C1056" s="32"/>
      <c r="I1056" s="34"/>
      <c r="BP1056" s="29"/>
      <c r="CC1056" s="30" t="str">
        <f ca="1">IFERROR(__xludf.DUMMYFUNCTION("""COMPUTED_VALUE"""),"633372d9")</f>
        <v>633372d9</v>
      </c>
      <c r="CD1056" s="29" t="str">
        <f ca="1">IFERROR(__xludf.DUMMYFUNCTION("""COMPUTED_VALUE"""),"Adultos Mayores (60 años o más)")</f>
        <v>Adultos Mayores (60 años o más)</v>
      </c>
      <c r="CE1056" s="30" t="str">
        <f ca="1">IFERROR(__xludf.DUMMYFUNCTION("""COMPUTED_VALUE"""),"No se cuenta con el dato")</f>
        <v>No se cuenta con el dato</v>
      </c>
      <c r="CF1056" s="30" t="str">
        <f ca="1">IFERROR(__xludf.DUMMYFUNCTION("""COMPUTED_VALUE"""),"Ninguno (Población General)")</f>
        <v>Ninguno (Población General)</v>
      </c>
      <c r="CG1056" s="30">
        <f ca="1">IFERROR(__xludf.DUMMYFUNCTION("""COMPUTED_VALUE"""),19)</f>
        <v>19</v>
      </c>
      <c r="CJ1056" s="29"/>
      <c r="CM1056" s="30" t="str">
        <f ca="1">IFERROR(__xludf.DUMMYFUNCTION("""COMPUTED_VALUE"""),"")</f>
        <v/>
      </c>
      <c r="CN1056" s="32" t="e">
        <f ca="1"/>
        <v>#NAME?</v>
      </c>
      <c r="CO1056" s="32" t="e">
        <f ca="1"/>
        <v>#NAME?</v>
      </c>
      <c r="CP1056" s="32" t="e">
        <f ca="1"/>
        <v>#NAME?</v>
      </c>
      <c r="CQ1056" s="32" t="e">
        <f ca="1"/>
        <v>#NAME?</v>
      </c>
      <c r="CR1056" s="30" t="e">
        <f ca="1"/>
        <v>#NAME?</v>
      </c>
      <c r="CS1056" s="30" t="str">
        <f ca="1">IFERROR(__xludf.DUMMYFUNCTION("""COMPUTED_VALUE"""),"")</f>
        <v/>
      </c>
    </row>
    <row r="1057" spans="1:97" ht="13">
      <c r="A1057" s="29"/>
      <c r="C1057" s="32"/>
      <c r="I1057" s="34"/>
      <c r="BP1057" s="29"/>
      <c r="CC1057" s="30" t="str">
        <f ca="1">IFERROR(__xludf.DUMMYFUNCTION("""COMPUTED_VALUE"""),"387fedb7")</f>
        <v>387fedb7</v>
      </c>
      <c r="CD1057" s="29" t="str">
        <f ca="1">IFERROR(__xludf.DUMMYFUNCTION("""COMPUTED_VALUE"""),"Adultos (30 a 59 años)")</f>
        <v>Adultos (30 a 59 años)</v>
      </c>
      <c r="CE1057" s="30" t="str">
        <f ca="1">IFERROR(__xludf.DUMMYFUNCTION("""COMPUTED_VALUE"""),"No se cuenta con el dato")</f>
        <v>No se cuenta con el dato</v>
      </c>
      <c r="CF1057" s="30" t="str">
        <f ca="1">IFERROR(__xludf.DUMMYFUNCTION("""COMPUTED_VALUE"""),"Ninguno (Población General)")</f>
        <v>Ninguno (Población General)</v>
      </c>
      <c r="CG1057" s="30">
        <f ca="1">IFERROR(__xludf.DUMMYFUNCTION("""COMPUTED_VALUE"""),13)</f>
        <v>13</v>
      </c>
      <c r="CJ1057" s="29"/>
      <c r="CM1057" s="30" t="str">
        <f ca="1">IFERROR(__xludf.DUMMYFUNCTION("""COMPUTED_VALUE"""),"")</f>
        <v/>
      </c>
      <c r="CN1057" s="32" t="e">
        <f ca="1"/>
        <v>#NAME?</v>
      </c>
      <c r="CO1057" s="32" t="e">
        <f ca="1"/>
        <v>#NAME?</v>
      </c>
      <c r="CP1057" s="32" t="e">
        <f ca="1"/>
        <v>#NAME?</v>
      </c>
      <c r="CQ1057" s="32" t="e">
        <f ca="1"/>
        <v>#NAME?</v>
      </c>
      <c r="CR1057" s="30" t="e">
        <f ca="1"/>
        <v>#NAME?</v>
      </c>
      <c r="CS1057" s="30" t="str">
        <f ca="1">IFERROR(__xludf.DUMMYFUNCTION("""COMPUTED_VALUE"""),"")</f>
        <v/>
      </c>
    </row>
    <row r="1058" spans="1:97" ht="13">
      <c r="A1058" s="29"/>
      <c r="C1058" s="32"/>
      <c r="I1058" s="34"/>
      <c r="BP1058" s="29"/>
      <c r="CC1058" s="30" t="str">
        <f ca="1">IFERROR(__xludf.DUMMYFUNCTION("""COMPUTED_VALUE"""),"9ec99f70")</f>
        <v>9ec99f70</v>
      </c>
      <c r="CD1058" s="29" t="str">
        <f ca="1">IFERROR(__xludf.DUMMYFUNCTION("""COMPUTED_VALUE"""),"Niñas y Niños (6 a 12 años)")</f>
        <v>Niñas y Niños (6 a 12 años)</v>
      </c>
      <c r="CE1058" s="30" t="str">
        <f ca="1">IFERROR(__xludf.DUMMYFUNCTION("""COMPUTED_VALUE"""),"No se cuenta con el dato")</f>
        <v>No se cuenta con el dato</v>
      </c>
      <c r="CF1058" s="30" t="str">
        <f ca="1">IFERROR(__xludf.DUMMYFUNCTION("""COMPUTED_VALUE"""),"Ninguno (Población General)")</f>
        <v>Ninguno (Población General)</v>
      </c>
      <c r="CG1058" s="30">
        <f ca="1">IFERROR(__xludf.DUMMYFUNCTION("""COMPUTED_VALUE"""),4)</f>
        <v>4</v>
      </c>
      <c r="CJ1058" s="29"/>
      <c r="CM1058" s="30" t="str">
        <f ca="1">IFERROR(__xludf.DUMMYFUNCTION("""COMPUTED_VALUE"""),"")</f>
        <v/>
      </c>
      <c r="CN1058" s="32" t="e">
        <f ca="1"/>
        <v>#NAME?</v>
      </c>
      <c r="CO1058" s="32" t="e">
        <f ca="1"/>
        <v>#NAME?</v>
      </c>
      <c r="CP1058" s="32" t="e">
        <f ca="1"/>
        <v>#NAME?</v>
      </c>
      <c r="CQ1058" s="32" t="e">
        <f ca="1"/>
        <v>#NAME?</v>
      </c>
      <c r="CR1058" s="30" t="e">
        <f ca="1"/>
        <v>#NAME?</v>
      </c>
      <c r="CS1058" s="30" t="str">
        <f ca="1">IFERROR(__xludf.DUMMYFUNCTION("""COMPUTED_VALUE"""),"")</f>
        <v/>
      </c>
    </row>
    <row r="1059" spans="1:97" ht="13">
      <c r="A1059" s="29"/>
      <c r="C1059" s="32"/>
      <c r="I1059" s="34"/>
      <c r="BP1059" s="29"/>
      <c r="CC1059" s="30" t="str">
        <f ca="1">IFERROR(__xludf.DUMMYFUNCTION("""COMPUTED_VALUE"""),"aaa404a8")</f>
        <v>aaa404a8</v>
      </c>
      <c r="CD1059" s="29" t="str">
        <f ca="1">IFERROR(__xludf.DUMMYFUNCTION("""COMPUTED_VALUE"""),"Niñas y Niños (6 a 12 años)")</f>
        <v>Niñas y Niños (6 a 12 años)</v>
      </c>
      <c r="CE1059" s="30" t="str">
        <f ca="1">IFERROR(__xludf.DUMMYFUNCTION("""COMPUTED_VALUE"""),"No se cuenta con el dato")</f>
        <v>No se cuenta con el dato</v>
      </c>
      <c r="CF1059" s="30" t="str">
        <f ca="1">IFERROR(__xludf.DUMMYFUNCTION("""COMPUTED_VALUE"""),"Ninguno (Población General)")</f>
        <v>Ninguno (Población General)</v>
      </c>
      <c r="CG1059" s="30">
        <f ca="1">IFERROR(__xludf.DUMMYFUNCTION("""COMPUTED_VALUE"""),2)</f>
        <v>2</v>
      </c>
      <c r="CJ1059" s="29"/>
      <c r="CM1059" s="30" t="str">
        <f ca="1">IFERROR(__xludf.DUMMYFUNCTION("""COMPUTED_VALUE"""),"")</f>
        <v/>
      </c>
      <c r="CN1059" s="32" t="e">
        <f ca="1"/>
        <v>#NAME?</v>
      </c>
      <c r="CO1059" s="32" t="e">
        <f ca="1"/>
        <v>#NAME?</v>
      </c>
      <c r="CP1059" s="32" t="e">
        <f ca="1"/>
        <v>#NAME?</v>
      </c>
      <c r="CQ1059" s="32" t="e">
        <f ca="1"/>
        <v>#NAME?</v>
      </c>
      <c r="CR1059" s="30" t="e">
        <f ca="1"/>
        <v>#NAME?</v>
      </c>
      <c r="CS1059" s="30" t="str">
        <f ca="1">IFERROR(__xludf.DUMMYFUNCTION("""COMPUTED_VALUE"""),"")</f>
        <v/>
      </c>
    </row>
    <row r="1060" spans="1:97" ht="13">
      <c r="A1060" s="29"/>
      <c r="C1060" s="32"/>
      <c r="I1060" s="34"/>
      <c r="BP1060" s="29"/>
      <c r="CC1060" s="30" t="str">
        <f ca="1">IFERROR(__xludf.DUMMYFUNCTION("""COMPUTED_VALUE"""),"6fed848b")</f>
        <v>6fed848b</v>
      </c>
      <c r="CD1060" s="29" t="str">
        <f ca="1">IFERROR(__xludf.DUMMYFUNCTION("""COMPUTED_VALUE"""),"Adultos (30 a 59 años)")</f>
        <v>Adultos (30 a 59 años)</v>
      </c>
      <c r="CE1060" s="30" t="str">
        <f ca="1">IFERROR(__xludf.DUMMYFUNCTION("""COMPUTED_VALUE"""),"No se cuenta con el dato")</f>
        <v>No se cuenta con el dato</v>
      </c>
      <c r="CF1060" s="30" t="str">
        <f ca="1">IFERROR(__xludf.DUMMYFUNCTION("""COMPUTED_VALUE"""),"Ninguno (Población General)")</f>
        <v>Ninguno (Población General)</v>
      </c>
      <c r="CG1060" s="30">
        <f ca="1">IFERROR(__xludf.DUMMYFUNCTION("""COMPUTED_VALUE"""),16)</f>
        <v>16</v>
      </c>
      <c r="CJ1060" s="29"/>
      <c r="CM1060" s="30" t="str">
        <f ca="1">IFERROR(__xludf.DUMMYFUNCTION("""COMPUTED_VALUE"""),"")</f>
        <v/>
      </c>
      <c r="CN1060" s="32" t="e">
        <f ca="1"/>
        <v>#NAME?</v>
      </c>
      <c r="CO1060" s="32" t="e">
        <f ca="1"/>
        <v>#NAME?</v>
      </c>
      <c r="CP1060" s="32" t="e">
        <f ca="1"/>
        <v>#NAME?</v>
      </c>
      <c r="CQ1060" s="32" t="e">
        <f ca="1"/>
        <v>#NAME?</v>
      </c>
      <c r="CR1060" s="30" t="e">
        <f ca="1"/>
        <v>#NAME?</v>
      </c>
      <c r="CS1060" s="30" t="str">
        <f ca="1">IFERROR(__xludf.DUMMYFUNCTION("""COMPUTED_VALUE"""),"")</f>
        <v/>
      </c>
    </row>
    <row r="1061" spans="1:97" ht="13">
      <c r="A1061" s="29"/>
      <c r="C1061" s="32"/>
      <c r="I1061" s="34"/>
      <c r="BP1061" s="29"/>
      <c r="CD1061" s="29"/>
      <c r="CJ1061" s="29"/>
      <c r="CM1061" s="30" t="str">
        <f ca="1">IFERROR(__xludf.DUMMYFUNCTION("""COMPUTED_VALUE"""),"")</f>
        <v/>
      </c>
      <c r="CN1061" s="32" t="e">
        <f ca="1"/>
        <v>#NAME?</v>
      </c>
      <c r="CO1061" s="32" t="e">
        <f ca="1"/>
        <v>#NAME?</v>
      </c>
      <c r="CP1061" s="32" t="e">
        <f ca="1"/>
        <v>#NAME?</v>
      </c>
      <c r="CQ1061" s="32" t="e">
        <f ca="1"/>
        <v>#NAME?</v>
      </c>
      <c r="CR1061" s="30" t="e">
        <f ca="1"/>
        <v>#NAME?</v>
      </c>
      <c r="CS1061" s="30" t="str">
        <f ca="1">IFERROR(__xludf.DUMMYFUNCTION("""COMPUTED_VALUE"""),"")</f>
        <v/>
      </c>
    </row>
    <row r="1062" spans="1:97" ht="13">
      <c r="A1062" s="29"/>
      <c r="C1062" s="32"/>
      <c r="I1062" s="34"/>
      <c r="BP1062" s="29"/>
      <c r="CD1062" s="29"/>
      <c r="CJ1062" s="29"/>
      <c r="CM1062" s="30" t="str">
        <f ca="1">IFERROR(__xludf.DUMMYFUNCTION("""COMPUTED_VALUE"""),"")</f>
        <v/>
      </c>
      <c r="CN1062" s="32" t="e">
        <f ca="1"/>
        <v>#NAME?</v>
      </c>
      <c r="CO1062" s="32" t="e">
        <f ca="1"/>
        <v>#NAME?</v>
      </c>
      <c r="CP1062" s="32" t="e">
        <f ca="1"/>
        <v>#NAME?</v>
      </c>
      <c r="CQ1062" s="32" t="e">
        <f ca="1"/>
        <v>#NAME?</v>
      </c>
      <c r="CR1062" s="30" t="e">
        <f ca="1"/>
        <v>#NAME?</v>
      </c>
      <c r="CS1062" s="30" t="str">
        <f ca="1">IFERROR(__xludf.DUMMYFUNCTION("""COMPUTED_VALUE"""),"")</f>
        <v/>
      </c>
    </row>
    <row r="1063" spans="1:97" ht="13">
      <c r="A1063" s="29"/>
      <c r="C1063" s="32"/>
      <c r="I1063" s="34"/>
      <c r="BP1063" s="29"/>
      <c r="CD1063" s="29"/>
      <c r="CJ1063" s="29"/>
      <c r="CM1063" s="30" t="str">
        <f ca="1">IFERROR(__xludf.DUMMYFUNCTION("""COMPUTED_VALUE"""),"")</f>
        <v/>
      </c>
      <c r="CN1063" s="32" t="e">
        <f ca="1"/>
        <v>#NAME?</v>
      </c>
      <c r="CO1063" s="32" t="e">
        <f ca="1"/>
        <v>#NAME?</v>
      </c>
      <c r="CP1063" s="32" t="e">
        <f ca="1"/>
        <v>#NAME?</v>
      </c>
      <c r="CQ1063" s="32" t="e">
        <f ca="1"/>
        <v>#NAME?</v>
      </c>
      <c r="CR1063" s="30" t="e">
        <f ca="1"/>
        <v>#NAME?</v>
      </c>
      <c r="CS1063" s="30" t="str">
        <f ca="1">IFERROR(__xludf.DUMMYFUNCTION("""COMPUTED_VALUE"""),"")</f>
        <v/>
      </c>
    </row>
    <row r="1064" spans="1:97" ht="13">
      <c r="A1064" s="29"/>
      <c r="C1064" s="32"/>
      <c r="I1064" s="34"/>
      <c r="BP1064" s="29"/>
      <c r="CD1064" s="29"/>
      <c r="CJ1064" s="29"/>
      <c r="CM1064" s="30" t="str">
        <f ca="1">IFERROR(__xludf.DUMMYFUNCTION("""COMPUTED_VALUE"""),"")</f>
        <v/>
      </c>
      <c r="CN1064" s="32" t="e">
        <f ca="1"/>
        <v>#NAME?</v>
      </c>
      <c r="CO1064" s="32" t="e">
        <f ca="1"/>
        <v>#NAME?</v>
      </c>
      <c r="CP1064" s="32" t="e">
        <f ca="1"/>
        <v>#NAME?</v>
      </c>
      <c r="CQ1064" s="32" t="e">
        <f ca="1"/>
        <v>#NAME?</v>
      </c>
      <c r="CR1064" s="30" t="e">
        <f ca="1"/>
        <v>#NAME?</v>
      </c>
      <c r="CS1064" s="30" t="str">
        <f ca="1">IFERROR(__xludf.DUMMYFUNCTION("""COMPUTED_VALUE"""),"")</f>
        <v/>
      </c>
    </row>
    <row r="1065" spans="1:97" ht="13">
      <c r="A1065" s="29"/>
      <c r="C1065" s="32"/>
      <c r="I1065" s="34"/>
      <c r="BP1065" s="29"/>
      <c r="CD1065" s="29"/>
      <c r="CJ1065" s="29"/>
      <c r="CM1065" s="30" t="str">
        <f ca="1">IFERROR(__xludf.DUMMYFUNCTION("""COMPUTED_VALUE"""),"")</f>
        <v/>
      </c>
      <c r="CN1065" s="32" t="e">
        <f ca="1"/>
        <v>#NAME?</v>
      </c>
      <c r="CO1065" s="32" t="e">
        <f ca="1"/>
        <v>#NAME?</v>
      </c>
      <c r="CP1065" s="32" t="e">
        <f ca="1"/>
        <v>#NAME?</v>
      </c>
      <c r="CQ1065" s="32" t="e">
        <f ca="1"/>
        <v>#NAME?</v>
      </c>
      <c r="CR1065" s="30" t="e">
        <f ca="1"/>
        <v>#NAME?</v>
      </c>
      <c r="CS1065" s="30" t="str">
        <f ca="1">IFERROR(__xludf.DUMMYFUNCTION("""COMPUTED_VALUE"""),"")</f>
        <v/>
      </c>
    </row>
    <row r="1066" spans="1:97" ht="13">
      <c r="A1066" s="29"/>
      <c r="C1066" s="32"/>
      <c r="I1066" s="34"/>
      <c r="BP1066" s="29"/>
      <c r="CD1066" s="29"/>
      <c r="CJ1066" s="29"/>
      <c r="CM1066" s="30" t="str">
        <f ca="1">IFERROR(__xludf.DUMMYFUNCTION("""COMPUTED_VALUE"""),"")</f>
        <v/>
      </c>
      <c r="CN1066" s="32" t="e">
        <f ca="1"/>
        <v>#NAME?</v>
      </c>
      <c r="CO1066" s="32" t="e">
        <f ca="1"/>
        <v>#NAME?</v>
      </c>
      <c r="CP1066" s="32" t="e">
        <f ca="1"/>
        <v>#NAME?</v>
      </c>
      <c r="CQ1066" s="32" t="e">
        <f ca="1"/>
        <v>#NAME?</v>
      </c>
      <c r="CR1066" s="30" t="e">
        <f ca="1"/>
        <v>#NAME?</v>
      </c>
      <c r="CS1066" s="30" t="str">
        <f ca="1">IFERROR(__xludf.DUMMYFUNCTION("""COMPUTED_VALUE"""),"")</f>
        <v/>
      </c>
    </row>
    <row r="1067" spans="1:97" ht="13">
      <c r="A1067" s="29"/>
      <c r="C1067" s="32"/>
      <c r="I1067" s="34"/>
      <c r="BP1067" s="29"/>
      <c r="CD1067" s="29"/>
      <c r="CJ1067" s="29"/>
      <c r="CM1067" s="30" t="str">
        <f ca="1">IFERROR(__xludf.DUMMYFUNCTION("""COMPUTED_VALUE"""),"")</f>
        <v/>
      </c>
      <c r="CN1067" s="32" t="e">
        <f ca="1"/>
        <v>#NAME?</v>
      </c>
      <c r="CO1067" s="32" t="e">
        <f ca="1"/>
        <v>#NAME?</v>
      </c>
      <c r="CP1067" s="32" t="e">
        <f ca="1"/>
        <v>#NAME?</v>
      </c>
      <c r="CQ1067" s="32" t="e">
        <f ca="1"/>
        <v>#NAME?</v>
      </c>
      <c r="CR1067" s="30" t="e">
        <f ca="1"/>
        <v>#NAME?</v>
      </c>
      <c r="CS1067" s="30" t="str">
        <f ca="1">IFERROR(__xludf.DUMMYFUNCTION("""COMPUTED_VALUE"""),"")</f>
        <v/>
      </c>
    </row>
    <row r="1068" spans="1:97" ht="13">
      <c r="A1068" s="29"/>
      <c r="C1068" s="32"/>
      <c r="I1068" s="34"/>
      <c r="BP1068" s="29"/>
      <c r="CD1068" s="29"/>
      <c r="CJ1068" s="29"/>
      <c r="CM1068" s="30" t="str">
        <f ca="1">IFERROR(__xludf.DUMMYFUNCTION("""COMPUTED_VALUE"""),"")</f>
        <v/>
      </c>
      <c r="CN1068" s="32" t="e">
        <f ca="1"/>
        <v>#NAME?</v>
      </c>
      <c r="CO1068" s="32" t="e">
        <f ca="1"/>
        <v>#NAME?</v>
      </c>
      <c r="CP1068" s="32" t="e">
        <f ca="1"/>
        <v>#NAME?</v>
      </c>
      <c r="CQ1068" s="32" t="e">
        <f ca="1"/>
        <v>#NAME?</v>
      </c>
      <c r="CR1068" s="30" t="e">
        <f ca="1"/>
        <v>#NAME?</v>
      </c>
      <c r="CS1068" s="30" t="str">
        <f ca="1">IFERROR(__xludf.DUMMYFUNCTION("""COMPUTED_VALUE"""),"")</f>
        <v/>
      </c>
    </row>
    <row r="1069" spans="1:97" ht="13">
      <c r="A1069" s="29"/>
      <c r="C1069" s="32"/>
      <c r="I1069" s="34"/>
      <c r="BP1069" s="29"/>
      <c r="CD1069" s="29"/>
      <c r="CJ1069" s="29"/>
      <c r="CM1069" s="30" t="str">
        <f ca="1">IFERROR(__xludf.DUMMYFUNCTION("""COMPUTED_VALUE"""),"")</f>
        <v/>
      </c>
      <c r="CN1069" s="32" t="e">
        <f ca="1"/>
        <v>#NAME?</v>
      </c>
      <c r="CO1069" s="32" t="e">
        <f ca="1"/>
        <v>#NAME?</v>
      </c>
      <c r="CP1069" s="32" t="e">
        <f ca="1"/>
        <v>#NAME?</v>
      </c>
      <c r="CQ1069" s="32" t="e">
        <f ca="1"/>
        <v>#NAME?</v>
      </c>
      <c r="CR1069" s="30" t="e">
        <f ca="1"/>
        <v>#NAME?</v>
      </c>
      <c r="CS1069" s="30" t="str">
        <f ca="1">IFERROR(__xludf.DUMMYFUNCTION("""COMPUTED_VALUE"""),"")</f>
        <v/>
      </c>
    </row>
    <row r="1070" spans="1:97" ht="13">
      <c r="A1070" s="29"/>
      <c r="C1070" s="32"/>
      <c r="I1070" s="34"/>
      <c r="BP1070" s="29"/>
      <c r="CD1070" s="29"/>
      <c r="CJ1070" s="29"/>
      <c r="CM1070" s="30" t="str">
        <f ca="1">IFERROR(__xludf.DUMMYFUNCTION("""COMPUTED_VALUE"""),"")</f>
        <v/>
      </c>
      <c r="CN1070" s="32" t="e">
        <f ca="1"/>
        <v>#NAME?</v>
      </c>
      <c r="CO1070" s="32" t="e">
        <f ca="1"/>
        <v>#NAME?</v>
      </c>
      <c r="CP1070" s="32" t="e">
        <f ca="1"/>
        <v>#NAME?</v>
      </c>
      <c r="CQ1070" s="32" t="e">
        <f ca="1"/>
        <v>#NAME?</v>
      </c>
      <c r="CR1070" s="30" t="e">
        <f ca="1"/>
        <v>#NAME?</v>
      </c>
      <c r="CS1070" s="30" t="str">
        <f ca="1">IFERROR(__xludf.DUMMYFUNCTION("""COMPUTED_VALUE"""),"")</f>
        <v/>
      </c>
    </row>
    <row r="1071" spans="1:97" ht="13">
      <c r="A1071" s="29"/>
      <c r="C1071" s="32"/>
      <c r="I1071" s="34"/>
      <c r="BP1071" s="29"/>
      <c r="CD1071" s="29"/>
      <c r="CJ1071" s="29"/>
      <c r="CM1071" s="30" t="str">
        <f ca="1">IFERROR(__xludf.DUMMYFUNCTION("""COMPUTED_VALUE"""),"")</f>
        <v/>
      </c>
      <c r="CN1071" s="32" t="e">
        <f ca="1"/>
        <v>#NAME?</v>
      </c>
      <c r="CO1071" s="32" t="e">
        <f ca="1"/>
        <v>#NAME?</v>
      </c>
      <c r="CP1071" s="32" t="e">
        <f ca="1"/>
        <v>#NAME?</v>
      </c>
      <c r="CQ1071" s="32" t="e">
        <f ca="1"/>
        <v>#NAME?</v>
      </c>
      <c r="CR1071" s="30" t="e">
        <f ca="1"/>
        <v>#NAME?</v>
      </c>
      <c r="CS1071" s="30" t="str">
        <f ca="1">IFERROR(__xludf.DUMMYFUNCTION("""COMPUTED_VALUE"""),"")</f>
        <v/>
      </c>
    </row>
    <row r="1072" spans="1:97" ht="13">
      <c r="A1072" s="29"/>
      <c r="C1072" s="32"/>
      <c r="I1072" s="34"/>
      <c r="BP1072" s="29"/>
      <c r="CD1072" s="29"/>
      <c r="CJ1072" s="29"/>
      <c r="CM1072" s="30" t="str">
        <f ca="1">IFERROR(__xludf.DUMMYFUNCTION("""COMPUTED_VALUE"""),"")</f>
        <v/>
      </c>
      <c r="CN1072" s="32" t="e">
        <f ca="1"/>
        <v>#NAME?</v>
      </c>
      <c r="CO1072" s="32" t="e">
        <f ca="1"/>
        <v>#NAME?</v>
      </c>
      <c r="CP1072" s="32" t="e">
        <f ca="1"/>
        <v>#NAME?</v>
      </c>
      <c r="CQ1072" s="32" t="e">
        <f ca="1"/>
        <v>#NAME?</v>
      </c>
      <c r="CR1072" s="30" t="e">
        <f ca="1"/>
        <v>#NAME?</v>
      </c>
      <c r="CS1072" s="30" t="str">
        <f ca="1">IFERROR(__xludf.DUMMYFUNCTION("""COMPUTED_VALUE"""),"")</f>
        <v/>
      </c>
    </row>
    <row r="1073" spans="1:97" ht="13">
      <c r="A1073" s="29"/>
      <c r="C1073" s="32"/>
      <c r="I1073" s="34"/>
      <c r="BP1073" s="29"/>
      <c r="CD1073" s="29"/>
      <c r="CJ1073" s="29"/>
      <c r="CM1073" s="30" t="str">
        <f ca="1">IFERROR(__xludf.DUMMYFUNCTION("""COMPUTED_VALUE"""),"")</f>
        <v/>
      </c>
      <c r="CN1073" s="32" t="e">
        <f ca="1"/>
        <v>#NAME?</v>
      </c>
      <c r="CO1073" s="32" t="e">
        <f ca="1"/>
        <v>#NAME?</v>
      </c>
      <c r="CP1073" s="32" t="e">
        <f ca="1"/>
        <v>#NAME?</v>
      </c>
      <c r="CQ1073" s="32" t="e">
        <f ca="1"/>
        <v>#NAME?</v>
      </c>
      <c r="CR1073" s="30" t="e">
        <f ca="1"/>
        <v>#NAME?</v>
      </c>
      <c r="CS1073" s="30" t="str">
        <f ca="1">IFERROR(__xludf.DUMMYFUNCTION("""COMPUTED_VALUE"""),"")</f>
        <v/>
      </c>
    </row>
    <row r="1074" spans="1:97" ht="13">
      <c r="A1074" s="29"/>
      <c r="C1074" s="32"/>
      <c r="I1074" s="34"/>
      <c r="BP1074" s="29"/>
      <c r="CD1074" s="29"/>
      <c r="CJ1074" s="29"/>
      <c r="CM1074" s="30" t="str">
        <f ca="1">IFERROR(__xludf.DUMMYFUNCTION("""COMPUTED_VALUE"""),"")</f>
        <v/>
      </c>
      <c r="CN1074" s="32" t="e">
        <f ca="1"/>
        <v>#NAME?</v>
      </c>
      <c r="CO1074" s="32" t="e">
        <f ca="1"/>
        <v>#NAME?</v>
      </c>
      <c r="CP1074" s="32" t="e">
        <f ca="1"/>
        <v>#NAME?</v>
      </c>
      <c r="CQ1074" s="32" t="e">
        <f ca="1"/>
        <v>#NAME?</v>
      </c>
      <c r="CR1074" s="30" t="e">
        <f ca="1"/>
        <v>#NAME?</v>
      </c>
      <c r="CS1074" s="30" t="str">
        <f ca="1">IFERROR(__xludf.DUMMYFUNCTION("""COMPUTED_VALUE"""),"")</f>
        <v/>
      </c>
    </row>
    <row r="1075" spans="1:97" ht="13">
      <c r="A1075" s="29"/>
      <c r="C1075" s="32"/>
      <c r="I1075" s="34"/>
      <c r="BP1075" s="29"/>
      <c r="CD1075" s="29"/>
      <c r="CJ1075" s="29"/>
      <c r="CM1075" s="30" t="str">
        <f ca="1">IFERROR(__xludf.DUMMYFUNCTION("""COMPUTED_VALUE"""),"")</f>
        <v/>
      </c>
      <c r="CN1075" s="32" t="e">
        <f ca="1"/>
        <v>#NAME?</v>
      </c>
      <c r="CO1075" s="32" t="e">
        <f ca="1"/>
        <v>#NAME?</v>
      </c>
      <c r="CP1075" s="32" t="e">
        <f ca="1"/>
        <v>#NAME?</v>
      </c>
      <c r="CQ1075" s="32" t="e">
        <f ca="1"/>
        <v>#NAME?</v>
      </c>
      <c r="CR1075" s="30" t="e">
        <f ca="1"/>
        <v>#NAME?</v>
      </c>
      <c r="CS1075" s="30" t="str">
        <f ca="1">IFERROR(__xludf.DUMMYFUNCTION("""COMPUTED_VALUE"""),"")</f>
        <v/>
      </c>
    </row>
    <row r="1076" spans="1:97" ht="13">
      <c r="A1076" s="29"/>
      <c r="C1076" s="32"/>
      <c r="I1076" s="34"/>
      <c r="BP1076" s="29"/>
      <c r="CD1076" s="29"/>
      <c r="CJ1076" s="29"/>
      <c r="CM1076" s="30" t="str">
        <f ca="1">IFERROR(__xludf.DUMMYFUNCTION("""COMPUTED_VALUE"""),"")</f>
        <v/>
      </c>
      <c r="CN1076" s="32" t="e">
        <f ca="1"/>
        <v>#NAME?</v>
      </c>
      <c r="CO1076" s="32" t="e">
        <f ca="1"/>
        <v>#NAME?</v>
      </c>
      <c r="CP1076" s="32" t="e">
        <f ca="1"/>
        <v>#NAME?</v>
      </c>
      <c r="CQ1076" s="32" t="e">
        <f ca="1"/>
        <v>#NAME?</v>
      </c>
      <c r="CR1076" s="30" t="e">
        <f ca="1"/>
        <v>#NAME?</v>
      </c>
      <c r="CS1076" s="30" t="str">
        <f ca="1">IFERROR(__xludf.DUMMYFUNCTION("""COMPUTED_VALUE"""),"")</f>
        <v/>
      </c>
    </row>
    <row r="1077" spans="1:97" ht="13">
      <c r="A1077" s="29"/>
      <c r="C1077" s="32"/>
      <c r="I1077" s="34"/>
      <c r="BP1077" s="29"/>
      <c r="CD1077" s="29"/>
      <c r="CJ1077" s="29"/>
      <c r="CM1077" s="30" t="str">
        <f ca="1">IFERROR(__xludf.DUMMYFUNCTION("""COMPUTED_VALUE"""),"")</f>
        <v/>
      </c>
      <c r="CN1077" s="32" t="e">
        <f ca="1"/>
        <v>#NAME?</v>
      </c>
      <c r="CO1077" s="32" t="e">
        <f ca="1"/>
        <v>#NAME?</v>
      </c>
      <c r="CP1077" s="32" t="e">
        <f ca="1"/>
        <v>#NAME?</v>
      </c>
      <c r="CQ1077" s="32" t="e">
        <f ca="1"/>
        <v>#NAME?</v>
      </c>
      <c r="CR1077" s="30" t="e">
        <f ca="1"/>
        <v>#NAME?</v>
      </c>
      <c r="CS1077" s="30" t="str">
        <f ca="1">IFERROR(__xludf.DUMMYFUNCTION("""COMPUTED_VALUE"""),"")</f>
        <v/>
      </c>
    </row>
    <row r="1078" spans="1:97" ht="13">
      <c r="A1078" s="29"/>
      <c r="C1078" s="32"/>
      <c r="I1078" s="34"/>
      <c r="BP1078" s="29"/>
      <c r="CD1078" s="29"/>
      <c r="CJ1078" s="29"/>
      <c r="CM1078" s="30" t="str">
        <f ca="1">IFERROR(__xludf.DUMMYFUNCTION("""COMPUTED_VALUE"""),"")</f>
        <v/>
      </c>
      <c r="CN1078" s="32" t="e">
        <f ca="1"/>
        <v>#NAME?</v>
      </c>
      <c r="CO1078" s="32" t="e">
        <f ca="1"/>
        <v>#NAME?</v>
      </c>
      <c r="CP1078" s="32" t="e">
        <f ca="1"/>
        <v>#NAME?</v>
      </c>
      <c r="CQ1078" s="32" t="e">
        <f ca="1"/>
        <v>#NAME?</v>
      </c>
      <c r="CR1078" s="30" t="e">
        <f ca="1"/>
        <v>#NAME?</v>
      </c>
      <c r="CS1078" s="30" t="str">
        <f ca="1">IFERROR(__xludf.DUMMYFUNCTION("""COMPUTED_VALUE"""),"")</f>
        <v/>
      </c>
    </row>
    <row r="1079" spans="1:97" ht="13">
      <c r="A1079" s="29"/>
      <c r="C1079" s="32"/>
      <c r="I1079" s="34"/>
      <c r="BP1079" s="29"/>
      <c r="CD1079" s="29"/>
      <c r="CJ1079" s="29"/>
      <c r="CM1079" s="30" t="str">
        <f ca="1">IFERROR(__xludf.DUMMYFUNCTION("""COMPUTED_VALUE"""),"")</f>
        <v/>
      </c>
      <c r="CN1079" s="32" t="e">
        <f ca="1"/>
        <v>#NAME?</v>
      </c>
      <c r="CO1079" s="32" t="e">
        <f ca="1"/>
        <v>#NAME?</v>
      </c>
      <c r="CP1079" s="32" t="e">
        <f ca="1"/>
        <v>#NAME?</v>
      </c>
      <c r="CQ1079" s="32" t="e">
        <f ca="1"/>
        <v>#NAME?</v>
      </c>
      <c r="CR1079" s="30" t="e">
        <f ca="1"/>
        <v>#NAME?</v>
      </c>
      <c r="CS1079" s="30" t="str">
        <f ca="1">IFERROR(__xludf.DUMMYFUNCTION("""COMPUTED_VALUE"""),"")</f>
        <v/>
      </c>
    </row>
    <row r="1080" spans="1:97" ht="13">
      <c r="A1080" s="29"/>
      <c r="C1080" s="32"/>
      <c r="I1080" s="34"/>
      <c r="BP1080" s="29"/>
      <c r="CD1080" s="29"/>
      <c r="CJ1080" s="29"/>
      <c r="CM1080" s="30" t="str">
        <f ca="1">IFERROR(__xludf.DUMMYFUNCTION("""COMPUTED_VALUE"""),"")</f>
        <v/>
      </c>
      <c r="CN1080" s="32" t="e">
        <f ca="1"/>
        <v>#NAME?</v>
      </c>
      <c r="CO1080" s="32" t="e">
        <f ca="1"/>
        <v>#NAME?</v>
      </c>
      <c r="CP1080" s="32" t="e">
        <f ca="1"/>
        <v>#NAME?</v>
      </c>
      <c r="CQ1080" s="32" t="e">
        <f ca="1"/>
        <v>#NAME?</v>
      </c>
      <c r="CR1080" s="30" t="e">
        <f ca="1"/>
        <v>#NAME?</v>
      </c>
      <c r="CS1080" s="30" t="str">
        <f ca="1">IFERROR(__xludf.DUMMYFUNCTION("""COMPUTED_VALUE"""),"")</f>
        <v/>
      </c>
    </row>
    <row r="1081" spans="1:97" ht="13">
      <c r="A1081" s="29"/>
      <c r="C1081" s="32"/>
      <c r="I1081" s="34"/>
      <c r="BP1081" s="29"/>
      <c r="CD1081" s="29"/>
      <c r="CJ1081" s="29"/>
      <c r="CM1081" s="30" t="str">
        <f ca="1">IFERROR(__xludf.DUMMYFUNCTION("""COMPUTED_VALUE"""),"")</f>
        <v/>
      </c>
      <c r="CN1081" s="32" t="e">
        <f ca="1"/>
        <v>#NAME?</v>
      </c>
      <c r="CO1081" s="32" t="e">
        <f ca="1"/>
        <v>#NAME?</v>
      </c>
      <c r="CP1081" s="32" t="e">
        <f ca="1"/>
        <v>#NAME?</v>
      </c>
      <c r="CQ1081" s="32" t="e">
        <f ca="1"/>
        <v>#NAME?</v>
      </c>
      <c r="CR1081" s="30" t="e">
        <f ca="1"/>
        <v>#NAME?</v>
      </c>
      <c r="CS1081" s="30" t="str">
        <f ca="1">IFERROR(__xludf.DUMMYFUNCTION("""COMPUTED_VALUE"""),"")</f>
        <v/>
      </c>
    </row>
    <row r="1082" spans="1:97" ht="13">
      <c r="A1082" s="29"/>
      <c r="C1082" s="32"/>
      <c r="I1082" s="34"/>
      <c r="BP1082" s="29"/>
      <c r="CD1082" s="29"/>
      <c r="CJ1082" s="29"/>
      <c r="CM1082" s="30" t="str">
        <f ca="1">IFERROR(__xludf.DUMMYFUNCTION("""COMPUTED_VALUE"""),"")</f>
        <v/>
      </c>
      <c r="CN1082" s="32" t="e">
        <f ca="1"/>
        <v>#NAME?</v>
      </c>
      <c r="CO1082" s="32" t="e">
        <f ca="1"/>
        <v>#NAME?</v>
      </c>
      <c r="CP1082" s="32" t="e">
        <f ca="1"/>
        <v>#NAME?</v>
      </c>
      <c r="CQ1082" s="32" t="e">
        <f ca="1"/>
        <v>#NAME?</v>
      </c>
      <c r="CR1082" s="30" t="e">
        <f ca="1"/>
        <v>#NAME?</v>
      </c>
      <c r="CS1082" s="30" t="str">
        <f ca="1">IFERROR(__xludf.DUMMYFUNCTION("""COMPUTED_VALUE"""),"")</f>
        <v/>
      </c>
    </row>
    <row r="1083" spans="1:97" ht="13">
      <c r="A1083" s="29"/>
      <c r="C1083" s="32"/>
      <c r="I1083" s="34"/>
      <c r="BP1083" s="29"/>
      <c r="CD1083" s="29"/>
      <c r="CJ1083" s="29"/>
      <c r="CM1083" s="30" t="str">
        <f ca="1">IFERROR(__xludf.DUMMYFUNCTION("""COMPUTED_VALUE"""),"")</f>
        <v/>
      </c>
      <c r="CN1083" s="32" t="e">
        <f ca="1"/>
        <v>#NAME?</v>
      </c>
      <c r="CO1083" s="32" t="e">
        <f ca="1"/>
        <v>#NAME?</v>
      </c>
      <c r="CP1083" s="32" t="e">
        <f ca="1"/>
        <v>#NAME?</v>
      </c>
      <c r="CQ1083" s="32" t="e">
        <f ca="1"/>
        <v>#NAME?</v>
      </c>
      <c r="CR1083" s="30" t="e">
        <f ca="1"/>
        <v>#NAME?</v>
      </c>
      <c r="CS1083" s="30" t="str">
        <f ca="1">IFERROR(__xludf.DUMMYFUNCTION("""COMPUTED_VALUE"""),"")</f>
        <v/>
      </c>
    </row>
    <row r="1084" spans="1:97" ht="13">
      <c r="A1084" s="29"/>
      <c r="C1084" s="32"/>
      <c r="I1084" s="34"/>
      <c r="BP1084" s="29"/>
      <c r="CD1084" s="29"/>
      <c r="CJ1084" s="29"/>
      <c r="CM1084" s="30" t="str">
        <f ca="1">IFERROR(__xludf.DUMMYFUNCTION("""COMPUTED_VALUE"""),"")</f>
        <v/>
      </c>
      <c r="CN1084" s="32" t="e">
        <f ca="1"/>
        <v>#NAME?</v>
      </c>
      <c r="CO1084" s="32" t="e">
        <f ca="1"/>
        <v>#NAME?</v>
      </c>
      <c r="CP1084" s="32" t="e">
        <f ca="1"/>
        <v>#NAME?</v>
      </c>
      <c r="CQ1084" s="32" t="e">
        <f ca="1"/>
        <v>#NAME?</v>
      </c>
      <c r="CR1084" s="30" t="e">
        <f ca="1"/>
        <v>#NAME?</v>
      </c>
      <c r="CS1084" s="30" t="str">
        <f ca="1">IFERROR(__xludf.DUMMYFUNCTION("""COMPUTED_VALUE"""),"")</f>
        <v/>
      </c>
    </row>
    <row r="1085" spans="1:97" ht="13">
      <c r="A1085" s="29"/>
      <c r="C1085" s="32"/>
      <c r="I1085" s="34"/>
      <c r="BP1085" s="29"/>
      <c r="CD1085" s="29"/>
      <c r="CJ1085" s="29"/>
      <c r="CM1085" s="30" t="str">
        <f ca="1">IFERROR(__xludf.DUMMYFUNCTION("""COMPUTED_VALUE"""),"")</f>
        <v/>
      </c>
      <c r="CN1085" s="32" t="e">
        <f ca="1"/>
        <v>#NAME?</v>
      </c>
      <c r="CO1085" s="32" t="e">
        <f ca="1"/>
        <v>#NAME?</v>
      </c>
      <c r="CP1085" s="32" t="e">
        <f ca="1"/>
        <v>#NAME?</v>
      </c>
      <c r="CQ1085" s="32" t="e">
        <f ca="1"/>
        <v>#NAME?</v>
      </c>
      <c r="CR1085" s="30" t="e">
        <f ca="1"/>
        <v>#NAME?</v>
      </c>
      <c r="CS1085" s="30" t="str">
        <f ca="1">IFERROR(__xludf.DUMMYFUNCTION("""COMPUTED_VALUE"""),"")</f>
        <v/>
      </c>
    </row>
    <row r="1086" spans="1:97" ht="13">
      <c r="A1086" s="29"/>
      <c r="C1086" s="32"/>
      <c r="I1086" s="34"/>
      <c r="BP1086" s="29"/>
      <c r="CD1086" s="29"/>
      <c r="CJ1086" s="29"/>
      <c r="CM1086" s="30" t="str">
        <f ca="1">IFERROR(__xludf.DUMMYFUNCTION("""COMPUTED_VALUE"""),"")</f>
        <v/>
      </c>
      <c r="CN1086" s="32" t="e">
        <f ca="1"/>
        <v>#NAME?</v>
      </c>
      <c r="CO1086" s="32" t="e">
        <f ca="1"/>
        <v>#NAME?</v>
      </c>
      <c r="CP1086" s="32" t="e">
        <f ca="1"/>
        <v>#NAME?</v>
      </c>
      <c r="CQ1086" s="32" t="e">
        <f ca="1"/>
        <v>#NAME?</v>
      </c>
      <c r="CR1086" s="30" t="e">
        <f ca="1"/>
        <v>#NAME?</v>
      </c>
      <c r="CS1086" s="30" t="str">
        <f ca="1">IFERROR(__xludf.DUMMYFUNCTION("""COMPUTED_VALUE"""),"")</f>
        <v/>
      </c>
    </row>
    <row r="1087" spans="1:97" ht="13">
      <c r="A1087" s="29"/>
      <c r="C1087" s="32"/>
      <c r="I1087" s="34"/>
      <c r="BP1087" s="29"/>
      <c r="CD1087" s="29"/>
      <c r="CJ1087" s="29"/>
      <c r="CM1087" s="30" t="str">
        <f ca="1">IFERROR(__xludf.DUMMYFUNCTION("""COMPUTED_VALUE"""),"")</f>
        <v/>
      </c>
      <c r="CN1087" s="32" t="e">
        <f ca="1"/>
        <v>#NAME?</v>
      </c>
      <c r="CO1087" s="32" t="e">
        <f ca="1"/>
        <v>#NAME?</v>
      </c>
      <c r="CP1087" s="32" t="e">
        <f ca="1"/>
        <v>#NAME?</v>
      </c>
      <c r="CQ1087" s="32" t="e">
        <f ca="1"/>
        <v>#NAME?</v>
      </c>
      <c r="CR1087" s="30" t="e">
        <f ca="1"/>
        <v>#NAME?</v>
      </c>
      <c r="CS1087" s="30" t="str">
        <f ca="1">IFERROR(__xludf.DUMMYFUNCTION("""COMPUTED_VALUE"""),"")</f>
        <v/>
      </c>
    </row>
    <row r="1088" spans="1:97" ht="13">
      <c r="A1088" s="29"/>
      <c r="C1088" s="32"/>
      <c r="I1088" s="34"/>
      <c r="BP1088" s="29"/>
      <c r="CD1088" s="29"/>
      <c r="CJ1088" s="29"/>
      <c r="CM1088" s="30" t="str">
        <f ca="1">IFERROR(__xludf.DUMMYFUNCTION("""COMPUTED_VALUE"""),"")</f>
        <v/>
      </c>
      <c r="CN1088" s="32" t="e">
        <f ca="1"/>
        <v>#NAME?</v>
      </c>
      <c r="CO1088" s="32" t="e">
        <f ca="1"/>
        <v>#NAME?</v>
      </c>
      <c r="CP1088" s="32" t="e">
        <f ca="1"/>
        <v>#NAME?</v>
      </c>
      <c r="CQ1088" s="32" t="e">
        <f ca="1"/>
        <v>#NAME?</v>
      </c>
      <c r="CR1088" s="30" t="e">
        <f ca="1"/>
        <v>#NAME?</v>
      </c>
      <c r="CS1088" s="30" t="str">
        <f ca="1">IFERROR(__xludf.DUMMYFUNCTION("""COMPUTED_VALUE"""),"")</f>
        <v/>
      </c>
    </row>
    <row r="1089" spans="1:97" ht="13">
      <c r="A1089" s="29"/>
      <c r="C1089" s="32"/>
      <c r="I1089" s="34"/>
      <c r="BP1089" s="29"/>
      <c r="CD1089" s="29"/>
      <c r="CJ1089" s="29"/>
      <c r="CM1089" s="30" t="str">
        <f ca="1">IFERROR(__xludf.DUMMYFUNCTION("""COMPUTED_VALUE"""),"")</f>
        <v/>
      </c>
      <c r="CN1089" s="32" t="e">
        <f ca="1"/>
        <v>#NAME?</v>
      </c>
      <c r="CO1089" s="32" t="e">
        <f ca="1"/>
        <v>#NAME?</v>
      </c>
      <c r="CP1089" s="32" t="e">
        <f ca="1"/>
        <v>#NAME?</v>
      </c>
      <c r="CQ1089" s="32" t="e">
        <f ca="1"/>
        <v>#NAME?</v>
      </c>
      <c r="CR1089" s="30" t="e">
        <f ca="1"/>
        <v>#NAME?</v>
      </c>
      <c r="CS1089" s="30" t="str">
        <f ca="1">IFERROR(__xludf.DUMMYFUNCTION("""COMPUTED_VALUE"""),"")</f>
        <v/>
      </c>
    </row>
    <row r="1090" spans="1:97" ht="13">
      <c r="A1090" s="29"/>
      <c r="C1090" s="32"/>
      <c r="I1090" s="34"/>
      <c r="BP1090" s="29"/>
      <c r="CD1090" s="29"/>
      <c r="CJ1090" s="29"/>
      <c r="CM1090" s="30" t="str">
        <f ca="1">IFERROR(__xludf.DUMMYFUNCTION("""COMPUTED_VALUE"""),"")</f>
        <v/>
      </c>
      <c r="CN1090" s="32" t="e">
        <f ca="1"/>
        <v>#NAME?</v>
      </c>
      <c r="CO1090" s="32" t="e">
        <f ca="1"/>
        <v>#NAME?</v>
      </c>
      <c r="CP1090" s="32" t="e">
        <f ca="1"/>
        <v>#NAME?</v>
      </c>
      <c r="CQ1090" s="32" t="e">
        <f ca="1"/>
        <v>#NAME?</v>
      </c>
      <c r="CR1090" s="30" t="e">
        <f ca="1"/>
        <v>#NAME?</v>
      </c>
      <c r="CS1090" s="30" t="str">
        <f ca="1">IFERROR(__xludf.DUMMYFUNCTION("""COMPUTED_VALUE"""),"")</f>
        <v/>
      </c>
    </row>
    <row r="1091" spans="1:97" ht="13">
      <c r="A1091" s="29"/>
      <c r="C1091" s="32"/>
      <c r="I1091" s="34"/>
      <c r="BP1091" s="29"/>
      <c r="CD1091" s="29"/>
      <c r="CJ1091" s="29"/>
      <c r="CM1091" s="30" t="str">
        <f ca="1">IFERROR(__xludf.DUMMYFUNCTION("""COMPUTED_VALUE"""),"")</f>
        <v/>
      </c>
      <c r="CN1091" s="32" t="e">
        <f ca="1"/>
        <v>#NAME?</v>
      </c>
      <c r="CO1091" s="32" t="e">
        <f ca="1"/>
        <v>#NAME?</v>
      </c>
      <c r="CP1091" s="32" t="e">
        <f ca="1"/>
        <v>#NAME?</v>
      </c>
      <c r="CQ1091" s="32" t="e">
        <f ca="1"/>
        <v>#NAME?</v>
      </c>
      <c r="CR1091" s="30" t="e">
        <f ca="1"/>
        <v>#NAME?</v>
      </c>
      <c r="CS1091" s="30" t="str">
        <f ca="1">IFERROR(__xludf.DUMMYFUNCTION("""COMPUTED_VALUE"""),"")</f>
        <v/>
      </c>
    </row>
    <row r="1092" spans="1:97" ht="13">
      <c r="A1092" s="29"/>
      <c r="C1092" s="32"/>
      <c r="I1092" s="34"/>
      <c r="BP1092" s="29"/>
      <c r="CD1092" s="29"/>
      <c r="CJ1092" s="29"/>
      <c r="CM1092" s="30" t="str">
        <f ca="1">IFERROR(__xludf.DUMMYFUNCTION("""COMPUTED_VALUE"""),"")</f>
        <v/>
      </c>
      <c r="CN1092" s="32" t="e">
        <f ca="1"/>
        <v>#NAME?</v>
      </c>
      <c r="CO1092" s="32" t="e">
        <f ca="1"/>
        <v>#NAME?</v>
      </c>
      <c r="CP1092" s="32" t="e">
        <f ca="1"/>
        <v>#NAME?</v>
      </c>
      <c r="CQ1092" s="32" t="e">
        <f ca="1"/>
        <v>#NAME?</v>
      </c>
      <c r="CR1092" s="30" t="e">
        <f ca="1"/>
        <v>#NAME?</v>
      </c>
      <c r="CS1092" s="30" t="str">
        <f ca="1">IFERROR(__xludf.DUMMYFUNCTION("""COMPUTED_VALUE"""),"")</f>
        <v/>
      </c>
    </row>
    <row r="1093" spans="1:97" ht="13">
      <c r="A1093" s="29"/>
      <c r="C1093" s="32"/>
      <c r="I1093" s="34"/>
      <c r="BP1093" s="29"/>
      <c r="CD1093" s="29"/>
      <c r="CJ1093" s="29"/>
      <c r="CM1093" s="30" t="str">
        <f ca="1">IFERROR(__xludf.DUMMYFUNCTION("""COMPUTED_VALUE"""),"")</f>
        <v/>
      </c>
      <c r="CN1093" s="32" t="e">
        <f ca="1"/>
        <v>#NAME?</v>
      </c>
      <c r="CO1093" s="32" t="e">
        <f ca="1"/>
        <v>#NAME?</v>
      </c>
      <c r="CP1093" s="32" t="e">
        <f ca="1"/>
        <v>#NAME?</v>
      </c>
      <c r="CQ1093" s="32" t="e">
        <f ca="1"/>
        <v>#NAME?</v>
      </c>
      <c r="CR1093" s="30" t="e">
        <f ca="1"/>
        <v>#NAME?</v>
      </c>
      <c r="CS1093" s="30" t="str">
        <f ca="1">IFERROR(__xludf.DUMMYFUNCTION("""COMPUTED_VALUE"""),"")</f>
        <v/>
      </c>
    </row>
    <row r="1094" spans="1:97" ht="13">
      <c r="A1094" s="29"/>
      <c r="C1094" s="32"/>
      <c r="I1094" s="34"/>
      <c r="BP1094" s="29"/>
      <c r="CD1094" s="29"/>
      <c r="CJ1094" s="29"/>
      <c r="CM1094" s="30" t="str">
        <f ca="1">IFERROR(__xludf.DUMMYFUNCTION("""COMPUTED_VALUE"""),"")</f>
        <v/>
      </c>
      <c r="CN1094" s="32" t="e">
        <f ca="1"/>
        <v>#NAME?</v>
      </c>
      <c r="CO1094" s="32" t="e">
        <f ca="1"/>
        <v>#NAME?</v>
      </c>
      <c r="CP1094" s="32" t="e">
        <f ca="1"/>
        <v>#NAME?</v>
      </c>
      <c r="CQ1094" s="32" t="e">
        <f ca="1"/>
        <v>#NAME?</v>
      </c>
      <c r="CR1094" s="30" t="e">
        <f ca="1"/>
        <v>#NAME?</v>
      </c>
      <c r="CS1094" s="30" t="str">
        <f ca="1">IFERROR(__xludf.DUMMYFUNCTION("""COMPUTED_VALUE"""),"")</f>
        <v/>
      </c>
    </row>
    <row r="1095" spans="1:97" ht="13">
      <c r="A1095" s="29"/>
      <c r="C1095" s="32"/>
      <c r="I1095" s="34"/>
      <c r="BP1095" s="29"/>
      <c r="CD1095" s="29"/>
      <c r="CJ1095" s="29"/>
      <c r="CM1095" s="30" t="str">
        <f ca="1">IFERROR(__xludf.DUMMYFUNCTION("""COMPUTED_VALUE"""),"")</f>
        <v/>
      </c>
      <c r="CN1095" s="32" t="e">
        <f ca="1"/>
        <v>#NAME?</v>
      </c>
      <c r="CO1095" s="32" t="e">
        <f ca="1"/>
        <v>#NAME?</v>
      </c>
      <c r="CP1095" s="32" t="e">
        <f ca="1"/>
        <v>#NAME?</v>
      </c>
      <c r="CQ1095" s="32" t="e">
        <f ca="1"/>
        <v>#NAME?</v>
      </c>
      <c r="CR1095" s="30" t="e">
        <f ca="1"/>
        <v>#NAME?</v>
      </c>
      <c r="CS1095" s="30" t="str">
        <f ca="1">IFERROR(__xludf.DUMMYFUNCTION("""COMPUTED_VALUE"""),"")</f>
        <v/>
      </c>
    </row>
    <row r="1096" spans="1:97" ht="13">
      <c r="A1096" s="29"/>
      <c r="C1096" s="32"/>
      <c r="I1096" s="34"/>
      <c r="BP1096" s="29"/>
      <c r="CD1096" s="29"/>
      <c r="CJ1096" s="29"/>
      <c r="CM1096" s="30" t="str">
        <f ca="1">IFERROR(__xludf.DUMMYFUNCTION("""COMPUTED_VALUE"""),"")</f>
        <v/>
      </c>
      <c r="CN1096" s="32" t="e">
        <f ca="1"/>
        <v>#NAME?</v>
      </c>
      <c r="CO1096" s="32" t="e">
        <f ca="1"/>
        <v>#NAME?</v>
      </c>
      <c r="CP1096" s="32" t="e">
        <f ca="1"/>
        <v>#NAME?</v>
      </c>
      <c r="CQ1096" s="32" t="e">
        <f ca="1"/>
        <v>#NAME?</v>
      </c>
      <c r="CR1096" s="30" t="e">
        <f ca="1"/>
        <v>#NAME?</v>
      </c>
      <c r="CS1096" s="30" t="str">
        <f ca="1">IFERROR(__xludf.DUMMYFUNCTION("""COMPUTED_VALUE"""),"")</f>
        <v/>
      </c>
    </row>
    <row r="1097" spans="1:97" ht="13">
      <c r="A1097" s="29"/>
      <c r="C1097" s="32"/>
      <c r="I1097" s="34"/>
      <c r="BP1097" s="29"/>
      <c r="CD1097" s="29"/>
      <c r="CJ1097" s="29"/>
      <c r="CM1097" s="30" t="str">
        <f ca="1">IFERROR(__xludf.DUMMYFUNCTION("""COMPUTED_VALUE"""),"")</f>
        <v/>
      </c>
      <c r="CN1097" s="32" t="e">
        <f ca="1"/>
        <v>#NAME?</v>
      </c>
      <c r="CO1097" s="32" t="e">
        <f ca="1"/>
        <v>#NAME?</v>
      </c>
      <c r="CP1097" s="32" t="e">
        <f ca="1"/>
        <v>#NAME?</v>
      </c>
      <c r="CQ1097" s="32" t="e">
        <f ca="1"/>
        <v>#NAME?</v>
      </c>
      <c r="CR1097" s="30" t="e">
        <f ca="1"/>
        <v>#NAME?</v>
      </c>
      <c r="CS1097" s="30" t="str">
        <f ca="1">IFERROR(__xludf.DUMMYFUNCTION("""COMPUTED_VALUE"""),"")</f>
        <v/>
      </c>
    </row>
    <row r="1098" spans="1:97" ht="13">
      <c r="A1098" s="29"/>
      <c r="C1098" s="32"/>
      <c r="I1098" s="34"/>
      <c r="BP1098" s="29"/>
      <c r="CD1098" s="29"/>
      <c r="CJ1098" s="29"/>
      <c r="CM1098" s="30" t="str">
        <f ca="1">IFERROR(__xludf.DUMMYFUNCTION("""COMPUTED_VALUE"""),"")</f>
        <v/>
      </c>
      <c r="CN1098" s="32" t="e">
        <f ca="1"/>
        <v>#NAME?</v>
      </c>
      <c r="CO1098" s="32" t="e">
        <f ca="1"/>
        <v>#NAME?</v>
      </c>
      <c r="CP1098" s="32" t="e">
        <f ca="1"/>
        <v>#NAME?</v>
      </c>
      <c r="CQ1098" s="32" t="e">
        <f ca="1"/>
        <v>#NAME?</v>
      </c>
      <c r="CR1098" s="30" t="e">
        <f ca="1"/>
        <v>#NAME?</v>
      </c>
      <c r="CS1098" s="30" t="str">
        <f ca="1">IFERROR(__xludf.DUMMYFUNCTION("""COMPUTED_VALUE"""),"")</f>
        <v/>
      </c>
    </row>
    <row r="1099" spans="1:97" ht="13">
      <c r="A1099" s="29"/>
      <c r="C1099" s="32"/>
      <c r="I1099" s="34"/>
      <c r="BP1099" s="29"/>
      <c r="CD1099" s="29"/>
      <c r="CJ1099" s="29"/>
      <c r="CM1099" s="30" t="str">
        <f ca="1">IFERROR(__xludf.DUMMYFUNCTION("""COMPUTED_VALUE"""),"")</f>
        <v/>
      </c>
      <c r="CN1099" s="32" t="e">
        <f ca="1"/>
        <v>#NAME?</v>
      </c>
      <c r="CO1099" s="32" t="e">
        <f ca="1"/>
        <v>#NAME?</v>
      </c>
      <c r="CP1099" s="32" t="e">
        <f ca="1"/>
        <v>#NAME?</v>
      </c>
      <c r="CQ1099" s="32" t="e">
        <f ca="1"/>
        <v>#NAME?</v>
      </c>
      <c r="CR1099" s="30" t="e">
        <f ca="1"/>
        <v>#NAME?</v>
      </c>
      <c r="CS1099" s="30" t="str">
        <f ca="1">IFERROR(__xludf.DUMMYFUNCTION("""COMPUTED_VALUE"""),"")</f>
        <v/>
      </c>
    </row>
    <row r="1100" spans="1:97" ht="13">
      <c r="A1100" s="29"/>
      <c r="C1100" s="32"/>
      <c r="I1100" s="34"/>
      <c r="BP1100" s="29"/>
      <c r="CD1100" s="29"/>
      <c r="CJ1100" s="29"/>
      <c r="CM1100" s="30" t="str">
        <f ca="1">IFERROR(__xludf.DUMMYFUNCTION("""COMPUTED_VALUE"""),"")</f>
        <v/>
      </c>
      <c r="CN1100" s="32" t="e">
        <f ca="1"/>
        <v>#NAME?</v>
      </c>
      <c r="CO1100" s="32" t="e">
        <f ca="1"/>
        <v>#NAME?</v>
      </c>
      <c r="CP1100" s="32" t="e">
        <f ca="1"/>
        <v>#NAME?</v>
      </c>
      <c r="CQ1100" s="32" t="e">
        <f ca="1"/>
        <v>#NAME?</v>
      </c>
      <c r="CR1100" s="30" t="e">
        <f ca="1"/>
        <v>#NAME?</v>
      </c>
      <c r="CS1100" s="30" t="str">
        <f ca="1">IFERROR(__xludf.DUMMYFUNCTION("""COMPUTED_VALUE"""),"")</f>
        <v/>
      </c>
    </row>
    <row r="1101" spans="1:97" ht="13">
      <c r="A1101" s="29"/>
      <c r="C1101" s="32"/>
      <c r="I1101" s="34"/>
      <c r="BP1101" s="29"/>
      <c r="CD1101" s="29"/>
      <c r="CJ1101" s="29"/>
      <c r="CM1101" s="30" t="str">
        <f ca="1">IFERROR(__xludf.DUMMYFUNCTION("""COMPUTED_VALUE"""),"")</f>
        <v/>
      </c>
      <c r="CN1101" s="32" t="e">
        <f ca="1"/>
        <v>#NAME?</v>
      </c>
      <c r="CO1101" s="32" t="e">
        <f ca="1"/>
        <v>#NAME?</v>
      </c>
      <c r="CP1101" s="32" t="e">
        <f ca="1"/>
        <v>#NAME?</v>
      </c>
      <c r="CQ1101" s="32" t="e">
        <f ca="1"/>
        <v>#NAME?</v>
      </c>
      <c r="CR1101" s="30" t="e">
        <f ca="1"/>
        <v>#NAME?</v>
      </c>
      <c r="CS1101" s="30" t="str">
        <f ca="1">IFERROR(__xludf.DUMMYFUNCTION("""COMPUTED_VALUE"""),"")</f>
        <v/>
      </c>
    </row>
    <row r="1102" spans="1:97" ht="13">
      <c r="A1102" s="29"/>
      <c r="C1102" s="32"/>
      <c r="I1102" s="34"/>
      <c r="BP1102" s="29"/>
      <c r="CD1102" s="29"/>
      <c r="CJ1102" s="29"/>
      <c r="CM1102" s="30" t="str">
        <f ca="1">IFERROR(__xludf.DUMMYFUNCTION("""COMPUTED_VALUE"""),"")</f>
        <v/>
      </c>
      <c r="CN1102" s="32" t="e">
        <f ca="1"/>
        <v>#NAME?</v>
      </c>
      <c r="CO1102" s="32" t="e">
        <f ca="1"/>
        <v>#NAME?</v>
      </c>
      <c r="CP1102" s="32" t="e">
        <f ca="1"/>
        <v>#NAME?</v>
      </c>
      <c r="CQ1102" s="32" t="e">
        <f ca="1"/>
        <v>#NAME?</v>
      </c>
      <c r="CR1102" s="30" t="e">
        <f ca="1"/>
        <v>#NAME?</v>
      </c>
      <c r="CS1102" s="30" t="str">
        <f ca="1">IFERROR(__xludf.DUMMYFUNCTION("""COMPUTED_VALUE"""),"")</f>
        <v/>
      </c>
    </row>
    <row r="1103" spans="1:97" ht="13">
      <c r="A1103" s="29"/>
      <c r="C1103" s="32"/>
      <c r="I1103" s="34"/>
      <c r="BP1103" s="29"/>
      <c r="CD1103" s="29"/>
      <c r="CJ1103" s="29"/>
      <c r="CM1103" s="30" t="str">
        <f ca="1">IFERROR(__xludf.DUMMYFUNCTION("""COMPUTED_VALUE"""),"")</f>
        <v/>
      </c>
      <c r="CN1103" s="32" t="e">
        <f ca="1"/>
        <v>#NAME?</v>
      </c>
      <c r="CO1103" s="32" t="e">
        <f ca="1"/>
        <v>#NAME?</v>
      </c>
      <c r="CP1103" s="32" t="e">
        <f ca="1"/>
        <v>#NAME?</v>
      </c>
      <c r="CQ1103" s="32" t="e">
        <f ca="1"/>
        <v>#NAME?</v>
      </c>
      <c r="CR1103" s="30" t="e">
        <f ca="1"/>
        <v>#NAME?</v>
      </c>
      <c r="CS1103" s="30" t="str">
        <f ca="1">IFERROR(__xludf.DUMMYFUNCTION("""COMPUTED_VALUE"""),"")</f>
        <v/>
      </c>
    </row>
    <row r="1104" spans="1:97" ht="13">
      <c r="A1104" s="29"/>
      <c r="C1104" s="32"/>
      <c r="I1104" s="34"/>
      <c r="BP1104" s="29"/>
      <c r="CD1104" s="29"/>
      <c r="CJ1104" s="29"/>
      <c r="CM1104" s="30" t="str">
        <f ca="1">IFERROR(__xludf.DUMMYFUNCTION("""COMPUTED_VALUE"""),"")</f>
        <v/>
      </c>
      <c r="CN1104" s="32" t="e">
        <f ca="1"/>
        <v>#NAME?</v>
      </c>
      <c r="CO1104" s="32" t="e">
        <f ca="1"/>
        <v>#NAME?</v>
      </c>
      <c r="CP1104" s="32" t="e">
        <f ca="1"/>
        <v>#NAME?</v>
      </c>
      <c r="CQ1104" s="32" t="e">
        <f ca="1"/>
        <v>#NAME?</v>
      </c>
      <c r="CR1104" s="30" t="e">
        <f ca="1"/>
        <v>#NAME?</v>
      </c>
      <c r="CS1104" s="30" t="str">
        <f ca="1">IFERROR(__xludf.DUMMYFUNCTION("""COMPUTED_VALUE"""),"")</f>
        <v/>
      </c>
    </row>
    <row r="1105" spans="1:97" ht="13">
      <c r="A1105" s="29"/>
      <c r="C1105" s="32"/>
      <c r="I1105" s="34"/>
      <c r="BP1105" s="29"/>
      <c r="CD1105" s="29"/>
      <c r="CJ1105" s="29"/>
      <c r="CM1105" s="30" t="str">
        <f ca="1">IFERROR(__xludf.DUMMYFUNCTION("""COMPUTED_VALUE"""),"")</f>
        <v/>
      </c>
      <c r="CN1105" s="32" t="e">
        <f ca="1"/>
        <v>#NAME?</v>
      </c>
      <c r="CO1105" s="32" t="e">
        <f ca="1"/>
        <v>#NAME?</v>
      </c>
      <c r="CP1105" s="32" t="e">
        <f ca="1"/>
        <v>#NAME?</v>
      </c>
      <c r="CQ1105" s="32" t="e">
        <f ca="1"/>
        <v>#NAME?</v>
      </c>
      <c r="CR1105" s="30" t="e">
        <f ca="1"/>
        <v>#NAME?</v>
      </c>
      <c r="CS1105" s="30" t="str">
        <f ca="1">IFERROR(__xludf.DUMMYFUNCTION("""COMPUTED_VALUE"""),"")</f>
        <v/>
      </c>
    </row>
    <row r="1106" spans="1:97" ht="13">
      <c r="A1106" s="29"/>
      <c r="C1106" s="32"/>
      <c r="I1106" s="34"/>
      <c r="BP1106" s="29"/>
      <c r="CD1106" s="29"/>
      <c r="CJ1106" s="29"/>
      <c r="CM1106" s="30" t="str">
        <f ca="1">IFERROR(__xludf.DUMMYFUNCTION("""COMPUTED_VALUE"""),"")</f>
        <v/>
      </c>
      <c r="CN1106" s="32" t="e">
        <f ca="1"/>
        <v>#NAME?</v>
      </c>
      <c r="CO1106" s="32" t="e">
        <f ca="1"/>
        <v>#NAME?</v>
      </c>
      <c r="CP1106" s="32" t="e">
        <f ca="1"/>
        <v>#NAME?</v>
      </c>
      <c r="CQ1106" s="32" t="e">
        <f ca="1"/>
        <v>#NAME?</v>
      </c>
      <c r="CR1106" s="30" t="e">
        <f ca="1"/>
        <v>#NAME?</v>
      </c>
      <c r="CS1106" s="30" t="str">
        <f ca="1">IFERROR(__xludf.DUMMYFUNCTION("""COMPUTED_VALUE"""),"")</f>
        <v/>
      </c>
    </row>
    <row r="1107" spans="1:97" ht="13">
      <c r="A1107" s="29"/>
      <c r="C1107" s="32"/>
      <c r="I1107" s="34"/>
      <c r="BP1107" s="29"/>
      <c r="CD1107" s="29"/>
      <c r="CJ1107" s="29"/>
      <c r="CM1107" s="30" t="str">
        <f ca="1">IFERROR(__xludf.DUMMYFUNCTION("""COMPUTED_VALUE"""),"")</f>
        <v/>
      </c>
      <c r="CN1107" s="32" t="e">
        <f ca="1"/>
        <v>#NAME?</v>
      </c>
      <c r="CO1107" s="32" t="e">
        <f ca="1"/>
        <v>#NAME?</v>
      </c>
      <c r="CP1107" s="32" t="e">
        <f ca="1"/>
        <v>#NAME?</v>
      </c>
      <c r="CQ1107" s="32" t="e">
        <f ca="1"/>
        <v>#NAME?</v>
      </c>
      <c r="CR1107" s="30" t="e">
        <f ca="1"/>
        <v>#NAME?</v>
      </c>
      <c r="CS1107" s="30" t="str">
        <f ca="1">IFERROR(__xludf.DUMMYFUNCTION("""COMPUTED_VALUE"""),"")</f>
        <v/>
      </c>
    </row>
    <row r="1108" spans="1:97" ht="13">
      <c r="A1108" s="29"/>
      <c r="C1108" s="32"/>
      <c r="I1108" s="34"/>
      <c r="BP1108" s="29"/>
      <c r="CD1108" s="29"/>
      <c r="CJ1108" s="29"/>
      <c r="CM1108" s="30" t="str">
        <f ca="1">IFERROR(__xludf.DUMMYFUNCTION("""COMPUTED_VALUE"""),"")</f>
        <v/>
      </c>
      <c r="CN1108" s="32" t="e">
        <f ca="1"/>
        <v>#NAME?</v>
      </c>
      <c r="CO1108" s="32" t="e">
        <f ca="1"/>
        <v>#NAME?</v>
      </c>
      <c r="CP1108" s="32" t="e">
        <f ca="1"/>
        <v>#NAME?</v>
      </c>
      <c r="CQ1108" s="32" t="e">
        <f ca="1"/>
        <v>#NAME?</v>
      </c>
      <c r="CR1108" s="30" t="e">
        <f ca="1"/>
        <v>#NAME?</v>
      </c>
      <c r="CS1108" s="30" t="str">
        <f ca="1">IFERROR(__xludf.DUMMYFUNCTION("""COMPUTED_VALUE"""),"")</f>
        <v/>
      </c>
    </row>
    <row r="1109" spans="1:97" ht="13">
      <c r="A1109" s="29"/>
      <c r="C1109" s="32"/>
      <c r="I1109" s="34"/>
      <c r="BP1109" s="29"/>
      <c r="CD1109" s="29"/>
      <c r="CJ1109" s="29"/>
      <c r="CM1109" s="30" t="str">
        <f ca="1">IFERROR(__xludf.DUMMYFUNCTION("""COMPUTED_VALUE"""),"")</f>
        <v/>
      </c>
      <c r="CN1109" s="32" t="e">
        <f ca="1"/>
        <v>#NAME?</v>
      </c>
      <c r="CO1109" s="32" t="e">
        <f ca="1"/>
        <v>#NAME?</v>
      </c>
      <c r="CP1109" s="32" t="e">
        <f ca="1"/>
        <v>#NAME?</v>
      </c>
      <c r="CQ1109" s="32" t="e">
        <f ca="1"/>
        <v>#NAME?</v>
      </c>
      <c r="CR1109" s="30" t="e">
        <f ca="1"/>
        <v>#NAME?</v>
      </c>
      <c r="CS1109" s="30" t="str">
        <f ca="1">IFERROR(__xludf.DUMMYFUNCTION("""COMPUTED_VALUE"""),"")</f>
        <v/>
      </c>
    </row>
    <row r="1110" spans="1:97" ht="13">
      <c r="A1110" s="29"/>
      <c r="C1110" s="32"/>
      <c r="I1110" s="34"/>
      <c r="BP1110" s="29"/>
      <c r="CD1110" s="29"/>
      <c r="CJ1110" s="29"/>
      <c r="CM1110" s="30" t="str">
        <f ca="1">IFERROR(__xludf.DUMMYFUNCTION("""COMPUTED_VALUE"""),"")</f>
        <v/>
      </c>
      <c r="CN1110" s="32" t="e">
        <f ca="1"/>
        <v>#NAME?</v>
      </c>
      <c r="CO1110" s="32" t="e">
        <f ca="1"/>
        <v>#NAME?</v>
      </c>
      <c r="CP1110" s="32" t="e">
        <f ca="1"/>
        <v>#NAME?</v>
      </c>
      <c r="CQ1110" s="32" t="e">
        <f ca="1"/>
        <v>#NAME?</v>
      </c>
      <c r="CR1110" s="30" t="e">
        <f ca="1"/>
        <v>#NAME?</v>
      </c>
      <c r="CS1110" s="30" t="str">
        <f ca="1">IFERROR(__xludf.DUMMYFUNCTION("""COMPUTED_VALUE"""),"")</f>
        <v/>
      </c>
    </row>
    <row r="1111" spans="1:97" ht="13">
      <c r="A1111" s="29"/>
      <c r="C1111" s="32"/>
      <c r="I1111" s="34"/>
      <c r="BP1111" s="29"/>
      <c r="CD1111" s="29"/>
      <c r="CJ1111" s="29"/>
      <c r="CM1111" s="30" t="str">
        <f ca="1">IFERROR(__xludf.DUMMYFUNCTION("""COMPUTED_VALUE"""),"")</f>
        <v/>
      </c>
      <c r="CN1111" s="32" t="e">
        <f ca="1"/>
        <v>#NAME?</v>
      </c>
      <c r="CO1111" s="32" t="e">
        <f ca="1"/>
        <v>#NAME?</v>
      </c>
      <c r="CP1111" s="32" t="e">
        <f ca="1"/>
        <v>#NAME?</v>
      </c>
      <c r="CQ1111" s="32" t="e">
        <f ca="1"/>
        <v>#NAME?</v>
      </c>
      <c r="CR1111" s="30" t="e">
        <f ca="1"/>
        <v>#NAME?</v>
      </c>
      <c r="CS1111" s="30" t="str">
        <f ca="1">IFERROR(__xludf.DUMMYFUNCTION("""COMPUTED_VALUE"""),"")</f>
        <v/>
      </c>
    </row>
    <row r="1112" spans="1:97" ht="13">
      <c r="A1112" s="29"/>
      <c r="C1112" s="32"/>
      <c r="I1112" s="34"/>
      <c r="BP1112" s="29"/>
      <c r="CD1112" s="29"/>
      <c r="CJ1112" s="29"/>
      <c r="CM1112" s="30" t="str">
        <f ca="1">IFERROR(__xludf.DUMMYFUNCTION("""COMPUTED_VALUE"""),"")</f>
        <v/>
      </c>
      <c r="CN1112" s="32" t="e">
        <f ca="1"/>
        <v>#NAME?</v>
      </c>
      <c r="CO1112" s="32" t="e">
        <f ca="1"/>
        <v>#NAME?</v>
      </c>
      <c r="CP1112" s="32" t="e">
        <f ca="1"/>
        <v>#NAME?</v>
      </c>
      <c r="CQ1112" s="32" t="e">
        <f ca="1"/>
        <v>#NAME?</v>
      </c>
      <c r="CR1112" s="30" t="e">
        <f ca="1"/>
        <v>#NAME?</v>
      </c>
      <c r="CS1112" s="30" t="str">
        <f ca="1">IFERROR(__xludf.DUMMYFUNCTION("""COMPUTED_VALUE"""),"")</f>
        <v/>
      </c>
    </row>
    <row r="1113" spans="1:97" ht="13">
      <c r="A1113" s="29"/>
      <c r="C1113" s="32"/>
      <c r="I1113" s="34"/>
      <c r="BP1113" s="29"/>
      <c r="CD1113" s="29"/>
      <c r="CJ1113" s="29"/>
      <c r="CM1113" s="30" t="str">
        <f ca="1">IFERROR(__xludf.DUMMYFUNCTION("""COMPUTED_VALUE"""),"")</f>
        <v/>
      </c>
      <c r="CN1113" s="32" t="e">
        <f ca="1"/>
        <v>#NAME?</v>
      </c>
      <c r="CO1113" s="32" t="e">
        <f ca="1"/>
        <v>#NAME?</v>
      </c>
      <c r="CP1113" s="32" t="e">
        <f ca="1"/>
        <v>#NAME?</v>
      </c>
      <c r="CQ1113" s="32" t="e">
        <f ca="1"/>
        <v>#NAME?</v>
      </c>
      <c r="CR1113" s="30" t="e">
        <f ca="1"/>
        <v>#NAME?</v>
      </c>
      <c r="CS1113" s="30" t="str">
        <f ca="1">IFERROR(__xludf.DUMMYFUNCTION("""COMPUTED_VALUE"""),"")</f>
        <v/>
      </c>
    </row>
    <row r="1114" spans="1:97" ht="13">
      <c r="A1114" s="29"/>
      <c r="C1114" s="32"/>
      <c r="I1114" s="34"/>
      <c r="BP1114" s="29"/>
      <c r="CD1114" s="29"/>
      <c r="CJ1114" s="29"/>
      <c r="CM1114" s="30" t="str">
        <f ca="1">IFERROR(__xludf.DUMMYFUNCTION("""COMPUTED_VALUE"""),"")</f>
        <v/>
      </c>
      <c r="CN1114" s="32" t="e">
        <f ca="1"/>
        <v>#NAME?</v>
      </c>
      <c r="CO1114" s="32" t="e">
        <f ca="1"/>
        <v>#NAME?</v>
      </c>
      <c r="CP1114" s="32" t="e">
        <f ca="1"/>
        <v>#NAME?</v>
      </c>
      <c r="CQ1114" s="32" t="e">
        <f ca="1"/>
        <v>#NAME?</v>
      </c>
      <c r="CR1114" s="30" t="e">
        <f ca="1"/>
        <v>#NAME?</v>
      </c>
      <c r="CS1114" s="30" t="str">
        <f ca="1">IFERROR(__xludf.DUMMYFUNCTION("""COMPUTED_VALUE"""),"")</f>
        <v/>
      </c>
    </row>
    <row r="1115" spans="1:97" ht="13">
      <c r="A1115" s="29"/>
      <c r="C1115" s="32"/>
      <c r="I1115" s="34"/>
      <c r="BP1115" s="29"/>
      <c r="CD1115" s="29"/>
      <c r="CJ1115" s="29"/>
      <c r="CM1115" s="30" t="str">
        <f ca="1">IFERROR(__xludf.DUMMYFUNCTION("""COMPUTED_VALUE"""),"")</f>
        <v/>
      </c>
      <c r="CN1115" s="32" t="e">
        <f ca="1"/>
        <v>#NAME?</v>
      </c>
      <c r="CO1115" s="32" t="e">
        <f ca="1"/>
        <v>#NAME?</v>
      </c>
      <c r="CP1115" s="32" t="e">
        <f ca="1"/>
        <v>#NAME?</v>
      </c>
      <c r="CQ1115" s="32" t="e">
        <f ca="1"/>
        <v>#NAME?</v>
      </c>
      <c r="CR1115" s="30" t="e">
        <f ca="1"/>
        <v>#NAME?</v>
      </c>
      <c r="CS1115" s="30" t="str">
        <f ca="1">IFERROR(__xludf.DUMMYFUNCTION("""COMPUTED_VALUE"""),"")</f>
        <v/>
      </c>
    </row>
    <row r="1116" spans="1:97" ht="13">
      <c r="A1116" s="29"/>
      <c r="C1116" s="32"/>
      <c r="I1116" s="34"/>
      <c r="BP1116" s="29"/>
      <c r="CD1116" s="29"/>
      <c r="CJ1116" s="29"/>
      <c r="CM1116" s="30" t="str">
        <f ca="1">IFERROR(__xludf.DUMMYFUNCTION("""COMPUTED_VALUE"""),"")</f>
        <v/>
      </c>
      <c r="CN1116" s="32" t="e">
        <f ca="1"/>
        <v>#NAME?</v>
      </c>
      <c r="CO1116" s="32" t="e">
        <f ca="1"/>
        <v>#NAME?</v>
      </c>
      <c r="CP1116" s="32" t="e">
        <f ca="1"/>
        <v>#NAME?</v>
      </c>
      <c r="CQ1116" s="32" t="e">
        <f ca="1"/>
        <v>#NAME?</v>
      </c>
      <c r="CR1116" s="30" t="e">
        <f ca="1"/>
        <v>#NAME?</v>
      </c>
      <c r="CS1116" s="30" t="str">
        <f ca="1">IFERROR(__xludf.DUMMYFUNCTION("""COMPUTED_VALUE"""),"")</f>
        <v/>
      </c>
    </row>
    <row r="1117" spans="1:97" ht="13">
      <c r="A1117" s="29"/>
      <c r="C1117" s="32"/>
      <c r="I1117" s="34"/>
      <c r="BP1117" s="29"/>
      <c r="CD1117" s="29"/>
      <c r="CJ1117" s="29"/>
      <c r="CM1117" s="30" t="str">
        <f ca="1">IFERROR(__xludf.DUMMYFUNCTION("""COMPUTED_VALUE"""),"")</f>
        <v/>
      </c>
      <c r="CN1117" s="32" t="e">
        <f ca="1"/>
        <v>#NAME?</v>
      </c>
      <c r="CO1117" s="32" t="e">
        <f ca="1"/>
        <v>#NAME?</v>
      </c>
      <c r="CP1117" s="32" t="e">
        <f ca="1"/>
        <v>#NAME?</v>
      </c>
      <c r="CQ1117" s="32" t="e">
        <f ca="1"/>
        <v>#NAME?</v>
      </c>
      <c r="CR1117" s="30" t="e">
        <f ca="1"/>
        <v>#NAME?</v>
      </c>
      <c r="CS1117" s="30" t="str">
        <f ca="1">IFERROR(__xludf.DUMMYFUNCTION("""COMPUTED_VALUE"""),"")</f>
        <v/>
      </c>
    </row>
    <row r="1118" spans="1:97" ht="13">
      <c r="A1118" s="29"/>
      <c r="C1118" s="32"/>
      <c r="I1118" s="34"/>
      <c r="BP1118" s="29"/>
      <c r="CD1118" s="29"/>
      <c r="CJ1118" s="29"/>
      <c r="CM1118" s="30" t="str">
        <f ca="1">IFERROR(__xludf.DUMMYFUNCTION("""COMPUTED_VALUE"""),"")</f>
        <v/>
      </c>
      <c r="CN1118" s="32" t="e">
        <f ca="1"/>
        <v>#NAME?</v>
      </c>
      <c r="CO1118" s="32" t="e">
        <f ca="1"/>
        <v>#NAME?</v>
      </c>
      <c r="CP1118" s="32" t="e">
        <f ca="1"/>
        <v>#NAME?</v>
      </c>
      <c r="CQ1118" s="32" t="e">
        <f ca="1"/>
        <v>#NAME?</v>
      </c>
      <c r="CR1118" s="30" t="e">
        <f ca="1"/>
        <v>#NAME?</v>
      </c>
      <c r="CS1118" s="30" t="str">
        <f ca="1">IFERROR(__xludf.DUMMYFUNCTION("""COMPUTED_VALUE"""),"")</f>
        <v/>
      </c>
    </row>
    <row r="1119" spans="1:97" ht="13">
      <c r="A1119" s="29"/>
      <c r="C1119" s="32"/>
      <c r="I1119" s="34"/>
      <c r="BP1119" s="29"/>
      <c r="CD1119" s="29"/>
      <c r="CJ1119" s="29"/>
      <c r="CM1119" s="30" t="str">
        <f ca="1">IFERROR(__xludf.DUMMYFUNCTION("""COMPUTED_VALUE"""),"")</f>
        <v/>
      </c>
      <c r="CN1119" s="32" t="e">
        <f ca="1"/>
        <v>#NAME?</v>
      </c>
      <c r="CO1119" s="32" t="e">
        <f ca="1"/>
        <v>#NAME?</v>
      </c>
      <c r="CP1119" s="32" t="e">
        <f ca="1"/>
        <v>#NAME?</v>
      </c>
      <c r="CQ1119" s="32" t="e">
        <f ca="1"/>
        <v>#NAME?</v>
      </c>
      <c r="CR1119" s="30" t="e">
        <f ca="1"/>
        <v>#NAME?</v>
      </c>
      <c r="CS1119" s="30" t="str">
        <f ca="1">IFERROR(__xludf.DUMMYFUNCTION("""COMPUTED_VALUE"""),"")</f>
        <v/>
      </c>
    </row>
    <row r="1120" spans="1:97" ht="13">
      <c r="A1120" s="29"/>
      <c r="C1120" s="32"/>
      <c r="I1120" s="34"/>
      <c r="BP1120" s="29"/>
      <c r="CD1120" s="29"/>
      <c r="CJ1120" s="29"/>
      <c r="CM1120" s="30" t="str">
        <f ca="1">IFERROR(__xludf.DUMMYFUNCTION("""COMPUTED_VALUE"""),"")</f>
        <v/>
      </c>
      <c r="CN1120" s="32" t="e">
        <f ca="1"/>
        <v>#NAME?</v>
      </c>
      <c r="CO1120" s="32" t="e">
        <f ca="1"/>
        <v>#NAME?</v>
      </c>
      <c r="CP1120" s="32" t="e">
        <f ca="1"/>
        <v>#NAME?</v>
      </c>
      <c r="CQ1120" s="32" t="e">
        <f ca="1"/>
        <v>#NAME?</v>
      </c>
      <c r="CR1120" s="30" t="e">
        <f ca="1"/>
        <v>#NAME?</v>
      </c>
      <c r="CS1120" s="30" t="str">
        <f ca="1">IFERROR(__xludf.DUMMYFUNCTION("""COMPUTED_VALUE"""),"")</f>
        <v/>
      </c>
    </row>
    <row r="1121" spans="1:97" ht="13">
      <c r="A1121" s="29"/>
      <c r="C1121" s="32"/>
      <c r="I1121" s="34"/>
      <c r="BP1121" s="29"/>
      <c r="CD1121" s="29"/>
      <c r="CJ1121" s="29"/>
      <c r="CM1121" s="30" t="str">
        <f ca="1">IFERROR(__xludf.DUMMYFUNCTION("""COMPUTED_VALUE"""),"")</f>
        <v/>
      </c>
      <c r="CN1121" s="32" t="e">
        <f ca="1"/>
        <v>#NAME?</v>
      </c>
      <c r="CO1121" s="32" t="e">
        <f ca="1"/>
        <v>#NAME?</v>
      </c>
      <c r="CP1121" s="32" t="e">
        <f ca="1"/>
        <v>#NAME?</v>
      </c>
      <c r="CQ1121" s="32" t="e">
        <f ca="1"/>
        <v>#NAME?</v>
      </c>
      <c r="CR1121" s="30" t="e">
        <f ca="1"/>
        <v>#NAME?</v>
      </c>
      <c r="CS1121" s="30" t="str">
        <f ca="1">IFERROR(__xludf.DUMMYFUNCTION("""COMPUTED_VALUE"""),"")</f>
        <v/>
      </c>
    </row>
    <row r="1122" spans="1:97" ht="13">
      <c r="A1122" s="29"/>
      <c r="C1122" s="32"/>
      <c r="I1122" s="34"/>
      <c r="BP1122" s="29"/>
      <c r="CD1122" s="29"/>
      <c r="CJ1122" s="29"/>
      <c r="CM1122" s="30" t="str">
        <f ca="1">IFERROR(__xludf.DUMMYFUNCTION("""COMPUTED_VALUE"""),"")</f>
        <v/>
      </c>
      <c r="CN1122" s="32" t="e">
        <f ca="1"/>
        <v>#NAME?</v>
      </c>
      <c r="CO1122" s="32" t="e">
        <f ca="1"/>
        <v>#NAME?</v>
      </c>
      <c r="CP1122" s="32" t="e">
        <f ca="1"/>
        <v>#NAME?</v>
      </c>
      <c r="CQ1122" s="32" t="e">
        <f ca="1"/>
        <v>#NAME?</v>
      </c>
      <c r="CR1122" s="30" t="e">
        <f ca="1"/>
        <v>#NAME?</v>
      </c>
      <c r="CS1122" s="30" t="str">
        <f ca="1">IFERROR(__xludf.DUMMYFUNCTION("""COMPUTED_VALUE"""),"")</f>
        <v/>
      </c>
    </row>
    <row r="1123" spans="1:97" ht="13">
      <c r="A1123" s="29"/>
      <c r="C1123" s="32"/>
      <c r="I1123" s="34"/>
      <c r="BP1123" s="29"/>
      <c r="CD1123" s="29"/>
      <c r="CJ1123" s="29"/>
      <c r="CM1123" s="30" t="str">
        <f ca="1">IFERROR(__xludf.DUMMYFUNCTION("""COMPUTED_VALUE"""),"")</f>
        <v/>
      </c>
      <c r="CN1123" s="32" t="e">
        <f ca="1"/>
        <v>#NAME?</v>
      </c>
      <c r="CO1123" s="32" t="e">
        <f ca="1"/>
        <v>#NAME?</v>
      </c>
      <c r="CP1123" s="32" t="e">
        <f ca="1"/>
        <v>#NAME?</v>
      </c>
      <c r="CQ1123" s="32" t="e">
        <f ca="1"/>
        <v>#NAME?</v>
      </c>
      <c r="CR1123" s="30" t="e">
        <f ca="1"/>
        <v>#NAME?</v>
      </c>
      <c r="CS1123" s="30" t="str">
        <f ca="1">IFERROR(__xludf.DUMMYFUNCTION("""COMPUTED_VALUE"""),"")</f>
        <v/>
      </c>
    </row>
    <row r="1124" spans="1:97" ht="13">
      <c r="A1124" s="29"/>
      <c r="C1124" s="32"/>
      <c r="I1124" s="34"/>
      <c r="BP1124" s="29"/>
      <c r="CD1124" s="29"/>
      <c r="CJ1124" s="29"/>
      <c r="CM1124" s="30" t="str">
        <f ca="1">IFERROR(__xludf.DUMMYFUNCTION("""COMPUTED_VALUE"""),"")</f>
        <v/>
      </c>
      <c r="CN1124" s="32" t="e">
        <f ca="1"/>
        <v>#NAME?</v>
      </c>
      <c r="CO1124" s="32" t="e">
        <f ca="1"/>
        <v>#NAME?</v>
      </c>
      <c r="CP1124" s="32" t="e">
        <f ca="1"/>
        <v>#NAME?</v>
      </c>
      <c r="CQ1124" s="32" t="e">
        <f ca="1"/>
        <v>#NAME?</v>
      </c>
      <c r="CR1124" s="30" t="e">
        <f ca="1"/>
        <v>#NAME?</v>
      </c>
      <c r="CS1124" s="30" t="str">
        <f ca="1">IFERROR(__xludf.DUMMYFUNCTION("""COMPUTED_VALUE"""),"")</f>
        <v/>
      </c>
    </row>
    <row r="1125" spans="1:97" ht="13">
      <c r="A1125" s="29"/>
      <c r="C1125" s="32"/>
      <c r="I1125" s="34"/>
      <c r="BP1125" s="29"/>
      <c r="CD1125" s="29"/>
      <c r="CJ1125" s="29"/>
      <c r="CM1125" s="30" t="str">
        <f ca="1">IFERROR(__xludf.DUMMYFUNCTION("""COMPUTED_VALUE"""),"")</f>
        <v/>
      </c>
      <c r="CN1125" s="32" t="e">
        <f ca="1"/>
        <v>#NAME?</v>
      </c>
      <c r="CO1125" s="32" t="e">
        <f ca="1"/>
        <v>#NAME?</v>
      </c>
      <c r="CP1125" s="32" t="e">
        <f ca="1"/>
        <v>#NAME?</v>
      </c>
      <c r="CQ1125" s="32" t="e">
        <f ca="1"/>
        <v>#NAME?</v>
      </c>
      <c r="CR1125" s="30" t="e">
        <f ca="1"/>
        <v>#NAME?</v>
      </c>
      <c r="CS1125" s="30" t="str">
        <f ca="1">IFERROR(__xludf.DUMMYFUNCTION("""COMPUTED_VALUE"""),"")</f>
        <v/>
      </c>
    </row>
    <row r="1126" spans="1:97" ht="13">
      <c r="A1126" s="29"/>
      <c r="C1126" s="32"/>
      <c r="I1126" s="34"/>
      <c r="BP1126" s="29"/>
      <c r="CD1126" s="29"/>
      <c r="CJ1126" s="29"/>
      <c r="CM1126" s="30" t="str">
        <f ca="1">IFERROR(__xludf.DUMMYFUNCTION("""COMPUTED_VALUE"""),"")</f>
        <v/>
      </c>
      <c r="CN1126" s="32" t="e">
        <f ca="1"/>
        <v>#NAME?</v>
      </c>
      <c r="CO1126" s="32" t="e">
        <f ca="1"/>
        <v>#NAME?</v>
      </c>
      <c r="CP1126" s="32" t="e">
        <f ca="1"/>
        <v>#NAME?</v>
      </c>
      <c r="CQ1126" s="32" t="e">
        <f ca="1"/>
        <v>#NAME?</v>
      </c>
      <c r="CR1126" s="30" t="e">
        <f ca="1"/>
        <v>#NAME?</v>
      </c>
      <c r="CS1126" s="30" t="str">
        <f ca="1">IFERROR(__xludf.DUMMYFUNCTION("""COMPUTED_VALUE"""),"")</f>
        <v/>
      </c>
    </row>
    <row r="1127" spans="1:97" ht="13">
      <c r="A1127" s="29"/>
      <c r="C1127" s="32"/>
      <c r="I1127" s="34"/>
      <c r="BP1127" s="29"/>
      <c r="CD1127" s="29"/>
      <c r="CJ1127" s="29"/>
      <c r="CM1127" s="30" t="str">
        <f ca="1">IFERROR(__xludf.DUMMYFUNCTION("""COMPUTED_VALUE"""),"")</f>
        <v/>
      </c>
      <c r="CN1127" s="32" t="e">
        <f ca="1"/>
        <v>#NAME?</v>
      </c>
      <c r="CO1127" s="32" t="e">
        <f ca="1"/>
        <v>#NAME?</v>
      </c>
      <c r="CP1127" s="32" t="e">
        <f ca="1"/>
        <v>#NAME?</v>
      </c>
      <c r="CQ1127" s="32" t="e">
        <f ca="1"/>
        <v>#NAME?</v>
      </c>
      <c r="CR1127" s="30" t="e">
        <f ca="1"/>
        <v>#NAME?</v>
      </c>
      <c r="CS1127" s="30" t="str">
        <f ca="1">IFERROR(__xludf.DUMMYFUNCTION("""COMPUTED_VALUE"""),"")</f>
        <v/>
      </c>
    </row>
    <row r="1128" spans="1:97" ht="13">
      <c r="A1128" s="29"/>
      <c r="C1128" s="32"/>
      <c r="I1128" s="34"/>
      <c r="BP1128" s="29"/>
      <c r="CD1128" s="29"/>
      <c r="CJ1128" s="29"/>
      <c r="CM1128" s="30" t="str">
        <f ca="1">IFERROR(__xludf.DUMMYFUNCTION("""COMPUTED_VALUE"""),"")</f>
        <v/>
      </c>
      <c r="CN1128" s="32" t="e">
        <f ca="1"/>
        <v>#NAME?</v>
      </c>
      <c r="CO1128" s="32" t="e">
        <f ca="1"/>
        <v>#NAME?</v>
      </c>
      <c r="CP1128" s="32" t="e">
        <f ca="1"/>
        <v>#NAME?</v>
      </c>
      <c r="CQ1128" s="32" t="e">
        <f ca="1"/>
        <v>#NAME?</v>
      </c>
      <c r="CR1128" s="30" t="e">
        <f ca="1"/>
        <v>#NAME?</v>
      </c>
      <c r="CS1128" s="30" t="str">
        <f ca="1">IFERROR(__xludf.DUMMYFUNCTION("""COMPUTED_VALUE"""),"")</f>
        <v/>
      </c>
    </row>
    <row r="1129" spans="1:97" ht="13">
      <c r="A1129" s="29"/>
      <c r="C1129" s="32"/>
      <c r="I1129" s="34"/>
      <c r="BP1129" s="29"/>
      <c r="CD1129" s="29"/>
      <c r="CJ1129" s="29"/>
      <c r="CM1129" s="30" t="str">
        <f ca="1">IFERROR(__xludf.DUMMYFUNCTION("""COMPUTED_VALUE"""),"")</f>
        <v/>
      </c>
      <c r="CN1129" s="32" t="e">
        <f ca="1"/>
        <v>#NAME?</v>
      </c>
      <c r="CO1129" s="32" t="e">
        <f ca="1"/>
        <v>#NAME?</v>
      </c>
      <c r="CP1129" s="32" t="e">
        <f ca="1"/>
        <v>#NAME?</v>
      </c>
      <c r="CQ1129" s="32" t="e">
        <f ca="1"/>
        <v>#NAME?</v>
      </c>
      <c r="CR1129" s="30" t="e">
        <f ca="1"/>
        <v>#NAME?</v>
      </c>
      <c r="CS1129" s="30" t="str">
        <f ca="1">IFERROR(__xludf.DUMMYFUNCTION("""COMPUTED_VALUE"""),"")</f>
        <v/>
      </c>
    </row>
    <row r="1130" spans="1:97" ht="13">
      <c r="A1130" s="29"/>
      <c r="C1130" s="32"/>
      <c r="I1130" s="34"/>
      <c r="BP1130" s="29"/>
      <c r="CD1130" s="29"/>
      <c r="CJ1130" s="29"/>
      <c r="CM1130" s="30" t="str">
        <f ca="1">IFERROR(__xludf.DUMMYFUNCTION("""COMPUTED_VALUE"""),"")</f>
        <v/>
      </c>
      <c r="CN1130" s="32" t="e">
        <f ca="1"/>
        <v>#NAME?</v>
      </c>
      <c r="CO1130" s="32" t="e">
        <f ca="1"/>
        <v>#NAME?</v>
      </c>
      <c r="CP1130" s="32" t="e">
        <f ca="1"/>
        <v>#NAME?</v>
      </c>
      <c r="CQ1130" s="32" t="e">
        <f ca="1"/>
        <v>#NAME?</v>
      </c>
      <c r="CR1130" s="30" t="e">
        <f ca="1"/>
        <v>#NAME?</v>
      </c>
      <c r="CS1130" s="30" t="str">
        <f ca="1">IFERROR(__xludf.DUMMYFUNCTION("""COMPUTED_VALUE"""),"")</f>
        <v/>
      </c>
    </row>
    <row r="1131" spans="1:97" ht="13">
      <c r="A1131" s="29"/>
      <c r="C1131" s="32"/>
      <c r="I1131" s="34"/>
      <c r="BP1131" s="29"/>
      <c r="CD1131" s="29"/>
      <c r="CJ1131" s="29"/>
      <c r="CM1131" s="30" t="str">
        <f ca="1">IFERROR(__xludf.DUMMYFUNCTION("""COMPUTED_VALUE"""),"")</f>
        <v/>
      </c>
      <c r="CN1131" s="32" t="e">
        <f ca="1"/>
        <v>#NAME?</v>
      </c>
      <c r="CO1131" s="32" t="e">
        <f ca="1"/>
        <v>#NAME?</v>
      </c>
      <c r="CP1131" s="32" t="e">
        <f ca="1"/>
        <v>#NAME?</v>
      </c>
      <c r="CQ1131" s="32" t="e">
        <f ca="1"/>
        <v>#NAME?</v>
      </c>
      <c r="CR1131" s="30" t="e">
        <f ca="1"/>
        <v>#NAME?</v>
      </c>
      <c r="CS1131" s="30" t="str">
        <f ca="1">IFERROR(__xludf.DUMMYFUNCTION("""COMPUTED_VALUE"""),"")</f>
        <v/>
      </c>
    </row>
    <row r="1132" spans="1:97" ht="13">
      <c r="A1132" s="29"/>
      <c r="C1132" s="32"/>
      <c r="I1132" s="34"/>
      <c r="BP1132" s="29"/>
      <c r="CD1132" s="29"/>
      <c r="CJ1132" s="29"/>
      <c r="CM1132" s="30" t="str">
        <f ca="1">IFERROR(__xludf.DUMMYFUNCTION("""COMPUTED_VALUE"""),"")</f>
        <v/>
      </c>
      <c r="CN1132" s="32" t="e">
        <f ca="1"/>
        <v>#NAME?</v>
      </c>
      <c r="CO1132" s="32" t="e">
        <f ca="1"/>
        <v>#NAME?</v>
      </c>
      <c r="CP1132" s="32" t="e">
        <f ca="1"/>
        <v>#NAME?</v>
      </c>
      <c r="CQ1132" s="32" t="e">
        <f ca="1"/>
        <v>#NAME?</v>
      </c>
      <c r="CR1132" s="30" t="e">
        <f ca="1"/>
        <v>#NAME?</v>
      </c>
      <c r="CS1132" s="30" t="str">
        <f ca="1">IFERROR(__xludf.DUMMYFUNCTION("""COMPUTED_VALUE"""),"")</f>
        <v/>
      </c>
    </row>
    <row r="1133" spans="1:97" ht="13">
      <c r="A1133" s="29"/>
      <c r="C1133" s="32"/>
      <c r="I1133" s="34"/>
      <c r="BP1133" s="29"/>
      <c r="CD1133" s="29"/>
      <c r="CJ1133" s="29"/>
      <c r="CM1133" s="30" t="str">
        <f ca="1">IFERROR(__xludf.DUMMYFUNCTION("""COMPUTED_VALUE"""),"")</f>
        <v/>
      </c>
      <c r="CN1133" s="32" t="e">
        <f ca="1"/>
        <v>#NAME?</v>
      </c>
      <c r="CO1133" s="32" t="e">
        <f ca="1"/>
        <v>#NAME?</v>
      </c>
      <c r="CP1133" s="32" t="e">
        <f ca="1"/>
        <v>#NAME?</v>
      </c>
      <c r="CQ1133" s="32" t="e">
        <f ca="1"/>
        <v>#NAME?</v>
      </c>
      <c r="CR1133" s="30" t="e">
        <f ca="1"/>
        <v>#NAME?</v>
      </c>
      <c r="CS1133" s="30" t="str">
        <f ca="1">IFERROR(__xludf.DUMMYFUNCTION("""COMPUTED_VALUE"""),"")</f>
        <v/>
      </c>
    </row>
    <row r="1134" spans="1:97" ht="13">
      <c r="A1134" s="29"/>
      <c r="C1134" s="32"/>
      <c r="I1134" s="34"/>
      <c r="BP1134" s="29"/>
      <c r="CD1134" s="29"/>
      <c r="CJ1134" s="29"/>
      <c r="CM1134" s="30" t="str">
        <f ca="1">IFERROR(__xludf.DUMMYFUNCTION("""COMPUTED_VALUE"""),"")</f>
        <v/>
      </c>
      <c r="CN1134" s="32" t="e">
        <f ca="1"/>
        <v>#NAME?</v>
      </c>
      <c r="CO1134" s="32" t="e">
        <f ca="1"/>
        <v>#NAME?</v>
      </c>
      <c r="CP1134" s="32" t="e">
        <f ca="1"/>
        <v>#NAME?</v>
      </c>
      <c r="CQ1134" s="32" t="e">
        <f ca="1"/>
        <v>#NAME?</v>
      </c>
      <c r="CR1134" s="30" t="e">
        <f ca="1"/>
        <v>#NAME?</v>
      </c>
      <c r="CS1134" s="30" t="str">
        <f ca="1">IFERROR(__xludf.DUMMYFUNCTION("""COMPUTED_VALUE"""),"")</f>
        <v/>
      </c>
    </row>
    <row r="1135" spans="1:97" ht="13">
      <c r="A1135" s="29"/>
      <c r="C1135" s="32"/>
      <c r="I1135" s="34"/>
      <c r="BP1135" s="29"/>
      <c r="CD1135" s="29"/>
      <c r="CJ1135" s="29"/>
      <c r="CM1135" s="30" t="str">
        <f ca="1">IFERROR(__xludf.DUMMYFUNCTION("""COMPUTED_VALUE"""),"")</f>
        <v/>
      </c>
      <c r="CN1135" s="32" t="e">
        <f ca="1"/>
        <v>#NAME?</v>
      </c>
      <c r="CO1135" s="32" t="e">
        <f ca="1"/>
        <v>#NAME?</v>
      </c>
      <c r="CP1135" s="32" t="e">
        <f ca="1"/>
        <v>#NAME?</v>
      </c>
      <c r="CQ1135" s="32" t="e">
        <f ca="1"/>
        <v>#NAME?</v>
      </c>
      <c r="CR1135" s="30" t="e">
        <f ca="1"/>
        <v>#NAME?</v>
      </c>
      <c r="CS1135" s="30" t="str">
        <f ca="1">IFERROR(__xludf.DUMMYFUNCTION("""COMPUTED_VALUE"""),"")</f>
        <v/>
      </c>
    </row>
    <row r="1136" spans="1:97" ht="13">
      <c r="A1136" s="29"/>
      <c r="C1136" s="32"/>
      <c r="I1136" s="34"/>
      <c r="BP1136" s="29"/>
      <c r="CD1136" s="29"/>
      <c r="CJ1136" s="29"/>
      <c r="CM1136" s="30" t="str">
        <f ca="1">IFERROR(__xludf.DUMMYFUNCTION("""COMPUTED_VALUE"""),"")</f>
        <v/>
      </c>
      <c r="CN1136" s="32" t="e">
        <f ca="1"/>
        <v>#NAME?</v>
      </c>
      <c r="CO1136" s="32" t="e">
        <f ca="1"/>
        <v>#NAME?</v>
      </c>
      <c r="CP1136" s="32" t="e">
        <f ca="1"/>
        <v>#NAME?</v>
      </c>
      <c r="CQ1136" s="32" t="e">
        <f ca="1"/>
        <v>#NAME?</v>
      </c>
      <c r="CR1136" s="30" t="e">
        <f ca="1"/>
        <v>#NAME?</v>
      </c>
      <c r="CS1136" s="30" t="str">
        <f ca="1">IFERROR(__xludf.DUMMYFUNCTION("""COMPUTED_VALUE"""),"")</f>
        <v/>
      </c>
    </row>
    <row r="1137" spans="1:97" ht="13">
      <c r="A1137" s="29"/>
      <c r="C1137" s="32"/>
      <c r="I1137" s="34"/>
      <c r="BP1137" s="29"/>
      <c r="CD1137" s="29"/>
      <c r="CJ1137" s="29"/>
      <c r="CM1137" s="30" t="str">
        <f ca="1">IFERROR(__xludf.DUMMYFUNCTION("""COMPUTED_VALUE"""),"")</f>
        <v/>
      </c>
      <c r="CN1137" s="32" t="e">
        <f ca="1"/>
        <v>#NAME?</v>
      </c>
      <c r="CO1137" s="32" t="e">
        <f ca="1"/>
        <v>#NAME?</v>
      </c>
      <c r="CP1137" s="32" t="e">
        <f ca="1"/>
        <v>#NAME?</v>
      </c>
      <c r="CQ1137" s="32" t="e">
        <f ca="1"/>
        <v>#NAME?</v>
      </c>
      <c r="CR1137" s="30" t="e">
        <f ca="1"/>
        <v>#NAME?</v>
      </c>
      <c r="CS1137" s="30" t="str">
        <f ca="1">IFERROR(__xludf.DUMMYFUNCTION("""COMPUTED_VALUE"""),"")</f>
        <v/>
      </c>
    </row>
    <row r="1138" spans="1:97" ht="13">
      <c r="A1138" s="29"/>
      <c r="C1138" s="32"/>
      <c r="I1138" s="34"/>
      <c r="BP1138" s="29"/>
      <c r="CD1138" s="29"/>
      <c r="CJ1138" s="29"/>
      <c r="CM1138" s="30" t="str">
        <f ca="1">IFERROR(__xludf.DUMMYFUNCTION("""COMPUTED_VALUE"""),"")</f>
        <v/>
      </c>
      <c r="CN1138" s="32" t="e">
        <f ca="1"/>
        <v>#NAME?</v>
      </c>
      <c r="CO1138" s="32" t="e">
        <f ca="1"/>
        <v>#NAME?</v>
      </c>
      <c r="CP1138" s="32" t="e">
        <f ca="1"/>
        <v>#NAME?</v>
      </c>
      <c r="CQ1138" s="32" t="e">
        <f ca="1"/>
        <v>#NAME?</v>
      </c>
      <c r="CR1138" s="30" t="e">
        <f ca="1"/>
        <v>#NAME?</v>
      </c>
      <c r="CS1138" s="30" t="str">
        <f ca="1">IFERROR(__xludf.DUMMYFUNCTION("""COMPUTED_VALUE"""),"")</f>
        <v/>
      </c>
    </row>
    <row r="1139" spans="1:97" ht="13">
      <c r="A1139" s="29"/>
      <c r="C1139" s="32"/>
      <c r="I1139" s="34"/>
      <c r="BP1139" s="29"/>
      <c r="CD1139" s="29"/>
      <c r="CJ1139" s="29"/>
      <c r="CM1139" s="30" t="str">
        <f ca="1">IFERROR(__xludf.DUMMYFUNCTION("""COMPUTED_VALUE"""),"")</f>
        <v/>
      </c>
      <c r="CN1139" s="32" t="e">
        <f ca="1"/>
        <v>#NAME?</v>
      </c>
      <c r="CO1139" s="32" t="e">
        <f ca="1"/>
        <v>#NAME?</v>
      </c>
      <c r="CP1139" s="32" t="e">
        <f ca="1"/>
        <v>#NAME?</v>
      </c>
      <c r="CQ1139" s="32" t="e">
        <f ca="1"/>
        <v>#NAME?</v>
      </c>
      <c r="CR1139" s="30" t="e">
        <f ca="1"/>
        <v>#NAME?</v>
      </c>
      <c r="CS1139" s="30" t="str">
        <f ca="1">IFERROR(__xludf.DUMMYFUNCTION("""COMPUTED_VALUE"""),"")</f>
        <v/>
      </c>
    </row>
    <row r="1140" spans="1:97" ht="13">
      <c r="A1140" s="29"/>
      <c r="C1140" s="32"/>
      <c r="I1140" s="34"/>
      <c r="BP1140" s="29"/>
      <c r="CD1140" s="29"/>
      <c r="CJ1140" s="29"/>
      <c r="CM1140" s="30" t="str">
        <f ca="1">IFERROR(__xludf.DUMMYFUNCTION("""COMPUTED_VALUE"""),"")</f>
        <v/>
      </c>
      <c r="CN1140" s="32" t="e">
        <f ca="1"/>
        <v>#NAME?</v>
      </c>
      <c r="CO1140" s="32" t="e">
        <f ca="1"/>
        <v>#NAME?</v>
      </c>
      <c r="CP1140" s="32" t="e">
        <f ca="1"/>
        <v>#NAME?</v>
      </c>
      <c r="CQ1140" s="32" t="e">
        <f ca="1"/>
        <v>#NAME?</v>
      </c>
      <c r="CR1140" s="30" t="e">
        <f ca="1"/>
        <v>#NAME?</v>
      </c>
      <c r="CS1140" s="30" t="str">
        <f ca="1">IFERROR(__xludf.DUMMYFUNCTION("""COMPUTED_VALUE"""),"")</f>
        <v/>
      </c>
    </row>
    <row r="1141" spans="1:97" ht="13">
      <c r="A1141" s="29"/>
      <c r="C1141" s="32"/>
      <c r="I1141" s="34"/>
      <c r="BP1141" s="29"/>
      <c r="CD1141" s="29"/>
      <c r="CJ1141" s="29"/>
      <c r="CM1141" s="30" t="str">
        <f ca="1">IFERROR(__xludf.DUMMYFUNCTION("""COMPUTED_VALUE"""),"")</f>
        <v/>
      </c>
      <c r="CN1141" s="32" t="e">
        <f ca="1"/>
        <v>#NAME?</v>
      </c>
      <c r="CO1141" s="32" t="e">
        <f ca="1"/>
        <v>#NAME?</v>
      </c>
      <c r="CP1141" s="32" t="e">
        <f ca="1"/>
        <v>#NAME?</v>
      </c>
      <c r="CQ1141" s="32" t="e">
        <f ca="1"/>
        <v>#NAME?</v>
      </c>
      <c r="CR1141" s="30" t="e">
        <f ca="1"/>
        <v>#NAME?</v>
      </c>
      <c r="CS1141" s="30" t="str">
        <f ca="1">IFERROR(__xludf.DUMMYFUNCTION("""COMPUTED_VALUE"""),"")</f>
        <v/>
      </c>
    </row>
    <row r="1142" spans="1:97" ht="13">
      <c r="A1142" s="29"/>
      <c r="C1142" s="32"/>
      <c r="I1142" s="34"/>
      <c r="BP1142" s="29"/>
      <c r="CD1142" s="29"/>
      <c r="CJ1142" s="29"/>
      <c r="CM1142" s="30" t="str">
        <f ca="1">IFERROR(__xludf.DUMMYFUNCTION("""COMPUTED_VALUE"""),"")</f>
        <v/>
      </c>
      <c r="CN1142" s="32" t="e">
        <f ca="1"/>
        <v>#NAME?</v>
      </c>
      <c r="CO1142" s="32" t="e">
        <f ca="1"/>
        <v>#NAME?</v>
      </c>
      <c r="CP1142" s="32" t="e">
        <f ca="1"/>
        <v>#NAME?</v>
      </c>
      <c r="CQ1142" s="32" t="e">
        <f ca="1"/>
        <v>#NAME?</v>
      </c>
      <c r="CR1142" s="30" t="e">
        <f ca="1"/>
        <v>#NAME?</v>
      </c>
      <c r="CS1142" s="30" t="str">
        <f ca="1">IFERROR(__xludf.DUMMYFUNCTION("""COMPUTED_VALUE"""),"")</f>
        <v/>
      </c>
    </row>
    <row r="1143" spans="1:97" ht="13">
      <c r="A1143" s="29"/>
      <c r="C1143" s="32"/>
      <c r="I1143" s="34"/>
      <c r="BP1143" s="29"/>
      <c r="CD1143" s="29"/>
      <c r="CJ1143" s="29"/>
      <c r="CM1143" s="30" t="str">
        <f ca="1">IFERROR(__xludf.DUMMYFUNCTION("""COMPUTED_VALUE"""),"")</f>
        <v/>
      </c>
      <c r="CN1143" s="32" t="e">
        <f ca="1"/>
        <v>#NAME?</v>
      </c>
      <c r="CO1143" s="32" t="e">
        <f ca="1"/>
        <v>#NAME?</v>
      </c>
      <c r="CP1143" s="32" t="e">
        <f ca="1"/>
        <v>#NAME?</v>
      </c>
      <c r="CQ1143" s="32" t="e">
        <f ca="1"/>
        <v>#NAME?</v>
      </c>
      <c r="CR1143" s="30" t="e">
        <f ca="1"/>
        <v>#NAME?</v>
      </c>
      <c r="CS1143" s="30" t="str">
        <f ca="1">IFERROR(__xludf.DUMMYFUNCTION("""COMPUTED_VALUE"""),"")</f>
        <v/>
      </c>
    </row>
    <row r="1144" spans="1:97" ht="13">
      <c r="A1144" s="29"/>
      <c r="C1144" s="32"/>
      <c r="I1144" s="34"/>
      <c r="BP1144" s="29"/>
      <c r="CD1144" s="29"/>
      <c r="CJ1144" s="29"/>
      <c r="CM1144" s="30" t="str">
        <f ca="1">IFERROR(__xludf.DUMMYFUNCTION("""COMPUTED_VALUE"""),"")</f>
        <v/>
      </c>
      <c r="CN1144" s="32" t="e">
        <f ca="1"/>
        <v>#NAME?</v>
      </c>
      <c r="CO1144" s="32" t="e">
        <f ca="1"/>
        <v>#NAME?</v>
      </c>
      <c r="CP1144" s="32" t="e">
        <f ca="1"/>
        <v>#NAME?</v>
      </c>
      <c r="CQ1144" s="32" t="e">
        <f ca="1"/>
        <v>#NAME?</v>
      </c>
      <c r="CR1144" s="30" t="e">
        <f ca="1"/>
        <v>#NAME?</v>
      </c>
      <c r="CS1144" s="30" t="str">
        <f ca="1">IFERROR(__xludf.DUMMYFUNCTION("""COMPUTED_VALUE"""),"")</f>
        <v/>
      </c>
    </row>
    <row r="1145" spans="1:97" ht="13">
      <c r="A1145" s="29"/>
      <c r="C1145" s="32"/>
      <c r="I1145" s="34"/>
      <c r="BP1145" s="29"/>
      <c r="CD1145" s="29"/>
      <c r="CJ1145" s="29"/>
      <c r="CM1145" s="30" t="str">
        <f ca="1">IFERROR(__xludf.DUMMYFUNCTION("""COMPUTED_VALUE"""),"")</f>
        <v/>
      </c>
      <c r="CN1145" s="32" t="e">
        <f ca="1"/>
        <v>#NAME?</v>
      </c>
      <c r="CO1145" s="32" t="e">
        <f ca="1"/>
        <v>#NAME?</v>
      </c>
      <c r="CP1145" s="32" t="e">
        <f ca="1"/>
        <v>#NAME?</v>
      </c>
      <c r="CQ1145" s="32" t="e">
        <f ca="1"/>
        <v>#NAME?</v>
      </c>
      <c r="CR1145" s="30" t="e">
        <f ca="1"/>
        <v>#NAME?</v>
      </c>
      <c r="CS1145" s="30" t="str">
        <f ca="1">IFERROR(__xludf.DUMMYFUNCTION("""COMPUTED_VALUE"""),"")</f>
        <v/>
      </c>
    </row>
    <row r="1146" spans="1:97" ht="13">
      <c r="A1146" s="29"/>
      <c r="C1146" s="32"/>
      <c r="I1146" s="34"/>
      <c r="BP1146" s="29"/>
      <c r="CD1146" s="29"/>
      <c r="CJ1146" s="29"/>
      <c r="CM1146" s="30" t="str">
        <f ca="1">IFERROR(__xludf.DUMMYFUNCTION("""COMPUTED_VALUE"""),"")</f>
        <v/>
      </c>
      <c r="CN1146" s="32" t="e">
        <f ca="1"/>
        <v>#NAME?</v>
      </c>
      <c r="CO1146" s="32" t="e">
        <f ca="1"/>
        <v>#NAME?</v>
      </c>
      <c r="CP1146" s="32" t="e">
        <f ca="1"/>
        <v>#NAME?</v>
      </c>
      <c r="CQ1146" s="32" t="e">
        <f ca="1"/>
        <v>#NAME?</v>
      </c>
      <c r="CR1146" s="30" t="e">
        <f ca="1"/>
        <v>#NAME?</v>
      </c>
      <c r="CS1146" s="30" t="str">
        <f ca="1">IFERROR(__xludf.DUMMYFUNCTION("""COMPUTED_VALUE"""),"")</f>
        <v/>
      </c>
    </row>
    <row r="1147" spans="1:97" ht="13">
      <c r="A1147" s="29"/>
      <c r="C1147" s="32"/>
      <c r="I1147" s="34"/>
      <c r="BP1147" s="29"/>
      <c r="CD1147" s="29"/>
      <c r="CJ1147" s="29"/>
      <c r="CM1147" s="30" t="str">
        <f ca="1">IFERROR(__xludf.DUMMYFUNCTION("""COMPUTED_VALUE"""),"")</f>
        <v/>
      </c>
      <c r="CN1147" s="32" t="e">
        <f ca="1"/>
        <v>#NAME?</v>
      </c>
      <c r="CO1147" s="32" t="e">
        <f ca="1"/>
        <v>#NAME?</v>
      </c>
      <c r="CP1147" s="32" t="e">
        <f ca="1"/>
        <v>#NAME?</v>
      </c>
      <c r="CQ1147" s="32" t="e">
        <f ca="1"/>
        <v>#NAME?</v>
      </c>
      <c r="CR1147" s="30" t="e">
        <f ca="1"/>
        <v>#NAME?</v>
      </c>
      <c r="CS1147" s="30" t="str">
        <f ca="1">IFERROR(__xludf.DUMMYFUNCTION("""COMPUTED_VALUE"""),"")</f>
        <v/>
      </c>
    </row>
    <row r="1148" spans="1:97" ht="13">
      <c r="A1148" s="29"/>
      <c r="C1148" s="32"/>
      <c r="I1148" s="34"/>
      <c r="BP1148" s="29"/>
      <c r="CD1148" s="29"/>
      <c r="CJ1148" s="29"/>
      <c r="CM1148" s="30" t="str">
        <f ca="1">IFERROR(__xludf.DUMMYFUNCTION("""COMPUTED_VALUE"""),"")</f>
        <v/>
      </c>
      <c r="CN1148" s="32" t="e">
        <f ca="1"/>
        <v>#NAME?</v>
      </c>
      <c r="CO1148" s="32" t="e">
        <f ca="1"/>
        <v>#NAME?</v>
      </c>
      <c r="CP1148" s="32" t="e">
        <f ca="1"/>
        <v>#NAME?</v>
      </c>
      <c r="CQ1148" s="32" t="e">
        <f ca="1"/>
        <v>#NAME?</v>
      </c>
      <c r="CR1148" s="30" t="e">
        <f ca="1"/>
        <v>#NAME?</v>
      </c>
      <c r="CS1148" s="30" t="str">
        <f ca="1">IFERROR(__xludf.DUMMYFUNCTION("""COMPUTED_VALUE"""),"")</f>
        <v/>
      </c>
    </row>
    <row r="1149" spans="1:97" ht="13">
      <c r="A1149" s="29"/>
      <c r="C1149" s="32"/>
      <c r="I1149" s="34"/>
      <c r="BP1149" s="29"/>
      <c r="CD1149" s="29"/>
      <c r="CJ1149" s="29"/>
      <c r="CM1149" s="30" t="str">
        <f ca="1">IFERROR(__xludf.DUMMYFUNCTION("""COMPUTED_VALUE"""),"")</f>
        <v/>
      </c>
      <c r="CN1149" s="32" t="e">
        <f ca="1"/>
        <v>#NAME?</v>
      </c>
      <c r="CO1149" s="32" t="e">
        <f ca="1"/>
        <v>#NAME?</v>
      </c>
      <c r="CP1149" s="32" t="e">
        <f ca="1"/>
        <v>#NAME?</v>
      </c>
      <c r="CQ1149" s="32" t="e">
        <f ca="1"/>
        <v>#NAME?</v>
      </c>
      <c r="CR1149" s="30" t="e">
        <f ca="1"/>
        <v>#NAME?</v>
      </c>
      <c r="CS1149" s="30" t="str">
        <f ca="1">IFERROR(__xludf.DUMMYFUNCTION("""COMPUTED_VALUE"""),"")</f>
        <v/>
      </c>
    </row>
    <row r="1150" spans="1:97" ht="13">
      <c r="A1150" s="29"/>
      <c r="C1150" s="32"/>
      <c r="I1150" s="34"/>
      <c r="BP1150" s="29"/>
      <c r="CD1150" s="29"/>
      <c r="CJ1150" s="29"/>
      <c r="CM1150" s="30" t="str">
        <f ca="1">IFERROR(__xludf.DUMMYFUNCTION("""COMPUTED_VALUE"""),"")</f>
        <v/>
      </c>
      <c r="CN1150" s="32" t="e">
        <f ca="1"/>
        <v>#NAME?</v>
      </c>
      <c r="CO1150" s="32" t="e">
        <f ca="1"/>
        <v>#NAME?</v>
      </c>
      <c r="CP1150" s="32" t="e">
        <f ca="1"/>
        <v>#NAME?</v>
      </c>
      <c r="CQ1150" s="32" t="e">
        <f ca="1"/>
        <v>#NAME?</v>
      </c>
      <c r="CR1150" s="30" t="e">
        <f ca="1"/>
        <v>#NAME?</v>
      </c>
      <c r="CS1150" s="30" t="str">
        <f ca="1">IFERROR(__xludf.DUMMYFUNCTION("""COMPUTED_VALUE"""),"")</f>
        <v/>
      </c>
    </row>
    <row r="1151" spans="1:97" ht="13">
      <c r="A1151" s="29"/>
      <c r="C1151" s="32"/>
      <c r="I1151" s="34"/>
      <c r="BP1151" s="29"/>
      <c r="CD1151" s="29"/>
      <c r="CJ1151" s="29"/>
      <c r="CM1151" s="30" t="str">
        <f ca="1">IFERROR(__xludf.DUMMYFUNCTION("""COMPUTED_VALUE"""),"")</f>
        <v/>
      </c>
      <c r="CN1151" s="32" t="e">
        <f ca="1"/>
        <v>#NAME?</v>
      </c>
      <c r="CO1151" s="32" t="e">
        <f ca="1"/>
        <v>#NAME?</v>
      </c>
      <c r="CP1151" s="32" t="e">
        <f ca="1"/>
        <v>#NAME?</v>
      </c>
      <c r="CQ1151" s="32" t="e">
        <f ca="1"/>
        <v>#NAME?</v>
      </c>
      <c r="CR1151" s="30" t="e">
        <f ca="1"/>
        <v>#NAME?</v>
      </c>
      <c r="CS1151" s="30" t="str">
        <f ca="1">IFERROR(__xludf.DUMMYFUNCTION("""COMPUTED_VALUE"""),"")</f>
        <v/>
      </c>
    </row>
    <row r="1152" spans="1:97" ht="13">
      <c r="A1152" s="29"/>
      <c r="C1152" s="32"/>
      <c r="I1152" s="34"/>
      <c r="BP1152" s="29"/>
      <c r="CD1152" s="29"/>
      <c r="CJ1152" s="29"/>
      <c r="CM1152" s="30" t="str">
        <f ca="1">IFERROR(__xludf.DUMMYFUNCTION("""COMPUTED_VALUE"""),"")</f>
        <v/>
      </c>
      <c r="CN1152" s="32" t="e">
        <f ca="1"/>
        <v>#NAME?</v>
      </c>
      <c r="CO1152" s="32" t="e">
        <f ca="1"/>
        <v>#NAME?</v>
      </c>
      <c r="CP1152" s="32" t="e">
        <f ca="1"/>
        <v>#NAME?</v>
      </c>
      <c r="CQ1152" s="32" t="e">
        <f ca="1"/>
        <v>#NAME?</v>
      </c>
      <c r="CR1152" s="30" t="e">
        <f ca="1"/>
        <v>#NAME?</v>
      </c>
      <c r="CS1152" s="30" t="str">
        <f ca="1">IFERROR(__xludf.DUMMYFUNCTION("""COMPUTED_VALUE"""),"")</f>
        <v/>
      </c>
    </row>
    <row r="1153" spans="1:97" ht="13">
      <c r="A1153" s="29"/>
      <c r="C1153" s="32"/>
      <c r="I1153" s="34"/>
      <c r="BP1153" s="29"/>
      <c r="CD1153" s="29"/>
      <c r="CJ1153" s="29"/>
      <c r="CM1153" s="30" t="str">
        <f ca="1">IFERROR(__xludf.DUMMYFUNCTION("""COMPUTED_VALUE"""),"")</f>
        <v/>
      </c>
      <c r="CN1153" s="32" t="e">
        <f ca="1"/>
        <v>#NAME?</v>
      </c>
      <c r="CO1153" s="32" t="e">
        <f ca="1"/>
        <v>#NAME?</v>
      </c>
      <c r="CP1153" s="32" t="e">
        <f ca="1"/>
        <v>#NAME?</v>
      </c>
      <c r="CQ1153" s="32" t="e">
        <f ca="1"/>
        <v>#NAME?</v>
      </c>
      <c r="CR1153" s="30" t="e">
        <f ca="1"/>
        <v>#NAME?</v>
      </c>
      <c r="CS1153" s="30" t="str">
        <f ca="1">IFERROR(__xludf.DUMMYFUNCTION("""COMPUTED_VALUE"""),"")</f>
        <v/>
      </c>
    </row>
    <row r="1154" spans="1:97" ht="13">
      <c r="A1154" s="29"/>
      <c r="C1154" s="32"/>
      <c r="I1154" s="34"/>
      <c r="BP1154" s="29"/>
      <c r="CD1154" s="29"/>
      <c r="CJ1154" s="29"/>
      <c r="CM1154" s="30" t="str">
        <f ca="1">IFERROR(__xludf.DUMMYFUNCTION("""COMPUTED_VALUE"""),"")</f>
        <v/>
      </c>
      <c r="CN1154" s="32" t="e">
        <f ca="1"/>
        <v>#NAME?</v>
      </c>
      <c r="CO1154" s="32" t="e">
        <f ca="1"/>
        <v>#NAME?</v>
      </c>
      <c r="CP1154" s="32" t="e">
        <f ca="1"/>
        <v>#NAME?</v>
      </c>
      <c r="CQ1154" s="32" t="e">
        <f ca="1"/>
        <v>#NAME?</v>
      </c>
      <c r="CR1154" s="30" t="e">
        <f ca="1"/>
        <v>#NAME?</v>
      </c>
      <c r="CS1154" s="30" t="str">
        <f ca="1">IFERROR(__xludf.DUMMYFUNCTION("""COMPUTED_VALUE"""),"")</f>
        <v/>
      </c>
    </row>
    <row r="1155" spans="1:97" ht="13">
      <c r="A1155" s="29"/>
      <c r="C1155" s="32"/>
      <c r="I1155" s="34"/>
      <c r="BP1155" s="29"/>
      <c r="CD1155" s="29"/>
      <c r="CJ1155" s="29"/>
      <c r="CM1155" s="30" t="str">
        <f ca="1">IFERROR(__xludf.DUMMYFUNCTION("""COMPUTED_VALUE"""),"")</f>
        <v/>
      </c>
      <c r="CN1155" s="32" t="e">
        <f ca="1"/>
        <v>#NAME?</v>
      </c>
      <c r="CO1155" s="32" t="e">
        <f ca="1"/>
        <v>#NAME?</v>
      </c>
      <c r="CP1155" s="32" t="e">
        <f ca="1"/>
        <v>#NAME?</v>
      </c>
      <c r="CQ1155" s="32" t="e">
        <f ca="1"/>
        <v>#NAME?</v>
      </c>
      <c r="CR1155" s="30" t="e">
        <f ca="1"/>
        <v>#NAME?</v>
      </c>
      <c r="CS1155" s="30" t="str">
        <f ca="1">IFERROR(__xludf.DUMMYFUNCTION("""COMPUTED_VALUE"""),"")</f>
        <v/>
      </c>
    </row>
    <row r="1156" spans="1:97" ht="13">
      <c r="A1156" s="29"/>
      <c r="C1156" s="32"/>
      <c r="I1156" s="34"/>
      <c r="BP1156" s="29"/>
      <c r="CD1156" s="29"/>
      <c r="CJ1156" s="29"/>
      <c r="CM1156" s="30" t="str">
        <f ca="1">IFERROR(__xludf.DUMMYFUNCTION("""COMPUTED_VALUE"""),"")</f>
        <v/>
      </c>
      <c r="CN1156" s="32" t="e">
        <f ca="1"/>
        <v>#NAME?</v>
      </c>
      <c r="CO1156" s="32" t="e">
        <f ca="1"/>
        <v>#NAME?</v>
      </c>
      <c r="CP1156" s="32" t="e">
        <f ca="1"/>
        <v>#NAME?</v>
      </c>
      <c r="CQ1156" s="32" t="e">
        <f ca="1"/>
        <v>#NAME?</v>
      </c>
      <c r="CR1156" s="30" t="e">
        <f ca="1"/>
        <v>#NAME?</v>
      </c>
      <c r="CS1156" s="30" t="str">
        <f ca="1">IFERROR(__xludf.DUMMYFUNCTION("""COMPUTED_VALUE"""),"")</f>
        <v/>
      </c>
    </row>
    <row r="1157" spans="1:97" ht="13">
      <c r="A1157" s="29"/>
      <c r="C1157" s="32"/>
      <c r="I1157" s="34"/>
      <c r="BP1157" s="29"/>
      <c r="CD1157" s="29"/>
      <c r="CJ1157" s="29"/>
      <c r="CM1157" s="30" t="str">
        <f ca="1">IFERROR(__xludf.DUMMYFUNCTION("""COMPUTED_VALUE"""),"")</f>
        <v/>
      </c>
      <c r="CN1157" s="32" t="e">
        <f ca="1"/>
        <v>#NAME?</v>
      </c>
      <c r="CO1157" s="32" t="e">
        <f ca="1"/>
        <v>#NAME?</v>
      </c>
      <c r="CP1157" s="32" t="e">
        <f ca="1"/>
        <v>#NAME?</v>
      </c>
      <c r="CQ1157" s="32" t="e">
        <f ca="1"/>
        <v>#NAME?</v>
      </c>
      <c r="CR1157" s="30" t="e">
        <f ca="1"/>
        <v>#NAME?</v>
      </c>
      <c r="CS1157" s="30" t="str">
        <f ca="1">IFERROR(__xludf.DUMMYFUNCTION("""COMPUTED_VALUE"""),"")</f>
        <v/>
      </c>
    </row>
    <row r="1158" spans="1:97" ht="13">
      <c r="A1158" s="29"/>
      <c r="C1158" s="32"/>
      <c r="I1158" s="34"/>
      <c r="BP1158" s="29"/>
      <c r="CD1158" s="29"/>
      <c r="CJ1158" s="29"/>
      <c r="CM1158" s="30" t="str">
        <f ca="1">IFERROR(__xludf.DUMMYFUNCTION("""COMPUTED_VALUE"""),"")</f>
        <v/>
      </c>
      <c r="CN1158" s="32" t="e">
        <f ca="1"/>
        <v>#NAME?</v>
      </c>
      <c r="CO1158" s="32" t="e">
        <f ca="1"/>
        <v>#NAME?</v>
      </c>
      <c r="CP1158" s="32" t="e">
        <f ca="1"/>
        <v>#NAME?</v>
      </c>
      <c r="CQ1158" s="32" t="e">
        <f ca="1"/>
        <v>#NAME?</v>
      </c>
      <c r="CR1158" s="30" t="e">
        <f ca="1"/>
        <v>#NAME?</v>
      </c>
      <c r="CS1158" s="30" t="str">
        <f ca="1">IFERROR(__xludf.DUMMYFUNCTION("""COMPUTED_VALUE"""),"")</f>
        <v/>
      </c>
    </row>
    <row r="1159" spans="1:97" ht="13">
      <c r="A1159" s="29"/>
      <c r="C1159" s="32"/>
      <c r="I1159" s="34"/>
      <c r="BP1159" s="29"/>
      <c r="CD1159" s="29"/>
      <c r="CJ1159" s="29"/>
      <c r="CM1159" s="30" t="str">
        <f ca="1">IFERROR(__xludf.DUMMYFUNCTION("""COMPUTED_VALUE"""),"")</f>
        <v/>
      </c>
      <c r="CN1159" s="32" t="e">
        <f ca="1"/>
        <v>#NAME?</v>
      </c>
      <c r="CO1159" s="32" t="e">
        <f ca="1"/>
        <v>#NAME?</v>
      </c>
      <c r="CP1159" s="32" t="e">
        <f ca="1"/>
        <v>#NAME?</v>
      </c>
      <c r="CQ1159" s="32" t="e">
        <f ca="1"/>
        <v>#NAME?</v>
      </c>
      <c r="CR1159" s="30" t="e">
        <f ca="1"/>
        <v>#NAME?</v>
      </c>
      <c r="CS1159" s="30" t="str">
        <f ca="1">IFERROR(__xludf.DUMMYFUNCTION("""COMPUTED_VALUE"""),"")</f>
        <v/>
      </c>
    </row>
    <row r="1160" spans="1:97" ht="13">
      <c r="A1160" s="29"/>
      <c r="C1160" s="32"/>
      <c r="I1160" s="34"/>
      <c r="BP1160" s="29"/>
      <c r="CD1160" s="29"/>
      <c r="CJ1160" s="29"/>
      <c r="CM1160" s="30" t="str">
        <f ca="1">IFERROR(__xludf.DUMMYFUNCTION("""COMPUTED_VALUE"""),"")</f>
        <v/>
      </c>
      <c r="CN1160" s="32" t="e">
        <f ca="1"/>
        <v>#NAME?</v>
      </c>
      <c r="CO1160" s="32" t="e">
        <f ca="1"/>
        <v>#NAME?</v>
      </c>
      <c r="CP1160" s="32" t="e">
        <f ca="1"/>
        <v>#NAME?</v>
      </c>
      <c r="CQ1160" s="32" t="e">
        <f ca="1"/>
        <v>#NAME?</v>
      </c>
      <c r="CR1160" s="30" t="e">
        <f ca="1"/>
        <v>#NAME?</v>
      </c>
      <c r="CS1160" s="30" t="str">
        <f ca="1">IFERROR(__xludf.DUMMYFUNCTION("""COMPUTED_VALUE"""),"")</f>
        <v/>
      </c>
    </row>
    <row r="1161" spans="1:97" ht="13">
      <c r="A1161" s="29"/>
      <c r="C1161" s="32"/>
      <c r="I1161" s="34"/>
      <c r="BP1161" s="29"/>
      <c r="CD1161" s="29"/>
      <c r="CJ1161" s="29"/>
      <c r="CM1161" s="30" t="str">
        <f ca="1">IFERROR(__xludf.DUMMYFUNCTION("""COMPUTED_VALUE"""),"")</f>
        <v/>
      </c>
      <c r="CN1161" s="32" t="e">
        <f ca="1"/>
        <v>#NAME?</v>
      </c>
      <c r="CO1161" s="32" t="e">
        <f ca="1"/>
        <v>#NAME?</v>
      </c>
      <c r="CP1161" s="32" t="e">
        <f ca="1"/>
        <v>#NAME?</v>
      </c>
      <c r="CQ1161" s="32" t="e">
        <f ca="1"/>
        <v>#NAME?</v>
      </c>
      <c r="CR1161" s="30" t="e">
        <f ca="1"/>
        <v>#NAME?</v>
      </c>
      <c r="CS1161" s="30" t="str">
        <f ca="1">IFERROR(__xludf.DUMMYFUNCTION("""COMPUTED_VALUE"""),"")</f>
        <v/>
      </c>
    </row>
    <row r="1162" spans="1:97" ht="13">
      <c r="A1162" s="29"/>
      <c r="C1162" s="32"/>
      <c r="I1162" s="34"/>
      <c r="BP1162" s="29"/>
      <c r="CD1162" s="29"/>
      <c r="CJ1162" s="29"/>
      <c r="CM1162" s="30" t="str">
        <f ca="1">IFERROR(__xludf.DUMMYFUNCTION("""COMPUTED_VALUE"""),"")</f>
        <v/>
      </c>
      <c r="CN1162" s="32" t="e">
        <f ca="1"/>
        <v>#NAME?</v>
      </c>
      <c r="CO1162" s="32" t="e">
        <f ca="1"/>
        <v>#NAME?</v>
      </c>
      <c r="CP1162" s="32" t="e">
        <f ca="1"/>
        <v>#NAME?</v>
      </c>
      <c r="CQ1162" s="32" t="e">
        <f ca="1"/>
        <v>#NAME?</v>
      </c>
      <c r="CR1162" s="30" t="e">
        <f ca="1"/>
        <v>#NAME?</v>
      </c>
      <c r="CS1162" s="30" t="str">
        <f ca="1">IFERROR(__xludf.DUMMYFUNCTION("""COMPUTED_VALUE"""),"")</f>
        <v/>
      </c>
    </row>
    <row r="1163" spans="1:97" ht="13">
      <c r="A1163" s="29"/>
      <c r="C1163" s="32"/>
      <c r="I1163" s="34"/>
      <c r="BP1163" s="29"/>
      <c r="CD1163" s="29"/>
      <c r="CJ1163" s="29"/>
      <c r="CM1163" s="30" t="str">
        <f ca="1">IFERROR(__xludf.DUMMYFUNCTION("""COMPUTED_VALUE"""),"")</f>
        <v/>
      </c>
      <c r="CN1163" s="32" t="e">
        <f ca="1"/>
        <v>#NAME?</v>
      </c>
      <c r="CO1163" s="32" t="e">
        <f ca="1"/>
        <v>#NAME?</v>
      </c>
      <c r="CP1163" s="32" t="e">
        <f ca="1"/>
        <v>#NAME?</v>
      </c>
      <c r="CQ1163" s="32" t="e">
        <f ca="1"/>
        <v>#NAME?</v>
      </c>
      <c r="CR1163" s="30" t="e">
        <f ca="1"/>
        <v>#NAME?</v>
      </c>
      <c r="CS1163" s="30" t="str">
        <f ca="1">IFERROR(__xludf.DUMMYFUNCTION("""COMPUTED_VALUE"""),"")</f>
        <v/>
      </c>
    </row>
    <row r="1164" spans="1:97" ht="13">
      <c r="A1164" s="29"/>
      <c r="C1164" s="32"/>
      <c r="I1164" s="34"/>
      <c r="BP1164" s="29"/>
      <c r="CD1164" s="29"/>
      <c r="CJ1164" s="29"/>
      <c r="CM1164" s="30" t="str">
        <f ca="1">IFERROR(__xludf.DUMMYFUNCTION("""COMPUTED_VALUE"""),"")</f>
        <v/>
      </c>
      <c r="CN1164" s="32" t="e">
        <f ca="1"/>
        <v>#NAME?</v>
      </c>
      <c r="CO1164" s="32" t="e">
        <f ca="1"/>
        <v>#NAME?</v>
      </c>
      <c r="CP1164" s="32" t="e">
        <f ca="1"/>
        <v>#NAME?</v>
      </c>
      <c r="CQ1164" s="32" t="e">
        <f ca="1"/>
        <v>#NAME?</v>
      </c>
      <c r="CR1164" s="30" t="e">
        <f ca="1"/>
        <v>#NAME?</v>
      </c>
      <c r="CS1164" s="30" t="str">
        <f ca="1">IFERROR(__xludf.DUMMYFUNCTION("""COMPUTED_VALUE"""),"")</f>
        <v/>
      </c>
    </row>
    <row r="1165" spans="1:97" ht="13">
      <c r="A1165" s="29"/>
      <c r="C1165" s="32"/>
      <c r="I1165" s="34"/>
      <c r="BP1165" s="29"/>
      <c r="CD1165" s="29"/>
      <c r="CJ1165" s="29"/>
      <c r="CM1165" s="30" t="str">
        <f ca="1">IFERROR(__xludf.DUMMYFUNCTION("""COMPUTED_VALUE"""),"")</f>
        <v/>
      </c>
      <c r="CN1165" s="32" t="e">
        <f ca="1"/>
        <v>#NAME?</v>
      </c>
      <c r="CO1165" s="32" t="e">
        <f ca="1"/>
        <v>#NAME?</v>
      </c>
      <c r="CP1165" s="32" t="e">
        <f ca="1"/>
        <v>#NAME?</v>
      </c>
      <c r="CQ1165" s="32" t="e">
        <f ca="1"/>
        <v>#NAME?</v>
      </c>
      <c r="CR1165" s="30" t="e">
        <f ca="1"/>
        <v>#NAME?</v>
      </c>
      <c r="CS1165" s="30" t="str">
        <f ca="1">IFERROR(__xludf.DUMMYFUNCTION("""COMPUTED_VALUE"""),"")</f>
        <v/>
      </c>
    </row>
    <row r="1166" spans="1:97" ht="13">
      <c r="A1166" s="29"/>
      <c r="C1166" s="32"/>
      <c r="I1166" s="34"/>
      <c r="BP1166" s="29"/>
      <c r="CD1166" s="29"/>
      <c r="CJ1166" s="29"/>
      <c r="CM1166" s="30" t="str">
        <f ca="1">IFERROR(__xludf.DUMMYFUNCTION("""COMPUTED_VALUE"""),"")</f>
        <v/>
      </c>
      <c r="CN1166" s="32" t="e">
        <f ca="1"/>
        <v>#NAME?</v>
      </c>
      <c r="CO1166" s="32" t="e">
        <f ca="1"/>
        <v>#NAME?</v>
      </c>
      <c r="CP1166" s="32" t="e">
        <f ca="1"/>
        <v>#NAME?</v>
      </c>
      <c r="CQ1166" s="32" t="e">
        <f ca="1"/>
        <v>#NAME?</v>
      </c>
      <c r="CR1166" s="30" t="e">
        <f ca="1"/>
        <v>#NAME?</v>
      </c>
      <c r="CS1166" s="30" t="str">
        <f ca="1">IFERROR(__xludf.DUMMYFUNCTION("""COMPUTED_VALUE"""),"")</f>
        <v/>
      </c>
    </row>
    <row r="1167" spans="1:97" ht="13">
      <c r="A1167" s="29"/>
      <c r="C1167" s="32"/>
      <c r="I1167" s="34"/>
      <c r="BP1167" s="29"/>
      <c r="CD1167" s="29"/>
      <c r="CJ1167" s="29"/>
      <c r="CM1167" s="30" t="str">
        <f ca="1">IFERROR(__xludf.DUMMYFUNCTION("""COMPUTED_VALUE"""),"")</f>
        <v/>
      </c>
      <c r="CN1167" s="32" t="e">
        <f ca="1"/>
        <v>#NAME?</v>
      </c>
      <c r="CO1167" s="32" t="e">
        <f ca="1"/>
        <v>#NAME?</v>
      </c>
      <c r="CP1167" s="32" t="e">
        <f ca="1"/>
        <v>#NAME?</v>
      </c>
      <c r="CQ1167" s="32" t="e">
        <f ca="1"/>
        <v>#NAME?</v>
      </c>
      <c r="CR1167" s="30" t="e">
        <f ca="1"/>
        <v>#NAME?</v>
      </c>
      <c r="CS1167" s="30" t="str">
        <f ca="1">IFERROR(__xludf.DUMMYFUNCTION("""COMPUTED_VALUE"""),"")</f>
        <v/>
      </c>
    </row>
    <row r="1168" spans="1:97" ht="13">
      <c r="A1168" s="29"/>
      <c r="C1168" s="32"/>
      <c r="I1168" s="34"/>
      <c r="BP1168" s="29"/>
      <c r="CD1168" s="29"/>
      <c r="CJ1168" s="29"/>
      <c r="CM1168" s="30" t="str">
        <f ca="1">IFERROR(__xludf.DUMMYFUNCTION("""COMPUTED_VALUE"""),"")</f>
        <v/>
      </c>
      <c r="CN1168" s="32" t="e">
        <f ca="1"/>
        <v>#NAME?</v>
      </c>
      <c r="CO1168" s="32" t="e">
        <f ca="1"/>
        <v>#NAME?</v>
      </c>
      <c r="CP1168" s="32" t="e">
        <f ca="1"/>
        <v>#NAME?</v>
      </c>
      <c r="CQ1168" s="32" t="e">
        <f ca="1"/>
        <v>#NAME?</v>
      </c>
      <c r="CR1168" s="30" t="e">
        <f ca="1"/>
        <v>#NAME?</v>
      </c>
      <c r="CS1168" s="30" t="str">
        <f ca="1">IFERROR(__xludf.DUMMYFUNCTION("""COMPUTED_VALUE"""),"")</f>
        <v/>
      </c>
    </row>
    <row r="1169" spans="1:97" ht="13">
      <c r="A1169" s="29"/>
      <c r="C1169" s="32"/>
      <c r="I1169" s="34"/>
      <c r="BP1169" s="29"/>
      <c r="CD1169" s="29"/>
      <c r="CJ1169" s="29"/>
      <c r="CM1169" s="30" t="str">
        <f ca="1">IFERROR(__xludf.DUMMYFUNCTION("""COMPUTED_VALUE"""),"")</f>
        <v/>
      </c>
      <c r="CN1169" s="32" t="e">
        <f ca="1"/>
        <v>#NAME?</v>
      </c>
      <c r="CO1169" s="32" t="e">
        <f ca="1"/>
        <v>#NAME?</v>
      </c>
      <c r="CP1169" s="32" t="e">
        <f ca="1"/>
        <v>#NAME?</v>
      </c>
      <c r="CQ1169" s="32" t="e">
        <f ca="1"/>
        <v>#NAME?</v>
      </c>
      <c r="CR1169" s="30" t="e">
        <f ca="1"/>
        <v>#NAME?</v>
      </c>
      <c r="CS1169" s="30" t="str">
        <f ca="1">IFERROR(__xludf.DUMMYFUNCTION("""COMPUTED_VALUE"""),"")</f>
        <v/>
      </c>
    </row>
    <row r="1170" spans="1:97" ht="13">
      <c r="A1170" s="29"/>
      <c r="C1170" s="32"/>
      <c r="I1170" s="34"/>
      <c r="BP1170" s="29"/>
      <c r="CD1170" s="29"/>
      <c r="CJ1170" s="29"/>
      <c r="CM1170" s="30" t="str">
        <f ca="1">IFERROR(__xludf.DUMMYFUNCTION("""COMPUTED_VALUE"""),"")</f>
        <v/>
      </c>
      <c r="CN1170" s="32" t="e">
        <f ca="1"/>
        <v>#NAME?</v>
      </c>
      <c r="CO1170" s="32" t="e">
        <f ca="1"/>
        <v>#NAME?</v>
      </c>
      <c r="CP1170" s="32" t="e">
        <f ca="1"/>
        <v>#NAME?</v>
      </c>
      <c r="CQ1170" s="32" t="e">
        <f ca="1"/>
        <v>#NAME?</v>
      </c>
      <c r="CR1170" s="30" t="e">
        <f ca="1"/>
        <v>#NAME?</v>
      </c>
      <c r="CS1170" s="30" t="str">
        <f ca="1">IFERROR(__xludf.DUMMYFUNCTION("""COMPUTED_VALUE"""),"")</f>
        <v/>
      </c>
    </row>
    <row r="1171" spans="1:97" ht="13">
      <c r="A1171" s="29"/>
      <c r="C1171" s="32"/>
      <c r="I1171" s="34"/>
      <c r="BP1171" s="29"/>
      <c r="CD1171" s="29"/>
      <c r="CJ1171" s="29"/>
      <c r="CM1171" s="30" t="str">
        <f ca="1">IFERROR(__xludf.DUMMYFUNCTION("""COMPUTED_VALUE"""),"")</f>
        <v/>
      </c>
      <c r="CN1171" s="32" t="e">
        <f ca="1"/>
        <v>#NAME?</v>
      </c>
      <c r="CO1171" s="32" t="e">
        <f ca="1"/>
        <v>#NAME?</v>
      </c>
      <c r="CP1171" s="32" t="e">
        <f ca="1"/>
        <v>#NAME?</v>
      </c>
      <c r="CQ1171" s="32" t="e">
        <f ca="1"/>
        <v>#NAME?</v>
      </c>
      <c r="CR1171" s="30" t="e">
        <f ca="1"/>
        <v>#NAME?</v>
      </c>
      <c r="CS1171" s="30" t="str">
        <f ca="1">IFERROR(__xludf.DUMMYFUNCTION("""COMPUTED_VALUE"""),"")</f>
        <v/>
      </c>
    </row>
    <row r="1172" spans="1:97" ht="13">
      <c r="A1172" s="29"/>
      <c r="C1172" s="32"/>
      <c r="I1172" s="34"/>
      <c r="BP1172" s="29"/>
      <c r="CD1172" s="29"/>
      <c r="CJ1172" s="29"/>
      <c r="CM1172" s="30" t="str">
        <f ca="1">IFERROR(__xludf.DUMMYFUNCTION("""COMPUTED_VALUE"""),"")</f>
        <v/>
      </c>
      <c r="CN1172" s="32" t="e">
        <f ca="1"/>
        <v>#NAME?</v>
      </c>
      <c r="CO1172" s="32" t="e">
        <f ca="1"/>
        <v>#NAME?</v>
      </c>
      <c r="CP1172" s="32" t="e">
        <f ca="1"/>
        <v>#NAME?</v>
      </c>
      <c r="CQ1172" s="32" t="e">
        <f ca="1"/>
        <v>#NAME?</v>
      </c>
      <c r="CR1172" s="30" t="e">
        <f ca="1"/>
        <v>#NAME?</v>
      </c>
      <c r="CS1172" s="30" t="str">
        <f ca="1">IFERROR(__xludf.DUMMYFUNCTION("""COMPUTED_VALUE"""),"")</f>
        <v/>
      </c>
    </row>
    <row r="1173" spans="1:97" ht="13">
      <c r="A1173" s="29"/>
      <c r="C1173" s="32"/>
      <c r="I1173" s="34"/>
      <c r="BP1173" s="29"/>
      <c r="CD1173" s="29"/>
      <c r="CJ1173" s="29"/>
      <c r="CM1173" s="30" t="str">
        <f ca="1">IFERROR(__xludf.DUMMYFUNCTION("""COMPUTED_VALUE"""),"")</f>
        <v/>
      </c>
      <c r="CN1173" s="32" t="e">
        <f ca="1"/>
        <v>#NAME?</v>
      </c>
      <c r="CO1173" s="32" t="e">
        <f ca="1"/>
        <v>#NAME?</v>
      </c>
      <c r="CP1173" s="32" t="e">
        <f ca="1"/>
        <v>#NAME?</v>
      </c>
      <c r="CQ1173" s="32" t="e">
        <f ca="1"/>
        <v>#NAME?</v>
      </c>
      <c r="CR1173" s="30" t="e">
        <f ca="1"/>
        <v>#NAME?</v>
      </c>
      <c r="CS1173" s="30" t="str">
        <f ca="1">IFERROR(__xludf.DUMMYFUNCTION("""COMPUTED_VALUE"""),"")</f>
        <v/>
      </c>
    </row>
    <row r="1174" spans="1:97" ht="13">
      <c r="A1174" s="29"/>
      <c r="C1174" s="32"/>
      <c r="I1174" s="34"/>
      <c r="BP1174" s="29"/>
      <c r="CD1174" s="29"/>
      <c r="CJ1174" s="29"/>
      <c r="CM1174" s="30" t="str">
        <f ca="1">IFERROR(__xludf.DUMMYFUNCTION("""COMPUTED_VALUE"""),"")</f>
        <v/>
      </c>
      <c r="CN1174" s="32" t="e">
        <f ca="1"/>
        <v>#NAME?</v>
      </c>
      <c r="CO1174" s="32" t="e">
        <f ca="1"/>
        <v>#NAME?</v>
      </c>
      <c r="CP1174" s="32" t="e">
        <f ca="1"/>
        <v>#NAME?</v>
      </c>
      <c r="CQ1174" s="32" t="e">
        <f ca="1"/>
        <v>#NAME?</v>
      </c>
      <c r="CR1174" s="30" t="e">
        <f ca="1"/>
        <v>#NAME?</v>
      </c>
      <c r="CS1174" s="30" t="str">
        <f ca="1">IFERROR(__xludf.DUMMYFUNCTION("""COMPUTED_VALUE"""),"")</f>
        <v/>
      </c>
    </row>
    <row r="1175" spans="1:97" ht="13">
      <c r="A1175" s="29"/>
      <c r="C1175" s="32"/>
      <c r="I1175" s="34"/>
      <c r="BP1175" s="29"/>
      <c r="CD1175" s="29"/>
      <c r="CJ1175" s="29"/>
      <c r="CM1175" s="30" t="str">
        <f ca="1">IFERROR(__xludf.DUMMYFUNCTION("""COMPUTED_VALUE"""),"")</f>
        <v/>
      </c>
      <c r="CN1175" s="32" t="e">
        <f ca="1"/>
        <v>#NAME?</v>
      </c>
      <c r="CO1175" s="32" t="e">
        <f ca="1"/>
        <v>#NAME?</v>
      </c>
      <c r="CP1175" s="32" t="e">
        <f ca="1"/>
        <v>#NAME?</v>
      </c>
      <c r="CQ1175" s="32" t="e">
        <f ca="1"/>
        <v>#NAME?</v>
      </c>
      <c r="CR1175" s="30" t="e">
        <f ca="1"/>
        <v>#NAME?</v>
      </c>
      <c r="CS1175" s="30" t="str">
        <f ca="1">IFERROR(__xludf.DUMMYFUNCTION("""COMPUTED_VALUE"""),"")</f>
        <v/>
      </c>
    </row>
    <row r="1176" spans="1:97" ht="13">
      <c r="A1176" s="29"/>
      <c r="C1176" s="32"/>
      <c r="I1176" s="34"/>
      <c r="BP1176" s="29"/>
      <c r="CD1176" s="29"/>
      <c r="CJ1176" s="29"/>
      <c r="CM1176" s="30" t="str">
        <f ca="1">IFERROR(__xludf.DUMMYFUNCTION("""COMPUTED_VALUE"""),"")</f>
        <v/>
      </c>
      <c r="CN1176" s="32" t="e">
        <f ca="1"/>
        <v>#NAME?</v>
      </c>
      <c r="CO1176" s="32" t="e">
        <f ca="1"/>
        <v>#NAME?</v>
      </c>
      <c r="CP1176" s="32" t="e">
        <f ca="1"/>
        <v>#NAME?</v>
      </c>
      <c r="CQ1176" s="32" t="e">
        <f ca="1"/>
        <v>#NAME?</v>
      </c>
      <c r="CR1176" s="30" t="e">
        <f ca="1"/>
        <v>#NAME?</v>
      </c>
      <c r="CS1176" s="30" t="str">
        <f ca="1">IFERROR(__xludf.DUMMYFUNCTION("""COMPUTED_VALUE"""),"")</f>
        <v/>
      </c>
    </row>
    <row r="1177" spans="1:97" ht="13">
      <c r="A1177" s="29"/>
      <c r="C1177" s="32"/>
      <c r="I1177" s="34"/>
      <c r="BP1177" s="29"/>
      <c r="CD1177" s="29"/>
      <c r="CJ1177" s="29"/>
      <c r="CM1177" s="30" t="str">
        <f ca="1">IFERROR(__xludf.DUMMYFUNCTION("""COMPUTED_VALUE"""),"")</f>
        <v/>
      </c>
      <c r="CN1177" s="32" t="e">
        <f ca="1"/>
        <v>#NAME?</v>
      </c>
      <c r="CO1177" s="32" t="e">
        <f ca="1"/>
        <v>#NAME?</v>
      </c>
      <c r="CP1177" s="32" t="e">
        <f ca="1"/>
        <v>#NAME?</v>
      </c>
      <c r="CQ1177" s="32" t="e">
        <f ca="1"/>
        <v>#NAME?</v>
      </c>
      <c r="CR1177" s="30" t="e">
        <f ca="1"/>
        <v>#NAME?</v>
      </c>
      <c r="CS1177" s="30" t="str">
        <f ca="1">IFERROR(__xludf.DUMMYFUNCTION("""COMPUTED_VALUE"""),"")</f>
        <v/>
      </c>
    </row>
    <row r="1178" spans="1:97" ht="13">
      <c r="A1178" s="29"/>
      <c r="C1178" s="32"/>
      <c r="I1178" s="34"/>
      <c r="BP1178" s="29"/>
      <c r="CD1178" s="29"/>
      <c r="CJ1178" s="29"/>
      <c r="CM1178" s="30" t="str">
        <f ca="1">IFERROR(__xludf.DUMMYFUNCTION("""COMPUTED_VALUE"""),"")</f>
        <v/>
      </c>
      <c r="CN1178" s="32" t="e">
        <f ca="1"/>
        <v>#NAME?</v>
      </c>
      <c r="CO1178" s="32" t="e">
        <f ca="1"/>
        <v>#NAME?</v>
      </c>
      <c r="CP1178" s="32" t="e">
        <f ca="1"/>
        <v>#NAME?</v>
      </c>
      <c r="CQ1178" s="32" t="e">
        <f ca="1"/>
        <v>#NAME?</v>
      </c>
      <c r="CR1178" s="30" t="e">
        <f ca="1"/>
        <v>#NAME?</v>
      </c>
      <c r="CS1178" s="30" t="str">
        <f ca="1">IFERROR(__xludf.DUMMYFUNCTION("""COMPUTED_VALUE"""),"")</f>
        <v/>
      </c>
    </row>
    <row r="1179" spans="1:97" ht="13">
      <c r="A1179" s="29"/>
      <c r="C1179" s="32"/>
      <c r="I1179" s="34"/>
      <c r="BP1179" s="29"/>
      <c r="CD1179" s="29"/>
      <c r="CJ1179" s="29"/>
      <c r="CM1179" s="30" t="str">
        <f ca="1">IFERROR(__xludf.DUMMYFUNCTION("""COMPUTED_VALUE"""),"")</f>
        <v/>
      </c>
      <c r="CN1179" s="32" t="e">
        <f ca="1"/>
        <v>#NAME?</v>
      </c>
      <c r="CO1179" s="32" t="e">
        <f ca="1"/>
        <v>#NAME?</v>
      </c>
      <c r="CP1179" s="32" t="e">
        <f ca="1"/>
        <v>#NAME?</v>
      </c>
      <c r="CQ1179" s="32" t="e">
        <f ca="1"/>
        <v>#NAME?</v>
      </c>
      <c r="CR1179" s="30" t="e">
        <f ca="1"/>
        <v>#NAME?</v>
      </c>
      <c r="CS1179" s="30" t="str">
        <f ca="1">IFERROR(__xludf.DUMMYFUNCTION("""COMPUTED_VALUE"""),"")</f>
        <v/>
      </c>
    </row>
    <row r="1180" spans="1:97" ht="13">
      <c r="A1180" s="29"/>
      <c r="C1180" s="32"/>
      <c r="I1180" s="34"/>
      <c r="BP1180" s="29"/>
      <c r="CD1180" s="29"/>
      <c r="CJ1180" s="29"/>
      <c r="CM1180" s="30" t="str">
        <f ca="1">IFERROR(__xludf.DUMMYFUNCTION("""COMPUTED_VALUE"""),"")</f>
        <v/>
      </c>
      <c r="CN1180" s="32" t="e">
        <f ca="1"/>
        <v>#NAME?</v>
      </c>
      <c r="CO1180" s="32" t="e">
        <f ca="1"/>
        <v>#NAME?</v>
      </c>
      <c r="CP1180" s="32" t="e">
        <f ca="1"/>
        <v>#NAME?</v>
      </c>
      <c r="CQ1180" s="32" t="e">
        <f ca="1"/>
        <v>#NAME?</v>
      </c>
      <c r="CR1180" s="30" t="e">
        <f ca="1"/>
        <v>#NAME?</v>
      </c>
      <c r="CS1180" s="30" t="str">
        <f ca="1">IFERROR(__xludf.DUMMYFUNCTION("""COMPUTED_VALUE"""),"")</f>
        <v/>
      </c>
    </row>
    <row r="1181" spans="1:97" ht="13">
      <c r="A1181" s="29"/>
      <c r="C1181" s="32"/>
      <c r="I1181" s="34"/>
      <c r="BP1181" s="29"/>
      <c r="CD1181" s="29"/>
      <c r="CJ1181" s="29"/>
      <c r="CM1181" s="30" t="str">
        <f ca="1">IFERROR(__xludf.DUMMYFUNCTION("""COMPUTED_VALUE"""),"")</f>
        <v/>
      </c>
      <c r="CN1181" s="32" t="e">
        <f ca="1"/>
        <v>#NAME?</v>
      </c>
      <c r="CO1181" s="32" t="e">
        <f ca="1"/>
        <v>#NAME?</v>
      </c>
      <c r="CP1181" s="32" t="e">
        <f ca="1"/>
        <v>#NAME?</v>
      </c>
      <c r="CQ1181" s="32" t="e">
        <f ca="1"/>
        <v>#NAME?</v>
      </c>
      <c r="CR1181" s="30" t="e">
        <f ca="1"/>
        <v>#NAME?</v>
      </c>
      <c r="CS1181" s="30" t="str">
        <f ca="1">IFERROR(__xludf.DUMMYFUNCTION("""COMPUTED_VALUE"""),"")</f>
        <v/>
      </c>
    </row>
    <row r="1182" spans="1:97" ht="13">
      <c r="A1182" s="29"/>
      <c r="C1182" s="32"/>
      <c r="I1182" s="34"/>
      <c r="BP1182" s="29"/>
      <c r="CD1182" s="29"/>
      <c r="CJ1182" s="29"/>
      <c r="CM1182" s="30" t="str">
        <f ca="1">IFERROR(__xludf.DUMMYFUNCTION("""COMPUTED_VALUE"""),"")</f>
        <v/>
      </c>
      <c r="CN1182" s="32" t="e">
        <f ca="1"/>
        <v>#NAME?</v>
      </c>
      <c r="CO1182" s="32" t="e">
        <f ca="1"/>
        <v>#NAME?</v>
      </c>
      <c r="CP1182" s="32" t="e">
        <f ca="1"/>
        <v>#NAME?</v>
      </c>
      <c r="CQ1182" s="32" t="e">
        <f ca="1"/>
        <v>#NAME?</v>
      </c>
      <c r="CR1182" s="30" t="e">
        <f ca="1"/>
        <v>#NAME?</v>
      </c>
      <c r="CS1182" s="30" t="str">
        <f ca="1">IFERROR(__xludf.DUMMYFUNCTION("""COMPUTED_VALUE"""),"")</f>
        <v/>
      </c>
    </row>
    <row r="1183" spans="1:97" ht="13">
      <c r="A1183" s="29"/>
      <c r="C1183" s="32"/>
      <c r="I1183" s="34"/>
      <c r="BP1183" s="29"/>
      <c r="CD1183" s="29"/>
      <c r="CJ1183" s="29"/>
      <c r="CM1183" s="30" t="str">
        <f ca="1">IFERROR(__xludf.DUMMYFUNCTION("""COMPUTED_VALUE"""),"")</f>
        <v/>
      </c>
      <c r="CN1183" s="32" t="e">
        <f ca="1"/>
        <v>#NAME?</v>
      </c>
      <c r="CO1183" s="32" t="e">
        <f ca="1"/>
        <v>#NAME?</v>
      </c>
      <c r="CP1183" s="32" t="e">
        <f ca="1"/>
        <v>#NAME?</v>
      </c>
      <c r="CQ1183" s="32" t="e">
        <f ca="1"/>
        <v>#NAME?</v>
      </c>
      <c r="CR1183" s="30" t="e">
        <f ca="1"/>
        <v>#NAME?</v>
      </c>
      <c r="CS1183" s="30" t="str">
        <f ca="1">IFERROR(__xludf.DUMMYFUNCTION("""COMPUTED_VALUE"""),"")</f>
        <v/>
      </c>
    </row>
    <row r="1184" spans="1:97" ht="13">
      <c r="A1184" s="29"/>
      <c r="C1184" s="32"/>
      <c r="I1184" s="34"/>
      <c r="BP1184" s="29"/>
      <c r="CD1184" s="29"/>
      <c r="CJ1184" s="29"/>
      <c r="CM1184" s="30" t="str">
        <f ca="1">IFERROR(__xludf.DUMMYFUNCTION("""COMPUTED_VALUE"""),"")</f>
        <v/>
      </c>
      <c r="CN1184" s="32" t="e">
        <f ca="1"/>
        <v>#NAME?</v>
      </c>
      <c r="CO1184" s="32" t="e">
        <f ca="1"/>
        <v>#NAME?</v>
      </c>
      <c r="CP1184" s="32" t="e">
        <f ca="1"/>
        <v>#NAME?</v>
      </c>
      <c r="CQ1184" s="32" t="e">
        <f ca="1"/>
        <v>#NAME?</v>
      </c>
      <c r="CR1184" s="30" t="e">
        <f ca="1"/>
        <v>#NAME?</v>
      </c>
      <c r="CS1184" s="30" t="str">
        <f ca="1">IFERROR(__xludf.DUMMYFUNCTION("""COMPUTED_VALUE"""),"")</f>
        <v/>
      </c>
    </row>
    <row r="1185" spans="1:97" ht="13">
      <c r="A1185" s="29"/>
      <c r="C1185" s="32"/>
      <c r="I1185" s="34"/>
      <c r="BP1185" s="29"/>
      <c r="CD1185" s="29"/>
      <c r="CJ1185" s="29"/>
      <c r="CM1185" s="30" t="str">
        <f ca="1">IFERROR(__xludf.DUMMYFUNCTION("""COMPUTED_VALUE"""),"")</f>
        <v/>
      </c>
      <c r="CN1185" s="32" t="e">
        <f ca="1"/>
        <v>#NAME?</v>
      </c>
      <c r="CO1185" s="32" t="e">
        <f ca="1"/>
        <v>#NAME?</v>
      </c>
      <c r="CP1185" s="32" t="e">
        <f ca="1"/>
        <v>#NAME?</v>
      </c>
      <c r="CQ1185" s="32" t="e">
        <f ca="1"/>
        <v>#NAME?</v>
      </c>
      <c r="CR1185" s="30" t="e">
        <f ca="1"/>
        <v>#NAME?</v>
      </c>
      <c r="CS1185" s="30" t="str">
        <f ca="1">IFERROR(__xludf.DUMMYFUNCTION("""COMPUTED_VALUE"""),"")</f>
        <v/>
      </c>
    </row>
    <row r="1186" spans="1:97" ht="13">
      <c r="A1186" s="29"/>
      <c r="C1186" s="32"/>
      <c r="I1186" s="34"/>
      <c r="BP1186" s="29"/>
      <c r="CD1186" s="29"/>
      <c r="CJ1186" s="29"/>
      <c r="CM1186" s="30" t="str">
        <f ca="1">IFERROR(__xludf.DUMMYFUNCTION("""COMPUTED_VALUE"""),"")</f>
        <v/>
      </c>
      <c r="CN1186" s="32" t="e">
        <f ca="1"/>
        <v>#NAME?</v>
      </c>
      <c r="CO1186" s="32" t="e">
        <f ca="1"/>
        <v>#NAME?</v>
      </c>
      <c r="CP1186" s="32" t="e">
        <f ca="1"/>
        <v>#NAME?</v>
      </c>
      <c r="CQ1186" s="32" t="e">
        <f ca="1"/>
        <v>#NAME?</v>
      </c>
      <c r="CR1186" s="30" t="e">
        <f ca="1"/>
        <v>#NAME?</v>
      </c>
      <c r="CS1186" s="30" t="str">
        <f ca="1">IFERROR(__xludf.DUMMYFUNCTION("""COMPUTED_VALUE"""),"")</f>
        <v/>
      </c>
    </row>
    <row r="1187" spans="1:97" ht="13">
      <c r="A1187" s="29"/>
      <c r="C1187" s="32"/>
      <c r="I1187" s="34"/>
      <c r="BP1187" s="29"/>
      <c r="CD1187" s="29"/>
      <c r="CJ1187" s="29"/>
      <c r="CM1187" s="30" t="str">
        <f ca="1">IFERROR(__xludf.DUMMYFUNCTION("""COMPUTED_VALUE"""),"")</f>
        <v/>
      </c>
      <c r="CN1187" s="32" t="e">
        <f ca="1"/>
        <v>#NAME?</v>
      </c>
      <c r="CO1187" s="32" t="e">
        <f ca="1"/>
        <v>#NAME?</v>
      </c>
      <c r="CP1187" s="32" t="e">
        <f ca="1"/>
        <v>#NAME?</v>
      </c>
      <c r="CQ1187" s="32" t="e">
        <f ca="1"/>
        <v>#NAME?</v>
      </c>
      <c r="CR1187" s="30" t="e">
        <f ca="1"/>
        <v>#NAME?</v>
      </c>
      <c r="CS1187" s="30" t="str">
        <f ca="1">IFERROR(__xludf.DUMMYFUNCTION("""COMPUTED_VALUE"""),"")</f>
        <v/>
      </c>
    </row>
    <row r="1188" spans="1:97" ht="13">
      <c r="A1188" s="29"/>
      <c r="C1188" s="32"/>
      <c r="I1188" s="34"/>
      <c r="BP1188" s="29"/>
      <c r="CD1188" s="29"/>
      <c r="CJ1188" s="29"/>
      <c r="CM1188" s="30" t="str">
        <f ca="1">IFERROR(__xludf.DUMMYFUNCTION("""COMPUTED_VALUE"""),"")</f>
        <v/>
      </c>
      <c r="CN1188" s="32" t="e">
        <f ca="1"/>
        <v>#NAME?</v>
      </c>
      <c r="CO1188" s="32" t="e">
        <f ca="1"/>
        <v>#NAME?</v>
      </c>
      <c r="CP1188" s="32" t="e">
        <f ca="1"/>
        <v>#NAME?</v>
      </c>
      <c r="CQ1188" s="32" t="e">
        <f ca="1"/>
        <v>#NAME?</v>
      </c>
      <c r="CR1188" s="30" t="e">
        <f ca="1"/>
        <v>#NAME?</v>
      </c>
      <c r="CS1188" s="30" t="str">
        <f ca="1">IFERROR(__xludf.DUMMYFUNCTION("""COMPUTED_VALUE"""),"")</f>
        <v/>
      </c>
    </row>
    <row r="1189" spans="1:97" ht="13">
      <c r="A1189" s="29"/>
      <c r="C1189" s="32"/>
      <c r="I1189" s="34"/>
      <c r="BP1189" s="29"/>
      <c r="CD1189" s="29"/>
      <c r="CJ1189" s="29"/>
      <c r="CM1189" s="30" t="str">
        <f ca="1">IFERROR(__xludf.DUMMYFUNCTION("""COMPUTED_VALUE"""),"")</f>
        <v/>
      </c>
      <c r="CN1189" s="32" t="e">
        <f ca="1"/>
        <v>#NAME?</v>
      </c>
      <c r="CO1189" s="32" t="e">
        <f ca="1"/>
        <v>#NAME?</v>
      </c>
      <c r="CP1189" s="32" t="e">
        <f ca="1"/>
        <v>#NAME?</v>
      </c>
      <c r="CQ1189" s="32" t="e">
        <f ca="1"/>
        <v>#NAME?</v>
      </c>
      <c r="CR1189" s="30" t="e">
        <f ca="1"/>
        <v>#NAME?</v>
      </c>
      <c r="CS1189" s="30" t="str">
        <f ca="1">IFERROR(__xludf.DUMMYFUNCTION("""COMPUTED_VALUE"""),"")</f>
        <v/>
      </c>
    </row>
    <row r="1190" spans="1:97" ht="13">
      <c r="A1190" s="29"/>
      <c r="C1190" s="32"/>
      <c r="I1190" s="34"/>
      <c r="BP1190" s="29"/>
      <c r="CD1190" s="29"/>
      <c r="CJ1190" s="29"/>
      <c r="CM1190" s="30" t="str">
        <f ca="1">IFERROR(__xludf.DUMMYFUNCTION("""COMPUTED_VALUE"""),"")</f>
        <v/>
      </c>
      <c r="CN1190" s="32" t="e">
        <f ca="1"/>
        <v>#NAME?</v>
      </c>
      <c r="CO1190" s="32" t="e">
        <f ca="1"/>
        <v>#NAME?</v>
      </c>
      <c r="CP1190" s="32" t="e">
        <f ca="1"/>
        <v>#NAME?</v>
      </c>
      <c r="CQ1190" s="32" t="e">
        <f ca="1"/>
        <v>#NAME?</v>
      </c>
      <c r="CR1190" s="30" t="e">
        <f ca="1"/>
        <v>#NAME?</v>
      </c>
      <c r="CS1190" s="30" t="str">
        <f ca="1">IFERROR(__xludf.DUMMYFUNCTION("""COMPUTED_VALUE"""),"")</f>
        <v/>
      </c>
    </row>
    <row r="1191" spans="1:97" ht="13">
      <c r="A1191" s="29"/>
      <c r="C1191" s="32"/>
      <c r="I1191" s="34"/>
      <c r="BP1191" s="29"/>
      <c r="CD1191" s="29"/>
      <c r="CJ1191" s="29"/>
      <c r="CM1191" s="30" t="str">
        <f ca="1">IFERROR(__xludf.DUMMYFUNCTION("""COMPUTED_VALUE"""),"")</f>
        <v/>
      </c>
      <c r="CN1191" s="32" t="e">
        <f ca="1"/>
        <v>#NAME?</v>
      </c>
      <c r="CO1191" s="32" t="e">
        <f ca="1"/>
        <v>#NAME?</v>
      </c>
      <c r="CP1191" s="32" t="e">
        <f ca="1"/>
        <v>#NAME?</v>
      </c>
      <c r="CQ1191" s="32" t="e">
        <f ca="1"/>
        <v>#NAME?</v>
      </c>
      <c r="CR1191" s="30" t="e">
        <f ca="1"/>
        <v>#NAME?</v>
      </c>
      <c r="CS1191" s="30" t="str">
        <f ca="1">IFERROR(__xludf.DUMMYFUNCTION("""COMPUTED_VALUE"""),"")</f>
        <v/>
      </c>
    </row>
    <row r="1192" spans="1:97" ht="13">
      <c r="A1192" s="29"/>
      <c r="C1192" s="32"/>
      <c r="I1192" s="34"/>
      <c r="BP1192" s="29"/>
      <c r="CD1192" s="29"/>
      <c r="CJ1192" s="29"/>
      <c r="CM1192" s="30" t="str">
        <f ca="1">IFERROR(__xludf.DUMMYFUNCTION("""COMPUTED_VALUE"""),"")</f>
        <v/>
      </c>
      <c r="CN1192" s="32" t="e">
        <f ca="1"/>
        <v>#NAME?</v>
      </c>
      <c r="CO1192" s="32" t="e">
        <f ca="1"/>
        <v>#NAME?</v>
      </c>
      <c r="CP1192" s="32" t="e">
        <f ca="1"/>
        <v>#NAME?</v>
      </c>
      <c r="CQ1192" s="32" t="e">
        <f ca="1"/>
        <v>#NAME?</v>
      </c>
      <c r="CR1192" s="30" t="e">
        <f ca="1"/>
        <v>#NAME?</v>
      </c>
      <c r="CS1192" s="30" t="str">
        <f ca="1">IFERROR(__xludf.DUMMYFUNCTION("""COMPUTED_VALUE"""),"")</f>
        <v/>
      </c>
    </row>
    <row r="1193" spans="1:97" ht="13">
      <c r="A1193" s="29"/>
      <c r="C1193" s="32"/>
      <c r="I1193" s="34"/>
      <c r="BP1193" s="29"/>
      <c r="CD1193" s="29"/>
      <c r="CJ1193" s="29"/>
      <c r="CM1193" s="30" t="str">
        <f ca="1">IFERROR(__xludf.DUMMYFUNCTION("""COMPUTED_VALUE"""),"")</f>
        <v/>
      </c>
      <c r="CN1193" s="32" t="e">
        <f ca="1"/>
        <v>#NAME?</v>
      </c>
      <c r="CO1193" s="32" t="e">
        <f ca="1"/>
        <v>#NAME?</v>
      </c>
      <c r="CP1193" s="32" t="e">
        <f ca="1"/>
        <v>#NAME?</v>
      </c>
      <c r="CQ1193" s="32" t="e">
        <f ca="1"/>
        <v>#NAME?</v>
      </c>
      <c r="CR1193" s="30" t="e">
        <f ca="1"/>
        <v>#NAME?</v>
      </c>
      <c r="CS1193" s="30" t="str">
        <f ca="1">IFERROR(__xludf.DUMMYFUNCTION("""COMPUTED_VALUE"""),"")</f>
        <v/>
      </c>
    </row>
    <row r="1194" spans="1:97" ht="13">
      <c r="A1194" s="29"/>
      <c r="C1194" s="32"/>
      <c r="I1194" s="34"/>
      <c r="BP1194" s="29"/>
      <c r="CD1194" s="29"/>
      <c r="CJ1194" s="29"/>
      <c r="CM1194" s="30" t="str">
        <f ca="1">IFERROR(__xludf.DUMMYFUNCTION("""COMPUTED_VALUE"""),"")</f>
        <v/>
      </c>
      <c r="CN1194" s="32" t="e">
        <f ca="1"/>
        <v>#NAME?</v>
      </c>
      <c r="CO1194" s="32" t="e">
        <f ca="1"/>
        <v>#NAME?</v>
      </c>
      <c r="CP1194" s="32" t="e">
        <f ca="1"/>
        <v>#NAME?</v>
      </c>
      <c r="CQ1194" s="32" t="e">
        <f ca="1"/>
        <v>#NAME?</v>
      </c>
      <c r="CR1194" s="30" t="e">
        <f ca="1"/>
        <v>#NAME?</v>
      </c>
      <c r="CS1194" s="30" t="str">
        <f ca="1">IFERROR(__xludf.DUMMYFUNCTION("""COMPUTED_VALUE"""),"")</f>
        <v/>
      </c>
    </row>
    <row r="1195" spans="1:97" ht="13">
      <c r="A1195" s="29"/>
      <c r="C1195" s="32"/>
      <c r="I1195" s="34"/>
      <c r="BP1195" s="29"/>
      <c r="CD1195" s="29"/>
      <c r="CJ1195" s="29"/>
      <c r="CM1195" s="30" t="str">
        <f ca="1">IFERROR(__xludf.DUMMYFUNCTION("""COMPUTED_VALUE"""),"")</f>
        <v/>
      </c>
      <c r="CN1195" s="32" t="e">
        <f ca="1"/>
        <v>#NAME?</v>
      </c>
      <c r="CO1195" s="32" t="e">
        <f ca="1"/>
        <v>#NAME?</v>
      </c>
      <c r="CP1195" s="32" t="e">
        <f ca="1"/>
        <v>#NAME?</v>
      </c>
      <c r="CQ1195" s="32" t="e">
        <f ca="1"/>
        <v>#NAME?</v>
      </c>
      <c r="CR1195" s="30" t="e">
        <f ca="1"/>
        <v>#NAME?</v>
      </c>
      <c r="CS1195" s="30" t="str">
        <f ca="1">IFERROR(__xludf.DUMMYFUNCTION("""COMPUTED_VALUE"""),"")</f>
        <v/>
      </c>
    </row>
    <row r="1196" spans="1:97" ht="13">
      <c r="A1196" s="29"/>
      <c r="C1196" s="32"/>
      <c r="I1196" s="34"/>
      <c r="BP1196" s="29"/>
      <c r="CD1196" s="29"/>
      <c r="CJ1196" s="29"/>
      <c r="CM1196" s="30" t="str">
        <f ca="1">IFERROR(__xludf.DUMMYFUNCTION("""COMPUTED_VALUE"""),"")</f>
        <v/>
      </c>
      <c r="CN1196" s="32" t="e">
        <f ca="1"/>
        <v>#NAME?</v>
      </c>
      <c r="CO1196" s="32" t="e">
        <f ca="1"/>
        <v>#NAME?</v>
      </c>
      <c r="CP1196" s="32" t="e">
        <f ca="1"/>
        <v>#NAME?</v>
      </c>
      <c r="CQ1196" s="32" t="e">
        <f ca="1"/>
        <v>#NAME?</v>
      </c>
      <c r="CR1196" s="30" t="e">
        <f ca="1"/>
        <v>#NAME?</v>
      </c>
      <c r="CS1196" s="30" t="str">
        <f ca="1">IFERROR(__xludf.DUMMYFUNCTION("""COMPUTED_VALUE"""),"")</f>
        <v/>
      </c>
    </row>
    <row r="1197" spans="1:97" ht="13">
      <c r="A1197" s="29"/>
      <c r="C1197" s="32"/>
      <c r="I1197" s="34"/>
      <c r="BP1197" s="29"/>
      <c r="CD1197" s="29"/>
      <c r="CJ1197" s="29"/>
      <c r="CM1197" s="30" t="str">
        <f ca="1">IFERROR(__xludf.DUMMYFUNCTION("""COMPUTED_VALUE"""),"")</f>
        <v/>
      </c>
      <c r="CN1197" s="32" t="e">
        <f ca="1"/>
        <v>#NAME?</v>
      </c>
      <c r="CO1197" s="32" t="e">
        <f ca="1"/>
        <v>#NAME?</v>
      </c>
      <c r="CP1197" s="32" t="e">
        <f ca="1"/>
        <v>#NAME?</v>
      </c>
      <c r="CQ1197" s="32" t="e">
        <f ca="1"/>
        <v>#NAME?</v>
      </c>
      <c r="CR1197" s="30" t="e">
        <f ca="1"/>
        <v>#NAME?</v>
      </c>
      <c r="CS1197" s="30" t="str">
        <f ca="1">IFERROR(__xludf.DUMMYFUNCTION("""COMPUTED_VALUE"""),"")</f>
        <v/>
      </c>
    </row>
    <row r="1198" spans="1:97" ht="13">
      <c r="A1198" s="29"/>
      <c r="C1198" s="32"/>
      <c r="I1198" s="34"/>
      <c r="BP1198" s="29"/>
      <c r="CD1198" s="29"/>
      <c r="CJ1198" s="29"/>
      <c r="CM1198" s="30" t="str">
        <f ca="1">IFERROR(__xludf.DUMMYFUNCTION("""COMPUTED_VALUE"""),"")</f>
        <v/>
      </c>
      <c r="CN1198" s="32" t="e">
        <f ca="1"/>
        <v>#NAME?</v>
      </c>
      <c r="CO1198" s="32" t="e">
        <f ca="1"/>
        <v>#NAME?</v>
      </c>
      <c r="CP1198" s="32" t="e">
        <f ca="1"/>
        <v>#NAME?</v>
      </c>
      <c r="CQ1198" s="32" t="e">
        <f ca="1"/>
        <v>#NAME?</v>
      </c>
      <c r="CR1198" s="30" t="e">
        <f ca="1"/>
        <v>#NAME?</v>
      </c>
      <c r="CS1198" s="30" t="str">
        <f ca="1">IFERROR(__xludf.DUMMYFUNCTION("""COMPUTED_VALUE"""),"")</f>
        <v/>
      </c>
    </row>
    <row r="1199" spans="1:97" ht="13">
      <c r="A1199" s="29"/>
      <c r="C1199" s="32"/>
      <c r="I1199" s="34"/>
      <c r="BP1199" s="29"/>
      <c r="CD1199" s="29"/>
      <c r="CJ1199" s="29"/>
      <c r="CM1199" s="30" t="str">
        <f ca="1">IFERROR(__xludf.DUMMYFUNCTION("""COMPUTED_VALUE"""),"")</f>
        <v/>
      </c>
      <c r="CN1199" s="32" t="e">
        <f ca="1"/>
        <v>#NAME?</v>
      </c>
      <c r="CO1199" s="32" t="e">
        <f ca="1"/>
        <v>#NAME?</v>
      </c>
      <c r="CP1199" s="32" t="e">
        <f ca="1"/>
        <v>#NAME?</v>
      </c>
      <c r="CQ1199" s="32" t="e">
        <f ca="1"/>
        <v>#NAME?</v>
      </c>
      <c r="CR1199" s="30" t="e">
        <f ca="1"/>
        <v>#NAME?</v>
      </c>
      <c r="CS1199" s="30" t="str">
        <f ca="1">IFERROR(__xludf.DUMMYFUNCTION("""COMPUTED_VALUE"""),"")</f>
        <v/>
      </c>
    </row>
    <row r="1200" spans="1:97" ht="13">
      <c r="A1200" s="29"/>
      <c r="C1200" s="32"/>
      <c r="I1200" s="34"/>
      <c r="BP1200" s="29"/>
      <c r="CD1200" s="29"/>
      <c r="CJ1200" s="29"/>
      <c r="CM1200" s="30" t="str">
        <f ca="1">IFERROR(__xludf.DUMMYFUNCTION("""COMPUTED_VALUE"""),"")</f>
        <v/>
      </c>
      <c r="CN1200" s="32" t="e">
        <f ca="1"/>
        <v>#NAME?</v>
      </c>
      <c r="CO1200" s="32" t="e">
        <f ca="1"/>
        <v>#NAME?</v>
      </c>
      <c r="CP1200" s="32" t="e">
        <f ca="1"/>
        <v>#NAME?</v>
      </c>
      <c r="CQ1200" s="32" t="e">
        <f ca="1"/>
        <v>#NAME?</v>
      </c>
      <c r="CR1200" s="30" t="e">
        <f ca="1"/>
        <v>#NAME?</v>
      </c>
      <c r="CS1200" s="30" t="str">
        <f ca="1">IFERROR(__xludf.DUMMYFUNCTION("""COMPUTED_VALUE"""),"")</f>
        <v/>
      </c>
    </row>
    <row r="1201" spans="1:97" ht="13">
      <c r="A1201" s="29"/>
      <c r="C1201" s="32"/>
      <c r="I1201" s="34"/>
      <c r="BP1201" s="29"/>
      <c r="CD1201" s="29"/>
      <c r="CJ1201" s="29"/>
      <c r="CM1201" s="30" t="str">
        <f ca="1">IFERROR(__xludf.DUMMYFUNCTION("""COMPUTED_VALUE"""),"")</f>
        <v/>
      </c>
      <c r="CN1201" s="32" t="e">
        <f ca="1"/>
        <v>#NAME?</v>
      </c>
      <c r="CO1201" s="32" t="e">
        <f ca="1"/>
        <v>#NAME?</v>
      </c>
      <c r="CP1201" s="32" t="e">
        <f ca="1"/>
        <v>#NAME?</v>
      </c>
      <c r="CQ1201" s="32" t="e">
        <f ca="1"/>
        <v>#NAME?</v>
      </c>
      <c r="CR1201" s="30" t="e">
        <f ca="1"/>
        <v>#NAME?</v>
      </c>
      <c r="CS1201" s="30" t="str">
        <f ca="1">IFERROR(__xludf.DUMMYFUNCTION("""COMPUTED_VALUE"""),"")</f>
        <v/>
      </c>
    </row>
    <row r="1202" spans="1:97" ht="13">
      <c r="A1202" s="29"/>
      <c r="C1202" s="32"/>
      <c r="I1202" s="34"/>
      <c r="BP1202" s="29"/>
      <c r="CD1202" s="29"/>
      <c r="CJ1202" s="29"/>
      <c r="CM1202" s="30" t="str">
        <f ca="1">IFERROR(__xludf.DUMMYFUNCTION("""COMPUTED_VALUE"""),"")</f>
        <v/>
      </c>
      <c r="CN1202" s="32" t="e">
        <f ca="1"/>
        <v>#NAME?</v>
      </c>
      <c r="CO1202" s="32" t="e">
        <f ca="1"/>
        <v>#NAME?</v>
      </c>
      <c r="CP1202" s="32" t="e">
        <f ca="1"/>
        <v>#NAME?</v>
      </c>
      <c r="CQ1202" s="32" t="e">
        <f ca="1"/>
        <v>#NAME?</v>
      </c>
      <c r="CR1202" s="30" t="e">
        <f ca="1"/>
        <v>#NAME?</v>
      </c>
      <c r="CS1202" s="30" t="str">
        <f ca="1">IFERROR(__xludf.DUMMYFUNCTION("""COMPUTED_VALUE"""),"")</f>
        <v/>
      </c>
    </row>
    <row r="1203" spans="1:97" ht="13">
      <c r="A1203" s="29"/>
      <c r="C1203" s="32"/>
      <c r="I1203" s="34"/>
      <c r="BP1203" s="29"/>
      <c r="CD1203" s="29"/>
      <c r="CJ1203" s="29"/>
      <c r="CM1203" s="30" t="str">
        <f ca="1">IFERROR(__xludf.DUMMYFUNCTION("""COMPUTED_VALUE"""),"")</f>
        <v/>
      </c>
      <c r="CN1203" s="32" t="e">
        <f ca="1"/>
        <v>#NAME?</v>
      </c>
      <c r="CO1203" s="32" t="e">
        <f ca="1"/>
        <v>#NAME?</v>
      </c>
      <c r="CP1203" s="32" t="e">
        <f ca="1"/>
        <v>#NAME?</v>
      </c>
      <c r="CQ1203" s="32" t="e">
        <f ca="1"/>
        <v>#NAME?</v>
      </c>
      <c r="CR1203" s="30" t="e">
        <f ca="1"/>
        <v>#NAME?</v>
      </c>
      <c r="CS1203" s="30" t="str">
        <f ca="1">IFERROR(__xludf.DUMMYFUNCTION("""COMPUTED_VALUE"""),"")</f>
        <v/>
      </c>
    </row>
    <row r="1204" spans="1:97" ht="13">
      <c r="A1204" s="29"/>
      <c r="C1204" s="32"/>
      <c r="I1204" s="34"/>
      <c r="BP1204" s="29"/>
      <c r="CD1204" s="29"/>
      <c r="CJ1204" s="29"/>
      <c r="CM1204" s="30" t="str">
        <f ca="1">IFERROR(__xludf.DUMMYFUNCTION("""COMPUTED_VALUE"""),"")</f>
        <v/>
      </c>
      <c r="CN1204" s="32" t="e">
        <f ca="1"/>
        <v>#NAME?</v>
      </c>
      <c r="CO1204" s="32" t="e">
        <f ca="1"/>
        <v>#NAME?</v>
      </c>
      <c r="CP1204" s="32" t="e">
        <f ca="1"/>
        <v>#NAME?</v>
      </c>
      <c r="CQ1204" s="32" t="e">
        <f ca="1"/>
        <v>#NAME?</v>
      </c>
      <c r="CR1204" s="30" t="e">
        <f ca="1"/>
        <v>#NAME?</v>
      </c>
      <c r="CS1204" s="30" t="str">
        <f ca="1">IFERROR(__xludf.DUMMYFUNCTION("""COMPUTED_VALUE"""),"")</f>
        <v/>
      </c>
    </row>
    <row r="1205" spans="1:97" ht="13">
      <c r="A1205" s="29"/>
      <c r="C1205" s="32"/>
      <c r="I1205" s="34"/>
      <c r="BP1205" s="29"/>
      <c r="CD1205" s="29"/>
      <c r="CJ1205" s="29"/>
      <c r="CM1205" s="30" t="str">
        <f ca="1">IFERROR(__xludf.DUMMYFUNCTION("""COMPUTED_VALUE"""),"")</f>
        <v/>
      </c>
      <c r="CN1205" s="32" t="e">
        <f ca="1"/>
        <v>#NAME?</v>
      </c>
      <c r="CO1205" s="32" t="e">
        <f ca="1"/>
        <v>#NAME?</v>
      </c>
      <c r="CP1205" s="32" t="e">
        <f ca="1"/>
        <v>#NAME?</v>
      </c>
      <c r="CQ1205" s="32" t="e">
        <f ca="1"/>
        <v>#NAME?</v>
      </c>
      <c r="CR1205" s="30" t="e">
        <f ca="1"/>
        <v>#NAME?</v>
      </c>
      <c r="CS1205" s="30" t="str">
        <f ca="1">IFERROR(__xludf.DUMMYFUNCTION("""COMPUTED_VALUE"""),"")</f>
        <v/>
      </c>
    </row>
    <row r="1206" spans="1:97" ht="13">
      <c r="A1206" s="29"/>
      <c r="C1206" s="32"/>
      <c r="I1206" s="34"/>
      <c r="BP1206" s="29"/>
      <c r="CD1206" s="29"/>
      <c r="CJ1206" s="29"/>
      <c r="CM1206" s="30" t="str">
        <f ca="1">IFERROR(__xludf.DUMMYFUNCTION("""COMPUTED_VALUE"""),"")</f>
        <v/>
      </c>
      <c r="CN1206" s="32" t="e">
        <f ca="1"/>
        <v>#NAME?</v>
      </c>
      <c r="CO1206" s="32" t="e">
        <f ca="1"/>
        <v>#NAME?</v>
      </c>
      <c r="CP1206" s="32" t="e">
        <f ca="1"/>
        <v>#NAME?</v>
      </c>
      <c r="CQ1206" s="32" t="e">
        <f ca="1"/>
        <v>#NAME?</v>
      </c>
      <c r="CR1206" s="30" t="e">
        <f ca="1"/>
        <v>#NAME?</v>
      </c>
      <c r="CS1206" s="30" t="str">
        <f ca="1">IFERROR(__xludf.DUMMYFUNCTION("""COMPUTED_VALUE"""),"")</f>
        <v/>
      </c>
    </row>
    <row r="1207" spans="1:97" ht="13">
      <c r="A1207" s="29"/>
      <c r="C1207" s="32"/>
      <c r="I1207" s="34"/>
      <c r="BP1207" s="29"/>
      <c r="CD1207" s="29"/>
      <c r="CJ1207" s="29"/>
      <c r="CM1207" s="30" t="str">
        <f ca="1">IFERROR(__xludf.DUMMYFUNCTION("""COMPUTED_VALUE"""),"")</f>
        <v/>
      </c>
      <c r="CN1207" s="32" t="e">
        <f ca="1"/>
        <v>#NAME?</v>
      </c>
      <c r="CO1207" s="32" t="e">
        <f ca="1"/>
        <v>#NAME?</v>
      </c>
      <c r="CP1207" s="32" t="e">
        <f ca="1"/>
        <v>#NAME?</v>
      </c>
      <c r="CQ1207" s="32" t="e">
        <f ca="1"/>
        <v>#NAME?</v>
      </c>
      <c r="CR1207" s="30" t="e">
        <f ca="1"/>
        <v>#NAME?</v>
      </c>
      <c r="CS1207" s="30" t="str">
        <f ca="1">IFERROR(__xludf.DUMMYFUNCTION("""COMPUTED_VALUE"""),"")</f>
        <v/>
      </c>
    </row>
    <row r="1208" spans="1:97" ht="13">
      <c r="A1208" s="29"/>
      <c r="C1208" s="32"/>
      <c r="I1208" s="34"/>
      <c r="BP1208" s="29"/>
      <c r="CD1208" s="29"/>
      <c r="CJ1208" s="29"/>
      <c r="CM1208" s="30" t="str">
        <f ca="1">IFERROR(__xludf.DUMMYFUNCTION("""COMPUTED_VALUE"""),"")</f>
        <v/>
      </c>
      <c r="CN1208" s="32" t="e">
        <f ca="1"/>
        <v>#NAME?</v>
      </c>
      <c r="CO1208" s="32" t="e">
        <f ca="1"/>
        <v>#NAME?</v>
      </c>
      <c r="CP1208" s="32" t="e">
        <f ca="1"/>
        <v>#NAME?</v>
      </c>
      <c r="CQ1208" s="32" t="e">
        <f ca="1"/>
        <v>#NAME?</v>
      </c>
      <c r="CR1208" s="30" t="e">
        <f ca="1"/>
        <v>#NAME?</v>
      </c>
      <c r="CS1208" s="30" t="str">
        <f ca="1">IFERROR(__xludf.DUMMYFUNCTION("""COMPUTED_VALUE"""),"")</f>
        <v/>
      </c>
    </row>
    <row r="1209" spans="1:97" ht="13">
      <c r="A1209" s="29"/>
      <c r="C1209" s="32"/>
      <c r="I1209" s="34"/>
      <c r="BP1209" s="29"/>
      <c r="CD1209" s="29"/>
      <c r="CJ1209" s="29"/>
      <c r="CM1209" s="30" t="str">
        <f ca="1">IFERROR(__xludf.DUMMYFUNCTION("""COMPUTED_VALUE"""),"")</f>
        <v/>
      </c>
      <c r="CN1209" s="32" t="e">
        <f ca="1"/>
        <v>#NAME?</v>
      </c>
      <c r="CO1209" s="32" t="e">
        <f ca="1"/>
        <v>#NAME?</v>
      </c>
      <c r="CP1209" s="32" t="e">
        <f ca="1"/>
        <v>#NAME?</v>
      </c>
      <c r="CQ1209" s="32" t="e">
        <f ca="1"/>
        <v>#NAME?</v>
      </c>
      <c r="CR1209" s="30" t="e">
        <f ca="1"/>
        <v>#NAME?</v>
      </c>
      <c r="CS1209" s="30" t="str">
        <f ca="1">IFERROR(__xludf.DUMMYFUNCTION("""COMPUTED_VALUE"""),"")</f>
        <v/>
      </c>
    </row>
    <row r="1210" spans="1:97" ht="13">
      <c r="A1210" s="29"/>
      <c r="C1210" s="32"/>
      <c r="I1210" s="34"/>
      <c r="BP1210" s="29"/>
      <c r="CD1210" s="29"/>
      <c r="CJ1210" s="29"/>
      <c r="CM1210" s="30" t="str">
        <f ca="1">IFERROR(__xludf.DUMMYFUNCTION("""COMPUTED_VALUE"""),"")</f>
        <v/>
      </c>
      <c r="CN1210" s="32" t="e">
        <f ca="1"/>
        <v>#NAME?</v>
      </c>
      <c r="CO1210" s="32" t="e">
        <f ca="1"/>
        <v>#NAME?</v>
      </c>
      <c r="CP1210" s="32" t="e">
        <f ca="1"/>
        <v>#NAME?</v>
      </c>
      <c r="CQ1210" s="32" t="e">
        <f ca="1"/>
        <v>#NAME?</v>
      </c>
      <c r="CR1210" s="30" t="e">
        <f ca="1"/>
        <v>#NAME?</v>
      </c>
      <c r="CS1210" s="30" t="str">
        <f ca="1">IFERROR(__xludf.DUMMYFUNCTION("""COMPUTED_VALUE"""),"")</f>
        <v/>
      </c>
    </row>
    <row r="1211" spans="1:97" ht="13">
      <c r="A1211" s="29"/>
      <c r="C1211" s="32"/>
      <c r="I1211" s="34"/>
      <c r="BP1211" s="29"/>
      <c r="CD1211" s="29"/>
      <c r="CJ1211" s="29"/>
      <c r="CM1211" s="30" t="str">
        <f ca="1">IFERROR(__xludf.DUMMYFUNCTION("""COMPUTED_VALUE"""),"")</f>
        <v/>
      </c>
      <c r="CN1211" s="32" t="e">
        <f ca="1"/>
        <v>#NAME?</v>
      </c>
      <c r="CO1211" s="32" t="e">
        <f ca="1"/>
        <v>#NAME?</v>
      </c>
      <c r="CP1211" s="32" t="e">
        <f ca="1"/>
        <v>#NAME?</v>
      </c>
      <c r="CQ1211" s="32" t="e">
        <f ca="1"/>
        <v>#NAME?</v>
      </c>
      <c r="CR1211" s="30" t="e">
        <f ca="1"/>
        <v>#NAME?</v>
      </c>
      <c r="CS1211" s="30" t="str">
        <f ca="1">IFERROR(__xludf.DUMMYFUNCTION("""COMPUTED_VALUE"""),"")</f>
        <v/>
      </c>
    </row>
    <row r="1212" spans="1:97" ht="13">
      <c r="A1212" s="29"/>
      <c r="C1212" s="32"/>
      <c r="I1212" s="34"/>
      <c r="BP1212" s="29"/>
      <c r="CD1212" s="29"/>
      <c r="CJ1212" s="29"/>
      <c r="CM1212" s="30" t="str">
        <f ca="1">IFERROR(__xludf.DUMMYFUNCTION("""COMPUTED_VALUE"""),"")</f>
        <v/>
      </c>
      <c r="CN1212" s="32" t="e">
        <f ca="1"/>
        <v>#NAME?</v>
      </c>
      <c r="CO1212" s="32" t="e">
        <f ca="1"/>
        <v>#NAME?</v>
      </c>
      <c r="CP1212" s="32" t="e">
        <f ca="1"/>
        <v>#NAME?</v>
      </c>
      <c r="CQ1212" s="32" t="e">
        <f ca="1"/>
        <v>#NAME?</v>
      </c>
      <c r="CR1212" s="30" t="e">
        <f ca="1"/>
        <v>#NAME?</v>
      </c>
      <c r="CS1212" s="30" t="str">
        <f ca="1">IFERROR(__xludf.DUMMYFUNCTION("""COMPUTED_VALUE"""),"")</f>
        <v/>
      </c>
    </row>
    <row r="1213" spans="1:97" ht="13">
      <c r="A1213" s="29"/>
      <c r="C1213" s="32"/>
      <c r="I1213" s="34"/>
      <c r="BP1213" s="29"/>
      <c r="CD1213" s="29"/>
      <c r="CJ1213" s="29"/>
      <c r="CM1213" s="30" t="str">
        <f ca="1">IFERROR(__xludf.DUMMYFUNCTION("""COMPUTED_VALUE"""),"")</f>
        <v/>
      </c>
      <c r="CN1213" s="32" t="e">
        <f ca="1"/>
        <v>#NAME?</v>
      </c>
      <c r="CO1213" s="32" t="e">
        <f ca="1"/>
        <v>#NAME?</v>
      </c>
      <c r="CP1213" s="32" t="e">
        <f ca="1"/>
        <v>#NAME?</v>
      </c>
      <c r="CQ1213" s="32" t="e">
        <f ca="1"/>
        <v>#NAME?</v>
      </c>
      <c r="CR1213" s="30" t="e">
        <f ca="1"/>
        <v>#NAME?</v>
      </c>
      <c r="CS1213" s="30" t="str">
        <f ca="1">IFERROR(__xludf.DUMMYFUNCTION("""COMPUTED_VALUE"""),"")</f>
        <v/>
      </c>
    </row>
    <row r="1214" spans="1:97" ht="13">
      <c r="A1214" s="29"/>
      <c r="C1214" s="32"/>
      <c r="I1214" s="34"/>
      <c r="BP1214" s="29"/>
      <c r="CD1214" s="29"/>
      <c r="CJ1214" s="29"/>
      <c r="CM1214" s="30" t="str">
        <f ca="1">IFERROR(__xludf.DUMMYFUNCTION("""COMPUTED_VALUE"""),"")</f>
        <v/>
      </c>
      <c r="CN1214" s="32" t="e">
        <f ca="1"/>
        <v>#NAME?</v>
      </c>
      <c r="CO1214" s="32" t="e">
        <f ca="1"/>
        <v>#NAME?</v>
      </c>
      <c r="CP1214" s="32" t="e">
        <f ca="1"/>
        <v>#NAME?</v>
      </c>
      <c r="CQ1214" s="32" t="e">
        <f ca="1"/>
        <v>#NAME?</v>
      </c>
      <c r="CR1214" s="30" t="e">
        <f ca="1"/>
        <v>#NAME?</v>
      </c>
      <c r="CS1214" s="30" t="str">
        <f ca="1">IFERROR(__xludf.DUMMYFUNCTION("""COMPUTED_VALUE"""),"")</f>
        <v/>
      </c>
    </row>
    <row r="1215" spans="1:97" ht="13">
      <c r="A1215" s="29"/>
      <c r="C1215" s="32"/>
      <c r="I1215" s="34"/>
      <c r="BP1215" s="29"/>
      <c r="CD1215" s="29"/>
      <c r="CJ1215" s="29"/>
      <c r="CM1215" s="30" t="str">
        <f ca="1">IFERROR(__xludf.DUMMYFUNCTION("""COMPUTED_VALUE"""),"")</f>
        <v/>
      </c>
      <c r="CN1215" s="32" t="e">
        <f ca="1"/>
        <v>#NAME?</v>
      </c>
      <c r="CO1215" s="32" t="e">
        <f ca="1"/>
        <v>#NAME?</v>
      </c>
      <c r="CP1215" s="32" t="e">
        <f ca="1"/>
        <v>#NAME?</v>
      </c>
      <c r="CQ1215" s="32" t="e">
        <f ca="1"/>
        <v>#NAME?</v>
      </c>
      <c r="CR1215" s="30" t="e">
        <f ca="1"/>
        <v>#NAME?</v>
      </c>
      <c r="CS1215" s="30" t="str">
        <f ca="1">IFERROR(__xludf.DUMMYFUNCTION("""COMPUTED_VALUE"""),"")</f>
        <v/>
      </c>
    </row>
    <row r="1216" spans="1:97" ht="13">
      <c r="A1216" s="29"/>
      <c r="C1216" s="32"/>
      <c r="I1216" s="34"/>
      <c r="BP1216" s="29"/>
      <c r="CD1216" s="29"/>
      <c r="CJ1216" s="29"/>
      <c r="CM1216" s="30" t="str">
        <f ca="1">IFERROR(__xludf.DUMMYFUNCTION("""COMPUTED_VALUE"""),"")</f>
        <v/>
      </c>
      <c r="CN1216" s="32" t="e">
        <f ca="1"/>
        <v>#NAME?</v>
      </c>
      <c r="CO1216" s="32" t="e">
        <f ca="1"/>
        <v>#NAME?</v>
      </c>
      <c r="CP1216" s="32" t="e">
        <f ca="1"/>
        <v>#NAME?</v>
      </c>
      <c r="CQ1216" s="32" t="e">
        <f ca="1"/>
        <v>#NAME?</v>
      </c>
      <c r="CR1216" s="30" t="e">
        <f ca="1"/>
        <v>#NAME?</v>
      </c>
      <c r="CS1216" s="30" t="str">
        <f ca="1">IFERROR(__xludf.DUMMYFUNCTION("""COMPUTED_VALUE"""),"")</f>
        <v/>
      </c>
    </row>
    <row r="1217" spans="1:97" ht="13">
      <c r="A1217" s="29"/>
      <c r="C1217" s="32"/>
      <c r="I1217" s="34"/>
      <c r="BP1217" s="29"/>
      <c r="CD1217" s="29"/>
      <c r="CJ1217" s="29"/>
      <c r="CM1217" s="30" t="str">
        <f ca="1">IFERROR(__xludf.DUMMYFUNCTION("""COMPUTED_VALUE"""),"")</f>
        <v/>
      </c>
      <c r="CN1217" s="32" t="e">
        <f ca="1"/>
        <v>#NAME?</v>
      </c>
      <c r="CO1217" s="32" t="e">
        <f ca="1"/>
        <v>#NAME?</v>
      </c>
      <c r="CP1217" s="32" t="e">
        <f ca="1"/>
        <v>#NAME?</v>
      </c>
      <c r="CQ1217" s="32" t="e">
        <f ca="1"/>
        <v>#NAME?</v>
      </c>
      <c r="CR1217" s="30" t="e">
        <f ca="1"/>
        <v>#NAME?</v>
      </c>
      <c r="CS1217" s="30" t="str">
        <f ca="1">IFERROR(__xludf.DUMMYFUNCTION("""COMPUTED_VALUE"""),"")</f>
        <v/>
      </c>
    </row>
    <row r="1218" spans="1:97" ht="13">
      <c r="A1218" s="29"/>
      <c r="C1218" s="32"/>
      <c r="I1218" s="34"/>
      <c r="BP1218" s="29"/>
      <c r="CD1218" s="29"/>
      <c r="CJ1218" s="29"/>
      <c r="CM1218" s="30" t="str">
        <f ca="1">IFERROR(__xludf.DUMMYFUNCTION("""COMPUTED_VALUE"""),"")</f>
        <v/>
      </c>
      <c r="CN1218" s="32" t="e">
        <f ca="1"/>
        <v>#NAME?</v>
      </c>
      <c r="CO1218" s="32" t="e">
        <f ca="1"/>
        <v>#NAME?</v>
      </c>
      <c r="CP1218" s="32" t="e">
        <f ca="1"/>
        <v>#NAME?</v>
      </c>
      <c r="CQ1218" s="32" t="e">
        <f ca="1"/>
        <v>#NAME?</v>
      </c>
      <c r="CR1218" s="30" t="e">
        <f ca="1"/>
        <v>#NAME?</v>
      </c>
      <c r="CS1218" s="30" t="str">
        <f ca="1">IFERROR(__xludf.DUMMYFUNCTION("""COMPUTED_VALUE"""),"")</f>
        <v/>
      </c>
    </row>
    <row r="1219" spans="1:97" ht="13">
      <c r="A1219" s="29"/>
      <c r="C1219" s="32"/>
      <c r="I1219" s="34"/>
      <c r="BP1219" s="29"/>
      <c r="CD1219" s="29"/>
      <c r="CJ1219" s="29"/>
      <c r="CM1219" s="30" t="str">
        <f ca="1">IFERROR(__xludf.DUMMYFUNCTION("""COMPUTED_VALUE"""),"")</f>
        <v/>
      </c>
      <c r="CN1219" s="32" t="e">
        <f ca="1"/>
        <v>#NAME?</v>
      </c>
      <c r="CO1219" s="32" t="e">
        <f ca="1"/>
        <v>#NAME?</v>
      </c>
      <c r="CP1219" s="32" t="e">
        <f ca="1"/>
        <v>#NAME?</v>
      </c>
      <c r="CQ1219" s="32" t="e">
        <f ca="1"/>
        <v>#NAME?</v>
      </c>
      <c r="CR1219" s="30" t="e">
        <f ca="1"/>
        <v>#NAME?</v>
      </c>
      <c r="CS1219" s="30" t="str">
        <f ca="1">IFERROR(__xludf.DUMMYFUNCTION("""COMPUTED_VALUE"""),"")</f>
        <v/>
      </c>
    </row>
    <row r="1220" spans="1:97" ht="13">
      <c r="A1220" s="29"/>
      <c r="C1220" s="32"/>
      <c r="I1220" s="34"/>
      <c r="BP1220" s="29"/>
      <c r="CD1220" s="29"/>
      <c r="CJ1220" s="29"/>
      <c r="CM1220" s="30" t="str">
        <f ca="1">IFERROR(__xludf.DUMMYFUNCTION("""COMPUTED_VALUE"""),"")</f>
        <v/>
      </c>
      <c r="CN1220" s="32" t="e">
        <f ca="1"/>
        <v>#NAME?</v>
      </c>
      <c r="CO1220" s="32" t="e">
        <f ca="1"/>
        <v>#NAME?</v>
      </c>
      <c r="CP1220" s="32" t="e">
        <f ca="1"/>
        <v>#NAME?</v>
      </c>
      <c r="CQ1220" s="32" t="e">
        <f ca="1"/>
        <v>#NAME?</v>
      </c>
      <c r="CR1220" s="30" t="e">
        <f ca="1"/>
        <v>#NAME?</v>
      </c>
      <c r="CS1220" s="30" t="str">
        <f ca="1">IFERROR(__xludf.DUMMYFUNCTION("""COMPUTED_VALUE"""),"")</f>
        <v/>
      </c>
    </row>
    <row r="1221" spans="1:97" ht="13">
      <c r="A1221" s="29"/>
      <c r="C1221" s="32"/>
      <c r="I1221" s="34"/>
      <c r="BP1221" s="29"/>
      <c r="CD1221" s="29"/>
      <c r="CJ1221" s="29"/>
      <c r="CM1221" s="30" t="str">
        <f ca="1">IFERROR(__xludf.DUMMYFUNCTION("""COMPUTED_VALUE"""),"")</f>
        <v/>
      </c>
      <c r="CN1221" s="32" t="e">
        <f ca="1"/>
        <v>#NAME?</v>
      </c>
      <c r="CO1221" s="32" t="e">
        <f ca="1"/>
        <v>#NAME?</v>
      </c>
      <c r="CP1221" s="32" t="e">
        <f ca="1"/>
        <v>#NAME?</v>
      </c>
      <c r="CQ1221" s="32" t="e">
        <f ca="1"/>
        <v>#NAME?</v>
      </c>
      <c r="CR1221" s="30" t="e">
        <f ca="1"/>
        <v>#NAME?</v>
      </c>
      <c r="CS1221" s="30" t="str">
        <f ca="1">IFERROR(__xludf.DUMMYFUNCTION("""COMPUTED_VALUE"""),"")</f>
        <v/>
      </c>
    </row>
    <row r="1222" spans="1:97" ht="13">
      <c r="A1222" s="29"/>
      <c r="C1222" s="32"/>
      <c r="I1222" s="34"/>
      <c r="BP1222" s="29"/>
      <c r="CD1222" s="29"/>
      <c r="CJ1222" s="29"/>
      <c r="CM1222" s="30" t="str">
        <f ca="1">IFERROR(__xludf.DUMMYFUNCTION("""COMPUTED_VALUE"""),"")</f>
        <v/>
      </c>
      <c r="CN1222" s="32" t="e">
        <f ca="1"/>
        <v>#NAME?</v>
      </c>
      <c r="CO1222" s="32" t="e">
        <f ca="1"/>
        <v>#NAME?</v>
      </c>
      <c r="CP1222" s="32" t="e">
        <f ca="1"/>
        <v>#NAME?</v>
      </c>
      <c r="CQ1222" s="32" t="e">
        <f ca="1"/>
        <v>#NAME?</v>
      </c>
      <c r="CR1222" s="30" t="e">
        <f ca="1"/>
        <v>#NAME?</v>
      </c>
      <c r="CS1222" s="30" t="str">
        <f ca="1">IFERROR(__xludf.DUMMYFUNCTION("""COMPUTED_VALUE"""),"")</f>
        <v/>
      </c>
    </row>
    <row r="1223" spans="1:97" ht="13">
      <c r="A1223" s="29"/>
      <c r="C1223" s="32"/>
      <c r="I1223" s="34"/>
      <c r="BP1223" s="29"/>
      <c r="CD1223" s="29"/>
      <c r="CJ1223" s="29"/>
      <c r="CM1223" s="30" t="str">
        <f ca="1">IFERROR(__xludf.DUMMYFUNCTION("""COMPUTED_VALUE"""),"")</f>
        <v/>
      </c>
      <c r="CN1223" s="32" t="e">
        <f ca="1"/>
        <v>#NAME?</v>
      </c>
      <c r="CO1223" s="32" t="e">
        <f ca="1"/>
        <v>#NAME?</v>
      </c>
      <c r="CP1223" s="32" t="e">
        <f ca="1"/>
        <v>#NAME?</v>
      </c>
      <c r="CQ1223" s="32" t="e">
        <f ca="1"/>
        <v>#NAME?</v>
      </c>
      <c r="CR1223" s="30" t="e">
        <f ca="1"/>
        <v>#NAME?</v>
      </c>
      <c r="CS1223" s="30" t="str">
        <f ca="1">IFERROR(__xludf.DUMMYFUNCTION("""COMPUTED_VALUE"""),"")</f>
        <v/>
      </c>
    </row>
    <row r="1224" spans="1:97" ht="13">
      <c r="A1224" s="29"/>
      <c r="C1224" s="32"/>
      <c r="I1224" s="34"/>
      <c r="BP1224" s="29"/>
      <c r="CD1224" s="29"/>
      <c r="CJ1224" s="29"/>
      <c r="CM1224" s="30" t="str">
        <f ca="1">IFERROR(__xludf.DUMMYFUNCTION("""COMPUTED_VALUE"""),"")</f>
        <v/>
      </c>
      <c r="CN1224" s="32" t="e">
        <f ca="1"/>
        <v>#NAME?</v>
      </c>
      <c r="CO1224" s="32" t="e">
        <f ca="1"/>
        <v>#NAME?</v>
      </c>
      <c r="CP1224" s="32" t="e">
        <f ca="1"/>
        <v>#NAME?</v>
      </c>
      <c r="CQ1224" s="32" t="e">
        <f ca="1"/>
        <v>#NAME?</v>
      </c>
      <c r="CR1224" s="30" t="e">
        <f ca="1"/>
        <v>#NAME?</v>
      </c>
      <c r="CS1224" s="30" t="str">
        <f ca="1">IFERROR(__xludf.DUMMYFUNCTION("""COMPUTED_VALUE"""),"")</f>
        <v/>
      </c>
    </row>
    <row r="1225" spans="1:97" ht="13">
      <c r="A1225" s="29"/>
      <c r="C1225" s="32"/>
      <c r="I1225" s="34"/>
      <c r="BP1225" s="29"/>
      <c r="CD1225" s="29"/>
      <c r="CJ1225" s="29"/>
      <c r="CM1225" s="30" t="str">
        <f ca="1">IFERROR(__xludf.DUMMYFUNCTION("""COMPUTED_VALUE"""),"")</f>
        <v/>
      </c>
      <c r="CN1225" s="32" t="e">
        <f ca="1"/>
        <v>#NAME?</v>
      </c>
      <c r="CO1225" s="32" t="e">
        <f ca="1"/>
        <v>#NAME?</v>
      </c>
      <c r="CP1225" s="32" t="e">
        <f ca="1"/>
        <v>#NAME?</v>
      </c>
      <c r="CQ1225" s="32" t="e">
        <f ca="1"/>
        <v>#NAME?</v>
      </c>
      <c r="CR1225" s="30" t="e">
        <f ca="1"/>
        <v>#NAME?</v>
      </c>
      <c r="CS1225" s="30" t="str">
        <f ca="1">IFERROR(__xludf.DUMMYFUNCTION("""COMPUTED_VALUE"""),"")</f>
        <v/>
      </c>
    </row>
    <row r="1226" spans="1:97" ht="13">
      <c r="A1226" s="29"/>
      <c r="C1226" s="32"/>
      <c r="I1226" s="34"/>
      <c r="BP1226" s="29"/>
      <c r="CD1226" s="29"/>
      <c r="CJ1226" s="29"/>
      <c r="CM1226" s="30" t="str">
        <f ca="1">IFERROR(__xludf.DUMMYFUNCTION("""COMPUTED_VALUE"""),"")</f>
        <v/>
      </c>
      <c r="CN1226" s="32" t="e">
        <f ca="1"/>
        <v>#NAME?</v>
      </c>
      <c r="CO1226" s="32" t="e">
        <f ca="1"/>
        <v>#NAME?</v>
      </c>
      <c r="CP1226" s="32" t="e">
        <f ca="1"/>
        <v>#NAME?</v>
      </c>
      <c r="CQ1226" s="32" t="e">
        <f ca="1"/>
        <v>#NAME?</v>
      </c>
      <c r="CR1226" s="30" t="e">
        <f ca="1"/>
        <v>#NAME?</v>
      </c>
      <c r="CS1226" s="30" t="str">
        <f ca="1">IFERROR(__xludf.DUMMYFUNCTION("""COMPUTED_VALUE"""),"")</f>
        <v/>
      </c>
    </row>
    <row r="1227" spans="1:97" ht="13">
      <c r="A1227" s="29"/>
      <c r="C1227" s="32"/>
      <c r="I1227" s="34"/>
      <c r="BP1227" s="29"/>
      <c r="CD1227" s="29"/>
      <c r="CJ1227" s="29"/>
      <c r="CM1227" s="30" t="str">
        <f ca="1">IFERROR(__xludf.DUMMYFUNCTION("""COMPUTED_VALUE"""),"")</f>
        <v/>
      </c>
      <c r="CN1227" s="32" t="e">
        <f ca="1"/>
        <v>#NAME?</v>
      </c>
      <c r="CO1227" s="32" t="e">
        <f ca="1"/>
        <v>#NAME?</v>
      </c>
      <c r="CP1227" s="32" t="e">
        <f ca="1"/>
        <v>#NAME?</v>
      </c>
      <c r="CQ1227" s="32" t="e">
        <f ca="1"/>
        <v>#NAME?</v>
      </c>
      <c r="CR1227" s="30" t="e">
        <f ca="1"/>
        <v>#NAME?</v>
      </c>
      <c r="CS1227" s="30" t="str">
        <f ca="1">IFERROR(__xludf.DUMMYFUNCTION("""COMPUTED_VALUE"""),"")</f>
        <v/>
      </c>
    </row>
    <row r="1228" spans="1:97" ht="13">
      <c r="A1228" s="29"/>
      <c r="C1228" s="32"/>
      <c r="I1228" s="34"/>
      <c r="BP1228" s="29"/>
      <c r="CD1228" s="29"/>
      <c r="CJ1228" s="29"/>
      <c r="CM1228" s="30" t="str">
        <f ca="1">IFERROR(__xludf.DUMMYFUNCTION("""COMPUTED_VALUE"""),"")</f>
        <v/>
      </c>
      <c r="CN1228" s="32" t="e">
        <f ca="1"/>
        <v>#NAME?</v>
      </c>
      <c r="CO1228" s="32" t="e">
        <f ca="1"/>
        <v>#NAME?</v>
      </c>
      <c r="CP1228" s="32" t="e">
        <f ca="1"/>
        <v>#NAME?</v>
      </c>
      <c r="CQ1228" s="32" t="e">
        <f ca="1"/>
        <v>#NAME?</v>
      </c>
      <c r="CR1228" s="30" t="e">
        <f ca="1"/>
        <v>#NAME?</v>
      </c>
      <c r="CS1228" s="30" t="str">
        <f ca="1">IFERROR(__xludf.DUMMYFUNCTION("""COMPUTED_VALUE"""),"")</f>
        <v/>
      </c>
    </row>
    <row r="1229" spans="1:97" ht="13">
      <c r="A1229" s="29"/>
      <c r="C1229" s="32"/>
      <c r="I1229" s="34"/>
      <c r="BP1229" s="29"/>
      <c r="CD1229" s="29"/>
      <c r="CJ1229" s="29"/>
      <c r="CM1229" s="30" t="str">
        <f ca="1">IFERROR(__xludf.DUMMYFUNCTION("""COMPUTED_VALUE"""),"")</f>
        <v/>
      </c>
      <c r="CN1229" s="32" t="e">
        <f ca="1"/>
        <v>#NAME?</v>
      </c>
      <c r="CO1229" s="32" t="e">
        <f ca="1"/>
        <v>#NAME?</v>
      </c>
      <c r="CP1229" s="32" t="e">
        <f ca="1"/>
        <v>#NAME?</v>
      </c>
      <c r="CQ1229" s="32" t="e">
        <f ca="1"/>
        <v>#NAME?</v>
      </c>
      <c r="CR1229" s="30" t="e">
        <f ca="1"/>
        <v>#NAME?</v>
      </c>
      <c r="CS1229" s="30" t="str">
        <f ca="1">IFERROR(__xludf.DUMMYFUNCTION("""COMPUTED_VALUE"""),"")</f>
        <v/>
      </c>
    </row>
    <row r="1230" spans="1:97" ht="13">
      <c r="A1230" s="29"/>
      <c r="C1230" s="32"/>
      <c r="I1230" s="34"/>
      <c r="BP1230" s="29"/>
      <c r="CD1230" s="29"/>
      <c r="CJ1230" s="29"/>
      <c r="CM1230" s="30" t="str">
        <f ca="1">IFERROR(__xludf.DUMMYFUNCTION("""COMPUTED_VALUE"""),"")</f>
        <v/>
      </c>
      <c r="CN1230" s="32" t="e">
        <f ca="1"/>
        <v>#NAME?</v>
      </c>
      <c r="CO1230" s="32" t="e">
        <f ca="1"/>
        <v>#NAME?</v>
      </c>
      <c r="CP1230" s="32" t="e">
        <f ca="1"/>
        <v>#NAME?</v>
      </c>
      <c r="CQ1230" s="32" t="e">
        <f ca="1"/>
        <v>#NAME?</v>
      </c>
      <c r="CR1230" s="30" t="e">
        <f ca="1"/>
        <v>#NAME?</v>
      </c>
      <c r="CS1230" s="30" t="str">
        <f ca="1">IFERROR(__xludf.DUMMYFUNCTION("""COMPUTED_VALUE"""),"")</f>
        <v/>
      </c>
    </row>
    <row r="1231" spans="1:97" ht="13">
      <c r="A1231" s="29"/>
      <c r="C1231" s="32"/>
      <c r="I1231" s="34"/>
      <c r="BP1231" s="29"/>
      <c r="CD1231" s="29"/>
      <c r="CJ1231" s="29"/>
      <c r="CM1231" s="30" t="str">
        <f ca="1">IFERROR(__xludf.DUMMYFUNCTION("""COMPUTED_VALUE"""),"")</f>
        <v/>
      </c>
      <c r="CN1231" s="32" t="e">
        <f ca="1"/>
        <v>#NAME?</v>
      </c>
      <c r="CO1231" s="32" t="e">
        <f ca="1"/>
        <v>#NAME?</v>
      </c>
      <c r="CP1231" s="32" t="e">
        <f ca="1"/>
        <v>#NAME?</v>
      </c>
      <c r="CQ1231" s="32" t="e">
        <f ca="1"/>
        <v>#NAME?</v>
      </c>
      <c r="CR1231" s="30" t="e">
        <f ca="1"/>
        <v>#NAME?</v>
      </c>
      <c r="CS1231" s="30" t="str">
        <f ca="1">IFERROR(__xludf.DUMMYFUNCTION("""COMPUTED_VALUE"""),"")</f>
        <v/>
      </c>
    </row>
    <row r="1232" spans="1:97" ht="13">
      <c r="A1232" s="29"/>
      <c r="C1232" s="32"/>
      <c r="I1232" s="34"/>
      <c r="BP1232" s="29"/>
      <c r="CD1232" s="29"/>
      <c r="CJ1232" s="29"/>
      <c r="CM1232" s="30" t="str">
        <f ca="1">IFERROR(__xludf.DUMMYFUNCTION("""COMPUTED_VALUE"""),"")</f>
        <v/>
      </c>
      <c r="CN1232" s="32" t="e">
        <f ca="1"/>
        <v>#NAME?</v>
      </c>
      <c r="CO1232" s="32" t="e">
        <f ca="1"/>
        <v>#NAME?</v>
      </c>
      <c r="CP1232" s="32" t="e">
        <f ca="1"/>
        <v>#NAME?</v>
      </c>
      <c r="CQ1232" s="32" t="e">
        <f ca="1"/>
        <v>#NAME?</v>
      </c>
      <c r="CR1232" s="30" t="e">
        <f ca="1"/>
        <v>#NAME?</v>
      </c>
      <c r="CS1232" s="30" t="str">
        <f ca="1">IFERROR(__xludf.DUMMYFUNCTION("""COMPUTED_VALUE"""),"")</f>
        <v/>
      </c>
    </row>
    <row r="1233" spans="1:97" ht="13">
      <c r="A1233" s="29"/>
      <c r="C1233" s="32"/>
      <c r="I1233" s="34"/>
      <c r="BP1233" s="29"/>
      <c r="CD1233" s="29"/>
      <c r="CJ1233" s="29"/>
      <c r="CM1233" s="30" t="str">
        <f ca="1">IFERROR(__xludf.DUMMYFUNCTION("""COMPUTED_VALUE"""),"")</f>
        <v/>
      </c>
      <c r="CN1233" s="32" t="e">
        <f ca="1"/>
        <v>#NAME?</v>
      </c>
      <c r="CO1233" s="32" t="e">
        <f ca="1"/>
        <v>#NAME?</v>
      </c>
      <c r="CP1233" s="32" t="e">
        <f ca="1"/>
        <v>#NAME?</v>
      </c>
      <c r="CQ1233" s="32" t="e">
        <f ca="1"/>
        <v>#NAME?</v>
      </c>
      <c r="CR1233" s="30" t="e">
        <f ca="1"/>
        <v>#NAME?</v>
      </c>
      <c r="CS1233" s="30" t="str">
        <f ca="1">IFERROR(__xludf.DUMMYFUNCTION("""COMPUTED_VALUE"""),"")</f>
        <v/>
      </c>
    </row>
    <row r="1234" spans="1:97" ht="13">
      <c r="A1234" s="29"/>
      <c r="C1234" s="32"/>
      <c r="I1234" s="34"/>
      <c r="BP1234" s="29"/>
      <c r="CD1234" s="29"/>
      <c r="CJ1234" s="29"/>
      <c r="CM1234" s="30" t="str">
        <f ca="1">IFERROR(__xludf.DUMMYFUNCTION("""COMPUTED_VALUE"""),"")</f>
        <v/>
      </c>
      <c r="CN1234" s="32" t="e">
        <f ca="1"/>
        <v>#NAME?</v>
      </c>
      <c r="CO1234" s="32" t="e">
        <f ca="1"/>
        <v>#NAME?</v>
      </c>
      <c r="CP1234" s="32" t="e">
        <f ca="1"/>
        <v>#NAME?</v>
      </c>
      <c r="CQ1234" s="32" t="e">
        <f ca="1"/>
        <v>#NAME?</v>
      </c>
      <c r="CR1234" s="30" t="e">
        <f ca="1"/>
        <v>#NAME?</v>
      </c>
      <c r="CS1234" s="30" t="str">
        <f ca="1">IFERROR(__xludf.DUMMYFUNCTION("""COMPUTED_VALUE"""),"")</f>
        <v/>
      </c>
    </row>
    <row r="1235" spans="1:97" ht="13">
      <c r="A1235" s="29"/>
      <c r="C1235" s="32"/>
      <c r="I1235" s="34"/>
      <c r="BP1235" s="29"/>
      <c r="CD1235" s="29"/>
      <c r="CJ1235" s="29"/>
      <c r="CM1235" s="30" t="str">
        <f ca="1">IFERROR(__xludf.DUMMYFUNCTION("""COMPUTED_VALUE"""),"")</f>
        <v/>
      </c>
      <c r="CN1235" s="32" t="e">
        <f ca="1"/>
        <v>#NAME?</v>
      </c>
      <c r="CO1235" s="32" t="e">
        <f ca="1"/>
        <v>#NAME?</v>
      </c>
      <c r="CP1235" s="32" t="e">
        <f ca="1"/>
        <v>#NAME?</v>
      </c>
      <c r="CQ1235" s="32" t="e">
        <f ca="1"/>
        <v>#NAME?</v>
      </c>
      <c r="CR1235" s="30" t="e">
        <f ca="1"/>
        <v>#NAME?</v>
      </c>
      <c r="CS1235" s="30" t="str">
        <f ca="1">IFERROR(__xludf.DUMMYFUNCTION("""COMPUTED_VALUE"""),"")</f>
        <v/>
      </c>
    </row>
    <row r="1236" spans="1:97" ht="13">
      <c r="A1236" s="29"/>
      <c r="C1236" s="32"/>
      <c r="I1236" s="34"/>
      <c r="BP1236" s="29"/>
      <c r="CD1236" s="29"/>
      <c r="CJ1236" s="29"/>
      <c r="CM1236" s="30" t="str">
        <f ca="1">IFERROR(__xludf.DUMMYFUNCTION("""COMPUTED_VALUE"""),"")</f>
        <v/>
      </c>
      <c r="CN1236" s="32" t="e">
        <f ca="1"/>
        <v>#NAME?</v>
      </c>
      <c r="CO1236" s="32" t="e">
        <f ca="1"/>
        <v>#NAME?</v>
      </c>
      <c r="CP1236" s="32" t="e">
        <f ca="1"/>
        <v>#NAME?</v>
      </c>
      <c r="CQ1236" s="32" t="e">
        <f ca="1"/>
        <v>#NAME?</v>
      </c>
      <c r="CR1236" s="30" t="e">
        <f ca="1"/>
        <v>#NAME?</v>
      </c>
      <c r="CS1236" s="30" t="str">
        <f ca="1">IFERROR(__xludf.DUMMYFUNCTION("""COMPUTED_VALUE"""),"")</f>
        <v/>
      </c>
    </row>
    <row r="1237" spans="1:97" ht="13">
      <c r="A1237" s="29"/>
      <c r="C1237" s="32"/>
      <c r="I1237" s="34"/>
      <c r="BP1237" s="29"/>
      <c r="CD1237" s="29"/>
      <c r="CJ1237" s="29"/>
      <c r="CM1237" s="30" t="str">
        <f ca="1">IFERROR(__xludf.DUMMYFUNCTION("""COMPUTED_VALUE"""),"")</f>
        <v/>
      </c>
      <c r="CN1237" s="32" t="e">
        <f ca="1"/>
        <v>#NAME?</v>
      </c>
      <c r="CO1237" s="32" t="e">
        <f ca="1"/>
        <v>#NAME?</v>
      </c>
      <c r="CP1237" s="32" t="e">
        <f ca="1"/>
        <v>#NAME?</v>
      </c>
      <c r="CQ1237" s="32" t="e">
        <f ca="1"/>
        <v>#NAME?</v>
      </c>
      <c r="CR1237" s="30" t="e">
        <f ca="1"/>
        <v>#NAME?</v>
      </c>
      <c r="CS1237" s="30" t="str">
        <f ca="1">IFERROR(__xludf.DUMMYFUNCTION("""COMPUTED_VALUE"""),"")</f>
        <v/>
      </c>
    </row>
    <row r="1238" spans="1:97" ht="13">
      <c r="A1238" s="29"/>
      <c r="C1238" s="32"/>
      <c r="I1238" s="34"/>
      <c r="BP1238" s="29"/>
      <c r="CD1238" s="29"/>
      <c r="CJ1238" s="29"/>
      <c r="CM1238" s="30" t="str">
        <f ca="1">IFERROR(__xludf.DUMMYFUNCTION("""COMPUTED_VALUE"""),"")</f>
        <v/>
      </c>
      <c r="CN1238" s="32" t="e">
        <f ca="1"/>
        <v>#NAME?</v>
      </c>
      <c r="CO1238" s="32" t="e">
        <f ca="1"/>
        <v>#NAME?</v>
      </c>
      <c r="CP1238" s="32" t="e">
        <f ca="1"/>
        <v>#NAME?</v>
      </c>
      <c r="CQ1238" s="32" t="e">
        <f ca="1"/>
        <v>#NAME?</v>
      </c>
      <c r="CR1238" s="30" t="e">
        <f ca="1"/>
        <v>#NAME?</v>
      </c>
      <c r="CS1238" s="30" t="str">
        <f ca="1">IFERROR(__xludf.DUMMYFUNCTION("""COMPUTED_VALUE"""),"")</f>
        <v/>
      </c>
    </row>
    <row r="1239" spans="1:97" ht="13">
      <c r="A1239" s="29"/>
      <c r="C1239" s="32"/>
      <c r="I1239" s="34"/>
      <c r="BP1239" s="29"/>
      <c r="CD1239" s="29"/>
      <c r="CJ1239" s="29"/>
      <c r="CM1239" s="30" t="str">
        <f ca="1">IFERROR(__xludf.DUMMYFUNCTION("""COMPUTED_VALUE"""),"")</f>
        <v/>
      </c>
      <c r="CN1239" s="32" t="e">
        <f ca="1"/>
        <v>#NAME?</v>
      </c>
      <c r="CO1239" s="32" t="e">
        <f ca="1"/>
        <v>#NAME?</v>
      </c>
      <c r="CP1239" s="32" t="e">
        <f ca="1"/>
        <v>#NAME?</v>
      </c>
      <c r="CQ1239" s="32" t="e">
        <f ca="1"/>
        <v>#NAME?</v>
      </c>
      <c r="CR1239" s="30" t="e">
        <f ca="1"/>
        <v>#NAME?</v>
      </c>
      <c r="CS1239" s="30" t="str">
        <f ca="1">IFERROR(__xludf.DUMMYFUNCTION("""COMPUTED_VALUE"""),"")</f>
        <v/>
      </c>
    </row>
    <row r="1240" spans="1:97" ht="13">
      <c r="A1240" s="29"/>
      <c r="C1240" s="32"/>
      <c r="I1240" s="34"/>
      <c r="BP1240" s="29"/>
      <c r="CD1240" s="29"/>
      <c r="CJ1240" s="29"/>
      <c r="CM1240" s="30" t="str">
        <f ca="1">IFERROR(__xludf.DUMMYFUNCTION("""COMPUTED_VALUE"""),"")</f>
        <v/>
      </c>
      <c r="CN1240" s="32" t="e">
        <f ca="1"/>
        <v>#NAME?</v>
      </c>
      <c r="CO1240" s="32" t="e">
        <f ca="1"/>
        <v>#NAME?</v>
      </c>
      <c r="CP1240" s="32" t="e">
        <f ca="1"/>
        <v>#NAME?</v>
      </c>
      <c r="CQ1240" s="32" t="e">
        <f ca="1"/>
        <v>#NAME?</v>
      </c>
      <c r="CR1240" s="30" t="e">
        <f ca="1"/>
        <v>#NAME?</v>
      </c>
      <c r="CS1240" s="30" t="str">
        <f ca="1">IFERROR(__xludf.DUMMYFUNCTION("""COMPUTED_VALUE"""),"")</f>
        <v/>
      </c>
    </row>
    <row r="1241" spans="1:97" ht="13">
      <c r="A1241" s="29"/>
      <c r="C1241" s="32"/>
      <c r="I1241" s="34"/>
      <c r="BP1241" s="29"/>
      <c r="CD1241" s="29"/>
      <c r="CJ1241" s="29"/>
      <c r="CM1241" s="30" t="str">
        <f ca="1">IFERROR(__xludf.DUMMYFUNCTION("""COMPUTED_VALUE"""),"")</f>
        <v/>
      </c>
      <c r="CN1241" s="32" t="e">
        <f ca="1"/>
        <v>#NAME?</v>
      </c>
      <c r="CO1241" s="32" t="e">
        <f ca="1"/>
        <v>#NAME?</v>
      </c>
      <c r="CP1241" s="32" t="e">
        <f ca="1"/>
        <v>#NAME?</v>
      </c>
      <c r="CQ1241" s="32" t="e">
        <f ca="1"/>
        <v>#NAME?</v>
      </c>
      <c r="CR1241" s="30" t="e">
        <f ca="1"/>
        <v>#NAME?</v>
      </c>
      <c r="CS1241" s="30" t="str">
        <f ca="1">IFERROR(__xludf.DUMMYFUNCTION("""COMPUTED_VALUE"""),"")</f>
        <v/>
      </c>
    </row>
    <row r="1242" spans="1:97" ht="13">
      <c r="A1242" s="29"/>
      <c r="C1242" s="32"/>
      <c r="I1242" s="34"/>
      <c r="BP1242" s="29"/>
      <c r="CD1242" s="29"/>
      <c r="CJ1242" s="29"/>
      <c r="CM1242" s="30" t="str">
        <f ca="1">IFERROR(__xludf.DUMMYFUNCTION("""COMPUTED_VALUE"""),"")</f>
        <v/>
      </c>
      <c r="CN1242" s="32" t="e">
        <f ca="1"/>
        <v>#NAME?</v>
      </c>
      <c r="CO1242" s="32" t="e">
        <f ca="1"/>
        <v>#NAME?</v>
      </c>
      <c r="CP1242" s="32" t="e">
        <f ca="1"/>
        <v>#NAME?</v>
      </c>
      <c r="CQ1242" s="32" t="e">
        <f ca="1"/>
        <v>#NAME?</v>
      </c>
      <c r="CR1242" s="30" t="e">
        <f ca="1"/>
        <v>#NAME?</v>
      </c>
      <c r="CS1242" s="30" t="str">
        <f ca="1">IFERROR(__xludf.DUMMYFUNCTION("""COMPUTED_VALUE"""),"")</f>
        <v/>
      </c>
    </row>
    <row r="1243" spans="1:97" ht="13">
      <c r="A1243" s="29"/>
      <c r="C1243" s="32"/>
      <c r="I1243" s="34"/>
      <c r="BP1243" s="29"/>
      <c r="CD1243" s="29"/>
      <c r="CJ1243" s="29"/>
      <c r="CM1243" s="30" t="str">
        <f ca="1">IFERROR(__xludf.DUMMYFUNCTION("""COMPUTED_VALUE"""),"")</f>
        <v/>
      </c>
      <c r="CN1243" s="32" t="e">
        <f ca="1"/>
        <v>#NAME?</v>
      </c>
      <c r="CO1243" s="32" t="e">
        <f ca="1"/>
        <v>#NAME?</v>
      </c>
      <c r="CP1243" s="32" t="e">
        <f ca="1"/>
        <v>#NAME?</v>
      </c>
      <c r="CQ1243" s="32" t="e">
        <f ca="1"/>
        <v>#NAME?</v>
      </c>
      <c r="CR1243" s="30" t="e">
        <f ca="1"/>
        <v>#NAME?</v>
      </c>
      <c r="CS1243" s="30" t="str">
        <f ca="1">IFERROR(__xludf.DUMMYFUNCTION("""COMPUTED_VALUE"""),"")</f>
        <v/>
      </c>
    </row>
    <row r="1244" spans="1:97" ht="13">
      <c r="A1244" s="29"/>
      <c r="C1244" s="32"/>
      <c r="I1244" s="34"/>
      <c r="BP1244" s="29"/>
      <c r="CD1244" s="29"/>
      <c r="CJ1244" s="29"/>
      <c r="CM1244" s="30" t="str">
        <f ca="1">IFERROR(__xludf.DUMMYFUNCTION("""COMPUTED_VALUE"""),"")</f>
        <v/>
      </c>
      <c r="CN1244" s="32" t="e">
        <f ca="1"/>
        <v>#NAME?</v>
      </c>
      <c r="CO1244" s="32" t="e">
        <f ca="1"/>
        <v>#NAME?</v>
      </c>
      <c r="CP1244" s="32" t="e">
        <f ca="1"/>
        <v>#NAME?</v>
      </c>
      <c r="CQ1244" s="32" t="e">
        <f ca="1"/>
        <v>#NAME?</v>
      </c>
      <c r="CR1244" s="30" t="e">
        <f ca="1"/>
        <v>#NAME?</v>
      </c>
      <c r="CS1244" s="30" t="str">
        <f ca="1">IFERROR(__xludf.DUMMYFUNCTION("""COMPUTED_VALUE"""),"")</f>
        <v/>
      </c>
    </row>
    <row r="1245" spans="1:97" ht="13">
      <c r="A1245" s="29"/>
      <c r="C1245" s="32"/>
      <c r="I1245" s="34"/>
      <c r="BP1245" s="29"/>
      <c r="CD1245" s="29"/>
      <c r="CJ1245" s="29"/>
      <c r="CM1245" s="30" t="str">
        <f ca="1">IFERROR(__xludf.DUMMYFUNCTION("""COMPUTED_VALUE"""),"")</f>
        <v/>
      </c>
      <c r="CN1245" s="32" t="e">
        <f ca="1"/>
        <v>#NAME?</v>
      </c>
      <c r="CO1245" s="32" t="e">
        <f ca="1"/>
        <v>#NAME?</v>
      </c>
      <c r="CP1245" s="32" t="e">
        <f ca="1"/>
        <v>#NAME?</v>
      </c>
      <c r="CQ1245" s="32" t="e">
        <f ca="1"/>
        <v>#NAME?</v>
      </c>
      <c r="CR1245" s="30" t="e">
        <f ca="1"/>
        <v>#NAME?</v>
      </c>
      <c r="CS1245" s="30" t="str">
        <f ca="1">IFERROR(__xludf.DUMMYFUNCTION("""COMPUTED_VALUE"""),"")</f>
        <v/>
      </c>
    </row>
    <row r="1246" spans="1:97" ht="13">
      <c r="A1246" s="29"/>
      <c r="C1246" s="32"/>
      <c r="I1246" s="34"/>
      <c r="BP1246" s="29"/>
      <c r="CD1246" s="29"/>
      <c r="CJ1246" s="29"/>
      <c r="CM1246" s="30" t="str">
        <f ca="1">IFERROR(__xludf.DUMMYFUNCTION("""COMPUTED_VALUE"""),"")</f>
        <v/>
      </c>
      <c r="CN1246" s="32" t="e">
        <f ca="1"/>
        <v>#NAME?</v>
      </c>
      <c r="CO1246" s="32" t="e">
        <f ca="1"/>
        <v>#NAME?</v>
      </c>
      <c r="CP1246" s="32" t="e">
        <f ca="1"/>
        <v>#NAME?</v>
      </c>
      <c r="CQ1246" s="32" t="e">
        <f ca="1"/>
        <v>#NAME?</v>
      </c>
      <c r="CR1246" s="30" t="e">
        <f ca="1"/>
        <v>#NAME?</v>
      </c>
      <c r="CS1246" s="30" t="str">
        <f ca="1">IFERROR(__xludf.DUMMYFUNCTION("""COMPUTED_VALUE"""),"")</f>
        <v/>
      </c>
    </row>
    <row r="1247" spans="1:97" ht="13">
      <c r="A1247" s="29"/>
      <c r="C1247" s="32"/>
      <c r="I1247" s="34"/>
      <c r="BP1247" s="29"/>
      <c r="CD1247" s="29"/>
      <c r="CJ1247" s="29"/>
      <c r="CM1247" s="30" t="str">
        <f ca="1">IFERROR(__xludf.DUMMYFUNCTION("""COMPUTED_VALUE"""),"")</f>
        <v/>
      </c>
      <c r="CN1247" s="32" t="e">
        <f ca="1"/>
        <v>#NAME?</v>
      </c>
      <c r="CO1247" s="32" t="e">
        <f ca="1"/>
        <v>#NAME?</v>
      </c>
      <c r="CP1247" s="32" t="e">
        <f ca="1"/>
        <v>#NAME?</v>
      </c>
      <c r="CQ1247" s="32" t="e">
        <f ca="1"/>
        <v>#NAME?</v>
      </c>
      <c r="CR1247" s="30" t="e">
        <f ca="1"/>
        <v>#NAME?</v>
      </c>
      <c r="CS1247" s="30" t="str">
        <f ca="1">IFERROR(__xludf.DUMMYFUNCTION("""COMPUTED_VALUE"""),"")</f>
        <v/>
      </c>
    </row>
    <row r="1248" spans="1:97" ht="13">
      <c r="A1248" s="29"/>
      <c r="C1248" s="32"/>
      <c r="I1248" s="34"/>
      <c r="BP1248" s="29"/>
      <c r="CD1248" s="29"/>
      <c r="CJ1248" s="29"/>
      <c r="CM1248" s="30" t="str">
        <f ca="1">IFERROR(__xludf.DUMMYFUNCTION("""COMPUTED_VALUE"""),"")</f>
        <v/>
      </c>
      <c r="CN1248" s="32" t="e">
        <f ca="1"/>
        <v>#NAME?</v>
      </c>
      <c r="CO1248" s="32" t="e">
        <f ca="1"/>
        <v>#NAME?</v>
      </c>
      <c r="CP1248" s="32" t="e">
        <f ca="1"/>
        <v>#NAME?</v>
      </c>
      <c r="CQ1248" s="32" t="e">
        <f ca="1"/>
        <v>#NAME?</v>
      </c>
      <c r="CR1248" s="30" t="e">
        <f ca="1"/>
        <v>#NAME?</v>
      </c>
      <c r="CS1248" s="30" t="str">
        <f ca="1">IFERROR(__xludf.DUMMYFUNCTION("""COMPUTED_VALUE"""),"")</f>
        <v/>
      </c>
    </row>
    <row r="1249" spans="1:97" ht="13">
      <c r="A1249" s="29"/>
      <c r="C1249" s="32"/>
      <c r="I1249" s="34"/>
      <c r="BP1249" s="29"/>
      <c r="CD1249" s="29"/>
      <c r="CJ1249" s="29"/>
      <c r="CM1249" s="30" t="str">
        <f ca="1">IFERROR(__xludf.DUMMYFUNCTION("""COMPUTED_VALUE"""),"")</f>
        <v/>
      </c>
      <c r="CN1249" s="32" t="e">
        <f ca="1"/>
        <v>#NAME?</v>
      </c>
      <c r="CO1249" s="32" t="e">
        <f ca="1"/>
        <v>#NAME?</v>
      </c>
      <c r="CP1249" s="32" t="e">
        <f ca="1"/>
        <v>#NAME?</v>
      </c>
      <c r="CQ1249" s="32" t="e">
        <f ca="1"/>
        <v>#NAME?</v>
      </c>
      <c r="CR1249" s="30" t="e">
        <f ca="1"/>
        <v>#NAME?</v>
      </c>
      <c r="CS1249" s="30" t="str">
        <f ca="1">IFERROR(__xludf.DUMMYFUNCTION("""COMPUTED_VALUE"""),"")</f>
        <v/>
      </c>
    </row>
    <row r="1250" spans="1:97" ht="13">
      <c r="A1250" s="29"/>
      <c r="C1250" s="32"/>
      <c r="I1250" s="34"/>
      <c r="BP1250" s="29"/>
      <c r="CD1250" s="29"/>
      <c r="CJ1250" s="29"/>
      <c r="CM1250" s="30" t="str">
        <f ca="1">IFERROR(__xludf.DUMMYFUNCTION("""COMPUTED_VALUE"""),"")</f>
        <v/>
      </c>
      <c r="CN1250" s="32" t="e">
        <f ca="1"/>
        <v>#NAME?</v>
      </c>
      <c r="CO1250" s="32" t="e">
        <f ca="1"/>
        <v>#NAME?</v>
      </c>
      <c r="CP1250" s="32" t="e">
        <f ca="1"/>
        <v>#NAME?</v>
      </c>
      <c r="CQ1250" s="32" t="e">
        <f ca="1"/>
        <v>#NAME?</v>
      </c>
      <c r="CR1250" s="30" t="e">
        <f ca="1"/>
        <v>#NAME?</v>
      </c>
      <c r="CS1250" s="30" t="str">
        <f ca="1">IFERROR(__xludf.DUMMYFUNCTION("""COMPUTED_VALUE"""),"")</f>
        <v/>
      </c>
    </row>
    <row r="1251" spans="1:97" ht="13">
      <c r="A1251" s="29"/>
      <c r="C1251" s="32"/>
      <c r="I1251" s="34"/>
      <c r="BP1251" s="29"/>
      <c r="CD1251" s="29"/>
      <c r="CJ1251" s="29"/>
      <c r="CM1251" s="30" t="str">
        <f ca="1">IFERROR(__xludf.DUMMYFUNCTION("""COMPUTED_VALUE"""),"")</f>
        <v/>
      </c>
      <c r="CN1251" s="32" t="e">
        <f ca="1"/>
        <v>#NAME?</v>
      </c>
      <c r="CO1251" s="32" t="e">
        <f ca="1"/>
        <v>#NAME?</v>
      </c>
      <c r="CP1251" s="32" t="e">
        <f ca="1"/>
        <v>#NAME?</v>
      </c>
      <c r="CQ1251" s="32" t="e">
        <f ca="1"/>
        <v>#NAME?</v>
      </c>
      <c r="CR1251" s="30" t="e">
        <f ca="1"/>
        <v>#NAME?</v>
      </c>
      <c r="CS1251" s="30" t="str">
        <f ca="1">IFERROR(__xludf.DUMMYFUNCTION("""COMPUTED_VALUE"""),"")</f>
        <v/>
      </c>
    </row>
    <row r="1252" spans="1:97" ht="13">
      <c r="A1252" s="29"/>
      <c r="C1252" s="32"/>
      <c r="I1252" s="34"/>
      <c r="BP1252" s="29"/>
      <c r="CD1252" s="29"/>
      <c r="CJ1252" s="29"/>
      <c r="CM1252" s="30" t="str">
        <f ca="1">IFERROR(__xludf.DUMMYFUNCTION("""COMPUTED_VALUE"""),"")</f>
        <v/>
      </c>
      <c r="CN1252" s="32" t="e">
        <f ca="1"/>
        <v>#NAME?</v>
      </c>
      <c r="CO1252" s="32" t="e">
        <f ca="1"/>
        <v>#NAME?</v>
      </c>
      <c r="CP1252" s="32" t="e">
        <f ca="1"/>
        <v>#NAME?</v>
      </c>
      <c r="CQ1252" s="32" t="e">
        <f ca="1"/>
        <v>#NAME?</v>
      </c>
      <c r="CR1252" s="30" t="e">
        <f ca="1"/>
        <v>#NAME?</v>
      </c>
      <c r="CS1252" s="30" t="str">
        <f ca="1">IFERROR(__xludf.DUMMYFUNCTION("""COMPUTED_VALUE"""),"")</f>
        <v/>
      </c>
    </row>
    <row r="1253" spans="1:97" ht="13">
      <c r="A1253" s="29"/>
      <c r="C1253" s="32"/>
      <c r="I1253" s="34"/>
      <c r="BP1253" s="29"/>
      <c r="CD1253" s="29"/>
      <c r="CJ1253" s="29"/>
      <c r="CM1253" s="30" t="str">
        <f ca="1">IFERROR(__xludf.DUMMYFUNCTION("""COMPUTED_VALUE"""),"")</f>
        <v/>
      </c>
      <c r="CN1253" s="32" t="e">
        <f ca="1"/>
        <v>#NAME?</v>
      </c>
      <c r="CO1253" s="32" t="e">
        <f ca="1"/>
        <v>#NAME?</v>
      </c>
      <c r="CP1253" s="32" t="e">
        <f ca="1"/>
        <v>#NAME?</v>
      </c>
      <c r="CQ1253" s="32" t="e">
        <f ca="1"/>
        <v>#NAME?</v>
      </c>
      <c r="CR1253" s="30" t="e">
        <f ca="1"/>
        <v>#NAME?</v>
      </c>
      <c r="CS1253" s="30" t="str">
        <f ca="1">IFERROR(__xludf.DUMMYFUNCTION("""COMPUTED_VALUE"""),"")</f>
        <v/>
      </c>
    </row>
    <row r="1254" spans="1:97" ht="13">
      <c r="A1254" s="29"/>
      <c r="C1254" s="32"/>
      <c r="I1254" s="34"/>
      <c r="BP1254" s="29"/>
      <c r="CD1254" s="29"/>
      <c r="CJ1254" s="29"/>
      <c r="CM1254" s="30" t="str">
        <f ca="1">IFERROR(__xludf.DUMMYFUNCTION("""COMPUTED_VALUE"""),"")</f>
        <v/>
      </c>
      <c r="CN1254" s="32" t="e">
        <f ca="1"/>
        <v>#NAME?</v>
      </c>
      <c r="CO1254" s="32" t="e">
        <f ca="1"/>
        <v>#NAME?</v>
      </c>
      <c r="CP1254" s="32" t="e">
        <f ca="1"/>
        <v>#NAME?</v>
      </c>
      <c r="CQ1254" s="32" t="e">
        <f ca="1"/>
        <v>#NAME?</v>
      </c>
      <c r="CR1254" s="30" t="e">
        <f ca="1"/>
        <v>#NAME?</v>
      </c>
      <c r="CS1254" s="30" t="str">
        <f ca="1">IFERROR(__xludf.DUMMYFUNCTION("""COMPUTED_VALUE"""),"")</f>
        <v/>
      </c>
    </row>
    <row r="1255" spans="1:97" ht="13">
      <c r="A1255" s="29"/>
      <c r="C1255" s="32"/>
      <c r="I1255" s="34"/>
      <c r="BP1255" s="29"/>
      <c r="CD1255" s="29"/>
      <c r="CJ1255" s="29"/>
      <c r="CM1255" s="30" t="str">
        <f ca="1">IFERROR(__xludf.DUMMYFUNCTION("""COMPUTED_VALUE"""),"")</f>
        <v/>
      </c>
      <c r="CN1255" s="32" t="e">
        <f ca="1"/>
        <v>#NAME?</v>
      </c>
      <c r="CO1255" s="32" t="e">
        <f ca="1"/>
        <v>#NAME?</v>
      </c>
      <c r="CP1255" s="32" t="e">
        <f ca="1"/>
        <v>#NAME?</v>
      </c>
      <c r="CQ1255" s="32" t="e">
        <f ca="1"/>
        <v>#NAME?</v>
      </c>
      <c r="CR1255" s="30" t="e">
        <f ca="1"/>
        <v>#NAME?</v>
      </c>
      <c r="CS1255" s="30" t="str">
        <f ca="1">IFERROR(__xludf.DUMMYFUNCTION("""COMPUTED_VALUE"""),"")</f>
        <v/>
      </c>
    </row>
    <row r="1256" spans="1:97" ht="13">
      <c r="A1256" s="29"/>
      <c r="C1256" s="32"/>
      <c r="I1256" s="34"/>
      <c r="BP1256" s="29"/>
      <c r="CD1256" s="29"/>
      <c r="CJ1256" s="29"/>
      <c r="CM1256" s="30" t="str">
        <f ca="1">IFERROR(__xludf.DUMMYFUNCTION("""COMPUTED_VALUE"""),"")</f>
        <v/>
      </c>
      <c r="CN1256" s="32" t="e">
        <f ca="1"/>
        <v>#NAME?</v>
      </c>
      <c r="CO1256" s="32" t="e">
        <f ca="1"/>
        <v>#NAME?</v>
      </c>
      <c r="CP1256" s="32" t="e">
        <f ca="1"/>
        <v>#NAME?</v>
      </c>
      <c r="CQ1256" s="32" t="e">
        <f ca="1"/>
        <v>#NAME?</v>
      </c>
      <c r="CR1256" s="30" t="e">
        <f ca="1"/>
        <v>#NAME?</v>
      </c>
      <c r="CS1256" s="30" t="str">
        <f ca="1">IFERROR(__xludf.DUMMYFUNCTION("""COMPUTED_VALUE"""),"")</f>
        <v/>
      </c>
    </row>
    <row r="1257" spans="1:97" ht="13">
      <c r="A1257" s="29"/>
      <c r="C1257" s="32"/>
      <c r="I1257" s="34"/>
      <c r="BP1257" s="29"/>
      <c r="CD1257" s="29"/>
      <c r="CJ1257" s="29"/>
      <c r="CM1257" s="30" t="str">
        <f ca="1">IFERROR(__xludf.DUMMYFUNCTION("""COMPUTED_VALUE"""),"")</f>
        <v/>
      </c>
      <c r="CN1257" s="32" t="e">
        <f ca="1"/>
        <v>#NAME?</v>
      </c>
      <c r="CO1257" s="32" t="e">
        <f ca="1"/>
        <v>#NAME?</v>
      </c>
      <c r="CP1257" s="32" t="e">
        <f ca="1"/>
        <v>#NAME?</v>
      </c>
      <c r="CQ1257" s="32" t="e">
        <f ca="1"/>
        <v>#NAME?</v>
      </c>
      <c r="CR1257" s="30" t="e">
        <f ca="1"/>
        <v>#NAME?</v>
      </c>
      <c r="CS1257" s="30" t="str">
        <f ca="1">IFERROR(__xludf.DUMMYFUNCTION("""COMPUTED_VALUE"""),"")</f>
        <v/>
      </c>
    </row>
    <row r="1258" spans="1:97" ht="13">
      <c r="A1258" s="29"/>
      <c r="C1258" s="32"/>
      <c r="I1258" s="34"/>
      <c r="BP1258" s="29"/>
      <c r="CD1258" s="29"/>
      <c r="CJ1258" s="29"/>
      <c r="CM1258" s="30" t="str">
        <f ca="1">IFERROR(__xludf.DUMMYFUNCTION("""COMPUTED_VALUE"""),"")</f>
        <v/>
      </c>
      <c r="CN1258" s="32" t="e">
        <f ca="1"/>
        <v>#NAME?</v>
      </c>
      <c r="CO1258" s="32" t="e">
        <f ca="1"/>
        <v>#NAME?</v>
      </c>
      <c r="CP1258" s="32" t="e">
        <f ca="1"/>
        <v>#NAME?</v>
      </c>
      <c r="CQ1258" s="32" t="e">
        <f ca="1"/>
        <v>#NAME?</v>
      </c>
      <c r="CR1258" s="30" t="e">
        <f ca="1"/>
        <v>#NAME?</v>
      </c>
      <c r="CS1258" s="30" t="str">
        <f ca="1">IFERROR(__xludf.DUMMYFUNCTION("""COMPUTED_VALUE"""),"")</f>
        <v/>
      </c>
    </row>
    <row r="1259" spans="1:97" ht="13">
      <c r="A1259" s="29"/>
      <c r="C1259" s="32"/>
      <c r="I1259" s="34"/>
      <c r="BP1259" s="29"/>
      <c r="CD1259" s="29"/>
      <c r="CJ1259" s="29"/>
      <c r="CM1259" s="30" t="str">
        <f ca="1">IFERROR(__xludf.DUMMYFUNCTION("""COMPUTED_VALUE"""),"")</f>
        <v/>
      </c>
      <c r="CN1259" s="32" t="e">
        <f ca="1"/>
        <v>#NAME?</v>
      </c>
      <c r="CO1259" s="32" t="e">
        <f ca="1"/>
        <v>#NAME?</v>
      </c>
      <c r="CP1259" s="32" t="e">
        <f ca="1"/>
        <v>#NAME?</v>
      </c>
      <c r="CQ1259" s="32" t="e">
        <f ca="1"/>
        <v>#NAME?</v>
      </c>
      <c r="CR1259" s="30" t="e">
        <f ca="1"/>
        <v>#NAME?</v>
      </c>
      <c r="CS1259" s="30" t="str">
        <f ca="1">IFERROR(__xludf.DUMMYFUNCTION("""COMPUTED_VALUE"""),"")</f>
        <v/>
      </c>
    </row>
    <row r="1260" spans="1:97" ht="13">
      <c r="A1260" s="29"/>
      <c r="C1260" s="32"/>
      <c r="I1260" s="34"/>
      <c r="BP1260" s="29"/>
      <c r="CD1260" s="29"/>
      <c r="CJ1260" s="29"/>
      <c r="CM1260" s="30" t="str">
        <f ca="1">IFERROR(__xludf.DUMMYFUNCTION("""COMPUTED_VALUE"""),"")</f>
        <v/>
      </c>
      <c r="CN1260" s="32" t="e">
        <f ca="1"/>
        <v>#NAME?</v>
      </c>
      <c r="CO1260" s="32" t="e">
        <f ca="1"/>
        <v>#NAME?</v>
      </c>
      <c r="CP1260" s="32" t="e">
        <f ca="1"/>
        <v>#NAME?</v>
      </c>
      <c r="CQ1260" s="32" t="e">
        <f ca="1"/>
        <v>#NAME?</v>
      </c>
      <c r="CR1260" s="30" t="e">
        <f ca="1"/>
        <v>#NAME?</v>
      </c>
      <c r="CS1260" s="30" t="str">
        <f ca="1">IFERROR(__xludf.DUMMYFUNCTION("""COMPUTED_VALUE"""),"")</f>
        <v/>
      </c>
    </row>
    <row r="1261" spans="1:97" ht="13">
      <c r="A1261" s="29"/>
      <c r="C1261" s="32"/>
      <c r="I1261" s="34"/>
      <c r="BP1261" s="29"/>
      <c r="CD1261" s="29"/>
      <c r="CJ1261" s="29"/>
      <c r="CM1261" s="30" t="str">
        <f ca="1">IFERROR(__xludf.DUMMYFUNCTION("""COMPUTED_VALUE"""),"")</f>
        <v/>
      </c>
      <c r="CN1261" s="32" t="e">
        <f ca="1"/>
        <v>#NAME?</v>
      </c>
      <c r="CO1261" s="32" t="e">
        <f ca="1"/>
        <v>#NAME?</v>
      </c>
      <c r="CP1261" s="32" t="e">
        <f ca="1"/>
        <v>#NAME?</v>
      </c>
      <c r="CQ1261" s="32" t="e">
        <f ca="1"/>
        <v>#NAME?</v>
      </c>
      <c r="CR1261" s="30" t="e">
        <f ca="1"/>
        <v>#NAME?</v>
      </c>
      <c r="CS1261" s="30" t="str">
        <f ca="1">IFERROR(__xludf.DUMMYFUNCTION("""COMPUTED_VALUE"""),"")</f>
        <v/>
      </c>
    </row>
    <row r="1262" spans="1:97" ht="13">
      <c r="A1262" s="29"/>
      <c r="C1262" s="32"/>
      <c r="I1262" s="34"/>
      <c r="BP1262" s="29"/>
      <c r="CD1262" s="29"/>
      <c r="CJ1262" s="29"/>
      <c r="CM1262" s="30" t="str">
        <f ca="1">IFERROR(__xludf.DUMMYFUNCTION("""COMPUTED_VALUE"""),"")</f>
        <v/>
      </c>
      <c r="CN1262" s="32" t="e">
        <f ca="1"/>
        <v>#NAME?</v>
      </c>
      <c r="CO1262" s="32" t="e">
        <f ca="1"/>
        <v>#NAME?</v>
      </c>
      <c r="CP1262" s="32" t="e">
        <f ca="1"/>
        <v>#NAME?</v>
      </c>
      <c r="CQ1262" s="32" t="e">
        <f ca="1"/>
        <v>#NAME?</v>
      </c>
      <c r="CR1262" s="30" t="e">
        <f ca="1"/>
        <v>#NAME?</v>
      </c>
      <c r="CS1262" s="30" t="str">
        <f ca="1">IFERROR(__xludf.DUMMYFUNCTION("""COMPUTED_VALUE"""),"")</f>
        <v/>
      </c>
    </row>
    <row r="1263" spans="1:97" ht="13">
      <c r="A1263" s="29"/>
      <c r="C1263" s="32"/>
      <c r="I1263" s="34"/>
      <c r="BP1263" s="29"/>
      <c r="CD1263" s="29"/>
      <c r="CJ1263" s="29"/>
      <c r="CM1263" s="30" t="str">
        <f ca="1">IFERROR(__xludf.DUMMYFUNCTION("""COMPUTED_VALUE"""),"")</f>
        <v/>
      </c>
      <c r="CN1263" s="32" t="e">
        <f ca="1"/>
        <v>#NAME?</v>
      </c>
      <c r="CO1263" s="32" t="e">
        <f ca="1"/>
        <v>#NAME?</v>
      </c>
      <c r="CP1263" s="32" t="e">
        <f ca="1"/>
        <v>#NAME?</v>
      </c>
      <c r="CQ1263" s="32" t="e">
        <f ca="1"/>
        <v>#NAME?</v>
      </c>
      <c r="CR1263" s="30" t="e">
        <f ca="1"/>
        <v>#NAME?</v>
      </c>
      <c r="CS1263" s="30" t="str">
        <f ca="1">IFERROR(__xludf.DUMMYFUNCTION("""COMPUTED_VALUE"""),"")</f>
        <v/>
      </c>
    </row>
    <row r="1264" spans="1:97" ht="13">
      <c r="A1264" s="29"/>
      <c r="C1264" s="32"/>
      <c r="I1264" s="34"/>
      <c r="BP1264" s="29"/>
      <c r="CD1264" s="29"/>
      <c r="CJ1264" s="29"/>
      <c r="CM1264" s="30" t="str">
        <f ca="1">IFERROR(__xludf.DUMMYFUNCTION("""COMPUTED_VALUE"""),"")</f>
        <v/>
      </c>
      <c r="CN1264" s="32" t="e">
        <f ca="1"/>
        <v>#NAME?</v>
      </c>
      <c r="CO1264" s="32" t="e">
        <f ca="1"/>
        <v>#NAME?</v>
      </c>
      <c r="CP1264" s="32" t="e">
        <f ca="1"/>
        <v>#NAME?</v>
      </c>
      <c r="CQ1264" s="32" t="e">
        <f ca="1"/>
        <v>#NAME?</v>
      </c>
      <c r="CR1264" s="30" t="e">
        <f ca="1"/>
        <v>#NAME?</v>
      </c>
      <c r="CS1264" s="30" t="str">
        <f ca="1">IFERROR(__xludf.DUMMYFUNCTION("""COMPUTED_VALUE"""),"")</f>
        <v/>
      </c>
    </row>
    <row r="1265" spans="1:97" ht="13">
      <c r="A1265" s="29"/>
      <c r="C1265" s="32"/>
      <c r="I1265" s="34"/>
      <c r="BP1265" s="29"/>
      <c r="CD1265" s="29"/>
      <c r="CJ1265" s="29"/>
      <c r="CM1265" s="30" t="str">
        <f ca="1">IFERROR(__xludf.DUMMYFUNCTION("""COMPUTED_VALUE"""),"")</f>
        <v/>
      </c>
      <c r="CN1265" s="32" t="e">
        <f ca="1"/>
        <v>#NAME?</v>
      </c>
      <c r="CO1265" s="32" t="e">
        <f ca="1"/>
        <v>#NAME?</v>
      </c>
      <c r="CP1265" s="32" t="e">
        <f ca="1"/>
        <v>#NAME?</v>
      </c>
      <c r="CQ1265" s="32" t="e">
        <f ca="1"/>
        <v>#NAME?</v>
      </c>
      <c r="CR1265" s="30" t="e">
        <f ca="1"/>
        <v>#NAME?</v>
      </c>
      <c r="CS1265" s="30" t="str">
        <f ca="1">IFERROR(__xludf.DUMMYFUNCTION("""COMPUTED_VALUE"""),"")</f>
        <v/>
      </c>
    </row>
    <row r="1266" spans="1:97" ht="13">
      <c r="A1266" s="29"/>
      <c r="C1266" s="32"/>
      <c r="I1266" s="34"/>
      <c r="BP1266" s="29"/>
      <c r="CD1266" s="29"/>
      <c r="CJ1266" s="29"/>
      <c r="CM1266" s="30" t="str">
        <f ca="1">IFERROR(__xludf.DUMMYFUNCTION("""COMPUTED_VALUE"""),"")</f>
        <v/>
      </c>
      <c r="CN1266" s="32" t="e">
        <f ca="1"/>
        <v>#NAME?</v>
      </c>
      <c r="CO1266" s="32" t="e">
        <f ca="1"/>
        <v>#NAME?</v>
      </c>
      <c r="CP1266" s="32" t="e">
        <f ca="1"/>
        <v>#NAME?</v>
      </c>
      <c r="CQ1266" s="32" t="e">
        <f ca="1"/>
        <v>#NAME?</v>
      </c>
      <c r="CR1266" s="30" t="e">
        <f ca="1"/>
        <v>#NAME?</v>
      </c>
      <c r="CS1266" s="30" t="str">
        <f ca="1">IFERROR(__xludf.DUMMYFUNCTION("""COMPUTED_VALUE"""),"")</f>
        <v/>
      </c>
    </row>
    <row r="1267" spans="1:97" ht="13">
      <c r="A1267" s="29"/>
      <c r="C1267" s="32"/>
      <c r="I1267" s="34"/>
      <c r="BP1267" s="29"/>
      <c r="CD1267" s="29"/>
      <c r="CJ1267" s="29"/>
      <c r="CM1267" s="30" t="str">
        <f ca="1">IFERROR(__xludf.DUMMYFUNCTION("""COMPUTED_VALUE"""),"")</f>
        <v/>
      </c>
      <c r="CN1267" s="32" t="e">
        <f ca="1"/>
        <v>#NAME?</v>
      </c>
      <c r="CO1267" s="32" t="e">
        <f ca="1"/>
        <v>#NAME?</v>
      </c>
      <c r="CP1267" s="32" t="e">
        <f ca="1"/>
        <v>#NAME?</v>
      </c>
      <c r="CQ1267" s="32" t="e">
        <f ca="1"/>
        <v>#NAME?</v>
      </c>
      <c r="CR1267" s="30" t="e">
        <f ca="1"/>
        <v>#NAME?</v>
      </c>
      <c r="CS1267" s="30" t="str">
        <f ca="1">IFERROR(__xludf.DUMMYFUNCTION("""COMPUTED_VALUE"""),"")</f>
        <v/>
      </c>
    </row>
    <row r="1268" spans="1:97" ht="13">
      <c r="A1268" s="29"/>
      <c r="C1268" s="32"/>
      <c r="I1268" s="34"/>
      <c r="BP1268" s="29"/>
      <c r="CD1268" s="29"/>
      <c r="CJ1268" s="29"/>
      <c r="CM1268" s="30" t="str">
        <f ca="1">IFERROR(__xludf.DUMMYFUNCTION("""COMPUTED_VALUE"""),"")</f>
        <v/>
      </c>
      <c r="CN1268" s="32" t="e">
        <f ca="1"/>
        <v>#NAME?</v>
      </c>
      <c r="CO1268" s="32" t="e">
        <f ca="1"/>
        <v>#NAME?</v>
      </c>
      <c r="CP1268" s="32" t="e">
        <f ca="1"/>
        <v>#NAME?</v>
      </c>
      <c r="CQ1268" s="32" t="e">
        <f ca="1"/>
        <v>#NAME?</v>
      </c>
      <c r="CR1268" s="30" t="e">
        <f ca="1"/>
        <v>#NAME?</v>
      </c>
      <c r="CS1268" s="30" t="str">
        <f ca="1">IFERROR(__xludf.DUMMYFUNCTION("""COMPUTED_VALUE"""),"")</f>
        <v/>
      </c>
    </row>
    <row r="1269" spans="1:97" ht="13">
      <c r="A1269" s="29"/>
      <c r="C1269" s="32"/>
      <c r="I1269" s="34"/>
      <c r="BP1269" s="29"/>
      <c r="CD1269" s="29"/>
      <c r="CJ1269" s="29"/>
      <c r="CM1269" s="30" t="str">
        <f ca="1">IFERROR(__xludf.DUMMYFUNCTION("""COMPUTED_VALUE"""),"")</f>
        <v/>
      </c>
      <c r="CN1269" s="32" t="e">
        <f ca="1"/>
        <v>#NAME?</v>
      </c>
      <c r="CO1269" s="32" t="e">
        <f ca="1"/>
        <v>#NAME?</v>
      </c>
      <c r="CP1269" s="32" t="e">
        <f ca="1"/>
        <v>#NAME?</v>
      </c>
      <c r="CQ1269" s="32" t="e">
        <f ca="1"/>
        <v>#NAME?</v>
      </c>
      <c r="CR1269" s="30" t="e">
        <f ca="1"/>
        <v>#NAME?</v>
      </c>
      <c r="CS1269" s="30" t="str">
        <f ca="1">IFERROR(__xludf.DUMMYFUNCTION("""COMPUTED_VALUE"""),"")</f>
        <v/>
      </c>
    </row>
    <row r="1270" spans="1:97" ht="13">
      <c r="A1270" s="29"/>
      <c r="C1270" s="32"/>
      <c r="I1270" s="34"/>
      <c r="BP1270" s="29"/>
      <c r="CD1270" s="29"/>
      <c r="CJ1270" s="29"/>
      <c r="CM1270" s="30" t="str">
        <f ca="1">IFERROR(__xludf.DUMMYFUNCTION("""COMPUTED_VALUE"""),"")</f>
        <v/>
      </c>
      <c r="CN1270" s="32" t="e">
        <f ca="1"/>
        <v>#NAME?</v>
      </c>
      <c r="CO1270" s="32" t="e">
        <f ca="1"/>
        <v>#NAME?</v>
      </c>
      <c r="CP1270" s="32" t="e">
        <f ca="1"/>
        <v>#NAME?</v>
      </c>
      <c r="CQ1270" s="32" t="e">
        <f ca="1"/>
        <v>#NAME?</v>
      </c>
      <c r="CR1270" s="30" t="e">
        <f ca="1"/>
        <v>#NAME?</v>
      </c>
      <c r="CS1270" s="30" t="str">
        <f ca="1">IFERROR(__xludf.DUMMYFUNCTION("""COMPUTED_VALUE"""),"")</f>
        <v/>
      </c>
    </row>
    <row r="1271" spans="1:97" ht="13">
      <c r="A1271" s="29"/>
      <c r="C1271" s="32"/>
      <c r="I1271" s="34"/>
      <c r="BP1271" s="29"/>
      <c r="CD1271" s="29"/>
      <c r="CJ1271" s="29"/>
      <c r="CM1271" s="30" t="str">
        <f ca="1">IFERROR(__xludf.DUMMYFUNCTION("""COMPUTED_VALUE"""),"")</f>
        <v/>
      </c>
      <c r="CN1271" s="32" t="e">
        <f ca="1"/>
        <v>#NAME?</v>
      </c>
      <c r="CO1271" s="32" t="e">
        <f ca="1"/>
        <v>#NAME?</v>
      </c>
      <c r="CP1271" s="32" t="e">
        <f ca="1"/>
        <v>#NAME?</v>
      </c>
      <c r="CQ1271" s="32" t="e">
        <f ca="1"/>
        <v>#NAME?</v>
      </c>
      <c r="CR1271" s="30" t="e">
        <f ca="1"/>
        <v>#NAME?</v>
      </c>
      <c r="CS1271" s="30" t="str">
        <f ca="1">IFERROR(__xludf.DUMMYFUNCTION("""COMPUTED_VALUE"""),"")</f>
        <v/>
      </c>
    </row>
    <row r="1272" spans="1:97" ht="13">
      <c r="A1272" s="29"/>
      <c r="C1272" s="32"/>
      <c r="I1272" s="34"/>
      <c r="BP1272" s="29"/>
      <c r="CD1272" s="29"/>
      <c r="CJ1272" s="29"/>
      <c r="CM1272" s="30" t="str">
        <f ca="1">IFERROR(__xludf.DUMMYFUNCTION("""COMPUTED_VALUE"""),"")</f>
        <v/>
      </c>
      <c r="CN1272" s="32" t="e">
        <f ca="1"/>
        <v>#NAME?</v>
      </c>
      <c r="CO1272" s="32" t="e">
        <f ca="1"/>
        <v>#NAME?</v>
      </c>
      <c r="CP1272" s="32" t="e">
        <f ca="1"/>
        <v>#NAME?</v>
      </c>
      <c r="CQ1272" s="32" t="e">
        <f ca="1"/>
        <v>#NAME?</v>
      </c>
      <c r="CR1272" s="30" t="e">
        <f ca="1"/>
        <v>#NAME?</v>
      </c>
      <c r="CS1272" s="30" t="str">
        <f ca="1">IFERROR(__xludf.DUMMYFUNCTION("""COMPUTED_VALUE"""),"")</f>
        <v/>
      </c>
    </row>
    <row r="1273" spans="1:97" ht="13">
      <c r="A1273" s="29"/>
      <c r="C1273" s="32"/>
      <c r="I1273" s="34"/>
      <c r="BP1273" s="29"/>
      <c r="CD1273" s="29"/>
      <c r="CJ1273" s="29"/>
      <c r="CM1273" s="30" t="str">
        <f ca="1">IFERROR(__xludf.DUMMYFUNCTION("""COMPUTED_VALUE"""),"")</f>
        <v/>
      </c>
      <c r="CN1273" s="32" t="e">
        <f ca="1"/>
        <v>#NAME?</v>
      </c>
      <c r="CO1273" s="32" t="e">
        <f ca="1"/>
        <v>#NAME?</v>
      </c>
      <c r="CP1273" s="32" t="e">
        <f ca="1"/>
        <v>#NAME?</v>
      </c>
      <c r="CQ1273" s="32" t="e">
        <f ca="1"/>
        <v>#NAME?</v>
      </c>
      <c r="CR1273" s="30" t="e">
        <f ca="1"/>
        <v>#NAME?</v>
      </c>
      <c r="CS1273" s="30" t="str">
        <f ca="1">IFERROR(__xludf.DUMMYFUNCTION("""COMPUTED_VALUE"""),"")</f>
        <v/>
      </c>
    </row>
    <row r="1274" spans="1:97" ht="13">
      <c r="A1274" s="29"/>
      <c r="C1274" s="32"/>
      <c r="I1274" s="34"/>
      <c r="BP1274" s="29"/>
      <c r="CD1274" s="29"/>
      <c r="CJ1274" s="29"/>
      <c r="CM1274" s="30" t="str">
        <f ca="1">IFERROR(__xludf.DUMMYFUNCTION("""COMPUTED_VALUE"""),"")</f>
        <v/>
      </c>
      <c r="CN1274" s="32" t="e">
        <f ca="1"/>
        <v>#NAME?</v>
      </c>
      <c r="CO1274" s="32" t="e">
        <f ca="1"/>
        <v>#NAME?</v>
      </c>
      <c r="CP1274" s="32" t="e">
        <f ca="1"/>
        <v>#NAME?</v>
      </c>
      <c r="CQ1274" s="32" t="e">
        <f ca="1"/>
        <v>#NAME?</v>
      </c>
      <c r="CR1274" s="30" t="e">
        <f ca="1"/>
        <v>#NAME?</v>
      </c>
      <c r="CS1274" s="30" t="str">
        <f ca="1">IFERROR(__xludf.DUMMYFUNCTION("""COMPUTED_VALUE"""),"")</f>
        <v/>
      </c>
    </row>
    <row r="1275" spans="1:97" ht="13">
      <c r="A1275" s="29"/>
      <c r="C1275" s="32"/>
      <c r="I1275" s="34"/>
      <c r="BP1275" s="29"/>
      <c r="CD1275" s="29"/>
      <c r="CJ1275" s="29"/>
      <c r="CM1275" s="30" t="str">
        <f ca="1">IFERROR(__xludf.DUMMYFUNCTION("""COMPUTED_VALUE"""),"")</f>
        <v/>
      </c>
      <c r="CN1275" s="32" t="e">
        <f ca="1"/>
        <v>#NAME?</v>
      </c>
      <c r="CO1275" s="32" t="e">
        <f ca="1"/>
        <v>#NAME?</v>
      </c>
      <c r="CP1275" s="32" t="e">
        <f ca="1"/>
        <v>#NAME?</v>
      </c>
      <c r="CQ1275" s="32" t="e">
        <f ca="1"/>
        <v>#NAME?</v>
      </c>
      <c r="CR1275" s="30" t="e">
        <f ca="1"/>
        <v>#NAME?</v>
      </c>
      <c r="CS1275" s="30" t="str">
        <f ca="1">IFERROR(__xludf.DUMMYFUNCTION("""COMPUTED_VALUE"""),"")</f>
        <v/>
      </c>
    </row>
    <row r="1276" spans="1:97" ht="13">
      <c r="A1276" s="29"/>
      <c r="C1276" s="32"/>
      <c r="I1276" s="34"/>
      <c r="BP1276" s="29"/>
      <c r="CD1276" s="29"/>
      <c r="CJ1276" s="29"/>
      <c r="CM1276" s="30" t="str">
        <f ca="1">IFERROR(__xludf.DUMMYFUNCTION("""COMPUTED_VALUE"""),"")</f>
        <v/>
      </c>
      <c r="CN1276" s="32" t="e">
        <f ca="1"/>
        <v>#NAME?</v>
      </c>
      <c r="CO1276" s="32" t="e">
        <f ca="1"/>
        <v>#NAME?</v>
      </c>
      <c r="CP1276" s="32" t="e">
        <f ca="1"/>
        <v>#NAME?</v>
      </c>
      <c r="CQ1276" s="32" t="e">
        <f ca="1"/>
        <v>#NAME?</v>
      </c>
      <c r="CR1276" s="30" t="e">
        <f ca="1"/>
        <v>#NAME?</v>
      </c>
      <c r="CS1276" s="30" t="str">
        <f ca="1">IFERROR(__xludf.DUMMYFUNCTION("""COMPUTED_VALUE"""),"")</f>
        <v/>
      </c>
    </row>
    <row r="1277" spans="1:97" ht="13">
      <c r="A1277" s="29"/>
      <c r="C1277" s="32"/>
      <c r="I1277" s="34"/>
      <c r="BP1277" s="29"/>
      <c r="CD1277" s="29"/>
      <c r="CJ1277" s="29"/>
      <c r="CM1277" s="30" t="str">
        <f ca="1">IFERROR(__xludf.DUMMYFUNCTION("""COMPUTED_VALUE"""),"")</f>
        <v/>
      </c>
      <c r="CN1277" s="32" t="e">
        <f ca="1"/>
        <v>#NAME?</v>
      </c>
      <c r="CO1277" s="32" t="e">
        <f ca="1"/>
        <v>#NAME?</v>
      </c>
      <c r="CP1277" s="32" t="e">
        <f ca="1"/>
        <v>#NAME?</v>
      </c>
      <c r="CQ1277" s="32" t="e">
        <f ca="1"/>
        <v>#NAME?</v>
      </c>
      <c r="CR1277" s="30" t="e">
        <f ca="1"/>
        <v>#NAME?</v>
      </c>
      <c r="CS1277" s="30" t="str">
        <f ca="1">IFERROR(__xludf.DUMMYFUNCTION("""COMPUTED_VALUE"""),"")</f>
        <v/>
      </c>
    </row>
    <row r="1278" spans="1:97" ht="13">
      <c r="A1278" s="29"/>
      <c r="C1278" s="32"/>
      <c r="I1278" s="34"/>
      <c r="BP1278" s="29"/>
      <c r="CD1278" s="29"/>
      <c r="CJ1278" s="29"/>
      <c r="CM1278" s="30" t="str">
        <f ca="1">IFERROR(__xludf.DUMMYFUNCTION("""COMPUTED_VALUE"""),"")</f>
        <v/>
      </c>
      <c r="CN1278" s="32" t="e">
        <f ca="1"/>
        <v>#NAME?</v>
      </c>
      <c r="CO1278" s="32" t="e">
        <f ca="1"/>
        <v>#NAME?</v>
      </c>
      <c r="CP1278" s="32" t="e">
        <f ca="1"/>
        <v>#NAME?</v>
      </c>
      <c r="CQ1278" s="32" t="e">
        <f ca="1"/>
        <v>#NAME?</v>
      </c>
      <c r="CR1278" s="30" t="e">
        <f ca="1"/>
        <v>#NAME?</v>
      </c>
      <c r="CS1278" s="30" t="str">
        <f ca="1">IFERROR(__xludf.DUMMYFUNCTION("""COMPUTED_VALUE"""),"")</f>
        <v/>
      </c>
    </row>
    <row r="1279" spans="1:97" ht="13">
      <c r="A1279" s="29"/>
      <c r="C1279" s="32"/>
      <c r="I1279" s="34"/>
      <c r="BP1279" s="29"/>
      <c r="CD1279" s="29"/>
      <c r="CJ1279" s="29"/>
      <c r="CM1279" s="30" t="str">
        <f ca="1">IFERROR(__xludf.DUMMYFUNCTION("""COMPUTED_VALUE"""),"")</f>
        <v/>
      </c>
      <c r="CN1279" s="32" t="e">
        <f ca="1"/>
        <v>#NAME?</v>
      </c>
      <c r="CO1279" s="32" t="e">
        <f ca="1"/>
        <v>#NAME?</v>
      </c>
      <c r="CP1279" s="32" t="e">
        <f ca="1"/>
        <v>#NAME?</v>
      </c>
      <c r="CQ1279" s="32" t="e">
        <f ca="1"/>
        <v>#NAME?</v>
      </c>
      <c r="CR1279" s="30" t="e">
        <f ca="1"/>
        <v>#NAME?</v>
      </c>
      <c r="CS1279" s="30" t="str">
        <f ca="1">IFERROR(__xludf.DUMMYFUNCTION("""COMPUTED_VALUE"""),"")</f>
        <v/>
      </c>
    </row>
    <row r="1280" spans="1:97" ht="13">
      <c r="A1280" s="29"/>
      <c r="C1280" s="32"/>
      <c r="I1280" s="34"/>
      <c r="BP1280" s="29"/>
      <c r="CD1280" s="29"/>
      <c r="CJ1280" s="29"/>
      <c r="CM1280" s="30" t="str">
        <f ca="1">IFERROR(__xludf.DUMMYFUNCTION("""COMPUTED_VALUE"""),"")</f>
        <v/>
      </c>
      <c r="CN1280" s="32" t="e">
        <f ca="1"/>
        <v>#NAME?</v>
      </c>
      <c r="CO1280" s="32" t="e">
        <f ca="1"/>
        <v>#NAME?</v>
      </c>
      <c r="CP1280" s="32" t="e">
        <f ca="1"/>
        <v>#NAME?</v>
      </c>
      <c r="CQ1280" s="32" t="e">
        <f ca="1"/>
        <v>#NAME?</v>
      </c>
      <c r="CR1280" s="30" t="e">
        <f ca="1"/>
        <v>#NAME?</v>
      </c>
      <c r="CS1280" s="30" t="str">
        <f ca="1">IFERROR(__xludf.DUMMYFUNCTION("""COMPUTED_VALUE"""),"")</f>
        <v/>
      </c>
    </row>
    <row r="1281" spans="1:97" ht="13">
      <c r="A1281" s="29"/>
      <c r="C1281" s="32"/>
      <c r="I1281" s="34"/>
      <c r="BP1281" s="29"/>
      <c r="CD1281" s="29"/>
      <c r="CJ1281" s="29"/>
      <c r="CM1281" s="30" t="str">
        <f ca="1">IFERROR(__xludf.DUMMYFUNCTION("""COMPUTED_VALUE"""),"")</f>
        <v/>
      </c>
      <c r="CN1281" s="32" t="e">
        <f ca="1"/>
        <v>#NAME?</v>
      </c>
      <c r="CO1281" s="32" t="e">
        <f ca="1"/>
        <v>#NAME?</v>
      </c>
      <c r="CP1281" s="32" t="e">
        <f ca="1"/>
        <v>#NAME?</v>
      </c>
      <c r="CQ1281" s="32" t="e">
        <f ca="1"/>
        <v>#NAME?</v>
      </c>
      <c r="CR1281" s="30" t="e">
        <f ca="1"/>
        <v>#NAME?</v>
      </c>
      <c r="CS1281" s="30" t="str">
        <f ca="1">IFERROR(__xludf.DUMMYFUNCTION("""COMPUTED_VALUE"""),"")</f>
        <v/>
      </c>
    </row>
    <row r="1282" spans="1:97" ht="13">
      <c r="A1282" s="29"/>
      <c r="C1282" s="32"/>
      <c r="I1282" s="34"/>
      <c r="BP1282" s="29"/>
      <c r="CD1282" s="29"/>
      <c r="CJ1282" s="29"/>
      <c r="CM1282" s="30" t="str">
        <f ca="1">IFERROR(__xludf.DUMMYFUNCTION("""COMPUTED_VALUE"""),"")</f>
        <v/>
      </c>
      <c r="CN1282" s="32" t="e">
        <f ca="1"/>
        <v>#NAME?</v>
      </c>
      <c r="CO1282" s="32" t="e">
        <f ca="1"/>
        <v>#NAME?</v>
      </c>
      <c r="CP1282" s="32" t="e">
        <f ca="1"/>
        <v>#NAME?</v>
      </c>
      <c r="CQ1282" s="32" t="e">
        <f ca="1"/>
        <v>#NAME?</v>
      </c>
      <c r="CR1282" s="30" t="e">
        <f ca="1"/>
        <v>#NAME?</v>
      </c>
      <c r="CS1282" s="30" t="str">
        <f ca="1">IFERROR(__xludf.DUMMYFUNCTION("""COMPUTED_VALUE"""),"")</f>
        <v/>
      </c>
    </row>
    <row r="1283" spans="1:97" ht="13">
      <c r="A1283" s="29"/>
      <c r="C1283" s="32"/>
      <c r="I1283" s="34"/>
      <c r="BP1283" s="29"/>
      <c r="CD1283" s="29"/>
      <c r="CJ1283" s="29"/>
      <c r="CM1283" s="30" t="str">
        <f ca="1">IFERROR(__xludf.DUMMYFUNCTION("""COMPUTED_VALUE"""),"")</f>
        <v/>
      </c>
      <c r="CN1283" s="32" t="e">
        <f ca="1"/>
        <v>#NAME?</v>
      </c>
      <c r="CO1283" s="32" t="e">
        <f ca="1"/>
        <v>#NAME?</v>
      </c>
      <c r="CP1283" s="32" t="e">
        <f ca="1"/>
        <v>#NAME?</v>
      </c>
      <c r="CQ1283" s="32" t="e">
        <f ca="1"/>
        <v>#NAME?</v>
      </c>
      <c r="CR1283" s="30" t="e">
        <f ca="1"/>
        <v>#NAME?</v>
      </c>
      <c r="CS1283" s="30" t="str">
        <f ca="1">IFERROR(__xludf.DUMMYFUNCTION("""COMPUTED_VALUE"""),"")</f>
        <v/>
      </c>
    </row>
    <row r="1284" spans="1:97" ht="13">
      <c r="A1284" s="29"/>
      <c r="C1284" s="32"/>
      <c r="I1284" s="34"/>
      <c r="BP1284" s="29"/>
      <c r="CD1284" s="29"/>
      <c r="CJ1284" s="29"/>
      <c r="CM1284" s="30" t="str">
        <f ca="1">IFERROR(__xludf.DUMMYFUNCTION("""COMPUTED_VALUE"""),"")</f>
        <v/>
      </c>
      <c r="CN1284" s="32" t="e">
        <f ca="1"/>
        <v>#NAME?</v>
      </c>
      <c r="CO1284" s="32" t="e">
        <f ca="1"/>
        <v>#NAME?</v>
      </c>
      <c r="CP1284" s="32" t="e">
        <f ca="1"/>
        <v>#NAME?</v>
      </c>
      <c r="CQ1284" s="32" t="e">
        <f ca="1"/>
        <v>#NAME?</v>
      </c>
      <c r="CR1284" s="30" t="e">
        <f ca="1"/>
        <v>#NAME?</v>
      </c>
      <c r="CS1284" s="30" t="str">
        <f ca="1">IFERROR(__xludf.DUMMYFUNCTION("""COMPUTED_VALUE"""),"")</f>
        <v/>
      </c>
    </row>
    <row r="1285" spans="1:97" ht="13">
      <c r="A1285" s="29"/>
      <c r="C1285" s="32"/>
      <c r="I1285" s="34"/>
      <c r="BP1285" s="29"/>
      <c r="CD1285" s="29"/>
      <c r="CJ1285" s="29"/>
      <c r="CM1285" s="30" t="str">
        <f ca="1">IFERROR(__xludf.DUMMYFUNCTION("""COMPUTED_VALUE"""),"")</f>
        <v/>
      </c>
      <c r="CN1285" s="32" t="e">
        <f ca="1"/>
        <v>#NAME?</v>
      </c>
      <c r="CO1285" s="32" t="e">
        <f ca="1"/>
        <v>#NAME?</v>
      </c>
      <c r="CP1285" s="32" t="e">
        <f ca="1"/>
        <v>#NAME?</v>
      </c>
      <c r="CQ1285" s="32" t="e">
        <f ca="1"/>
        <v>#NAME?</v>
      </c>
      <c r="CR1285" s="30" t="e">
        <f ca="1"/>
        <v>#NAME?</v>
      </c>
      <c r="CS1285" s="30" t="str">
        <f ca="1">IFERROR(__xludf.DUMMYFUNCTION("""COMPUTED_VALUE"""),"")</f>
        <v/>
      </c>
    </row>
    <row r="1286" spans="1:97" ht="13">
      <c r="A1286" s="29"/>
      <c r="C1286" s="32"/>
      <c r="I1286" s="34"/>
      <c r="BP1286" s="29"/>
      <c r="CD1286" s="29"/>
      <c r="CJ1286" s="29"/>
      <c r="CM1286" s="30" t="str">
        <f ca="1">IFERROR(__xludf.DUMMYFUNCTION("""COMPUTED_VALUE"""),"")</f>
        <v/>
      </c>
      <c r="CN1286" s="32" t="e">
        <f ca="1"/>
        <v>#NAME?</v>
      </c>
      <c r="CO1286" s="32" t="e">
        <f ca="1"/>
        <v>#NAME?</v>
      </c>
      <c r="CP1286" s="32" t="e">
        <f ca="1"/>
        <v>#NAME?</v>
      </c>
      <c r="CQ1286" s="32" t="e">
        <f ca="1"/>
        <v>#NAME?</v>
      </c>
      <c r="CR1286" s="30" t="e">
        <f ca="1"/>
        <v>#NAME?</v>
      </c>
      <c r="CS1286" s="30" t="str">
        <f ca="1">IFERROR(__xludf.DUMMYFUNCTION("""COMPUTED_VALUE"""),"")</f>
        <v/>
      </c>
    </row>
    <row r="1287" spans="1:97" ht="13">
      <c r="A1287" s="29"/>
      <c r="C1287" s="32"/>
      <c r="I1287" s="34"/>
      <c r="BP1287" s="29"/>
      <c r="CD1287" s="29"/>
      <c r="CJ1287" s="29"/>
      <c r="CM1287" s="30" t="str">
        <f ca="1">IFERROR(__xludf.DUMMYFUNCTION("""COMPUTED_VALUE"""),"")</f>
        <v/>
      </c>
      <c r="CN1287" s="32" t="e">
        <f ca="1"/>
        <v>#NAME?</v>
      </c>
      <c r="CO1287" s="32" t="e">
        <f ca="1"/>
        <v>#NAME?</v>
      </c>
      <c r="CP1287" s="32" t="e">
        <f ca="1"/>
        <v>#NAME?</v>
      </c>
      <c r="CQ1287" s="32" t="e">
        <f ca="1"/>
        <v>#NAME?</v>
      </c>
      <c r="CR1287" s="30" t="e">
        <f ca="1"/>
        <v>#NAME?</v>
      </c>
      <c r="CS1287" s="30" t="str">
        <f ca="1">IFERROR(__xludf.DUMMYFUNCTION("""COMPUTED_VALUE"""),"")</f>
        <v/>
      </c>
    </row>
    <row r="1288" spans="1:97" ht="13">
      <c r="A1288" s="29"/>
      <c r="C1288" s="32"/>
      <c r="I1288" s="34"/>
      <c r="BP1288" s="29"/>
      <c r="CD1288" s="29"/>
      <c r="CJ1288" s="29"/>
      <c r="CM1288" s="30" t="str">
        <f ca="1">IFERROR(__xludf.DUMMYFUNCTION("""COMPUTED_VALUE"""),"")</f>
        <v/>
      </c>
      <c r="CN1288" s="32" t="e">
        <f ca="1"/>
        <v>#NAME?</v>
      </c>
      <c r="CO1288" s="32" t="e">
        <f ca="1"/>
        <v>#NAME?</v>
      </c>
      <c r="CP1288" s="32" t="e">
        <f ca="1"/>
        <v>#NAME?</v>
      </c>
      <c r="CQ1288" s="32" t="e">
        <f ca="1"/>
        <v>#NAME?</v>
      </c>
      <c r="CR1288" s="30" t="e">
        <f ca="1"/>
        <v>#NAME?</v>
      </c>
      <c r="CS1288" s="30" t="str">
        <f ca="1">IFERROR(__xludf.DUMMYFUNCTION("""COMPUTED_VALUE"""),"")</f>
        <v/>
      </c>
    </row>
    <row r="1289" spans="1:97" ht="13">
      <c r="A1289" s="29"/>
      <c r="C1289" s="32"/>
      <c r="I1289" s="34"/>
      <c r="BP1289" s="29"/>
      <c r="CD1289" s="29"/>
      <c r="CJ1289" s="29"/>
      <c r="CM1289" s="30" t="str">
        <f ca="1">IFERROR(__xludf.DUMMYFUNCTION("""COMPUTED_VALUE"""),"")</f>
        <v/>
      </c>
      <c r="CN1289" s="32" t="e">
        <f ca="1"/>
        <v>#NAME?</v>
      </c>
      <c r="CO1289" s="32" t="e">
        <f ca="1"/>
        <v>#NAME?</v>
      </c>
      <c r="CP1289" s="32" t="e">
        <f ca="1"/>
        <v>#NAME?</v>
      </c>
      <c r="CQ1289" s="32" t="e">
        <f ca="1"/>
        <v>#NAME?</v>
      </c>
      <c r="CR1289" s="30" t="e">
        <f ca="1"/>
        <v>#NAME?</v>
      </c>
      <c r="CS1289" s="30" t="str">
        <f ca="1">IFERROR(__xludf.DUMMYFUNCTION("""COMPUTED_VALUE"""),"")</f>
        <v/>
      </c>
    </row>
    <row r="1290" spans="1:97" ht="13">
      <c r="A1290" s="29"/>
      <c r="C1290" s="32"/>
      <c r="I1290" s="34"/>
      <c r="BP1290" s="29"/>
      <c r="CD1290" s="29"/>
      <c r="CJ1290" s="29"/>
      <c r="CM1290" s="30" t="str">
        <f ca="1">IFERROR(__xludf.DUMMYFUNCTION("""COMPUTED_VALUE"""),"")</f>
        <v/>
      </c>
      <c r="CN1290" s="32" t="e">
        <f ca="1"/>
        <v>#NAME?</v>
      </c>
      <c r="CO1290" s="32" t="e">
        <f ca="1"/>
        <v>#NAME?</v>
      </c>
      <c r="CP1290" s="32" t="e">
        <f ca="1"/>
        <v>#NAME?</v>
      </c>
      <c r="CQ1290" s="32" t="e">
        <f ca="1"/>
        <v>#NAME?</v>
      </c>
      <c r="CR1290" s="30" t="e">
        <f ca="1"/>
        <v>#NAME?</v>
      </c>
      <c r="CS1290" s="30" t="str">
        <f ca="1">IFERROR(__xludf.DUMMYFUNCTION("""COMPUTED_VALUE"""),"")</f>
        <v/>
      </c>
    </row>
    <row r="1291" spans="1:97" ht="13">
      <c r="A1291" s="29"/>
      <c r="C1291" s="32"/>
      <c r="I1291" s="34"/>
      <c r="BP1291" s="29"/>
      <c r="CD1291" s="29"/>
      <c r="CJ1291" s="29"/>
      <c r="CM1291" s="30" t="str">
        <f ca="1">IFERROR(__xludf.DUMMYFUNCTION("""COMPUTED_VALUE"""),"")</f>
        <v/>
      </c>
      <c r="CN1291" s="32" t="e">
        <f ca="1"/>
        <v>#NAME?</v>
      </c>
      <c r="CO1291" s="32" t="e">
        <f ca="1"/>
        <v>#NAME?</v>
      </c>
      <c r="CP1291" s="32" t="e">
        <f ca="1"/>
        <v>#NAME?</v>
      </c>
      <c r="CQ1291" s="32" t="e">
        <f ca="1"/>
        <v>#NAME?</v>
      </c>
      <c r="CR1291" s="30" t="e">
        <f ca="1"/>
        <v>#NAME?</v>
      </c>
      <c r="CS1291" s="30" t="str">
        <f ca="1">IFERROR(__xludf.DUMMYFUNCTION("""COMPUTED_VALUE"""),"")</f>
        <v/>
      </c>
    </row>
    <row r="1292" spans="1:97" ht="13">
      <c r="A1292" s="29"/>
      <c r="C1292" s="32"/>
      <c r="I1292" s="34"/>
      <c r="BP1292" s="29"/>
      <c r="CD1292" s="29"/>
      <c r="CJ1292" s="29"/>
      <c r="CM1292" s="30" t="str">
        <f ca="1">IFERROR(__xludf.DUMMYFUNCTION("""COMPUTED_VALUE"""),"")</f>
        <v/>
      </c>
      <c r="CN1292" s="32" t="e">
        <f ca="1"/>
        <v>#NAME?</v>
      </c>
      <c r="CO1292" s="32" t="e">
        <f ca="1"/>
        <v>#NAME?</v>
      </c>
      <c r="CP1292" s="32" t="e">
        <f ca="1"/>
        <v>#NAME?</v>
      </c>
      <c r="CQ1292" s="32" t="e">
        <f ca="1"/>
        <v>#NAME?</v>
      </c>
      <c r="CR1292" s="30" t="e">
        <f ca="1"/>
        <v>#NAME?</v>
      </c>
      <c r="CS1292" s="30" t="str">
        <f ca="1">IFERROR(__xludf.DUMMYFUNCTION("""COMPUTED_VALUE"""),"")</f>
        <v/>
      </c>
    </row>
    <row r="1293" spans="1:97" ht="13">
      <c r="A1293" s="29"/>
      <c r="C1293" s="32"/>
      <c r="I1293" s="34"/>
      <c r="BP1293" s="29"/>
      <c r="CD1293" s="29"/>
      <c r="CJ1293" s="29"/>
      <c r="CM1293" s="30" t="str">
        <f ca="1">IFERROR(__xludf.DUMMYFUNCTION("""COMPUTED_VALUE"""),"")</f>
        <v/>
      </c>
      <c r="CN1293" s="32" t="e">
        <f ca="1"/>
        <v>#NAME?</v>
      </c>
      <c r="CO1293" s="32" t="e">
        <f ca="1"/>
        <v>#NAME?</v>
      </c>
      <c r="CP1293" s="32" t="e">
        <f ca="1"/>
        <v>#NAME?</v>
      </c>
      <c r="CQ1293" s="32" t="e">
        <f ca="1"/>
        <v>#NAME?</v>
      </c>
      <c r="CR1293" s="30" t="e">
        <f ca="1"/>
        <v>#NAME?</v>
      </c>
      <c r="CS1293" s="30" t="str">
        <f ca="1">IFERROR(__xludf.DUMMYFUNCTION("""COMPUTED_VALUE"""),"")</f>
        <v/>
      </c>
    </row>
    <row r="1294" spans="1:97" ht="13">
      <c r="A1294" s="29"/>
      <c r="C1294" s="32"/>
      <c r="I1294" s="34"/>
      <c r="BP1294" s="29"/>
      <c r="CD1294" s="29"/>
      <c r="CJ1294" s="29"/>
      <c r="CM1294" s="30" t="str">
        <f ca="1">IFERROR(__xludf.DUMMYFUNCTION("""COMPUTED_VALUE"""),"")</f>
        <v/>
      </c>
      <c r="CN1294" s="32" t="e">
        <f ca="1"/>
        <v>#NAME?</v>
      </c>
      <c r="CO1294" s="32" t="e">
        <f ca="1"/>
        <v>#NAME?</v>
      </c>
      <c r="CP1294" s="32" t="e">
        <f ca="1"/>
        <v>#NAME?</v>
      </c>
      <c r="CQ1294" s="32" t="e">
        <f ca="1"/>
        <v>#NAME?</v>
      </c>
      <c r="CR1294" s="30" t="e">
        <f ca="1"/>
        <v>#NAME?</v>
      </c>
      <c r="CS1294" s="30" t="str">
        <f ca="1">IFERROR(__xludf.DUMMYFUNCTION("""COMPUTED_VALUE"""),"")</f>
        <v/>
      </c>
    </row>
    <row r="1295" spans="1:97" ht="13">
      <c r="A1295" s="29"/>
      <c r="C1295" s="32"/>
      <c r="I1295" s="34"/>
      <c r="BP1295" s="29"/>
      <c r="CD1295" s="29"/>
      <c r="CJ1295" s="29"/>
      <c r="CM1295" s="30" t="str">
        <f ca="1">IFERROR(__xludf.DUMMYFUNCTION("""COMPUTED_VALUE"""),"")</f>
        <v/>
      </c>
      <c r="CN1295" s="32" t="e">
        <f ca="1"/>
        <v>#NAME?</v>
      </c>
      <c r="CO1295" s="32" t="e">
        <f ca="1"/>
        <v>#NAME?</v>
      </c>
      <c r="CP1295" s="32" t="e">
        <f ca="1"/>
        <v>#NAME?</v>
      </c>
      <c r="CQ1295" s="32" t="e">
        <f ca="1"/>
        <v>#NAME?</v>
      </c>
      <c r="CR1295" s="30" t="e">
        <f ca="1"/>
        <v>#NAME?</v>
      </c>
      <c r="CS1295" s="30" t="str">
        <f ca="1">IFERROR(__xludf.DUMMYFUNCTION("""COMPUTED_VALUE"""),"")</f>
        <v/>
      </c>
    </row>
    <row r="1296" spans="1:97" ht="13">
      <c r="A1296" s="29"/>
      <c r="C1296" s="32"/>
      <c r="I1296" s="34"/>
      <c r="BP1296" s="29"/>
      <c r="CD1296" s="29"/>
      <c r="CJ1296" s="29"/>
      <c r="CM1296" s="30" t="str">
        <f ca="1">IFERROR(__xludf.DUMMYFUNCTION("""COMPUTED_VALUE"""),"")</f>
        <v/>
      </c>
      <c r="CN1296" s="32" t="e">
        <f ca="1"/>
        <v>#NAME?</v>
      </c>
      <c r="CO1296" s="32" t="e">
        <f ca="1"/>
        <v>#NAME?</v>
      </c>
      <c r="CP1296" s="32" t="e">
        <f ca="1"/>
        <v>#NAME?</v>
      </c>
      <c r="CQ1296" s="32" t="e">
        <f ca="1"/>
        <v>#NAME?</v>
      </c>
      <c r="CR1296" s="30" t="e">
        <f ca="1"/>
        <v>#NAME?</v>
      </c>
      <c r="CS1296" s="30" t="str">
        <f ca="1">IFERROR(__xludf.DUMMYFUNCTION("""COMPUTED_VALUE"""),"")</f>
        <v/>
      </c>
    </row>
    <row r="1297" spans="1:97" ht="13">
      <c r="A1297" s="29"/>
      <c r="C1297" s="32"/>
      <c r="I1297" s="34"/>
      <c r="BP1297" s="29"/>
      <c r="CD1297" s="29"/>
      <c r="CJ1297" s="29"/>
      <c r="CM1297" s="30" t="str">
        <f ca="1">IFERROR(__xludf.DUMMYFUNCTION("""COMPUTED_VALUE"""),"")</f>
        <v/>
      </c>
      <c r="CN1297" s="32" t="e">
        <f ca="1"/>
        <v>#NAME?</v>
      </c>
      <c r="CO1297" s="32" t="e">
        <f ca="1"/>
        <v>#NAME?</v>
      </c>
      <c r="CP1297" s="32" t="e">
        <f ca="1"/>
        <v>#NAME?</v>
      </c>
      <c r="CQ1297" s="32" t="e">
        <f ca="1"/>
        <v>#NAME?</v>
      </c>
      <c r="CR1297" s="30" t="e">
        <f ca="1"/>
        <v>#NAME?</v>
      </c>
      <c r="CS1297" s="30" t="str">
        <f ca="1">IFERROR(__xludf.DUMMYFUNCTION("""COMPUTED_VALUE"""),"")</f>
        <v/>
      </c>
    </row>
    <row r="1298" spans="1:97" ht="13">
      <c r="A1298" s="29"/>
      <c r="C1298" s="32"/>
      <c r="I1298" s="34"/>
      <c r="BP1298" s="29"/>
      <c r="CD1298" s="29"/>
      <c r="CJ1298" s="29"/>
      <c r="CM1298" s="30" t="str">
        <f ca="1">IFERROR(__xludf.DUMMYFUNCTION("""COMPUTED_VALUE"""),"")</f>
        <v/>
      </c>
      <c r="CN1298" s="32" t="e">
        <f ca="1"/>
        <v>#NAME?</v>
      </c>
      <c r="CO1298" s="32" t="e">
        <f ca="1"/>
        <v>#NAME?</v>
      </c>
      <c r="CP1298" s="32" t="e">
        <f ca="1"/>
        <v>#NAME?</v>
      </c>
      <c r="CQ1298" s="32" t="e">
        <f ca="1"/>
        <v>#NAME?</v>
      </c>
      <c r="CR1298" s="30" t="e">
        <f ca="1"/>
        <v>#NAME?</v>
      </c>
      <c r="CS1298" s="30" t="str">
        <f ca="1">IFERROR(__xludf.DUMMYFUNCTION("""COMPUTED_VALUE"""),"")</f>
        <v/>
      </c>
    </row>
    <row r="1299" spans="1:97" ht="13">
      <c r="A1299" s="29"/>
      <c r="C1299" s="32"/>
      <c r="I1299" s="34"/>
      <c r="BP1299" s="29"/>
      <c r="CD1299" s="29"/>
      <c r="CJ1299" s="29"/>
      <c r="CM1299" s="30" t="str">
        <f ca="1">IFERROR(__xludf.DUMMYFUNCTION("""COMPUTED_VALUE"""),"")</f>
        <v/>
      </c>
      <c r="CN1299" s="32" t="e">
        <f ca="1"/>
        <v>#NAME?</v>
      </c>
      <c r="CO1299" s="32" t="e">
        <f ca="1"/>
        <v>#NAME?</v>
      </c>
      <c r="CP1299" s="32" t="e">
        <f ca="1"/>
        <v>#NAME?</v>
      </c>
      <c r="CQ1299" s="32" t="e">
        <f ca="1"/>
        <v>#NAME?</v>
      </c>
      <c r="CR1299" s="30" t="e">
        <f ca="1"/>
        <v>#NAME?</v>
      </c>
      <c r="CS1299" s="30" t="str">
        <f ca="1">IFERROR(__xludf.DUMMYFUNCTION("""COMPUTED_VALUE"""),"")</f>
        <v/>
      </c>
    </row>
    <row r="1300" spans="1:97" ht="13">
      <c r="A1300" s="29"/>
      <c r="C1300" s="32"/>
      <c r="I1300" s="34"/>
      <c r="BP1300" s="29"/>
      <c r="CD1300" s="29"/>
      <c r="CJ1300" s="29"/>
      <c r="CM1300" s="30" t="str">
        <f ca="1">IFERROR(__xludf.DUMMYFUNCTION("""COMPUTED_VALUE"""),"")</f>
        <v/>
      </c>
      <c r="CN1300" s="32" t="e">
        <f ca="1"/>
        <v>#NAME?</v>
      </c>
      <c r="CO1300" s="32" t="e">
        <f ca="1"/>
        <v>#NAME?</v>
      </c>
      <c r="CP1300" s="32" t="e">
        <f ca="1"/>
        <v>#NAME?</v>
      </c>
      <c r="CQ1300" s="32" t="e">
        <f ca="1"/>
        <v>#NAME?</v>
      </c>
      <c r="CR1300" s="30" t="e">
        <f ca="1"/>
        <v>#NAME?</v>
      </c>
      <c r="CS1300" s="30" t="str">
        <f ca="1">IFERROR(__xludf.DUMMYFUNCTION("""COMPUTED_VALUE"""),"")</f>
        <v/>
      </c>
    </row>
    <row r="1301" spans="1:97" ht="13">
      <c r="A1301" s="29"/>
      <c r="C1301" s="32"/>
      <c r="I1301" s="34"/>
      <c r="BP1301" s="29"/>
      <c r="CD1301" s="29"/>
      <c r="CJ1301" s="29"/>
      <c r="CM1301" s="30" t="str">
        <f ca="1">IFERROR(__xludf.DUMMYFUNCTION("""COMPUTED_VALUE"""),"")</f>
        <v/>
      </c>
      <c r="CN1301" s="32" t="e">
        <f ca="1"/>
        <v>#NAME?</v>
      </c>
      <c r="CO1301" s="32" t="e">
        <f ca="1"/>
        <v>#NAME?</v>
      </c>
      <c r="CP1301" s="32" t="e">
        <f ca="1"/>
        <v>#NAME?</v>
      </c>
      <c r="CQ1301" s="32" t="e">
        <f ca="1"/>
        <v>#NAME?</v>
      </c>
      <c r="CR1301" s="30" t="e">
        <f ca="1"/>
        <v>#NAME?</v>
      </c>
      <c r="CS1301" s="30" t="str">
        <f ca="1">IFERROR(__xludf.DUMMYFUNCTION("""COMPUTED_VALUE"""),"")</f>
        <v/>
      </c>
    </row>
    <row r="1302" spans="1:97" ht="13">
      <c r="A1302" s="29"/>
      <c r="C1302" s="32"/>
      <c r="I1302" s="34"/>
      <c r="BP1302" s="29"/>
      <c r="CD1302" s="29"/>
      <c r="CJ1302" s="29"/>
      <c r="CM1302" s="30" t="str">
        <f ca="1">IFERROR(__xludf.DUMMYFUNCTION("""COMPUTED_VALUE"""),"")</f>
        <v/>
      </c>
      <c r="CN1302" s="32" t="e">
        <f ca="1"/>
        <v>#NAME?</v>
      </c>
      <c r="CO1302" s="32" t="e">
        <f ca="1"/>
        <v>#NAME?</v>
      </c>
      <c r="CP1302" s="32" t="e">
        <f ca="1"/>
        <v>#NAME?</v>
      </c>
      <c r="CQ1302" s="32" t="e">
        <f ca="1"/>
        <v>#NAME?</v>
      </c>
      <c r="CR1302" s="30" t="e">
        <f ca="1"/>
        <v>#NAME?</v>
      </c>
      <c r="CS1302" s="30" t="str">
        <f ca="1">IFERROR(__xludf.DUMMYFUNCTION("""COMPUTED_VALUE"""),"")</f>
        <v/>
      </c>
    </row>
    <row r="1303" spans="1:97" ht="13">
      <c r="A1303" s="29"/>
      <c r="C1303" s="32"/>
      <c r="I1303" s="34"/>
      <c r="BP1303" s="29"/>
      <c r="CD1303" s="29"/>
      <c r="CJ1303" s="29"/>
      <c r="CM1303" s="30" t="str">
        <f ca="1">IFERROR(__xludf.DUMMYFUNCTION("""COMPUTED_VALUE"""),"")</f>
        <v/>
      </c>
      <c r="CN1303" s="32" t="e">
        <f ca="1"/>
        <v>#NAME?</v>
      </c>
      <c r="CO1303" s="32" t="e">
        <f ca="1"/>
        <v>#NAME?</v>
      </c>
      <c r="CP1303" s="32" t="e">
        <f ca="1"/>
        <v>#NAME?</v>
      </c>
      <c r="CQ1303" s="32" t="e">
        <f ca="1"/>
        <v>#NAME?</v>
      </c>
      <c r="CR1303" s="30" t="e">
        <f ca="1"/>
        <v>#NAME?</v>
      </c>
      <c r="CS1303" s="30" t="str">
        <f ca="1">IFERROR(__xludf.DUMMYFUNCTION("""COMPUTED_VALUE"""),"")</f>
        <v/>
      </c>
    </row>
    <row r="1304" spans="1:97" ht="13">
      <c r="A1304" s="29"/>
      <c r="C1304" s="32"/>
      <c r="I1304" s="34"/>
      <c r="BP1304" s="29"/>
      <c r="CD1304" s="29"/>
      <c r="CJ1304" s="29"/>
      <c r="CM1304" s="30" t="str">
        <f ca="1">IFERROR(__xludf.DUMMYFUNCTION("""COMPUTED_VALUE"""),"")</f>
        <v/>
      </c>
      <c r="CN1304" s="32" t="e">
        <f ca="1"/>
        <v>#NAME?</v>
      </c>
      <c r="CO1304" s="32" t="e">
        <f ca="1"/>
        <v>#NAME?</v>
      </c>
      <c r="CP1304" s="32" t="e">
        <f ca="1"/>
        <v>#NAME?</v>
      </c>
      <c r="CQ1304" s="32" t="e">
        <f ca="1"/>
        <v>#NAME?</v>
      </c>
      <c r="CR1304" s="30" t="e">
        <f ca="1"/>
        <v>#NAME?</v>
      </c>
      <c r="CS1304" s="30" t="str">
        <f ca="1">IFERROR(__xludf.DUMMYFUNCTION("""COMPUTED_VALUE"""),"")</f>
        <v/>
      </c>
    </row>
    <row r="1305" spans="1:97" ht="13">
      <c r="A1305" s="29"/>
      <c r="C1305" s="32"/>
      <c r="I1305" s="34"/>
      <c r="BP1305" s="29"/>
      <c r="CD1305" s="29"/>
      <c r="CJ1305" s="29"/>
      <c r="CM1305" s="30" t="str">
        <f ca="1">IFERROR(__xludf.DUMMYFUNCTION("""COMPUTED_VALUE"""),"")</f>
        <v/>
      </c>
      <c r="CN1305" s="32" t="e">
        <f ca="1"/>
        <v>#NAME?</v>
      </c>
      <c r="CO1305" s="32" t="e">
        <f ca="1"/>
        <v>#NAME?</v>
      </c>
      <c r="CP1305" s="32" t="e">
        <f ca="1"/>
        <v>#NAME?</v>
      </c>
      <c r="CQ1305" s="32" t="e">
        <f ca="1"/>
        <v>#NAME?</v>
      </c>
      <c r="CR1305" s="30" t="e">
        <f ca="1"/>
        <v>#NAME?</v>
      </c>
      <c r="CS1305" s="30" t="str">
        <f ca="1">IFERROR(__xludf.DUMMYFUNCTION("""COMPUTED_VALUE"""),"")</f>
        <v/>
      </c>
    </row>
    <row r="1306" spans="1:97" ht="13">
      <c r="A1306" s="29"/>
      <c r="C1306" s="32"/>
      <c r="I1306" s="34"/>
      <c r="BP1306" s="29"/>
      <c r="CD1306" s="29"/>
      <c r="CJ1306" s="29"/>
      <c r="CM1306" s="30" t="str">
        <f ca="1">IFERROR(__xludf.DUMMYFUNCTION("""COMPUTED_VALUE"""),"")</f>
        <v/>
      </c>
      <c r="CN1306" s="32" t="e">
        <f ca="1"/>
        <v>#NAME?</v>
      </c>
      <c r="CO1306" s="32" t="e">
        <f ca="1"/>
        <v>#NAME?</v>
      </c>
      <c r="CP1306" s="32" t="e">
        <f ca="1"/>
        <v>#NAME?</v>
      </c>
      <c r="CQ1306" s="32" t="e">
        <f ca="1"/>
        <v>#NAME?</v>
      </c>
      <c r="CR1306" s="30" t="e">
        <f ca="1"/>
        <v>#NAME?</v>
      </c>
      <c r="CS1306" s="30" t="str">
        <f ca="1">IFERROR(__xludf.DUMMYFUNCTION("""COMPUTED_VALUE"""),"")</f>
        <v/>
      </c>
    </row>
    <row r="1307" spans="1:97" ht="13">
      <c r="A1307" s="29"/>
      <c r="C1307" s="32"/>
      <c r="I1307" s="34"/>
      <c r="BP1307" s="29"/>
      <c r="CD1307" s="29"/>
      <c r="CJ1307" s="29"/>
      <c r="CM1307" s="30" t="str">
        <f ca="1">IFERROR(__xludf.DUMMYFUNCTION("""COMPUTED_VALUE"""),"")</f>
        <v/>
      </c>
      <c r="CN1307" s="32" t="e">
        <f ca="1"/>
        <v>#NAME?</v>
      </c>
      <c r="CO1307" s="32" t="e">
        <f ca="1"/>
        <v>#NAME?</v>
      </c>
      <c r="CP1307" s="32" t="e">
        <f ca="1"/>
        <v>#NAME?</v>
      </c>
      <c r="CQ1307" s="32" t="e">
        <f ca="1"/>
        <v>#NAME?</v>
      </c>
      <c r="CR1307" s="30" t="e">
        <f ca="1"/>
        <v>#NAME?</v>
      </c>
      <c r="CS1307" s="30" t="str">
        <f ca="1">IFERROR(__xludf.DUMMYFUNCTION("""COMPUTED_VALUE"""),"")</f>
        <v/>
      </c>
    </row>
    <row r="1308" spans="1:97" ht="13">
      <c r="A1308" s="29"/>
      <c r="C1308" s="32"/>
      <c r="I1308" s="34"/>
      <c r="BP1308" s="29"/>
      <c r="CD1308" s="29"/>
      <c r="CJ1308" s="29"/>
      <c r="CM1308" s="30" t="str">
        <f ca="1">IFERROR(__xludf.DUMMYFUNCTION("""COMPUTED_VALUE"""),"")</f>
        <v/>
      </c>
      <c r="CN1308" s="32" t="e">
        <f ca="1"/>
        <v>#NAME?</v>
      </c>
      <c r="CO1308" s="32" t="e">
        <f ca="1"/>
        <v>#NAME?</v>
      </c>
      <c r="CP1308" s="32" t="e">
        <f ca="1"/>
        <v>#NAME?</v>
      </c>
      <c r="CQ1308" s="32" t="e">
        <f ca="1"/>
        <v>#NAME?</v>
      </c>
      <c r="CR1308" s="30" t="e">
        <f ca="1"/>
        <v>#NAME?</v>
      </c>
      <c r="CS1308" s="30" t="str">
        <f ca="1">IFERROR(__xludf.DUMMYFUNCTION("""COMPUTED_VALUE"""),"")</f>
        <v/>
      </c>
    </row>
    <row r="1309" spans="1:97" ht="13">
      <c r="A1309" s="29"/>
      <c r="C1309" s="32"/>
      <c r="I1309" s="34"/>
      <c r="BP1309" s="29"/>
      <c r="CD1309" s="29"/>
      <c r="CJ1309" s="29"/>
      <c r="CM1309" s="30" t="str">
        <f ca="1">IFERROR(__xludf.DUMMYFUNCTION("""COMPUTED_VALUE"""),"")</f>
        <v/>
      </c>
      <c r="CN1309" s="32" t="e">
        <f ca="1"/>
        <v>#NAME?</v>
      </c>
      <c r="CO1309" s="32" t="e">
        <f ca="1"/>
        <v>#NAME?</v>
      </c>
      <c r="CP1309" s="32" t="e">
        <f ca="1"/>
        <v>#NAME?</v>
      </c>
      <c r="CQ1309" s="32" t="e">
        <f ca="1"/>
        <v>#NAME?</v>
      </c>
      <c r="CR1309" s="30" t="e">
        <f ca="1"/>
        <v>#NAME?</v>
      </c>
      <c r="CS1309" s="30" t="str">
        <f ca="1">IFERROR(__xludf.DUMMYFUNCTION("""COMPUTED_VALUE"""),"")</f>
        <v/>
      </c>
    </row>
    <row r="1310" spans="1:97" ht="13">
      <c r="A1310" s="29"/>
      <c r="C1310" s="32"/>
      <c r="I1310" s="34"/>
      <c r="BP1310" s="29"/>
      <c r="CD1310" s="29"/>
      <c r="CJ1310" s="29"/>
      <c r="CM1310" s="30" t="str">
        <f ca="1">IFERROR(__xludf.DUMMYFUNCTION("""COMPUTED_VALUE"""),"")</f>
        <v/>
      </c>
      <c r="CN1310" s="32" t="e">
        <f ca="1"/>
        <v>#NAME?</v>
      </c>
      <c r="CO1310" s="32" t="e">
        <f ca="1"/>
        <v>#NAME?</v>
      </c>
      <c r="CP1310" s="32" t="e">
        <f ca="1"/>
        <v>#NAME?</v>
      </c>
      <c r="CQ1310" s="32" t="e">
        <f ca="1"/>
        <v>#NAME?</v>
      </c>
      <c r="CR1310" s="30" t="e">
        <f ca="1"/>
        <v>#NAME?</v>
      </c>
      <c r="CS1310" s="30" t="str">
        <f ca="1">IFERROR(__xludf.DUMMYFUNCTION("""COMPUTED_VALUE"""),"")</f>
        <v/>
      </c>
    </row>
    <row r="1311" spans="1:97" ht="13">
      <c r="A1311" s="29"/>
      <c r="C1311" s="32"/>
      <c r="I1311" s="34"/>
      <c r="BP1311" s="29"/>
      <c r="CD1311" s="29"/>
      <c r="CJ1311" s="29"/>
      <c r="CM1311" s="30" t="str">
        <f ca="1">IFERROR(__xludf.DUMMYFUNCTION("""COMPUTED_VALUE"""),"")</f>
        <v/>
      </c>
      <c r="CN1311" s="32" t="e">
        <f ca="1"/>
        <v>#NAME?</v>
      </c>
      <c r="CO1311" s="32" t="e">
        <f ca="1"/>
        <v>#NAME?</v>
      </c>
      <c r="CP1311" s="32" t="e">
        <f ca="1"/>
        <v>#NAME?</v>
      </c>
      <c r="CQ1311" s="32" t="e">
        <f ca="1"/>
        <v>#NAME?</v>
      </c>
      <c r="CR1311" s="30" t="e">
        <f ca="1"/>
        <v>#NAME?</v>
      </c>
      <c r="CS1311" s="30" t="str">
        <f ca="1">IFERROR(__xludf.DUMMYFUNCTION("""COMPUTED_VALUE"""),"")</f>
        <v/>
      </c>
    </row>
    <row r="1312" spans="1:97" ht="13">
      <c r="A1312" s="29"/>
      <c r="C1312" s="32"/>
      <c r="I1312" s="34"/>
      <c r="BP1312" s="29"/>
      <c r="CD1312" s="29"/>
      <c r="CJ1312" s="29"/>
      <c r="CM1312" s="30" t="str">
        <f ca="1">IFERROR(__xludf.DUMMYFUNCTION("""COMPUTED_VALUE"""),"")</f>
        <v/>
      </c>
      <c r="CN1312" s="32" t="e">
        <f ca="1"/>
        <v>#NAME?</v>
      </c>
      <c r="CO1312" s="32" t="e">
        <f ca="1"/>
        <v>#NAME?</v>
      </c>
      <c r="CP1312" s="32" t="e">
        <f ca="1"/>
        <v>#NAME?</v>
      </c>
      <c r="CQ1312" s="32" t="e">
        <f ca="1"/>
        <v>#NAME?</v>
      </c>
      <c r="CR1312" s="30" t="e">
        <f ca="1"/>
        <v>#NAME?</v>
      </c>
      <c r="CS1312" s="30" t="str">
        <f ca="1">IFERROR(__xludf.DUMMYFUNCTION("""COMPUTED_VALUE"""),"")</f>
        <v/>
      </c>
    </row>
    <row r="1313" spans="1:97" ht="13">
      <c r="A1313" s="29"/>
      <c r="C1313" s="32"/>
      <c r="I1313" s="34"/>
      <c r="BP1313" s="29"/>
      <c r="CD1313" s="29"/>
      <c r="CJ1313" s="29"/>
      <c r="CM1313" s="30" t="str">
        <f ca="1">IFERROR(__xludf.DUMMYFUNCTION("""COMPUTED_VALUE"""),"")</f>
        <v/>
      </c>
      <c r="CN1313" s="32" t="e">
        <f ca="1"/>
        <v>#NAME?</v>
      </c>
      <c r="CO1313" s="32" t="e">
        <f ca="1"/>
        <v>#NAME?</v>
      </c>
      <c r="CP1313" s="32" t="e">
        <f ca="1"/>
        <v>#NAME?</v>
      </c>
      <c r="CQ1313" s="32" t="e">
        <f ca="1"/>
        <v>#NAME?</v>
      </c>
      <c r="CR1313" s="30" t="e">
        <f ca="1"/>
        <v>#NAME?</v>
      </c>
      <c r="CS1313" s="30" t="str">
        <f ca="1">IFERROR(__xludf.DUMMYFUNCTION("""COMPUTED_VALUE"""),"")</f>
        <v/>
      </c>
    </row>
    <row r="1314" spans="1:97" ht="13">
      <c r="A1314" s="29"/>
      <c r="C1314" s="32"/>
      <c r="I1314" s="34"/>
      <c r="BP1314" s="29"/>
      <c r="CD1314" s="29"/>
      <c r="CJ1314" s="29"/>
      <c r="CM1314" s="30" t="str">
        <f ca="1">IFERROR(__xludf.DUMMYFUNCTION("""COMPUTED_VALUE"""),"")</f>
        <v/>
      </c>
      <c r="CN1314" s="32" t="e">
        <f ca="1"/>
        <v>#NAME?</v>
      </c>
      <c r="CO1314" s="32" t="e">
        <f ca="1"/>
        <v>#NAME?</v>
      </c>
      <c r="CP1314" s="32" t="e">
        <f ca="1"/>
        <v>#NAME?</v>
      </c>
      <c r="CQ1314" s="32" t="e">
        <f ca="1"/>
        <v>#NAME?</v>
      </c>
      <c r="CR1314" s="30" t="e">
        <f ca="1"/>
        <v>#NAME?</v>
      </c>
      <c r="CS1314" s="30" t="str">
        <f ca="1">IFERROR(__xludf.DUMMYFUNCTION("""COMPUTED_VALUE"""),"")</f>
        <v/>
      </c>
    </row>
    <row r="1315" spans="1:97" ht="13">
      <c r="A1315" s="29"/>
      <c r="C1315" s="32"/>
      <c r="I1315" s="34"/>
      <c r="BP1315" s="29"/>
      <c r="CD1315" s="29"/>
      <c r="CJ1315" s="29"/>
      <c r="CM1315" s="30" t="str">
        <f ca="1">IFERROR(__xludf.DUMMYFUNCTION("""COMPUTED_VALUE"""),"")</f>
        <v/>
      </c>
      <c r="CN1315" s="32" t="e">
        <f ca="1"/>
        <v>#NAME?</v>
      </c>
      <c r="CO1315" s="32" t="e">
        <f ca="1"/>
        <v>#NAME?</v>
      </c>
      <c r="CP1315" s="32" t="e">
        <f ca="1"/>
        <v>#NAME?</v>
      </c>
      <c r="CQ1315" s="32" t="e">
        <f ca="1"/>
        <v>#NAME?</v>
      </c>
      <c r="CR1315" s="30" t="e">
        <f ca="1"/>
        <v>#NAME?</v>
      </c>
      <c r="CS1315" s="30" t="str">
        <f ca="1">IFERROR(__xludf.DUMMYFUNCTION("""COMPUTED_VALUE"""),"")</f>
        <v/>
      </c>
    </row>
    <row r="1316" spans="1:97" ht="13">
      <c r="A1316" s="29"/>
      <c r="C1316" s="32"/>
      <c r="I1316" s="34"/>
      <c r="BP1316" s="29"/>
      <c r="CD1316" s="29"/>
      <c r="CJ1316" s="29"/>
      <c r="CM1316" s="30" t="str">
        <f ca="1">IFERROR(__xludf.DUMMYFUNCTION("""COMPUTED_VALUE"""),"")</f>
        <v/>
      </c>
      <c r="CN1316" s="32" t="e">
        <f ca="1"/>
        <v>#NAME?</v>
      </c>
      <c r="CO1316" s="32" t="e">
        <f ca="1"/>
        <v>#NAME?</v>
      </c>
      <c r="CP1316" s="32" t="e">
        <f ca="1"/>
        <v>#NAME?</v>
      </c>
      <c r="CQ1316" s="32" t="e">
        <f ca="1"/>
        <v>#NAME?</v>
      </c>
      <c r="CR1316" s="30" t="e">
        <f ca="1"/>
        <v>#NAME?</v>
      </c>
      <c r="CS1316" s="30" t="str">
        <f ca="1">IFERROR(__xludf.DUMMYFUNCTION("""COMPUTED_VALUE"""),"")</f>
        <v/>
      </c>
    </row>
    <row r="1317" spans="1:97" ht="13">
      <c r="A1317" s="29"/>
      <c r="C1317" s="32"/>
      <c r="I1317" s="34"/>
      <c r="BP1317" s="29"/>
      <c r="CD1317" s="29"/>
      <c r="CJ1317" s="29"/>
      <c r="CM1317" s="30" t="str">
        <f ca="1">IFERROR(__xludf.DUMMYFUNCTION("""COMPUTED_VALUE"""),"")</f>
        <v/>
      </c>
      <c r="CN1317" s="32" t="e">
        <f ca="1"/>
        <v>#NAME?</v>
      </c>
      <c r="CO1317" s="32" t="e">
        <f ca="1"/>
        <v>#NAME?</v>
      </c>
      <c r="CP1317" s="32" t="e">
        <f ca="1"/>
        <v>#NAME?</v>
      </c>
      <c r="CQ1317" s="32" t="e">
        <f ca="1"/>
        <v>#NAME?</v>
      </c>
      <c r="CR1317" s="30" t="e">
        <f ca="1"/>
        <v>#NAME?</v>
      </c>
      <c r="CS1317" s="30" t="str">
        <f ca="1">IFERROR(__xludf.DUMMYFUNCTION("""COMPUTED_VALUE"""),"")</f>
        <v/>
      </c>
    </row>
    <row r="1318" spans="1:97" ht="13">
      <c r="A1318" s="29"/>
      <c r="C1318" s="32"/>
      <c r="I1318" s="34"/>
      <c r="BP1318" s="29"/>
      <c r="CD1318" s="29"/>
      <c r="CJ1318" s="29"/>
      <c r="CM1318" s="30" t="str">
        <f ca="1">IFERROR(__xludf.DUMMYFUNCTION("""COMPUTED_VALUE"""),"")</f>
        <v/>
      </c>
      <c r="CN1318" s="32" t="e">
        <f ca="1"/>
        <v>#NAME?</v>
      </c>
      <c r="CO1318" s="32" t="e">
        <f ca="1"/>
        <v>#NAME?</v>
      </c>
      <c r="CP1318" s="32" t="e">
        <f ca="1"/>
        <v>#NAME?</v>
      </c>
      <c r="CQ1318" s="32" t="e">
        <f ca="1"/>
        <v>#NAME?</v>
      </c>
      <c r="CR1318" s="30" t="e">
        <f ca="1"/>
        <v>#NAME?</v>
      </c>
      <c r="CS1318" s="30" t="str">
        <f ca="1">IFERROR(__xludf.DUMMYFUNCTION("""COMPUTED_VALUE"""),"")</f>
        <v/>
      </c>
    </row>
    <row r="1319" spans="1:97" ht="13">
      <c r="A1319" s="29"/>
      <c r="C1319" s="32"/>
      <c r="I1319" s="34"/>
      <c r="BP1319" s="29"/>
      <c r="CD1319" s="29"/>
      <c r="CJ1319" s="29"/>
      <c r="CM1319" s="30" t="str">
        <f ca="1">IFERROR(__xludf.DUMMYFUNCTION("""COMPUTED_VALUE"""),"")</f>
        <v/>
      </c>
      <c r="CN1319" s="32" t="e">
        <f ca="1"/>
        <v>#NAME?</v>
      </c>
      <c r="CO1319" s="32" t="e">
        <f ca="1"/>
        <v>#NAME?</v>
      </c>
      <c r="CP1319" s="32" t="e">
        <f ca="1"/>
        <v>#NAME?</v>
      </c>
      <c r="CQ1319" s="32" t="e">
        <f ca="1"/>
        <v>#NAME?</v>
      </c>
      <c r="CR1319" s="30" t="e">
        <f ca="1"/>
        <v>#NAME?</v>
      </c>
      <c r="CS1319" s="30" t="str">
        <f ca="1">IFERROR(__xludf.DUMMYFUNCTION("""COMPUTED_VALUE"""),"")</f>
        <v/>
      </c>
    </row>
    <row r="1320" spans="1:97" ht="13">
      <c r="A1320" s="29"/>
      <c r="C1320" s="32"/>
      <c r="I1320" s="34"/>
      <c r="BP1320" s="29"/>
      <c r="CD1320" s="29"/>
      <c r="CJ1320" s="29"/>
      <c r="CM1320" s="30" t="str">
        <f ca="1">IFERROR(__xludf.DUMMYFUNCTION("""COMPUTED_VALUE"""),"")</f>
        <v/>
      </c>
      <c r="CN1320" s="32" t="e">
        <f ca="1"/>
        <v>#NAME?</v>
      </c>
      <c r="CO1320" s="32" t="e">
        <f ca="1"/>
        <v>#NAME?</v>
      </c>
      <c r="CP1320" s="32" t="e">
        <f ca="1"/>
        <v>#NAME?</v>
      </c>
      <c r="CQ1320" s="32" t="e">
        <f ca="1"/>
        <v>#NAME?</v>
      </c>
      <c r="CR1320" s="30" t="e">
        <f ca="1"/>
        <v>#NAME?</v>
      </c>
      <c r="CS1320" s="30" t="str">
        <f ca="1">IFERROR(__xludf.DUMMYFUNCTION("""COMPUTED_VALUE"""),"")</f>
        <v/>
      </c>
    </row>
    <row r="1321" spans="1:97" ht="13">
      <c r="A1321" s="29"/>
      <c r="C1321" s="32"/>
      <c r="I1321" s="34"/>
      <c r="BP1321" s="29"/>
      <c r="CD1321" s="29"/>
      <c r="CJ1321" s="29"/>
      <c r="CM1321" s="30" t="str">
        <f ca="1">IFERROR(__xludf.DUMMYFUNCTION("""COMPUTED_VALUE"""),"")</f>
        <v/>
      </c>
      <c r="CN1321" s="32" t="e">
        <f ca="1"/>
        <v>#NAME?</v>
      </c>
      <c r="CO1321" s="32" t="e">
        <f ca="1"/>
        <v>#NAME?</v>
      </c>
      <c r="CP1321" s="32" t="e">
        <f ca="1"/>
        <v>#NAME?</v>
      </c>
      <c r="CQ1321" s="32" t="e">
        <f ca="1"/>
        <v>#NAME?</v>
      </c>
      <c r="CR1321" s="30" t="e">
        <f ca="1"/>
        <v>#NAME?</v>
      </c>
      <c r="CS1321" s="30" t="str">
        <f ca="1">IFERROR(__xludf.DUMMYFUNCTION("""COMPUTED_VALUE"""),"")</f>
        <v/>
      </c>
    </row>
    <row r="1322" spans="1:97" ht="13">
      <c r="A1322" s="29"/>
      <c r="C1322" s="32"/>
      <c r="I1322" s="34"/>
      <c r="BP1322" s="29"/>
      <c r="CD1322" s="29"/>
      <c r="CJ1322" s="29"/>
      <c r="CM1322" s="30" t="str">
        <f ca="1">IFERROR(__xludf.DUMMYFUNCTION("""COMPUTED_VALUE"""),"")</f>
        <v/>
      </c>
      <c r="CN1322" s="32" t="e">
        <f ca="1"/>
        <v>#NAME?</v>
      </c>
      <c r="CO1322" s="32" t="e">
        <f ca="1"/>
        <v>#NAME?</v>
      </c>
      <c r="CP1322" s="32" t="e">
        <f ca="1"/>
        <v>#NAME?</v>
      </c>
      <c r="CQ1322" s="32" t="e">
        <f ca="1"/>
        <v>#NAME?</v>
      </c>
      <c r="CR1322" s="30" t="e">
        <f ca="1"/>
        <v>#NAME?</v>
      </c>
      <c r="CS1322" s="30" t="str">
        <f ca="1">IFERROR(__xludf.DUMMYFUNCTION("""COMPUTED_VALUE"""),"")</f>
        <v/>
      </c>
    </row>
    <row r="1323" spans="1:97" ht="13">
      <c r="A1323" s="29"/>
      <c r="C1323" s="32"/>
      <c r="I1323" s="34"/>
      <c r="BP1323" s="29"/>
      <c r="CD1323" s="29"/>
      <c r="CJ1323" s="29"/>
      <c r="CM1323" s="30" t="str">
        <f ca="1">IFERROR(__xludf.DUMMYFUNCTION("""COMPUTED_VALUE"""),"")</f>
        <v/>
      </c>
      <c r="CN1323" s="32" t="e">
        <f ca="1"/>
        <v>#NAME?</v>
      </c>
      <c r="CO1323" s="32" t="e">
        <f ca="1"/>
        <v>#NAME?</v>
      </c>
      <c r="CP1323" s="32" t="e">
        <f ca="1"/>
        <v>#NAME?</v>
      </c>
      <c r="CQ1323" s="32" t="e">
        <f ca="1"/>
        <v>#NAME?</v>
      </c>
      <c r="CR1323" s="30" t="e">
        <f ca="1"/>
        <v>#NAME?</v>
      </c>
      <c r="CS1323" s="30" t="str">
        <f ca="1">IFERROR(__xludf.DUMMYFUNCTION("""COMPUTED_VALUE"""),"")</f>
        <v/>
      </c>
    </row>
    <row r="1324" spans="1:97" ht="13">
      <c r="A1324" s="29"/>
      <c r="C1324" s="32"/>
      <c r="I1324" s="34"/>
      <c r="BP1324" s="29"/>
      <c r="CD1324" s="29"/>
      <c r="CJ1324" s="29"/>
      <c r="CM1324" s="30" t="str">
        <f ca="1">IFERROR(__xludf.DUMMYFUNCTION("""COMPUTED_VALUE"""),"")</f>
        <v/>
      </c>
      <c r="CN1324" s="32" t="e">
        <f ca="1"/>
        <v>#NAME?</v>
      </c>
      <c r="CO1324" s="32" t="e">
        <f ca="1"/>
        <v>#NAME?</v>
      </c>
      <c r="CP1324" s="32" t="e">
        <f ca="1"/>
        <v>#NAME?</v>
      </c>
      <c r="CQ1324" s="32" t="e">
        <f ca="1"/>
        <v>#NAME?</v>
      </c>
      <c r="CR1324" s="30" t="e">
        <f ca="1"/>
        <v>#NAME?</v>
      </c>
      <c r="CS1324" s="30" t="str">
        <f ca="1">IFERROR(__xludf.DUMMYFUNCTION("""COMPUTED_VALUE"""),"")</f>
        <v/>
      </c>
    </row>
    <row r="1325" spans="1:97" ht="13">
      <c r="A1325" s="29"/>
      <c r="C1325" s="32"/>
      <c r="I1325" s="34"/>
      <c r="BP1325" s="29"/>
      <c r="CD1325" s="29"/>
      <c r="CJ1325" s="29"/>
      <c r="CM1325" s="30" t="str">
        <f ca="1">IFERROR(__xludf.DUMMYFUNCTION("""COMPUTED_VALUE"""),"")</f>
        <v/>
      </c>
      <c r="CN1325" s="32" t="e">
        <f ca="1"/>
        <v>#NAME?</v>
      </c>
      <c r="CO1325" s="32" t="e">
        <f ca="1"/>
        <v>#NAME?</v>
      </c>
      <c r="CP1325" s="32" t="e">
        <f ca="1"/>
        <v>#NAME?</v>
      </c>
      <c r="CQ1325" s="32" t="e">
        <f ca="1"/>
        <v>#NAME?</v>
      </c>
      <c r="CR1325" s="30" t="e">
        <f ca="1"/>
        <v>#NAME?</v>
      </c>
      <c r="CS1325" s="30" t="str">
        <f ca="1">IFERROR(__xludf.DUMMYFUNCTION("""COMPUTED_VALUE"""),"")</f>
        <v/>
      </c>
    </row>
    <row r="1326" spans="1:97" ht="13">
      <c r="A1326" s="29"/>
      <c r="C1326" s="32"/>
      <c r="I1326" s="34"/>
      <c r="BP1326" s="29"/>
      <c r="CD1326" s="29"/>
      <c r="CJ1326" s="29"/>
      <c r="CM1326" s="30" t="str">
        <f ca="1">IFERROR(__xludf.DUMMYFUNCTION("""COMPUTED_VALUE"""),"")</f>
        <v/>
      </c>
      <c r="CN1326" s="32" t="e">
        <f ca="1"/>
        <v>#NAME?</v>
      </c>
      <c r="CO1326" s="32" t="e">
        <f ca="1"/>
        <v>#NAME?</v>
      </c>
      <c r="CP1326" s="32" t="e">
        <f ca="1"/>
        <v>#NAME?</v>
      </c>
      <c r="CQ1326" s="32" t="e">
        <f ca="1"/>
        <v>#NAME?</v>
      </c>
      <c r="CR1326" s="30" t="e">
        <f ca="1"/>
        <v>#NAME?</v>
      </c>
      <c r="CS1326" s="30" t="str">
        <f ca="1">IFERROR(__xludf.DUMMYFUNCTION("""COMPUTED_VALUE"""),"")</f>
        <v/>
      </c>
    </row>
    <row r="1327" spans="1:97" ht="13">
      <c r="A1327" s="29"/>
      <c r="C1327" s="32"/>
      <c r="I1327" s="34"/>
      <c r="BP1327" s="29"/>
      <c r="CD1327" s="29"/>
      <c r="CJ1327" s="29"/>
      <c r="CM1327" s="30" t="str">
        <f ca="1">IFERROR(__xludf.DUMMYFUNCTION("""COMPUTED_VALUE"""),"")</f>
        <v/>
      </c>
      <c r="CN1327" s="32" t="e">
        <f ca="1"/>
        <v>#NAME?</v>
      </c>
      <c r="CO1327" s="32" t="e">
        <f ca="1"/>
        <v>#NAME?</v>
      </c>
      <c r="CP1327" s="32" t="e">
        <f ca="1"/>
        <v>#NAME?</v>
      </c>
      <c r="CQ1327" s="32" t="e">
        <f ca="1"/>
        <v>#NAME?</v>
      </c>
      <c r="CR1327" s="30" t="e">
        <f ca="1"/>
        <v>#NAME?</v>
      </c>
      <c r="CS1327" s="30" t="str">
        <f ca="1">IFERROR(__xludf.DUMMYFUNCTION("""COMPUTED_VALUE"""),"")</f>
        <v/>
      </c>
    </row>
    <row r="1328" spans="1:97" ht="13">
      <c r="A1328" s="29"/>
      <c r="C1328" s="32"/>
      <c r="I1328" s="34"/>
      <c r="BP1328" s="29"/>
      <c r="CD1328" s="29"/>
      <c r="CJ1328" s="29"/>
      <c r="CM1328" s="30" t="str">
        <f ca="1">IFERROR(__xludf.DUMMYFUNCTION("""COMPUTED_VALUE"""),"")</f>
        <v/>
      </c>
      <c r="CN1328" s="32" t="e">
        <f ca="1"/>
        <v>#NAME?</v>
      </c>
      <c r="CO1328" s="32" t="e">
        <f ca="1"/>
        <v>#NAME?</v>
      </c>
      <c r="CP1328" s="32" t="e">
        <f ca="1"/>
        <v>#NAME?</v>
      </c>
      <c r="CQ1328" s="32" t="e">
        <f ca="1"/>
        <v>#NAME?</v>
      </c>
      <c r="CR1328" s="30" t="e">
        <f ca="1"/>
        <v>#NAME?</v>
      </c>
      <c r="CS1328" s="30" t="str">
        <f ca="1">IFERROR(__xludf.DUMMYFUNCTION("""COMPUTED_VALUE"""),"")</f>
        <v/>
      </c>
    </row>
    <row r="1329" spans="1:97" ht="13">
      <c r="A1329" s="29"/>
      <c r="C1329" s="32"/>
      <c r="I1329" s="34"/>
      <c r="BP1329" s="29"/>
      <c r="CD1329" s="29"/>
      <c r="CJ1329" s="29"/>
      <c r="CM1329" s="30" t="str">
        <f ca="1">IFERROR(__xludf.DUMMYFUNCTION("""COMPUTED_VALUE"""),"")</f>
        <v/>
      </c>
      <c r="CN1329" s="32" t="e">
        <f ca="1"/>
        <v>#NAME?</v>
      </c>
      <c r="CO1329" s="32" t="e">
        <f ca="1"/>
        <v>#NAME?</v>
      </c>
      <c r="CP1329" s="32" t="e">
        <f ca="1"/>
        <v>#NAME?</v>
      </c>
      <c r="CQ1329" s="32" t="e">
        <f ca="1"/>
        <v>#NAME?</v>
      </c>
      <c r="CR1329" s="30" t="e">
        <f ca="1"/>
        <v>#NAME?</v>
      </c>
      <c r="CS1329" s="30" t="str">
        <f ca="1">IFERROR(__xludf.DUMMYFUNCTION("""COMPUTED_VALUE"""),"")</f>
        <v/>
      </c>
    </row>
    <row r="1330" spans="1:97" ht="13">
      <c r="A1330" s="29"/>
      <c r="C1330" s="32"/>
      <c r="I1330" s="34"/>
      <c r="BP1330" s="29"/>
      <c r="CD1330" s="29"/>
      <c r="CJ1330" s="29"/>
      <c r="CM1330" s="30" t="str">
        <f ca="1">IFERROR(__xludf.DUMMYFUNCTION("""COMPUTED_VALUE"""),"")</f>
        <v/>
      </c>
      <c r="CN1330" s="32" t="e">
        <f ca="1"/>
        <v>#NAME?</v>
      </c>
      <c r="CO1330" s="32" t="e">
        <f ca="1"/>
        <v>#NAME?</v>
      </c>
      <c r="CP1330" s="32" t="e">
        <f ca="1"/>
        <v>#NAME?</v>
      </c>
      <c r="CQ1330" s="32" t="e">
        <f ca="1"/>
        <v>#NAME?</v>
      </c>
      <c r="CR1330" s="30" t="e">
        <f ca="1"/>
        <v>#NAME?</v>
      </c>
      <c r="CS1330" s="30" t="str">
        <f ca="1">IFERROR(__xludf.DUMMYFUNCTION("""COMPUTED_VALUE"""),"")</f>
        <v/>
      </c>
    </row>
    <row r="1331" spans="1:97" ht="13">
      <c r="A1331" s="29"/>
      <c r="C1331" s="32"/>
      <c r="I1331" s="34"/>
      <c r="BP1331" s="29"/>
      <c r="CD1331" s="29"/>
      <c r="CJ1331" s="29"/>
      <c r="CM1331" s="30" t="str">
        <f ca="1">IFERROR(__xludf.DUMMYFUNCTION("""COMPUTED_VALUE"""),"")</f>
        <v/>
      </c>
      <c r="CN1331" s="32" t="e">
        <f ca="1"/>
        <v>#NAME?</v>
      </c>
      <c r="CO1331" s="32" t="e">
        <f ca="1"/>
        <v>#NAME?</v>
      </c>
      <c r="CP1331" s="32" t="e">
        <f ca="1"/>
        <v>#NAME?</v>
      </c>
      <c r="CQ1331" s="32" t="e">
        <f ca="1"/>
        <v>#NAME?</v>
      </c>
      <c r="CR1331" s="30" t="e">
        <f ca="1"/>
        <v>#NAME?</v>
      </c>
      <c r="CS1331" s="30" t="str">
        <f ca="1">IFERROR(__xludf.DUMMYFUNCTION("""COMPUTED_VALUE"""),"")</f>
        <v/>
      </c>
    </row>
    <row r="1332" spans="1:97" ht="13">
      <c r="A1332" s="29"/>
      <c r="C1332" s="32"/>
      <c r="I1332" s="34"/>
      <c r="BP1332" s="29"/>
      <c r="CD1332" s="29"/>
      <c r="CJ1332" s="29"/>
      <c r="CM1332" s="30" t="str">
        <f ca="1">IFERROR(__xludf.DUMMYFUNCTION("""COMPUTED_VALUE"""),"")</f>
        <v/>
      </c>
      <c r="CN1332" s="32" t="e">
        <f ca="1"/>
        <v>#NAME?</v>
      </c>
      <c r="CO1332" s="32" t="e">
        <f ca="1"/>
        <v>#NAME?</v>
      </c>
      <c r="CP1332" s="32" t="e">
        <f ca="1"/>
        <v>#NAME?</v>
      </c>
      <c r="CQ1332" s="32" t="e">
        <f ca="1"/>
        <v>#NAME?</v>
      </c>
      <c r="CR1332" s="30" t="e">
        <f ca="1"/>
        <v>#NAME?</v>
      </c>
      <c r="CS1332" s="30" t="str">
        <f ca="1">IFERROR(__xludf.DUMMYFUNCTION("""COMPUTED_VALUE"""),"")</f>
        <v/>
      </c>
    </row>
    <row r="1333" spans="1:97" ht="13">
      <c r="A1333" s="29"/>
      <c r="C1333" s="32"/>
      <c r="I1333" s="34"/>
      <c r="BP1333" s="29"/>
      <c r="CD1333" s="29"/>
      <c r="CJ1333" s="29"/>
      <c r="CM1333" s="30" t="str">
        <f ca="1">IFERROR(__xludf.DUMMYFUNCTION("""COMPUTED_VALUE"""),"")</f>
        <v/>
      </c>
      <c r="CN1333" s="32" t="e">
        <f ca="1"/>
        <v>#NAME?</v>
      </c>
      <c r="CO1333" s="32" t="e">
        <f ca="1"/>
        <v>#NAME?</v>
      </c>
      <c r="CP1333" s="32" t="e">
        <f ca="1"/>
        <v>#NAME?</v>
      </c>
      <c r="CQ1333" s="32" t="e">
        <f ca="1"/>
        <v>#NAME?</v>
      </c>
      <c r="CR1333" s="30" t="e">
        <f ca="1"/>
        <v>#NAME?</v>
      </c>
      <c r="CS1333" s="30" t="str">
        <f ca="1">IFERROR(__xludf.DUMMYFUNCTION("""COMPUTED_VALUE"""),"")</f>
        <v/>
      </c>
    </row>
    <row r="1334" spans="1:97" ht="13">
      <c r="A1334" s="29"/>
      <c r="C1334" s="32"/>
      <c r="I1334" s="34"/>
      <c r="BP1334" s="29"/>
      <c r="CD1334" s="29"/>
      <c r="CJ1334" s="29"/>
      <c r="CM1334" s="30" t="str">
        <f ca="1">IFERROR(__xludf.DUMMYFUNCTION("""COMPUTED_VALUE"""),"")</f>
        <v/>
      </c>
      <c r="CN1334" s="32" t="e">
        <f ca="1"/>
        <v>#NAME?</v>
      </c>
      <c r="CO1334" s="32" t="e">
        <f ca="1"/>
        <v>#NAME?</v>
      </c>
      <c r="CP1334" s="32" t="e">
        <f ca="1"/>
        <v>#NAME?</v>
      </c>
      <c r="CQ1334" s="32" t="e">
        <f ca="1"/>
        <v>#NAME?</v>
      </c>
      <c r="CR1334" s="30" t="e">
        <f ca="1"/>
        <v>#NAME?</v>
      </c>
      <c r="CS1334" s="30" t="str">
        <f ca="1">IFERROR(__xludf.DUMMYFUNCTION("""COMPUTED_VALUE"""),"")</f>
        <v/>
      </c>
    </row>
    <row r="1335" spans="1:97" ht="13">
      <c r="A1335" s="29"/>
      <c r="C1335" s="32"/>
      <c r="I1335" s="34"/>
      <c r="BP1335" s="29"/>
      <c r="CD1335" s="29"/>
      <c r="CJ1335" s="29"/>
      <c r="CM1335" s="30" t="str">
        <f ca="1">IFERROR(__xludf.DUMMYFUNCTION("""COMPUTED_VALUE"""),"")</f>
        <v/>
      </c>
      <c r="CN1335" s="32" t="e">
        <f ca="1"/>
        <v>#NAME?</v>
      </c>
      <c r="CO1335" s="32" t="e">
        <f ca="1"/>
        <v>#NAME?</v>
      </c>
      <c r="CP1335" s="32" t="e">
        <f ca="1"/>
        <v>#NAME?</v>
      </c>
      <c r="CQ1335" s="32" t="e">
        <f ca="1"/>
        <v>#NAME?</v>
      </c>
      <c r="CR1335" s="30" t="e">
        <f ca="1"/>
        <v>#NAME?</v>
      </c>
      <c r="CS1335" s="30" t="str">
        <f ca="1">IFERROR(__xludf.DUMMYFUNCTION("""COMPUTED_VALUE"""),"")</f>
        <v/>
      </c>
    </row>
    <row r="1336" spans="1:97" ht="13">
      <c r="A1336" s="29"/>
      <c r="C1336" s="32"/>
      <c r="I1336" s="34"/>
      <c r="BP1336" s="29"/>
      <c r="CD1336" s="29"/>
      <c r="CJ1336" s="29"/>
      <c r="CM1336" s="30" t="str">
        <f ca="1">IFERROR(__xludf.DUMMYFUNCTION("""COMPUTED_VALUE"""),"")</f>
        <v/>
      </c>
      <c r="CN1336" s="32" t="e">
        <f ca="1"/>
        <v>#NAME?</v>
      </c>
      <c r="CO1336" s="32" t="e">
        <f ca="1"/>
        <v>#NAME?</v>
      </c>
      <c r="CP1336" s="32" t="e">
        <f ca="1"/>
        <v>#NAME?</v>
      </c>
      <c r="CQ1336" s="32" t="e">
        <f ca="1"/>
        <v>#NAME?</v>
      </c>
      <c r="CR1336" s="30" t="e">
        <f ca="1"/>
        <v>#NAME?</v>
      </c>
      <c r="CS1336" s="30" t="str">
        <f ca="1">IFERROR(__xludf.DUMMYFUNCTION("""COMPUTED_VALUE"""),"")</f>
        <v/>
      </c>
    </row>
    <row r="1337" spans="1:97" ht="13">
      <c r="A1337" s="29"/>
      <c r="C1337" s="32"/>
      <c r="I1337" s="34"/>
      <c r="BP1337" s="29"/>
      <c r="CD1337" s="29"/>
      <c r="CJ1337" s="29"/>
      <c r="CM1337" s="30" t="str">
        <f ca="1">IFERROR(__xludf.DUMMYFUNCTION("""COMPUTED_VALUE"""),"")</f>
        <v/>
      </c>
      <c r="CN1337" s="32" t="e">
        <f ca="1"/>
        <v>#NAME?</v>
      </c>
      <c r="CO1337" s="32" t="e">
        <f ca="1"/>
        <v>#NAME?</v>
      </c>
      <c r="CP1337" s="32" t="e">
        <f ca="1"/>
        <v>#NAME?</v>
      </c>
      <c r="CQ1337" s="32" t="e">
        <f ca="1"/>
        <v>#NAME?</v>
      </c>
      <c r="CR1337" s="30" t="e">
        <f ca="1"/>
        <v>#NAME?</v>
      </c>
      <c r="CS1337" s="30" t="str">
        <f ca="1">IFERROR(__xludf.DUMMYFUNCTION("""COMPUTED_VALUE"""),"")</f>
        <v/>
      </c>
    </row>
    <row r="1338" spans="1:97" ht="13">
      <c r="A1338" s="29"/>
      <c r="C1338" s="32"/>
      <c r="I1338" s="34"/>
      <c r="BP1338" s="29"/>
      <c r="CD1338" s="29"/>
      <c r="CJ1338" s="29"/>
      <c r="CM1338" s="30" t="str">
        <f ca="1">IFERROR(__xludf.DUMMYFUNCTION("""COMPUTED_VALUE"""),"")</f>
        <v/>
      </c>
      <c r="CN1338" s="32" t="e">
        <f ca="1"/>
        <v>#NAME?</v>
      </c>
      <c r="CO1338" s="32" t="e">
        <f ca="1"/>
        <v>#NAME?</v>
      </c>
      <c r="CP1338" s="32" t="e">
        <f ca="1"/>
        <v>#NAME?</v>
      </c>
      <c r="CQ1338" s="32" t="e">
        <f ca="1"/>
        <v>#NAME?</v>
      </c>
      <c r="CR1338" s="30" t="e">
        <f ca="1"/>
        <v>#NAME?</v>
      </c>
      <c r="CS1338" s="30" t="str">
        <f ca="1">IFERROR(__xludf.DUMMYFUNCTION("""COMPUTED_VALUE"""),"")</f>
        <v/>
      </c>
    </row>
    <row r="1339" spans="1:97" ht="13">
      <c r="A1339" s="29"/>
      <c r="C1339" s="32"/>
      <c r="I1339" s="34"/>
      <c r="BP1339" s="29"/>
      <c r="CD1339" s="29"/>
      <c r="CJ1339" s="29"/>
      <c r="CM1339" s="30" t="str">
        <f ca="1">IFERROR(__xludf.DUMMYFUNCTION("""COMPUTED_VALUE"""),"")</f>
        <v/>
      </c>
      <c r="CN1339" s="32" t="e">
        <f ca="1"/>
        <v>#NAME?</v>
      </c>
      <c r="CO1339" s="32" t="e">
        <f ca="1"/>
        <v>#NAME?</v>
      </c>
      <c r="CP1339" s="32" t="e">
        <f ca="1"/>
        <v>#NAME?</v>
      </c>
      <c r="CQ1339" s="32" t="e">
        <f ca="1"/>
        <v>#NAME?</v>
      </c>
      <c r="CR1339" s="30" t="e">
        <f ca="1"/>
        <v>#NAME?</v>
      </c>
      <c r="CS1339" s="30" t="str">
        <f ca="1">IFERROR(__xludf.DUMMYFUNCTION("""COMPUTED_VALUE"""),"")</f>
        <v/>
      </c>
    </row>
    <row r="1340" spans="1:97" ht="13">
      <c r="A1340" s="29"/>
      <c r="C1340" s="32"/>
      <c r="I1340" s="34"/>
      <c r="BP1340" s="29"/>
      <c r="CD1340" s="29"/>
      <c r="CJ1340" s="29"/>
      <c r="CM1340" s="30" t="str">
        <f ca="1">IFERROR(__xludf.DUMMYFUNCTION("""COMPUTED_VALUE"""),"")</f>
        <v/>
      </c>
      <c r="CN1340" s="32" t="e">
        <f ca="1"/>
        <v>#NAME?</v>
      </c>
      <c r="CO1340" s="32" t="e">
        <f ca="1"/>
        <v>#NAME?</v>
      </c>
      <c r="CP1340" s="32" t="e">
        <f ca="1"/>
        <v>#NAME?</v>
      </c>
      <c r="CQ1340" s="32" t="e">
        <f ca="1"/>
        <v>#NAME?</v>
      </c>
      <c r="CR1340" s="30" t="e">
        <f ca="1"/>
        <v>#NAME?</v>
      </c>
      <c r="CS1340" s="30" t="str">
        <f ca="1">IFERROR(__xludf.DUMMYFUNCTION("""COMPUTED_VALUE"""),"")</f>
        <v/>
      </c>
    </row>
    <row r="1341" spans="1:97" ht="13">
      <c r="A1341" s="29"/>
      <c r="C1341" s="32"/>
      <c r="I1341" s="34"/>
      <c r="BP1341" s="29"/>
      <c r="CD1341" s="29"/>
      <c r="CJ1341" s="29"/>
      <c r="CM1341" s="30" t="str">
        <f ca="1">IFERROR(__xludf.DUMMYFUNCTION("""COMPUTED_VALUE"""),"")</f>
        <v/>
      </c>
      <c r="CN1341" s="32" t="e">
        <f ca="1"/>
        <v>#NAME?</v>
      </c>
      <c r="CO1341" s="32" t="e">
        <f ca="1"/>
        <v>#NAME?</v>
      </c>
      <c r="CP1341" s="32" t="e">
        <f ca="1"/>
        <v>#NAME?</v>
      </c>
      <c r="CQ1341" s="32" t="e">
        <f ca="1"/>
        <v>#NAME?</v>
      </c>
      <c r="CR1341" s="30" t="e">
        <f ca="1"/>
        <v>#NAME?</v>
      </c>
      <c r="CS1341" s="30" t="str">
        <f ca="1">IFERROR(__xludf.DUMMYFUNCTION("""COMPUTED_VALUE"""),"")</f>
        <v/>
      </c>
    </row>
    <row r="1342" spans="1:97" ht="13">
      <c r="A1342" s="29"/>
      <c r="C1342" s="32"/>
      <c r="I1342" s="34"/>
      <c r="BP1342" s="29"/>
      <c r="CD1342" s="29"/>
      <c r="CJ1342" s="29"/>
      <c r="CM1342" s="30" t="str">
        <f ca="1">IFERROR(__xludf.DUMMYFUNCTION("""COMPUTED_VALUE"""),"")</f>
        <v/>
      </c>
      <c r="CN1342" s="32" t="e">
        <f ca="1"/>
        <v>#NAME?</v>
      </c>
      <c r="CO1342" s="32" t="e">
        <f ca="1"/>
        <v>#NAME?</v>
      </c>
      <c r="CP1342" s="32" t="e">
        <f ca="1"/>
        <v>#NAME?</v>
      </c>
      <c r="CQ1342" s="32" t="e">
        <f ca="1"/>
        <v>#NAME?</v>
      </c>
      <c r="CR1342" s="30" t="e">
        <f ca="1"/>
        <v>#NAME?</v>
      </c>
      <c r="CS1342" s="30" t="str">
        <f ca="1">IFERROR(__xludf.DUMMYFUNCTION("""COMPUTED_VALUE"""),"")</f>
        <v/>
      </c>
    </row>
    <row r="1343" spans="1:97" ht="13">
      <c r="A1343" s="29"/>
      <c r="C1343" s="32"/>
      <c r="I1343" s="34"/>
      <c r="BP1343" s="29"/>
      <c r="CD1343" s="29"/>
      <c r="CJ1343" s="29"/>
      <c r="CM1343" s="30" t="str">
        <f ca="1">IFERROR(__xludf.DUMMYFUNCTION("""COMPUTED_VALUE"""),"")</f>
        <v/>
      </c>
      <c r="CN1343" s="32" t="e">
        <f ca="1"/>
        <v>#NAME?</v>
      </c>
      <c r="CO1343" s="32" t="e">
        <f ca="1"/>
        <v>#NAME?</v>
      </c>
      <c r="CP1343" s="32" t="e">
        <f ca="1"/>
        <v>#NAME?</v>
      </c>
      <c r="CQ1343" s="32" t="e">
        <f ca="1"/>
        <v>#NAME?</v>
      </c>
      <c r="CR1343" s="30" t="e">
        <f ca="1"/>
        <v>#NAME?</v>
      </c>
      <c r="CS1343" s="30" t="str">
        <f ca="1">IFERROR(__xludf.DUMMYFUNCTION("""COMPUTED_VALUE"""),"")</f>
        <v/>
      </c>
    </row>
    <row r="1344" spans="1:97" ht="13">
      <c r="A1344" s="29"/>
      <c r="C1344" s="32"/>
      <c r="I1344" s="34"/>
      <c r="BP1344" s="29"/>
      <c r="CD1344" s="29"/>
      <c r="CJ1344" s="29"/>
      <c r="CM1344" s="30" t="str">
        <f ca="1">IFERROR(__xludf.DUMMYFUNCTION("""COMPUTED_VALUE"""),"")</f>
        <v/>
      </c>
      <c r="CN1344" s="32" t="e">
        <f ca="1"/>
        <v>#NAME?</v>
      </c>
      <c r="CO1344" s="32" t="e">
        <f ca="1"/>
        <v>#NAME?</v>
      </c>
      <c r="CP1344" s="32" t="e">
        <f ca="1"/>
        <v>#NAME?</v>
      </c>
      <c r="CQ1344" s="32" t="e">
        <f ca="1"/>
        <v>#NAME?</v>
      </c>
      <c r="CR1344" s="30" t="e">
        <f ca="1"/>
        <v>#NAME?</v>
      </c>
      <c r="CS1344" s="30" t="str">
        <f ca="1">IFERROR(__xludf.DUMMYFUNCTION("""COMPUTED_VALUE"""),"")</f>
        <v/>
      </c>
    </row>
    <row r="1345" spans="1:97" ht="13">
      <c r="A1345" s="29"/>
      <c r="C1345" s="32"/>
      <c r="I1345" s="34"/>
      <c r="BP1345" s="29"/>
      <c r="CD1345" s="29"/>
      <c r="CJ1345" s="29"/>
      <c r="CM1345" s="30" t="str">
        <f ca="1">IFERROR(__xludf.DUMMYFUNCTION("""COMPUTED_VALUE"""),"")</f>
        <v/>
      </c>
      <c r="CN1345" s="32" t="e">
        <f ca="1"/>
        <v>#NAME?</v>
      </c>
      <c r="CO1345" s="32" t="e">
        <f ca="1"/>
        <v>#NAME?</v>
      </c>
      <c r="CP1345" s="32" t="e">
        <f ca="1"/>
        <v>#NAME?</v>
      </c>
      <c r="CQ1345" s="32" t="e">
        <f ca="1"/>
        <v>#NAME?</v>
      </c>
      <c r="CR1345" s="30" t="e">
        <f ca="1"/>
        <v>#NAME?</v>
      </c>
      <c r="CS1345" s="30" t="str">
        <f ca="1">IFERROR(__xludf.DUMMYFUNCTION("""COMPUTED_VALUE"""),"")</f>
        <v/>
      </c>
    </row>
    <row r="1346" spans="1:97" ht="13">
      <c r="A1346" s="29"/>
      <c r="C1346" s="32"/>
      <c r="I1346" s="34"/>
      <c r="BP1346" s="29"/>
      <c r="CD1346" s="29"/>
      <c r="CJ1346" s="29"/>
      <c r="CM1346" s="30" t="str">
        <f ca="1">IFERROR(__xludf.DUMMYFUNCTION("""COMPUTED_VALUE"""),"")</f>
        <v/>
      </c>
      <c r="CN1346" s="32" t="e">
        <f ca="1"/>
        <v>#NAME?</v>
      </c>
      <c r="CO1346" s="32" t="e">
        <f ca="1"/>
        <v>#NAME?</v>
      </c>
      <c r="CP1346" s="32" t="e">
        <f ca="1"/>
        <v>#NAME?</v>
      </c>
      <c r="CQ1346" s="32" t="e">
        <f ca="1"/>
        <v>#NAME?</v>
      </c>
      <c r="CR1346" s="30" t="e">
        <f ca="1"/>
        <v>#NAME?</v>
      </c>
      <c r="CS1346" s="30" t="str">
        <f ca="1">IFERROR(__xludf.DUMMYFUNCTION("""COMPUTED_VALUE"""),"")</f>
        <v/>
      </c>
    </row>
    <row r="1347" spans="1:97" ht="13">
      <c r="A1347" s="29"/>
      <c r="C1347" s="32"/>
      <c r="I1347" s="34"/>
      <c r="BP1347" s="29"/>
      <c r="CD1347" s="29"/>
      <c r="CJ1347" s="29"/>
      <c r="CM1347" s="30" t="str">
        <f ca="1">IFERROR(__xludf.DUMMYFUNCTION("""COMPUTED_VALUE"""),"")</f>
        <v/>
      </c>
      <c r="CN1347" s="32" t="e">
        <f ca="1"/>
        <v>#NAME?</v>
      </c>
      <c r="CO1347" s="32" t="e">
        <f ca="1"/>
        <v>#NAME?</v>
      </c>
      <c r="CP1347" s="32" t="e">
        <f ca="1"/>
        <v>#NAME?</v>
      </c>
      <c r="CQ1347" s="32" t="e">
        <f ca="1"/>
        <v>#NAME?</v>
      </c>
      <c r="CR1347" s="30" t="e">
        <f ca="1"/>
        <v>#NAME?</v>
      </c>
      <c r="CS1347" s="30" t="str">
        <f ca="1">IFERROR(__xludf.DUMMYFUNCTION("""COMPUTED_VALUE"""),"")</f>
        <v/>
      </c>
    </row>
    <row r="1348" spans="1:97" ht="13">
      <c r="A1348" s="29"/>
      <c r="C1348" s="32"/>
      <c r="I1348" s="34"/>
      <c r="BP1348" s="29"/>
      <c r="CD1348" s="29"/>
      <c r="CJ1348" s="29"/>
      <c r="CM1348" s="30" t="str">
        <f ca="1">IFERROR(__xludf.DUMMYFUNCTION("""COMPUTED_VALUE"""),"")</f>
        <v/>
      </c>
      <c r="CN1348" s="32" t="e">
        <f ca="1"/>
        <v>#NAME?</v>
      </c>
      <c r="CO1348" s="32" t="e">
        <f ca="1"/>
        <v>#NAME?</v>
      </c>
      <c r="CP1348" s="32" t="e">
        <f ca="1"/>
        <v>#NAME?</v>
      </c>
      <c r="CQ1348" s="32" t="e">
        <f ca="1"/>
        <v>#NAME?</v>
      </c>
      <c r="CR1348" s="30" t="e">
        <f ca="1"/>
        <v>#NAME?</v>
      </c>
      <c r="CS1348" s="30" t="str">
        <f ca="1">IFERROR(__xludf.DUMMYFUNCTION("""COMPUTED_VALUE"""),"")</f>
        <v/>
      </c>
    </row>
    <row r="1349" spans="1:97" ht="13">
      <c r="A1349" s="29"/>
      <c r="C1349" s="32"/>
      <c r="I1349" s="34"/>
      <c r="BP1349" s="29"/>
      <c r="CD1349" s="29"/>
      <c r="CJ1349" s="29"/>
      <c r="CM1349" s="30" t="str">
        <f ca="1">IFERROR(__xludf.DUMMYFUNCTION("""COMPUTED_VALUE"""),"")</f>
        <v/>
      </c>
      <c r="CN1349" s="32" t="e">
        <f ca="1"/>
        <v>#NAME?</v>
      </c>
      <c r="CO1349" s="32" t="e">
        <f ca="1"/>
        <v>#NAME?</v>
      </c>
      <c r="CP1349" s="32" t="e">
        <f ca="1"/>
        <v>#NAME?</v>
      </c>
      <c r="CQ1349" s="32" t="e">
        <f ca="1"/>
        <v>#NAME?</v>
      </c>
      <c r="CR1349" s="30" t="e">
        <f ca="1"/>
        <v>#NAME?</v>
      </c>
      <c r="CS1349" s="30" t="str">
        <f ca="1">IFERROR(__xludf.DUMMYFUNCTION("""COMPUTED_VALUE"""),"")</f>
        <v/>
      </c>
    </row>
    <row r="1350" spans="1:97" ht="13">
      <c r="A1350" s="29"/>
      <c r="C1350" s="32"/>
      <c r="I1350" s="34"/>
      <c r="BP1350" s="29"/>
      <c r="CD1350" s="29"/>
      <c r="CJ1350" s="29"/>
      <c r="CM1350" s="30" t="str">
        <f ca="1">IFERROR(__xludf.DUMMYFUNCTION("""COMPUTED_VALUE"""),"")</f>
        <v/>
      </c>
      <c r="CN1350" s="32" t="e">
        <f ca="1"/>
        <v>#NAME?</v>
      </c>
      <c r="CO1350" s="32" t="e">
        <f ca="1"/>
        <v>#NAME?</v>
      </c>
      <c r="CP1350" s="32" t="e">
        <f ca="1"/>
        <v>#NAME?</v>
      </c>
      <c r="CQ1350" s="32" t="e">
        <f ca="1"/>
        <v>#NAME?</v>
      </c>
      <c r="CR1350" s="30" t="e">
        <f ca="1"/>
        <v>#NAME?</v>
      </c>
      <c r="CS1350" s="30" t="str">
        <f ca="1">IFERROR(__xludf.DUMMYFUNCTION("""COMPUTED_VALUE"""),"")</f>
        <v/>
      </c>
    </row>
    <row r="1351" spans="1:97" ht="13">
      <c r="A1351" s="29"/>
      <c r="C1351" s="32"/>
      <c r="I1351" s="34"/>
      <c r="BP1351" s="29"/>
      <c r="CD1351" s="29"/>
      <c r="CJ1351" s="29"/>
      <c r="CM1351" s="30" t="str">
        <f ca="1">IFERROR(__xludf.DUMMYFUNCTION("""COMPUTED_VALUE"""),"")</f>
        <v/>
      </c>
      <c r="CN1351" s="32" t="e">
        <f ca="1"/>
        <v>#NAME?</v>
      </c>
      <c r="CO1351" s="32" t="e">
        <f ca="1"/>
        <v>#NAME?</v>
      </c>
      <c r="CP1351" s="32" t="e">
        <f ca="1"/>
        <v>#NAME?</v>
      </c>
      <c r="CQ1351" s="32" t="e">
        <f ca="1"/>
        <v>#NAME?</v>
      </c>
      <c r="CR1351" s="30" t="e">
        <f ca="1"/>
        <v>#NAME?</v>
      </c>
      <c r="CS1351" s="30" t="str">
        <f ca="1">IFERROR(__xludf.DUMMYFUNCTION("""COMPUTED_VALUE"""),"")</f>
        <v/>
      </c>
    </row>
    <row r="1352" spans="1:97" ht="13">
      <c r="A1352" s="29"/>
      <c r="C1352" s="32"/>
      <c r="I1352" s="34"/>
      <c r="BP1352" s="29"/>
      <c r="CD1352" s="29"/>
      <c r="CJ1352" s="29"/>
      <c r="CM1352" s="30" t="str">
        <f ca="1">IFERROR(__xludf.DUMMYFUNCTION("""COMPUTED_VALUE"""),"")</f>
        <v/>
      </c>
      <c r="CN1352" s="32" t="e">
        <f ca="1"/>
        <v>#NAME?</v>
      </c>
      <c r="CO1352" s="32" t="e">
        <f ca="1"/>
        <v>#NAME?</v>
      </c>
      <c r="CP1352" s="32" t="e">
        <f ca="1"/>
        <v>#NAME?</v>
      </c>
      <c r="CQ1352" s="32" t="e">
        <f ca="1"/>
        <v>#NAME?</v>
      </c>
      <c r="CR1352" s="30" t="e">
        <f ca="1"/>
        <v>#NAME?</v>
      </c>
      <c r="CS1352" s="30" t="str">
        <f ca="1">IFERROR(__xludf.DUMMYFUNCTION("""COMPUTED_VALUE"""),"")</f>
        <v/>
      </c>
    </row>
    <row r="1353" spans="1:97" ht="13">
      <c r="A1353" s="29"/>
      <c r="C1353" s="32"/>
      <c r="I1353" s="34"/>
      <c r="BP1353" s="29"/>
      <c r="CD1353" s="29"/>
      <c r="CJ1353" s="29"/>
      <c r="CM1353" s="30" t="str">
        <f ca="1">IFERROR(__xludf.DUMMYFUNCTION("""COMPUTED_VALUE"""),"")</f>
        <v/>
      </c>
      <c r="CN1353" s="32" t="e">
        <f ca="1"/>
        <v>#NAME?</v>
      </c>
      <c r="CO1353" s="32" t="e">
        <f ca="1"/>
        <v>#NAME?</v>
      </c>
      <c r="CP1353" s="32" t="e">
        <f ca="1"/>
        <v>#NAME?</v>
      </c>
      <c r="CQ1353" s="32" t="e">
        <f ca="1"/>
        <v>#NAME?</v>
      </c>
      <c r="CR1353" s="30" t="e">
        <f ca="1"/>
        <v>#NAME?</v>
      </c>
      <c r="CS1353" s="30" t="str">
        <f ca="1">IFERROR(__xludf.DUMMYFUNCTION("""COMPUTED_VALUE"""),"")</f>
        <v/>
      </c>
    </row>
    <row r="1354" spans="1:97" ht="13">
      <c r="A1354" s="29"/>
      <c r="C1354" s="32"/>
      <c r="I1354" s="34"/>
      <c r="BP1354" s="29"/>
      <c r="CD1354" s="29"/>
      <c r="CJ1354" s="29"/>
      <c r="CM1354" s="30" t="str">
        <f ca="1">IFERROR(__xludf.DUMMYFUNCTION("""COMPUTED_VALUE"""),"")</f>
        <v/>
      </c>
      <c r="CN1354" s="32" t="e">
        <f ca="1"/>
        <v>#NAME?</v>
      </c>
      <c r="CO1354" s="32" t="e">
        <f ca="1"/>
        <v>#NAME?</v>
      </c>
      <c r="CP1354" s="32" t="e">
        <f ca="1"/>
        <v>#NAME?</v>
      </c>
      <c r="CQ1354" s="32" t="e">
        <f ca="1"/>
        <v>#NAME?</v>
      </c>
      <c r="CR1354" s="30" t="e">
        <f ca="1"/>
        <v>#NAME?</v>
      </c>
      <c r="CS1354" s="30" t="str">
        <f ca="1">IFERROR(__xludf.DUMMYFUNCTION("""COMPUTED_VALUE"""),"")</f>
        <v/>
      </c>
    </row>
    <row r="1355" spans="1:97" ht="13">
      <c r="A1355" s="29"/>
      <c r="C1355" s="32"/>
      <c r="I1355" s="34"/>
      <c r="BP1355" s="29"/>
      <c r="CD1355" s="29"/>
      <c r="CJ1355" s="29"/>
      <c r="CM1355" s="30" t="str">
        <f ca="1">IFERROR(__xludf.DUMMYFUNCTION("""COMPUTED_VALUE"""),"")</f>
        <v/>
      </c>
      <c r="CN1355" s="32" t="e">
        <f ca="1"/>
        <v>#NAME?</v>
      </c>
      <c r="CO1355" s="32" t="e">
        <f ca="1"/>
        <v>#NAME?</v>
      </c>
      <c r="CP1355" s="32" t="e">
        <f ca="1"/>
        <v>#NAME?</v>
      </c>
      <c r="CQ1355" s="32" t="e">
        <f ca="1"/>
        <v>#NAME?</v>
      </c>
      <c r="CR1355" s="30" t="e">
        <f ca="1"/>
        <v>#NAME?</v>
      </c>
      <c r="CS1355" s="30" t="str">
        <f ca="1">IFERROR(__xludf.DUMMYFUNCTION("""COMPUTED_VALUE"""),"")</f>
        <v/>
      </c>
    </row>
    <row r="1356" spans="1:97" ht="13">
      <c r="A1356" s="29"/>
      <c r="C1356" s="32"/>
      <c r="I1356" s="34"/>
      <c r="BP1356" s="29"/>
      <c r="CD1356" s="29"/>
      <c r="CJ1356" s="29"/>
      <c r="CM1356" s="30" t="str">
        <f ca="1">IFERROR(__xludf.DUMMYFUNCTION("""COMPUTED_VALUE"""),"")</f>
        <v/>
      </c>
      <c r="CN1356" s="32" t="e">
        <f ca="1"/>
        <v>#NAME?</v>
      </c>
      <c r="CO1356" s="32" t="e">
        <f ca="1"/>
        <v>#NAME?</v>
      </c>
      <c r="CP1356" s="32" t="e">
        <f ca="1"/>
        <v>#NAME?</v>
      </c>
      <c r="CQ1356" s="32" t="e">
        <f ca="1"/>
        <v>#NAME?</v>
      </c>
      <c r="CR1356" s="30" t="e">
        <f ca="1"/>
        <v>#NAME?</v>
      </c>
      <c r="CS1356" s="30" t="str">
        <f ca="1">IFERROR(__xludf.DUMMYFUNCTION("""COMPUTED_VALUE"""),"")</f>
        <v/>
      </c>
    </row>
    <row r="1357" spans="1:97" ht="13">
      <c r="A1357" s="29"/>
      <c r="C1357" s="32"/>
      <c r="I1357" s="34"/>
      <c r="BP1357" s="29"/>
      <c r="CD1357" s="29"/>
      <c r="CJ1357" s="29"/>
      <c r="CM1357" s="30" t="str">
        <f ca="1">IFERROR(__xludf.DUMMYFUNCTION("""COMPUTED_VALUE"""),"")</f>
        <v/>
      </c>
      <c r="CN1357" s="32" t="e">
        <f ca="1"/>
        <v>#NAME?</v>
      </c>
      <c r="CO1357" s="32" t="e">
        <f ca="1"/>
        <v>#NAME?</v>
      </c>
      <c r="CP1357" s="32" t="e">
        <f ca="1"/>
        <v>#NAME?</v>
      </c>
      <c r="CQ1357" s="32" t="e">
        <f ca="1"/>
        <v>#NAME?</v>
      </c>
      <c r="CR1357" s="30" t="e">
        <f ca="1"/>
        <v>#NAME?</v>
      </c>
      <c r="CS1357" s="30" t="str">
        <f ca="1">IFERROR(__xludf.DUMMYFUNCTION("""COMPUTED_VALUE"""),"")</f>
        <v/>
      </c>
    </row>
    <row r="1358" spans="1:97" ht="13">
      <c r="A1358" s="29"/>
      <c r="C1358" s="32"/>
      <c r="I1358" s="34"/>
      <c r="BP1358" s="29"/>
      <c r="CD1358" s="29"/>
      <c r="CJ1358" s="29"/>
      <c r="CM1358" s="30" t="str">
        <f ca="1">IFERROR(__xludf.DUMMYFUNCTION("""COMPUTED_VALUE"""),"")</f>
        <v/>
      </c>
      <c r="CN1358" s="32" t="e">
        <f ca="1"/>
        <v>#NAME?</v>
      </c>
      <c r="CO1358" s="32" t="e">
        <f ca="1"/>
        <v>#NAME?</v>
      </c>
      <c r="CP1358" s="32" t="e">
        <f ca="1"/>
        <v>#NAME?</v>
      </c>
      <c r="CQ1358" s="32" t="e">
        <f ca="1"/>
        <v>#NAME?</v>
      </c>
      <c r="CR1358" s="30" t="e">
        <f ca="1"/>
        <v>#NAME?</v>
      </c>
      <c r="CS1358" s="30" t="str">
        <f ca="1">IFERROR(__xludf.DUMMYFUNCTION("""COMPUTED_VALUE"""),"")</f>
        <v/>
      </c>
    </row>
    <row r="1359" spans="1:97" ht="13">
      <c r="A1359" s="29"/>
      <c r="C1359" s="32"/>
      <c r="I1359" s="34"/>
      <c r="BP1359" s="29"/>
      <c r="CD1359" s="29"/>
      <c r="CJ1359" s="29"/>
      <c r="CM1359" s="30" t="str">
        <f ca="1">IFERROR(__xludf.DUMMYFUNCTION("""COMPUTED_VALUE"""),"")</f>
        <v/>
      </c>
      <c r="CN1359" s="32" t="e">
        <f ca="1"/>
        <v>#NAME?</v>
      </c>
      <c r="CO1359" s="32" t="e">
        <f ca="1"/>
        <v>#NAME?</v>
      </c>
      <c r="CP1359" s="32" t="e">
        <f ca="1"/>
        <v>#NAME?</v>
      </c>
      <c r="CQ1359" s="32" t="e">
        <f ca="1"/>
        <v>#NAME?</v>
      </c>
      <c r="CR1359" s="30" t="e">
        <f ca="1"/>
        <v>#NAME?</v>
      </c>
      <c r="CS1359" s="30" t="str">
        <f ca="1">IFERROR(__xludf.DUMMYFUNCTION("""COMPUTED_VALUE"""),"")</f>
        <v/>
      </c>
    </row>
    <row r="1360" spans="1:97" ht="13">
      <c r="A1360" s="29"/>
      <c r="C1360" s="32"/>
      <c r="I1360" s="34"/>
      <c r="BP1360" s="29"/>
      <c r="CD1360" s="29"/>
      <c r="CJ1360" s="29"/>
      <c r="CM1360" s="30" t="str">
        <f ca="1">IFERROR(__xludf.DUMMYFUNCTION("""COMPUTED_VALUE"""),"")</f>
        <v/>
      </c>
      <c r="CN1360" s="32" t="e">
        <f ca="1"/>
        <v>#NAME?</v>
      </c>
      <c r="CO1360" s="32" t="e">
        <f ca="1"/>
        <v>#NAME?</v>
      </c>
      <c r="CP1360" s="32" t="e">
        <f ca="1"/>
        <v>#NAME?</v>
      </c>
      <c r="CQ1360" s="32" t="e">
        <f ca="1"/>
        <v>#NAME?</v>
      </c>
      <c r="CR1360" s="30" t="e">
        <f ca="1"/>
        <v>#NAME?</v>
      </c>
      <c r="CS1360" s="30" t="str">
        <f ca="1">IFERROR(__xludf.DUMMYFUNCTION("""COMPUTED_VALUE"""),"")</f>
        <v/>
      </c>
    </row>
    <row r="1361" spans="1:97" ht="13">
      <c r="A1361" s="29"/>
      <c r="C1361" s="32"/>
      <c r="I1361" s="34"/>
      <c r="BP1361" s="29"/>
      <c r="CD1361" s="29"/>
      <c r="CJ1361" s="29"/>
      <c r="CM1361" s="30" t="str">
        <f ca="1">IFERROR(__xludf.DUMMYFUNCTION("""COMPUTED_VALUE"""),"")</f>
        <v/>
      </c>
      <c r="CN1361" s="32" t="e">
        <f ca="1"/>
        <v>#NAME?</v>
      </c>
      <c r="CO1361" s="32" t="e">
        <f ca="1"/>
        <v>#NAME?</v>
      </c>
      <c r="CP1361" s="32" t="e">
        <f ca="1"/>
        <v>#NAME?</v>
      </c>
      <c r="CQ1361" s="32" t="e">
        <f ca="1"/>
        <v>#NAME?</v>
      </c>
      <c r="CR1361" s="30" t="e">
        <f ca="1"/>
        <v>#NAME?</v>
      </c>
      <c r="CS1361" s="30" t="str">
        <f ca="1">IFERROR(__xludf.DUMMYFUNCTION("""COMPUTED_VALUE"""),"")</f>
        <v/>
      </c>
    </row>
    <row r="1362" spans="1:97" ht="13">
      <c r="A1362" s="29"/>
      <c r="C1362" s="32"/>
      <c r="I1362" s="34"/>
      <c r="BP1362" s="29"/>
      <c r="CD1362" s="29"/>
      <c r="CJ1362" s="29"/>
      <c r="CM1362" s="30" t="str">
        <f ca="1">IFERROR(__xludf.DUMMYFUNCTION("""COMPUTED_VALUE"""),"")</f>
        <v/>
      </c>
      <c r="CN1362" s="32" t="e">
        <f ca="1"/>
        <v>#NAME?</v>
      </c>
      <c r="CO1362" s="32" t="e">
        <f ca="1"/>
        <v>#NAME?</v>
      </c>
      <c r="CP1362" s="32" t="e">
        <f ca="1"/>
        <v>#NAME?</v>
      </c>
      <c r="CQ1362" s="32" t="e">
        <f ca="1"/>
        <v>#NAME?</v>
      </c>
      <c r="CR1362" s="30" t="e">
        <f ca="1"/>
        <v>#NAME?</v>
      </c>
      <c r="CS1362" s="30" t="str">
        <f ca="1">IFERROR(__xludf.DUMMYFUNCTION("""COMPUTED_VALUE"""),"")</f>
        <v/>
      </c>
    </row>
    <row r="1363" spans="1:97" ht="13">
      <c r="A1363" s="29"/>
      <c r="C1363" s="32"/>
      <c r="I1363" s="34"/>
      <c r="BP1363" s="29"/>
      <c r="CD1363" s="29"/>
      <c r="CJ1363" s="29"/>
      <c r="CM1363" s="30" t="str">
        <f ca="1">IFERROR(__xludf.DUMMYFUNCTION("""COMPUTED_VALUE"""),"")</f>
        <v/>
      </c>
      <c r="CN1363" s="32" t="e">
        <f ca="1"/>
        <v>#NAME?</v>
      </c>
      <c r="CO1363" s="32" t="e">
        <f ca="1"/>
        <v>#NAME?</v>
      </c>
      <c r="CP1363" s="32" t="e">
        <f ca="1"/>
        <v>#NAME?</v>
      </c>
      <c r="CQ1363" s="32" t="e">
        <f ca="1"/>
        <v>#NAME?</v>
      </c>
      <c r="CR1363" s="30" t="e">
        <f ca="1"/>
        <v>#NAME?</v>
      </c>
      <c r="CS1363" s="30" t="str">
        <f ca="1">IFERROR(__xludf.DUMMYFUNCTION("""COMPUTED_VALUE"""),"")</f>
        <v/>
      </c>
    </row>
    <row r="1364" spans="1:97" ht="13">
      <c r="A1364" s="29"/>
      <c r="C1364" s="32"/>
      <c r="I1364" s="34"/>
      <c r="BP1364" s="29"/>
      <c r="CD1364" s="29"/>
      <c r="CJ1364" s="29"/>
      <c r="CM1364" s="30" t="str">
        <f ca="1">IFERROR(__xludf.DUMMYFUNCTION("""COMPUTED_VALUE"""),"")</f>
        <v/>
      </c>
      <c r="CN1364" s="32" t="e">
        <f ca="1"/>
        <v>#NAME?</v>
      </c>
      <c r="CO1364" s="32" t="e">
        <f ca="1"/>
        <v>#NAME?</v>
      </c>
      <c r="CP1364" s="32" t="e">
        <f ca="1"/>
        <v>#NAME?</v>
      </c>
      <c r="CQ1364" s="32" t="e">
        <f ca="1"/>
        <v>#NAME?</v>
      </c>
      <c r="CR1364" s="30" t="e">
        <f ca="1"/>
        <v>#NAME?</v>
      </c>
      <c r="CS1364" s="30" t="str">
        <f ca="1">IFERROR(__xludf.DUMMYFUNCTION("""COMPUTED_VALUE"""),"")</f>
        <v/>
      </c>
    </row>
    <row r="1365" spans="1:97" ht="13">
      <c r="A1365" s="29"/>
      <c r="C1365" s="32"/>
      <c r="I1365" s="34"/>
      <c r="BP1365" s="29"/>
      <c r="CD1365" s="29"/>
      <c r="CJ1365" s="29"/>
      <c r="CM1365" s="30" t="str">
        <f ca="1">IFERROR(__xludf.DUMMYFUNCTION("""COMPUTED_VALUE"""),"")</f>
        <v/>
      </c>
      <c r="CN1365" s="32" t="e">
        <f ca="1"/>
        <v>#NAME?</v>
      </c>
      <c r="CO1365" s="32" t="e">
        <f ca="1"/>
        <v>#NAME?</v>
      </c>
      <c r="CP1365" s="32" t="e">
        <f ca="1"/>
        <v>#NAME?</v>
      </c>
      <c r="CQ1365" s="32" t="e">
        <f ca="1"/>
        <v>#NAME?</v>
      </c>
      <c r="CR1365" s="30" t="e">
        <f ca="1"/>
        <v>#NAME?</v>
      </c>
      <c r="CS1365" s="30" t="str">
        <f ca="1">IFERROR(__xludf.DUMMYFUNCTION("""COMPUTED_VALUE"""),"")</f>
        <v/>
      </c>
    </row>
    <row r="1366" spans="1:97" ht="13">
      <c r="A1366" s="29"/>
      <c r="C1366" s="32"/>
      <c r="I1366" s="34"/>
      <c r="BP1366" s="29"/>
      <c r="CD1366" s="29"/>
      <c r="CJ1366" s="29"/>
      <c r="CM1366" s="30" t="str">
        <f ca="1">IFERROR(__xludf.DUMMYFUNCTION("""COMPUTED_VALUE"""),"")</f>
        <v/>
      </c>
      <c r="CN1366" s="32" t="e">
        <f ca="1"/>
        <v>#NAME?</v>
      </c>
      <c r="CO1366" s="32" t="e">
        <f ca="1"/>
        <v>#NAME?</v>
      </c>
      <c r="CP1366" s="32" t="e">
        <f ca="1"/>
        <v>#NAME?</v>
      </c>
      <c r="CQ1366" s="32" t="e">
        <f ca="1"/>
        <v>#NAME?</v>
      </c>
      <c r="CR1366" s="30" t="e">
        <f ca="1"/>
        <v>#NAME?</v>
      </c>
      <c r="CS1366" s="30" t="str">
        <f ca="1">IFERROR(__xludf.DUMMYFUNCTION("""COMPUTED_VALUE"""),"")</f>
        <v/>
      </c>
    </row>
    <row r="1367" spans="1:97" ht="13">
      <c r="A1367" s="29"/>
      <c r="C1367" s="32"/>
      <c r="I1367" s="34"/>
      <c r="BP1367" s="29"/>
      <c r="CD1367" s="29"/>
      <c r="CJ1367" s="29"/>
      <c r="CM1367" s="30" t="str">
        <f ca="1">IFERROR(__xludf.DUMMYFUNCTION("""COMPUTED_VALUE"""),"")</f>
        <v/>
      </c>
      <c r="CN1367" s="32" t="e">
        <f ca="1"/>
        <v>#NAME?</v>
      </c>
      <c r="CO1367" s="32" t="e">
        <f ca="1"/>
        <v>#NAME?</v>
      </c>
      <c r="CP1367" s="32" t="e">
        <f ca="1"/>
        <v>#NAME?</v>
      </c>
      <c r="CQ1367" s="32" t="e">
        <f ca="1"/>
        <v>#NAME?</v>
      </c>
      <c r="CR1367" s="30" t="e">
        <f ca="1"/>
        <v>#NAME?</v>
      </c>
      <c r="CS1367" s="30" t="str">
        <f ca="1">IFERROR(__xludf.DUMMYFUNCTION("""COMPUTED_VALUE"""),"")</f>
        <v/>
      </c>
    </row>
    <row r="1368" spans="1:97" ht="13">
      <c r="A1368" s="29"/>
      <c r="C1368" s="32"/>
      <c r="I1368" s="34"/>
      <c r="BP1368" s="29"/>
      <c r="CD1368" s="29"/>
      <c r="CJ1368" s="29"/>
      <c r="CM1368" s="30" t="str">
        <f ca="1">IFERROR(__xludf.DUMMYFUNCTION("""COMPUTED_VALUE"""),"")</f>
        <v/>
      </c>
      <c r="CN1368" s="32" t="e">
        <f ca="1"/>
        <v>#NAME?</v>
      </c>
      <c r="CO1368" s="32" t="e">
        <f ca="1"/>
        <v>#NAME?</v>
      </c>
      <c r="CP1368" s="32" t="e">
        <f ca="1"/>
        <v>#NAME?</v>
      </c>
      <c r="CQ1368" s="32" t="e">
        <f ca="1"/>
        <v>#NAME?</v>
      </c>
      <c r="CR1368" s="30" t="e">
        <f ca="1"/>
        <v>#NAME?</v>
      </c>
      <c r="CS1368" s="30" t="str">
        <f ca="1">IFERROR(__xludf.DUMMYFUNCTION("""COMPUTED_VALUE"""),"")</f>
        <v/>
      </c>
    </row>
    <row r="1369" spans="1:97" ht="13">
      <c r="A1369" s="29"/>
      <c r="C1369" s="32"/>
      <c r="I1369" s="34"/>
      <c r="BP1369" s="29"/>
      <c r="CD1369" s="29"/>
      <c r="CJ1369" s="29"/>
      <c r="CM1369" s="30" t="str">
        <f ca="1">IFERROR(__xludf.DUMMYFUNCTION("""COMPUTED_VALUE"""),"")</f>
        <v/>
      </c>
      <c r="CN1369" s="32" t="e">
        <f ca="1"/>
        <v>#NAME?</v>
      </c>
      <c r="CO1369" s="32" t="e">
        <f ca="1"/>
        <v>#NAME?</v>
      </c>
      <c r="CP1369" s="32" t="e">
        <f ca="1"/>
        <v>#NAME?</v>
      </c>
      <c r="CQ1369" s="32" t="e">
        <f ca="1"/>
        <v>#NAME?</v>
      </c>
      <c r="CR1369" s="30" t="e">
        <f ca="1"/>
        <v>#NAME?</v>
      </c>
      <c r="CS1369" s="30" t="str">
        <f ca="1">IFERROR(__xludf.DUMMYFUNCTION("""COMPUTED_VALUE"""),"")</f>
        <v/>
      </c>
    </row>
    <row r="1370" spans="1:97" ht="13">
      <c r="A1370" s="29"/>
      <c r="C1370" s="32"/>
      <c r="I1370" s="34"/>
      <c r="BP1370" s="29"/>
      <c r="CD1370" s="29"/>
      <c r="CJ1370" s="29"/>
      <c r="CM1370" s="30" t="str">
        <f ca="1">IFERROR(__xludf.DUMMYFUNCTION("""COMPUTED_VALUE"""),"")</f>
        <v/>
      </c>
      <c r="CN1370" s="32" t="e">
        <f ca="1"/>
        <v>#NAME?</v>
      </c>
      <c r="CO1370" s="32" t="e">
        <f ca="1"/>
        <v>#NAME?</v>
      </c>
      <c r="CP1370" s="32" t="e">
        <f ca="1"/>
        <v>#NAME?</v>
      </c>
      <c r="CQ1370" s="32" t="e">
        <f ca="1"/>
        <v>#NAME?</v>
      </c>
      <c r="CR1370" s="30" t="e">
        <f ca="1"/>
        <v>#NAME?</v>
      </c>
      <c r="CS1370" s="30" t="str">
        <f ca="1">IFERROR(__xludf.DUMMYFUNCTION("""COMPUTED_VALUE"""),"")</f>
        <v/>
      </c>
    </row>
    <row r="1371" spans="1:97" ht="13">
      <c r="A1371" s="29"/>
      <c r="C1371" s="32"/>
      <c r="I1371" s="34"/>
      <c r="BP1371" s="29"/>
      <c r="CD1371" s="29"/>
      <c r="CJ1371" s="29"/>
      <c r="CM1371" s="30" t="str">
        <f ca="1">IFERROR(__xludf.DUMMYFUNCTION("""COMPUTED_VALUE"""),"")</f>
        <v/>
      </c>
      <c r="CN1371" s="32" t="e">
        <f ca="1"/>
        <v>#NAME?</v>
      </c>
      <c r="CO1371" s="32" t="e">
        <f ca="1"/>
        <v>#NAME?</v>
      </c>
      <c r="CP1371" s="32" t="e">
        <f ca="1"/>
        <v>#NAME?</v>
      </c>
      <c r="CQ1371" s="32" t="e">
        <f ca="1"/>
        <v>#NAME?</v>
      </c>
      <c r="CR1371" s="30" t="e">
        <f ca="1"/>
        <v>#NAME?</v>
      </c>
      <c r="CS1371" s="30" t="str">
        <f ca="1">IFERROR(__xludf.DUMMYFUNCTION("""COMPUTED_VALUE"""),"")</f>
        <v/>
      </c>
    </row>
    <row r="1372" spans="1:97" ht="13">
      <c r="A1372" s="29"/>
      <c r="C1372" s="32"/>
      <c r="I1372" s="34"/>
      <c r="BP1372" s="29"/>
      <c r="CD1372" s="29"/>
      <c r="CJ1372" s="29"/>
      <c r="CM1372" s="30" t="str">
        <f ca="1">IFERROR(__xludf.DUMMYFUNCTION("""COMPUTED_VALUE"""),"")</f>
        <v/>
      </c>
      <c r="CN1372" s="32" t="e">
        <f ca="1"/>
        <v>#NAME?</v>
      </c>
      <c r="CO1372" s="32" t="e">
        <f ca="1"/>
        <v>#NAME?</v>
      </c>
      <c r="CP1372" s="32" t="e">
        <f ca="1"/>
        <v>#NAME?</v>
      </c>
      <c r="CQ1372" s="32" t="e">
        <f ca="1"/>
        <v>#NAME?</v>
      </c>
      <c r="CR1372" s="30" t="e">
        <f ca="1"/>
        <v>#NAME?</v>
      </c>
      <c r="CS1372" s="30" t="str">
        <f ca="1">IFERROR(__xludf.DUMMYFUNCTION("""COMPUTED_VALUE"""),"")</f>
        <v/>
      </c>
    </row>
    <row r="1373" spans="1:97" ht="13">
      <c r="A1373" s="29"/>
      <c r="C1373" s="32"/>
      <c r="I1373" s="34"/>
      <c r="BP1373" s="29"/>
      <c r="CD1373" s="29"/>
      <c r="CJ1373" s="29"/>
      <c r="CM1373" s="30" t="str">
        <f ca="1">IFERROR(__xludf.DUMMYFUNCTION("""COMPUTED_VALUE"""),"")</f>
        <v/>
      </c>
      <c r="CN1373" s="32" t="e">
        <f ca="1"/>
        <v>#NAME?</v>
      </c>
      <c r="CO1373" s="32" t="e">
        <f ca="1"/>
        <v>#NAME?</v>
      </c>
      <c r="CP1373" s="32" t="e">
        <f ca="1"/>
        <v>#NAME?</v>
      </c>
      <c r="CQ1373" s="32" t="e">
        <f ca="1"/>
        <v>#NAME?</v>
      </c>
      <c r="CR1373" s="30" t="e">
        <f ca="1"/>
        <v>#NAME?</v>
      </c>
      <c r="CS1373" s="30" t="str">
        <f ca="1">IFERROR(__xludf.DUMMYFUNCTION("""COMPUTED_VALUE"""),"")</f>
        <v/>
      </c>
    </row>
    <row r="1374" spans="1:97" ht="13">
      <c r="A1374" s="29"/>
      <c r="C1374" s="32"/>
      <c r="I1374" s="34"/>
      <c r="BP1374" s="29"/>
      <c r="CD1374" s="29"/>
      <c r="CJ1374" s="29"/>
      <c r="CM1374" s="30" t="str">
        <f ca="1">IFERROR(__xludf.DUMMYFUNCTION("""COMPUTED_VALUE"""),"")</f>
        <v/>
      </c>
      <c r="CN1374" s="32" t="e">
        <f ca="1"/>
        <v>#NAME?</v>
      </c>
      <c r="CO1374" s="32" t="e">
        <f ca="1"/>
        <v>#NAME?</v>
      </c>
      <c r="CP1374" s="32" t="e">
        <f ca="1"/>
        <v>#NAME?</v>
      </c>
      <c r="CQ1374" s="32" t="e">
        <f ca="1"/>
        <v>#NAME?</v>
      </c>
      <c r="CR1374" s="30" t="e">
        <f ca="1"/>
        <v>#NAME?</v>
      </c>
      <c r="CS1374" s="30" t="str">
        <f ca="1">IFERROR(__xludf.DUMMYFUNCTION("""COMPUTED_VALUE"""),"")</f>
        <v/>
      </c>
    </row>
    <row r="1375" spans="1:97" ht="13">
      <c r="A1375" s="29"/>
      <c r="C1375" s="32"/>
      <c r="I1375" s="34"/>
      <c r="BP1375" s="29"/>
      <c r="CD1375" s="29"/>
      <c r="CJ1375" s="29"/>
      <c r="CM1375" s="30" t="str">
        <f ca="1">IFERROR(__xludf.DUMMYFUNCTION("""COMPUTED_VALUE"""),"")</f>
        <v/>
      </c>
      <c r="CN1375" s="32" t="e">
        <f ca="1"/>
        <v>#NAME?</v>
      </c>
      <c r="CO1375" s="32" t="e">
        <f ca="1"/>
        <v>#NAME?</v>
      </c>
      <c r="CP1375" s="32" t="e">
        <f ca="1"/>
        <v>#NAME?</v>
      </c>
      <c r="CQ1375" s="32" t="e">
        <f ca="1"/>
        <v>#NAME?</v>
      </c>
      <c r="CR1375" s="30" t="e">
        <f ca="1"/>
        <v>#NAME?</v>
      </c>
      <c r="CS1375" s="30" t="str">
        <f ca="1">IFERROR(__xludf.DUMMYFUNCTION("""COMPUTED_VALUE"""),"")</f>
        <v/>
      </c>
    </row>
    <row r="1376" spans="1:97" ht="13">
      <c r="A1376" s="29"/>
      <c r="C1376" s="32"/>
      <c r="I1376" s="34"/>
      <c r="BP1376" s="29"/>
      <c r="CD1376" s="29"/>
      <c r="CJ1376" s="29"/>
      <c r="CM1376" s="30" t="str">
        <f ca="1">IFERROR(__xludf.DUMMYFUNCTION("""COMPUTED_VALUE"""),"")</f>
        <v/>
      </c>
      <c r="CN1376" s="32" t="e">
        <f ca="1"/>
        <v>#NAME?</v>
      </c>
      <c r="CO1376" s="32" t="e">
        <f ca="1"/>
        <v>#NAME?</v>
      </c>
      <c r="CP1376" s="32" t="e">
        <f ca="1"/>
        <v>#NAME?</v>
      </c>
      <c r="CQ1376" s="32" t="e">
        <f ca="1"/>
        <v>#NAME?</v>
      </c>
      <c r="CR1376" s="30" t="e">
        <f ca="1"/>
        <v>#NAME?</v>
      </c>
      <c r="CS1376" s="30" t="str">
        <f ca="1">IFERROR(__xludf.DUMMYFUNCTION("""COMPUTED_VALUE"""),"")</f>
        <v/>
      </c>
    </row>
    <row r="1377" spans="1:97" ht="13">
      <c r="A1377" s="29"/>
      <c r="C1377" s="32"/>
      <c r="I1377" s="34"/>
      <c r="BP1377" s="29"/>
      <c r="CD1377" s="29"/>
      <c r="CJ1377" s="29"/>
      <c r="CM1377" s="30" t="str">
        <f ca="1">IFERROR(__xludf.DUMMYFUNCTION("""COMPUTED_VALUE"""),"")</f>
        <v/>
      </c>
      <c r="CN1377" s="32" t="e">
        <f ca="1"/>
        <v>#NAME?</v>
      </c>
      <c r="CO1377" s="32" t="e">
        <f ca="1"/>
        <v>#NAME?</v>
      </c>
      <c r="CP1377" s="32" t="e">
        <f ca="1"/>
        <v>#NAME?</v>
      </c>
      <c r="CQ1377" s="32" t="e">
        <f ca="1"/>
        <v>#NAME?</v>
      </c>
      <c r="CR1377" s="30" t="e">
        <f ca="1"/>
        <v>#NAME?</v>
      </c>
      <c r="CS1377" s="30" t="str">
        <f ca="1">IFERROR(__xludf.DUMMYFUNCTION("""COMPUTED_VALUE"""),"")</f>
        <v/>
      </c>
    </row>
    <row r="1378" spans="1:97" ht="13">
      <c r="A1378" s="29"/>
      <c r="C1378" s="32"/>
      <c r="I1378" s="34"/>
      <c r="BP1378" s="29"/>
      <c r="CD1378" s="29"/>
      <c r="CJ1378" s="29"/>
      <c r="CM1378" s="30" t="str">
        <f ca="1">IFERROR(__xludf.DUMMYFUNCTION("""COMPUTED_VALUE"""),"")</f>
        <v/>
      </c>
      <c r="CN1378" s="32" t="e">
        <f ca="1"/>
        <v>#NAME?</v>
      </c>
      <c r="CO1378" s="32" t="e">
        <f ca="1"/>
        <v>#NAME?</v>
      </c>
      <c r="CP1378" s="32" t="e">
        <f ca="1"/>
        <v>#NAME?</v>
      </c>
      <c r="CQ1378" s="32" t="e">
        <f ca="1"/>
        <v>#NAME?</v>
      </c>
      <c r="CR1378" s="30" t="e">
        <f ca="1"/>
        <v>#NAME?</v>
      </c>
      <c r="CS1378" s="30" t="str">
        <f ca="1">IFERROR(__xludf.DUMMYFUNCTION("""COMPUTED_VALUE"""),"")</f>
        <v/>
      </c>
    </row>
    <row r="1379" spans="1:97" ht="13">
      <c r="A1379" s="29"/>
      <c r="C1379" s="32"/>
      <c r="I1379" s="34"/>
      <c r="BP1379" s="29"/>
      <c r="CD1379" s="29"/>
      <c r="CJ1379" s="29"/>
      <c r="CM1379" s="30" t="str">
        <f ca="1">IFERROR(__xludf.DUMMYFUNCTION("""COMPUTED_VALUE"""),"")</f>
        <v/>
      </c>
      <c r="CN1379" s="32" t="e">
        <f ca="1"/>
        <v>#NAME?</v>
      </c>
      <c r="CO1379" s="32" t="e">
        <f ca="1"/>
        <v>#NAME?</v>
      </c>
      <c r="CP1379" s="32" t="e">
        <f ca="1"/>
        <v>#NAME?</v>
      </c>
      <c r="CQ1379" s="32" t="e">
        <f ca="1"/>
        <v>#NAME?</v>
      </c>
      <c r="CR1379" s="30" t="e">
        <f ca="1"/>
        <v>#NAME?</v>
      </c>
      <c r="CS1379" s="30" t="str">
        <f ca="1">IFERROR(__xludf.DUMMYFUNCTION("""COMPUTED_VALUE"""),"")</f>
        <v/>
      </c>
    </row>
    <row r="1380" spans="1:97" ht="13">
      <c r="A1380" s="29"/>
      <c r="C1380" s="32"/>
      <c r="I1380" s="34"/>
      <c r="BP1380" s="29"/>
      <c r="CD1380" s="29"/>
      <c r="CJ1380" s="29"/>
      <c r="CM1380" s="30" t="str">
        <f ca="1">IFERROR(__xludf.DUMMYFUNCTION("""COMPUTED_VALUE"""),"")</f>
        <v/>
      </c>
      <c r="CN1380" s="32" t="e">
        <f ca="1"/>
        <v>#NAME?</v>
      </c>
      <c r="CO1380" s="32" t="e">
        <f ca="1"/>
        <v>#NAME?</v>
      </c>
      <c r="CP1380" s="32" t="e">
        <f ca="1"/>
        <v>#NAME?</v>
      </c>
      <c r="CQ1380" s="32" t="e">
        <f ca="1"/>
        <v>#NAME?</v>
      </c>
      <c r="CR1380" s="30" t="e">
        <f ca="1"/>
        <v>#NAME?</v>
      </c>
      <c r="CS1380" s="30" t="str">
        <f ca="1">IFERROR(__xludf.DUMMYFUNCTION("""COMPUTED_VALUE"""),"")</f>
        <v/>
      </c>
    </row>
    <row r="1381" spans="1:97" ht="13">
      <c r="A1381" s="29"/>
      <c r="C1381" s="32"/>
      <c r="I1381" s="34"/>
      <c r="BP1381" s="29"/>
      <c r="CD1381" s="29"/>
      <c r="CJ1381" s="29"/>
      <c r="CM1381" s="30" t="str">
        <f ca="1">IFERROR(__xludf.DUMMYFUNCTION("""COMPUTED_VALUE"""),"")</f>
        <v/>
      </c>
      <c r="CN1381" s="32" t="e">
        <f ca="1"/>
        <v>#NAME?</v>
      </c>
      <c r="CO1381" s="32" t="e">
        <f ca="1"/>
        <v>#NAME?</v>
      </c>
      <c r="CP1381" s="32" t="e">
        <f ca="1"/>
        <v>#NAME?</v>
      </c>
      <c r="CQ1381" s="32" t="e">
        <f ca="1"/>
        <v>#NAME?</v>
      </c>
      <c r="CR1381" s="30" t="e">
        <f ca="1"/>
        <v>#NAME?</v>
      </c>
      <c r="CS1381" s="30" t="str">
        <f ca="1">IFERROR(__xludf.DUMMYFUNCTION("""COMPUTED_VALUE"""),"")</f>
        <v/>
      </c>
    </row>
    <row r="1382" spans="1:97" ht="13">
      <c r="A1382" s="29"/>
      <c r="C1382" s="32"/>
      <c r="I1382" s="34"/>
      <c r="BP1382" s="29"/>
      <c r="CD1382" s="29"/>
      <c r="CJ1382" s="29"/>
      <c r="CM1382" s="30" t="str">
        <f ca="1">IFERROR(__xludf.DUMMYFUNCTION("""COMPUTED_VALUE"""),"")</f>
        <v/>
      </c>
      <c r="CN1382" s="32" t="e">
        <f ca="1"/>
        <v>#NAME?</v>
      </c>
      <c r="CO1382" s="32" t="e">
        <f ca="1"/>
        <v>#NAME?</v>
      </c>
      <c r="CP1382" s="32" t="e">
        <f ca="1"/>
        <v>#NAME?</v>
      </c>
      <c r="CQ1382" s="32" t="e">
        <f ca="1"/>
        <v>#NAME?</v>
      </c>
      <c r="CR1382" s="30" t="e">
        <f ca="1"/>
        <v>#NAME?</v>
      </c>
      <c r="CS1382" s="30" t="str">
        <f ca="1">IFERROR(__xludf.DUMMYFUNCTION("""COMPUTED_VALUE"""),"")</f>
        <v/>
      </c>
    </row>
    <row r="1383" spans="1:97" ht="13">
      <c r="A1383" s="29"/>
      <c r="C1383" s="32"/>
      <c r="I1383" s="34"/>
      <c r="BP1383" s="29"/>
      <c r="CD1383" s="29"/>
      <c r="CJ1383" s="29"/>
      <c r="CM1383" s="30" t="str">
        <f ca="1">IFERROR(__xludf.DUMMYFUNCTION("""COMPUTED_VALUE"""),"")</f>
        <v/>
      </c>
      <c r="CN1383" s="32" t="e">
        <f ca="1"/>
        <v>#NAME?</v>
      </c>
      <c r="CO1383" s="32" t="e">
        <f ca="1"/>
        <v>#NAME?</v>
      </c>
      <c r="CP1383" s="32" t="e">
        <f ca="1"/>
        <v>#NAME?</v>
      </c>
      <c r="CQ1383" s="32" t="e">
        <f ca="1"/>
        <v>#NAME?</v>
      </c>
      <c r="CR1383" s="30" t="e">
        <f ca="1"/>
        <v>#NAME?</v>
      </c>
      <c r="CS1383" s="30" t="str">
        <f ca="1">IFERROR(__xludf.DUMMYFUNCTION("""COMPUTED_VALUE"""),"")</f>
        <v/>
      </c>
    </row>
    <row r="1384" spans="1:97" ht="13">
      <c r="A1384" s="29"/>
      <c r="C1384" s="32"/>
      <c r="I1384" s="34"/>
      <c r="BP1384" s="29"/>
      <c r="CD1384" s="29"/>
      <c r="CJ1384" s="29"/>
      <c r="CM1384" s="30" t="str">
        <f ca="1">IFERROR(__xludf.DUMMYFUNCTION("""COMPUTED_VALUE"""),"")</f>
        <v/>
      </c>
      <c r="CN1384" s="32" t="e">
        <f ca="1"/>
        <v>#NAME?</v>
      </c>
      <c r="CO1384" s="32" t="e">
        <f ca="1"/>
        <v>#NAME?</v>
      </c>
      <c r="CP1384" s="32" t="e">
        <f ca="1"/>
        <v>#NAME?</v>
      </c>
      <c r="CQ1384" s="32" t="e">
        <f ca="1"/>
        <v>#NAME?</v>
      </c>
      <c r="CR1384" s="30" t="e">
        <f ca="1"/>
        <v>#NAME?</v>
      </c>
      <c r="CS1384" s="30" t="str">
        <f ca="1">IFERROR(__xludf.DUMMYFUNCTION("""COMPUTED_VALUE"""),"")</f>
        <v/>
      </c>
    </row>
    <row r="1385" spans="1:97" ht="13">
      <c r="A1385" s="29"/>
      <c r="C1385" s="32"/>
      <c r="I1385" s="34"/>
      <c r="BP1385" s="29"/>
      <c r="CD1385" s="29"/>
      <c r="CJ1385" s="29"/>
      <c r="CM1385" s="30" t="str">
        <f ca="1">IFERROR(__xludf.DUMMYFUNCTION("""COMPUTED_VALUE"""),"")</f>
        <v/>
      </c>
      <c r="CN1385" s="32" t="e">
        <f ca="1"/>
        <v>#NAME?</v>
      </c>
      <c r="CO1385" s="32" t="e">
        <f ca="1"/>
        <v>#NAME?</v>
      </c>
      <c r="CP1385" s="32" t="e">
        <f ca="1"/>
        <v>#NAME?</v>
      </c>
      <c r="CQ1385" s="32" t="e">
        <f ca="1"/>
        <v>#NAME?</v>
      </c>
      <c r="CR1385" s="30" t="e">
        <f ca="1"/>
        <v>#NAME?</v>
      </c>
      <c r="CS1385" s="30" t="str">
        <f ca="1">IFERROR(__xludf.DUMMYFUNCTION("""COMPUTED_VALUE"""),"")</f>
        <v/>
      </c>
    </row>
    <row r="1386" spans="1:97" ht="13">
      <c r="A1386" s="29"/>
      <c r="C1386" s="32"/>
      <c r="I1386" s="34"/>
      <c r="BP1386" s="29"/>
      <c r="CD1386" s="29"/>
      <c r="CJ1386" s="29"/>
      <c r="CM1386" s="30" t="str">
        <f ca="1">IFERROR(__xludf.DUMMYFUNCTION("""COMPUTED_VALUE"""),"")</f>
        <v/>
      </c>
      <c r="CN1386" s="32" t="e">
        <f ca="1"/>
        <v>#NAME?</v>
      </c>
      <c r="CO1386" s="32" t="e">
        <f ca="1"/>
        <v>#NAME?</v>
      </c>
      <c r="CP1386" s="32" t="e">
        <f ca="1"/>
        <v>#NAME?</v>
      </c>
      <c r="CQ1386" s="32" t="e">
        <f ca="1"/>
        <v>#NAME?</v>
      </c>
      <c r="CR1386" s="30" t="e">
        <f ca="1"/>
        <v>#NAME?</v>
      </c>
      <c r="CS1386" s="30" t="str">
        <f ca="1">IFERROR(__xludf.DUMMYFUNCTION("""COMPUTED_VALUE"""),"")</f>
        <v/>
      </c>
    </row>
    <row r="1387" spans="1:97" ht="13">
      <c r="A1387" s="29"/>
      <c r="C1387" s="32"/>
      <c r="I1387" s="34"/>
      <c r="BP1387" s="29"/>
      <c r="CD1387" s="29"/>
      <c r="CJ1387" s="29"/>
      <c r="CM1387" s="30" t="str">
        <f ca="1">IFERROR(__xludf.DUMMYFUNCTION("""COMPUTED_VALUE"""),"")</f>
        <v/>
      </c>
      <c r="CN1387" s="32" t="e">
        <f ca="1"/>
        <v>#NAME?</v>
      </c>
      <c r="CO1387" s="32" t="e">
        <f ca="1"/>
        <v>#NAME?</v>
      </c>
      <c r="CP1387" s="32" t="e">
        <f ca="1"/>
        <v>#NAME?</v>
      </c>
      <c r="CQ1387" s="32" t="e">
        <f ca="1"/>
        <v>#NAME?</v>
      </c>
      <c r="CR1387" s="30" t="e">
        <f ca="1"/>
        <v>#NAME?</v>
      </c>
      <c r="CS1387" s="30" t="str">
        <f ca="1">IFERROR(__xludf.DUMMYFUNCTION("""COMPUTED_VALUE"""),"")</f>
        <v/>
      </c>
    </row>
    <row r="1388" spans="1:97" ht="13">
      <c r="A1388" s="29"/>
      <c r="C1388" s="32"/>
      <c r="I1388" s="34"/>
      <c r="BP1388" s="29"/>
      <c r="CD1388" s="29"/>
      <c r="CJ1388" s="29"/>
      <c r="CM1388" s="30" t="str">
        <f ca="1">IFERROR(__xludf.DUMMYFUNCTION("""COMPUTED_VALUE"""),"")</f>
        <v/>
      </c>
      <c r="CN1388" s="32" t="e">
        <f ca="1"/>
        <v>#NAME?</v>
      </c>
      <c r="CO1388" s="32" t="e">
        <f ca="1"/>
        <v>#NAME?</v>
      </c>
      <c r="CP1388" s="32" t="e">
        <f ca="1"/>
        <v>#NAME?</v>
      </c>
      <c r="CQ1388" s="32" t="e">
        <f ca="1"/>
        <v>#NAME?</v>
      </c>
      <c r="CR1388" s="30" t="e">
        <f ca="1"/>
        <v>#NAME?</v>
      </c>
      <c r="CS1388" s="30" t="str">
        <f ca="1">IFERROR(__xludf.DUMMYFUNCTION("""COMPUTED_VALUE"""),"")</f>
        <v/>
      </c>
    </row>
    <row r="1389" spans="1:97" ht="13">
      <c r="A1389" s="29"/>
      <c r="C1389" s="32"/>
      <c r="I1389" s="34"/>
      <c r="BP1389" s="29"/>
      <c r="CD1389" s="29"/>
      <c r="CJ1389" s="29"/>
      <c r="CM1389" s="30" t="str">
        <f ca="1">IFERROR(__xludf.DUMMYFUNCTION("""COMPUTED_VALUE"""),"")</f>
        <v/>
      </c>
      <c r="CN1389" s="32" t="e">
        <f ca="1"/>
        <v>#NAME?</v>
      </c>
      <c r="CO1389" s="32" t="e">
        <f ca="1"/>
        <v>#NAME?</v>
      </c>
      <c r="CP1389" s="32" t="e">
        <f ca="1"/>
        <v>#NAME?</v>
      </c>
      <c r="CQ1389" s="32" t="e">
        <f ca="1"/>
        <v>#NAME?</v>
      </c>
      <c r="CR1389" s="30" t="e">
        <f ca="1"/>
        <v>#NAME?</v>
      </c>
      <c r="CS1389" s="30" t="str">
        <f ca="1">IFERROR(__xludf.DUMMYFUNCTION("""COMPUTED_VALUE"""),"")</f>
        <v/>
      </c>
    </row>
    <row r="1390" spans="1:97" ht="13">
      <c r="A1390" s="29"/>
      <c r="C1390" s="32"/>
      <c r="I1390" s="34"/>
      <c r="BP1390" s="29"/>
      <c r="CD1390" s="29"/>
      <c r="CJ1390" s="29"/>
      <c r="CM1390" s="30" t="str">
        <f ca="1">IFERROR(__xludf.DUMMYFUNCTION("""COMPUTED_VALUE"""),"")</f>
        <v/>
      </c>
      <c r="CN1390" s="32" t="e">
        <f ca="1"/>
        <v>#NAME?</v>
      </c>
      <c r="CO1390" s="32" t="e">
        <f ca="1"/>
        <v>#NAME?</v>
      </c>
      <c r="CP1390" s="32" t="e">
        <f ca="1"/>
        <v>#NAME?</v>
      </c>
      <c r="CQ1390" s="32" t="e">
        <f ca="1"/>
        <v>#NAME?</v>
      </c>
      <c r="CR1390" s="30" t="e">
        <f ca="1"/>
        <v>#NAME?</v>
      </c>
      <c r="CS1390" s="30" t="str">
        <f ca="1">IFERROR(__xludf.DUMMYFUNCTION("""COMPUTED_VALUE"""),"")</f>
        <v/>
      </c>
    </row>
    <row r="1391" spans="1:97" ht="13">
      <c r="A1391" s="29"/>
      <c r="C1391" s="32"/>
      <c r="I1391" s="34"/>
      <c r="BP1391" s="29"/>
      <c r="CD1391" s="29"/>
      <c r="CJ1391" s="29"/>
      <c r="CM1391" s="30" t="str">
        <f ca="1">IFERROR(__xludf.DUMMYFUNCTION("""COMPUTED_VALUE"""),"")</f>
        <v/>
      </c>
      <c r="CN1391" s="32" t="e">
        <f ca="1"/>
        <v>#NAME?</v>
      </c>
      <c r="CO1391" s="32" t="e">
        <f ca="1"/>
        <v>#NAME?</v>
      </c>
      <c r="CP1391" s="32" t="e">
        <f ca="1"/>
        <v>#NAME?</v>
      </c>
      <c r="CQ1391" s="32" t="e">
        <f ca="1"/>
        <v>#NAME?</v>
      </c>
      <c r="CR1391" s="30" t="e">
        <f ca="1"/>
        <v>#NAME?</v>
      </c>
      <c r="CS1391" s="30" t="str">
        <f ca="1">IFERROR(__xludf.DUMMYFUNCTION("""COMPUTED_VALUE"""),"")</f>
        <v/>
      </c>
    </row>
    <row r="1392" spans="1:97" ht="13">
      <c r="A1392" s="29"/>
      <c r="C1392" s="32"/>
      <c r="I1392" s="34"/>
      <c r="BP1392" s="29"/>
      <c r="CD1392" s="29"/>
      <c r="CJ1392" s="29"/>
      <c r="CM1392" s="30" t="str">
        <f ca="1">IFERROR(__xludf.DUMMYFUNCTION("""COMPUTED_VALUE"""),"")</f>
        <v/>
      </c>
      <c r="CN1392" s="32" t="e">
        <f ca="1"/>
        <v>#NAME?</v>
      </c>
      <c r="CO1392" s="32" t="e">
        <f ca="1"/>
        <v>#NAME?</v>
      </c>
      <c r="CP1392" s="32" t="e">
        <f ca="1"/>
        <v>#NAME?</v>
      </c>
      <c r="CQ1392" s="32" t="e">
        <f ca="1"/>
        <v>#NAME?</v>
      </c>
      <c r="CR1392" s="30" t="e">
        <f ca="1"/>
        <v>#NAME?</v>
      </c>
      <c r="CS1392" s="30" t="str">
        <f ca="1">IFERROR(__xludf.DUMMYFUNCTION("""COMPUTED_VALUE"""),"")</f>
        <v/>
      </c>
    </row>
    <row r="1393" spans="1:97" ht="13">
      <c r="A1393" s="29"/>
      <c r="C1393" s="32"/>
      <c r="I1393" s="34"/>
      <c r="BP1393" s="29"/>
      <c r="CD1393" s="29"/>
      <c r="CJ1393" s="29"/>
      <c r="CM1393" s="30" t="str">
        <f ca="1">IFERROR(__xludf.DUMMYFUNCTION("""COMPUTED_VALUE"""),"")</f>
        <v/>
      </c>
      <c r="CN1393" s="32" t="e">
        <f ca="1"/>
        <v>#NAME?</v>
      </c>
      <c r="CO1393" s="32" t="e">
        <f ca="1"/>
        <v>#NAME?</v>
      </c>
      <c r="CP1393" s="32" t="e">
        <f ca="1"/>
        <v>#NAME?</v>
      </c>
      <c r="CQ1393" s="32" t="e">
        <f ca="1"/>
        <v>#NAME?</v>
      </c>
      <c r="CR1393" s="30" t="e">
        <f ca="1"/>
        <v>#NAME?</v>
      </c>
      <c r="CS1393" s="30" t="str">
        <f ca="1">IFERROR(__xludf.DUMMYFUNCTION("""COMPUTED_VALUE"""),"")</f>
        <v/>
      </c>
    </row>
    <row r="1394" spans="1:97" ht="13">
      <c r="A1394" s="29"/>
      <c r="C1394" s="32"/>
      <c r="I1394" s="34"/>
      <c r="BP1394" s="29"/>
      <c r="CD1394" s="29"/>
      <c r="CJ1394" s="29"/>
      <c r="CM1394" s="30" t="str">
        <f ca="1">IFERROR(__xludf.DUMMYFUNCTION("""COMPUTED_VALUE"""),"")</f>
        <v/>
      </c>
      <c r="CN1394" s="32" t="e">
        <f ca="1"/>
        <v>#NAME?</v>
      </c>
      <c r="CO1394" s="32" t="e">
        <f ca="1"/>
        <v>#NAME?</v>
      </c>
      <c r="CP1394" s="32" t="e">
        <f ca="1"/>
        <v>#NAME?</v>
      </c>
      <c r="CQ1394" s="32" t="e">
        <f ca="1"/>
        <v>#NAME?</v>
      </c>
      <c r="CR1394" s="30" t="e">
        <f ca="1"/>
        <v>#NAME?</v>
      </c>
      <c r="CS1394" s="30" t="str">
        <f ca="1">IFERROR(__xludf.DUMMYFUNCTION("""COMPUTED_VALUE"""),"")</f>
        <v/>
      </c>
    </row>
    <row r="1395" spans="1:97" ht="13">
      <c r="A1395" s="29"/>
      <c r="C1395" s="32"/>
      <c r="I1395" s="34"/>
      <c r="BP1395" s="29"/>
      <c r="CD1395" s="29"/>
      <c r="CJ1395" s="29"/>
      <c r="CM1395" s="30" t="str">
        <f ca="1">IFERROR(__xludf.DUMMYFUNCTION("""COMPUTED_VALUE"""),"")</f>
        <v/>
      </c>
      <c r="CN1395" s="32" t="e">
        <f ca="1"/>
        <v>#NAME?</v>
      </c>
      <c r="CO1395" s="32" t="e">
        <f ca="1"/>
        <v>#NAME?</v>
      </c>
      <c r="CP1395" s="32" t="e">
        <f ca="1"/>
        <v>#NAME?</v>
      </c>
      <c r="CQ1395" s="32" t="e">
        <f ca="1"/>
        <v>#NAME?</v>
      </c>
      <c r="CR1395" s="30" t="e">
        <f ca="1"/>
        <v>#NAME?</v>
      </c>
      <c r="CS1395" s="30" t="str">
        <f ca="1">IFERROR(__xludf.DUMMYFUNCTION("""COMPUTED_VALUE"""),"")</f>
        <v/>
      </c>
    </row>
    <row r="1396" spans="1:97" ht="13">
      <c r="A1396" s="29"/>
      <c r="C1396" s="32"/>
      <c r="I1396" s="34"/>
      <c r="BP1396" s="29"/>
      <c r="CD1396" s="29"/>
      <c r="CJ1396" s="29"/>
      <c r="CM1396" s="30" t="str">
        <f ca="1">IFERROR(__xludf.DUMMYFUNCTION("""COMPUTED_VALUE"""),"")</f>
        <v/>
      </c>
      <c r="CN1396" s="32" t="e">
        <f ca="1"/>
        <v>#NAME?</v>
      </c>
      <c r="CO1396" s="32" t="e">
        <f ca="1"/>
        <v>#NAME?</v>
      </c>
      <c r="CP1396" s="32" t="e">
        <f ca="1"/>
        <v>#NAME?</v>
      </c>
      <c r="CQ1396" s="32" t="e">
        <f ca="1"/>
        <v>#NAME?</v>
      </c>
      <c r="CR1396" s="30" t="e">
        <f ca="1"/>
        <v>#NAME?</v>
      </c>
      <c r="CS1396" s="30" t="str">
        <f ca="1">IFERROR(__xludf.DUMMYFUNCTION("""COMPUTED_VALUE"""),"")</f>
        <v/>
      </c>
    </row>
    <row r="1397" spans="1:97" ht="13">
      <c r="A1397" s="29"/>
      <c r="C1397" s="32"/>
      <c r="I1397" s="34"/>
      <c r="BP1397" s="29"/>
      <c r="CD1397" s="29"/>
      <c r="CJ1397" s="29"/>
      <c r="CM1397" s="30" t="str">
        <f ca="1">IFERROR(__xludf.DUMMYFUNCTION("""COMPUTED_VALUE"""),"")</f>
        <v/>
      </c>
      <c r="CN1397" s="32" t="e">
        <f ca="1"/>
        <v>#NAME?</v>
      </c>
      <c r="CO1397" s="32" t="e">
        <f ca="1"/>
        <v>#NAME?</v>
      </c>
      <c r="CP1397" s="32" t="e">
        <f ca="1"/>
        <v>#NAME?</v>
      </c>
      <c r="CQ1397" s="32" t="e">
        <f ca="1"/>
        <v>#NAME?</v>
      </c>
      <c r="CR1397" s="30" t="e">
        <f ca="1"/>
        <v>#NAME?</v>
      </c>
      <c r="CS1397" s="30" t="str">
        <f ca="1">IFERROR(__xludf.DUMMYFUNCTION("""COMPUTED_VALUE"""),"")</f>
        <v/>
      </c>
    </row>
    <row r="1398" spans="1:97" ht="13">
      <c r="A1398" s="29"/>
      <c r="C1398" s="32"/>
      <c r="I1398" s="34"/>
      <c r="BP1398" s="29"/>
      <c r="CD1398" s="29"/>
      <c r="CJ1398" s="29"/>
      <c r="CM1398" s="30" t="str">
        <f ca="1">IFERROR(__xludf.DUMMYFUNCTION("""COMPUTED_VALUE"""),"")</f>
        <v/>
      </c>
      <c r="CN1398" s="32" t="e">
        <f ca="1"/>
        <v>#NAME?</v>
      </c>
      <c r="CO1398" s="32" t="e">
        <f ca="1"/>
        <v>#NAME?</v>
      </c>
      <c r="CP1398" s="32" t="e">
        <f ca="1"/>
        <v>#NAME?</v>
      </c>
      <c r="CQ1398" s="32" t="e">
        <f ca="1"/>
        <v>#NAME?</v>
      </c>
      <c r="CR1398" s="30" t="e">
        <f ca="1"/>
        <v>#NAME?</v>
      </c>
      <c r="CS1398" s="30" t="str">
        <f ca="1">IFERROR(__xludf.DUMMYFUNCTION("""COMPUTED_VALUE"""),"")</f>
        <v/>
      </c>
    </row>
    <row r="1399" spans="1:97" ht="13">
      <c r="A1399" s="29"/>
      <c r="C1399" s="32"/>
      <c r="I1399" s="34"/>
      <c r="BP1399" s="29"/>
      <c r="CD1399" s="29"/>
      <c r="CJ1399" s="29"/>
      <c r="CM1399" s="30" t="str">
        <f ca="1">IFERROR(__xludf.DUMMYFUNCTION("""COMPUTED_VALUE"""),"")</f>
        <v/>
      </c>
      <c r="CN1399" s="32" t="e">
        <f ca="1"/>
        <v>#NAME?</v>
      </c>
      <c r="CO1399" s="32" t="e">
        <f ca="1"/>
        <v>#NAME?</v>
      </c>
      <c r="CP1399" s="32" t="e">
        <f ca="1"/>
        <v>#NAME?</v>
      </c>
      <c r="CQ1399" s="32" t="e">
        <f ca="1"/>
        <v>#NAME?</v>
      </c>
      <c r="CR1399" s="30" t="e">
        <f ca="1"/>
        <v>#NAME?</v>
      </c>
      <c r="CS1399" s="30" t="str">
        <f ca="1">IFERROR(__xludf.DUMMYFUNCTION("""COMPUTED_VALUE"""),"")</f>
        <v/>
      </c>
    </row>
    <row r="1400" spans="1:97" ht="13">
      <c r="A1400" s="29"/>
      <c r="C1400" s="32"/>
      <c r="I1400" s="34"/>
      <c r="BP1400" s="29"/>
      <c r="CD1400" s="29"/>
      <c r="CJ1400" s="29"/>
      <c r="CM1400" s="30" t="str">
        <f ca="1">IFERROR(__xludf.DUMMYFUNCTION("""COMPUTED_VALUE"""),"")</f>
        <v/>
      </c>
      <c r="CN1400" s="32" t="e">
        <f ca="1"/>
        <v>#NAME?</v>
      </c>
      <c r="CO1400" s="32" t="e">
        <f ca="1"/>
        <v>#NAME?</v>
      </c>
      <c r="CP1400" s="32" t="e">
        <f ca="1"/>
        <v>#NAME?</v>
      </c>
      <c r="CQ1400" s="32" t="e">
        <f ca="1"/>
        <v>#NAME?</v>
      </c>
      <c r="CR1400" s="30" t="e">
        <f ca="1"/>
        <v>#NAME?</v>
      </c>
      <c r="CS1400" s="30" t="str">
        <f ca="1">IFERROR(__xludf.DUMMYFUNCTION("""COMPUTED_VALUE"""),"")</f>
        <v/>
      </c>
    </row>
    <row r="1401" spans="1:97" ht="13">
      <c r="A1401" s="29"/>
      <c r="C1401" s="32"/>
      <c r="I1401" s="34"/>
      <c r="BP1401" s="29"/>
      <c r="CD1401" s="29"/>
      <c r="CJ1401" s="29"/>
      <c r="CM1401" s="30" t="str">
        <f ca="1">IFERROR(__xludf.DUMMYFUNCTION("""COMPUTED_VALUE"""),"")</f>
        <v/>
      </c>
      <c r="CN1401" s="32" t="e">
        <f ca="1"/>
        <v>#NAME?</v>
      </c>
      <c r="CO1401" s="32" t="e">
        <f ca="1"/>
        <v>#NAME?</v>
      </c>
      <c r="CP1401" s="32" t="e">
        <f ca="1"/>
        <v>#NAME?</v>
      </c>
      <c r="CQ1401" s="32" t="e">
        <f ca="1"/>
        <v>#NAME?</v>
      </c>
      <c r="CR1401" s="30" t="e">
        <f ca="1"/>
        <v>#NAME?</v>
      </c>
      <c r="CS1401" s="30" t="str">
        <f ca="1">IFERROR(__xludf.DUMMYFUNCTION("""COMPUTED_VALUE"""),"")</f>
        <v/>
      </c>
    </row>
    <row r="1402" spans="1:97" ht="13">
      <c r="A1402" s="29"/>
      <c r="C1402" s="32"/>
      <c r="I1402" s="34"/>
      <c r="BP1402" s="29"/>
      <c r="CD1402" s="29"/>
      <c r="CJ1402" s="29"/>
      <c r="CM1402" s="30" t="str">
        <f ca="1">IFERROR(__xludf.DUMMYFUNCTION("""COMPUTED_VALUE"""),"")</f>
        <v/>
      </c>
      <c r="CN1402" s="32" t="e">
        <f ca="1"/>
        <v>#NAME?</v>
      </c>
      <c r="CO1402" s="32" t="e">
        <f ca="1"/>
        <v>#NAME?</v>
      </c>
      <c r="CP1402" s="32" t="e">
        <f ca="1"/>
        <v>#NAME?</v>
      </c>
      <c r="CQ1402" s="32" t="e">
        <f ca="1"/>
        <v>#NAME?</v>
      </c>
      <c r="CR1402" s="30" t="e">
        <f ca="1"/>
        <v>#NAME?</v>
      </c>
      <c r="CS1402" s="30" t="str">
        <f ca="1">IFERROR(__xludf.DUMMYFUNCTION("""COMPUTED_VALUE"""),"")</f>
        <v/>
      </c>
    </row>
    <row r="1403" spans="1:97" ht="13">
      <c r="A1403" s="29"/>
      <c r="C1403" s="32"/>
      <c r="I1403" s="34"/>
      <c r="BP1403" s="29"/>
      <c r="CD1403" s="29"/>
      <c r="CJ1403" s="29"/>
      <c r="CM1403" s="30" t="str">
        <f ca="1">IFERROR(__xludf.DUMMYFUNCTION("""COMPUTED_VALUE"""),"")</f>
        <v/>
      </c>
      <c r="CN1403" s="32" t="e">
        <f ca="1"/>
        <v>#NAME?</v>
      </c>
      <c r="CO1403" s="32" t="e">
        <f ca="1"/>
        <v>#NAME?</v>
      </c>
      <c r="CP1403" s="32" t="e">
        <f ca="1"/>
        <v>#NAME?</v>
      </c>
      <c r="CQ1403" s="32" t="e">
        <f ca="1"/>
        <v>#NAME?</v>
      </c>
      <c r="CR1403" s="30" t="e">
        <f ca="1"/>
        <v>#NAME?</v>
      </c>
      <c r="CS1403" s="30" t="str">
        <f ca="1">IFERROR(__xludf.DUMMYFUNCTION("""COMPUTED_VALUE"""),"")</f>
        <v/>
      </c>
    </row>
    <row r="1404" spans="1:97" ht="13">
      <c r="A1404" s="29"/>
      <c r="C1404" s="32"/>
      <c r="I1404" s="34"/>
      <c r="BP1404" s="29"/>
      <c r="CD1404" s="29"/>
      <c r="CJ1404" s="29"/>
      <c r="CM1404" s="30" t="str">
        <f ca="1">IFERROR(__xludf.DUMMYFUNCTION("""COMPUTED_VALUE"""),"")</f>
        <v/>
      </c>
      <c r="CN1404" s="32" t="e">
        <f ca="1"/>
        <v>#NAME?</v>
      </c>
      <c r="CO1404" s="32" t="e">
        <f ca="1"/>
        <v>#NAME?</v>
      </c>
      <c r="CP1404" s="32" t="e">
        <f ca="1"/>
        <v>#NAME?</v>
      </c>
      <c r="CQ1404" s="32" t="e">
        <f ca="1"/>
        <v>#NAME?</v>
      </c>
      <c r="CR1404" s="30" t="e">
        <f ca="1"/>
        <v>#NAME?</v>
      </c>
      <c r="CS1404" s="30" t="str">
        <f ca="1">IFERROR(__xludf.DUMMYFUNCTION("""COMPUTED_VALUE"""),"")</f>
        <v/>
      </c>
    </row>
    <row r="1405" spans="1:97" ht="13">
      <c r="A1405" s="29"/>
      <c r="C1405" s="32"/>
      <c r="I1405" s="34"/>
      <c r="BP1405" s="29"/>
      <c r="CD1405" s="29"/>
      <c r="CJ1405" s="29"/>
      <c r="CM1405" s="30" t="str">
        <f ca="1">IFERROR(__xludf.DUMMYFUNCTION("""COMPUTED_VALUE"""),"")</f>
        <v/>
      </c>
      <c r="CN1405" s="32" t="e">
        <f ca="1"/>
        <v>#NAME?</v>
      </c>
      <c r="CO1405" s="32" t="e">
        <f ca="1"/>
        <v>#NAME?</v>
      </c>
      <c r="CP1405" s="32" t="e">
        <f ca="1"/>
        <v>#NAME?</v>
      </c>
      <c r="CQ1405" s="32" t="e">
        <f ca="1"/>
        <v>#NAME?</v>
      </c>
      <c r="CR1405" s="30" t="e">
        <f ca="1"/>
        <v>#NAME?</v>
      </c>
      <c r="CS1405" s="30" t="str">
        <f ca="1">IFERROR(__xludf.DUMMYFUNCTION("""COMPUTED_VALUE"""),"")</f>
        <v/>
      </c>
    </row>
    <row r="1406" spans="1:97" ht="13">
      <c r="A1406" s="29"/>
      <c r="C1406" s="32"/>
      <c r="I1406" s="34"/>
      <c r="BP1406" s="29"/>
      <c r="CD1406" s="29"/>
      <c r="CJ1406" s="29"/>
      <c r="CM1406" s="30" t="str">
        <f ca="1">IFERROR(__xludf.DUMMYFUNCTION("""COMPUTED_VALUE"""),"")</f>
        <v/>
      </c>
      <c r="CN1406" s="32" t="e">
        <f ca="1"/>
        <v>#NAME?</v>
      </c>
      <c r="CO1406" s="32" t="e">
        <f ca="1"/>
        <v>#NAME?</v>
      </c>
      <c r="CP1406" s="32" t="e">
        <f ca="1"/>
        <v>#NAME?</v>
      </c>
      <c r="CQ1406" s="32" t="e">
        <f ca="1"/>
        <v>#NAME?</v>
      </c>
      <c r="CR1406" s="30" t="e">
        <f ca="1"/>
        <v>#NAME?</v>
      </c>
      <c r="CS1406" s="30" t="str">
        <f ca="1">IFERROR(__xludf.DUMMYFUNCTION("""COMPUTED_VALUE"""),"")</f>
        <v/>
      </c>
    </row>
    <row r="1407" spans="1:97" ht="13">
      <c r="A1407" s="29"/>
      <c r="C1407" s="32"/>
      <c r="I1407" s="34"/>
      <c r="BP1407" s="29"/>
      <c r="CD1407" s="29"/>
      <c r="CJ1407" s="29"/>
      <c r="CM1407" s="30" t="str">
        <f ca="1">IFERROR(__xludf.DUMMYFUNCTION("""COMPUTED_VALUE"""),"")</f>
        <v/>
      </c>
      <c r="CN1407" s="32" t="e">
        <f ca="1"/>
        <v>#NAME?</v>
      </c>
      <c r="CO1407" s="32" t="e">
        <f ca="1"/>
        <v>#NAME?</v>
      </c>
      <c r="CP1407" s="32" t="e">
        <f ca="1"/>
        <v>#NAME?</v>
      </c>
      <c r="CQ1407" s="32" t="e">
        <f ca="1"/>
        <v>#NAME?</v>
      </c>
      <c r="CR1407" s="30" t="e">
        <f ca="1"/>
        <v>#NAME?</v>
      </c>
      <c r="CS1407" s="30" t="str">
        <f ca="1">IFERROR(__xludf.DUMMYFUNCTION("""COMPUTED_VALUE"""),"")</f>
        <v/>
      </c>
    </row>
    <row r="1408" spans="1:97" ht="13">
      <c r="A1408" s="29"/>
      <c r="C1408" s="32"/>
      <c r="I1408" s="34"/>
      <c r="BP1408" s="29"/>
      <c r="CD1408" s="29"/>
      <c r="CJ1408" s="29"/>
      <c r="CM1408" s="30" t="str">
        <f ca="1">IFERROR(__xludf.DUMMYFUNCTION("""COMPUTED_VALUE"""),"")</f>
        <v/>
      </c>
      <c r="CN1408" s="32" t="e">
        <f ca="1"/>
        <v>#NAME?</v>
      </c>
      <c r="CO1408" s="32" t="e">
        <f ca="1"/>
        <v>#NAME?</v>
      </c>
      <c r="CP1408" s="32" t="e">
        <f ca="1"/>
        <v>#NAME?</v>
      </c>
      <c r="CQ1408" s="32" t="e">
        <f ca="1"/>
        <v>#NAME?</v>
      </c>
      <c r="CR1408" s="30" t="e">
        <f ca="1"/>
        <v>#NAME?</v>
      </c>
      <c r="CS1408" s="30" t="str">
        <f ca="1">IFERROR(__xludf.DUMMYFUNCTION("""COMPUTED_VALUE"""),"")</f>
        <v/>
      </c>
    </row>
    <row r="1409" spans="1:97" ht="13">
      <c r="A1409" s="29"/>
      <c r="C1409" s="32"/>
      <c r="I1409" s="34"/>
      <c r="BP1409" s="29"/>
      <c r="CD1409" s="29"/>
      <c r="CJ1409" s="29"/>
      <c r="CM1409" s="30" t="str">
        <f ca="1">IFERROR(__xludf.DUMMYFUNCTION("""COMPUTED_VALUE"""),"")</f>
        <v/>
      </c>
      <c r="CN1409" s="32" t="e">
        <f ca="1"/>
        <v>#NAME?</v>
      </c>
      <c r="CO1409" s="32" t="e">
        <f ca="1"/>
        <v>#NAME?</v>
      </c>
      <c r="CP1409" s="32" t="e">
        <f ca="1"/>
        <v>#NAME?</v>
      </c>
      <c r="CQ1409" s="32" t="e">
        <f ca="1"/>
        <v>#NAME?</v>
      </c>
      <c r="CR1409" s="30" t="e">
        <f ca="1"/>
        <v>#NAME?</v>
      </c>
      <c r="CS1409" s="30" t="str">
        <f ca="1">IFERROR(__xludf.DUMMYFUNCTION("""COMPUTED_VALUE"""),"")</f>
        <v/>
      </c>
    </row>
    <row r="1410" spans="1:97" ht="13">
      <c r="A1410" s="29"/>
      <c r="C1410" s="32"/>
      <c r="I1410" s="34"/>
      <c r="BP1410" s="29"/>
      <c r="CD1410" s="29"/>
      <c r="CJ1410" s="29"/>
      <c r="CM1410" s="30" t="str">
        <f ca="1">IFERROR(__xludf.DUMMYFUNCTION("""COMPUTED_VALUE"""),"")</f>
        <v/>
      </c>
      <c r="CN1410" s="32" t="e">
        <f ca="1"/>
        <v>#NAME?</v>
      </c>
      <c r="CO1410" s="32" t="e">
        <f ca="1"/>
        <v>#NAME?</v>
      </c>
      <c r="CP1410" s="32" t="e">
        <f ca="1"/>
        <v>#NAME?</v>
      </c>
      <c r="CQ1410" s="32" t="e">
        <f ca="1"/>
        <v>#NAME?</v>
      </c>
      <c r="CR1410" s="30" t="e">
        <f ca="1"/>
        <v>#NAME?</v>
      </c>
      <c r="CS1410" s="30" t="str">
        <f ca="1">IFERROR(__xludf.DUMMYFUNCTION("""COMPUTED_VALUE"""),"")</f>
        <v/>
      </c>
    </row>
    <row r="1411" spans="1:97" ht="13">
      <c r="A1411" s="29"/>
      <c r="C1411" s="32"/>
      <c r="I1411" s="34"/>
      <c r="BP1411" s="29"/>
      <c r="CD1411" s="29"/>
      <c r="CJ1411" s="29"/>
      <c r="CM1411" s="30" t="str">
        <f ca="1">IFERROR(__xludf.DUMMYFUNCTION("""COMPUTED_VALUE"""),"")</f>
        <v/>
      </c>
      <c r="CN1411" s="32" t="e">
        <f ca="1"/>
        <v>#NAME?</v>
      </c>
      <c r="CO1411" s="32" t="e">
        <f ca="1"/>
        <v>#NAME?</v>
      </c>
      <c r="CP1411" s="32" t="e">
        <f ca="1"/>
        <v>#NAME?</v>
      </c>
      <c r="CQ1411" s="32" t="e">
        <f ca="1"/>
        <v>#NAME?</v>
      </c>
      <c r="CR1411" s="30" t="e">
        <f ca="1"/>
        <v>#NAME?</v>
      </c>
      <c r="CS1411" s="30" t="str">
        <f ca="1">IFERROR(__xludf.DUMMYFUNCTION("""COMPUTED_VALUE"""),"")</f>
        <v/>
      </c>
    </row>
    <row r="1412" spans="1:97" ht="13">
      <c r="A1412" s="29"/>
      <c r="C1412" s="32"/>
      <c r="I1412" s="34"/>
      <c r="BP1412" s="29"/>
      <c r="CD1412" s="29"/>
      <c r="CJ1412" s="29"/>
      <c r="CM1412" s="30" t="str">
        <f ca="1">IFERROR(__xludf.DUMMYFUNCTION("""COMPUTED_VALUE"""),"")</f>
        <v/>
      </c>
      <c r="CN1412" s="32" t="e">
        <f ca="1"/>
        <v>#NAME?</v>
      </c>
      <c r="CO1412" s="32" t="e">
        <f ca="1"/>
        <v>#NAME?</v>
      </c>
      <c r="CP1412" s="32" t="e">
        <f ca="1"/>
        <v>#NAME?</v>
      </c>
      <c r="CQ1412" s="32" t="e">
        <f ca="1"/>
        <v>#NAME?</v>
      </c>
      <c r="CR1412" s="30" t="e">
        <f ca="1"/>
        <v>#NAME?</v>
      </c>
      <c r="CS1412" s="30" t="str">
        <f ca="1">IFERROR(__xludf.DUMMYFUNCTION("""COMPUTED_VALUE"""),"")</f>
        <v/>
      </c>
    </row>
    <row r="1413" spans="1:97" ht="13">
      <c r="A1413" s="29"/>
      <c r="C1413" s="32"/>
      <c r="I1413" s="34"/>
      <c r="BP1413" s="29"/>
      <c r="CD1413" s="29"/>
      <c r="CJ1413" s="29"/>
      <c r="CM1413" s="30" t="str">
        <f ca="1">IFERROR(__xludf.DUMMYFUNCTION("""COMPUTED_VALUE"""),"")</f>
        <v/>
      </c>
      <c r="CN1413" s="32" t="e">
        <f ca="1"/>
        <v>#NAME?</v>
      </c>
      <c r="CO1413" s="32" t="e">
        <f ca="1"/>
        <v>#NAME?</v>
      </c>
      <c r="CP1413" s="32" t="e">
        <f ca="1"/>
        <v>#NAME?</v>
      </c>
      <c r="CQ1413" s="32" t="e">
        <f ca="1"/>
        <v>#NAME?</v>
      </c>
      <c r="CR1413" s="30" t="e">
        <f ca="1"/>
        <v>#NAME?</v>
      </c>
      <c r="CS1413" s="30" t="str">
        <f ca="1">IFERROR(__xludf.DUMMYFUNCTION("""COMPUTED_VALUE"""),"")</f>
        <v/>
      </c>
    </row>
    <row r="1414" spans="1:97" ht="13">
      <c r="A1414" s="29"/>
      <c r="C1414" s="32"/>
      <c r="I1414" s="34"/>
      <c r="BP1414" s="29"/>
      <c r="CD1414" s="29"/>
      <c r="CJ1414" s="29"/>
      <c r="CM1414" s="30" t="str">
        <f ca="1">IFERROR(__xludf.DUMMYFUNCTION("""COMPUTED_VALUE"""),"")</f>
        <v/>
      </c>
      <c r="CN1414" s="32" t="e">
        <f ca="1"/>
        <v>#NAME?</v>
      </c>
      <c r="CO1414" s="32" t="e">
        <f ca="1"/>
        <v>#NAME?</v>
      </c>
      <c r="CP1414" s="32" t="e">
        <f ca="1"/>
        <v>#NAME?</v>
      </c>
      <c r="CQ1414" s="32" t="e">
        <f ca="1"/>
        <v>#NAME?</v>
      </c>
      <c r="CR1414" s="30" t="e">
        <f ca="1"/>
        <v>#NAME?</v>
      </c>
      <c r="CS1414" s="30" t="str">
        <f ca="1">IFERROR(__xludf.DUMMYFUNCTION("""COMPUTED_VALUE"""),"")</f>
        <v/>
      </c>
    </row>
    <row r="1415" spans="1:97" ht="13">
      <c r="A1415" s="29"/>
      <c r="C1415" s="32"/>
      <c r="I1415" s="34"/>
      <c r="BP1415" s="29"/>
      <c r="CD1415" s="29"/>
      <c r="CJ1415" s="29"/>
      <c r="CM1415" s="30" t="str">
        <f ca="1">IFERROR(__xludf.DUMMYFUNCTION("""COMPUTED_VALUE"""),"")</f>
        <v/>
      </c>
      <c r="CN1415" s="32" t="e">
        <f ca="1"/>
        <v>#NAME?</v>
      </c>
      <c r="CO1415" s="32" t="e">
        <f ca="1"/>
        <v>#NAME?</v>
      </c>
      <c r="CP1415" s="32" t="e">
        <f ca="1"/>
        <v>#NAME?</v>
      </c>
      <c r="CQ1415" s="32" t="e">
        <f ca="1"/>
        <v>#NAME?</v>
      </c>
      <c r="CR1415" s="30" t="e">
        <f ca="1"/>
        <v>#NAME?</v>
      </c>
      <c r="CS1415" s="30" t="str">
        <f ca="1">IFERROR(__xludf.DUMMYFUNCTION("""COMPUTED_VALUE"""),"")</f>
        <v/>
      </c>
    </row>
    <row r="1416" spans="1:97" ht="13">
      <c r="A1416" s="29"/>
      <c r="C1416" s="32"/>
      <c r="I1416" s="34"/>
      <c r="BP1416" s="29"/>
      <c r="CD1416" s="29"/>
      <c r="CJ1416" s="29"/>
      <c r="CM1416" s="30" t="str">
        <f ca="1">IFERROR(__xludf.DUMMYFUNCTION("""COMPUTED_VALUE"""),"")</f>
        <v/>
      </c>
      <c r="CN1416" s="32" t="e">
        <f ca="1"/>
        <v>#NAME?</v>
      </c>
      <c r="CO1416" s="32" t="e">
        <f ca="1"/>
        <v>#NAME?</v>
      </c>
      <c r="CP1416" s="32" t="e">
        <f ca="1"/>
        <v>#NAME?</v>
      </c>
      <c r="CQ1416" s="32" t="e">
        <f ca="1"/>
        <v>#NAME?</v>
      </c>
      <c r="CR1416" s="30" t="e">
        <f ca="1"/>
        <v>#NAME?</v>
      </c>
      <c r="CS1416" s="30" t="str">
        <f ca="1">IFERROR(__xludf.DUMMYFUNCTION("""COMPUTED_VALUE"""),"")</f>
        <v/>
      </c>
    </row>
    <row r="1417" spans="1:97" ht="13">
      <c r="A1417" s="29"/>
      <c r="C1417" s="32"/>
      <c r="I1417" s="34"/>
      <c r="BP1417" s="29"/>
      <c r="CD1417" s="29"/>
      <c r="CJ1417" s="29"/>
      <c r="CM1417" s="30" t="str">
        <f ca="1">IFERROR(__xludf.DUMMYFUNCTION("""COMPUTED_VALUE"""),"")</f>
        <v/>
      </c>
      <c r="CN1417" s="32" t="e">
        <f ca="1"/>
        <v>#NAME?</v>
      </c>
      <c r="CO1417" s="32" t="e">
        <f ca="1"/>
        <v>#NAME?</v>
      </c>
      <c r="CP1417" s="32" t="e">
        <f ca="1"/>
        <v>#NAME?</v>
      </c>
      <c r="CQ1417" s="32" t="e">
        <f ca="1"/>
        <v>#NAME?</v>
      </c>
      <c r="CR1417" s="30" t="e">
        <f ca="1"/>
        <v>#NAME?</v>
      </c>
      <c r="CS1417" s="30" t="str">
        <f ca="1">IFERROR(__xludf.DUMMYFUNCTION("""COMPUTED_VALUE"""),"")</f>
        <v/>
      </c>
    </row>
    <row r="1418" spans="1:97" ht="13">
      <c r="A1418" s="29"/>
      <c r="C1418" s="32"/>
      <c r="I1418" s="34"/>
      <c r="BP1418" s="29"/>
      <c r="CD1418" s="29"/>
      <c r="CJ1418" s="29"/>
      <c r="CM1418" s="30" t="str">
        <f ca="1">IFERROR(__xludf.DUMMYFUNCTION("""COMPUTED_VALUE"""),"")</f>
        <v/>
      </c>
      <c r="CN1418" s="32" t="e">
        <f ca="1"/>
        <v>#NAME?</v>
      </c>
      <c r="CO1418" s="32" t="e">
        <f ca="1"/>
        <v>#NAME?</v>
      </c>
      <c r="CP1418" s="32" t="e">
        <f ca="1"/>
        <v>#NAME?</v>
      </c>
      <c r="CQ1418" s="32" t="e">
        <f ca="1"/>
        <v>#NAME?</v>
      </c>
      <c r="CR1418" s="30" t="e">
        <f ca="1"/>
        <v>#NAME?</v>
      </c>
      <c r="CS1418" s="30" t="str">
        <f ca="1">IFERROR(__xludf.DUMMYFUNCTION("""COMPUTED_VALUE"""),"")</f>
        <v/>
      </c>
    </row>
    <row r="1419" spans="1:97" ht="13">
      <c r="A1419" s="29"/>
      <c r="C1419" s="32"/>
      <c r="I1419" s="34"/>
      <c r="BP1419" s="29"/>
      <c r="CD1419" s="29"/>
      <c r="CJ1419" s="29"/>
      <c r="CM1419" s="30" t="str">
        <f ca="1">IFERROR(__xludf.DUMMYFUNCTION("""COMPUTED_VALUE"""),"")</f>
        <v/>
      </c>
      <c r="CN1419" s="32" t="e">
        <f ca="1"/>
        <v>#NAME?</v>
      </c>
      <c r="CO1419" s="32" t="e">
        <f ca="1"/>
        <v>#NAME?</v>
      </c>
      <c r="CP1419" s="32" t="e">
        <f ca="1"/>
        <v>#NAME?</v>
      </c>
      <c r="CQ1419" s="32" t="e">
        <f ca="1"/>
        <v>#NAME?</v>
      </c>
      <c r="CR1419" s="30" t="e">
        <f ca="1"/>
        <v>#NAME?</v>
      </c>
      <c r="CS1419" s="30" t="str">
        <f ca="1">IFERROR(__xludf.DUMMYFUNCTION("""COMPUTED_VALUE"""),"")</f>
        <v/>
      </c>
    </row>
    <row r="1420" spans="1:97" ht="13">
      <c r="A1420" s="29"/>
      <c r="C1420" s="32"/>
      <c r="I1420" s="34"/>
      <c r="BP1420" s="29"/>
      <c r="CD1420" s="29"/>
      <c r="CJ1420" s="29"/>
      <c r="CM1420" s="30" t="str">
        <f ca="1">IFERROR(__xludf.DUMMYFUNCTION("""COMPUTED_VALUE"""),"")</f>
        <v/>
      </c>
      <c r="CN1420" s="32" t="e">
        <f ca="1"/>
        <v>#NAME?</v>
      </c>
      <c r="CO1420" s="32" t="e">
        <f ca="1"/>
        <v>#NAME?</v>
      </c>
      <c r="CP1420" s="32" t="e">
        <f ca="1"/>
        <v>#NAME?</v>
      </c>
      <c r="CQ1420" s="32" t="e">
        <f ca="1"/>
        <v>#NAME?</v>
      </c>
      <c r="CR1420" s="30" t="e">
        <f ca="1"/>
        <v>#NAME?</v>
      </c>
      <c r="CS1420" s="30" t="str">
        <f ca="1">IFERROR(__xludf.DUMMYFUNCTION("""COMPUTED_VALUE"""),"")</f>
        <v/>
      </c>
    </row>
    <row r="1421" spans="1:97" ht="13">
      <c r="A1421" s="29"/>
      <c r="C1421" s="32"/>
      <c r="I1421" s="34"/>
      <c r="BP1421" s="29"/>
      <c r="CD1421" s="29"/>
      <c r="CJ1421" s="29"/>
      <c r="CM1421" s="30" t="str">
        <f ca="1">IFERROR(__xludf.DUMMYFUNCTION("""COMPUTED_VALUE"""),"")</f>
        <v/>
      </c>
      <c r="CN1421" s="32" t="e">
        <f ca="1"/>
        <v>#NAME?</v>
      </c>
      <c r="CO1421" s="32" t="e">
        <f ca="1"/>
        <v>#NAME?</v>
      </c>
      <c r="CP1421" s="32" t="e">
        <f ca="1"/>
        <v>#NAME?</v>
      </c>
      <c r="CQ1421" s="32" t="e">
        <f ca="1"/>
        <v>#NAME?</v>
      </c>
      <c r="CR1421" s="30" t="e">
        <f ca="1"/>
        <v>#NAME?</v>
      </c>
      <c r="CS1421" s="30" t="str">
        <f ca="1">IFERROR(__xludf.DUMMYFUNCTION("""COMPUTED_VALUE"""),"")</f>
        <v/>
      </c>
    </row>
    <row r="1422" spans="1:97" ht="13">
      <c r="A1422" s="29"/>
      <c r="C1422" s="32"/>
      <c r="I1422" s="34"/>
      <c r="BP1422" s="29"/>
      <c r="CD1422" s="29"/>
      <c r="CJ1422" s="29"/>
      <c r="CM1422" s="30" t="str">
        <f ca="1">IFERROR(__xludf.DUMMYFUNCTION("""COMPUTED_VALUE"""),"")</f>
        <v/>
      </c>
      <c r="CN1422" s="32" t="e">
        <f ca="1"/>
        <v>#NAME?</v>
      </c>
      <c r="CO1422" s="32" t="e">
        <f ca="1"/>
        <v>#NAME?</v>
      </c>
      <c r="CP1422" s="32" t="e">
        <f ca="1"/>
        <v>#NAME?</v>
      </c>
      <c r="CQ1422" s="32" t="e">
        <f ca="1"/>
        <v>#NAME?</v>
      </c>
      <c r="CR1422" s="30" t="e">
        <f ca="1"/>
        <v>#NAME?</v>
      </c>
      <c r="CS1422" s="30" t="str">
        <f ca="1">IFERROR(__xludf.DUMMYFUNCTION("""COMPUTED_VALUE"""),"")</f>
        <v/>
      </c>
    </row>
    <row r="1423" spans="1:97" ht="13">
      <c r="A1423" s="29"/>
      <c r="C1423" s="32"/>
      <c r="I1423" s="34"/>
      <c r="BP1423" s="29"/>
      <c r="CD1423" s="29"/>
      <c r="CJ1423" s="29"/>
      <c r="CM1423" s="30" t="str">
        <f ca="1">IFERROR(__xludf.DUMMYFUNCTION("""COMPUTED_VALUE"""),"")</f>
        <v/>
      </c>
      <c r="CN1423" s="32" t="e">
        <f ca="1"/>
        <v>#NAME?</v>
      </c>
      <c r="CO1423" s="32" t="e">
        <f ca="1"/>
        <v>#NAME?</v>
      </c>
      <c r="CP1423" s="32" t="e">
        <f ca="1"/>
        <v>#NAME?</v>
      </c>
      <c r="CQ1423" s="32" t="e">
        <f ca="1"/>
        <v>#NAME?</v>
      </c>
      <c r="CR1423" s="30" t="e">
        <f ca="1"/>
        <v>#NAME?</v>
      </c>
      <c r="CS1423" s="30" t="str">
        <f ca="1">IFERROR(__xludf.DUMMYFUNCTION("""COMPUTED_VALUE"""),"")</f>
        <v/>
      </c>
    </row>
    <row r="1424" spans="1:97" ht="13">
      <c r="A1424" s="29"/>
      <c r="C1424" s="32"/>
      <c r="I1424" s="34"/>
      <c r="BP1424" s="29"/>
      <c r="CD1424" s="29"/>
      <c r="CJ1424" s="29"/>
      <c r="CM1424" s="30" t="str">
        <f ca="1">IFERROR(__xludf.DUMMYFUNCTION("""COMPUTED_VALUE"""),"")</f>
        <v/>
      </c>
      <c r="CN1424" s="32" t="e">
        <f ca="1"/>
        <v>#NAME?</v>
      </c>
      <c r="CO1424" s="32" t="e">
        <f ca="1"/>
        <v>#NAME?</v>
      </c>
      <c r="CP1424" s="32" t="e">
        <f ca="1"/>
        <v>#NAME?</v>
      </c>
      <c r="CQ1424" s="32" t="e">
        <f ca="1"/>
        <v>#NAME?</v>
      </c>
      <c r="CR1424" s="30" t="e">
        <f ca="1"/>
        <v>#NAME?</v>
      </c>
      <c r="CS1424" s="30" t="str">
        <f ca="1">IFERROR(__xludf.DUMMYFUNCTION("""COMPUTED_VALUE"""),"")</f>
        <v/>
      </c>
    </row>
    <row r="1425" spans="1:97" ht="13">
      <c r="A1425" s="29"/>
      <c r="C1425" s="32"/>
      <c r="I1425" s="34"/>
      <c r="BP1425" s="29"/>
      <c r="CD1425" s="29"/>
      <c r="CJ1425" s="29"/>
      <c r="CM1425" s="30" t="str">
        <f ca="1">IFERROR(__xludf.DUMMYFUNCTION("""COMPUTED_VALUE"""),"")</f>
        <v/>
      </c>
      <c r="CN1425" s="32" t="e">
        <f ca="1"/>
        <v>#NAME?</v>
      </c>
      <c r="CO1425" s="32" t="e">
        <f ca="1"/>
        <v>#NAME?</v>
      </c>
      <c r="CP1425" s="32" t="e">
        <f ca="1"/>
        <v>#NAME?</v>
      </c>
      <c r="CQ1425" s="32" t="e">
        <f ca="1"/>
        <v>#NAME?</v>
      </c>
      <c r="CR1425" s="30" t="e">
        <f ca="1"/>
        <v>#NAME?</v>
      </c>
      <c r="CS1425" s="30" t="str">
        <f ca="1">IFERROR(__xludf.DUMMYFUNCTION("""COMPUTED_VALUE"""),"")</f>
        <v/>
      </c>
    </row>
    <row r="1426" spans="1:97" ht="13">
      <c r="A1426" s="29"/>
      <c r="C1426" s="32"/>
      <c r="I1426" s="34"/>
      <c r="BP1426" s="29"/>
      <c r="CD1426" s="29"/>
      <c r="CJ1426" s="29"/>
      <c r="CM1426" s="30" t="str">
        <f ca="1">IFERROR(__xludf.DUMMYFUNCTION("""COMPUTED_VALUE"""),"")</f>
        <v/>
      </c>
      <c r="CN1426" s="32" t="e">
        <f ca="1"/>
        <v>#NAME?</v>
      </c>
      <c r="CO1426" s="32" t="e">
        <f ca="1"/>
        <v>#NAME?</v>
      </c>
      <c r="CP1426" s="32" t="e">
        <f ca="1"/>
        <v>#NAME?</v>
      </c>
      <c r="CQ1426" s="32" t="e">
        <f ca="1"/>
        <v>#NAME?</v>
      </c>
      <c r="CR1426" s="30" t="e">
        <f ca="1"/>
        <v>#NAME?</v>
      </c>
      <c r="CS1426" s="30" t="str">
        <f ca="1">IFERROR(__xludf.DUMMYFUNCTION("""COMPUTED_VALUE"""),"")</f>
        <v/>
      </c>
    </row>
    <row r="1427" spans="1:97" ht="13">
      <c r="A1427" s="29"/>
      <c r="C1427" s="32"/>
      <c r="I1427" s="34"/>
      <c r="BP1427" s="29"/>
      <c r="CD1427" s="29"/>
      <c r="CJ1427" s="29"/>
      <c r="CM1427" s="30" t="str">
        <f ca="1">IFERROR(__xludf.DUMMYFUNCTION("""COMPUTED_VALUE"""),"")</f>
        <v/>
      </c>
      <c r="CN1427" s="32" t="e">
        <f ca="1"/>
        <v>#NAME?</v>
      </c>
      <c r="CO1427" s="32" t="e">
        <f ca="1"/>
        <v>#NAME?</v>
      </c>
      <c r="CP1427" s="32" t="e">
        <f ca="1"/>
        <v>#NAME?</v>
      </c>
      <c r="CQ1427" s="32" t="e">
        <f ca="1"/>
        <v>#NAME?</v>
      </c>
      <c r="CR1427" s="30" t="e">
        <f ca="1"/>
        <v>#NAME?</v>
      </c>
      <c r="CS1427" s="30" t="str">
        <f ca="1">IFERROR(__xludf.DUMMYFUNCTION("""COMPUTED_VALUE"""),"")</f>
        <v/>
      </c>
    </row>
    <row r="1428" spans="1:97" ht="13">
      <c r="A1428" s="29"/>
      <c r="C1428" s="32"/>
      <c r="I1428" s="34"/>
      <c r="BP1428" s="29"/>
      <c r="CD1428" s="29"/>
      <c r="CJ1428" s="29"/>
      <c r="CM1428" s="30" t="str">
        <f ca="1">IFERROR(__xludf.DUMMYFUNCTION("""COMPUTED_VALUE"""),"")</f>
        <v/>
      </c>
      <c r="CN1428" s="32" t="e">
        <f ca="1"/>
        <v>#NAME?</v>
      </c>
      <c r="CO1428" s="32" t="e">
        <f ca="1"/>
        <v>#NAME?</v>
      </c>
      <c r="CP1428" s="32" t="e">
        <f ca="1"/>
        <v>#NAME?</v>
      </c>
      <c r="CQ1428" s="32" t="e">
        <f ca="1"/>
        <v>#NAME?</v>
      </c>
      <c r="CR1428" s="30" t="e">
        <f ca="1"/>
        <v>#NAME?</v>
      </c>
      <c r="CS1428" s="30" t="str">
        <f ca="1">IFERROR(__xludf.DUMMYFUNCTION("""COMPUTED_VALUE"""),"")</f>
        <v/>
      </c>
    </row>
    <row r="1429" spans="1:97" ht="13">
      <c r="A1429" s="29"/>
      <c r="C1429" s="32"/>
      <c r="I1429" s="34"/>
      <c r="BP1429" s="29"/>
      <c r="CD1429" s="29"/>
      <c r="CJ1429" s="29"/>
      <c r="CM1429" s="30" t="str">
        <f ca="1">IFERROR(__xludf.DUMMYFUNCTION("""COMPUTED_VALUE"""),"")</f>
        <v/>
      </c>
      <c r="CN1429" s="32" t="e">
        <f ca="1"/>
        <v>#NAME?</v>
      </c>
      <c r="CO1429" s="32" t="e">
        <f ca="1"/>
        <v>#NAME?</v>
      </c>
      <c r="CP1429" s="32" t="e">
        <f ca="1"/>
        <v>#NAME?</v>
      </c>
      <c r="CQ1429" s="32" t="e">
        <f ca="1"/>
        <v>#NAME?</v>
      </c>
      <c r="CR1429" s="30" t="e">
        <f ca="1"/>
        <v>#NAME?</v>
      </c>
      <c r="CS1429" s="30" t="str">
        <f ca="1">IFERROR(__xludf.DUMMYFUNCTION("""COMPUTED_VALUE"""),"")</f>
        <v/>
      </c>
    </row>
    <row r="1430" spans="1:97" ht="13">
      <c r="A1430" s="29"/>
      <c r="C1430" s="32"/>
      <c r="I1430" s="34"/>
      <c r="BP1430" s="29"/>
      <c r="CD1430" s="29"/>
      <c r="CJ1430" s="29"/>
      <c r="CM1430" s="30" t="str">
        <f ca="1">IFERROR(__xludf.DUMMYFUNCTION("""COMPUTED_VALUE"""),"")</f>
        <v/>
      </c>
      <c r="CN1430" s="32" t="e">
        <f ca="1"/>
        <v>#NAME?</v>
      </c>
      <c r="CO1430" s="32" t="e">
        <f ca="1"/>
        <v>#NAME?</v>
      </c>
      <c r="CP1430" s="32" t="e">
        <f ca="1"/>
        <v>#NAME?</v>
      </c>
      <c r="CQ1430" s="32" t="e">
        <f ca="1"/>
        <v>#NAME?</v>
      </c>
      <c r="CR1430" s="30" t="e">
        <f ca="1"/>
        <v>#NAME?</v>
      </c>
      <c r="CS1430" s="30" t="str">
        <f ca="1">IFERROR(__xludf.DUMMYFUNCTION("""COMPUTED_VALUE"""),"")</f>
        <v/>
      </c>
    </row>
    <row r="1431" spans="1:97" ht="13">
      <c r="A1431" s="29"/>
      <c r="C1431" s="32"/>
      <c r="I1431" s="34"/>
      <c r="BP1431" s="29"/>
      <c r="CD1431" s="29"/>
      <c r="CJ1431" s="29"/>
      <c r="CM1431" s="30" t="str">
        <f ca="1">IFERROR(__xludf.DUMMYFUNCTION("""COMPUTED_VALUE"""),"")</f>
        <v/>
      </c>
      <c r="CN1431" s="32" t="e">
        <f ca="1"/>
        <v>#NAME?</v>
      </c>
      <c r="CO1431" s="32" t="e">
        <f ca="1"/>
        <v>#NAME?</v>
      </c>
      <c r="CP1431" s="32" t="e">
        <f ca="1"/>
        <v>#NAME?</v>
      </c>
      <c r="CQ1431" s="32" t="e">
        <f ca="1"/>
        <v>#NAME?</v>
      </c>
      <c r="CR1431" s="30" t="e">
        <f ca="1"/>
        <v>#NAME?</v>
      </c>
      <c r="CS1431" s="30" t="str">
        <f ca="1">IFERROR(__xludf.DUMMYFUNCTION("""COMPUTED_VALUE"""),"")</f>
        <v/>
      </c>
    </row>
    <row r="1432" spans="1:97" ht="13">
      <c r="A1432" s="29"/>
      <c r="C1432" s="32"/>
      <c r="I1432" s="34"/>
      <c r="BP1432" s="29"/>
      <c r="CD1432" s="29"/>
      <c r="CJ1432" s="29"/>
      <c r="CM1432" s="30" t="str">
        <f ca="1">IFERROR(__xludf.DUMMYFUNCTION("""COMPUTED_VALUE"""),"")</f>
        <v/>
      </c>
      <c r="CN1432" s="32" t="e">
        <f ca="1"/>
        <v>#NAME?</v>
      </c>
      <c r="CO1432" s="32" t="e">
        <f ca="1"/>
        <v>#NAME?</v>
      </c>
      <c r="CP1432" s="32" t="e">
        <f ca="1"/>
        <v>#NAME?</v>
      </c>
      <c r="CQ1432" s="32" t="e">
        <f ca="1"/>
        <v>#NAME?</v>
      </c>
      <c r="CR1432" s="30" t="e">
        <f ca="1"/>
        <v>#NAME?</v>
      </c>
      <c r="CS1432" s="30" t="str">
        <f ca="1">IFERROR(__xludf.DUMMYFUNCTION("""COMPUTED_VALUE"""),"")</f>
        <v/>
      </c>
    </row>
    <row r="1433" spans="1:97" ht="13">
      <c r="A1433" s="29"/>
      <c r="C1433" s="32"/>
      <c r="I1433" s="34"/>
      <c r="BP1433" s="29"/>
      <c r="CD1433" s="29"/>
      <c r="CJ1433" s="29"/>
      <c r="CM1433" s="30" t="str">
        <f ca="1">IFERROR(__xludf.DUMMYFUNCTION("""COMPUTED_VALUE"""),"")</f>
        <v/>
      </c>
      <c r="CN1433" s="32" t="e">
        <f ca="1"/>
        <v>#NAME?</v>
      </c>
      <c r="CO1433" s="32" t="e">
        <f ca="1"/>
        <v>#NAME?</v>
      </c>
      <c r="CP1433" s="32" t="e">
        <f ca="1"/>
        <v>#NAME?</v>
      </c>
      <c r="CQ1433" s="32" t="e">
        <f ca="1"/>
        <v>#NAME?</v>
      </c>
      <c r="CR1433" s="30" t="e">
        <f ca="1"/>
        <v>#NAME?</v>
      </c>
      <c r="CS1433" s="30" t="str">
        <f ca="1">IFERROR(__xludf.DUMMYFUNCTION("""COMPUTED_VALUE"""),"")</f>
        <v/>
      </c>
    </row>
    <row r="1434" spans="1:97" ht="13">
      <c r="A1434" s="29"/>
      <c r="C1434" s="32"/>
      <c r="I1434" s="34"/>
      <c r="BP1434" s="29"/>
      <c r="CD1434" s="29"/>
      <c r="CJ1434" s="29"/>
      <c r="CM1434" s="30" t="str">
        <f ca="1">IFERROR(__xludf.DUMMYFUNCTION("""COMPUTED_VALUE"""),"")</f>
        <v/>
      </c>
      <c r="CN1434" s="32" t="e">
        <f ca="1"/>
        <v>#NAME?</v>
      </c>
      <c r="CO1434" s="32" t="e">
        <f ca="1"/>
        <v>#NAME?</v>
      </c>
      <c r="CP1434" s="32" t="e">
        <f ca="1"/>
        <v>#NAME?</v>
      </c>
      <c r="CQ1434" s="32" t="e">
        <f ca="1"/>
        <v>#NAME?</v>
      </c>
      <c r="CR1434" s="30" t="e">
        <f ca="1"/>
        <v>#NAME?</v>
      </c>
      <c r="CS1434" s="30" t="str">
        <f ca="1">IFERROR(__xludf.DUMMYFUNCTION("""COMPUTED_VALUE"""),"")</f>
        <v/>
      </c>
    </row>
    <row r="1435" spans="1:97" ht="13">
      <c r="A1435" s="29"/>
      <c r="C1435" s="32"/>
      <c r="I1435" s="34"/>
      <c r="BP1435" s="29"/>
      <c r="CD1435" s="29"/>
      <c r="CJ1435" s="29"/>
      <c r="CM1435" s="30" t="str">
        <f ca="1">IFERROR(__xludf.DUMMYFUNCTION("""COMPUTED_VALUE"""),"")</f>
        <v/>
      </c>
      <c r="CN1435" s="32" t="e">
        <f ca="1"/>
        <v>#NAME?</v>
      </c>
      <c r="CO1435" s="32" t="e">
        <f ca="1"/>
        <v>#NAME?</v>
      </c>
      <c r="CP1435" s="32" t="e">
        <f ca="1"/>
        <v>#NAME?</v>
      </c>
      <c r="CQ1435" s="32" t="e">
        <f ca="1"/>
        <v>#NAME?</v>
      </c>
      <c r="CR1435" s="30" t="e">
        <f ca="1"/>
        <v>#NAME?</v>
      </c>
      <c r="CS1435" s="30" t="str">
        <f ca="1">IFERROR(__xludf.DUMMYFUNCTION("""COMPUTED_VALUE"""),"")</f>
        <v/>
      </c>
    </row>
    <row r="1436" spans="1:97" ht="13">
      <c r="A1436" s="29"/>
      <c r="C1436" s="32"/>
      <c r="I1436" s="34"/>
      <c r="BP1436" s="29"/>
      <c r="CD1436" s="29"/>
      <c r="CJ1436" s="29"/>
      <c r="CM1436" s="30" t="str">
        <f ca="1">IFERROR(__xludf.DUMMYFUNCTION("""COMPUTED_VALUE"""),"")</f>
        <v/>
      </c>
      <c r="CN1436" s="32" t="e">
        <f ca="1"/>
        <v>#NAME?</v>
      </c>
      <c r="CO1436" s="32" t="e">
        <f ca="1"/>
        <v>#NAME?</v>
      </c>
      <c r="CP1436" s="32" t="e">
        <f ca="1"/>
        <v>#NAME?</v>
      </c>
      <c r="CQ1436" s="32" t="e">
        <f ca="1"/>
        <v>#NAME?</v>
      </c>
      <c r="CR1436" s="30" t="e">
        <f ca="1"/>
        <v>#NAME?</v>
      </c>
      <c r="CS1436" s="30" t="str">
        <f ca="1">IFERROR(__xludf.DUMMYFUNCTION("""COMPUTED_VALUE"""),"")</f>
        <v/>
      </c>
    </row>
    <row r="1437" spans="1:97" ht="13">
      <c r="A1437" s="29"/>
      <c r="C1437" s="32"/>
      <c r="I1437" s="34"/>
      <c r="BP1437" s="29"/>
      <c r="CD1437" s="29"/>
      <c r="CJ1437" s="29"/>
      <c r="CM1437" s="30" t="str">
        <f ca="1">IFERROR(__xludf.DUMMYFUNCTION("""COMPUTED_VALUE"""),"")</f>
        <v/>
      </c>
      <c r="CN1437" s="32" t="e">
        <f ca="1"/>
        <v>#NAME?</v>
      </c>
      <c r="CO1437" s="32" t="e">
        <f ca="1"/>
        <v>#NAME?</v>
      </c>
      <c r="CP1437" s="32" t="e">
        <f ca="1"/>
        <v>#NAME?</v>
      </c>
      <c r="CQ1437" s="32" t="e">
        <f ca="1"/>
        <v>#NAME?</v>
      </c>
      <c r="CR1437" s="30" t="e">
        <f ca="1"/>
        <v>#NAME?</v>
      </c>
      <c r="CS1437" s="30" t="str">
        <f ca="1">IFERROR(__xludf.DUMMYFUNCTION("""COMPUTED_VALUE"""),"")</f>
        <v/>
      </c>
    </row>
    <row r="1438" spans="1:97" ht="13">
      <c r="A1438" s="29"/>
      <c r="C1438" s="32"/>
      <c r="I1438" s="34"/>
      <c r="BP1438" s="29"/>
      <c r="CD1438" s="29"/>
      <c r="CJ1438" s="29"/>
      <c r="CM1438" s="30" t="str">
        <f ca="1">IFERROR(__xludf.DUMMYFUNCTION("""COMPUTED_VALUE"""),"")</f>
        <v/>
      </c>
      <c r="CN1438" s="32" t="e">
        <f ca="1"/>
        <v>#NAME?</v>
      </c>
      <c r="CO1438" s="32" t="e">
        <f ca="1"/>
        <v>#NAME?</v>
      </c>
      <c r="CP1438" s="32" t="e">
        <f ca="1"/>
        <v>#NAME?</v>
      </c>
      <c r="CQ1438" s="32" t="e">
        <f ca="1"/>
        <v>#NAME?</v>
      </c>
      <c r="CR1438" s="30" t="e">
        <f ca="1"/>
        <v>#NAME?</v>
      </c>
      <c r="CS1438" s="30" t="str">
        <f ca="1">IFERROR(__xludf.DUMMYFUNCTION("""COMPUTED_VALUE"""),"")</f>
        <v/>
      </c>
    </row>
    <row r="1439" spans="1:97" ht="13">
      <c r="A1439" s="29"/>
      <c r="C1439" s="32"/>
      <c r="I1439" s="34"/>
      <c r="BP1439" s="29"/>
      <c r="CD1439" s="29"/>
      <c r="CJ1439" s="29"/>
      <c r="CM1439" s="30" t="str">
        <f ca="1">IFERROR(__xludf.DUMMYFUNCTION("""COMPUTED_VALUE"""),"")</f>
        <v/>
      </c>
      <c r="CN1439" s="32" t="e">
        <f ca="1"/>
        <v>#NAME?</v>
      </c>
      <c r="CO1439" s="32" t="e">
        <f ca="1"/>
        <v>#NAME?</v>
      </c>
      <c r="CP1439" s="32" t="e">
        <f ca="1"/>
        <v>#NAME?</v>
      </c>
      <c r="CQ1439" s="32" t="e">
        <f ca="1"/>
        <v>#NAME?</v>
      </c>
      <c r="CR1439" s="30" t="e">
        <f ca="1"/>
        <v>#NAME?</v>
      </c>
      <c r="CS1439" s="30" t="str">
        <f ca="1">IFERROR(__xludf.DUMMYFUNCTION("""COMPUTED_VALUE"""),"")</f>
        <v/>
      </c>
    </row>
    <row r="1440" spans="1:97" ht="13">
      <c r="A1440" s="29"/>
      <c r="C1440" s="32"/>
      <c r="I1440" s="34"/>
      <c r="BP1440" s="29"/>
      <c r="CD1440" s="29"/>
      <c r="CJ1440" s="29"/>
      <c r="CM1440" s="30" t="str">
        <f ca="1">IFERROR(__xludf.DUMMYFUNCTION("""COMPUTED_VALUE"""),"")</f>
        <v/>
      </c>
      <c r="CN1440" s="32" t="e">
        <f ca="1"/>
        <v>#NAME?</v>
      </c>
      <c r="CO1440" s="32" t="e">
        <f ca="1"/>
        <v>#NAME?</v>
      </c>
      <c r="CP1440" s="32" t="e">
        <f ca="1"/>
        <v>#NAME?</v>
      </c>
      <c r="CQ1440" s="32" t="e">
        <f ca="1"/>
        <v>#NAME?</v>
      </c>
      <c r="CR1440" s="30" t="e">
        <f ca="1"/>
        <v>#NAME?</v>
      </c>
      <c r="CS1440" s="30" t="str">
        <f ca="1">IFERROR(__xludf.DUMMYFUNCTION("""COMPUTED_VALUE"""),"")</f>
        <v/>
      </c>
    </row>
    <row r="1441" spans="1:97" ht="13">
      <c r="A1441" s="29"/>
      <c r="C1441" s="32"/>
      <c r="I1441" s="34"/>
      <c r="BP1441" s="29"/>
      <c r="CD1441" s="29"/>
      <c r="CJ1441" s="29"/>
      <c r="CM1441" s="30" t="str">
        <f ca="1">IFERROR(__xludf.DUMMYFUNCTION("""COMPUTED_VALUE"""),"")</f>
        <v/>
      </c>
      <c r="CN1441" s="32" t="e">
        <f ca="1"/>
        <v>#NAME?</v>
      </c>
      <c r="CO1441" s="32" t="e">
        <f ca="1"/>
        <v>#NAME?</v>
      </c>
      <c r="CP1441" s="32" t="e">
        <f ca="1"/>
        <v>#NAME?</v>
      </c>
      <c r="CQ1441" s="32" t="e">
        <f ca="1"/>
        <v>#NAME?</v>
      </c>
      <c r="CR1441" s="30" t="e">
        <f ca="1"/>
        <v>#NAME?</v>
      </c>
      <c r="CS1441" s="30" t="str">
        <f ca="1">IFERROR(__xludf.DUMMYFUNCTION("""COMPUTED_VALUE"""),"")</f>
        <v/>
      </c>
    </row>
    <row r="1442" spans="1:97" ht="13">
      <c r="A1442" s="29"/>
      <c r="C1442" s="32"/>
      <c r="I1442" s="34"/>
      <c r="BP1442" s="29"/>
      <c r="CD1442" s="29"/>
      <c r="CJ1442" s="29"/>
      <c r="CM1442" s="30" t="str">
        <f ca="1">IFERROR(__xludf.DUMMYFUNCTION("""COMPUTED_VALUE"""),"")</f>
        <v/>
      </c>
      <c r="CN1442" s="32" t="e">
        <f ca="1"/>
        <v>#NAME?</v>
      </c>
      <c r="CO1442" s="32" t="e">
        <f ca="1"/>
        <v>#NAME?</v>
      </c>
      <c r="CP1442" s="32" t="e">
        <f ca="1"/>
        <v>#NAME?</v>
      </c>
      <c r="CQ1442" s="32" t="e">
        <f ca="1"/>
        <v>#NAME?</v>
      </c>
      <c r="CR1442" s="30" t="e">
        <f ca="1"/>
        <v>#NAME?</v>
      </c>
      <c r="CS1442" s="30" t="str">
        <f ca="1">IFERROR(__xludf.DUMMYFUNCTION("""COMPUTED_VALUE"""),"")</f>
        <v/>
      </c>
    </row>
    <row r="1443" spans="1:97" ht="13">
      <c r="A1443" s="29"/>
      <c r="C1443" s="32"/>
      <c r="I1443" s="34"/>
      <c r="BP1443" s="29"/>
      <c r="CD1443" s="29"/>
      <c r="CJ1443" s="29"/>
      <c r="CM1443" s="30" t="str">
        <f ca="1">IFERROR(__xludf.DUMMYFUNCTION("""COMPUTED_VALUE"""),"")</f>
        <v/>
      </c>
      <c r="CN1443" s="32" t="e">
        <f ca="1"/>
        <v>#NAME?</v>
      </c>
      <c r="CO1443" s="32" t="e">
        <f ca="1"/>
        <v>#NAME?</v>
      </c>
      <c r="CP1443" s="32" t="e">
        <f ca="1"/>
        <v>#NAME?</v>
      </c>
      <c r="CQ1443" s="32" t="e">
        <f ca="1"/>
        <v>#NAME?</v>
      </c>
      <c r="CR1443" s="30" t="e">
        <f ca="1"/>
        <v>#NAME?</v>
      </c>
      <c r="CS1443" s="30" t="str">
        <f ca="1">IFERROR(__xludf.DUMMYFUNCTION("""COMPUTED_VALUE"""),"")</f>
        <v/>
      </c>
    </row>
    <row r="1444" spans="1:97" ht="13">
      <c r="A1444" s="29"/>
      <c r="C1444" s="32"/>
      <c r="I1444" s="34"/>
      <c r="BP1444" s="29"/>
      <c r="CD1444" s="29"/>
      <c r="CJ1444" s="29"/>
      <c r="CM1444" s="30" t="str">
        <f ca="1">IFERROR(__xludf.DUMMYFUNCTION("""COMPUTED_VALUE"""),"")</f>
        <v/>
      </c>
      <c r="CN1444" s="32" t="e">
        <f ca="1"/>
        <v>#NAME?</v>
      </c>
      <c r="CO1444" s="32" t="e">
        <f ca="1"/>
        <v>#NAME?</v>
      </c>
      <c r="CP1444" s="32" t="e">
        <f ca="1"/>
        <v>#NAME?</v>
      </c>
      <c r="CQ1444" s="32" t="e">
        <f ca="1"/>
        <v>#NAME?</v>
      </c>
      <c r="CR1444" s="30" t="e">
        <f ca="1"/>
        <v>#NAME?</v>
      </c>
      <c r="CS1444" s="30" t="str">
        <f ca="1">IFERROR(__xludf.DUMMYFUNCTION("""COMPUTED_VALUE"""),"")</f>
        <v/>
      </c>
    </row>
    <row r="1445" spans="1:97" ht="13">
      <c r="A1445" s="29"/>
      <c r="C1445" s="32"/>
      <c r="I1445" s="34"/>
      <c r="BP1445" s="29"/>
      <c r="CD1445" s="29"/>
      <c r="CJ1445" s="29"/>
      <c r="CM1445" s="30" t="str">
        <f ca="1">IFERROR(__xludf.DUMMYFUNCTION("""COMPUTED_VALUE"""),"")</f>
        <v/>
      </c>
      <c r="CN1445" s="32" t="e">
        <f ca="1"/>
        <v>#NAME?</v>
      </c>
      <c r="CO1445" s="32" t="e">
        <f ca="1"/>
        <v>#NAME?</v>
      </c>
      <c r="CP1445" s="32" t="e">
        <f ca="1"/>
        <v>#NAME?</v>
      </c>
      <c r="CQ1445" s="32" t="e">
        <f ca="1"/>
        <v>#NAME?</v>
      </c>
      <c r="CR1445" s="30" t="e">
        <f ca="1"/>
        <v>#NAME?</v>
      </c>
      <c r="CS1445" s="30" t="str">
        <f ca="1">IFERROR(__xludf.DUMMYFUNCTION("""COMPUTED_VALUE"""),"")</f>
        <v/>
      </c>
    </row>
    <row r="1446" spans="1:97" ht="13">
      <c r="A1446" s="29"/>
      <c r="C1446" s="32"/>
      <c r="I1446" s="34"/>
      <c r="BP1446" s="29"/>
      <c r="CD1446" s="29"/>
      <c r="CJ1446" s="29"/>
      <c r="CM1446" s="30" t="str">
        <f ca="1">IFERROR(__xludf.DUMMYFUNCTION("""COMPUTED_VALUE"""),"")</f>
        <v/>
      </c>
      <c r="CN1446" s="32" t="e">
        <f ca="1"/>
        <v>#NAME?</v>
      </c>
      <c r="CO1446" s="32" t="e">
        <f ca="1"/>
        <v>#NAME?</v>
      </c>
      <c r="CP1446" s="32" t="e">
        <f ca="1"/>
        <v>#NAME?</v>
      </c>
      <c r="CQ1446" s="32" t="e">
        <f ca="1"/>
        <v>#NAME?</v>
      </c>
      <c r="CR1446" s="30" t="e">
        <f ca="1"/>
        <v>#NAME?</v>
      </c>
      <c r="CS1446" s="30" t="str">
        <f ca="1">IFERROR(__xludf.DUMMYFUNCTION("""COMPUTED_VALUE"""),"")</f>
        <v/>
      </c>
    </row>
    <row r="1447" spans="1:97" ht="13">
      <c r="A1447" s="29"/>
      <c r="C1447" s="32"/>
      <c r="I1447" s="34"/>
      <c r="BP1447" s="29"/>
      <c r="CD1447" s="29"/>
      <c r="CJ1447" s="29"/>
      <c r="CM1447" s="30" t="str">
        <f ca="1">IFERROR(__xludf.DUMMYFUNCTION("""COMPUTED_VALUE"""),"")</f>
        <v/>
      </c>
      <c r="CN1447" s="32" t="e">
        <f ca="1"/>
        <v>#NAME?</v>
      </c>
      <c r="CO1447" s="32" t="e">
        <f ca="1"/>
        <v>#NAME?</v>
      </c>
      <c r="CP1447" s="32" t="e">
        <f ca="1"/>
        <v>#NAME?</v>
      </c>
      <c r="CQ1447" s="32" t="e">
        <f ca="1"/>
        <v>#NAME?</v>
      </c>
      <c r="CR1447" s="30" t="e">
        <f ca="1"/>
        <v>#NAME?</v>
      </c>
      <c r="CS1447" s="30" t="str">
        <f ca="1">IFERROR(__xludf.DUMMYFUNCTION("""COMPUTED_VALUE"""),"")</f>
        <v/>
      </c>
    </row>
    <row r="1448" spans="1:97" ht="13">
      <c r="A1448" s="29"/>
      <c r="C1448" s="32"/>
      <c r="I1448" s="34"/>
      <c r="BP1448" s="29"/>
      <c r="CD1448" s="29"/>
      <c r="CJ1448" s="29"/>
      <c r="CM1448" s="30" t="str">
        <f ca="1">IFERROR(__xludf.DUMMYFUNCTION("""COMPUTED_VALUE"""),"")</f>
        <v/>
      </c>
      <c r="CN1448" s="32" t="e">
        <f ca="1"/>
        <v>#NAME?</v>
      </c>
      <c r="CO1448" s="32" t="e">
        <f ca="1"/>
        <v>#NAME?</v>
      </c>
      <c r="CP1448" s="32" t="e">
        <f ca="1"/>
        <v>#NAME?</v>
      </c>
      <c r="CQ1448" s="32" t="e">
        <f ca="1"/>
        <v>#NAME?</v>
      </c>
      <c r="CR1448" s="30" t="e">
        <f ca="1"/>
        <v>#NAME?</v>
      </c>
      <c r="CS1448" s="30" t="str">
        <f ca="1">IFERROR(__xludf.DUMMYFUNCTION("""COMPUTED_VALUE"""),"")</f>
        <v/>
      </c>
    </row>
    <row r="1449" spans="1:97" ht="13">
      <c r="A1449" s="29"/>
      <c r="C1449" s="32"/>
      <c r="I1449" s="34"/>
      <c r="BP1449" s="29"/>
      <c r="CD1449" s="29"/>
      <c r="CJ1449" s="29"/>
      <c r="CM1449" s="30" t="str">
        <f ca="1">IFERROR(__xludf.DUMMYFUNCTION("""COMPUTED_VALUE"""),"")</f>
        <v/>
      </c>
      <c r="CN1449" s="32" t="e">
        <f ca="1"/>
        <v>#NAME?</v>
      </c>
      <c r="CO1449" s="32" t="e">
        <f ca="1"/>
        <v>#NAME?</v>
      </c>
      <c r="CP1449" s="32" t="e">
        <f ca="1"/>
        <v>#NAME?</v>
      </c>
      <c r="CQ1449" s="32" t="e">
        <f ca="1"/>
        <v>#NAME?</v>
      </c>
      <c r="CR1449" s="30" t="e">
        <f ca="1"/>
        <v>#NAME?</v>
      </c>
      <c r="CS1449" s="30" t="str">
        <f ca="1">IFERROR(__xludf.DUMMYFUNCTION("""COMPUTED_VALUE"""),"")</f>
        <v/>
      </c>
    </row>
    <row r="1450" spans="1:97" ht="13">
      <c r="A1450" s="29"/>
      <c r="C1450" s="32"/>
      <c r="I1450" s="34"/>
      <c r="BP1450" s="29"/>
      <c r="CD1450" s="29"/>
      <c r="CJ1450" s="29"/>
      <c r="CM1450" s="30" t="str">
        <f ca="1">IFERROR(__xludf.DUMMYFUNCTION("""COMPUTED_VALUE"""),"")</f>
        <v/>
      </c>
      <c r="CN1450" s="32" t="e">
        <f ca="1"/>
        <v>#NAME?</v>
      </c>
      <c r="CO1450" s="32" t="e">
        <f ca="1"/>
        <v>#NAME?</v>
      </c>
      <c r="CP1450" s="32" t="e">
        <f ca="1"/>
        <v>#NAME?</v>
      </c>
      <c r="CQ1450" s="32" t="e">
        <f ca="1"/>
        <v>#NAME?</v>
      </c>
      <c r="CR1450" s="30" t="e">
        <f ca="1"/>
        <v>#NAME?</v>
      </c>
      <c r="CS1450" s="30" t="str">
        <f ca="1">IFERROR(__xludf.DUMMYFUNCTION("""COMPUTED_VALUE"""),"")</f>
        <v/>
      </c>
    </row>
    <row r="1451" spans="1:97" ht="13">
      <c r="A1451" s="29"/>
      <c r="C1451" s="32"/>
      <c r="I1451" s="34"/>
      <c r="BP1451" s="29"/>
      <c r="CD1451" s="29"/>
      <c r="CJ1451" s="29"/>
      <c r="CM1451" s="30" t="str">
        <f ca="1">IFERROR(__xludf.DUMMYFUNCTION("""COMPUTED_VALUE"""),"")</f>
        <v/>
      </c>
      <c r="CN1451" s="32" t="e">
        <f ca="1"/>
        <v>#NAME?</v>
      </c>
      <c r="CO1451" s="32" t="e">
        <f ca="1"/>
        <v>#NAME?</v>
      </c>
      <c r="CP1451" s="32" t="e">
        <f ca="1"/>
        <v>#NAME?</v>
      </c>
      <c r="CQ1451" s="32" t="e">
        <f ca="1"/>
        <v>#NAME?</v>
      </c>
      <c r="CR1451" s="30" t="e">
        <f ca="1"/>
        <v>#NAME?</v>
      </c>
      <c r="CS1451" s="30" t="str">
        <f ca="1">IFERROR(__xludf.DUMMYFUNCTION("""COMPUTED_VALUE"""),"")</f>
        <v/>
      </c>
    </row>
    <row r="1452" spans="1:97" ht="13">
      <c r="A1452" s="29"/>
      <c r="C1452" s="32"/>
      <c r="I1452" s="34"/>
      <c r="BP1452" s="29"/>
      <c r="CD1452" s="29"/>
      <c r="CJ1452" s="29"/>
      <c r="CM1452" s="30" t="str">
        <f ca="1">IFERROR(__xludf.DUMMYFUNCTION("""COMPUTED_VALUE"""),"")</f>
        <v/>
      </c>
      <c r="CN1452" s="32" t="e">
        <f ca="1"/>
        <v>#NAME?</v>
      </c>
      <c r="CO1452" s="32" t="e">
        <f ca="1"/>
        <v>#NAME?</v>
      </c>
      <c r="CP1452" s="32" t="e">
        <f ca="1"/>
        <v>#NAME?</v>
      </c>
      <c r="CQ1452" s="32" t="e">
        <f ca="1"/>
        <v>#NAME?</v>
      </c>
      <c r="CR1452" s="30" t="e">
        <f ca="1"/>
        <v>#NAME?</v>
      </c>
      <c r="CS1452" s="30" t="str">
        <f ca="1">IFERROR(__xludf.DUMMYFUNCTION("""COMPUTED_VALUE"""),"")</f>
        <v/>
      </c>
    </row>
    <row r="1453" spans="1:97" ht="13">
      <c r="A1453" s="29"/>
      <c r="C1453" s="32"/>
      <c r="I1453" s="34"/>
      <c r="BP1453" s="29"/>
      <c r="CD1453" s="29"/>
      <c r="CJ1453" s="29"/>
      <c r="CM1453" s="30" t="str">
        <f ca="1">IFERROR(__xludf.DUMMYFUNCTION("""COMPUTED_VALUE"""),"")</f>
        <v/>
      </c>
      <c r="CN1453" s="32" t="e">
        <f ca="1"/>
        <v>#NAME?</v>
      </c>
      <c r="CO1453" s="32" t="e">
        <f ca="1"/>
        <v>#NAME?</v>
      </c>
      <c r="CP1453" s="32" t="e">
        <f ca="1"/>
        <v>#NAME?</v>
      </c>
      <c r="CQ1453" s="32" t="e">
        <f ca="1"/>
        <v>#NAME?</v>
      </c>
      <c r="CR1453" s="30" t="e">
        <f ca="1"/>
        <v>#NAME?</v>
      </c>
      <c r="CS1453" s="30" t="str">
        <f ca="1">IFERROR(__xludf.DUMMYFUNCTION("""COMPUTED_VALUE"""),"")</f>
        <v/>
      </c>
    </row>
    <row r="1454" spans="1:97" ht="13">
      <c r="A1454" s="29"/>
      <c r="C1454" s="32"/>
      <c r="I1454" s="34"/>
      <c r="BP1454" s="29"/>
      <c r="CD1454" s="29"/>
      <c r="CJ1454" s="29"/>
      <c r="CM1454" s="30" t="str">
        <f ca="1">IFERROR(__xludf.DUMMYFUNCTION("""COMPUTED_VALUE"""),"")</f>
        <v/>
      </c>
      <c r="CN1454" s="32" t="e">
        <f ca="1"/>
        <v>#NAME?</v>
      </c>
      <c r="CO1454" s="32" t="e">
        <f ca="1"/>
        <v>#NAME?</v>
      </c>
      <c r="CP1454" s="32" t="e">
        <f ca="1"/>
        <v>#NAME?</v>
      </c>
      <c r="CQ1454" s="32" t="e">
        <f ca="1"/>
        <v>#NAME?</v>
      </c>
      <c r="CR1454" s="30" t="e">
        <f ca="1"/>
        <v>#NAME?</v>
      </c>
      <c r="CS1454" s="30" t="str">
        <f ca="1">IFERROR(__xludf.DUMMYFUNCTION("""COMPUTED_VALUE"""),"")</f>
        <v/>
      </c>
    </row>
    <row r="1455" spans="1:97" ht="13">
      <c r="A1455" s="29"/>
      <c r="C1455" s="32"/>
      <c r="I1455" s="34"/>
      <c r="BP1455" s="29"/>
      <c r="CD1455" s="29"/>
      <c r="CJ1455" s="29"/>
      <c r="CM1455" s="30" t="str">
        <f ca="1">IFERROR(__xludf.DUMMYFUNCTION("""COMPUTED_VALUE"""),"")</f>
        <v/>
      </c>
      <c r="CN1455" s="32" t="e">
        <f ca="1"/>
        <v>#NAME?</v>
      </c>
      <c r="CO1455" s="32" t="e">
        <f ca="1"/>
        <v>#NAME?</v>
      </c>
      <c r="CP1455" s="32" t="e">
        <f ca="1"/>
        <v>#NAME?</v>
      </c>
      <c r="CQ1455" s="32" t="e">
        <f ca="1"/>
        <v>#NAME?</v>
      </c>
      <c r="CR1455" s="30" t="e">
        <f ca="1"/>
        <v>#NAME?</v>
      </c>
      <c r="CS1455" s="30" t="str">
        <f ca="1">IFERROR(__xludf.DUMMYFUNCTION("""COMPUTED_VALUE"""),"")</f>
        <v/>
      </c>
    </row>
    <row r="1456" spans="1:97" ht="13">
      <c r="A1456" s="29"/>
      <c r="C1456" s="32"/>
      <c r="I1456" s="34"/>
      <c r="BP1456" s="29"/>
      <c r="CD1456" s="29"/>
      <c r="CJ1456" s="29"/>
      <c r="CM1456" s="30" t="str">
        <f ca="1">IFERROR(__xludf.DUMMYFUNCTION("""COMPUTED_VALUE"""),"")</f>
        <v/>
      </c>
      <c r="CN1456" s="32" t="e">
        <f ca="1"/>
        <v>#NAME?</v>
      </c>
      <c r="CO1456" s="32" t="e">
        <f ca="1"/>
        <v>#NAME?</v>
      </c>
      <c r="CP1456" s="32" t="e">
        <f ca="1"/>
        <v>#NAME?</v>
      </c>
      <c r="CQ1456" s="32" t="e">
        <f ca="1"/>
        <v>#NAME?</v>
      </c>
      <c r="CR1456" s="30" t="e">
        <f ca="1"/>
        <v>#NAME?</v>
      </c>
      <c r="CS1456" s="30" t="str">
        <f ca="1">IFERROR(__xludf.DUMMYFUNCTION("""COMPUTED_VALUE"""),"")</f>
        <v/>
      </c>
    </row>
    <row r="1457" spans="1:97" ht="13">
      <c r="A1457" s="29"/>
      <c r="C1457" s="32"/>
      <c r="I1457" s="34"/>
      <c r="BP1457" s="29"/>
      <c r="CD1457" s="29"/>
      <c r="CJ1457" s="29"/>
      <c r="CM1457" s="30" t="str">
        <f ca="1">IFERROR(__xludf.DUMMYFUNCTION("""COMPUTED_VALUE"""),"")</f>
        <v/>
      </c>
      <c r="CN1457" s="32" t="e">
        <f ca="1"/>
        <v>#NAME?</v>
      </c>
      <c r="CO1457" s="32" t="e">
        <f ca="1"/>
        <v>#NAME?</v>
      </c>
      <c r="CP1457" s="32" t="e">
        <f ca="1"/>
        <v>#NAME?</v>
      </c>
      <c r="CQ1457" s="32" t="e">
        <f ca="1"/>
        <v>#NAME?</v>
      </c>
      <c r="CR1457" s="30" t="e">
        <f ca="1"/>
        <v>#NAME?</v>
      </c>
      <c r="CS1457" s="30" t="str">
        <f ca="1">IFERROR(__xludf.DUMMYFUNCTION("""COMPUTED_VALUE"""),"")</f>
        <v/>
      </c>
    </row>
    <row r="1458" spans="1:97" ht="13">
      <c r="A1458" s="29"/>
      <c r="C1458" s="32"/>
      <c r="I1458" s="34"/>
      <c r="BP1458" s="29"/>
      <c r="CD1458" s="29"/>
      <c r="CJ1458" s="29"/>
      <c r="CM1458" s="30" t="str">
        <f ca="1">IFERROR(__xludf.DUMMYFUNCTION("""COMPUTED_VALUE"""),"")</f>
        <v/>
      </c>
      <c r="CN1458" s="32" t="e">
        <f ca="1"/>
        <v>#NAME?</v>
      </c>
      <c r="CO1458" s="32" t="e">
        <f ca="1"/>
        <v>#NAME?</v>
      </c>
      <c r="CP1458" s="32" t="e">
        <f ca="1"/>
        <v>#NAME?</v>
      </c>
      <c r="CQ1458" s="32" t="e">
        <f ca="1"/>
        <v>#NAME?</v>
      </c>
      <c r="CR1458" s="30" t="e">
        <f ca="1"/>
        <v>#NAME?</v>
      </c>
      <c r="CS1458" s="30" t="str">
        <f ca="1">IFERROR(__xludf.DUMMYFUNCTION("""COMPUTED_VALUE"""),"")</f>
        <v/>
      </c>
    </row>
    <row r="1459" spans="1:97" ht="13">
      <c r="A1459" s="29"/>
      <c r="C1459" s="32"/>
      <c r="I1459" s="34"/>
      <c r="BP1459" s="29"/>
      <c r="CD1459" s="29"/>
      <c r="CJ1459" s="29"/>
      <c r="CM1459" s="30" t="str">
        <f ca="1">IFERROR(__xludf.DUMMYFUNCTION("""COMPUTED_VALUE"""),"")</f>
        <v/>
      </c>
      <c r="CN1459" s="32" t="e">
        <f ca="1"/>
        <v>#NAME?</v>
      </c>
      <c r="CO1459" s="32" t="e">
        <f ca="1"/>
        <v>#NAME?</v>
      </c>
      <c r="CP1459" s="32" t="e">
        <f ca="1"/>
        <v>#NAME?</v>
      </c>
      <c r="CQ1459" s="32" t="e">
        <f ca="1"/>
        <v>#NAME?</v>
      </c>
      <c r="CR1459" s="30" t="e">
        <f ca="1"/>
        <v>#NAME?</v>
      </c>
      <c r="CS1459" s="30" t="str">
        <f ca="1">IFERROR(__xludf.DUMMYFUNCTION("""COMPUTED_VALUE"""),"")</f>
        <v/>
      </c>
    </row>
    <row r="1460" spans="1:97" ht="13">
      <c r="A1460" s="29"/>
      <c r="C1460" s="32"/>
      <c r="I1460" s="34"/>
      <c r="BP1460" s="29"/>
      <c r="CD1460" s="29"/>
      <c r="CJ1460" s="29"/>
      <c r="CM1460" s="30" t="str">
        <f ca="1">IFERROR(__xludf.DUMMYFUNCTION("""COMPUTED_VALUE"""),"")</f>
        <v/>
      </c>
      <c r="CN1460" s="32" t="e">
        <f ca="1"/>
        <v>#NAME?</v>
      </c>
      <c r="CO1460" s="32" t="e">
        <f ca="1"/>
        <v>#NAME?</v>
      </c>
      <c r="CP1460" s="32" t="e">
        <f ca="1"/>
        <v>#NAME?</v>
      </c>
      <c r="CQ1460" s="32" t="e">
        <f ca="1"/>
        <v>#NAME?</v>
      </c>
      <c r="CR1460" s="30" t="e">
        <f ca="1"/>
        <v>#NAME?</v>
      </c>
      <c r="CS1460" s="30" t="str">
        <f ca="1">IFERROR(__xludf.DUMMYFUNCTION("""COMPUTED_VALUE"""),"")</f>
        <v/>
      </c>
    </row>
    <row r="1461" spans="1:97" ht="13">
      <c r="A1461" s="29"/>
      <c r="C1461" s="32"/>
      <c r="I1461" s="34"/>
      <c r="BP1461" s="29"/>
      <c r="CD1461" s="29"/>
      <c r="CJ1461" s="29"/>
      <c r="CM1461" s="30" t="str">
        <f ca="1">IFERROR(__xludf.DUMMYFUNCTION("""COMPUTED_VALUE"""),"")</f>
        <v/>
      </c>
      <c r="CN1461" s="32" t="e">
        <f ca="1"/>
        <v>#NAME?</v>
      </c>
      <c r="CO1461" s="32" t="e">
        <f ca="1"/>
        <v>#NAME?</v>
      </c>
      <c r="CP1461" s="32" t="e">
        <f ca="1"/>
        <v>#NAME?</v>
      </c>
      <c r="CQ1461" s="32" t="e">
        <f ca="1"/>
        <v>#NAME?</v>
      </c>
      <c r="CR1461" s="30" t="e">
        <f ca="1"/>
        <v>#NAME?</v>
      </c>
      <c r="CS1461" s="30" t="str">
        <f ca="1">IFERROR(__xludf.DUMMYFUNCTION("""COMPUTED_VALUE"""),"")</f>
        <v/>
      </c>
    </row>
    <row r="1462" spans="1:97" ht="13">
      <c r="A1462" s="29"/>
      <c r="C1462" s="32"/>
      <c r="I1462" s="34"/>
      <c r="BP1462" s="29"/>
      <c r="CD1462" s="29"/>
      <c r="CJ1462" s="29"/>
      <c r="CM1462" s="30" t="str">
        <f ca="1">IFERROR(__xludf.DUMMYFUNCTION("""COMPUTED_VALUE"""),"")</f>
        <v/>
      </c>
      <c r="CN1462" s="32" t="e">
        <f ca="1"/>
        <v>#NAME?</v>
      </c>
      <c r="CO1462" s="32" t="e">
        <f ca="1"/>
        <v>#NAME?</v>
      </c>
      <c r="CP1462" s="32" t="e">
        <f ca="1"/>
        <v>#NAME?</v>
      </c>
      <c r="CQ1462" s="32" t="e">
        <f ca="1"/>
        <v>#NAME?</v>
      </c>
      <c r="CR1462" s="30" t="e">
        <f ca="1"/>
        <v>#NAME?</v>
      </c>
      <c r="CS1462" s="30" t="str">
        <f ca="1">IFERROR(__xludf.DUMMYFUNCTION("""COMPUTED_VALUE"""),"")</f>
        <v/>
      </c>
    </row>
    <row r="1463" spans="1:97" ht="13">
      <c r="A1463" s="29"/>
      <c r="C1463" s="32"/>
      <c r="I1463" s="34"/>
      <c r="BP1463" s="29"/>
      <c r="CD1463" s="29"/>
      <c r="CJ1463" s="29"/>
      <c r="CM1463" s="30" t="str">
        <f ca="1">IFERROR(__xludf.DUMMYFUNCTION("""COMPUTED_VALUE"""),"")</f>
        <v/>
      </c>
      <c r="CN1463" s="32" t="e">
        <f ca="1"/>
        <v>#NAME?</v>
      </c>
      <c r="CO1463" s="32" t="e">
        <f ca="1"/>
        <v>#NAME?</v>
      </c>
      <c r="CP1463" s="32" t="e">
        <f ca="1"/>
        <v>#NAME?</v>
      </c>
      <c r="CQ1463" s="32" t="e">
        <f ca="1"/>
        <v>#NAME?</v>
      </c>
      <c r="CR1463" s="30" t="e">
        <f ca="1"/>
        <v>#NAME?</v>
      </c>
      <c r="CS1463" s="30" t="str">
        <f ca="1">IFERROR(__xludf.DUMMYFUNCTION("""COMPUTED_VALUE"""),"")</f>
        <v/>
      </c>
    </row>
    <row r="1464" spans="1:97" ht="13">
      <c r="A1464" s="29"/>
      <c r="C1464" s="32"/>
      <c r="I1464" s="34"/>
      <c r="BP1464" s="29"/>
      <c r="CD1464" s="29"/>
      <c r="CJ1464" s="29"/>
      <c r="CM1464" s="30" t="str">
        <f ca="1">IFERROR(__xludf.DUMMYFUNCTION("""COMPUTED_VALUE"""),"")</f>
        <v/>
      </c>
      <c r="CN1464" s="32" t="e">
        <f ca="1"/>
        <v>#NAME?</v>
      </c>
      <c r="CO1464" s="32" t="e">
        <f ca="1"/>
        <v>#NAME?</v>
      </c>
      <c r="CP1464" s="32" t="e">
        <f ca="1"/>
        <v>#NAME?</v>
      </c>
      <c r="CQ1464" s="32" t="e">
        <f ca="1"/>
        <v>#NAME?</v>
      </c>
      <c r="CR1464" s="30" t="e">
        <f ca="1"/>
        <v>#NAME?</v>
      </c>
      <c r="CS1464" s="30" t="str">
        <f ca="1">IFERROR(__xludf.DUMMYFUNCTION("""COMPUTED_VALUE"""),"")</f>
        <v/>
      </c>
    </row>
    <row r="1465" spans="1:97" ht="13">
      <c r="A1465" s="29"/>
      <c r="C1465" s="32"/>
      <c r="I1465" s="34"/>
      <c r="BP1465" s="29"/>
      <c r="CD1465" s="29"/>
      <c r="CJ1465" s="29"/>
      <c r="CM1465" s="30" t="str">
        <f ca="1">IFERROR(__xludf.DUMMYFUNCTION("""COMPUTED_VALUE"""),"")</f>
        <v/>
      </c>
      <c r="CN1465" s="32" t="e">
        <f ca="1"/>
        <v>#NAME?</v>
      </c>
      <c r="CO1465" s="32" t="e">
        <f ca="1"/>
        <v>#NAME?</v>
      </c>
      <c r="CP1465" s="32" t="e">
        <f ca="1"/>
        <v>#NAME?</v>
      </c>
      <c r="CQ1465" s="32" t="e">
        <f ca="1"/>
        <v>#NAME?</v>
      </c>
      <c r="CR1465" s="30" t="e">
        <f ca="1"/>
        <v>#NAME?</v>
      </c>
      <c r="CS1465" s="30" t="str">
        <f ca="1">IFERROR(__xludf.DUMMYFUNCTION("""COMPUTED_VALUE"""),"")</f>
        <v/>
      </c>
    </row>
    <row r="1466" spans="1:97" ht="13">
      <c r="A1466" s="29"/>
      <c r="C1466" s="32"/>
      <c r="I1466" s="34"/>
      <c r="BP1466" s="29"/>
      <c r="CD1466" s="29"/>
      <c r="CJ1466" s="29"/>
      <c r="CM1466" s="30" t="str">
        <f ca="1">IFERROR(__xludf.DUMMYFUNCTION("""COMPUTED_VALUE"""),"")</f>
        <v/>
      </c>
      <c r="CN1466" s="32" t="e">
        <f ca="1"/>
        <v>#NAME?</v>
      </c>
      <c r="CO1466" s="32" t="e">
        <f ca="1"/>
        <v>#NAME?</v>
      </c>
      <c r="CP1466" s="32" t="e">
        <f ca="1"/>
        <v>#NAME?</v>
      </c>
      <c r="CQ1466" s="32" t="e">
        <f ca="1"/>
        <v>#NAME?</v>
      </c>
      <c r="CR1466" s="30" t="e">
        <f ca="1"/>
        <v>#NAME?</v>
      </c>
      <c r="CS1466" s="30" t="str">
        <f ca="1">IFERROR(__xludf.DUMMYFUNCTION("""COMPUTED_VALUE"""),"")</f>
        <v/>
      </c>
    </row>
    <row r="1467" spans="1:97" ht="13">
      <c r="A1467" s="29"/>
      <c r="C1467" s="32"/>
      <c r="I1467" s="34"/>
      <c r="BP1467" s="29"/>
      <c r="CD1467" s="29"/>
      <c r="CJ1467" s="29"/>
      <c r="CM1467" s="30" t="str">
        <f ca="1">IFERROR(__xludf.DUMMYFUNCTION("""COMPUTED_VALUE"""),"")</f>
        <v/>
      </c>
      <c r="CN1467" s="32" t="e">
        <f ca="1"/>
        <v>#NAME?</v>
      </c>
      <c r="CO1467" s="32" t="e">
        <f ca="1"/>
        <v>#NAME?</v>
      </c>
      <c r="CP1467" s="32" t="e">
        <f ca="1"/>
        <v>#NAME?</v>
      </c>
      <c r="CQ1467" s="32" t="e">
        <f ca="1"/>
        <v>#NAME?</v>
      </c>
      <c r="CR1467" s="30" t="e">
        <f ca="1"/>
        <v>#NAME?</v>
      </c>
      <c r="CS1467" s="30" t="str">
        <f ca="1">IFERROR(__xludf.DUMMYFUNCTION("""COMPUTED_VALUE"""),"")</f>
        <v/>
      </c>
    </row>
    <row r="1468" spans="1:97" ht="13">
      <c r="A1468" s="29"/>
      <c r="C1468" s="32"/>
      <c r="I1468" s="34"/>
      <c r="BP1468" s="29"/>
      <c r="CD1468" s="29"/>
      <c r="CJ1468" s="29"/>
      <c r="CM1468" s="30" t="str">
        <f ca="1">IFERROR(__xludf.DUMMYFUNCTION("""COMPUTED_VALUE"""),"")</f>
        <v/>
      </c>
      <c r="CN1468" s="32" t="e">
        <f ca="1"/>
        <v>#NAME?</v>
      </c>
      <c r="CO1468" s="32" t="e">
        <f ca="1"/>
        <v>#NAME?</v>
      </c>
      <c r="CP1468" s="32" t="e">
        <f ca="1"/>
        <v>#NAME?</v>
      </c>
      <c r="CQ1468" s="32" t="e">
        <f ca="1"/>
        <v>#NAME?</v>
      </c>
      <c r="CR1468" s="30" t="e">
        <f ca="1"/>
        <v>#NAME?</v>
      </c>
      <c r="CS1468" s="30" t="str">
        <f ca="1">IFERROR(__xludf.DUMMYFUNCTION("""COMPUTED_VALUE"""),"")</f>
        <v/>
      </c>
    </row>
    <row r="1469" spans="1:97" ht="13">
      <c r="A1469" s="29"/>
      <c r="C1469" s="32"/>
      <c r="I1469" s="34"/>
      <c r="BP1469" s="29"/>
      <c r="CD1469" s="29"/>
      <c r="CJ1469" s="29"/>
      <c r="CM1469" s="30" t="str">
        <f ca="1">IFERROR(__xludf.DUMMYFUNCTION("""COMPUTED_VALUE"""),"")</f>
        <v/>
      </c>
      <c r="CN1469" s="32" t="e">
        <f ca="1"/>
        <v>#NAME?</v>
      </c>
      <c r="CO1469" s="32" t="e">
        <f ca="1"/>
        <v>#NAME?</v>
      </c>
      <c r="CP1469" s="32" t="e">
        <f ca="1"/>
        <v>#NAME?</v>
      </c>
      <c r="CQ1469" s="32" t="e">
        <f ca="1"/>
        <v>#NAME?</v>
      </c>
      <c r="CR1469" s="30" t="e">
        <f ca="1"/>
        <v>#NAME?</v>
      </c>
      <c r="CS1469" s="30" t="str">
        <f ca="1">IFERROR(__xludf.DUMMYFUNCTION("""COMPUTED_VALUE"""),"")</f>
        <v/>
      </c>
    </row>
    <row r="1470" spans="1:97" ht="13">
      <c r="A1470" s="29"/>
      <c r="C1470" s="32"/>
      <c r="I1470" s="34"/>
      <c r="BP1470" s="29"/>
      <c r="CD1470" s="29"/>
      <c r="CJ1470" s="29"/>
      <c r="CM1470" s="30" t="str">
        <f ca="1">IFERROR(__xludf.DUMMYFUNCTION("""COMPUTED_VALUE"""),"")</f>
        <v/>
      </c>
      <c r="CN1470" s="32" t="e">
        <f ca="1"/>
        <v>#NAME?</v>
      </c>
      <c r="CO1470" s="32" t="e">
        <f ca="1"/>
        <v>#NAME?</v>
      </c>
      <c r="CP1470" s="32" t="e">
        <f ca="1"/>
        <v>#NAME?</v>
      </c>
      <c r="CQ1470" s="32" t="e">
        <f ca="1"/>
        <v>#NAME?</v>
      </c>
      <c r="CR1470" s="30" t="e">
        <f ca="1"/>
        <v>#NAME?</v>
      </c>
      <c r="CS1470" s="30" t="str">
        <f ca="1">IFERROR(__xludf.DUMMYFUNCTION("""COMPUTED_VALUE"""),"")</f>
        <v/>
      </c>
    </row>
    <row r="1471" spans="1:97" ht="13">
      <c r="A1471" s="29"/>
      <c r="C1471" s="32"/>
      <c r="I1471" s="34"/>
      <c r="BP1471" s="29"/>
      <c r="CD1471" s="29"/>
      <c r="CJ1471" s="29"/>
      <c r="CM1471" s="30" t="str">
        <f ca="1">IFERROR(__xludf.DUMMYFUNCTION("""COMPUTED_VALUE"""),"")</f>
        <v/>
      </c>
      <c r="CN1471" s="32" t="e">
        <f ca="1"/>
        <v>#NAME?</v>
      </c>
      <c r="CO1471" s="32" t="e">
        <f ca="1"/>
        <v>#NAME?</v>
      </c>
      <c r="CP1471" s="32" t="e">
        <f ca="1"/>
        <v>#NAME?</v>
      </c>
      <c r="CQ1471" s="32" t="e">
        <f ca="1"/>
        <v>#NAME?</v>
      </c>
      <c r="CR1471" s="30" t="e">
        <f ca="1"/>
        <v>#NAME?</v>
      </c>
      <c r="CS1471" s="30" t="str">
        <f ca="1">IFERROR(__xludf.DUMMYFUNCTION("""COMPUTED_VALUE"""),"")</f>
        <v/>
      </c>
    </row>
    <row r="1472" spans="1:97" ht="13">
      <c r="A1472" s="29"/>
      <c r="C1472" s="32"/>
      <c r="I1472" s="34"/>
      <c r="BP1472" s="29"/>
      <c r="CD1472" s="29"/>
      <c r="CJ1472" s="29"/>
      <c r="CM1472" s="30" t="str">
        <f ca="1">IFERROR(__xludf.DUMMYFUNCTION("""COMPUTED_VALUE"""),"")</f>
        <v/>
      </c>
      <c r="CN1472" s="32" t="e">
        <f ca="1"/>
        <v>#NAME?</v>
      </c>
      <c r="CO1472" s="32" t="e">
        <f ca="1"/>
        <v>#NAME?</v>
      </c>
      <c r="CP1472" s="32" t="e">
        <f ca="1"/>
        <v>#NAME?</v>
      </c>
      <c r="CQ1472" s="32" t="e">
        <f ca="1"/>
        <v>#NAME?</v>
      </c>
      <c r="CR1472" s="30" t="e">
        <f ca="1"/>
        <v>#NAME?</v>
      </c>
      <c r="CS1472" s="30" t="str">
        <f ca="1">IFERROR(__xludf.DUMMYFUNCTION("""COMPUTED_VALUE"""),"")</f>
        <v/>
      </c>
    </row>
    <row r="1473" spans="1:97" ht="13">
      <c r="A1473" s="29"/>
      <c r="C1473" s="32"/>
      <c r="I1473" s="34"/>
      <c r="BP1473" s="29"/>
      <c r="CD1473" s="29"/>
      <c r="CJ1473" s="29"/>
      <c r="CM1473" s="30" t="str">
        <f ca="1">IFERROR(__xludf.DUMMYFUNCTION("""COMPUTED_VALUE"""),"")</f>
        <v/>
      </c>
      <c r="CN1473" s="32" t="e">
        <f ca="1"/>
        <v>#NAME?</v>
      </c>
      <c r="CO1473" s="32" t="e">
        <f ca="1"/>
        <v>#NAME?</v>
      </c>
      <c r="CP1473" s="32" t="e">
        <f ca="1"/>
        <v>#NAME?</v>
      </c>
      <c r="CQ1473" s="32" t="e">
        <f ca="1"/>
        <v>#NAME?</v>
      </c>
      <c r="CR1473" s="30" t="e">
        <f ca="1"/>
        <v>#NAME?</v>
      </c>
      <c r="CS1473" s="30" t="str">
        <f ca="1">IFERROR(__xludf.DUMMYFUNCTION("""COMPUTED_VALUE"""),"")</f>
        <v/>
      </c>
    </row>
    <row r="1474" spans="1:97" ht="13">
      <c r="A1474" s="29"/>
      <c r="C1474" s="32"/>
      <c r="I1474" s="34"/>
      <c r="BP1474" s="29"/>
      <c r="CD1474" s="29"/>
      <c r="CJ1474" s="29"/>
      <c r="CM1474" s="30" t="str">
        <f ca="1">IFERROR(__xludf.DUMMYFUNCTION("""COMPUTED_VALUE"""),"")</f>
        <v/>
      </c>
      <c r="CN1474" s="32" t="e">
        <f ca="1"/>
        <v>#NAME?</v>
      </c>
      <c r="CO1474" s="32" t="e">
        <f ca="1"/>
        <v>#NAME?</v>
      </c>
      <c r="CP1474" s="32" t="e">
        <f ca="1"/>
        <v>#NAME?</v>
      </c>
      <c r="CQ1474" s="32" t="e">
        <f ca="1"/>
        <v>#NAME?</v>
      </c>
      <c r="CR1474" s="30" t="e">
        <f ca="1"/>
        <v>#NAME?</v>
      </c>
      <c r="CS1474" s="30" t="str">
        <f ca="1">IFERROR(__xludf.DUMMYFUNCTION("""COMPUTED_VALUE"""),"")</f>
        <v/>
      </c>
    </row>
    <row r="1475" spans="1:97" ht="13">
      <c r="A1475" s="29"/>
      <c r="C1475" s="32"/>
      <c r="I1475" s="34"/>
      <c r="BP1475" s="29"/>
      <c r="CD1475" s="29"/>
      <c r="CJ1475" s="29"/>
      <c r="CM1475" s="30" t="str">
        <f ca="1">IFERROR(__xludf.DUMMYFUNCTION("""COMPUTED_VALUE"""),"")</f>
        <v/>
      </c>
      <c r="CN1475" s="32" t="e">
        <f ca="1"/>
        <v>#NAME?</v>
      </c>
      <c r="CO1475" s="32" t="e">
        <f ca="1"/>
        <v>#NAME?</v>
      </c>
      <c r="CP1475" s="32" t="e">
        <f ca="1"/>
        <v>#NAME?</v>
      </c>
      <c r="CQ1475" s="32" t="e">
        <f ca="1"/>
        <v>#NAME?</v>
      </c>
      <c r="CR1475" s="30" t="e">
        <f ca="1"/>
        <v>#NAME?</v>
      </c>
      <c r="CS1475" s="30" t="str">
        <f ca="1">IFERROR(__xludf.DUMMYFUNCTION("""COMPUTED_VALUE"""),"")</f>
        <v/>
      </c>
    </row>
    <row r="1476" spans="1:97" ht="13">
      <c r="A1476" s="29"/>
      <c r="C1476" s="32"/>
      <c r="I1476" s="34"/>
      <c r="BP1476" s="29"/>
      <c r="CD1476" s="29"/>
      <c r="CJ1476" s="29"/>
      <c r="CM1476" s="30" t="str">
        <f ca="1">IFERROR(__xludf.DUMMYFUNCTION("""COMPUTED_VALUE"""),"")</f>
        <v/>
      </c>
      <c r="CN1476" s="32" t="e">
        <f ca="1"/>
        <v>#NAME?</v>
      </c>
      <c r="CO1476" s="32" t="e">
        <f ca="1"/>
        <v>#NAME?</v>
      </c>
      <c r="CP1476" s="32" t="e">
        <f ca="1"/>
        <v>#NAME?</v>
      </c>
      <c r="CQ1476" s="32" t="e">
        <f ca="1"/>
        <v>#NAME?</v>
      </c>
      <c r="CR1476" s="30" t="e">
        <f ca="1"/>
        <v>#NAME?</v>
      </c>
      <c r="CS1476" s="30" t="str">
        <f ca="1">IFERROR(__xludf.DUMMYFUNCTION("""COMPUTED_VALUE"""),"")</f>
        <v/>
      </c>
    </row>
    <row r="1477" spans="1:97" ht="13">
      <c r="A1477" s="29"/>
      <c r="C1477" s="32"/>
      <c r="I1477" s="34"/>
      <c r="BP1477" s="29"/>
      <c r="CD1477" s="29"/>
      <c r="CJ1477" s="29"/>
      <c r="CM1477" s="30" t="str">
        <f ca="1">IFERROR(__xludf.DUMMYFUNCTION("""COMPUTED_VALUE"""),"")</f>
        <v/>
      </c>
      <c r="CN1477" s="32" t="e">
        <f ca="1"/>
        <v>#NAME?</v>
      </c>
      <c r="CO1477" s="32" t="e">
        <f ca="1"/>
        <v>#NAME?</v>
      </c>
      <c r="CP1477" s="32" t="e">
        <f ca="1"/>
        <v>#NAME?</v>
      </c>
      <c r="CQ1477" s="32" t="e">
        <f ca="1"/>
        <v>#NAME?</v>
      </c>
      <c r="CR1477" s="30" t="e">
        <f ca="1"/>
        <v>#NAME?</v>
      </c>
      <c r="CS1477" s="30" t="str">
        <f ca="1">IFERROR(__xludf.DUMMYFUNCTION("""COMPUTED_VALUE"""),"")</f>
        <v/>
      </c>
    </row>
    <row r="1478" spans="1:97" ht="13">
      <c r="A1478" s="29"/>
      <c r="C1478" s="32"/>
      <c r="I1478" s="34"/>
      <c r="BP1478" s="29"/>
      <c r="CD1478" s="29"/>
      <c r="CJ1478" s="29"/>
      <c r="CM1478" s="30" t="str">
        <f ca="1">IFERROR(__xludf.DUMMYFUNCTION("""COMPUTED_VALUE"""),"")</f>
        <v/>
      </c>
      <c r="CN1478" s="32" t="e">
        <f ca="1"/>
        <v>#NAME?</v>
      </c>
      <c r="CO1478" s="32" t="e">
        <f ca="1"/>
        <v>#NAME?</v>
      </c>
      <c r="CP1478" s="32" t="e">
        <f ca="1"/>
        <v>#NAME?</v>
      </c>
      <c r="CQ1478" s="32" t="e">
        <f ca="1"/>
        <v>#NAME?</v>
      </c>
      <c r="CR1478" s="30" t="e">
        <f ca="1"/>
        <v>#NAME?</v>
      </c>
      <c r="CS1478" s="30" t="str">
        <f ca="1">IFERROR(__xludf.DUMMYFUNCTION("""COMPUTED_VALUE"""),"")</f>
        <v/>
      </c>
    </row>
    <row r="1479" spans="1:97" ht="13">
      <c r="A1479" s="29"/>
      <c r="C1479" s="32"/>
      <c r="I1479" s="34"/>
      <c r="BP1479" s="29"/>
      <c r="CD1479" s="29"/>
      <c r="CJ1479" s="29"/>
      <c r="CM1479" s="30" t="str">
        <f ca="1">IFERROR(__xludf.DUMMYFUNCTION("""COMPUTED_VALUE"""),"")</f>
        <v/>
      </c>
      <c r="CN1479" s="32" t="e">
        <f ca="1"/>
        <v>#NAME?</v>
      </c>
      <c r="CO1479" s="32" t="e">
        <f ca="1"/>
        <v>#NAME?</v>
      </c>
      <c r="CP1479" s="32" t="e">
        <f ca="1"/>
        <v>#NAME?</v>
      </c>
      <c r="CQ1479" s="32" t="e">
        <f ca="1"/>
        <v>#NAME?</v>
      </c>
      <c r="CR1479" s="30" t="e">
        <f ca="1"/>
        <v>#NAME?</v>
      </c>
      <c r="CS1479" s="30" t="str">
        <f ca="1">IFERROR(__xludf.DUMMYFUNCTION("""COMPUTED_VALUE"""),"")</f>
        <v/>
      </c>
    </row>
    <row r="1480" spans="1:97" ht="13">
      <c r="A1480" s="29"/>
      <c r="C1480" s="32"/>
      <c r="I1480" s="34"/>
      <c r="BP1480" s="29"/>
      <c r="CD1480" s="29"/>
      <c r="CJ1480" s="29"/>
      <c r="CM1480" s="30" t="str">
        <f ca="1">IFERROR(__xludf.DUMMYFUNCTION("""COMPUTED_VALUE"""),"")</f>
        <v/>
      </c>
      <c r="CN1480" s="32" t="e">
        <f ca="1"/>
        <v>#NAME?</v>
      </c>
      <c r="CO1480" s="32" t="e">
        <f ca="1"/>
        <v>#NAME?</v>
      </c>
      <c r="CP1480" s="32" t="e">
        <f ca="1"/>
        <v>#NAME?</v>
      </c>
      <c r="CQ1480" s="32" t="e">
        <f ca="1"/>
        <v>#NAME?</v>
      </c>
      <c r="CR1480" s="30" t="e">
        <f ca="1"/>
        <v>#NAME?</v>
      </c>
      <c r="CS1480" s="30" t="str">
        <f ca="1">IFERROR(__xludf.DUMMYFUNCTION("""COMPUTED_VALUE"""),"")</f>
        <v/>
      </c>
    </row>
    <row r="1481" spans="1:97" ht="13">
      <c r="A1481" s="29"/>
      <c r="C1481" s="32"/>
      <c r="I1481" s="34"/>
      <c r="BP1481" s="29"/>
      <c r="CD1481" s="29"/>
      <c r="CJ1481" s="29"/>
      <c r="CM1481" s="30" t="str">
        <f ca="1">IFERROR(__xludf.DUMMYFUNCTION("""COMPUTED_VALUE"""),"")</f>
        <v/>
      </c>
      <c r="CN1481" s="32" t="e">
        <f ca="1"/>
        <v>#NAME?</v>
      </c>
      <c r="CO1481" s="32" t="e">
        <f ca="1"/>
        <v>#NAME?</v>
      </c>
      <c r="CP1481" s="32" t="e">
        <f ca="1"/>
        <v>#NAME?</v>
      </c>
      <c r="CQ1481" s="32" t="e">
        <f ca="1"/>
        <v>#NAME?</v>
      </c>
      <c r="CR1481" s="30" t="e">
        <f ca="1"/>
        <v>#NAME?</v>
      </c>
      <c r="CS1481" s="30" t="str">
        <f ca="1">IFERROR(__xludf.DUMMYFUNCTION("""COMPUTED_VALUE"""),"")</f>
        <v/>
      </c>
    </row>
    <row r="1482" spans="1:97" ht="13">
      <c r="A1482" s="29"/>
      <c r="C1482" s="32"/>
      <c r="I1482" s="34"/>
      <c r="BP1482" s="29"/>
      <c r="CD1482" s="29"/>
      <c r="CJ1482" s="29"/>
      <c r="CM1482" s="30" t="str">
        <f ca="1">IFERROR(__xludf.DUMMYFUNCTION("""COMPUTED_VALUE"""),"")</f>
        <v/>
      </c>
      <c r="CN1482" s="32" t="e">
        <f ca="1"/>
        <v>#NAME?</v>
      </c>
      <c r="CO1482" s="32" t="e">
        <f ca="1"/>
        <v>#NAME?</v>
      </c>
      <c r="CP1482" s="32" t="e">
        <f ca="1"/>
        <v>#NAME?</v>
      </c>
      <c r="CQ1482" s="32" t="e">
        <f ca="1"/>
        <v>#NAME?</v>
      </c>
      <c r="CR1482" s="30" t="e">
        <f ca="1"/>
        <v>#NAME?</v>
      </c>
      <c r="CS1482" s="30" t="str">
        <f ca="1">IFERROR(__xludf.DUMMYFUNCTION("""COMPUTED_VALUE"""),"")</f>
        <v/>
      </c>
    </row>
    <row r="1483" spans="1:97" ht="13">
      <c r="A1483" s="29"/>
      <c r="C1483" s="32"/>
      <c r="I1483" s="34"/>
      <c r="BP1483" s="29"/>
      <c r="CD1483" s="29"/>
      <c r="CJ1483" s="29"/>
      <c r="CM1483" s="30" t="str">
        <f ca="1">IFERROR(__xludf.DUMMYFUNCTION("""COMPUTED_VALUE"""),"")</f>
        <v/>
      </c>
      <c r="CN1483" s="32" t="e">
        <f ca="1"/>
        <v>#NAME?</v>
      </c>
      <c r="CO1483" s="32" t="e">
        <f ca="1"/>
        <v>#NAME?</v>
      </c>
      <c r="CP1483" s="32" t="e">
        <f ca="1"/>
        <v>#NAME?</v>
      </c>
      <c r="CQ1483" s="32" t="e">
        <f ca="1"/>
        <v>#NAME?</v>
      </c>
      <c r="CR1483" s="30" t="e">
        <f ca="1"/>
        <v>#NAME?</v>
      </c>
      <c r="CS1483" s="30" t="str">
        <f ca="1">IFERROR(__xludf.DUMMYFUNCTION("""COMPUTED_VALUE"""),"")</f>
        <v/>
      </c>
    </row>
    <row r="1484" spans="1:97" ht="13">
      <c r="A1484" s="29"/>
      <c r="C1484" s="32"/>
      <c r="I1484" s="34"/>
      <c r="BP1484" s="29"/>
      <c r="CD1484" s="29"/>
      <c r="CJ1484" s="29"/>
      <c r="CM1484" s="30" t="str">
        <f ca="1">IFERROR(__xludf.DUMMYFUNCTION("""COMPUTED_VALUE"""),"")</f>
        <v/>
      </c>
      <c r="CN1484" s="32" t="e">
        <f ca="1"/>
        <v>#NAME?</v>
      </c>
      <c r="CO1484" s="32" t="e">
        <f ca="1"/>
        <v>#NAME?</v>
      </c>
      <c r="CP1484" s="32" t="e">
        <f ca="1"/>
        <v>#NAME?</v>
      </c>
      <c r="CQ1484" s="32" t="e">
        <f ca="1"/>
        <v>#NAME?</v>
      </c>
      <c r="CR1484" s="30" t="e">
        <f ca="1"/>
        <v>#NAME?</v>
      </c>
      <c r="CS1484" s="30" t="str">
        <f ca="1">IFERROR(__xludf.DUMMYFUNCTION("""COMPUTED_VALUE"""),"")</f>
        <v/>
      </c>
    </row>
    <row r="1485" spans="1:97" ht="13">
      <c r="A1485" s="29"/>
      <c r="C1485" s="32"/>
      <c r="I1485" s="34"/>
      <c r="BP1485" s="29"/>
      <c r="CD1485" s="29"/>
      <c r="CJ1485" s="29"/>
      <c r="CM1485" s="30" t="str">
        <f ca="1">IFERROR(__xludf.DUMMYFUNCTION("""COMPUTED_VALUE"""),"")</f>
        <v/>
      </c>
      <c r="CN1485" s="32" t="e">
        <f ca="1"/>
        <v>#NAME?</v>
      </c>
      <c r="CO1485" s="32" t="e">
        <f ca="1"/>
        <v>#NAME?</v>
      </c>
      <c r="CP1485" s="32" t="e">
        <f ca="1"/>
        <v>#NAME?</v>
      </c>
      <c r="CQ1485" s="32" t="e">
        <f ca="1"/>
        <v>#NAME?</v>
      </c>
      <c r="CR1485" s="30" t="e">
        <f ca="1"/>
        <v>#NAME?</v>
      </c>
      <c r="CS1485" s="30" t="str">
        <f ca="1">IFERROR(__xludf.DUMMYFUNCTION("""COMPUTED_VALUE"""),"")</f>
        <v/>
      </c>
    </row>
    <row r="1486" spans="1:97" ht="13">
      <c r="A1486" s="29"/>
      <c r="C1486" s="32"/>
      <c r="I1486" s="34"/>
      <c r="BP1486" s="29"/>
      <c r="CD1486" s="29"/>
      <c r="CJ1486" s="29"/>
      <c r="CM1486" s="30" t="str">
        <f ca="1">IFERROR(__xludf.DUMMYFUNCTION("""COMPUTED_VALUE"""),"")</f>
        <v/>
      </c>
      <c r="CN1486" s="32" t="e">
        <f ca="1"/>
        <v>#NAME?</v>
      </c>
      <c r="CO1486" s="32" t="e">
        <f ca="1"/>
        <v>#NAME?</v>
      </c>
      <c r="CP1486" s="32" t="e">
        <f ca="1"/>
        <v>#NAME?</v>
      </c>
      <c r="CQ1486" s="32" t="e">
        <f ca="1"/>
        <v>#NAME?</v>
      </c>
      <c r="CR1486" s="30" t="e">
        <f ca="1"/>
        <v>#NAME?</v>
      </c>
      <c r="CS1486" s="30" t="str">
        <f ca="1">IFERROR(__xludf.DUMMYFUNCTION("""COMPUTED_VALUE"""),"")</f>
        <v/>
      </c>
    </row>
    <row r="1487" spans="1:97" ht="13">
      <c r="A1487" s="29"/>
      <c r="C1487" s="32"/>
      <c r="I1487" s="34"/>
      <c r="BP1487" s="29"/>
      <c r="CD1487" s="29"/>
      <c r="CJ1487" s="29"/>
      <c r="CM1487" s="30" t="str">
        <f ca="1">IFERROR(__xludf.DUMMYFUNCTION("""COMPUTED_VALUE"""),"")</f>
        <v/>
      </c>
      <c r="CN1487" s="32" t="e">
        <f ca="1"/>
        <v>#NAME?</v>
      </c>
      <c r="CO1487" s="32" t="e">
        <f ca="1"/>
        <v>#NAME?</v>
      </c>
      <c r="CP1487" s="32" t="e">
        <f ca="1"/>
        <v>#NAME?</v>
      </c>
      <c r="CQ1487" s="32" t="e">
        <f ca="1"/>
        <v>#NAME?</v>
      </c>
      <c r="CR1487" s="30" t="e">
        <f ca="1"/>
        <v>#NAME?</v>
      </c>
      <c r="CS1487" s="30" t="str">
        <f ca="1">IFERROR(__xludf.DUMMYFUNCTION("""COMPUTED_VALUE"""),"")</f>
        <v/>
      </c>
    </row>
    <row r="1488" spans="1:97" ht="13">
      <c r="A1488" s="29"/>
      <c r="C1488" s="32"/>
      <c r="I1488" s="34"/>
      <c r="BP1488" s="29"/>
      <c r="CD1488" s="29"/>
      <c r="CJ1488" s="29"/>
      <c r="CM1488" s="30" t="str">
        <f ca="1">IFERROR(__xludf.DUMMYFUNCTION("""COMPUTED_VALUE"""),"")</f>
        <v/>
      </c>
      <c r="CN1488" s="32" t="e">
        <f ca="1"/>
        <v>#NAME?</v>
      </c>
      <c r="CO1488" s="32" t="e">
        <f ca="1"/>
        <v>#NAME?</v>
      </c>
      <c r="CP1488" s="32" t="e">
        <f ca="1"/>
        <v>#NAME?</v>
      </c>
      <c r="CQ1488" s="32" t="e">
        <f ca="1"/>
        <v>#NAME?</v>
      </c>
      <c r="CR1488" s="30" t="e">
        <f ca="1"/>
        <v>#NAME?</v>
      </c>
      <c r="CS1488" s="30" t="str">
        <f ca="1">IFERROR(__xludf.DUMMYFUNCTION("""COMPUTED_VALUE"""),"")</f>
        <v/>
      </c>
    </row>
    <row r="1489" spans="1:97" ht="13">
      <c r="A1489" s="29"/>
      <c r="C1489" s="32"/>
      <c r="I1489" s="34"/>
      <c r="BP1489" s="29"/>
      <c r="CD1489" s="29"/>
      <c r="CJ1489" s="29"/>
      <c r="CM1489" s="30" t="str">
        <f ca="1">IFERROR(__xludf.DUMMYFUNCTION("""COMPUTED_VALUE"""),"")</f>
        <v/>
      </c>
      <c r="CN1489" s="32" t="e">
        <f ca="1"/>
        <v>#NAME?</v>
      </c>
      <c r="CO1489" s="32" t="e">
        <f ca="1"/>
        <v>#NAME?</v>
      </c>
      <c r="CP1489" s="32" t="e">
        <f ca="1"/>
        <v>#NAME?</v>
      </c>
      <c r="CQ1489" s="32" t="e">
        <f ca="1"/>
        <v>#NAME?</v>
      </c>
      <c r="CR1489" s="30" t="e">
        <f ca="1"/>
        <v>#NAME?</v>
      </c>
      <c r="CS1489" s="30" t="str">
        <f ca="1">IFERROR(__xludf.DUMMYFUNCTION("""COMPUTED_VALUE"""),"")</f>
        <v/>
      </c>
    </row>
    <row r="1490" spans="1:97" ht="13">
      <c r="A1490" s="29"/>
      <c r="C1490" s="32"/>
      <c r="I1490" s="34"/>
      <c r="BP1490" s="29"/>
      <c r="CD1490" s="29"/>
      <c r="CJ1490" s="29"/>
      <c r="CM1490" s="30" t="str">
        <f ca="1">IFERROR(__xludf.DUMMYFUNCTION("""COMPUTED_VALUE"""),"")</f>
        <v/>
      </c>
      <c r="CN1490" s="32" t="e">
        <f ca="1"/>
        <v>#NAME?</v>
      </c>
      <c r="CO1490" s="32" t="e">
        <f ca="1"/>
        <v>#NAME?</v>
      </c>
      <c r="CP1490" s="32" t="e">
        <f ca="1"/>
        <v>#NAME?</v>
      </c>
      <c r="CQ1490" s="32" t="e">
        <f ca="1"/>
        <v>#NAME?</v>
      </c>
      <c r="CR1490" s="30" t="e">
        <f ca="1"/>
        <v>#NAME?</v>
      </c>
      <c r="CS1490" s="30" t="str">
        <f ca="1">IFERROR(__xludf.DUMMYFUNCTION("""COMPUTED_VALUE"""),"")</f>
        <v/>
      </c>
    </row>
    <row r="1491" spans="1:97" ht="13">
      <c r="A1491" s="29"/>
      <c r="C1491" s="32"/>
      <c r="I1491" s="34"/>
      <c r="BP1491" s="29"/>
      <c r="CD1491" s="29"/>
      <c r="CJ1491" s="29"/>
      <c r="CM1491" s="30" t="str">
        <f ca="1">IFERROR(__xludf.DUMMYFUNCTION("""COMPUTED_VALUE"""),"")</f>
        <v/>
      </c>
      <c r="CN1491" s="32" t="e">
        <f ca="1"/>
        <v>#NAME?</v>
      </c>
      <c r="CO1491" s="32" t="e">
        <f ca="1"/>
        <v>#NAME?</v>
      </c>
      <c r="CP1491" s="32" t="e">
        <f ca="1"/>
        <v>#NAME?</v>
      </c>
      <c r="CQ1491" s="32" t="e">
        <f ca="1"/>
        <v>#NAME?</v>
      </c>
      <c r="CR1491" s="30" t="e">
        <f ca="1"/>
        <v>#NAME?</v>
      </c>
      <c r="CS1491" s="30" t="str">
        <f ca="1">IFERROR(__xludf.DUMMYFUNCTION("""COMPUTED_VALUE"""),"")</f>
        <v/>
      </c>
    </row>
    <row r="1492" spans="1:97" ht="13">
      <c r="A1492" s="29"/>
      <c r="C1492" s="32"/>
      <c r="I1492" s="34"/>
      <c r="BP1492" s="29"/>
      <c r="CD1492" s="29"/>
      <c r="CJ1492" s="29"/>
      <c r="CM1492" s="30" t="str">
        <f ca="1">IFERROR(__xludf.DUMMYFUNCTION("""COMPUTED_VALUE"""),"")</f>
        <v/>
      </c>
      <c r="CN1492" s="32" t="e">
        <f ca="1"/>
        <v>#NAME?</v>
      </c>
      <c r="CO1492" s="32" t="e">
        <f ca="1"/>
        <v>#NAME?</v>
      </c>
      <c r="CP1492" s="32" t="e">
        <f ca="1"/>
        <v>#NAME?</v>
      </c>
      <c r="CQ1492" s="32" t="e">
        <f ca="1"/>
        <v>#NAME?</v>
      </c>
      <c r="CR1492" s="30" t="e">
        <f ca="1"/>
        <v>#NAME?</v>
      </c>
      <c r="CS1492" s="30" t="str">
        <f ca="1">IFERROR(__xludf.DUMMYFUNCTION("""COMPUTED_VALUE"""),"")</f>
        <v/>
      </c>
    </row>
    <row r="1493" spans="1:97" ht="13">
      <c r="A1493" s="29"/>
      <c r="C1493" s="32"/>
      <c r="I1493" s="34"/>
      <c r="BP1493" s="29"/>
      <c r="CD1493" s="29"/>
      <c r="CJ1493" s="29"/>
      <c r="CM1493" s="30" t="str">
        <f ca="1">IFERROR(__xludf.DUMMYFUNCTION("""COMPUTED_VALUE"""),"")</f>
        <v/>
      </c>
      <c r="CN1493" s="32" t="e">
        <f ca="1"/>
        <v>#NAME?</v>
      </c>
      <c r="CO1493" s="32" t="e">
        <f ca="1"/>
        <v>#NAME?</v>
      </c>
      <c r="CP1493" s="32" t="e">
        <f ca="1"/>
        <v>#NAME?</v>
      </c>
      <c r="CQ1493" s="32" t="e">
        <f ca="1"/>
        <v>#NAME?</v>
      </c>
      <c r="CR1493" s="30" t="e">
        <f ca="1"/>
        <v>#NAME?</v>
      </c>
      <c r="CS1493" s="30" t="str">
        <f ca="1">IFERROR(__xludf.DUMMYFUNCTION("""COMPUTED_VALUE"""),"")</f>
        <v/>
      </c>
    </row>
    <row r="1494" spans="1:97" ht="13">
      <c r="A1494" s="29"/>
      <c r="C1494" s="32"/>
      <c r="I1494" s="34"/>
      <c r="BP1494" s="29"/>
      <c r="CD1494" s="29"/>
      <c r="CJ1494" s="29"/>
      <c r="CM1494" s="30" t="str">
        <f ca="1">IFERROR(__xludf.DUMMYFUNCTION("""COMPUTED_VALUE"""),"")</f>
        <v/>
      </c>
      <c r="CN1494" s="32" t="e">
        <f ca="1"/>
        <v>#NAME?</v>
      </c>
      <c r="CO1494" s="32" t="e">
        <f ca="1"/>
        <v>#NAME?</v>
      </c>
      <c r="CP1494" s="32" t="e">
        <f ca="1"/>
        <v>#NAME?</v>
      </c>
      <c r="CQ1494" s="32" t="e">
        <f ca="1"/>
        <v>#NAME?</v>
      </c>
      <c r="CR1494" s="30" t="e">
        <f ca="1"/>
        <v>#NAME?</v>
      </c>
      <c r="CS1494" s="30" t="str">
        <f ca="1">IFERROR(__xludf.DUMMYFUNCTION("""COMPUTED_VALUE"""),"")</f>
        <v/>
      </c>
    </row>
    <row r="1495" spans="1:97" ht="13">
      <c r="A1495" s="29"/>
      <c r="C1495" s="32"/>
      <c r="I1495" s="34"/>
      <c r="BP1495" s="29"/>
      <c r="CD1495" s="29"/>
      <c r="CJ1495" s="29"/>
      <c r="CM1495" s="30" t="str">
        <f ca="1">IFERROR(__xludf.DUMMYFUNCTION("""COMPUTED_VALUE"""),"")</f>
        <v/>
      </c>
      <c r="CN1495" s="32" t="e">
        <f ca="1"/>
        <v>#NAME?</v>
      </c>
      <c r="CO1495" s="32" t="e">
        <f ca="1"/>
        <v>#NAME?</v>
      </c>
      <c r="CP1495" s="32" t="e">
        <f ca="1"/>
        <v>#NAME?</v>
      </c>
      <c r="CQ1495" s="32" t="e">
        <f ca="1"/>
        <v>#NAME?</v>
      </c>
      <c r="CR1495" s="30" t="e">
        <f ca="1"/>
        <v>#NAME?</v>
      </c>
      <c r="CS1495" s="30" t="str">
        <f ca="1">IFERROR(__xludf.DUMMYFUNCTION("""COMPUTED_VALUE"""),"")</f>
        <v/>
      </c>
    </row>
    <row r="1496" spans="1:97" ht="13">
      <c r="A1496" s="29"/>
      <c r="C1496" s="32"/>
      <c r="I1496" s="34"/>
      <c r="BP1496" s="29"/>
      <c r="CD1496" s="29"/>
      <c r="CJ1496" s="29"/>
      <c r="CM1496" s="30" t="str">
        <f ca="1">IFERROR(__xludf.DUMMYFUNCTION("""COMPUTED_VALUE"""),"")</f>
        <v/>
      </c>
      <c r="CN1496" s="32" t="e">
        <f ca="1"/>
        <v>#NAME?</v>
      </c>
      <c r="CO1496" s="32" t="e">
        <f ca="1"/>
        <v>#NAME?</v>
      </c>
      <c r="CP1496" s="32" t="e">
        <f ca="1"/>
        <v>#NAME?</v>
      </c>
      <c r="CQ1496" s="32" t="e">
        <f ca="1"/>
        <v>#NAME?</v>
      </c>
      <c r="CR1496" s="30" t="e">
        <f ca="1"/>
        <v>#NAME?</v>
      </c>
      <c r="CS1496" s="30" t="str">
        <f ca="1">IFERROR(__xludf.DUMMYFUNCTION("""COMPUTED_VALUE"""),"")</f>
        <v/>
      </c>
    </row>
    <row r="1497" spans="1:97" ht="13">
      <c r="A1497" s="29"/>
      <c r="C1497" s="32"/>
      <c r="I1497" s="34"/>
      <c r="BP1497" s="29"/>
      <c r="CD1497" s="29"/>
      <c r="CJ1497" s="29"/>
      <c r="CN1497" s="32"/>
      <c r="CO1497" s="32"/>
      <c r="CP1497" s="32"/>
      <c r="CQ1497" s="32"/>
    </row>
    <row r="1498" spans="1:97" ht="13">
      <c r="A1498" s="29"/>
      <c r="C1498" s="32"/>
      <c r="I1498" s="34"/>
      <c r="BP1498" s="29"/>
      <c r="CD1498" s="29"/>
      <c r="CJ1498" s="29"/>
      <c r="CN1498" s="32"/>
      <c r="CO1498" s="32"/>
      <c r="CP1498" s="32"/>
      <c r="CQ1498" s="32"/>
    </row>
    <row r="1499" spans="1:97" ht="13">
      <c r="A1499" s="29"/>
      <c r="C1499" s="32"/>
      <c r="I1499" s="34"/>
      <c r="BP1499" s="29"/>
      <c r="CD1499" s="29"/>
      <c r="CJ1499" s="29"/>
      <c r="CN1499" s="32"/>
      <c r="CO1499" s="32"/>
      <c r="CP1499" s="32"/>
      <c r="CQ1499" s="32"/>
    </row>
    <row r="1500" spans="1:97" ht="13">
      <c r="A1500" s="29"/>
      <c r="C1500" s="32"/>
      <c r="I1500" s="34"/>
      <c r="BP1500" s="29"/>
      <c r="CD1500" s="29"/>
      <c r="CJ1500" s="29"/>
      <c r="CN1500" s="32"/>
      <c r="CO1500" s="32"/>
      <c r="CP1500" s="32"/>
      <c r="CQ1500" s="32"/>
    </row>
    <row r="1501" spans="1:97" ht="13">
      <c r="A1501" s="29"/>
      <c r="C1501" s="32"/>
      <c r="I1501" s="34"/>
      <c r="BP1501" s="29"/>
      <c r="CD1501" s="29"/>
      <c r="CJ1501" s="29"/>
      <c r="CN1501" s="32"/>
      <c r="CO1501" s="32"/>
      <c r="CP1501" s="32"/>
      <c r="CQ1501"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pane ySplit="1" topLeftCell="A2" activePane="bottomLeft" state="frozen"/>
      <selection pane="bottomLeft" activeCell="B3" sqref="B3"/>
    </sheetView>
  </sheetViews>
  <sheetFormatPr baseColWidth="10" defaultColWidth="12.6328125" defaultRowHeight="15.75" customHeight="1"/>
  <sheetData>
    <row r="1" spans="1:26">
      <c r="A1" s="9" t="s">
        <v>4848</v>
      </c>
      <c r="B1" s="8" t="s">
        <v>4849</v>
      </c>
      <c r="C1" s="8" t="s">
        <v>23</v>
      </c>
      <c r="D1" s="8"/>
      <c r="E1" s="8"/>
      <c r="F1" s="8"/>
      <c r="G1" s="8"/>
      <c r="H1" s="8"/>
      <c r="I1" s="8"/>
      <c r="J1" s="8"/>
      <c r="K1" s="8"/>
      <c r="L1" s="8"/>
      <c r="M1" s="8"/>
      <c r="N1" s="8"/>
      <c r="O1" s="8"/>
      <c r="P1" s="8"/>
      <c r="Q1" s="8"/>
      <c r="R1" s="8"/>
      <c r="S1" s="8"/>
      <c r="T1" s="8"/>
      <c r="U1" s="8"/>
      <c r="V1" s="8"/>
      <c r="W1" s="8"/>
      <c r="X1" s="8"/>
      <c r="Y1" s="8"/>
      <c r="Z1" s="8"/>
    </row>
    <row r="2" spans="1:26">
      <c r="A2" s="32">
        <v>1</v>
      </c>
      <c r="B2" s="30" t="s">
        <v>1270</v>
      </c>
      <c r="C2" s="66" t="s">
        <v>197</v>
      </c>
    </row>
    <row r="3" spans="1:26">
      <c r="A3" s="32">
        <v>2</v>
      </c>
      <c r="B3" s="30" t="s">
        <v>1275</v>
      </c>
      <c r="C3" s="66" t="s">
        <v>197</v>
      </c>
    </row>
    <row r="4" spans="1:26">
      <c r="A4" s="32">
        <v>3</v>
      </c>
      <c r="B4" s="30" t="s">
        <v>4850</v>
      </c>
      <c r="C4" s="66" t="s">
        <v>197</v>
      </c>
    </row>
    <row r="5" spans="1:26">
      <c r="A5" s="32">
        <v>4</v>
      </c>
      <c r="B5" s="30" t="s">
        <v>1477</v>
      </c>
      <c r="C5" s="66" t="s">
        <v>197</v>
      </c>
    </row>
    <row r="6" spans="1:26">
      <c r="A6" s="32">
        <v>5</v>
      </c>
      <c r="B6" s="30" t="s">
        <v>1282</v>
      </c>
      <c r="C6" s="66" t="s">
        <v>197</v>
      </c>
    </row>
    <row r="7" spans="1:26">
      <c r="A7" s="32">
        <v>6</v>
      </c>
      <c r="B7" s="30" t="s">
        <v>1288</v>
      </c>
      <c r="C7" s="66" t="s">
        <v>197</v>
      </c>
    </row>
    <row r="8" spans="1:26">
      <c r="A8" s="32">
        <v>7</v>
      </c>
      <c r="B8" s="30" t="s">
        <v>2388</v>
      </c>
      <c r="C8" s="66" t="s">
        <v>197</v>
      </c>
    </row>
    <row r="9" spans="1:26">
      <c r="A9" s="32">
        <v>8</v>
      </c>
      <c r="B9" s="30" t="s">
        <v>1046</v>
      </c>
      <c r="C9" s="66" t="s">
        <v>197</v>
      </c>
    </row>
    <row r="10" spans="1:26">
      <c r="A10" s="32">
        <v>9</v>
      </c>
      <c r="B10" s="30" t="s">
        <v>1070</v>
      </c>
      <c r="C10" s="66" t="s">
        <v>197</v>
      </c>
    </row>
    <row r="11" spans="1:26">
      <c r="A11" s="32">
        <v>10</v>
      </c>
      <c r="B11" s="30" t="s">
        <v>4851</v>
      </c>
      <c r="C11" s="66" t="s">
        <v>197</v>
      </c>
    </row>
    <row r="12" spans="1:26">
      <c r="A12" s="32">
        <v>11</v>
      </c>
      <c r="B12" s="30" t="s">
        <v>4852</v>
      </c>
      <c r="C12" s="66" t="s">
        <v>197</v>
      </c>
    </row>
    <row r="13" spans="1:26">
      <c r="A13" s="32">
        <v>12</v>
      </c>
      <c r="B13" s="30" t="s">
        <v>1384</v>
      </c>
      <c r="C13" s="66" t="s">
        <v>197</v>
      </c>
    </row>
    <row r="14" spans="1:26">
      <c r="A14" s="32">
        <v>13</v>
      </c>
      <c r="B14" s="30" t="s">
        <v>4853</v>
      </c>
      <c r="C14" s="66" t="s">
        <v>197</v>
      </c>
    </row>
    <row r="15" spans="1:26">
      <c r="A15" s="32">
        <v>14</v>
      </c>
      <c r="B15" s="30" t="s">
        <v>1440</v>
      </c>
      <c r="C15" s="66" t="s">
        <v>197</v>
      </c>
    </row>
    <row r="16" spans="1:26">
      <c r="A16" s="32">
        <v>15</v>
      </c>
      <c r="B16" s="30" t="s">
        <v>2075</v>
      </c>
      <c r="C16" s="66" t="s">
        <v>197</v>
      </c>
    </row>
    <row r="17" spans="1:3">
      <c r="A17" s="32">
        <v>16</v>
      </c>
      <c r="B17" s="30" t="s">
        <v>4854</v>
      </c>
      <c r="C17" s="66" t="s">
        <v>197</v>
      </c>
    </row>
    <row r="18" spans="1:3">
      <c r="A18" s="32">
        <v>17</v>
      </c>
      <c r="B18" s="30" t="s">
        <v>4855</v>
      </c>
      <c r="C18" s="66" t="s">
        <v>197</v>
      </c>
    </row>
    <row r="19" spans="1:3" ht="15.75" customHeight="1">
      <c r="A19" s="32">
        <v>18</v>
      </c>
      <c r="B19" s="30" t="s">
        <v>1970</v>
      </c>
      <c r="C19" s="67" t="s">
        <v>1969</v>
      </c>
    </row>
    <row r="20" spans="1:3" ht="12.5">
      <c r="A20" s="32">
        <v>19</v>
      </c>
      <c r="B20" s="30" t="s">
        <v>4856</v>
      </c>
      <c r="C20" s="67" t="s">
        <v>1969</v>
      </c>
    </row>
    <row r="21" spans="1:3" ht="12.5">
      <c r="A21" s="32">
        <v>20</v>
      </c>
      <c r="B21" s="30" t="s">
        <v>2373</v>
      </c>
      <c r="C21" s="67" t="s">
        <v>1969</v>
      </c>
    </row>
    <row r="22" spans="1:3" ht="14">
      <c r="A22" s="32">
        <v>21</v>
      </c>
      <c r="B22" s="30" t="s">
        <v>4857</v>
      </c>
      <c r="C22" s="66" t="s">
        <v>1398</v>
      </c>
    </row>
    <row r="23" spans="1:3" ht="14">
      <c r="A23" s="32">
        <v>22</v>
      </c>
      <c r="B23" s="30" t="s">
        <v>1399</v>
      </c>
      <c r="C23" s="66" t="s">
        <v>1398</v>
      </c>
    </row>
    <row r="24" spans="1:3" ht="14">
      <c r="A24" s="32">
        <v>23</v>
      </c>
      <c r="B24" s="30" t="s">
        <v>1983</v>
      </c>
      <c r="C24" s="66" t="s">
        <v>1398</v>
      </c>
    </row>
    <row r="25" spans="1:3" ht="14">
      <c r="A25" s="32">
        <v>24</v>
      </c>
      <c r="B25" s="30" t="s">
        <v>4858</v>
      </c>
      <c r="C25" s="66" t="s">
        <v>1398</v>
      </c>
    </row>
    <row r="26" spans="1:3" ht="14">
      <c r="A26" s="32">
        <v>25</v>
      </c>
      <c r="B26" s="30" t="s">
        <v>4859</v>
      </c>
      <c r="C26" s="66" t="s">
        <v>1398</v>
      </c>
    </row>
    <row r="27" spans="1:3" ht="14">
      <c r="A27" s="32">
        <v>26</v>
      </c>
      <c r="B27" s="30" t="s">
        <v>1063</v>
      </c>
      <c r="C27" s="66" t="s">
        <v>197</v>
      </c>
    </row>
    <row r="28" spans="1:3" ht="14">
      <c r="A28" s="32">
        <v>27</v>
      </c>
      <c r="B28" s="30" t="s">
        <v>2282</v>
      </c>
      <c r="C28" s="66" t="s">
        <v>197</v>
      </c>
    </row>
    <row r="29" spans="1:3" ht="12.5">
      <c r="A29" s="32"/>
    </row>
    <row r="30" spans="1:3" ht="12.5">
      <c r="A30" s="32"/>
    </row>
    <row r="31" spans="1:3" ht="12.5">
      <c r="A31" s="32"/>
    </row>
    <row r="32" spans="1:3" ht="12.5">
      <c r="A32" s="32"/>
    </row>
    <row r="33" spans="1:1" ht="12.5">
      <c r="A33" s="32"/>
    </row>
    <row r="34" spans="1:1" ht="12.5">
      <c r="A34" s="32"/>
    </row>
    <row r="35" spans="1:1" ht="12.5">
      <c r="A35" s="32"/>
    </row>
    <row r="36" spans="1:1" ht="12.5">
      <c r="A36" s="32"/>
    </row>
    <row r="37" spans="1:1" ht="12.5">
      <c r="A37" s="32"/>
    </row>
    <row r="38" spans="1:1" ht="12.5">
      <c r="A38" s="32"/>
    </row>
    <row r="39" spans="1:1" ht="12.5">
      <c r="A39" s="32"/>
    </row>
    <row r="40" spans="1:1" ht="12.5">
      <c r="A40" s="32"/>
    </row>
    <row r="41" spans="1:1" ht="12.5">
      <c r="A41" s="32"/>
    </row>
    <row r="42" spans="1:1" ht="12.5">
      <c r="A42" s="32"/>
    </row>
    <row r="43" spans="1:1" ht="12.5">
      <c r="A43" s="32"/>
    </row>
    <row r="44" spans="1:1" ht="12.5">
      <c r="A44" s="32"/>
    </row>
    <row r="45" spans="1:1" ht="12.5">
      <c r="A45" s="32"/>
    </row>
    <row r="46" spans="1:1" ht="12.5">
      <c r="A46" s="32"/>
    </row>
    <row r="47" spans="1:1" ht="12.5">
      <c r="A47" s="32"/>
    </row>
    <row r="48" spans="1:1" ht="12.5">
      <c r="A48" s="32"/>
    </row>
    <row r="49" spans="1:1" ht="12.5">
      <c r="A49" s="32"/>
    </row>
    <row r="50" spans="1:1" ht="12.5">
      <c r="A50" s="32"/>
    </row>
    <row r="51" spans="1:1" ht="12.5">
      <c r="A51" s="32"/>
    </row>
    <row r="52" spans="1:1" ht="12.5">
      <c r="A52" s="32"/>
    </row>
    <row r="53" spans="1:1" ht="12.5">
      <c r="A53" s="32"/>
    </row>
    <row r="54" spans="1:1" ht="12.5">
      <c r="A54" s="32"/>
    </row>
    <row r="55" spans="1:1" ht="12.5">
      <c r="A55" s="32"/>
    </row>
    <row r="56" spans="1:1" ht="12.5">
      <c r="A56" s="32"/>
    </row>
    <row r="57" spans="1:1" ht="12.5">
      <c r="A57" s="32"/>
    </row>
    <row r="58" spans="1:1" ht="12.5">
      <c r="A58" s="32"/>
    </row>
    <row r="59" spans="1:1" ht="12.5">
      <c r="A59" s="32"/>
    </row>
    <row r="60" spans="1:1" ht="12.5">
      <c r="A60" s="32"/>
    </row>
    <row r="61" spans="1:1" ht="12.5">
      <c r="A61" s="32"/>
    </row>
    <row r="62" spans="1:1" ht="12.5">
      <c r="A62" s="32"/>
    </row>
    <row r="63" spans="1:1" ht="12.5">
      <c r="A63" s="32"/>
    </row>
    <row r="64" spans="1:1" ht="12.5">
      <c r="A64" s="32"/>
    </row>
    <row r="65" spans="1:1" ht="12.5">
      <c r="A65" s="32"/>
    </row>
    <row r="66" spans="1:1" ht="12.5">
      <c r="A66" s="32"/>
    </row>
    <row r="67" spans="1:1" ht="12.5">
      <c r="A67" s="32"/>
    </row>
    <row r="68" spans="1:1" ht="12.5">
      <c r="A68" s="32"/>
    </row>
    <row r="69" spans="1:1" ht="12.5">
      <c r="A69" s="32"/>
    </row>
    <row r="70" spans="1:1" ht="12.5">
      <c r="A70" s="32"/>
    </row>
    <row r="71" spans="1:1" ht="12.5">
      <c r="A71" s="32"/>
    </row>
    <row r="72" spans="1:1" ht="12.5">
      <c r="A72" s="32"/>
    </row>
    <row r="73" spans="1:1" ht="12.5">
      <c r="A73" s="32"/>
    </row>
    <row r="74" spans="1:1" ht="12.5">
      <c r="A74" s="32"/>
    </row>
    <row r="75" spans="1:1" ht="12.5">
      <c r="A75" s="32"/>
    </row>
    <row r="76" spans="1:1" ht="12.5">
      <c r="A76" s="32"/>
    </row>
    <row r="77" spans="1:1" ht="12.5">
      <c r="A77" s="32"/>
    </row>
    <row r="78" spans="1:1" ht="12.5">
      <c r="A78" s="32"/>
    </row>
    <row r="79" spans="1:1" ht="12.5">
      <c r="A79" s="32"/>
    </row>
    <row r="80" spans="1:1" ht="12.5">
      <c r="A80" s="32"/>
    </row>
    <row r="81" spans="1:1" ht="12.5">
      <c r="A81" s="32"/>
    </row>
    <row r="82" spans="1:1" ht="12.5">
      <c r="A82" s="32"/>
    </row>
    <row r="83" spans="1:1" ht="12.5">
      <c r="A83" s="32"/>
    </row>
    <row r="84" spans="1:1" ht="12.5">
      <c r="A84" s="32"/>
    </row>
    <row r="85" spans="1:1" ht="12.5">
      <c r="A85" s="32"/>
    </row>
    <row r="86" spans="1:1" ht="12.5">
      <c r="A86" s="32"/>
    </row>
    <row r="87" spans="1:1" ht="12.5">
      <c r="A87" s="32"/>
    </row>
    <row r="88" spans="1:1" ht="12.5">
      <c r="A88" s="32"/>
    </row>
    <row r="89" spans="1:1" ht="12.5">
      <c r="A89" s="32"/>
    </row>
    <row r="90" spans="1:1" ht="12.5">
      <c r="A90" s="32"/>
    </row>
    <row r="91" spans="1:1" ht="12.5">
      <c r="A91" s="32"/>
    </row>
    <row r="92" spans="1:1" ht="12.5">
      <c r="A92" s="32"/>
    </row>
    <row r="93" spans="1:1" ht="12.5">
      <c r="A93" s="32"/>
    </row>
    <row r="94" spans="1:1" ht="12.5">
      <c r="A94" s="32"/>
    </row>
    <row r="95" spans="1:1" ht="12.5">
      <c r="A95" s="32"/>
    </row>
    <row r="96" spans="1:1" ht="12.5">
      <c r="A96" s="32"/>
    </row>
    <row r="97" spans="1:1" ht="12.5">
      <c r="A97" s="32"/>
    </row>
    <row r="98" spans="1:1" ht="12.5">
      <c r="A98" s="32"/>
    </row>
    <row r="99" spans="1:1" ht="12.5">
      <c r="A99" s="32"/>
    </row>
    <row r="100" spans="1:1" ht="12.5">
      <c r="A100" s="32"/>
    </row>
    <row r="101" spans="1:1" ht="12.5">
      <c r="A101" s="32"/>
    </row>
    <row r="102" spans="1:1" ht="12.5">
      <c r="A102" s="32"/>
    </row>
    <row r="103" spans="1:1" ht="12.5">
      <c r="A103" s="32"/>
    </row>
    <row r="104" spans="1:1" ht="12.5">
      <c r="A104" s="32"/>
    </row>
    <row r="105" spans="1:1" ht="12.5">
      <c r="A105" s="32"/>
    </row>
    <row r="106" spans="1:1" ht="12.5">
      <c r="A106" s="32"/>
    </row>
    <row r="107" spans="1:1" ht="12.5">
      <c r="A107" s="32"/>
    </row>
    <row r="108" spans="1:1" ht="12.5">
      <c r="A108" s="32"/>
    </row>
    <row r="109" spans="1:1" ht="12.5">
      <c r="A109" s="32"/>
    </row>
    <row r="110" spans="1:1" ht="12.5">
      <c r="A110" s="32"/>
    </row>
    <row r="111" spans="1:1" ht="12.5">
      <c r="A111" s="32"/>
    </row>
    <row r="112" spans="1:1" ht="12.5">
      <c r="A112" s="32"/>
    </row>
    <row r="113" spans="1:1" ht="12.5">
      <c r="A113" s="32"/>
    </row>
    <row r="114" spans="1:1" ht="12.5">
      <c r="A114" s="32"/>
    </row>
    <row r="115" spans="1:1" ht="12.5">
      <c r="A115" s="32"/>
    </row>
    <row r="116" spans="1:1" ht="12.5">
      <c r="A116" s="32"/>
    </row>
    <row r="117" spans="1:1" ht="12.5">
      <c r="A117" s="32"/>
    </row>
    <row r="118" spans="1:1" ht="12.5">
      <c r="A118" s="32"/>
    </row>
    <row r="119" spans="1:1" ht="12.5">
      <c r="A119" s="32"/>
    </row>
    <row r="120" spans="1:1" ht="12.5">
      <c r="A120" s="32"/>
    </row>
    <row r="121" spans="1:1" ht="12.5">
      <c r="A121" s="32"/>
    </row>
    <row r="122" spans="1:1" ht="12.5">
      <c r="A122" s="32"/>
    </row>
    <row r="123" spans="1:1" ht="12.5">
      <c r="A123" s="32"/>
    </row>
    <row r="124" spans="1:1" ht="12.5">
      <c r="A124" s="32"/>
    </row>
    <row r="125" spans="1:1" ht="12.5">
      <c r="A125" s="32"/>
    </row>
    <row r="126" spans="1:1" ht="12.5">
      <c r="A126" s="32"/>
    </row>
    <row r="127" spans="1:1" ht="12.5">
      <c r="A127" s="32"/>
    </row>
    <row r="128" spans="1:1" ht="12.5">
      <c r="A128" s="32"/>
    </row>
    <row r="129" spans="1:1" ht="12.5">
      <c r="A129" s="32"/>
    </row>
    <row r="130" spans="1:1" ht="12.5">
      <c r="A130" s="32"/>
    </row>
    <row r="131" spans="1:1" ht="12.5">
      <c r="A131" s="32"/>
    </row>
    <row r="132" spans="1:1" ht="12.5">
      <c r="A132" s="32"/>
    </row>
    <row r="133" spans="1:1" ht="12.5">
      <c r="A133" s="32"/>
    </row>
    <row r="134" spans="1:1" ht="12.5">
      <c r="A134" s="32"/>
    </row>
    <row r="135" spans="1:1" ht="12.5">
      <c r="A135" s="32"/>
    </row>
    <row r="136" spans="1:1" ht="12.5">
      <c r="A136" s="32"/>
    </row>
    <row r="137" spans="1:1" ht="12.5">
      <c r="A137" s="32"/>
    </row>
    <row r="138" spans="1:1" ht="12.5">
      <c r="A138" s="32"/>
    </row>
    <row r="139" spans="1:1" ht="12.5">
      <c r="A139" s="32"/>
    </row>
    <row r="140" spans="1:1" ht="12.5">
      <c r="A140" s="32"/>
    </row>
    <row r="141" spans="1:1" ht="12.5">
      <c r="A141" s="32"/>
    </row>
    <row r="142" spans="1:1" ht="12.5">
      <c r="A142" s="32"/>
    </row>
    <row r="143" spans="1:1" ht="12.5">
      <c r="A143" s="32"/>
    </row>
    <row r="144" spans="1:1" ht="12.5">
      <c r="A144" s="32"/>
    </row>
    <row r="145" spans="1:1" ht="12.5">
      <c r="A145" s="32"/>
    </row>
    <row r="146" spans="1:1" ht="12.5">
      <c r="A146" s="32"/>
    </row>
    <row r="147" spans="1:1" ht="12.5">
      <c r="A147" s="32"/>
    </row>
    <row r="148" spans="1:1" ht="12.5">
      <c r="A148" s="32"/>
    </row>
    <row r="149" spans="1:1" ht="12.5">
      <c r="A149" s="32"/>
    </row>
    <row r="150" spans="1:1" ht="12.5">
      <c r="A150" s="32"/>
    </row>
    <row r="151" spans="1:1" ht="12.5">
      <c r="A151" s="32"/>
    </row>
    <row r="152" spans="1:1" ht="12.5">
      <c r="A152" s="32"/>
    </row>
    <row r="153" spans="1:1" ht="12.5">
      <c r="A153" s="32"/>
    </row>
    <row r="154" spans="1:1" ht="12.5">
      <c r="A154" s="32"/>
    </row>
    <row r="155" spans="1:1" ht="12.5">
      <c r="A155" s="32"/>
    </row>
    <row r="156" spans="1:1" ht="12.5">
      <c r="A156" s="32"/>
    </row>
    <row r="157" spans="1:1" ht="12.5">
      <c r="A157" s="32"/>
    </row>
    <row r="158" spans="1:1" ht="12.5">
      <c r="A158" s="32"/>
    </row>
    <row r="159" spans="1:1" ht="12.5">
      <c r="A159" s="32"/>
    </row>
    <row r="160" spans="1:1" ht="12.5">
      <c r="A160" s="32"/>
    </row>
    <row r="161" spans="1:1" ht="12.5">
      <c r="A161" s="32"/>
    </row>
    <row r="162" spans="1:1" ht="12.5">
      <c r="A162" s="32"/>
    </row>
    <row r="163" spans="1:1" ht="12.5">
      <c r="A163" s="32"/>
    </row>
    <row r="164" spans="1:1" ht="12.5">
      <c r="A164" s="32"/>
    </row>
    <row r="165" spans="1:1" ht="12.5">
      <c r="A165" s="32"/>
    </row>
    <row r="166" spans="1:1" ht="12.5">
      <c r="A166" s="32"/>
    </row>
    <row r="167" spans="1:1" ht="12.5">
      <c r="A167" s="32"/>
    </row>
    <row r="168" spans="1:1" ht="12.5">
      <c r="A168" s="32"/>
    </row>
    <row r="169" spans="1:1" ht="12.5">
      <c r="A169" s="32"/>
    </row>
    <row r="170" spans="1:1" ht="12.5">
      <c r="A170" s="32"/>
    </row>
    <row r="171" spans="1:1" ht="12.5">
      <c r="A171" s="32"/>
    </row>
    <row r="172" spans="1:1" ht="12.5">
      <c r="A172" s="32"/>
    </row>
    <row r="173" spans="1:1" ht="12.5">
      <c r="A173" s="32"/>
    </row>
    <row r="174" spans="1:1" ht="12.5">
      <c r="A174" s="32"/>
    </row>
    <row r="175" spans="1:1" ht="12.5">
      <c r="A175" s="32"/>
    </row>
    <row r="176" spans="1:1" ht="12.5">
      <c r="A176" s="32"/>
    </row>
    <row r="177" spans="1:1" ht="12.5">
      <c r="A177" s="32"/>
    </row>
    <row r="178" spans="1:1" ht="12.5">
      <c r="A178" s="32"/>
    </row>
    <row r="179" spans="1:1" ht="12.5">
      <c r="A179" s="32"/>
    </row>
    <row r="180" spans="1:1" ht="12.5">
      <c r="A180" s="32"/>
    </row>
    <row r="181" spans="1:1" ht="12.5">
      <c r="A181" s="32"/>
    </row>
    <row r="182" spans="1:1" ht="12.5">
      <c r="A182" s="32"/>
    </row>
    <row r="183" spans="1:1" ht="12.5">
      <c r="A183" s="32"/>
    </row>
    <row r="184" spans="1:1" ht="12.5">
      <c r="A184" s="32"/>
    </row>
    <row r="185" spans="1:1" ht="12.5">
      <c r="A185" s="32"/>
    </row>
    <row r="186" spans="1:1" ht="12.5">
      <c r="A186" s="32"/>
    </row>
    <row r="187" spans="1:1" ht="12.5">
      <c r="A187" s="32"/>
    </row>
    <row r="188" spans="1:1" ht="12.5">
      <c r="A188" s="32"/>
    </row>
    <row r="189" spans="1:1" ht="12.5">
      <c r="A189" s="32"/>
    </row>
    <row r="190" spans="1:1" ht="12.5">
      <c r="A190" s="32"/>
    </row>
    <row r="191" spans="1:1" ht="12.5">
      <c r="A191" s="32"/>
    </row>
    <row r="192" spans="1:1" ht="12.5">
      <c r="A192" s="32"/>
    </row>
    <row r="193" spans="1:1" ht="12.5">
      <c r="A193" s="32"/>
    </row>
    <row r="194" spans="1:1" ht="12.5">
      <c r="A194" s="32"/>
    </row>
    <row r="195" spans="1:1" ht="12.5">
      <c r="A195" s="32"/>
    </row>
    <row r="196" spans="1:1" ht="12.5">
      <c r="A196" s="32"/>
    </row>
    <row r="197" spans="1:1" ht="12.5">
      <c r="A197" s="32"/>
    </row>
    <row r="198" spans="1:1" ht="12.5">
      <c r="A198" s="32"/>
    </row>
    <row r="199" spans="1:1" ht="12.5">
      <c r="A199" s="32"/>
    </row>
    <row r="200" spans="1:1" ht="12.5">
      <c r="A200" s="32"/>
    </row>
    <row r="201" spans="1:1" ht="12.5">
      <c r="A201" s="32"/>
    </row>
    <row r="202" spans="1:1" ht="12.5">
      <c r="A202" s="32"/>
    </row>
    <row r="203" spans="1:1" ht="12.5">
      <c r="A203" s="32"/>
    </row>
    <row r="204" spans="1:1" ht="12.5">
      <c r="A204" s="32"/>
    </row>
    <row r="205" spans="1:1" ht="12.5">
      <c r="A205" s="32"/>
    </row>
    <row r="206" spans="1:1" ht="12.5">
      <c r="A206" s="32"/>
    </row>
    <row r="207" spans="1:1" ht="12.5">
      <c r="A207" s="32"/>
    </row>
    <row r="208" spans="1:1" ht="12.5">
      <c r="A208" s="32"/>
    </row>
    <row r="209" spans="1:1" ht="12.5">
      <c r="A209" s="32"/>
    </row>
    <row r="210" spans="1:1" ht="12.5">
      <c r="A210" s="32"/>
    </row>
    <row r="211" spans="1:1" ht="12.5">
      <c r="A211" s="32"/>
    </row>
    <row r="212" spans="1:1" ht="12.5">
      <c r="A212" s="32"/>
    </row>
    <row r="213" spans="1:1" ht="12.5">
      <c r="A213" s="32"/>
    </row>
    <row r="214" spans="1:1" ht="12.5">
      <c r="A214" s="32"/>
    </row>
    <row r="215" spans="1:1" ht="12.5">
      <c r="A215" s="32"/>
    </row>
    <row r="216" spans="1:1" ht="12.5">
      <c r="A216" s="32"/>
    </row>
    <row r="217" spans="1:1" ht="12.5">
      <c r="A217" s="32"/>
    </row>
    <row r="218" spans="1:1" ht="12.5">
      <c r="A218" s="32"/>
    </row>
    <row r="219" spans="1:1" ht="12.5">
      <c r="A219" s="32"/>
    </row>
    <row r="220" spans="1:1" ht="12.5">
      <c r="A220" s="32"/>
    </row>
    <row r="221" spans="1:1" ht="12.5">
      <c r="A221" s="32"/>
    </row>
    <row r="222" spans="1:1" ht="12.5">
      <c r="A222" s="32"/>
    </row>
    <row r="223" spans="1:1" ht="12.5">
      <c r="A223" s="32"/>
    </row>
    <row r="224" spans="1:1" ht="12.5">
      <c r="A224" s="32"/>
    </row>
    <row r="225" spans="1:1" ht="12.5">
      <c r="A225" s="32"/>
    </row>
    <row r="226" spans="1:1" ht="12.5">
      <c r="A226" s="32"/>
    </row>
    <row r="227" spans="1:1" ht="12.5">
      <c r="A227" s="32"/>
    </row>
    <row r="228" spans="1:1" ht="12.5">
      <c r="A228" s="32"/>
    </row>
    <row r="229" spans="1:1" ht="12.5">
      <c r="A229" s="32"/>
    </row>
    <row r="230" spans="1:1" ht="12.5">
      <c r="A230" s="32"/>
    </row>
    <row r="231" spans="1:1" ht="12.5">
      <c r="A231" s="32"/>
    </row>
    <row r="232" spans="1:1" ht="12.5">
      <c r="A232" s="32"/>
    </row>
    <row r="233" spans="1:1" ht="12.5">
      <c r="A233" s="32"/>
    </row>
    <row r="234" spans="1:1" ht="12.5">
      <c r="A234" s="32"/>
    </row>
    <row r="235" spans="1:1" ht="12.5">
      <c r="A235" s="32"/>
    </row>
    <row r="236" spans="1:1" ht="12.5">
      <c r="A236" s="32"/>
    </row>
    <row r="237" spans="1:1" ht="12.5">
      <c r="A237" s="32"/>
    </row>
    <row r="238" spans="1:1" ht="12.5">
      <c r="A238" s="32"/>
    </row>
    <row r="239" spans="1:1" ht="12.5">
      <c r="A239" s="32"/>
    </row>
    <row r="240" spans="1:1" ht="12.5">
      <c r="A240" s="32"/>
    </row>
    <row r="241" spans="1:1" ht="12.5">
      <c r="A241" s="32"/>
    </row>
    <row r="242" spans="1:1" ht="12.5">
      <c r="A242" s="32"/>
    </row>
    <row r="243" spans="1:1" ht="12.5">
      <c r="A243" s="32"/>
    </row>
    <row r="244" spans="1:1" ht="12.5">
      <c r="A244" s="32"/>
    </row>
    <row r="245" spans="1:1" ht="12.5">
      <c r="A245" s="32"/>
    </row>
    <row r="246" spans="1:1" ht="12.5">
      <c r="A246" s="32"/>
    </row>
    <row r="247" spans="1:1" ht="12.5">
      <c r="A247" s="32"/>
    </row>
    <row r="248" spans="1:1" ht="12.5">
      <c r="A248" s="32"/>
    </row>
    <row r="249" spans="1:1" ht="12.5">
      <c r="A249" s="32"/>
    </row>
    <row r="250" spans="1:1" ht="12.5">
      <c r="A250" s="32"/>
    </row>
    <row r="251" spans="1:1" ht="12.5">
      <c r="A251" s="32"/>
    </row>
    <row r="252" spans="1:1" ht="12.5">
      <c r="A252" s="32"/>
    </row>
    <row r="253" spans="1:1" ht="12.5">
      <c r="A253" s="32"/>
    </row>
    <row r="254" spans="1:1" ht="12.5">
      <c r="A254" s="32"/>
    </row>
    <row r="255" spans="1:1" ht="12.5">
      <c r="A255" s="32"/>
    </row>
    <row r="256" spans="1:1" ht="12.5">
      <c r="A256" s="32"/>
    </row>
    <row r="257" spans="1:1" ht="12.5">
      <c r="A257" s="32"/>
    </row>
    <row r="258" spans="1:1" ht="12.5">
      <c r="A258" s="32"/>
    </row>
    <row r="259" spans="1:1" ht="12.5">
      <c r="A259" s="32"/>
    </row>
    <row r="260" spans="1:1" ht="12.5">
      <c r="A260" s="32"/>
    </row>
    <row r="261" spans="1:1" ht="12.5">
      <c r="A261" s="32"/>
    </row>
    <row r="262" spans="1:1" ht="12.5">
      <c r="A262" s="32"/>
    </row>
    <row r="263" spans="1:1" ht="12.5">
      <c r="A263" s="32"/>
    </row>
    <row r="264" spans="1:1" ht="12.5">
      <c r="A264" s="32"/>
    </row>
    <row r="265" spans="1:1" ht="12.5">
      <c r="A265" s="32"/>
    </row>
    <row r="266" spans="1:1" ht="12.5">
      <c r="A266" s="32"/>
    </row>
    <row r="267" spans="1:1" ht="12.5">
      <c r="A267" s="32"/>
    </row>
    <row r="268" spans="1:1" ht="12.5">
      <c r="A268" s="32"/>
    </row>
    <row r="269" spans="1:1" ht="12.5">
      <c r="A269" s="32"/>
    </row>
    <row r="270" spans="1:1" ht="12.5">
      <c r="A270" s="32"/>
    </row>
    <row r="271" spans="1:1" ht="12.5">
      <c r="A271" s="32"/>
    </row>
    <row r="272" spans="1:1" ht="12.5">
      <c r="A272" s="32"/>
    </row>
    <row r="273" spans="1:1" ht="12.5">
      <c r="A273" s="32"/>
    </row>
    <row r="274" spans="1:1" ht="12.5">
      <c r="A274" s="32"/>
    </row>
    <row r="275" spans="1:1" ht="12.5">
      <c r="A275" s="32"/>
    </row>
    <row r="276" spans="1:1" ht="12.5">
      <c r="A276" s="32"/>
    </row>
    <row r="277" spans="1:1" ht="12.5">
      <c r="A277" s="32"/>
    </row>
    <row r="278" spans="1:1" ht="12.5">
      <c r="A278" s="32"/>
    </row>
    <row r="279" spans="1:1" ht="12.5">
      <c r="A279" s="32"/>
    </row>
    <row r="280" spans="1:1" ht="12.5">
      <c r="A280" s="32"/>
    </row>
    <row r="281" spans="1:1" ht="12.5">
      <c r="A281" s="32"/>
    </row>
    <row r="282" spans="1:1" ht="12.5">
      <c r="A282" s="32"/>
    </row>
    <row r="283" spans="1:1" ht="12.5">
      <c r="A283" s="32"/>
    </row>
    <row r="284" spans="1:1" ht="12.5">
      <c r="A284" s="32"/>
    </row>
    <row r="285" spans="1:1" ht="12.5">
      <c r="A285" s="32"/>
    </row>
    <row r="286" spans="1:1" ht="12.5">
      <c r="A286" s="32"/>
    </row>
    <row r="287" spans="1:1" ht="12.5">
      <c r="A287" s="32"/>
    </row>
    <row r="288" spans="1:1" ht="12.5">
      <c r="A288" s="32"/>
    </row>
    <row r="289" spans="1:1" ht="12.5">
      <c r="A289" s="32"/>
    </row>
    <row r="290" spans="1:1" ht="12.5">
      <c r="A290" s="32"/>
    </row>
    <row r="291" spans="1:1" ht="12.5">
      <c r="A291" s="32"/>
    </row>
    <row r="292" spans="1:1" ht="12.5">
      <c r="A292" s="32"/>
    </row>
    <row r="293" spans="1:1" ht="12.5">
      <c r="A293" s="32"/>
    </row>
    <row r="294" spans="1:1" ht="12.5">
      <c r="A294" s="32"/>
    </row>
    <row r="295" spans="1:1" ht="12.5">
      <c r="A295" s="32"/>
    </row>
    <row r="296" spans="1:1" ht="12.5">
      <c r="A296" s="32"/>
    </row>
    <row r="297" spans="1:1" ht="12.5">
      <c r="A297" s="32"/>
    </row>
    <row r="298" spans="1:1" ht="12.5">
      <c r="A298" s="32"/>
    </row>
    <row r="299" spans="1:1" ht="12.5">
      <c r="A299" s="32"/>
    </row>
    <row r="300" spans="1:1" ht="12.5">
      <c r="A300" s="32"/>
    </row>
    <row r="301" spans="1:1" ht="12.5">
      <c r="A301" s="32"/>
    </row>
    <row r="302" spans="1:1" ht="12.5">
      <c r="A302" s="32"/>
    </row>
    <row r="303" spans="1:1" ht="12.5">
      <c r="A303" s="32"/>
    </row>
    <row r="304" spans="1:1" ht="12.5">
      <c r="A304" s="32"/>
    </row>
    <row r="305" spans="1:1" ht="12.5">
      <c r="A305" s="32"/>
    </row>
    <row r="306" spans="1:1" ht="12.5">
      <c r="A306" s="32"/>
    </row>
    <row r="307" spans="1:1" ht="12.5">
      <c r="A307" s="32"/>
    </row>
    <row r="308" spans="1:1" ht="12.5">
      <c r="A308" s="32"/>
    </row>
    <row r="309" spans="1:1" ht="12.5">
      <c r="A309" s="32"/>
    </row>
    <row r="310" spans="1:1" ht="12.5">
      <c r="A310" s="32"/>
    </row>
    <row r="311" spans="1:1" ht="12.5">
      <c r="A311" s="32"/>
    </row>
    <row r="312" spans="1:1" ht="12.5">
      <c r="A312" s="32"/>
    </row>
    <row r="313" spans="1:1" ht="12.5">
      <c r="A313" s="32"/>
    </row>
    <row r="314" spans="1:1" ht="12.5">
      <c r="A314" s="32"/>
    </row>
    <row r="315" spans="1:1" ht="12.5">
      <c r="A315" s="32"/>
    </row>
    <row r="316" spans="1:1" ht="12.5">
      <c r="A316" s="32"/>
    </row>
    <row r="317" spans="1:1" ht="12.5">
      <c r="A317" s="32"/>
    </row>
    <row r="318" spans="1:1" ht="12.5">
      <c r="A318" s="32"/>
    </row>
    <row r="319" spans="1:1" ht="12.5">
      <c r="A319" s="32"/>
    </row>
    <row r="320" spans="1:1" ht="12.5">
      <c r="A320" s="32"/>
    </row>
    <row r="321" spans="1:1" ht="12.5">
      <c r="A321" s="32"/>
    </row>
    <row r="322" spans="1:1" ht="12.5">
      <c r="A322" s="32"/>
    </row>
    <row r="323" spans="1:1" ht="12.5">
      <c r="A323" s="32"/>
    </row>
    <row r="324" spans="1:1" ht="12.5">
      <c r="A324" s="32"/>
    </row>
    <row r="325" spans="1:1" ht="12.5">
      <c r="A325" s="32"/>
    </row>
    <row r="326" spans="1:1" ht="12.5">
      <c r="A326" s="32"/>
    </row>
    <row r="327" spans="1:1" ht="12.5">
      <c r="A327" s="32"/>
    </row>
    <row r="328" spans="1:1" ht="12.5">
      <c r="A328" s="32"/>
    </row>
    <row r="329" spans="1:1" ht="12.5">
      <c r="A329" s="32"/>
    </row>
    <row r="330" spans="1:1" ht="12.5">
      <c r="A330" s="32"/>
    </row>
    <row r="331" spans="1:1" ht="12.5">
      <c r="A331" s="32"/>
    </row>
    <row r="332" spans="1:1" ht="12.5">
      <c r="A332" s="32"/>
    </row>
    <row r="333" spans="1:1" ht="12.5">
      <c r="A333" s="32"/>
    </row>
    <row r="334" spans="1:1" ht="12.5">
      <c r="A334" s="32"/>
    </row>
    <row r="335" spans="1:1" ht="12.5">
      <c r="A335" s="32"/>
    </row>
    <row r="336" spans="1:1" ht="12.5">
      <c r="A336" s="32"/>
    </row>
    <row r="337" spans="1:1" ht="12.5">
      <c r="A337" s="32"/>
    </row>
    <row r="338" spans="1:1" ht="12.5">
      <c r="A338" s="32"/>
    </row>
    <row r="339" spans="1:1" ht="12.5">
      <c r="A339" s="32"/>
    </row>
    <row r="340" spans="1:1" ht="12.5">
      <c r="A340" s="32"/>
    </row>
    <row r="341" spans="1:1" ht="12.5">
      <c r="A341" s="32"/>
    </row>
    <row r="342" spans="1:1" ht="12.5">
      <c r="A342" s="32"/>
    </row>
    <row r="343" spans="1:1" ht="12.5">
      <c r="A343" s="32"/>
    </row>
    <row r="344" spans="1:1" ht="12.5">
      <c r="A344" s="32"/>
    </row>
    <row r="345" spans="1:1" ht="12.5">
      <c r="A345" s="32"/>
    </row>
    <row r="346" spans="1:1" ht="12.5">
      <c r="A346" s="32"/>
    </row>
    <row r="347" spans="1:1" ht="12.5">
      <c r="A347" s="32"/>
    </row>
    <row r="348" spans="1:1" ht="12.5">
      <c r="A348" s="32"/>
    </row>
    <row r="349" spans="1:1" ht="12.5">
      <c r="A349" s="32"/>
    </row>
    <row r="350" spans="1:1" ht="12.5">
      <c r="A350" s="32"/>
    </row>
    <row r="351" spans="1:1" ht="12.5">
      <c r="A351" s="32"/>
    </row>
    <row r="352" spans="1:1" ht="12.5">
      <c r="A352" s="32"/>
    </row>
    <row r="353" spans="1:1" ht="12.5">
      <c r="A353" s="32"/>
    </row>
    <row r="354" spans="1:1" ht="12.5">
      <c r="A354" s="32"/>
    </row>
    <row r="355" spans="1:1" ht="12.5">
      <c r="A355" s="32"/>
    </row>
    <row r="356" spans="1:1" ht="12.5">
      <c r="A356" s="32"/>
    </row>
    <row r="357" spans="1:1" ht="12.5">
      <c r="A357" s="32"/>
    </row>
    <row r="358" spans="1:1" ht="12.5">
      <c r="A358" s="32"/>
    </row>
    <row r="359" spans="1:1" ht="12.5">
      <c r="A359" s="32"/>
    </row>
    <row r="360" spans="1:1" ht="12.5">
      <c r="A360" s="32"/>
    </row>
    <row r="361" spans="1:1" ht="12.5">
      <c r="A361" s="32"/>
    </row>
    <row r="362" spans="1:1" ht="12.5">
      <c r="A362" s="32"/>
    </row>
    <row r="363" spans="1:1" ht="12.5">
      <c r="A363" s="32"/>
    </row>
    <row r="364" spans="1:1" ht="12.5">
      <c r="A364" s="32"/>
    </row>
    <row r="365" spans="1:1" ht="12.5">
      <c r="A365" s="32"/>
    </row>
    <row r="366" spans="1:1" ht="12.5">
      <c r="A366" s="32"/>
    </row>
    <row r="367" spans="1:1" ht="12.5">
      <c r="A367" s="32"/>
    </row>
    <row r="368" spans="1:1" ht="12.5">
      <c r="A368" s="32"/>
    </row>
    <row r="369" spans="1:1" ht="12.5">
      <c r="A369" s="32"/>
    </row>
    <row r="370" spans="1:1" ht="12.5">
      <c r="A370" s="32"/>
    </row>
    <row r="371" spans="1:1" ht="12.5">
      <c r="A371" s="32"/>
    </row>
    <row r="372" spans="1:1" ht="12.5">
      <c r="A372" s="32"/>
    </row>
    <row r="373" spans="1:1" ht="12.5">
      <c r="A373" s="32"/>
    </row>
    <row r="374" spans="1:1" ht="12.5">
      <c r="A374" s="32"/>
    </row>
    <row r="375" spans="1:1" ht="12.5">
      <c r="A375" s="32"/>
    </row>
    <row r="376" spans="1:1" ht="12.5">
      <c r="A376" s="32"/>
    </row>
    <row r="377" spans="1:1" ht="12.5">
      <c r="A377" s="32"/>
    </row>
    <row r="378" spans="1:1" ht="12.5">
      <c r="A378" s="32"/>
    </row>
    <row r="379" spans="1:1" ht="12.5">
      <c r="A379" s="32"/>
    </row>
    <row r="380" spans="1:1" ht="12.5">
      <c r="A380" s="32"/>
    </row>
    <row r="381" spans="1:1" ht="12.5">
      <c r="A381" s="32"/>
    </row>
    <row r="382" spans="1:1" ht="12.5">
      <c r="A382" s="32"/>
    </row>
    <row r="383" spans="1:1" ht="12.5">
      <c r="A383" s="32"/>
    </row>
    <row r="384" spans="1:1" ht="12.5">
      <c r="A384" s="32"/>
    </row>
    <row r="385" spans="1:1" ht="12.5">
      <c r="A385" s="32"/>
    </row>
    <row r="386" spans="1:1" ht="12.5">
      <c r="A386" s="32"/>
    </row>
    <row r="387" spans="1:1" ht="12.5">
      <c r="A387" s="32"/>
    </row>
    <row r="388" spans="1:1" ht="12.5">
      <c r="A388" s="32"/>
    </row>
    <row r="389" spans="1:1" ht="12.5">
      <c r="A389" s="32"/>
    </row>
    <row r="390" spans="1:1" ht="12.5">
      <c r="A390" s="32"/>
    </row>
    <row r="391" spans="1:1" ht="12.5">
      <c r="A391" s="32"/>
    </row>
    <row r="392" spans="1:1" ht="12.5">
      <c r="A392" s="32"/>
    </row>
    <row r="393" spans="1:1" ht="12.5">
      <c r="A393" s="32"/>
    </row>
    <row r="394" spans="1:1" ht="12.5">
      <c r="A394" s="32"/>
    </row>
    <row r="395" spans="1:1" ht="12.5">
      <c r="A395" s="32"/>
    </row>
    <row r="396" spans="1:1" ht="12.5">
      <c r="A396" s="32"/>
    </row>
    <row r="397" spans="1:1" ht="12.5">
      <c r="A397" s="32"/>
    </row>
    <row r="398" spans="1:1" ht="12.5">
      <c r="A398" s="32"/>
    </row>
    <row r="399" spans="1:1" ht="12.5">
      <c r="A399" s="32"/>
    </row>
    <row r="400" spans="1:1" ht="12.5">
      <c r="A400" s="32"/>
    </row>
    <row r="401" spans="1:1" ht="12.5">
      <c r="A401" s="32"/>
    </row>
    <row r="402" spans="1:1" ht="12.5">
      <c r="A402" s="32"/>
    </row>
    <row r="403" spans="1:1" ht="12.5">
      <c r="A403" s="32"/>
    </row>
    <row r="404" spans="1:1" ht="12.5">
      <c r="A404" s="32"/>
    </row>
    <row r="405" spans="1:1" ht="12.5">
      <c r="A405" s="32"/>
    </row>
    <row r="406" spans="1:1" ht="12.5">
      <c r="A406" s="32"/>
    </row>
    <row r="407" spans="1:1" ht="12.5">
      <c r="A407" s="32"/>
    </row>
    <row r="408" spans="1:1" ht="12.5">
      <c r="A408" s="32"/>
    </row>
    <row r="409" spans="1:1" ht="12.5">
      <c r="A409" s="32"/>
    </row>
    <row r="410" spans="1:1" ht="12.5">
      <c r="A410" s="32"/>
    </row>
    <row r="411" spans="1:1" ht="12.5">
      <c r="A411" s="32"/>
    </row>
    <row r="412" spans="1:1" ht="12.5">
      <c r="A412" s="32"/>
    </row>
    <row r="413" spans="1:1" ht="12.5">
      <c r="A413" s="32"/>
    </row>
    <row r="414" spans="1:1" ht="12.5">
      <c r="A414" s="32"/>
    </row>
    <row r="415" spans="1:1" ht="12.5">
      <c r="A415" s="32"/>
    </row>
    <row r="416" spans="1:1" ht="12.5">
      <c r="A416" s="32"/>
    </row>
    <row r="417" spans="1:1" ht="12.5">
      <c r="A417" s="32"/>
    </row>
    <row r="418" spans="1:1" ht="12.5">
      <c r="A418" s="32"/>
    </row>
    <row r="419" spans="1:1" ht="12.5">
      <c r="A419" s="32"/>
    </row>
    <row r="420" spans="1:1" ht="12.5">
      <c r="A420" s="32"/>
    </row>
    <row r="421" spans="1:1" ht="12.5">
      <c r="A421" s="32"/>
    </row>
    <row r="422" spans="1:1" ht="12.5">
      <c r="A422" s="32"/>
    </row>
    <row r="423" spans="1:1" ht="12.5">
      <c r="A423" s="32"/>
    </row>
    <row r="424" spans="1:1" ht="12.5">
      <c r="A424" s="32"/>
    </row>
    <row r="425" spans="1:1" ht="12.5">
      <c r="A425" s="32"/>
    </row>
    <row r="426" spans="1:1" ht="12.5">
      <c r="A426" s="32"/>
    </row>
    <row r="427" spans="1:1" ht="12.5">
      <c r="A427" s="32"/>
    </row>
    <row r="428" spans="1:1" ht="12.5">
      <c r="A428" s="32"/>
    </row>
    <row r="429" spans="1:1" ht="12.5">
      <c r="A429" s="32"/>
    </row>
    <row r="430" spans="1:1" ht="12.5">
      <c r="A430" s="32"/>
    </row>
    <row r="431" spans="1:1" ht="12.5">
      <c r="A431" s="32"/>
    </row>
    <row r="432" spans="1:1" ht="12.5">
      <c r="A432" s="32"/>
    </row>
    <row r="433" spans="1:1" ht="12.5">
      <c r="A433" s="32"/>
    </row>
    <row r="434" spans="1:1" ht="12.5">
      <c r="A434" s="32"/>
    </row>
    <row r="435" spans="1:1" ht="12.5">
      <c r="A435" s="32"/>
    </row>
    <row r="436" spans="1:1" ht="12.5">
      <c r="A436" s="32"/>
    </row>
    <row r="437" spans="1:1" ht="12.5">
      <c r="A437" s="32"/>
    </row>
    <row r="438" spans="1:1" ht="12.5">
      <c r="A438" s="32"/>
    </row>
    <row r="439" spans="1:1" ht="12.5">
      <c r="A439" s="32"/>
    </row>
    <row r="440" spans="1:1" ht="12.5">
      <c r="A440" s="32"/>
    </row>
    <row r="441" spans="1:1" ht="12.5">
      <c r="A441" s="32"/>
    </row>
    <row r="442" spans="1:1" ht="12.5">
      <c r="A442" s="32"/>
    </row>
    <row r="443" spans="1:1" ht="12.5">
      <c r="A443" s="32"/>
    </row>
    <row r="444" spans="1:1" ht="12.5">
      <c r="A444" s="32"/>
    </row>
    <row r="445" spans="1:1" ht="12.5">
      <c r="A445" s="32"/>
    </row>
    <row r="446" spans="1:1" ht="12.5">
      <c r="A446" s="32"/>
    </row>
    <row r="447" spans="1:1" ht="12.5">
      <c r="A447" s="32"/>
    </row>
    <row r="448" spans="1:1" ht="12.5">
      <c r="A448" s="32"/>
    </row>
    <row r="449" spans="1:1" ht="12.5">
      <c r="A449" s="32"/>
    </row>
    <row r="450" spans="1:1" ht="12.5">
      <c r="A450" s="32"/>
    </row>
    <row r="451" spans="1:1" ht="12.5">
      <c r="A451" s="32"/>
    </row>
    <row r="452" spans="1:1" ht="12.5">
      <c r="A452" s="32"/>
    </row>
    <row r="453" spans="1:1" ht="12.5">
      <c r="A453" s="32"/>
    </row>
    <row r="454" spans="1:1" ht="12.5">
      <c r="A454" s="32"/>
    </row>
    <row r="455" spans="1:1" ht="12.5">
      <c r="A455" s="32"/>
    </row>
    <row r="456" spans="1:1" ht="12.5">
      <c r="A456" s="32"/>
    </row>
    <row r="457" spans="1:1" ht="12.5">
      <c r="A457" s="32"/>
    </row>
    <row r="458" spans="1:1" ht="12.5">
      <c r="A458" s="32"/>
    </row>
    <row r="459" spans="1:1" ht="12.5">
      <c r="A459" s="32"/>
    </row>
    <row r="460" spans="1:1" ht="12.5">
      <c r="A460" s="32"/>
    </row>
    <row r="461" spans="1:1" ht="12.5">
      <c r="A461" s="32"/>
    </row>
    <row r="462" spans="1:1" ht="12.5">
      <c r="A462" s="32"/>
    </row>
    <row r="463" spans="1:1" ht="12.5">
      <c r="A463" s="32"/>
    </row>
    <row r="464" spans="1:1" ht="12.5">
      <c r="A464" s="32"/>
    </row>
    <row r="465" spans="1:1" ht="12.5">
      <c r="A465" s="32"/>
    </row>
    <row r="466" spans="1:1" ht="12.5">
      <c r="A466" s="32"/>
    </row>
    <row r="467" spans="1:1" ht="12.5">
      <c r="A467" s="32"/>
    </row>
    <row r="468" spans="1:1" ht="12.5">
      <c r="A468" s="32"/>
    </row>
    <row r="469" spans="1:1" ht="12.5">
      <c r="A469" s="32"/>
    </row>
    <row r="470" spans="1:1" ht="12.5">
      <c r="A470" s="32"/>
    </row>
    <row r="471" spans="1:1" ht="12.5">
      <c r="A471" s="32"/>
    </row>
    <row r="472" spans="1:1" ht="12.5">
      <c r="A472" s="32"/>
    </row>
    <row r="473" spans="1:1" ht="12.5">
      <c r="A473" s="32"/>
    </row>
    <row r="474" spans="1:1" ht="12.5">
      <c r="A474" s="32"/>
    </row>
    <row r="475" spans="1:1" ht="12.5">
      <c r="A475" s="32"/>
    </row>
    <row r="476" spans="1:1" ht="12.5">
      <c r="A476" s="32"/>
    </row>
    <row r="477" spans="1:1" ht="12.5">
      <c r="A477" s="32"/>
    </row>
    <row r="478" spans="1:1" ht="12.5">
      <c r="A478" s="32"/>
    </row>
    <row r="479" spans="1:1" ht="12.5">
      <c r="A479" s="32"/>
    </row>
    <row r="480" spans="1:1" ht="12.5">
      <c r="A480" s="32"/>
    </row>
    <row r="481" spans="1:1" ht="12.5">
      <c r="A481" s="32"/>
    </row>
    <row r="482" spans="1:1" ht="12.5">
      <c r="A482" s="32"/>
    </row>
    <row r="483" spans="1:1" ht="12.5">
      <c r="A483" s="32"/>
    </row>
    <row r="484" spans="1:1" ht="12.5">
      <c r="A484" s="32"/>
    </row>
    <row r="485" spans="1:1" ht="12.5">
      <c r="A485" s="32"/>
    </row>
    <row r="486" spans="1:1" ht="12.5">
      <c r="A486" s="32"/>
    </row>
    <row r="487" spans="1:1" ht="12.5">
      <c r="A487" s="32"/>
    </row>
    <row r="488" spans="1:1" ht="12.5">
      <c r="A488" s="32"/>
    </row>
    <row r="489" spans="1:1" ht="12.5">
      <c r="A489" s="32"/>
    </row>
    <row r="490" spans="1:1" ht="12.5">
      <c r="A490" s="32"/>
    </row>
    <row r="491" spans="1:1" ht="12.5">
      <c r="A491" s="32"/>
    </row>
    <row r="492" spans="1:1" ht="12.5">
      <c r="A492" s="32"/>
    </row>
    <row r="493" spans="1:1" ht="12.5">
      <c r="A493" s="32"/>
    </row>
    <row r="494" spans="1:1" ht="12.5">
      <c r="A494" s="32"/>
    </row>
    <row r="495" spans="1:1" ht="12.5">
      <c r="A495" s="32"/>
    </row>
    <row r="496" spans="1:1" ht="12.5">
      <c r="A496" s="32"/>
    </row>
    <row r="497" spans="1:1" ht="12.5">
      <c r="A497" s="32"/>
    </row>
    <row r="498" spans="1:1" ht="12.5">
      <c r="A498" s="32"/>
    </row>
    <row r="499" spans="1:1" ht="12.5">
      <c r="A499" s="32"/>
    </row>
    <row r="500" spans="1:1" ht="12.5">
      <c r="A500" s="32"/>
    </row>
    <row r="501" spans="1:1" ht="12.5">
      <c r="A501" s="32"/>
    </row>
    <row r="502" spans="1:1" ht="12.5">
      <c r="A502" s="32"/>
    </row>
    <row r="503" spans="1:1" ht="12.5">
      <c r="A503" s="32"/>
    </row>
    <row r="504" spans="1:1" ht="12.5">
      <c r="A504" s="32"/>
    </row>
    <row r="505" spans="1:1" ht="12.5">
      <c r="A505" s="32"/>
    </row>
    <row r="506" spans="1:1" ht="12.5">
      <c r="A506" s="32"/>
    </row>
    <row r="507" spans="1:1" ht="12.5">
      <c r="A507" s="32"/>
    </row>
    <row r="508" spans="1:1" ht="12.5">
      <c r="A508" s="32"/>
    </row>
    <row r="509" spans="1:1" ht="12.5">
      <c r="A509" s="32"/>
    </row>
    <row r="510" spans="1:1" ht="12.5">
      <c r="A510" s="32"/>
    </row>
    <row r="511" spans="1:1" ht="12.5">
      <c r="A511" s="32"/>
    </row>
    <row r="512" spans="1:1" ht="12.5">
      <c r="A512" s="32"/>
    </row>
    <row r="513" spans="1:1" ht="12.5">
      <c r="A513" s="32"/>
    </row>
    <row r="514" spans="1:1" ht="12.5">
      <c r="A514" s="32"/>
    </row>
    <row r="515" spans="1:1" ht="12.5">
      <c r="A515" s="32"/>
    </row>
    <row r="516" spans="1:1" ht="12.5">
      <c r="A516" s="32"/>
    </row>
    <row r="517" spans="1:1" ht="12.5">
      <c r="A517" s="32"/>
    </row>
    <row r="518" spans="1:1" ht="12.5">
      <c r="A518" s="32"/>
    </row>
    <row r="519" spans="1:1" ht="12.5">
      <c r="A519" s="32"/>
    </row>
    <row r="520" spans="1:1" ht="12.5">
      <c r="A520" s="32"/>
    </row>
    <row r="521" spans="1:1" ht="12.5">
      <c r="A521" s="32"/>
    </row>
    <row r="522" spans="1:1" ht="12.5">
      <c r="A522" s="32"/>
    </row>
    <row r="523" spans="1:1" ht="12.5">
      <c r="A523" s="32"/>
    </row>
    <row r="524" spans="1:1" ht="12.5">
      <c r="A524" s="32"/>
    </row>
    <row r="525" spans="1:1" ht="12.5">
      <c r="A525" s="32"/>
    </row>
    <row r="526" spans="1:1" ht="12.5">
      <c r="A526" s="32"/>
    </row>
    <row r="527" spans="1:1" ht="12.5">
      <c r="A527" s="32"/>
    </row>
    <row r="528" spans="1:1" ht="12.5">
      <c r="A528" s="32"/>
    </row>
    <row r="529" spans="1:1" ht="12.5">
      <c r="A529" s="32"/>
    </row>
    <row r="530" spans="1:1" ht="12.5">
      <c r="A530" s="32"/>
    </row>
    <row r="531" spans="1:1" ht="12.5">
      <c r="A531" s="32"/>
    </row>
    <row r="532" spans="1:1" ht="12.5">
      <c r="A532" s="32"/>
    </row>
    <row r="533" spans="1:1" ht="12.5">
      <c r="A533" s="32"/>
    </row>
    <row r="534" spans="1:1" ht="12.5">
      <c r="A534" s="32"/>
    </row>
    <row r="535" spans="1:1" ht="12.5">
      <c r="A535" s="32"/>
    </row>
    <row r="536" spans="1:1" ht="12.5">
      <c r="A536" s="32"/>
    </row>
    <row r="537" spans="1:1" ht="12.5">
      <c r="A537" s="32"/>
    </row>
    <row r="538" spans="1:1" ht="12.5">
      <c r="A538" s="32"/>
    </row>
    <row r="539" spans="1:1" ht="12.5">
      <c r="A539" s="32"/>
    </row>
    <row r="540" spans="1:1" ht="12.5">
      <c r="A540" s="32"/>
    </row>
    <row r="541" spans="1:1" ht="12.5">
      <c r="A541" s="32"/>
    </row>
    <row r="542" spans="1:1" ht="12.5">
      <c r="A542" s="32"/>
    </row>
    <row r="543" spans="1:1" ht="12.5">
      <c r="A543" s="32"/>
    </row>
    <row r="544" spans="1:1" ht="12.5">
      <c r="A544" s="32"/>
    </row>
    <row r="545" spans="1:1" ht="12.5">
      <c r="A545" s="32"/>
    </row>
    <row r="546" spans="1:1" ht="12.5">
      <c r="A546" s="32"/>
    </row>
    <row r="547" spans="1:1" ht="12.5">
      <c r="A547" s="32"/>
    </row>
    <row r="548" spans="1:1" ht="12.5">
      <c r="A548" s="32"/>
    </row>
    <row r="549" spans="1:1" ht="12.5">
      <c r="A549" s="32"/>
    </row>
    <row r="550" spans="1:1" ht="12.5">
      <c r="A550" s="32"/>
    </row>
    <row r="551" spans="1:1" ht="12.5">
      <c r="A551" s="32"/>
    </row>
    <row r="552" spans="1:1" ht="12.5">
      <c r="A552" s="32"/>
    </row>
    <row r="553" spans="1:1" ht="12.5">
      <c r="A553" s="32"/>
    </row>
    <row r="554" spans="1:1" ht="12.5">
      <c r="A554" s="32"/>
    </row>
    <row r="555" spans="1:1" ht="12.5">
      <c r="A555" s="32"/>
    </row>
    <row r="556" spans="1:1" ht="12.5">
      <c r="A556" s="32"/>
    </row>
    <row r="557" spans="1:1" ht="12.5">
      <c r="A557" s="32"/>
    </row>
    <row r="558" spans="1:1" ht="12.5">
      <c r="A558" s="32"/>
    </row>
    <row r="559" spans="1:1" ht="12.5">
      <c r="A559" s="32"/>
    </row>
    <row r="560" spans="1:1" ht="12.5">
      <c r="A560" s="32"/>
    </row>
    <row r="561" spans="1:1" ht="12.5">
      <c r="A561" s="32"/>
    </row>
    <row r="562" spans="1:1" ht="12.5">
      <c r="A562" s="32"/>
    </row>
    <row r="563" spans="1:1" ht="12.5">
      <c r="A563" s="32"/>
    </row>
    <row r="564" spans="1:1" ht="12.5">
      <c r="A564" s="32"/>
    </row>
    <row r="565" spans="1:1" ht="12.5">
      <c r="A565" s="32"/>
    </row>
    <row r="566" spans="1:1" ht="12.5">
      <c r="A566" s="32"/>
    </row>
    <row r="567" spans="1:1" ht="12.5">
      <c r="A567" s="32"/>
    </row>
    <row r="568" spans="1:1" ht="12.5">
      <c r="A568" s="32"/>
    </row>
    <row r="569" spans="1:1" ht="12.5">
      <c r="A569" s="32"/>
    </row>
    <row r="570" spans="1:1" ht="12.5">
      <c r="A570" s="32"/>
    </row>
    <row r="571" spans="1:1" ht="12.5">
      <c r="A571" s="32"/>
    </row>
    <row r="572" spans="1:1" ht="12.5">
      <c r="A572" s="32"/>
    </row>
    <row r="573" spans="1:1" ht="12.5">
      <c r="A573" s="32"/>
    </row>
    <row r="574" spans="1:1" ht="12.5">
      <c r="A574" s="32"/>
    </row>
    <row r="575" spans="1:1" ht="12.5">
      <c r="A575" s="32"/>
    </row>
    <row r="576" spans="1:1" ht="12.5">
      <c r="A576" s="32"/>
    </row>
    <row r="577" spans="1:1" ht="12.5">
      <c r="A577" s="32"/>
    </row>
    <row r="578" spans="1:1" ht="12.5">
      <c r="A578" s="32"/>
    </row>
    <row r="579" spans="1:1" ht="12.5">
      <c r="A579" s="32"/>
    </row>
    <row r="580" spans="1:1" ht="12.5">
      <c r="A580" s="32"/>
    </row>
    <row r="581" spans="1:1" ht="12.5">
      <c r="A581" s="32"/>
    </row>
    <row r="582" spans="1:1" ht="12.5">
      <c r="A582" s="32"/>
    </row>
    <row r="583" spans="1:1" ht="12.5">
      <c r="A583" s="32"/>
    </row>
    <row r="584" spans="1:1" ht="12.5">
      <c r="A584" s="32"/>
    </row>
    <row r="585" spans="1:1" ht="12.5">
      <c r="A585" s="32"/>
    </row>
    <row r="586" spans="1:1" ht="12.5">
      <c r="A586" s="32"/>
    </row>
    <row r="587" spans="1:1" ht="12.5">
      <c r="A587" s="32"/>
    </row>
    <row r="588" spans="1:1" ht="12.5">
      <c r="A588" s="32"/>
    </row>
    <row r="589" spans="1:1" ht="12.5">
      <c r="A589" s="32"/>
    </row>
    <row r="590" spans="1:1" ht="12.5">
      <c r="A590" s="32"/>
    </row>
    <row r="591" spans="1:1" ht="12.5">
      <c r="A591" s="32"/>
    </row>
    <row r="592" spans="1:1" ht="12.5">
      <c r="A592" s="32"/>
    </row>
    <row r="593" spans="1:1" ht="12.5">
      <c r="A593" s="32"/>
    </row>
    <row r="594" spans="1:1" ht="12.5">
      <c r="A594" s="32"/>
    </row>
    <row r="595" spans="1:1" ht="12.5">
      <c r="A595" s="32"/>
    </row>
    <row r="596" spans="1:1" ht="12.5">
      <c r="A596" s="32"/>
    </row>
    <row r="597" spans="1:1" ht="12.5">
      <c r="A597" s="32"/>
    </row>
    <row r="598" spans="1:1" ht="12.5">
      <c r="A598" s="32"/>
    </row>
    <row r="599" spans="1:1" ht="12.5">
      <c r="A599" s="32"/>
    </row>
    <row r="600" spans="1:1" ht="12.5">
      <c r="A600" s="32"/>
    </row>
    <row r="601" spans="1:1" ht="12.5">
      <c r="A601" s="32"/>
    </row>
    <row r="602" spans="1:1" ht="12.5">
      <c r="A602" s="32"/>
    </row>
    <row r="603" spans="1:1" ht="12.5">
      <c r="A603" s="32"/>
    </row>
    <row r="604" spans="1:1" ht="12.5">
      <c r="A604" s="32"/>
    </row>
    <row r="605" spans="1:1" ht="12.5">
      <c r="A605" s="32"/>
    </row>
    <row r="606" spans="1:1" ht="12.5">
      <c r="A606" s="32"/>
    </row>
    <row r="607" spans="1:1" ht="12.5">
      <c r="A607" s="32"/>
    </row>
    <row r="608" spans="1:1" ht="12.5">
      <c r="A608" s="32"/>
    </row>
    <row r="609" spans="1:1" ht="12.5">
      <c r="A609" s="32"/>
    </row>
    <row r="610" spans="1:1" ht="12.5">
      <c r="A610" s="32"/>
    </row>
    <row r="611" spans="1:1" ht="12.5">
      <c r="A611" s="32"/>
    </row>
    <row r="612" spans="1:1" ht="12.5">
      <c r="A612" s="32"/>
    </row>
    <row r="613" spans="1:1" ht="12.5">
      <c r="A613" s="32"/>
    </row>
    <row r="614" spans="1:1" ht="12.5">
      <c r="A614" s="32"/>
    </row>
    <row r="615" spans="1:1" ht="12.5">
      <c r="A615" s="32"/>
    </row>
    <row r="616" spans="1:1" ht="12.5">
      <c r="A616" s="32"/>
    </row>
    <row r="617" spans="1:1" ht="12.5">
      <c r="A617" s="32"/>
    </row>
    <row r="618" spans="1:1" ht="12.5">
      <c r="A618" s="32"/>
    </row>
    <row r="619" spans="1:1" ht="12.5">
      <c r="A619" s="32"/>
    </row>
    <row r="620" spans="1:1" ht="12.5">
      <c r="A620" s="32"/>
    </row>
    <row r="621" spans="1:1" ht="12.5">
      <c r="A621" s="32"/>
    </row>
    <row r="622" spans="1:1" ht="12.5">
      <c r="A622" s="32"/>
    </row>
    <row r="623" spans="1:1" ht="12.5">
      <c r="A623" s="32"/>
    </row>
    <row r="624" spans="1:1" ht="12.5">
      <c r="A624" s="32"/>
    </row>
    <row r="625" spans="1:1" ht="12.5">
      <c r="A625" s="32"/>
    </row>
    <row r="626" spans="1:1" ht="12.5">
      <c r="A626" s="32"/>
    </row>
    <row r="627" spans="1:1" ht="12.5">
      <c r="A627" s="32"/>
    </row>
    <row r="628" spans="1:1" ht="12.5">
      <c r="A628" s="32"/>
    </row>
    <row r="629" spans="1:1" ht="12.5">
      <c r="A629" s="32"/>
    </row>
    <row r="630" spans="1:1" ht="12.5">
      <c r="A630" s="32"/>
    </row>
    <row r="631" spans="1:1" ht="12.5">
      <c r="A631" s="32"/>
    </row>
    <row r="632" spans="1:1" ht="12.5">
      <c r="A632" s="32"/>
    </row>
    <row r="633" spans="1:1" ht="12.5">
      <c r="A633" s="32"/>
    </row>
    <row r="634" spans="1:1" ht="12.5">
      <c r="A634" s="32"/>
    </row>
    <row r="635" spans="1:1" ht="12.5">
      <c r="A635" s="32"/>
    </row>
    <row r="636" spans="1:1" ht="12.5">
      <c r="A636" s="32"/>
    </row>
    <row r="637" spans="1:1" ht="12.5">
      <c r="A637" s="32"/>
    </row>
    <row r="638" spans="1:1" ht="12.5">
      <c r="A638" s="32"/>
    </row>
    <row r="639" spans="1:1" ht="12.5">
      <c r="A639" s="32"/>
    </row>
    <row r="640" spans="1:1" ht="12.5">
      <c r="A640" s="32"/>
    </row>
    <row r="641" spans="1:1" ht="12.5">
      <c r="A641" s="32"/>
    </row>
    <row r="642" spans="1:1" ht="12.5">
      <c r="A642" s="32"/>
    </row>
    <row r="643" spans="1:1" ht="12.5">
      <c r="A643" s="32"/>
    </row>
    <row r="644" spans="1:1" ht="12.5">
      <c r="A644" s="32"/>
    </row>
    <row r="645" spans="1:1" ht="12.5">
      <c r="A645" s="32"/>
    </row>
    <row r="646" spans="1:1" ht="12.5">
      <c r="A646" s="32"/>
    </row>
    <row r="647" spans="1:1" ht="12.5">
      <c r="A647" s="32"/>
    </row>
    <row r="648" spans="1:1" ht="12.5">
      <c r="A648" s="32"/>
    </row>
    <row r="649" spans="1:1" ht="12.5">
      <c r="A649" s="32"/>
    </row>
    <row r="650" spans="1:1" ht="12.5">
      <c r="A650" s="32"/>
    </row>
    <row r="651" spans="1:1" ht="12.5">
      <c r="A651" s="32"/>
    </row>
    <row r="652" spans="1:1" ht="12.5">
      <c r="A652" s="32"/>
    </row>
    <row r="653" spans="1:1" ht="12.5">
      <c r="A653" s="32"/>
    </row>
    <row r="654" spans="1:1" ht="12.5">
      <c r="A654" s="32"/>
    </row>
    <row r="655" spans="1:1" ht="12.5">
      <c r="A655" s="32"/>
    </row>
    <row r="656" spans="1:1" ht="12.5">
      <c r="A656" s="32"/>
    </row>
    <row r="657" spans="1:1" ht="12.5">
      <c r="A657" s="32"/>
    </row>
    <row r="658" spans="1:1" ht="12.5">
      <c r="A658" s="32"/>
    </row>
    <row r="659" spans="1:1" ht="12.5">
      <c r="A659" s="32"/>
    </row>
    <row r="660" spans="1:1" ht="12.5">
      <c r="A660" s="32"/>
    </row>
    <row r="661" spans="1:1" ht="12.5">
      <c r="A661" s="32"/>
    </row>
    <row r="662" spans="1:1" ht="12.5">
      <c r="A662" s="32"/>
    </row>
    <row r="663" spans="1:1" ht="12.5">
      <c r="A663" s="32"/>
    </row>
    <row r="664" spans="1:1" ht="12.5">
      <c r="A664" s="32"/>
    </row>
    <row r="665" spans="1:1" ht="12.5">
      <c r="A665" s="32"/>
    </row>
    <row r="666" spans="1:1" ht="12.5">
      <c r="A666" s="32"/>
    </row>
    <row r="667" spans="1:1" ht="12.5">
      <c r="A667" s="32"/>
    </row>
    <row r="668" spans="1:1" ht="12.5">
      <c r="A668" s="32"/>
    </row>
    <row r="669" spans="1:1" ht="12.5">
      <c r="A669" s="32"/>
    </row>
    <row r="670" spans="1:1" ht="12.5">
      <c r="A670" s="32"/>
    </row>
    <row r="671" spans="1:1" ht="12.5">
      <c r="A671" s="32"/>
    </row>
    <row r="672" spans="1:1" ht="12.5">
      <c r="A672" s="32"/>
    </row>
    <row r="673" spans="1:1" ht="12.5">
      <c r="A673" s="32"/>
    </row>
    <row r="674" spans="1:1" ht="12.5">
      <c r="A674" s="32"/>
    </row>
    <row r="675" spans="1:1" ht="12.5">
      <c r="A675" s="32"/>
    </row>
    <row r="676" spans="1:1" ht="12.5">
      <c r="A676" s="32"/>
    </row>
    <row r="677" spans="1:1" ht="12.5">
      <c r="A677" s="32"/>
    </row>
    <row r="678" spans="1:1" ht="12.5">
      <c r="A678" s="32"/>
    </row>
    <row r="679" spans="1:1" ht="12.5">
      <c r="A679" s="32"/>
    </row>
    <row r="680" spans="1:1" ht="12.5">
      <c r="A680" s="32"/>
    </row>
    <row r="681" spans="1:1" ht="12.5">
      <c r="A681" s="32"/>
    </row>
    <row r="682" spans="1:1" ht="12.5">
      <c r="A682" s="32"/>
    </row>
    <row r="683" spans="1:1" ht="12.5">
      <c r="A683" s="32"/>
    </row>
    <row r="684" spans="1:1" ht="12.5">
      <c r="A684" s="32"/>
    </row>
    <row r="685" spans="1:1" ht="12.5">
      <c r="A685" s="32"/>
    </row>
    <row r="686" spans="1:1" ht="12.5">
      <c r="A686" s="32"/>
    </row>
    <row r="687" spans="1:1" ht="12.5">
      <c r="A687" s="32"/>
    </row>
    <row r="688" spans="1:1" ht="12.5">
      <c r="A688" s="32"/>
    </row>
    <row r="689" spans="1:1" ht="12.5">
      <c r="A689" s="32"/>
    </row>
    <row r="690" spans="1:1" ht="12.5">
      <c r="A690" s="32"/>
    </row>
    <row r="691" spans="1:1" ht="12.5">
      <c r="A691" s="32"/>
    </row>
    <row r="692" spans="1:1" ht="12.5">
      <c r="A692" s="32"/>
    </row>
    <row r="693" spans="1:1" ht="12.5">
      <c r="A693" s="32"/>
    </row>
    <row r="694" spans="1:1" ht="12.5">
      <c r="A694" s="32"/>
    </row>
    <row r="695" spans="1:1" ht="12.5">
      <c r="A695" s="32"/>
    </row>
    <row r="696" spans="1:1" ht="12.5">
      <c r="A696" s="32"/>
    </row>
    <row r="697" spans="1:1" ht="12.5">
      <c r="A697" s="32"/>
    </row>
    <row r="698" spans="1:1" ht="12.5">
      <c r="A698" s="32"/>
    </row>
    <row r="699" spans="1:1" ht="12.5">
      <c r="A699" s="32"/>
    </row>
    <row r="700" spans="1:1" ht="12.5">
      <c r="A700" s="32"/>
    </row>
    <row r="701" spans="1:1" ht="12.5">
      <c r="A701" s="32"/>
    </row>
    <row r="702" spans="1:1" ht="12.5">
      <c r="A702" s="32"/>
    </row>
    <row r="703" spans="1:1" ht="12.5">
      <c r="A703" s="32"/>
    </row>
    <row r="704" spans="1:1" ht="12.5">
      <c r="A704" s="32"/>
    </row>
    <row r="705" spans="1:1" ht="12.5">
      <c r="A705" s="32"/>
    </row>
    <row r="706" spans="1:1" ht="12.5">
      <c r="A706" s="32"/>
    </row>
    <row r="707" spans="1:1" ht="12.5">
      <c r="A707" s="32"/>
    </row>
    <row r="708" spans="1:1" ht="12.5">
      <c r="A708" s="32"/>
    </row>
    <row r="709" spans="1:1" ht="12.5">
      <c r="A709" s="32"/>
    </row>
    <row r="710" spans="1:1" ht="12.5">
      <c r="A710" s="32"/>
    </row>
    <row r="711" spans="1:1" ht="12.5">
      <c r="A711" s="32"/>
    </row>
    <row r="712" spans="1:1" ht="12.5">
      <c r="A712" s="32"/>
    </row>
    <row r="713" spans="1:1" ht="12.5">
      <c r="A713" s="32"/>
    </row>
    <row r="714" spans="1:1" ht="12.5">
      <c r="A714" s="32"/>
    </row>
    <row r="715" spans="1:1" ht="12.5">
      <c r="A715" s="32"/>
    </row>
    <row r="716" spans="1:1" ht="12.5">
      <c r="A716" s="32"/>
    </row>
    <row r="717" spans="1:1" ht="12.5">
      <c r="A717" s="32"/>
    </row>
    <row r="718" spans="1:1" ht="12.5">
      <c r="A718" s="32"/>
    </row>
    <row r="719" spans="1:1" ht="12.5">
      <c r="A719" s="32"/>
    </row>
    <row r="720" spans="1:1" ht="12.5">
      <c r="A720" s="32"/>
    </row>
    <row r="721" spans="1:1" ht="12.5">
      <c r="A721" s="32"/>
    </row>
    <row r="722" spans="1:1" ht="12.5">
      <c r="A722" s="32"/>
    </row>
    <row r="723" spans="1:1" ht="12.5">
      <c r="A723" s="32"/>
    </row>
    <row r="724" spans="1:1" ht="12.5">
      <c r="A724" s="32"/>
    </row>
    <row r="725" spans="1:1" ht="12.5">
      <c r="A725" s="32"/>
    </row>
    <row r="726" spans="1:1" ht="12.5">
      <c r="A726" s="32"/>
    </row>
    <row r="727" spans="1:1" ht="12.5">
      <c r="A727" s="32"/>
    </row>
    <row r="728" spans="1:1" ht="12.5">
      <c r="A728" s="32"/>
    </row>
    <row r="729" spans="1:1" ht="12.5">
      <c r="A729" s="32"/>
    </row>
    <row r="730" spans="1:1" ht="12.5">
      <c r="A730" s="32"/>
    </row>
    <row r="731" spans="1:1" ht="12.5">
      <c r="A731" s="32"/>
    </row>
    <row r="732" spans="1:1" ht="12.5">
      <c r="A732" s="32"/>
    </row>
    <row r="733" spans="1:1" ht="12.5">
      <c r="A733" s="32"/>
    </row>
    <row r="734" spans="1:1" ht="12.5">
      <c r="A734" s="32"/>
    </row>
    <row r="735" spans="1:1" ht="12.5">
      <c r="A735" s="32"/>
    </row>
    <row r="736" spans="1:1" ht="12.5">
      <c r="A736" s="32"/>
    </row>
    <row r="737" spans="1:1" ht="12.5">
      <c r="A737" s="32"/>
    </row>
    <row r="738" spans="1:1" ht="12.5">
      <c r="A738" s="32"/>
    </row>
    <row r="739" spans="1:1" ht="12.5">
      <c r="A739" s="32"/>
    </row>
    <row r="740" spans="1:1" ht="12.5">
      <c r="A740" s="32"/>
    </row>
    <row r="741" spans="1:1" ht="12.5">
      <c r="A741" s="32"/>
    </row>
    <row r="742" spans="1:1" ht="12.5">
      <c r="A742" s="32"/>
    </row>
    <row r="743" spans="1:1" ht="12.5">
      <c r="A743" s="32"/>
    </row>
    <row r="744" spans="1:1" ht="12.5">
      <c r="A744" s="32"/>
    </row>
    <row r="745" spans="1:1" ht="12.5">
      <c r="A745" s="32"/>
    </row>
    <row r="746" spans="1:1" ht="12.5">
      <c r="A746" s="32"/>
    </row>
    <row r="747" spans="1:1" ht="12.5">
      <c r="A747" s="32"/>
    </row>
    <row r="748" spans="1:1" ht="12.5">
      <c r="A748" s="32"/>
    </row>
    <row r="749" spans="1:1" ht="12.5">
      <c r="A749" s="32"/>
    </row>
    <row r="750" spans="1:1" ht="12.5">
      <c r="A750" s="32"/>
    </row>
    <row r="751" spans="1:1" ht="12.5">
      <c r="A751" s="32"/>
    </row>
    <row r="752" spans="1:1" ht="12.5">
      <c r="A752" s="32"/>
    </row>
    <row r="753" spans="1:1" ht="12.5">
      <c r="A753" s="32"/>
    </row>
    <row r="754" spans="1:1" ht="12.5">
      <c r="A754" s="32"/>
    </row>
    <row r="755" spans="1:1" ht="12.5">
      <c r="A755" s="32"/>
    </row>
    <row r="756" spans="1:1" ht="12.5">
      <c r="A756" s="32"/>
    </row>
    <row r="757" spans="1:1" ht="12.5">
      <c r="A757" s="32"/>
    </row>
    <row r="758" spans="1:1" ht="12.5">
      <c r="A758" s="32"/>
    </row>
    <row r="759" spans="1:1" ht="12.5">
      <c r="A759" s="32"/>
    </row>
    <row r="760" spans="1:1" ht="12.5">
      <c r="A760" s="32"/>
    </row>
    <row r="761" spans="1:1" ht="12.5">
      <c r="A761" s="32"/>
    </row>
    <row r="762" spans="1:1" ht="12.5">
      <c r="A762" s="32"/>
    </row>
    <row r="763" spans="1:1" ht="12.5">
      <c r="A763" s="32"/>
    </row>
    <row r="764" spans="1:1" ht="12.5">
      <c r="A764" s="32"/>
    </row>
    <row r="765" spans="1:1" ht="12.5">
      <c r="A765" s="32"/>
    </row>
    <row r="766" spans="1:1" ht="12.5">
      <c r="A766" s="32"/>
    </row>
    <row r="767" spans="1:1" ht="12.5">
      <c r="A767" s="32"/>
    </row>
    <row r="768" spans="1:1" ht="12.5">
      <c r="A768" s="32"/>
    </row>
    <row r="769" spans="1:1" ht="12.5">
      <c r="A769" s="32"/>
    </row>
    <row r="770" spans="1:1" ht="12.5">
      <c r="A770" s="32"/>
    </row>
    <row r="771" spans="1:1" ht="12.5">
      <c r="A771" s="32"/>
    </row>
    <row r="772" spans="1:1" ht="12.5">
      <c r="A772" s="32"/>
    </row>
    <row r="773" spans="1:1" ht="12.5">
      <c r="A773" s="32"/>
    </row>
    <row r="774" spans="1:1" ht="12.5">
      <c r="A774" s="32"/>
    </row>
    <row r="775" spans="1:1" ht="12.5">
      <c r="A775" s="32"/>
    </row>
    <row r="776" spans="1:1" ht="12.5">
      <c r="A776" s="32"/>
    </row>
    <row r="777" spans="1:1" ht="12.5">
      <c r="A777" s="32"/>
    </row>
    <row r="778" spans="1:1" ht="12.5">
      <c r="A778" s="32"/>
    </row>
    <row r="779" spans="1:1" ht="12.5">
      <c r="A779" s="32"/>
    </row>
    <row r="780" spans="1:1" ht="12.5">
      <c r="A780" s="32"/>
    </row>
    <row r="781" spans="1:1" ht="12.5">
      <c r="A781" s="32"/>
    </row>
    <row r="782" spans="1:1" ht="12.5">
      <c r="A782" s="32"/>
    </row>
    <row r="783" spans="1:1" ht="12.5">
      <c r="A783" s="32"/>
    </row>
    <row r="784" spans="1:1" ht="12.5">
      <c r="A784" s="32"/>
    </row>
    <row r="785" spans="1:1" ht="12.5">
      <c r="A785" s="32"/>
    </row>
    <row r="786" spans="1:1" ht="12.5">
      <c r="A786" s="32"/>
    </row>
    <row r="787" spans="1:1" ht="12.5">
      <c r="A787" s="32"/>
    </row>
    <row r="788" spans="1:1" ht="12.5">
      <c r="A788" s="32"/>
    </row>
    <row r="789" spans="1:1" ht="12.5">
      <c r="A789" s="32"/>
    </row>
    <row r="790" spans="1:1" ht="12.5">
      <c r="A790" s="32"/>
    </row>
    <row r="791" spans="1:1" ht="12.5">
      <c r="A791" s="32"/>
    </row>
    <row r="792" spans="1:1" ht="12.5">
      <c r="A792" s="32"/>
    </row>
    <row r="793" spans="1:1" ht="12.5">
      <c r="A793" s="32"/>
    </row>
    <row r="794" spans="1:1" ht="12.5">
      <c r="A794" s="32"/>
    </row>
    <row r="795" spans="1:1" ht="12.5">
      <c r="A795" s="32"/>
    </row>
    <row r="796" spans="1:1" ht="12.5">
      <c r="A796" s="32"/>
    </row>
    <row r="797" spans="1:1" ht="12.5">
      <c r="A797" s="32"/>
    </row>
    <row r="798" spans="1:1" ht="12.5">
      <c r="A798" s="32"/>
    </row>
    <row r="799" spans="1:1" ht="12.5">
      <c r="A799" s="32"/>
    </row>
    <row r="800" spans="1:1" ht="12.5">
      <c r="A800" s="32"/>
    </row>
    <row r="801" spans="1:1" ht="12.5">
      <c r="A801" s="32"/>
    </row>
    <row r="802" spans="1:1" ht="12.5">
      <c r="A802" s="32"/>
    </row>
    <row r="803" spans="1:1" ht="12.5">
      <c r="A803" s="32"/>
    </row>
    <row r="804" spans="1:1" ht="12.5">
      <c r="A804" s="32"/>
    </row>
    <row r="805" spans="1:1" ht="12.5">
      <c r="A805" s="32"/>
    </row>
    <row r="806" spans="1:1" ht="12.5">
      <c r="A806" s="32"/>
    </row>
    <row r="807" spans="1:1" ht="12.5">
      <c r="A807" s="32"/>
    </row>
    <row r="808" spans="1:1" ht="12.5">
      <c r="A808" s="32"/>
    </row>
    <row r="809" spans="1:1" ht="12.5">
      <c r="A809" s="32"/>
    </row>
    <row r="810" spans="1:1" ht="12.5">
      <c r="A810" s="32"/>
    </row>
    <row r="811" spans="1:1" ht="12.5">
      <c r="A811" s="32"/>
    </row>
    <row r="812" spans="1:1" ht="12.5">
      <c r="A812" s="32"/>
    </row>
    <row r="813" spans="1:1" ht="12.5">
      <c r="A813" s="32"/>
    </row>
    <row r="814" spans="1:1" ht="12.5">
      <c r="A814" s="32"/>
    </row>
    <row r="815" spans="1:1" ht="12.5">
      <c r="A815" s="32"/>
    </row>
    <row r="816" spans="1:1" ht="12.5">
      <c r="A816" s="32"/>
    </row>
    <row r="817" spans="1:1" ht="12.5">
      <c r="A817" s="32"/>
    </row>
    <row r="818" spans="1:1" ht="12.5">
      <c r="A818" s="32"/>
    </row>
    <row r="819" spans="1:1" ht="12.5">
      <c r="A819" s="32"/>
    </row>
    <row r="820" spans="1:1" ht="12.5">
      <c r="A820" s="32"/>
    </row>
    <row r="821" spans="1:1" ht="12.5">
      <c r="A821" s="32"/>
    </row>
    <row r="822" spans="1:1" ht="12.5">
      <c r="A822" s="32"/>
    </row>
    <row r="823" spans="1:1" ht="12.5">
      <c r="A823" s="32"/>
    </row>
    <row r="824" spans="1:1" ht="12.5">
      <c r="A824" s="32"/>
    </row>
    <row r="825" spans="1:1" ht="12.5">
      <c r="A825" s="32"/>
    </row>
    <row r="826" spans="1:1" ht="12.5">
      <c r="A826" s="32"/>
    </row>
    <row r="827" spans="1:1" ht="12.5">
      <c r="A827" s="32"/>
    </row>
    <row r="828" spans="1:1" ht="12.5">
      <c r="A828" s="32"/>
    </row>
    <row r="829" spans="1:1" ht="12.5">
      <c r="A829" s="32"/>
    </row>
    <row r="830" spans="1:1" ht="12.5">
      <c r="A830" s="32"/>
    </row>
    <row r="831" spans="1:1" ht="12.5">
      <c r="A831" s="32"/>
    </row>
    <row r="832" spans="1:1" ht="12.5">
      <c r="A832" s="32"/>
    </row>
    <row r="833" spans="1:1" ht="12.5">
      <c r="A833" s="32"/>
    </row>
    <row r="834" spans="1:1" ht="12.5">
      <c r="A834" s="32"/>
    </row>
    <row r="835" spans="1:1" ht="12.5">
      <c r="A835" s="32"/>
    </row>
    <row r="836" spans="1:1" ht="12.5">
      <c r="A836" s="32"/>
    </row>
    <row r="837" spans="1:1" ht="12.5">
      <c r="A837" s="32"/>
    </row>
    <row r="838" spans="1:1" ht="12.5">
      <c r="A838" s="32"/>
    </row>
    <row r="839" spans="1:1" ht="12.5">
      <c r="A839" s="32"/>
    </row>
    <row r="840" spans="1:1" ht="12.5">
      <c r="A840" s="32"/>
    </row>
    <row r="841" spans="1:1" ht="12.5">
      <c r="A841" s="32"/>
    </row>
    <row r="842" spans="1:1" ht="12.5">
      <c r="A842" s="32"/>
    </row>
    <row r="843" spans="1:1" ht="12.5">
      <c r="A843" s="32"/>
    </row>
    <row r="844" spans="1:1" ht="12.5">
      <c r="A844" s="32"/>
    </row>
    <row r="845" spans="1:1" ht="12.5">
      <c r="A845" s="32"/>
    </row>
    <row r="846" spans="1:1" ht="12.5">
      <c r="A846" s="32"/>
    </row>
    <row r="847" spans="1:1" ht="12.5">
      <c r="A847" s="32"/>
    </row>
    <row r="848" spans="1:1" ht="12.5">
      <c r="A848" s="32"/>
    </row>
    <row r="849" spans="1:1" ht="12.5">
      <c r="A849" s="32"/>
    </row>
    <row r="850" spans="1:1" ht="12.5">
      <c r="A850" s="32"/>
    </row>
    <row r="851" spans="1:1" ht="12.5">
      <c r="A851" s="32"/>
    </row>
    <row r="852" spans="1:1" ht="12.5">
      <c r="A852" s="32"/>
    </row>
    <row r="853" spans="1:1" ht="12.5">
      <c r="A853" s="32"/>
    </row>
    <row r="854" spans="1:1" ht="12.5">
      <c r="A854" s="32"/>
    </row>
    <row r="855" spans="1:1" ht="12.5">
      <c r="A855" s="32"/>
    </row>
    <row r="856" spans="1:1" ht="12.5">
      <c r="A856" s="32"/>
    </row>
    <row r="857" spans="1:1" ht="12.5">
      <c r="A857" s="32"/>
    </row>
    <row r="858" spans="1:1" ht="12.5">
      <c r="A858" s="32"/>
    </row>
    <row r="859" spans="1:1" ht="12.5">
      <c r="A859" s="32"/>
    </row>
    <row r="860" spans="1:1" ht="12.5">
      <c r="A860" s="32"/>
    </row>
    <row r="861" spans="1:1" ht="12.5">
      <c r="A861" s="32"/>
    </row>
    <row r="862" spans="1:1" ht="12.5">
      <c r="A862" s="32"/>
    </row>
    <row r="863" spans="1:1" ht="12.5">
      <c r="A863" s="32"/>
    </row>
    <row r="864" spans="1:1" ht="12.5">
      <c r="A864" s="32"/>
    </row>
    <row r="865" spans="1:1" ht="12.5">
      <c r="A865" s="32"/>
    </row>
    <row r="866" spans="1:1" ht="12.5">
      <c r="A866" s="32"/>
    </row>
    <row r="867" spans="1:1" ht="12.5">
      <c r="A867" s="32"/>
    </row>
    <row r="868" spans="1:1" ht="12.5">
      <c r="A868" s="32"/>
    </row>
    <row r="869" spans="1:1" ht="12.5">
      <c r="A869" s="32"/>
    </row>
    <row r="870" spans="1:1" ht="12.5">
      <c r="A870" s="32"/>
    </row>
    <row r="871" spans="1:1" ht="12.5">
      <c r="A871" s="32"/>
    </row>
    <row r="872" spans="1:1" ht="12.5">
      <c r="A872" s="32"/>
    </row>
    <row r="873" spans="1:1" ht="12.5">
      <c r="A873" s="32"/>
    </row>
    <row r="874" spans="1:1" ht="12.5">
      <c r="A874" s="32"/>
    </row>
    <row r="875" spans="1:1" ht="12.5">
      <c r="A875" s="32"/>
    </row>
    <row r="876" spans="1:1" ht="12.5">
      <c r="A876" s="32"/>
    </row>
    <row r="877" spans="1:1" ht="12.5">
      <c r="A877" s="32"/>
    </row>
    <row r="878" spans="1:1" ht="12.5">
      <c r="A878" s="32"/>
    </row>
    <row r="879" spans="1:1" ht="12.5">
      <c r="A879" s="32"/>
    </row>
    <row r="880" spans="1:1" ht="12.5">
      <c r="A880" s="32"/>
    </row>
    <row r="881" spans="1:1" ht="12.5">
      <c r="A881" s="32"/>
    </row>
    <row r="882" spans="1:1" ht="12.5">
      <c r="A882" s="32"/>
    </row>
    <row r="883" spans="1:1" ht="12.5">
      <c r="A883" s="32"/>
    </row>
    <row r="884" spans="1:1" ht="12.5">
      <c r="A884" s="32"/>
    </row>
    <row r="885" spans="1:1" ht="12.5">
      <c r="A885" s="32"/>
    </row>
    <row r="886" spans="1:1" ht="12.5">
      <c r="A886" s="32"/>
    </row>
    <row r="887" spans="1:1" ht="12.5">
      <c r="A887" s="32"/>
    </row>
    <row r="888" spans="1:1" ht="12.5">
      <c r="A888" s="32"/>
    </row>
    <row r="889" spans="1:1" ht="12.5">
      <c r="A889" s="32"/>
    </row>
    <row r="890" spans="1:1" ht="12.5">
      <c r="A890" s="32"/>
    </row>
    <row r="891" spans="1:1" ht="12.5">
      <c r="A891" s="32"/>
    </row>
    <row r="892" spans="1:1" ht="12.5">
      <c r="A892" s="32"/>
    </row>
    <row r="893" spans="1:1" ht="12.5">
      <c r="A893" s="32"/>
    </row>
    <row r="894" spans="1:1" ht="12.5">
      <c r="A894" s="32"/>
    </row>
    <row r="895" spans="1:1" ht="12.5">
      <c r="A895" s="32"/>
    </row>
    <row r="896" spans="1:1" ht="12.5">
      <c r="A896" s="32"/>
    </row>
    <row r="897" spans="1:1" ht="12.5">
      <c r="A897" s="32"/>
    </row>
    <row r="898" spans="1:1" ht="12.5">
      <c r="A898" s="32"/>
    </row>
    <row r="899" spans="1:1" ht="12.5">
      <c r="A899" s="32"/>
    </row>
    <row r="900" spans="1:1" ht="12.5">
      <c r="A900" s="32"/>
    </row>
    <row r="901" spans="1:1" ht="12.5">
      <c r="A901" s="32"/>
    </row>
    <row r="902" spans="1:1" ht="12.5">
      <c r="A902" s="32"/>
    </row>
    <row r="903" spans="1:1" ht="12.5">
      <c r="A903" s="32"/>
    </row>
    <row r="904" spans="1:1" ht="12.5">
      <c r="A904" s="32"/>
    </row>
    <row r="905" spans="1:1" ht="12.5">
      <c r="A905" s="32"/>
    </row>
    <row r="906" spans="1:1" ht="12.5">
      <c r="A906" s="32"/>
    </row>
    <row r="907" spans="1:1" ht="12.5">
      <c r="A907" s="32"/>
    </row>
    <row r="908" spans="1:1" ht="12.5">
      <c r="A908" s="32"/>
    </row>
    <row r="909" spans="1:1" ht="12.5">
      <c r="A909" s="32"/>
    </row>
    <row r="910" spans="1:1" ht="12.5">
      <c r="A910" s="32"/>
    </row>
    <row r="911" spans="1:1" ht="12.5">
      <c r="A911" s="32"/>
    </row>
    <row r="912" spans="1:1" ht="12.5">
      <c r="A912" s="32"/>
    </row>
    <row r="913" spans="1:1" ht="12.5">
      <c r="A913" s="32"/>
    </row>
    <row r="914" spans="1:1" ht="12.5">
      <c r="A914" s="32"/>
    </row>
    <row r="915" spans="1:1" ht="12.5">
      <c r="A915" s="32"/>
    </row>
    <row r="916" spans="1:1" ht="12.5">
      <c r="A916" s="32"/>
    </row>
    <row r="917" spans="1:1" ht="12.5">
      <c r="A917" s="32"/>
    </row>
    <row r="918" spans="1:1" ht="12.5">
      <c r="A918" s="32"/>
    </row>
    <row r="919" spans="1:1" ht="12.5">
      <c r="A919" s="32"/>
    </row>
    <row r="920" spans="1:1" ht="12.5">
      <c r="A920" s="32"/>
    </row>
    <row r="921" spans="1:1" ht="12.5">
      <c r="A921" s="32"/>
    </row>
    <row r="922" spans="1:1" ht="12.5">
      <c r="A922" s="32"/>
    </row>
    <row r="923" spans="1:1" ht="12.5">
      <c r="A923" s="32"/>
    </row>
    <row r="924" spans="1:1" ht="12.5">
      <c r="A924" s="32"/>
    </row>
    <row r="925" spans="1:1" ht="12.5">
      <c r="A925" s="32"/>
    </row>
    <row r="926" spans="1:1" ht="12.5">
      <c r="A926" s="32"/>
    </row>
    <row r="927" spans="1:1" ht="12.5">
      <c r="A927" s="32"/>
    </row>
    <row r="928" spans="1:1" ht="12.5">
      <c r="A928" s="32"/>
    </row>
    <row r="929" spans="1:1" ht="12.5">
      <c r="A929" s="32"/>
    </row>
    <row r="930" spans="1:1" ht="12.5">
      <c r="A930" s="32"/>
    </row>
    <row r="931" spans="1:1" ht="12.5">
      <c r="A931" s="32"/>
    </row>
    <row r="932" spans="1:1" ht="12.5">
      <c r="A932" s="32"/>
    </row>
    <row r="933" spans="1:1" ht="12.5">
      <c r="A933" s="32"/>
    </row>
    <row r="934" spans="1:1" ht="12.5">
      <c r="A934" s="32"/>
    </row>
    <row r="935" spans="1:1" ht="12.5">
      <c r="A935" s="32"/>
    </row>
    <row r="936" spans="1:1" ht="12.5">
      <c r="A936" s="32"/>
    </row>
    <row r="937" spans="1:1" ht="12.5">
      <c r="A937" s="32"/>
    </row>
    <row r="938" spans="1:1" ht="12.5">
      <c r="A938" s="32"/>
    </row>
    <row r="939" spans="1:1" ht="12.5">
      <c r="A939" s="32"/>
    </row>
    <row r="940" spans="1:1" ht="12.5">
      <c r="A940" s="32"/>
    </row>
    <row r="941" spans="1:1" ht="12.5">
      <c r="A941" s="32"/>
    </row>
    <row r="942" spans="1:1" ht="12.5">
      <c r="A942" s="32"/>
    </row>
    <row r="943" spans="1:1" ht="12.5">
      <c r="A943" s="32"/>
    </row>
    <row r="944" spans="1:1" ht="12.5">
      <c r="A944" s="32"/>
    </row>
    <row r="945" spans="1:1" ht="12.5">
      <c r="A945" s="32"/>
    </row>
    <row r="946" spans="1:1" ht="12.5">
      <c r="A946" s="32"/>
    </row>
    <row r="947" spans="1:1" ht="12.5">
      <c r="A947" s="32"/>
    </row>
    <row r="948" spans="1:1" ht="12.5">
      <c r="A948" s="32"/>
    </row>
    <row r="949" spans="1:1" ht="12.5">
      <c r="A949" s="32"/>
    </row>
    <row r="950" spans="1:1" ht="12.5">
      <c r="A950" s="32"/>
    </row>
    <row r="951" spans="1:1" ht="12.5">
      <c r="A951" s="32"/>
    </row>
    <row r="952" spans="1:1" ht="12.5">
      <c r="A952" s="32"/>
    </row>
    <row r="953" spans="1:1" ht="12.5">
      <c r="A953" s="32"/>
    </row>
    <row r="954" spans="1:1" ht="12.5">
      <c r="A954" s="32"/>
    </row>
    <row r="955" spans="1:1" ht="12.5">
      <c r="A955" s="32"/>
    </row>
    <row r="956" spans="1:1" ht="12.5">
      <c r="A956" s="32"/>
    </row>
    <row r="957" spans="1:1" ht="12.5">
      <c r="A957" s="32"/>
    </row>
    <row r="958" spans="1:1" ht="12.5">
      <c r="A958" s="32"/>
    </row>
    <row r="959" spans="1:1" ht="12.5">
      <c r="A959" s="32"/>
    </row>
    <row r="960" spans="1:1" ht="12.5">
      <c r="A960" s="32"/>
    </row>
    <row r="961" spans="1:1" ht="12.5">
      <c r="A961" s="32"/>
    </row>
    <row r="962" spans="1:1" ht="12.5">
      <c r="A962" s="32"/>
    </row>
    <row r="963" spans="1:1" ht="12.5">
      <c r="A963" s="32"/>
    </row>
    <row r="964" spans="1:1" ht="12.5">
      <c r="A964" s="32"/>
    </row>
    <row r="965" spans="1:1" ht="12.5">
      <c r="A965" s="32"/>
    </row>
    <row r="966" spans="1:1" ht="12.5">
      <c r="A966" s="32"/>
    </row>
    <row r="967" spans="1:1" ht="12.5">
      <c r="A967" s="32"/>
    </row>
    <row r="968" spans="1:1" ht="12.5">
      <c r="A968" s="32"/>
    </row>
    <row r="969" spans="1:1" ht="12.5">
      <c r="A969" s="32"/>
    </row>
    <row r="970" spans="1:1" ht="12.5">
      <c r="A970" s="32"/>
    </row>
    <row r="971" spans="1:1" ht="12.5">
      <c r="A971" s="32"/>
    </row>
    <row r="972" spans="1:1" ht="12.5">
      <c r="A972" s="32"/>
    </row>
    <row r="973" spans="1:1" ht="12.5">
      <c r="A973" s="32"/>
    </row>
    <row r="974" spans="1:1" ht="12.5">
      <c r="A974" s="32"/>
    </row>
    <row r="975" spans="1:1" ht="12.5">
      <c r="A975" s="32"/>
    </row>
    <row r="976" spans="1:1" ht="12.5">
      <c r="A976" s="32"/>
    </row>
    <row r="977" spans="1:1" ht="12.5">
      <c r="A977" s="32"/>
    </row>
    <row r="978" spans="1:1" ht="12.5">
      <c r="A978" s="32"/>
    </row>
    <row r="979" spans="1:1" ht="12.5">
      <c r="A979" s="32"/>
    </row>
    <row r="980" spans="1:1" ht="12.5">
      <c r="A980" s="32"/>
    </row>
    <row r="981" spans="1:1" ht="12.5">
      <c r="A981" s="32"/>
    </row>
    <row r="982" spans="1:1" ht="12.5">
      <c r="A982" s="32"/>
    </row>
    <row r="983" spans="1:1" ht="12.5">
      <c r="A983" s="32"/>
    </row>
    <row r="984" spans="1:1" ht="12.5">
      <c r="A984" s="32"/>
    </row>
    <row r="985" spans="1:1" ht="12.5">
      <c r="A985" s="32"/>
    </row>
    <row r="986" spans="1:1" ht="12.5">
      <c r="A986" s="32"/>
    </row>
    <row r="987" spans="1:1" ht="12.5">
      <c r="A987" s="32"/>
    </row>
    <row r="988" spans="1:1" ht="12.5">
      <c r="A988" s="32"/>
    </row>
    <row r="989" spans="1:1" ht="12.5">
      <c r="A989" s="32"/>
    </row>
    <row r="990" spans="1:1" ht="12.5">
      <c r="A990" s="32"/>
    </row>
    <row r="991" spans="1:1" ht="12.5">
      <c r="A991" s="32"/>
    </row>
    <row r="992" spans="1:1" ht="12.5">
      <c r="A992" s="32"/>
    </row>
    <row r="993" spans="1:1" ht="12.5">
      <c r="A993" s="32"/>
    </row>
    <row r="994" spans="1:1" ht="12.5">
      <c r="A994" s="32"/>
    </row>
    <row r="995" spans="1:1" ht="12.5">
      <c r="A995" s="32"/>
    </row>
    <row r="996" spans="1:1" ht="12.5">
      <c r="A996" s="32"/>
    </row>
    <row r="997" spans="1:1" ht="12.5">
      <c r="A997" s="32"/>
    </row>
    <row r="998" spans="1:1" ht="12.5">
      <c r="A998" s="32"/>
    </row>
    <row r="999" spans="1:1" ht="12.5">
      <c r="A999" s="32"/>
    </row>
    <row r="1000" spans="1:1" ht="12.5">
      <c r="A1000" s="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8"/>
  <sheetViews>
    <sheetView workbookViewId="0"/>
  </sheetViews>
  <sheetFormatPr baseColWidth="10" defaultColWidth="12.6328125" defaultRowHeight="15.75" customHeight="1"/>
  <sheetData>
    <row r="1" spans="1:1">
      <c r="A1" s="68" t="s">
        <v>23</v>
      </c>
    </row>
    <row r="2" spans="1:1" ht="15.75" customHeight="1">
      <c r="A2" s="69" t="s">
        <v>197</v>
      </c>
    </row>
    <row r="3" spans="1:1" ht="15.75" customHeight="1">
      <c r="A3" s="69" t="s">
        <v>89</v>
      </c>
    </row>
    <row r="4" spans="1:1" ht="15.75" customHeight="1">
      <c r="A4" s="69" t="s">
        <v>1398</v>
      </c>
    </row>
    <row r="5" spans="1:1" ht="15.75" customHeight="1">
      <c r="A5" s="69" t="s">
        <v>139</v>
      </c>
    </row>
    <row r="6" spans="1:1" ht="15.75" customHeight="1">
      <c r="A6" s="30" t="s">
        <v>1969</v>
      </c>
    </row>
    <row r="7" spans="1:1" ht="15.75" customHeight="1">
      <c r="A7" s="30" t="s">
        <v>1719</v>
      </c>
    </row>
    <row r="8" spans="1:1" ht="15.75" customHeight="1">
      <c r="A8" s="30" t="s">
        <v>1770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pane ySplit="1" topLeftCell="A2" activePane="bottomLeft" state="frozen"/>
      <selection pane="bottomLeft" activeCell="B3" sqref="B3"/>
    </sheetView>
  </sheetViews>
  <sheetFormatPr baseColWidth="10" defaultColWidth="12.6328125" defaultRowHeight="15.75" customHeight="1"/>
  <sheetData>
    <row r="1" spans="1:26">
      <c r="A1" s="9" t="s">
        <v>4860</v>
      </c>
      <c r="B1" s="8" t="s">
        <v>4861</v>
      </c>
      <c r="C1" s="8" t="s">
        <v>4862</v>
      </c>
      <c r="D1" s="8"/>
      <c r="E1" s="8"/>
      <c r="F1" s="8"/>
      <c r="G1" s="8"/>
      <c r="H1" s="8"/>
      <c r="I1" s="8"/>
      <c r="J1" s="8"/>
      <c r="K1" s="8"/>
      <c r="L1" s="8"/>
      <c r="M1" s="8"/>
      <c r="N1" s="8"/>
      <c r="O1" s="8"/>
      <c r="P1" s="8"/>
      <c r="Q1" s="8"/>
      <c r="R1" s="8"/>
      <c r="S1" s="8"/>
      <c r="T1" s="8"/>
      <c r="U1" s="8"/>
      <c r="V1" s="8"/>
      <c r="W1" s="8"/>
      <c r="X1" s="8"/>
      <c r="Y1" s="8"/>
      <c r="Z1" s="8"/>
    </row>
    <row r="2" spans="1:26">
      <c r="A2" s="70">
        <v>1</v>
      </c>
      <c r="B2" s="66" t="s">
        <v>279</v>
      </c>
      <c r="C2" s="30" t="s">
        <v>4863</v>
      </c>
    </row>
    <row r="3" spans="1:26">
      <c r="A3" s="70">
        <v>2</v>
      </c>
      <c r="B3" s="66" t="s">
        <v>279</v>
      </c>
      <c r="C3" s="30" t="s">
        <v>4864</v>
      </c>
    </row>
    <row r="4" spans="1:26">
      <c r="A4" s="70">
        <v>3</v>
      </c>
      <c r="B4" s="66" t="s">
        <v>279</v>
      </c>
      <c r="C4" s="30" t="s">
        <v>4865</v>
      </c>
    </row>
    <row r="5" spans="1:26">
      <c r="A5" s="70">
        <v>4</v>
      </c>
      <c r="B5" s="66" t="s">
        <v>279</v>
      </c>
      <c r="C5" s="30" t="s">
        <v>4866</v>
      </c>
    </row>
    <row r="6" spans="1:26">
      <c r="A6" s="70">
        <v>5</v>
      </c>
      <c r="B6" s="30" t="s">
        <v>149</v>
      </c>
      <c r="C6" s="30" t="s">
        <v>4867</v>
      </c>
    </row>
    <row r="7" spans="1:26">
      <c r="A7" s="70">
        <v>6</v>
      </c>
      <c r="B7" s="30" t="s">
        <v>149</v>
      </c>
      <c r="C7" s="30" t="s">
        <v>4868</v>
      </c>
    </row>
    <row r="8" spans="1:26">
      <c r="A8" s="70">
        <v>7</v>
      </c>
      <c r="B8" s="30" t="s">
        <v>149</v>
      </c>
      <c r="C8" s="30" t="s">
        <v>4869</v>
      </c>
    </row>
    <row r="9" spans="1:26">
      <c r="A9" s="70">
        <v>8</v>
      </c>
      <c r="B9" s="30" t="s">
        <v>149</v>
      </c>
      <c r="C9" s="30" t="s">
        <v>4870</v>
      </c>
    </row>
    <row r="10" spans="1:26">
      <c r="A10" s="70">
        <v>9</v>
      </c>
      <c r="B10" s="30" t="s">
        <v>778</v>
      </c>
      <c r="C10" s="30" t="s">
        <v>4871</v>
      </c>
    </row>
    <row r="11" spans="1:26">
      <c r="A11" s="70">
        <v>10</v>
      </c>
      <c r="B11" s="30" t="s">
        <v>778</v>
      </c>
      <c r="C11" s="30" t="s">
        <v>4872</v>
      </c>
    </row>
    <row r="12" spans="1:26">
      <c r="A12" s="70">
        <v>11</v>
      </c>
      <c r="B12" s="30" t="s">
        <v>778</v>
      </c>
      <c r="C12" s="30" t="s">
        <v>4873</v>
      </c>
    </row>
    <row r="13" spans="1:26">
      <c r="A13" s="70">
        <v>12</v>
      </c>
      <c r="B13" s="30" t="s">
        <v>778</v>
      </c>
      <c r="C13" s="30" t="s">
        <v>4874</v>
      </c>
    </row>
    <row r="14" spans="1:26">
      <c r="A14" s="70">
        <v>13</v>
      </c>
      <c r="B14" s="30" t="s">
        <v>167</v>
      </c>
      <c r="C14" s="30" t="s">
        <v>4875</v>
      </c>
    </row>
    <row r="15" spans="1:26">
      <c r="A15" s="70">
        <v>14</v>
      </c>
      <c r="B15" s="30" t="s">
        <v>167</v>
      </c>
      <c r="C15" s="30" t="s">
        <v>4876</v>
      </c>
    </row>
    <row r="16" spans="1:26">
      <c r="A16" s="70">
        <v>15</v>
      </c>
      <c r="B16" s="30" t="s">
        <v>167</v>
      </c>
      <c r="C16" s="30" t="s">
        <v>4877</v>
      </c>
    </row>
    <row r="17" spans="1:3">
      <c r="A17" s="70">
        <v>16</v>
      </c>
      <c r="B17" s="30" t="s">
        <v>167</v>
      </c>
      <c r="C17" s="30" t="s">
        <v>4878</v>
      </c>
    </row>
    <row r="18" spans="1:3">
      <c r="A18" s="70">
        <v>17</v>
      </c>
      <c r="B18" s="30" t="s">
        <v>103</v>
      </c>
      <c r="C18" s="30" t="s">
        <v>4879</v>
      </c>
    </row>
    <row r="19" spans="1:3">
      <c r="A19" s="70">
        <v>18</v>
      </c>
      <c r="B19" s="30" t="s">
        <v>103</v>
      </c>
      <c r="C19" s="30" t="s">
        <v>4880</v>
      </c>
    </row>
    <row r="20" spans="1:3">
      <c r="A20" s="70">
        <v>19</v>
      </c>
      <c r="B20" s="30" t="s">
        <v>103</v>
      </c>
      <c r="C20" s="30" t="s">
        <v>4881</v>
      </c>
    </row>
    <row r="21" spans="1:3">
      <c r="A21" s="70">
        <v>20</v>
      </c>
      <c r="B21" s="30" t="s">
        <v>103</v>
      </c>
      <c r="C21" s="30" t="s">
        <v>4882</v>
      </c>
    </row>
    <row r="22" spans="1:3">
      <c r="A22" s="70">
        <v>21</v>
      </c>
      <c r="B22" s="30" t="s">
        <v>4883</v>
      </c>
      <c r="C22" s="30" t="s">
        <v>4884</v>
      </c>
    </row>
    <row r="23" spans="1:3">
      <c r="A23" s="70">
        <v>22</v>
      </c>
      <c r="B23" s="30" t="s">
        <v>4883</v>
      </c>
      <c r="C23" s="30" t="s">
        <v>4885</v>
      </c>
    </row>
    <row r="24" spans="1:3">
      <c r="A24" s="70">
        <v>23</v>
      </c>
      <c r="B24" s="30" t="s">
        <v>4883</v>
      </c>
      <c r="C24" s="30" t="s">
        <v>4886</v>
      </c>
    </row>
    <row r="25" spans="1:3">
      <c r="A25" s="70">
        <v>24</v>
      </c>
      <c r="B25" s="30" t="s">
        <v>4883</v>
      </c>
      <c r="C25" s="30" t="s">
        <v>4887</v>
      </c>
    </row>
    <row r="26" spans="1:3">
      <c r="A26" s="70">
        <v>25</v>
      </c>
      <c r="B26" s="30" t="s">
        <v>4888</v>
      </c>
      <c r="C26" s="30" t="s">
        <v>4889</v>
      </c>
    </row>
    <row r="27" spans="1:3">
      <c r="A27" s="70">
        <v>26</v>
      </c>
      <c r="B27" s="30" t="s">
        <v>4888</v>
      </c>
      <c r="C27" s="30" t="s">
        <v>4890</v>
      </c>
    </row>
    <row r="28" spans="1:3">
      <c r="A28" s="70">
        <v>27</v>
      </c>
      <c r="B28" s="30" t="s">
        <v>4888</v>
      </c>
      <c r="C28" s="30" t="s">
        <v>4891</v>
      </c>
    </row>
    <row r="29" spans="1:3">
      <c r="A29" s="70">
        <v>28</v>
      </c>
      <c r="B29" s="30" t="s">
        <v>4888</v>
      </c>
      <c r="C29" s="30" t="s">
        <v>4892</v>
      </c>
    </row>
    <row r="30" spans="1:3" ht="15.75" customHeight="1">
      <c r="A30" s="32"/>
    </row>
    <row r="31" spans="1:3" ht="15.75" customHeight="1">
      <c r="A31" s="32"/>
    </row>
    <row r="32" spans="1:3" ht="15.75" customHeight="1">
      <c r="A32" s="32"/>
    </row>
    <row r="33" spans="1:1" ht="15.75" customHeight="1">
      <c r="A33" s="32"/>
    </row>
    <row r="34" spans="1:1" ht="15.75" customHeight="1">
      <c r="A34" s="32"/>
    </row>
    <row r="35" spans="1:1" ht="15.75" customHeight="1">
      <c r="A35" s="32"/>
    </row>
    <row r="36" spans="1:1" ht="15.75" customHeight="1">
      <c r="A36" s="32"/>
    </row>
    <row r="37" spans="1:1" ht="15.75" customHeight="1">
      <c r="A37" s="32"/>
    </row>
    <row r="38" spans="1:1" ht="15.75" customHeight="1">
      <c r="A38" s="32"/>
    </row>
    <row r="39" spans="1:1" ht="15.75" customHeight="1">
      <c r="A39" s="32"/>
    </row>
    <row r="40" spans="1:1" ht="15.75" customHeight="1">
      <c r="A40" s="32"/>
    </row>
    <row r="41" spans="1:1" ht="15.75" customHeight="1">
      <c r="A41" s="32"/>
    </row>
    <row r="42" spans="1:1" ht="15.75" customHeight="1">
      <c r="A42" s="32"/>
    </row>
    <row r="43" spans="1:1" ht="15.75" customHeight="1">
      <c r="A43" s="32"/>
    </row>
    <row r="44" spans="1:1" ht="15.75" customHeight="1">
      <c r="A44" s="32"/>
    </row>
    <row r="45" spans="1:1" ht="15.75" customHeight="1">
      <c r="A45" s="32"/>
    </row>
    <row r="46" spans="1:1" ht="15.75" customHeight="1">
      <c r="A46" s="32"/>
    </row>
    <row r="47" spans="1:1" ht="15.75" customHeight="1">
      <c r="A47" s="32"/>
    </row>
    <row r="48" spans="1:1" ht="15.75" customHeight="1">
      <c r="A48" s="32"/>
    </row>
    <row r="49" spans="1:1" ht="15.75" customHeight="1">
      <c r="A49" s="32"/>
    </row>
    <row r="50" spans="1:1" ht="15.75" customHeight="1">
      <c r="A50" s="32"/>
    </row>
    <row r="51" spans="1:1" ht="15.75" customHeight="1">
      <c r="A51" s="32"/>
    </row>
    <row r="52" spans="1:1" ht="15.75" customHeight="1">
      <c r="A52" s="32"/>
    </row>
    <row r="53" spans="1:1" ht="15.75" customHeight="1">
      <c r="A53" s="32"/>
    </row>
    <row r="54" spans="1:1" ht="15.75" customHeight="1">
      <c r="A54" s="32"/>
    </row>
    <row r="55" spans="1:1" ht="15.75" customHeight="1">
      <c r="A55" s="32"/>
    </row>
    <row r="56" spans="1:1" ht="15.75" customHeight="1">
      <c r="A56" s="32"/>
    </row>
    <row r="57" spans="1:1" ht="15.75" customHeight="1">
      <c r="A57" s="32"/>
    </row>
    <row r="58" spans="1:1" ht="15.75" customHeight="1">
      <c r="A58" s="32"/>
    </row>
    <row r="59" spans="1:1" ht="15.75" customHeight="1">
      <c r="A59" s="32"/>
    </row>
    <row r="60" spans="1:1" ht="15.75" customHeight="1">
      <c r="A60" s="32"/>
    </row>
    <row r="61" spans="1:1" ht="15.75" customHeight="1">
      <c r="A61" s="32"/>
    </row>
    <row r="62" spans="1:1" ht="15.75" customHeight="1">
      <c r="A62" s="32"/>
    </row>
    <row r="63" spans="1:1" ht="15.75" customHeight="1">
      <c r="A63" s="32"/>
    </row>
    <row r="64" spans="1:1" ht="15.75" customHeight="1">
      <c r="A64" s="32"/>
    </row>
    <row r="65" spans="1:1" ht="15.75" customHeight="1">
      <c r="A65" s="32"/>
    </row>
    <row r="66" spans="1:1" ht="15.75" customHeight="1">
      <c r="A66" s="32"/>
    </row>
    <row r="67" spans="1:1" ht="15.75" customHeight="1">
      <c r="A67" s="32"/>
    </row>
    <row r="68" spans="1:1" ht="15.75" customHeight="1">
      <c r="A68" s="32"/>
    </row>
    <row r="69" spans="1:1" ht="15.75" customHeight="1">
      <c r="A69" s="32"/>
    </row>
    <row r="70" spans="1:1" ht="15.75" customHeight="1">
      <c r="A70" s="32"/>
    </row>
    <row r="71" spans="1:1" ht="15.75" customHeight="1">
      <c r="A71" s="32"/>
    </row>
    <row r="72" spans="1:1" ht="15.75" customHeight="1">
      <c r="A72" s="32"/>
    </row>
    <row r="73" spans="1:1" ht="15.75" customHeight="1">
      <c r="A73" s="32"/>
    </row>
    <row r="74" spans="1:1" ht="15.75" customHeight="1">
      <c r="A74" s="32"/>
    </row>
    <row r="75" spans="1:1" ht="15.75" customHeight="1">
      <c r="A75" s="32"/>
    </row>
    <row r="76" spans="1:1" ht="15.75" customHeight="1">
      <c r="A76" s="32"/>
    </row>
    <row r="77" spans="1:1" ht="15.75" customHeight="1">
      <c r="A77" s="32"/>
    </row>
    <row r="78" spans="1:1" ht="15.75" customHeight="1">
      <c r="A78" s="32"/>
    </row>
    <row r="79" spans="1:1" ht="15.75" customHeight="1">
      <c r="A79" s="32"/>
    </row>
    <row r="80" spans="1:1" ht="15.75" customHeight="1">
      <c r="A80" s="32"/>
    </row>
    <row r="81" spans="1:1" ht="15.75" customHeight="1">
      <c r="A81" s="32"/>
    </row>
    <row r="82" spans="1:1" ht="15.75" customHeight="1">
      <c r="A82" s="32"/>
    </row>
    <row r="83" spans="1:1" ht="15.75" customHeight="1">
      <c r="A83" s="32"/>
    </row>
    <row r="84" spans="1:1" ht="15.75" customHeight="1">
      <c r="A84" s="32"/>
    </row>
    <row r="85" spans="1:1" ht="15.75" customHeight="1">
      <c r="A85" s="32"/>
    </row>
    <row r="86" spans="1:1" ht="15.75" customHeight="1">
      <c r="A86" s="32"/>
    </row>
    <row r="87" spans="1:1" ht="15.75" customHeight="1">
      <c r="A87" s="32"/>
    </row>
    <row r="88" spans="1:1" ht="15.75" customHeight="1">
      <c r="A88" s="32"/>
    </row>
    <row r="89" spans="1:1" ht="15.75" customHeight="1">
      <c r="A89" s="32"/>
    </row>
    <row r="90" spans="1:1" ht="15.75" customHeight="1">
      <c r="A90" s="32"/>
    </row>
    <row r="91" spans="1:1" ht="15.75" customHeight="1">
      <c r="A91" s="32"/>
    </row>
    <row r="92" spans="1:1" ht="15.75" customHeight="1">
      <c r="A92" s="32"/>
    </row>
    <row r="93" spans="1:1" ht="15.75" customHeight="1">
      <c r="A93" s="32"/>
    </row>
    <row r="94" spans="1:1" ht="15.75" customHeight="1">
      <c r="A94" s="32"/>
    </row>
    <row r="95" spans="1:1" ht="15.75" customHeight="1">
      <c r="A95" s="32"/>
    </row>
    <row r="96" spans="1:1" ht="15.75" customHeight="1">
      <c r="A96" s="32"/>
    </row>
    <row r="97" spans="1:1" ht="15.75" customHeight="1">
      <c r="A97" s="32"/>
    </row>
    <row r="98" spans="1:1" ht="15.75" customHeight="1">
      <c r="A98" s="32"/>
    </row>
    <row r="99" spans="1:1" ht="15.75" customHeight="1">
      <c r="A99" s="32"/>
    </row>
    <row r="100" spans="1:1" ht="15.75" customHeight="1">
      <c r="A100" s="32"/>
    </row>
    <row r="101" spans="1:1" ht="15.75" customHeight="1">
      <c r="A101" s="32"/>
    </row>
    <row r="102" spans="1:1" ht="15.75" customHeight="1">
      <c r="A102" s="32"/>
    </row>
    <row r="103" spans="1:1" ht="15.75" customHeight="1">
      <c r="A103" s="32"/>
    </row>
    <row r="104" spans="1:1" ht="15.75" customHeight="1">
      <c r="A104" s="32"/>
    </row>
    <row r="105" spans="1:1" ht="15.75" customHeight="1">
      <c r="A105" s="32"/>
    </row>
    <row r="106" spans="1:1" ht="15.75" customHeight="1">
      <c r="A106" s="32"/>
    </row>
    <row r="107" spans="1:1" ht="15.75" customHeight="1">
      <c r="A107" s="32"/>
    </row>
    <row r="108" spans="1:1" ht="15.75" customHeight="1">
      <c r="A108" s="32"/>
    </row>
    <row r="109" spans="1:1" ht="15.75" customHeight="1">
      <c r="A109" s="32"/>
    </row>
    <row r="110" spans="1:1" ht="15.75" customHeight="1">
      <c r="A110" s="32"/>
    </row>
    <row r="111" spans="1:1" ht="15.75" customHeight="1">
      <c r="A111" s="32"/>
    </row>
    <row r="112" spans="1:1" ht="15.75" customHeight="1">
      <c r="A112" s="32"/>
    </row>
    <row r="113" spans="1:1" ht="15.75" customHeight="1">
      <c r="A113" s="32"/>
    </row>
    <row r="114" spans="1:1" ht="15.75" customHeight="1">
      <c r="A114" s="32"/>
    </row>
    <row r="115" spans="1:1" ht="15.75" customHeight="1">
      <c r="A115" s="32"/>
    </row>
    <row r="116" spans="1:1" ht="15.75" customHeight="1">
      <c r="A116" s="32"/>
    </row>
    <row r="117" spans="1:1" ht="15.75" customHeight="1">
      <c r="A117" s="32"/>
    </row>
    <row r="118" spans="1:1" ht="15.75" customHeight="1">
      <c r="A118" s="32"/>
    </row>
    <row r="119" spans="1:1" ht="15.75" customHeight="1">
      <c r="A119" s="32"/>
    </row>
    <row r="120" spans="1:1" ht="15.75" customHeight="1">
      <c r="A120" s="32"/>
    </row>
    <row r="121" spans="1:1" ht="15.75" customHeight="1">
      <c r="A121" s="32"/>
    </row>
    <row r="122" spans="1:1" ht="15.75" customHeight="1">
      <c r="A122" s="32"/>
    </row>
    <row r="123" spans="1:1" ht="15.75" customHeight="1">
      <c r="A123" s="32"/>
    </row>
    <row r="124" spans="1:1" ht="15.75" customHeight="1">
      <c r="A124" s="32"/>
    </row>
    <row r="125" spans="1:1" ht="15.75" customHeight="1">
      <c r="A125" s="32"/>
    </row>
    <row r="126" spans="1:1" ht="15.75" customHeight="1">
      <c r="A126" s="32"/>
    </row>
    <row r="127" spans="1:1" ht="15.75" customHeight="1">
      <c r="A127" s="32"/>
    </row>
    <row r="128" spans="1:1" ht="15.75" customHeight="1">
      <c r="A128" s="32"/>
    </row>
    <row r="129" spans="1:1" ht="15.75" customHeight="1">
      <c r="A129" s="32"/>
    </row>
    <row r="130" spans="1:1" ht="15.75" customHeight="1">
      <c r="A130" s="32"/>
    </row>
    <row r="131" spans="1:1" ht="15.75" customHeight="1">
      <c r="A131" s="32"/>
    </row>
    <row r="132" spans="1:1" ht="15.75" customHeight="1">
      <c r="A132" s="32"/>
    </row>
    <row r="133" spans="1:1" ht="15.75" customHeight="1">
      <c r="A133" s="32"/>
    </row>
    <row r="134" spans="1:1" ht="15.75" customHeight="1">
      <c r="A134" s="32"/>
    </row>
    <row r="135" spans="1:1" ht="15.75" customHeight="1">
      <c r="A135" s="32"/>
    </row>
    <row r="136" spans="1:1" ht="15.75" customHeight="1">
      <c r="A136" s="32"/>
    </row>
    <row r="137" spans="1:1" ht="15.75" customHeight="1">
      <c r="A137" s="32"/>
    </row>
    <row r="138" spans="1:1" ht="15.75" customHeight="1">
      <c r="A138" s="32"/>
    </row>
    <row r="139" spans="1:1" ht="15.75" customHeight="1">
      <c r="A139" s="32"/>
    </row>
    <row r="140" spans="1:1" ht="15.75" customHeight="1">
      <c r="A140" s="32"/>
    </row>
    <row r="141" spans="1:1" ht="15.75" customHeight="1">
      <c r="A141" s="32"/>
    </row>
    <row r="142" spans="1:1" ht="15.75" customHeight="1">
      <c r="A142" s="32"/>
    </row>
    <row r="143" spans="1:1" ht="15.75" customHeight="1">
      <c r="A143" s="32"/>
    </row>
    <row r="144" spans="1:1" ht="15.75" customHeight="1">
      <c r="A144" s="32"/>
    </row>
    <row r="145" spans="1:1" ht="15.75" customHeight="1">
      <c r="A145" s="32"/>
    </row>
    <row r="146" spans="1:1" ht="15.75" customHeight="1">
      <c r="A146" s="32"/>
    </row>
    <row r="147" spans="1:1" ht="15.75" customHeight="1">
      <c r="A147" s="32"/>
    </row>
    <row r="148" spans="1:1" ht="15.75" customHeight="1">
      <c r="A148" s="32"/>
    </row>
    <row r="149" spans="1:1" ht="15.75" customHeight="1">
      <c r="A149" s="32"/>
    </row>
    <row r="150" spans="1:1" ht="15.75" customHeight="1">
      <c r="A150" s="32"/>
    </row>
    <row r="151" spans="1:1" ht="15.75" customHeight="1">
      <c r="A151" s="32"/>
    </row>
    <row r="152" spans="1:1" ht="15.75" customHeight="1">
      <c r="A152" s="32"/>
    </row>
    <row r="153" spans="1:1" ht="15.75" customHeight="1">
      <c r="A153" s="32"/>
    </row>
    <row r="154" spans="1:1" ht="15.75" customHeight="1">
      <c r="A154" s="32"/>
    </row>
    <row r="155" spans="1:1" ht="15.75" customHeight="1">
      <c r="A155" s="32"/>
    </row>
    <row r="156" spans="1:1" ht="15.75" customHeight="1">
      <c r="A156" s="32"/>
    </row>
    <row r="157" spans="1:1" ht="15.75" customHeight="1">
      <c r="A157" s="32"/>
    </row>
    <row r="158" spans="1:1" ht="15.75" customHeight="1">
      <c r="A158" s="32"/>
    </row>
    <row r="159" spans="1:1" ht="15.75" customHeight="1">
      <c r="A159" s="32"/>
    </row>
    <row r="160" spans="1:1" ht="15.75" customHeight="1">
      <c r="A160" s="32"/>
    </row>
    <row r="161" spans="1:1" ht="15.75" customHeight="1">
      <c r="A161" s="32"/>
    </row>
    <row r="162" spans="1:1" ht="15.75" customHeight="1">
      <c r="A162" s="32"/>
    </row>
    <row r="163" spans="1:1" ht="15.75" customHeight="1">
      <c r="A163" s="32"/>
    </row>
    <row r="164" spans="1:1" ht="15.75" customHeight="1">
      <c r="A164" s="32"/>
    </row>
    <row r="165" spans="1:1" ht="15.75" customHeight="1">
      <c r="A165" s="32"/>
    </row>
    <row r="166" spans="1:1" ht="15.75" customHeight="1">
      <c r="A166" s="32"/>
    </row>
    <row r="167" spans="1:1" ht="15.75" customHeight="1">
      <c r="A167" s="32"/>
    </row>
    <row r="168" spans="1:1" ht="15.75" customHeight="1">
      <c r="A168" s="32"/>
    </row>
    <row r="169" spans="1:1" ht="15.75" customHeight="1">
      <c r="A169" s="32"/>
    </row>
    <row r="170" spans="1:1" ht="15.75" customHeight="1">
      <c r="A170" s="32"/>
    </row>
    <row r="171" spans="1:1" ht="15.75" customHeight="1">
      <c r="A171" s="32"/>
    </row>
    <row r="172" spans="1:1" ht="15.75" customHeight="1">
      <c r="A172" s="32"/>
    </row>
    <row r="173" spans="1:1" ht="15.75" customHeight="1">
      <c r="A173" s="32"/>
    </row>
    <row r="174" spans="1:1" ht="15.75" customHeight="1">
      <c r="A174" s="32"/>
    </row>
    <row r="175" spans="1:1" ht="15.75" customHeight="1">
      <c r="A175" s="32"/>
    </row>
    <row r="176" spans="1:1" ht="15.75" customHeight="1">
      <c r="A176" s="32"/>
    </row>
    <row r="177" spans="1:1" ht="15.75" customHeight="1">
      <c r="A177" s="32"/>
    </row>
    <row r="178" spans="1:1" ht="15.75" customHeight="1">
      <c r="A178" s="32"/>
    </row>
    <row r="179" spans="1:1" ht="15.75" customHeight="1">
      <c r="A179" s="32"/>
    </row>
    <row r="180" spans="1:1" ht="15.75" customHeight="1">
      <c r="A180" s="32"/>
    </row>
    <row r="181" spans="1:1" ht="15.75" customHeight="1">
      <c r="A181" s="32"/>
    </row>
    <row r="182" spans="1:1" ht="15.75" customHeight="1">
      <c r="A182" s="32"/>
    </row>
    <row r="183" spans="1:1" ht="15.75" customHeight="1">
      <c r="A183" s="32"/>
    </row>
    <row r="184" spans="1:1" ht="15.75" customHeight="1">
      <c r="A184" s="32"/>
    </row>
    <row r="185" spans="1:1" ht="15.75" customHeight="1">
      <c r="A185" s="32"/>
    </row>
    <row r="186" spans="1:1" ht="15.75" customHeight="1">
      <c r="A186" s="32"/>
    </row>
    <row r="187" spans="1:1" ht="15.75" customHeight="1">
      <c r="A187" s="32"/>
    </row>
    <row r="188" spans="1:1" ht="15.75" customHeight="1">
      <c r="A188" s="32"/>
    </row>
    <row r="189" spans="1:1" ht="15.75" customHeight="1">
      <c r="A189" s="32"/>
    </row>
    <row r="190" spans="1:1" ht="15.75" customHeight="1">
      <c r="A190" s="32"/>
    </row>
    <row r="191" spans="1:1" ht="15.75" customHeight="1">
      <c r="A191" s="32"/>
    </row>
    <row r="192" spans="1:1" ht="15.75" customHeight="1">
      <c r="A192" s="32"/>
    </row>
    <row r="193" spans="1:1" ht="15.75" customHeight="1">
      <c r="A193" s="32"/>
    </row>
    <row r="194" spans="1:1" ht="15.75" customHeight="1">
      <c r="A194" s="32"/>
    </row>
    <row r="195" spans="1:1" ht="15.75" customHeight="1">
      <c r="A195" s="32"/>
    </row>
    <row r="196" spans="1:1" ht="15.75" customHeight="1">
      <c r="A196" s="32"/>
    </row>
    <row r="197" spans="1:1" ht="15.75" customHeight="1">
      <c r="A197" s="32"/>
    </row>
    <row r="198" spans="1:1" ht="15.75" customHeight="1">
      <c r="A198" s="32"/>
    </row>
    <row r="199" spans="1:1" ht="15.75" customHeight="1">
      <c r="A199" s="32"/>
    </row>
    <row r="200" spans="1:1" ht="15.75" customHeight="1">
      <c r="A200" s="32"/>
    </row>
    <row r="201" spans="1:1" ht="15.75" customHeight="1">
      <c r="A201" s="32"/>
    </row>
    <row r="202" spans="1:1" ht="15.75" customHeight="1">
      <c r="A202" s="32"/>
    </row>
    <row r="203" spans="1:1" ht="15.75" customHeight="1">
      <c r="A203" s="32"/>
    </row>
    <row r="204" spans="1:1" ht="15.75" customHeight="1">
      <c r="A204" s="32"/>
    </row>
    <row r="205" spans="1:1" ht="15.75" customHeight="1">
      <c r="A205" s="32"/>
    </row>
    <row r="206" spans="1:1" ht="15.75" customHeight="1">
      <c r="A206" s="32"/>
    </row>
    <row r="207" spans="1:1" ht="15.75" customHeight="1">
      <c r="A207" s="32"/>
    </row>
    <row r="208" spans="1:1" ht="15.75" customHeight="1">
      <c r="A208" s="32"/>
    </row>
    <row r="209" spans="1:1" ht="15.75" customHeight="1">
      <c r="A209" s="32"/>
    </row>
    <row r="210" spans="1:1" ht="15.75" customHeight="1">
      <c r="A210" s="32"/>
    </row>
    <row r="211" spans="1:1" ht="15.75" customHeight="1">
      <c r="A211" s="32"/>
    </row>
    <row r="212" spans="1:1" ht="15.75" customHeight="1">
      <c r="A212" s="32"/>
    </row>
    <row r="213" spans="1:1" ht="15.75" customHeight="1">
      <c r="A213" s="32"/>
    </row>
    <row r="214" spans="1:1" ht="15.75" customHeight="1">
      <c r="A214" s="32"/>
    </row>
    <row r="215" spans="1:1" ht="15.75" customHeight="1">
      <c r="A215" s="32"/>
    </row>
    <row r="216" spans="1:1" ht="15.75" customHeight="1">
      <c r="A216" s="32"/>
    </row>
    <row r="217" spans="1:1" ht="15.75" customHeight="1">
      <c r="A217" s="32"/>
    </row>
    <row r="218" spans="1:1" ht="15.75" customHeight="1">
      <c r="A218" s="32"/>
    </row>
    <row r="219" spans="1:1" ht="15.75" customHeight="1">
      <c r="A219" s="32"/>
    </row>
    <row r="220" spans="1:1" ht="15.75" customHeight="1">
      <c r="A220" s="32"/>
    </row>
    <row r="221" spans="1:1" ht="15.75" customHeight="1">
      <c r="A221" s="32"/>
    </row>
    <row r="222" spans="1:1" ht="15.75" customHeight="1">
      <c r="A222" s="32"/>
    </row>
    <row r="223" spans="1:1" ht="15.75" customHeight="1">
      <c r="A223" s="32"/>
    </row>
    <row r="224" spans="1:1" ht="15.75" customHeight="1">
      <c r="A224" s="32"/>
    </row>
    <row r="225" spans="1:1" ht="15.75" customHeight="1">
      <c r="A225" s="32"/>
    </row>
    <row r="226" spans="1:1" ht="15.75" customHeight="1">
      <c r="A226" s="32"/>
    </row>
    <row r="227" spans="1:1" ht="15.75" customHeight="1">
      <c r="A227" s="32"/>
    </row>
    <row r="228" spans="1:1" ht="15.75" customHeight="1">
      <c r="A228" s="32"/>
    </row>
    <row r="229" spans="1:1" ht="15.75" customHeight="1">
      <c r="A229" s="32"/>
    </row>
    <row r="230" spans="1:1" ht="15.75" customHeight="1">
      <c r="A230" s="32"/>
    </row>
    <row r="231" spans="1:1" ht="15.75" customHeight="1">
      <c r="A231" s="32"/>
    </row>
    <row r="232" spans="1:1" ht="15.75" customHeight="1">
      <c r="A232" s="32"/>
    </row>
    <row r="233" spans="1:1" ht="15.75" customHeight="1">
      <c r="A233" s="32"/>
    </row>
    <row r="234" spans="1:1" ht="15.75" customHeight="1">
      <c r="A234" s="32"/>
    </row>
    <row r="235" spans="1:1" ht="15.75" customHeight="1">
      <c r="A235" s="32"/>
    </row>
    <row r="236" spans="1:1" ht="15.75" customHeight="1">
      <c r="A236" s="32"/>
    </row>
    <row r="237" spans="1:1" ht="15.75" customHeight="1">
      <c r="A237" s="32"/>
    </row>
    <row r="238" spans="1:1" ht="15.75" customHeight="1">
      <c r="A238" s="32"/>
    </row>
    <row r="239" spans="1:1" ht="15.75" customHeight="1">
      <c r="A239" s="32"/>
    </row>
    <row r="240" spans="1:1" ht="15.75" customHeight="1">
      <c r="A240" s="32"/>
    </row>
    <row r="241" spans="1:1" ht="15.75" customHeight="1">
      <c r="A241" s="32"/>
    </row>
    <row r="242" spans="1:1" ht="15.75" customHeight="1">
      <c r="A242" s="32"/>
    </row>
    <row r="243" spans="1:1" ht="15.75" customHeight="1">
      <c r="A243" s="32"/>
    </row>
    <row r="244" spans="1:1" ht="15.75" customHeight="1">
      <c r="A244" s="32"/>
    </row>
    <row r="245" spans="1:1" ht="15.75" customHeight="1">
      <c r="A245" s="32"/>
    </row>
    <row r="246" spans="1:1" ht="15.75" customHeight="1">
      <c r="A246" s="32"/>
    </row>
    <row r="247" spans="1:1" ht="15.75" customHeight="1">
      <c r="A247" s="32"/>
    </row>
    <row r="248" spans="1:1" ht="15.75" customHeight="1">
      <c r="A248" s="32"/>
    </row>
    <row r="249" spans="1:1" ht="15.75" customHeight="1">
      <c r="A249" s="32"/>
    </row>
    <row r="250" spans="1:1" ht="15.75" customHeight="1">
      <c r="A250" s="32"/>
    </row>
    <row r="251" spans="1:1" ht="15.75" customHeight="1">
      <c r="A251" s="32"/>
    </row>
    <row r="252" spans="1:1" ht="15.75" customHeight="1">
      <c r="A252" s="32"/>
    </row>
    <row r="253" spans="1:1" ht="15.75" customHeight="1">
      <c r="A253" s="32"/>
    </row>
    <row r="254" spans="1:1" ht="15.75" customHeight="1">
      <c r="A254" s="32"/>
    </row>
    <row r="255" spans="1:1" ht="15.75" customHeight="1">
      <c r="A255" s="32"/>
    </row>
    <row r="256" spans="1:1" ht="15.75" customHeight="1">
      <c r="A256" s="32"/>
    </row>
    <row r="257" spans="1:1" ht="15.75" customHeight="1">
      <c r="A257" s="32"/>
    </row>
    <row r="258" spans="1:1" ht="15.75" customHeight="1">
      <c r="A258" s="32"/>
    </row>
    <row r="259" spans="1:1" ht="15.75" customHeight="1">
      <c r="A259" s="32"/>
    </row>
    <row r="260" spans="1:1" ht="15.75" customHeight="1">
      <c r="A260" s="32"/>
    </row>
    <row r="261" spans="1:1" ht="15.75" customHeight="1">
      <c r="A261" s="32"/>
    </row>
    <row r="262" spans="1:1" ht="15.75" customHeight="1">
      <c r="A262" s="32"/>
    </row>
    <row r="263" spans="1:1" ht="15.75" customHeight="1">
      <c r="A263" s="32"/>
    </row>
    <row r="264" spans="1:1" ht="15.75" customHeight="1">
      <c r="A264" s="32"/>
    </row>
    <row r="265" spans="1:1" ht="15.75" customHeight="1">
      <c r="A265" s="32"/>
    </row>
    <row r="266" spans="1:1" ht="15.75" customHeight="1">
      <c r="A266" s="32"/>
    </row>
    <row r="267" spans="1:1" ht="15.75" customHeight="1">
      <c r="A267" s="32"/>
    </row>
    <row r="268" spans="1:1" ht="15.75" customHeight="1">
      <c r="A268" s="32"/>
    </row>
    <row r="269" spans="1:1" ht="15.75" customHeight="1">
      <c r="A269" s="32"/>
    </row>
    <row r="270" spans="1:1" ht="15.75" customHeight="1">
      <c r="A270" s="32"/>
    </row>
    <row r="271" spans="1:1" ht="15.75" customHeight="1">
      <c r="A271" s="32"/>
    </row>
    <row r="272" spans="1:1" ht="15.75" customHeight="1">
      <c r="A272" s="32"/>
    </row>
    <row r="273" spans="1:1" ht="15.75" customHeight="1">
      <c r="A273" s="32"/>
    </row>
    <row r="274" spans="1:1" ht="15.75" customHeight="1">
      <c r="A274" s="32"/>
    </row>
    <row r="275" spans="1:1" ht="15.75" customHeight="1">
      <c r="A275" s="32"/>
    </row>
    <row r="276" spans="1:1" ht="15.75" customHeight="1">
      <c r="A276" s="32"/>
    </row>
    <row r="277" spans="1:1" ht="15.75" customHeight="1">
      <c r="A277" s="32"/>
    </row>
    <row r="278" spans="1:1" ht="15.75" customHeight="1">
      <c r="A278" s="32"/>
    </row>
    <row r="279" spans="1:1" ht="15.75" customHeight="1">
      <c r="A279" s="32"/>
    </row>
    <row r="280" spans="1:1" ht="15.75" customHeight="1">
      <c r="A280" s="32"/>
    </row>
    <row r="281" spans="1:1" ht="15.75" customHeight="1">
      <c r="A281" s="32"/>
    </row>
    <row r="282" spans="1:1" ht="15.75" customHeight="1">
      <c r="A282" s="32"/>
    </row>
    <row r="283" spans="1:1" ht="15.75" customHeight="1">
      <c r="A283" s="32"/>
    </row>
    <row r="284" spans="1:1" ht="15.75" customHeight="1">
      <c r="A284" s="32"/>
    </row>
    <row r="285" spans="1:1" ht="15.75" customHeight="1">
      <c r="A285" s="32"/>
    </row>
    <row r="286" spans="1:1" ht="15.75" customHeight="1">
      <c r="A286" s="32"/>
    </row>
    <row r="287" spans="1:1" ht="15.75" customHeight="1">
      <c r="A287" s="32"/>
    </row>
    <row r="288" spans="1:1" ht="15.75" customHeight="1">
      <c r="A288" s="32"/>
    </row>
    <row r="289" spans="1:1" ht="15.75" customHeight="1">
      <c r="A289" s="32"/>
    </row>
    <row r="290" spans="1:1" ht="15.75" customHeight="1">
      <c r="A290" s="32"/>
    </row>
    <row r="291" spans="1:1" ht="15.75" customHeight="1">
      <c r="A291" s="32"/>
    </row>
    <row r="292" spans="1:1" ht="15.75" customHeight="1">
      <c r="A292" s="32"/>
    </row>
    <row r="293" spans="1:1" ht="15.75" customHeight="1">
      <c r="A293" s="32"/>
    </row>
    <row r="294" spans="1:1" ht="15.75" customHeight="1">
      <c r="A294" s="32"/>
    </row>
    <row r="295" spans="1:1" ht="15.75" customHeight="1">
      <c r="A295" s="32"/>
    </row>
    <row r="296" spans="1:1" ht="15.75" customHeight="1">
      <c r="A296" s="32"/>
    </row>
    <row r="297" spans="1:1" ht="15.75" customHeight="1">
      <c r="A297" s="32"/>
    </row>
    <row r="298" spans="1:1" ht="15.75" customHeight="1">
      <c r="A298" s="32"/>
    </row>
    <row r="299" spans="1:1" ht="15.75" customHeight="1">
      <c r="A299" s="32"/>
    </row>
    <row r="300" spans="1:1" ht="15.75" customHeight="1">
      <c r="A300" s="32"/>
    </row>
    <row r="301" spans="1:1" ht="15.75" customHeight="1">
      <c r="A301" s="32"/>
    </row>
    <row r="302" spans="1:1" ht="15.75" customHeight="1">
      <c r="A302" s="32"/>
    </row>
    <row r="303" spans="1:1" ht="15.75" customHeight="1">
      <c r="A303" s="32"/>
    </row>
    <row r="304" spans="1:1" ht="15.75" customHeight="1">
      <c r="A304" s="32"/>
    </row>
    <row r="305" spans="1:1" ht="15.75" customHeight="1">
      <c r="A305" s="32"/>
    </row>
    <row r="306" spans="1:1" ht="15.75" customHeight="1">
      <c r="A306" s="32"/>
    </row>
    <row r="307" spans="1:1" ht="15.75" customHeight="1">
      <c r="A307" s="32"/>
    </row>
    <row r="308" spans="1:1" ht="15.75" customHeight="1">
      <c r="A308" s="32"/>
    </row>
    <row r="309" spans="1:1" ht="15.75" customHeight="1">
      <c r="A309" s="32"/>
    </row>
    <row r="310" spans="1:1" ht="15.75" customHeight="1">
      <c r="A310" s="32"/>
    </row>
    <row r="311" spans="1:1" ht="15.75" customHeight="1">
      <c r="A311" s="32"/>
    </row>
    <row r="312" spans="1:1" ht="15.75" customHeight="1">
      <c r="A312" s="32"/>
    </row>
    <row r="313" spans="1:1" ht="15.75" customHeight="1">
      <c r="A313" s="32"/>
    </row>
    <row r="314" spans="1:1" ht="15.75" customHeight="1">
      <c r="A314" s="32"/>
    </row>
    <row r="315" spans="1:1" ht="15.75" customHeight="1">
      <c r="A315" s="32"/>
    </row>
    <row r="316" spans="1:1" ht="15.75" customHeight="1">
      <c r="A316" s="32"/>
    </row>
    <row r="317" spans="1:1" ht="15.75" customHeight="1">
      <c r="A317" s="32"/>
    </row>
    <row r="318" spans="1:1" ht="15.75" customHeight="1">
      <c r="A318" s="32"/>
    </row>
    <row r="319" spans="1:1" ht="15.75" customHeight="1">
      <c r="A319" s="32"/>
    </row>
    <row r="320" spans="1:1" ht="15.75" customHeight="1">
      <c r="A320" s="32"/>
    </row>
    <row r="321" spans="1:1" ht="15.75" customHeight="1">
      <c r="A321" s="32"/>
    </row>
    <row r="322" spans="1:1" ht="15.75" customHeight="1">
      <c r="A322" s="32"/>
    </row>
    <row r="323" spans="1:1" ht="15.75" customHeight="1">
      <c r="A323" s="32"/>
    </row>
    <row r="324" spans="1:1" ht="15.75" customHeight="1">
      <c r="A324" s="32"/>
    </row>
    <row r="325" spans="1:1" ht="15.75" customHeight="1">
      <c r="A325" s="32"/>
    </row>
    <row r="326" spans="1:1" ht="15.75" customHeight="1">
      <c r="A326" s="32"/>
    </row>
    <row r="327" spans="1:1" ht="15.75" customHeight="1">
      <c r="A327" s="32"/>
    </row>
    <row r="328" spans="1:1" ht="15.75" customHeight="1">
      <c r="A328" s="32"/>
    </row>
    <row r="329" spans="1:1" ht="15.75" customHeight="1">
      <c r="A329" s="32"/>
    </row>
    <row r="330" spans="1:1" ht="15.75" customHeight="1">
      <c r="A330" s="32"/>
    </row>
    <row r="331" spans="1:1" ht="15.75" customHeight="1">
      <c r="A331" s="32"/>
    </row>
    <row r="332" spans="1:1" ht="15.75" customHeight="1">
      <c r="A332" s="32"/>
    </row>
    <row r="333" spans="1:1" ht="15.75" customHeight="1">
      <c r="A333" s="32"/>
    </row>
    <row r="334" spans="1:1" ht="15.75" customHeight="1">
      <c r="A334" s="32"/>
    </row>
    <row r="335" spans="1:1" ht="15.75" customHeight="1">
      <c r="A335" s="32"/>
    </row>
    <row r="336" spans="1:1" ht="15.75" customHeight="1">
      <c r="A336" s="32"/>
    </row>
    <row r="337" spans="1:1" ht="15.75" customHeight="1">
      <c r="A337" s="32"/>
    </row>
    <row r="338" spans="1:1" ht="15.75" customHeight="1">
      <c r="A338" s="32"/>
    </row>
    <row r="339" spans="1:1" ht="15.75" customHeight="1">
      <c r="A339" s="32"/>
    </row>
    <row r="340" spans="1:1" ht="15.75" customHeight="1">
      <c r="A340" s="32"/>
    </row>
    <row r="341" spans="1:1" ht="15.75" customHeight="1">
      <c r="A341" s="32"/>
    </row>
    <row r="342" spans="1:1" ht="15.75" customHeight="1">
      <c r="A342" s="32"/>
    </row>
    <row r="343" spans="1:1" ht="15.75" customHeight="1">
      <c r="A343" s="32"/>
    </row>
    <row r="344" spans="1:1" ht="15.75" customHeight="1">
      <c r="A344" s="32"/>
    </row>
    <row r="345" spans="1:1" ht="15.75" customHeight="1">
      <c r="A345" s="32"/>
    </row>
    <row r="346" spans="1:1" ht="15.75" customHeight="1">
      <c r="A346" s="32"/>
    </row>
    <row r="347" spans="1:1" ht="15.75" customHeight="1">
      <c r="A347" s="32"/>
    </row>
    <row r="348" spans="1:1" ht="15.75" customHeight="1">
      <c r="A348" s="32"/>
    </row>
    <row r="349" spans="1:1" ht="15.75" customHeight="1">
      <c r="A349" s="32"/>
    </row>
    <row r="350" spans="1:1" ht="15.75" customHeight="1">
      <c r="A350" s="32"/>
    </row>
    <row r="351" spans="1:1" ht="15.75" customHeight="1">
      <c r="A351" s="32"/>
    </row>
    <row r="352" spans="1:1" ht="15.75" customHeight="1">
      <c r="A352" s="32"/>
    </row>
    <row r="353" spans="1:1" ht="15.75" customHeight="1">
      <c r="A353" s="32"/>
    </row>
    <row r="354" spans="1:1" ht="15.75" customHeight="1">
      <c r="A354" s="32"/>
    </row>
    <row r="355" spans="1:1" ht="15.75" customHeight="1">
      <c r="A355" s="32"/>
    </row>
    <row r="356" spans="1:1" ht="15.75" customHeight="1">
      <c r="A356" s="32"/>
    </row>
    <row r="357" spans="1:1" ht="15.75" customHeight="1">
      <c r="A357" s="32"/>
    </row>
    <row r="358" spans="1:1" ht="15.75" customHeight="1">
      <c r="A358" s="32"/>
    </row>
    <row r="359" spans="1:1" ht="15.75" customHeight="1">
      <c r="A359" s="32"/>
    </row>
    <row r="360" spans="1:1" ht="15.75" customHeight="1">
      <c r="A360" s="32"/>
    </row>
    <row r="361" spans="1:1" ht="15.75" customHeight="1">
      <c r="A361" s="32"/>
    </row>
    <row r="362" spans="1:1" ht="15.75" customHeight="1">
      <c r="A362" s="32"/>
    </row>
    <row r="363" spans="1:1" ht="15.75" customHeight="1">
      <c r="A363" s="32"/>
    </row>
    <row r="364" spans="1:1" ht="15.75" customHeight="1">
      <c r="A364" s="32"/>
    </row>
    <row r="365" spans="1:1" ht="15.75" customHeight="1">
      <c r="A365" s="32"/>
    </row>
    <row r="366" spans="1:1" ht="15.75" customHeight="1">
      <c r="A366" s="32"/>
    </row>
    <row r="367" spans="1:1" ht="15.75" customHeight="1">
      <c r="A367" s="32"/>
    </row>
    <row r="368" spans="1:1" ht="15.75" customHeight="1">
      <c r="A368" s="32"/>
    </row>
    <row r="369" spans="1:1" ht="15.75" customHeight="1">
      <c r="A369" s="32"/>
    </row>
    <row r="370" spans="1:1" ht="15.75" customHeight="1">
      <c r="A370" s="32"/>
    </row>
    <row r="371" spans="1:1" ht="15.75" customHeight="1">
      <c r="A371" s="32"/>
    </row>
    <row r="372" spans="1:1" ht="15.75" customHeight="1">
      <c r="A372" s="32"/>
    </row>
    <row r="373" spans="1:1" ht="15.75" customHeight="1">
      <c r="A373" s="32"/>
    </row>
    <row r="374" spans="1:1" ht="15.75" customHeight="1">
      <c r="A374" s="32"/>
    </row>
    <row r="375" spans="1:1" ht="15.75" customHeight="1">
      <c r="A375" s="32"/>
    </row>
    <row r="376" spans="1:1" ht="15.75" customHeight="1">
      <c r="A376" s="32"/>
    </row>
    <row r="377" spans="1:1" ht="15.75" customHeight="1">
      <c r="A377" s="32"/>
    </row>
    <row r="378" spans="1:1" ht="15.75" customHeight="1">
      <c r="A378" s="32"/>
    </row>
    <row r="379" spans="1:1" ht="15.75" customHeight="1">
      <c r="A379" s="32"/>
    </row>
    <row r="380" spans="1:1" ht="15.75" customHeight="1">
      <c r="A380" s="32"/>
    </row>
    <row r="381" spans="1:1" ht="15.75" customHeight="1">
      <c r="A381" s="32"/>
    </row>
    <row r="382" spans="1:1" ht="15.75" customHeight="1">
      <c r="A382" s="32"/>
    </row>
    <row r="383" spans="1:1" ht="15.75" customHeight="1">
      <c r="A383" s="32"/>
    </row>
    <row r="384" spans="1:1" ht="15.75" customHeight="1">
      <c r="A384" s="32"/>
    </row>
    <row r="385" spans="1:1" ht="15.75" customHeight="1">
      <c r="A385" s="32"/>
    </row>
    <row r="386" spans="1:1" ht="15.75" customHeight="1">
      <c r="A386" s="32"/>
    </row>
    <row r="387" spans="1:1" ht="15.75" customHeight="1">
      <c r="A387" s="32"/>
    </row>
    <row r="388" spans="1:1" ht="15.75" customHeight="1">
      <c r="A388" s="32"/>
    </row>
    <row r="389" spans="1:1" ht="15.75" customHeight="1">
      <c r="A389" s="32"/>
    </row>
    <row r="390" spans="1:1" ht="15.75" customHeight="1">
      <c r="A390" s="32"/>
    </row>
    <row r="391" spans="1:1" ht="15.75" customHeight="1">
      <c r="A391" s="32"/>
    </row>
    <row r="392" spans="1:1" ht="15.75" customHeight="1">
      <c r="A392" s="32"/>
    </row>
    <row r="393" spans="1:1" ht="15.75" customHeight="1">
      <c r="A393" s="32"/>
    </row>
    <row r="394" spans="1:1" ht="15.75" customHeight="1">
      <c r="A394" s="32"/>
    </row>
    <row r="395" spans="1:1" ht="15.75" customHeight="1">
      <c r="A395" s="32"/>
    </row>
    <row r="396" spans="1:1" ht="15.75" customHeight="1">
      <c r="A396" s="32"/>
    </row>
    <row r="397" spans="1:1" ht="15.75" customHeight="1">
      <c r="A397" s="32"/>
    </row>
    <row r="398" spans="1:1" ht="15.75" customHeight="1">
      <c r="A398" s="32"/>
    </row>
    <row r="399" spans="1:1" ht="15.75" customHeight="1">
      <c r="A399" s="32"/>
    </row>
    <row r="400" spans="1:1" ht="15.75" customHeight="1">
      <c r="A400" s="32"/>
    </row>
    <row r="401" spans="1:1" ht="15.75" customHeight="1">
      <c r="A401" s="32"/>
    </row>
    <row r="402" spans="1:1" ht="15.75" customHeight="1">
      <c r="A402" s="32"/>
    </row>
    <row r="403" spans="1:1" ht="15.75" customHeight="1">
      <c r="A403" s="32"/>
    </row>
    <row r="404" spans="1:1" ht="15.75" customHeight="1">
      <c r="A404" s="32"/>
    </row>
    <row r="405" spans="1:1" ht="15.75" customHeight="1">
      <c r="A405" s="32"/>
    </row>
    <row r="406" spans="1:1" ht="15.75" customHeight="1">
      <c r="A406" s="32"/>
    </row>
    <row r="407" spans="1:1" ht="15.75" customHeight="1">
      <c r="A407" s="32"/>
    </row>
    <row r="408" spans="1:1" ht="15.75" customHeight="1">
      <c r="A408" s="32"/>
    </row>
    <row r="409" spans="1:1" ht="15.75" customHeight="1">
      <c r="A409" s="32"/>
    </row>
    <row r="410" spans="1:1" ht="15.75" customHeight="1">
      <c r="A410" s="32"/>
    </row>
    <row r="411" spans="1:1" ht="15.75" customHeight="1">
      <c r="A411" s="32"/>
    </row>
    <row r="412" spans="1:1" ht="15.75" customHeight="1">
      <c r="A412" s="32"/>
    </row>
    <row r="413" spans="1:1" ht="15.75" customHeight="1">
      <c r="A413" s="32"/>
    </row>
    <row r="414" spans="1:1" ht="15.75" customHeight="1">
      <c r="A414" s="32"/>
    </row>
    <row r="415" spans="1:1" ht="15.75" customHeight="1">
      <c r="A415" s="32"/>
    </row>
    <row r="416" spans="1:1" ht="15.75" customHeight="1">
      <c r="A416" s="32"/>
    </row>
    <row r="417" spans="1:1" ht="15.75" customHeight="1">
      <c r="A417" s="32"/>
    </row>
    <row r="418" spans="1:1" ht="15.75" customHeight="1">
      <c r="A418" s="32"/>
    </row>
    <row r="419" spans="1:1" ht="15.75" customHeight="1">
      <c r="A419" s="32"/>
    </row>
    <row r="420" spans="1:1" ht="15.75" customHeight="1">
      <c r="A420" s="32"/>
    </row>
    <row r="421" spans="1:1" ht="15.75" customHeight="1">
      <c r="A421" s="32"/>
    </row>
    <row r="422" spans="1:1" ht="15.75" customHeight="1">
      <c r="A422" s="32"/>
    </row>
    <row r="423" spans="1:1" ht="15.75" customHeight="1">
      <c r="A423" s="32"/>
    </row>
    <row r="424" spans="1:1" ht="15.75" customHeight="1">
      <c r="A424" s="32"/>
    </row>
    <row r="425" spans="1:1" ht="15.75" customHeight="1">
      <c r="A425" s="32"/>
    </row>
    <row r="426" spans="1:1" ht="15.75" customHeight="1">
      <c r="A426" s="32"/>
    </row>
    <row r="427" spans="1:1" ht="15.75" customHeight="1">
      <c r="A427" s="32"/>
    </row>
    <row r="428" spans="1:1" ht="15.75" customHeight="1">
      <c r="A428" s="32"/>
    </row>
    <row r="429" spans="1:1" ht="15.75" customHeight="1">
      <c r="A429" s="32"/>
    </row>
    <row r="430" spans="1:1" ht="15.75" customHeight="1">
      <c r="A430" s="32"/>
    </row>
    <row r="431" spans="1:1" ht="15.75" customHeight="1">
      <c r="A431" s="32"/>
    </row>
    <row r="432" spans="1:1" ht="15.75" customHeight="1">
      <c r="A432" s="32"/>
    </row>
    <row r="433" spans="1:1" ht="15.75" customHeight="1">
      <c r="A433" s="32"/>
    </row>
    <row r="434" spans="1:1" ht="15.75" customHeight="1">
      <c r="A434" s="32"/>
    </row>
    <row r="435" spans="1:1" ht="15.75" customHeight="1">
      <c r="A435" s="32"/>
    </row>
    <row r="436" spans="1:1" ht="15.75" customHeight="1">
      <c r="A436" s="32"/>
    </row>
    <row r="437" spans="1:1" ht="15.75" customHeight="1">
      <c r="A437" s="32"/>
    </row>
    <row r="438" spans="1:1" ht="15.75" customHeight="1">
      <c r="A438" s="32"/>
    </row>
    <row r="439" spans="1:1" ht="15.75" customHeight="1">
      <c r="A439" s="32"/>
    </row>
    <row r="440" spans="1:1" ht="15.75" customHeight="1">
      <c r="A440" s="32"/>
    </row>
    <row r="441" spans="1:1" ht="15.75" customHeight="1">
      <c r="A441" s="32"/>
    </row>
    <row r="442" spans="1:1" ht="15.75" customHeight="1">
      <c r="A442" s="32"/>
    </row>
    <row r="443" spans="1:1" ht="15.75" customHeight="1">
      <c r="A443" s="32"/>
    </row>
    <row r="444" spans="1:1" ht="15.75" customHeight="1">
      <c r="A444" s="32"/>
    </row>
    <row r="445" spans="1:1" ht="15.75" customHeight="1">
      <c r="A445" s="32"/>
    </row>
    <row r="446" spans="1:1" ht="15.75" customHeight="1">
      <c r="A446" s="32"/>
    </row>
    <row r="447" spans="1:1" ht="15.75" customHeight="1">
      <c r="A447" s="32"/>
    </row>
    <row r="448" spans="1:1" ht="15.75" customHeight="1">
      <c r="A448" s="32"/>
    </row>
    <row r="449" spans="1:1" ht="15.75" customHeight="1">
      <c r="A449" s="32"/>
    </row>
    <row r="450" spans="1:1" ht="15.75" customHeight="1">
      <c r="A450" s="32"/>
    </row>
    <row r="451" spans="1:1" ht="15.75" customHeight="1">
      <c r="A451" s="32"/>
    </row>
    <row r="452" spans="1:1" ht="15.75" customHeight="1">
      <c r="A452" s="32"/>
    </row>
    <row r="453" spans="1:1" ht="15.75" customHeight="1">
      <c r="A453" s="32"/>
    </row>
    <row r="454" spans="1:1" ht="15.75" customHeight="1">
      <c r="A454" s="32"/>
    </row>
    <row r="455" spans="1:1" ht="15.75" customHeight="1">
      <c r="A455" s="32"/>
    </row>
    <row r="456" spans="1:1" ht="15.75" customHeight="1">
      <c r="A456" s="32"/>
    </row>
    <row r="457" spans="1:1" ht="15.75" customHeight="1">
      <c r="A457" s="32"/>
    </row>
    <row r="458" spans="1:1" ht="15.75" customHeight="1">
      <c r="A458" s="32"/>
    </row>
    <row r="459" spans="1:1" ht="15.75" customHeight="1">
      <c r="A459" s="32"/>
    </row>
    <row r="460" spans="1:1" ht="15.75" customHeight="1">
      <c r="A460" s="32"/>
    </row>
    <row r="461" spans="1:1" ht="15.75" customHeight="1">
      <c r="A461" s="32"/>
    </row>
    <row r="462" spans="1:1" ht="15.75" customHeight="1">
      <c r="A462" s="32"/>
    </row>
    <row r="463" spans="1:1" ht="15.75" customHeight="1">
      <c r="A463" s="32"/>
    </row>
    <row r="464" spans="1:1" ht="15.75" customHeight="1">
      <c r="A464" s="32"/>
    </row>
    <row r="465" spans="1:1" ht="15.75" customHeight="1">
      <c r="A465" s="32"/>
    </row>
    <row r="466" spans="1:1" ht="15.75" customHeight="1">
      <c r="A466" s="32"/>
    </row>
    <row r="467" spans="1:1" ht="15.75" customHeight="1">
      <c r="A467" s="32"/>
    </row>
    <row r="468" spans="1:1" ht="15.75" customHeight="1">
      <c r="A468" s="32"/>
    </row>
    <row r="469" spans="1:1" ht="15.75" customHeight="1">
      <c r="A469" s="32"/>
    </row>
    <row r="470" spans="1:1" ht="15.75" customHeight="1">
      <c r="A470" s="32"/>
    </row>
    <row r="471" spans="1:1" ht="15.75" customHeight="1">
      <c r="A471" s="32"/>
    </row>
    <row r="472" spans="1:1" ht="15.75" customHeight="1">
      <c r="A472" s="32"/>
    </row>
    <row r="473" spans="1:1" ht="15.75" customHeight="1">
      <c r="A473" s="32"/>
    </row>
    <row r="474" spans="1:1" ht="15.75" customHeight="1">
      <c r="A474" s="32"/>
    </row>
    <row r="475" spans="1:1" ht="15.75" customHeight="1">
      <c r="A475" s="32"/>
    </row>
    <row r="476" spans="1:1" ht="15.75" customHeight="1">
      <c r="A476" s="32"/>
    </row>
    <row r="477" spans="1:1" ht="15.75" customHeight="1">
      <c r="A477" s="32"/>
    </row>
    <row r="478" spans="1:1" ht="15.75" customHeight="1">
      <c r="A478" s="32"/>
    </row>
    <row r="479" spans="1:1" ht="15.75" customHeight="1">
      <c r="A479" s="32"/>
    </row>
    <row r="480" spans="1:1" ht="15.75" customHeight="1">
      <c r="A480" s="32"/>
    </row>
    <row r="481" spans="1:1" ht="15.75" customHeight="1">
      <c r="A481" s="32"/>
    </row>
    <row r="482" spans="1:1" ht="15.75" customHeight="1">
      <c r="A482" s="32"/>
    </row>
    <row r="483" spans="1:1" ht="15.75" customHeight="1">
      <c r="A483" s="32"/>
    </row>
    <row r="484" spans="1:1" ht="15.75" customHeight="1">
      <c r="A484" s="32"/>
    </row>
    <row r="485" spans="1:1" ht="15.75" customHeight="1">
      <c r="A485" s="32"/>
    </row>
    <row r="486" spans="1:1" ht="15.75" customHeight="1">
      <c r="A486" s="32"/>
    </row>
    <row r="487" spans="1:1" ht="15.75" customHeight="1">
      <c r="A487" s="32"/>
    </row>
    <row r="488" spans="1:1" ht="15.75" customHeight="1">
      <c r="A488" s="32"/>
    </row>
    <row r="489" spans="1:1" ht="15.75" customHeight="1">
      <c r="A489" s="32"/>
    </row>
    <row r="490" spans="1:1" ht="15.75" customHeight="1">
      <c r="A490" s="32"/>
    </row>
    <row r="491" spans="1:1" ht="15.75" customHeight="1">
      <c r="A491" s="32"/>
    </row>
    <row r="492" spans="1:1" ht="15.75" customHeight="1">
      <c r="A492" s="32"/>
    </row>
    <row r="493" spans="1:1" ht="15.75" customHeight="1">
      <c r="A493" s="32"/>
    </row>
    <row r="494" spans="1:1" ht="15.75" customHeight="1">
      <c r="A494" s="32"/>
    </row>
    <row r="495" spans="1:1" ht="15.75" customHeight="1">
      <c r="A495" s="32"/>
    </row>
    <row r="496" spans="1:1" ht="15.75" customHeight="1">
      <c r="A496" s="32"/>
    </row>
    <row r="497" spans="1:1" ht="15.75" customHeight="1">
      <c r="A497" s="32"/>
    </row>
    <row r="498" spans="1:1" ht="15.75" customHeight="1">
      <c r="A498" s="32"/>
    </row>
    <row r="499" spans="1:1" ht="15.75" customHeight="1">
      <c r="A499" s="32"/>
    </row>
    <row r="500" spans="1:1" ht="15.75" customHeight="1">
      <c r="A500" s="32"/>
    </row>
    <row r="501" spans="1:1" ht="15.75" customHeight="1">
      <c r="A501" s="32"/>
    </row>
    <row r="502" spans="1:1" ht="15.75" customHeight="1">
      <c r="A502" s="32"/>
    </row>
    <row r="503" spans="1:1" ht="15.75" customHeight="1">
      <c r="A503" s="32"/>
    </row>
    <row r="504" spans="1:1" ht="15.75" customHeight="1">
      <c r="A504" s="32"/>
    </row>
    <row r="505" spans="1:1" ht="15.75" customHeight="1">
      <c r="A505" s="32"/>
    </row>
    <row r="506" spans="1:1" ht="15.75" customHeight="1">
      <c r="A506" s="32"/>
    </row>
    <row r="507" spans="1:1" ht="15.75" customHeight="1">
      <c r="A507" s="32"/>
    </row>
    <row r="508" spans="1:1" ht="15.75" customHeight="1">
      <c r="A508" s="32"/>
    </row>
    <row r="509" spans="1:1" ht="15.75" customHeight="1">
      <c r="A509" s="32"/>
    </row>
    <row r="510" spans="1:1" ht="15.75" customHeight="1">
      <c r="A510" s="32"/>
    </row>
    <row r="511" spans="1:1" ht="15.75" customHeight="1">
      <c r="A511" s="32"/>
    </row>
    <row r="512" spans="1:1" ht="15.75" customHeight="1">
      <c r="A512" s="32"/>
    </row>
    <row r="513" spans="1:1" ht="15.75" customHeight="1">
      <c r="A513" s="32"/>
    </row>
    <row r="514" spans="1:1" ht="15.75" customHeight="1">
      <c r="A514" s="32"/>
    </row>
    <row r="515" spans="1:1" ht="15.75" customHeight="1">
      <c r="A515" s="32"/>
    </row>
    <row r="516" spans="1:1" ht="15.75" customHeight="1">
      <c r="A516" s="32"/>
    </row>
    <row r="517" spans="1:1" ht="15.75" customHeight="1">
      <c r="A517" s="32"/>
    </row>
    <row r="518" spans="1:1" ht="15.75" customHeight="1">
      <c r="A518" s="32"/>
    </row>
    <row r="519" spans="1:1" ht="15.75" customHeight="1">
      <c r="A519" s="32"/>
    </row>
    <row r="520" spans="1:1" ht="15.75" customHeight="1">
      <c r="A520" s="32"/>
    </row>
    <row r="521" spans="1:1" ht="15.75" customHeight="1">
      <c r="A521" s="32"/>
    </row>
    <row r="522" spans="1:1" ht="15.75" customHeight="1">
      <c r="A522" s="32"/>
    </row>
    <row r="523" spans="1:1" ht="15.75" customHeight="1">
      <c r="A523" s="32"/>
    </row>
    <row r="524" spans="1:1" ht="15.75" customHeight="1">
      <c r="A524" s="32"/>
    </row>
    <row r="525" spans="1:1" ht="15.75" customHeight="1">
      <c r="A525" s="32"/>
    </row>
    <row r="526" spans="1:1" ht="15.75" customHeight="1">
      <c r="A526" s="32"/>
    </row>
    <row r="527" spans="1:1" ht="15.75" customHeight="1">
      <c r="A527" s="32"/>
    </row>
    <row r="528" spans="1:1" ht="15.75" customHeight="1">
      <c r="A528" s="32"/>
    </row>
    <row r="529" spans="1:1" ht="15.75" customHeight="1">
      <c r="A529" s="32"/>
    </row>
    <row r="530" spans="1:1" ht="15.75" customHeight="1">
      <c r="A530" s="32"/>
    </row>
    <row r="531" spans="1:1" ht="15.75" customHeight="1">
      <c r="A531" s="32"/>
    </row>
    <row r="532" spans="1:1" ht="15.75" customHeight="1">
      <c r="A532" s="32"/>
    </row>
    <row r="533" spans="1:1" ht="15.75" customHeight="1">
      <c r="A533" s="32"/>
    </row>
    <row r="534" spans="1:1" ht="15.75" customHeight="1">
      <c r="A534" s="32"/>
    </row>
    <row r="535" spans="1:1" ht="15.75" customHeight="1">
      <c r="A535" s="32"/>
    </row>
    <row r="536" spans="1:1" ht="15.75" customHeight="1">
      <c r="A536" s="32"/>
    </row>
    <row r="537" spans="1:1" ht="15.75" customHeight="1">
      <c r="A537" s="32"/>
    </row>
    <row r="538" spans="1:1" ht="15.75" customHeight="1">
      <c r="A538" s="32"/>
    </row>
    <row r="539" spans="1:1" ht="15.75" customHeight="1">
      <c r="A539" s="32"/>
    </row>
    <row r="540" spans="1:1" ht="15.75" customHeight="1">
      <c r="A540" s="32"/>
    </row>
    <row r="541" spans="1:1" ht="15.75" customHeight="1">
      <c r="A541" s="32"/>
    </row>
    <row r="542" spans="1:1" ht="15.75" customHeight="1">
      <c r="A542" s="32"/>
    </row>
    <row r="543" spans="1:1" ht="15.75" customHeight="1">
      <c r="A543" s="32"/>
    </row>
    <row r="544" spans="1:1" ht="15.75" customHeight="1">
      <c r="A544" s="32"/>
    </row>
    <row r="545" spans="1:1" ht="15.75" customHeight="1">
      <c r="A545" s="32"/>
    </row>
    <row r="546" spans="1:1" ht="15.75" customHeight="1">
      <c r="A546" s="32"/>
    </row>
    <row r="547" spans="1:1" ht="15.75" customHeight="1">
      <c r="A547" s="32"/>
    </row>
    <row r="548" spans="1:1" ht="15.75" customHeight="1">
      <c r="A548" s="32"/>
    </row>
    <row r="549" spans="1:1" ht="15.75" customHeight="1">
      <c r="A549" s="32"/>
    </row>
    <row r="550" spans="1:1" ht="15.75" customHeight="1">
      <c r="A550" s="32"/>
    </row>
    <row r="551" spans="1:1" ht="15.75" customHeight="1">
      <c r="A551" s="32"/>
    </row>
    <row r="552" spans="1:1" ht="15.75" customHeight="1">
      <c r="A552" s="32"/>
    </row>
    <row r="553" spans="1:1" ht="15.75" customHeight="1">
      <c r="A553" s="32"/>
    </row>
    <row r="554" spans="1:1" ht="15.75" customHeight="1">
      <c r="A554" s="32"/>
    </row>
    <row r="555" spans="1:1" ht="15.75" customHeight="1">
      <c r="A555" s="32"/>
    </row>
    <row r="556" spans="1:1" ht="15.75" customHeight="1">
      <c r="A556" s="32"/>
    </row>
    <row r="557" spans="1:1" ht="15.75" customHeight="1">
      <c r="A557" s="32"/>
    </row>
    <row r="558" spans="1:1" ht="15.75" customHeight="1">
      <c r="A558" s="32"/>
    </row>
    <row r="559" spans="1:1" ht="15.75" customHeight="1">
      <c r="A559" s="32"/>
    </row>
    <row r="560" spans="1:1" ht="15.75" customHeight="1">
      <c r="A560" s="32"/>
    </row>
    <row r="561" spans="1:1" ht="15.75" customHeight="1">
      <c r="A561" s="32"/>
    </row>
    <row r="562" spans="1:1" ht="15.75" customHeight="1">
      <c r="A562" s="32"/>
    </row>
    <row r="563" spans="1:1" ht="15.75" customHeight="1">
      <c r="A563" s="32"/>
    </row>
    <row r="564" spans="1:1" ht="15.75" customHeight="1">
      <c r="A564" s="32"/>
    </row>
    <row r="565" spans="1:1" ht="15.75" customHeight="1">
      <c r="A565" s="32"/>
    </row>
    <row r="566" spans="1:1" ht="15.75" customHeight="1">
      <c r="A566" s="32"/>
    </row>
    <row r="567" spans="1:1" ht="15.75" customHeight="1">
      <c r="A567" s="32"/>
    </row>
    <row r="568" spans="1:1" ht="15.75" customHeight="1">
      <c r="A568" s="32"/>
    </row>
    <row r="569" spans="1:1" ht="15.75" customHeight="1">
      <c r="A569" s="32"/>
    </row>
    <row r="570" spans="1:1" ht="15.75" customHeight="1">
      <c r="A570" s="32"/>
    </row>
    <row r="571" spans="1:1" ht="15.75" customHeight="1">
      <c r="A571" s="32"/>
    </row>
    <row r="572" spans="1:1" ht="15.75" customHeight="1">
      <c r="A572" s="32"/>
    </row>
    <row r="573" spans="1:1" ht="15.75" customHeight="1">
      <c r="A573" s="32"/>
    </row>
    <row r="574" spans="1:1" ht="15.75" customHeight="1">
      <c r="A574" s="32"/>
    </row>
    <row r="575" spans="1:1" ht="15.75" customHeight="1">
      <c r="A575" s="32"/>
    </row>
    <row r="576" spans="1:1" ht="15.75" customHeight="1">
      <c r="A576" s="32"/>
    </row>
    <row r="577" spans="1:1" ht="15.75" customHeight="1">
      <c r="A577" s="32"/>
    </row>
    <row r="578" spans="1:1" ht="15.75" customHeight="1">
      <c r="A578" s="32"/>
    </row>
    <row r="579" spans="1:1" ht="15.75" customHeight="1">
      <c r="A579" s="32"/>
    </row>
    <row r="580" spans="1:1" ht="15.75" customHeight="1">
      <c r="A580" s="32"/>
    </row>
    <row r="581" spans="1:1" ht="15.75" customHeight="1">
      <c r="A581" s="32"/>
    </row>
    <row r="582" spans="1:1" ht="15.75" customHeight="1">
      <c r="A582" s="32"/>
    </row>
    <row r="583" spans="1:1" ht="15.75" customHeight="1">
      <c r="A583" s="32"/>
    </row>
    <row r="584" spans="1:1" ht="15.75" customHeight="1">
      <c r="A584" s="32"/>
    </row>
    <row r="585" spans="1:1" ht="15.75" customHeight="1">
      <c r="A585" s="32"/>
    </row>
    <row r="586" spans="1:1" ht="15.75" customHeight="1">
      <c r="A586" s="32"/>
    </row>
    <row r="587" spans="1:1" ht="15.75" customHeight="1">
      <c r="A587" s="32"/>
    </row>
    <row r="588" spans="1:1" ht="15.75" customHeight="1">
      <c r="A588" s="32"/>
    </row>
    <row r="589" spans="1:1" ht="15.75" customHeight="1">
      <c r="A589" s="32"/>
    </row>
    <row r="590" spans="1:1" ht="15.75" customHeight="1">
      <c r="A590" s="32"/>
    </row>
    <row r="591" spans="1:1" ht="15.75" customHeight="1">
      <c r="A591" s="32"/>
    </row>
    <row r="592" spans="1:1" ht="15.75" customHeight="1">
      <c r="A592" s="32"/>
    </row>
    <row r="593" spans="1:1" ht="15.75" customHeight="1">
      <c r="A593" s="32"/>
    </row>
    <row r="594" spans="1:1" ht="15.75" customHeight="1">
      <c r="A594" s="32"/>
    </row>
    <row r="595" spans="1:1" ht="15.75" customHeight="1">
      <c r="A595" s="32"/>
    </row>
    <row r="596" spans="1:1" ht="15.75" customHeight="1">
      <c r="A596" s="32"/>
    </row>
    <row r="597" spans="1:1" ht="15.75" customHeight="1">
      <c r="A597" s="32"/>
    </row>
    <row r="598" spans="1:1" ht="15.75" customHeight="1">
      <c r="A598" s="32"/>
    </row>
    <row r="599" spans="1:1" ht="15.75" customHeight="1">
      <c r="A599" s="32"/>
    </row>
    <row r="600" spans="1:1" ht="15.75" customHeight="1">
      <c r="A600" s="32"/>
    </row>
    <row r="601" spans="1:1" ht="15.75" customHeight="1">
      <c r="A601" s="32"/>
    </row>
    <row r="602" spans="1:1" ht="15.75" customHeight="1">
      <c r="A602" s="32"/>
    </row>
    <row r="603" spans="1:1" ht="15.75" customHeight="1">
      <c r="A603" s="32"/>
    </row>
    <row r="604" spans="1:1" ht="15.75" customHeight="1">
      <c r="A604" s="32"/>
    </row>
    <row r="605" spans="1:1" ht="15.75" customHeight="1">
      <c r="A605" s="32"/>
    </row>
    <row r="606" spans="1:1" ht="15.75" customHeight="1">
      <c r="A606" s="32"/>
    </row>
    <row r="607" spans="1:1" ht="15.75" customHeight="1">
      <c r="A607" s="32"/>
    </row>
    <row r="608" spans="1:1" ht="15.75" customHeight="1">
      <c r="A608" s="32"/>
    </row>
    <row r="609" spans="1:1" ht="15.75" customHeight="1">
      <c r="A609" s="32"/>
    </row>
    <row r="610" spans="1:1" ht="15.75" customHeight="1">
      <c r="A610" s="32"/>
    </row>
    <row r="611" spans="1:1" ht="15.75" customHeight="1">
      <c r="A611" s="32"/>
    </row>
    <row r="612" spans="1:1" ht="15.75" customHeight="1">
      <c r="A612" s="32"/>
    </row>
    <row r="613" spans="1:1" ht="15.75" customHeight="1">
      <c r="A613" s="32"/>
    </row>
    <row r="614" spans="1:1" ht="15.75" customHeight="1">
      <c r="A614" s="32"/>
    </row>
    <row r="615" spans="1:1" ht="15.75" customHeight="1">
      <c r="A615" s="32"/>
    </row>
    <row r="616" spans="1:1" ht="15.75" customHeight="1">
      <c r="A616" s="32"/>
    </row>
    <row r="617" spans="1:1" ht="15.75" customHeight="1">
      <c r="A617" s="32"/>
    </row>
    <row r="618" spans="1:1" ht="15.75" customHeight="1">
      <c r="A618" s="32"/>
    </row>
    <row r="619" spans="1:1" ht="15.75" customHeight="1">
      <c r="A619" s="32"/>
    </row>
    <row r="620" spans="1:1" ht="15.75" customHeight="1">
      <c r="A620" s="32"/>
    </row>
    <row r="621" spans="1:1" ht="15.75" customHeight="1">
      <c r="A621" s="32"/>
    </row>
    <row r="622" spans="1:1" ht="15.75" customHeight="1">
      <c r="A622" s="32"/>
    </row>
    <row r="623" spans="1:1" ht="15.75" customHeight="1">
      <c r="A623" s="32"/>
    </row>
    <row r="624" spans="1:1" ht="15.75" customHeight="1">
      <c r="A624" s="32"/>
    </row>
    <row r="625" spans="1:1" ht="15.75" customHeight="1">
      <c r="A625" s="32"/>
    </row>
    <row r="626" spans="1:1" ht="15.75" customHeight="1">
      <c r="A626" s="32"/>
    </row>
    <row r="627" spans="1:1" ht="15.75" customHeight="1">
      <c r="A627" s="32"/>
    </row>
    <row r="628" spans="1:1" ht="15.75" customHeight="1">
      <c r="A628" s="32"/>
    </row>
    <row r="629" spans="1:1" ht="15.75" customHeight="1">
      <c r="A629" s="32"/>
    </row>
    <row r="630" spans="1:1" ht="15.75" customHeight="1">
      <c r="A630" s="32"/>
    </row>
    <row r="631" spans="1:1" ht="15.75" customHeight="1">
      <c r="A631" s="32"/>
    </row>
    <row r="632" spans="1:1" ht="15.75" customHeight="1">
      <c r="A632" s="32"/>
    </row>
    <row r="633" spans="1:1" ht="15.75" customHeight="1">
      <c r="A633" s="32"/>
    </row>
    <row r="634" spans="1:1" ht="15.75" customHeight="1">
      <c r="A634" s="32"/>
    </row>
    <row r="635" spans="1:1" ht="15.75" customHeight="1">
      <c r="A635" s="32"/>
    </row>
    <row r="636" spans="1:1" ht="15.75" customHeight="1">
      <c r="A636" s="32"/>
    </row>
    <row r="637" spans="1:1" ht="15.75" customHeight="1">
      <c r="A637" s="32"/>
    </row>
    <row r="638" spans="1:1" ht="15.75" customHeight="1">
      <c r="A638" s="32"/>
    </row>
    <row r="639" spans="1:1" ht="15.75" customHeight="1">
      <c r="A639" s="32"/>
    </row>
    <row r="640" spans="1:1" ht="15.75" customHeight="1">
      <c r="A640" s="32"/>
    </row>
    <row r="641" spans="1:1" ht="15.75" customHeight="1">
      <c r="A641" s="32"/>
    </row>
    <row r="642" spans="1:1" ht="15.75" customHeight="1">
      <c r="A642" s="32"/>
    </row>
    <row r="643" spans="1:1" ht="15.75" customHeight="1">
      <c r="A643" s="32"/>
    </row>
    <row r="644" spans="1:1" ht="15.75" customHeight="1">
      <c r="A644" s="32"/>
    </row>
    <row r="645" spans="1:1" ht="15.75" customHeight="1">
      <c r="A645" s="32"/>
    </row>
    <row r="646" spans="1:1" ht="15.75" customHeight="1">
      <c r="A646" s="32"/>
    </row>
    <row r="647" spans="1:1" ht="15.75" customHeight="1">
      <c r="A647" s="32"/>
    </row>
    <row r="648" spans="1:1" ht="15.75" customHeight="1">
      <c r="A648" s="32"/>
    </row>
    <row r="649" spans="1:1" ht="15.75" customHeight="1">
      <c r="A649" s="32"/>
    </row>
    <row r="650" spans="1:1" ht="15.75" customHeight="1">
      <c r="A650" s="32"/>
    </row>
    <row r="651" spans="1:1" ht="15.75" customHeight="1">
      <c r="A651" s="32"/>
    </row>
    <row r="652" spans="1:1" ht="15.75" customHeight="1">
      <c r="A652" s="32"/>
    </row>
    <row r="653" spans="1:1" ht="15.75" customHeight="1">
      <c r="A653" s="32"/>
    </row>
    <row r="654" spans="1:1" ht="15.75" customHeight="1">
      <c r="A654" s="32"/>
    </row>
    <row r="655" spans="1:1" ht="15.75" customHeight="1">
      <c r="A655" s="32"/>
    </row>
    <row r="656" spans="1:1" ht="15.75" customHeight="1">
      <c r="A656" s="32"/>
    </row>
    <row r="657" spans="1:1" ht="15.75" customHeight="1">
      <c r="A657" s="32"/>
    </row>
    <row r="658" spans="1:1" ht="15.75" customHeight="1">
      <c r="A658" s="32"/>
    </row>
    <row r="659" spans="1:1" ht="15.75" customHeight="1">
      <c r="A659" s="32"/>
    </row>
    <row r="660" spans="1:1" ht="15.75" customHeight="1">
      <c r="A660" s="32"/>
    </row>
    <row r="661" spans="1:1" ht="15.75" customHeight="1">
      <c r="A661" s="32"/>
    </row>
    <row r="662" spans="1:1" ht="15.75" customHeight="1">
      <c r="A662" s="32"/>
    </row>
    <row r="663" spans="1:1" ht="15.75" customHeight="1">
      <c r="A663" s="32"/>
    </row>
    <row r="664" spans="1:1" ht="15.75" customHeight="1">
      <c r="A664" s="32"/>
    </row>
    <row r="665" spans="1:1" ht="15.75" customHeight="1">
      <c r="A665" s="32"/>
    </row>
    <row r="666" spans="1:1" ht="15.75" customHeight="1">
      <c r="A666" s="32"/>
    </row>
    <row r="667" spans="1:1" ht="15.75" customHeight="1">
      <c r="A667" s="32"/>
    </row>
    <row r="668" spans="1:1" ht="15.75" customHeight="1">
      <c r="A668" s="32"/>
    </row>
    <row r="669" spans="1:1" ht="15.75" customHeight="1">
      <c r="A669" s="32"/>
    </row>
    <row r="670" spans="1:1" ht="15.75" customHeight="1">
      <c r="A670" s="32"/>
    </row>
    <row r="671" spans="1:1" ht="15.75" customHeight="1">
      <c r="A671" s="32"/>
    </row>
    <row r="672" spans="1:1" ht="15.75" customHeight="1">
      <c r="A672" s="32"/>
    </row>
    <row r="673" spans="1:1" ht="15.75" customHeight="1">
      <c r="A673" s="32"/>
    </row>
    <row r="674" spans="1:1" ht="15.75" customHeight="1">
      <c r="A674" s="32"/>
    </row>
    <row r="675" spans="1:1" ht="15.75" customHeight="1">
      <c r="A675" s="32"/>
    </row>
    <row r="676" spans="1:1" ht="15.75" customHeight="1">
      <c r="A676" s="32"/>
    </row>
    <row r="677" spans="1:1" ht="15.75" customHeight="1">
      <c r="A677" s="32"/>
    </row>
    <row r="678" spans="1:1" ht="15.75" customHeight="1">
      <c r="A678" s="32"/>
    </row>
    <row r="679" spans="1:1" ht="15.75" customHeight="1">
      <c r="A679" s="32"/>
    </row>
    <row r="680" spans="1:1" ht="15.75" customHeight="1">
      <c r="A680" s="32"/>
    </row>
    <row r="681" spans="1:1" ht="15.75" customHeight="1">
      <c r="A681" s="32"/>
    </row>
    <row r="682" spans="1:1" ht="15.75" customHeight="1">
      <c r="A682" s="32"/>
    </row>
    <row r="683" spans="1:1" ht="15.75" customHeight="1">
      <c r="A683" s="32"/>
    </row>
    <row r="684" spans="1:1" ht="15.75" customHeight="1">
      <c r="A684" s="32"/>
    </row>
    <row r="685" spans="1:1" ht="15.75" customHeight="1">
      <c r="A685" s="32"/>
    </row>
    <row r="686" spans="1:1" ht="15.75" customHeight="1">
      <c r="A686" s="32"/>
    </row>
    <row r="687" spans="1:1" ht="15.75" customHeight="1">
      <c r="A687" s="32"/>
    </row>
    <row r="688" spans="1:1" ht="15.75" customHeight="1">
      <c r="A688" s="32"/>
    </row>
    <row r="689" spans="1:1" ht="15.75" customHeight="1">
      <c r="A689" s="32"/>
    </row>
    <row r="690" spans="1:1" ht="15.75" customHeight="1">
      <c r="A690" s="32"/>
    </row>
    <row r="691" spans="1:1" ht="15.75" customHeight="1">
      <c r="A691" s="32"/>
    </row>
    <row r="692" spans="1:1" ht="15.75" customHeight="1">
      <c r="A692" s="32"/>
    </row>
    <row r="693" spans="1:1" ht="15.75" customHeight="1">
      <c r="A693" s="32"/>
    </row>
    <row r="694" spans="1:1" ht="15.75" customHeight="1">
      <c r="A694" s="32"/>
    </row>
    <row r="695" spans="1:1" ht="15.75" customHeight="1">
      <c r="A695" s="32"/>
    </row>
    <row r="696" spans="1:1" ht="15.75" customHeight="1">
      <c r="A696" s="32"/>
    </row>
    <row r="697" spans="1:1" ht="15.75" customHeight="1">
      <c r="A697" s="32"/>
    </row>
    <row r="698" spans="1:1" ht="15.75" customHeight="1">
      <c r="A698" s="32"/>
    </row>
    <row r="699" spans="1:1" ht="15.75" customHeight="1">
      <c r="A699" s="32"/>
    </row>
    <row r="700" spans="1:1" ht="15.75" customHeight="1">
      <c r="A700" s="32"/>
    </row>
    <row r="701" spans="1:1" ht="15.75" customHeight="1">
      <c r="A701" s="32"/>
    </row>
    <row r="702" spans="1:1" ht="15.75" customHeight="1">
      <c r="A702" s="32"/>
    </row>
    <row r="703" spans="1:1" ht="15.75" customHeight="1">
      <c r="A703" s="32"/>
    </row>
    <row r="704" spans="1:1" ht="15.75" customHeight="1">
      <c r="A704" s="32"/>
    </row>
    <row r="705" spans="1:1" ht="15.75" customHeight="1">
      <c r="A705" s="32"/>
    </row>
    <row r="706" spans="1:1" ht="15.75" customHeight="1">
      <c r="A706" s="32"/>
    </row>
    <row r="707" spans="1:1" ht="15.75" customHeight="1">
      <c r="A707" s="32"/>
    </row>
    <row r="708" spans="1:1" ht="15.75" customHeight="1">
      <c r="A708" s="32"/>
    </row>
    <row r="709" spans="1:1" ht="15.75" customHeight="1">
      <c r="A709" s="32"/>
    </row>
    <row r="710" spans="1:1" ht="15.75" customHeight="1">
      <c r="A710" s="32"/>
    </row>
    <row r="711" spans="1:1" ht="15.75" customHeight="1">
      <c r="A711" s="32"/>
    </row>
    <row r="712" spans="1:1" ht="15.75" customHeight="1">
      <c r="A712" s="32"/>
    </row>
    <row r="713" spans="1:1" ht="15.75" customHeight="1">
      <c r="A713" s="32"/>
    </row>
    <row r="714" spans="1:1" ht="15.75" customHeight="1">
      <c r="A714" s="32"/>
    </row>
    <row r="715" spans="1:1" ht="15.75" customHeight="1">
      <c r="A715" s="32"/>
    </row>
    <row r="716" spans="1:1" ht="15.75" customHeight="1">
      <c r="A716" s="32"/>
    </row>
    <row r="717" spans="1:1" ht="15.75" customHeight="1">
      <c r="A717" s="32"/>
    </row>
    <row r="718" spans="1:1" ht="15.75" customHeight="1">
      <c r="A718" s="32"/>
    </row>
    <row r="719" spans="1:1" ht="15.75" customHeight="1">
      <c r="A719" s="32"/>
    </row>
    <row r="720" spans="1:1" ht="15.75" customHeight="1">
      <c r="A720" s="32"/>
    </row>
    <row r="721" spans="1:1" ht="15.75" customHeight="1">
      <c r="A721" s="32"/>
    </row>
    <row r="722" spans="1:1" ht="15.75" customHeight="1">
      <c r="A722" s="32"/>
    </row>
    <row r="723" spans="1:1" ht="15.75" customHeight="1">
      <c r="A723" s="32"/>
    </row>
    <row r="724" spans="1:1" ht="15.75" customHeight="1">
      <c r="A724" s="32"/>
    </row>
    <row r="725" spans="1:1" ht="15.75" customHeight="1">
      <c r="A725" s="32"/>
    </row>
    <row r="726" spans="1:1" ht="15.75" customHeight="1">
      <c r="A726" s="32"/>
    </row>
    <row r="727" spans="1:1" ht="15.75" customHeight="1">
      <c r="A727" s="32"/>
    </row>
    <row r="728" spans="1:1" ht="15.75" customHeight="1">
      <c r="A728" s="32"/>
    </row>
    <row r="729" spans="1:1" ht="15.75" customHeight="1">
      <c r="A729" s="32"/>
    </row>
    <row r="730" spans="1:1" ht="15.75" customHeight="1">
      <c r="A730" s="32"/>
    </row>
    <row r="731" spans="1:1" ht="15.75" customHeight="1">
      <c r="A731" s="32"/>
    </row>
    <row r="732" spans="1:1" ht="15.75" customHeight="1">
      <c r="A732" s="32"/>
    </row>
    <row r="733" spans="1:1" ht="15.75" customHeight="1">
      <c r="A733" s="32"/>
    </row>
    <row r="734" spans="1:1" ht="15.75" customHeight="1">
      <c r="A734" s="32"/>
    </row>
    <row r="735" spans="1:1" ht="15.75" customHeight="1">
      <c r="A735" s="32"/>
    </row>
    <row r="736" spans="1:1" ht="15.75" customHeight="1">
      <c r="A736" s="32"/>
    </row>
    <row r="737" spans="1:1" ht="15.75" customHeight="1">
      <c r="A737" s="32"/>
    </row>
    <row r="738" spans="1:1" ht="15.75" customHeight="1">
      <c r="A738" s="32"/>
    </row>
    <row r="739" spans="1:1" ht="15.75" customHeight="1">
      <c r="A739" s="32"/>
    </row>
    <row r="740" spans="1:1" ht="15.75" customHeight="1">
      <c r="A740" s="32"/>
    </row>
    <row r="741" spans="1:1" ht="15.75" customHeight="1">
      <c r="A741" s="32"/>
    </row>
    <row r="742" spans="1:1" ht="15.75" customHeight="1">
      <c r="A742" s="32"/>
    </row>
    <row r="743" spans="1:1" ht="15.75" customHeight="1">
      <c r="A743" s="32"/>
    </row>
    <row r="744" spans="1:1" ht="15.75" customHeight="1">
      <c r="A744" s="32"/>
    </row>
    <row r="745" spans="1:1" ht="15.75" customHeight="1">
      <c r="A745" s="32"/>
    </row>
    <row r="746" spans="1:1" ht="15.75" customHeight="1">
      <c r="A746" s="32"/>
    </row>
    <row r="747" spans="1:1" ht="15.75" customHeight="1">
      <c r="A747" s="32"/>
    </row>
    <row r="748" spans="1:1" ht="15.75" customHeight="1">
      <c r="A748" s="32"/>
    </row>
    <row r="749" spans="1:1" ht="15.75" customHeight="1">
      <c r="A749" s="32"/>
    </row>
    <row r="750" spans="1:1" ht="15.75" customHeight="1">
      <c r="A750" s="32"/>
    </row>
    <row r="751" spans="1:1" ht="15.75" customHeight="1">
      <c r="A751" s="32"/>
    </row>
    <row r="752" spans="1:1" ht="15.75" customHeight="1">
      <c r="A752" s="32"/>
    </row>
    <row r="753" spans="1:1" ht="15.75" customHeight="1">
      <c r="A753" s="32"/>
    </row>
    <row r="754" spans="1:1" ht="15.75" customHeight="1">
      <c r="A754" s="32"/>
    </row>
    <row r="755" spans="1:1" ht="15.75" customHeight="1">
      <c r="A755" s="32"/>
    </row>
    <row r="756" spans="1:1" ht="15.75" customHeight="1">
      <c r="A756" s="32"/>
    </row>
    <row r="757" spans="1:1" ht="15.75" customHeight="1">
      <c r="A757" s="32"/>
    </row>
    <row r="758" spans="1:1" ht="15.75" customHeight="1">
      <c r="A758" s="32"/>
    </row>
    <row r="759" spans="1:1" ht="15.75" customHeight="1">
      <c r="A759" s="32"/>
    </row>
    <row r="760" spans="1:1" ht="15.75" customHeight="1">
      <c r="A760" s="32"/>
    </row>
    <row r="761" spans="1:1" ht="15.75" customHeight="1">
      <c r="A761" s="32"/>
    </row>
    <row r="762" spans="1:1" ht="15.75" customHeight="1">
      <c r="A762" s="32"/>
    </row>
    <row r="763" spans="1:1" ht="15.75" customHeight="1">
      <c r="A763" s="32"/>
    </row>
    <row r="764" spans="1:1" ht="15.75" customHeight="1">
      <c r="A764" s="32"/>
    </row>
    <row r="765" spans="1:1" ht="15.75" customHeight="1">
      <c r="A765" s="32"/>
    </row>
    <row r="766" spans="1:1" ht="15.75" customHeight="1">
      <c r="A766" s="32"/>
    </row>
    <row r="767" spans="1:1" ht="15.75" customHeight="1">
      <c r="A767" s="32"/>
    </row>
    <row r="768" spans="1:1" ht="15.75" customHeight="1">
      <c r="A768" s="32"/>
    </row>
    <row r="769" spans="1:1" ht="15.75" customHeight="1">
      <c r="A769" s="32"/>
    </row>
    <row r="770" spans="1:1" ht="15.75" customHeight="1">
      <c r="A770" s="32"/>
    </row>
    <row r="771" spans="1:1" ht="15.75" customHeight="1">
      <c r="A771" s="32"/>
    </row>
    <row r="772" spans="1:1" ht="15.75" customHeight="1">
      <c r="A772" s="32"/>
    </row>
    <row r="773" spans="1:1" ht="15.75" customHeight="1">
      <c r="A773" s="32"/>
    </row>
    <row r="774" spans="1:1" ht="15.75" customHeight="1">
      <c r="A774" s="32"/>
    </row>
    <row r="775" spans="1:1" ht="15.75" customHeight="1">
      <c r="A775" s="32"/>
    </row>
    <row r="776" spans="1:1" ht="15.75" customHeight="1">
      <c r="A776" s="32"/>
    </row>
    <row r="777" spans="1:1" ht="15.75" customHeight="1">
      <c r="A777" s="32"/>
    </row>
    <row r="778" spans="1:1" ht="15.75" customHeight="1">
      <c r="A778" s="32"/>
    </row>
    <row r="779" spans="1:1" ht="15.75" customHeight="1">
      <c r="A779" s="32"/>
    </row>
    <row r="780" spans="1:1" ht="15.75" customHeight="1">
      <c r="A780" s="32"/>
    </row>
    <row r="781" spans="1:1" ht="15.75" customHeight="1">
      <c r="A781" s="32"/>
    </row>
    <row r="782" spans="1:1" ht="15.75" customHeight="1">
      <c r="A782" s="32"/>
    </row>
    <row r="783" spans="1:1" ht="15.75" customHeight="1">
      <c r="A783" s="32"/>
    </row>
    <row r="784" spans="1:1" ht="15.75" customHeight="1">
      <c r="A784" s="32"/>
    </row>
    <row r="785" spans="1:1" ht="15.75" customHeight="1">
      <c r="A785" s="32"/>
    </row>
    <row r="786" spans="1:1" ht="15.75" customHeight="1">
      <c r="A786" s="32"/>
    </row>
    <row r="787" spans="1:1" ht="15.75" customHeight="1">
      <c r="A787" s="32"/>
    </row>
    <row r="788" spans="1:1" ht="15.75" customHeight="1">
      <c r="A788" s="32"/>
    </row>
    <row r="789" spans="1:1" ht="15.75" customHeight="1">
      <c r="A789" s="32"/>
    </row>
    <row r="790" spans="1:1" ht="15.75" customHeight="1">
      <c r="A790" s="32"/>
    </row>
    <row r="791" spans="1:1" ht="15.75" customHeight="1">
      <c r="A791" s="32"/>
    </row>
    <row r="792" spans="1:1" ht="15.75" customHeight="1">
      <c r="A792" s="32"/>
    </row>
    <row r="793" spans="1:1" ht="15.75" customHeight="1">
      <c r="A793" s="32"/>
    </row>
    <row r="794" spans="1:1" ht="15.75" customHeight="1">
      <c r="A794" s="32"/>
    </row>
    <row r="795" spans="1:1" ht="15.75" customHeight="1">
      <c r="A795" s="32"/>
    </row>
    <row r="796" spans="1:1" ht="15.75" customHeight="1">
      <c r="A796" s="32"/>
    </row>
    <row r="797" spans="1:1" ht="15.75" customHeight="1">
      <c r="A797" s="32"/>
    </row>
    <row r="798" spans="1:1" ht="15.75" customHeight="1">
      <c r="A798" s="32"/>
    </row>
    <row r="799" spans="1:1" ht="15.75" customHeight="1">
      <c r="A799" s="32"/>
    </row>
    <row r="800" spans="1:1" ht="15.75" customHeight="1">
      <c r="A800" s="32"/>
    </row>
    <row r="801" spans="1:1" ht="15.75" customHeight="1">
      <c r="A801" s="32"/>
    </row>
    <row r="802" spans="1:1" ht="15.75" customHeight="1">
      <c r="A802" s="32"/>
    </row>
    <row r="803" spans="1:1" ht="15.75" customHeight="1">
      <c r="A803" s="32"/>
    </row>
    <row r="804" spans="1:1" ht="15.75" customHeight="1">
      <c r="A804" s="32"/>
    </row>
    <row r="805" spans="1:1" ht="15.75" customHeight="1">
      <c r="A805" s="32"/>
    </row>
    <row r="806" spans="1:1" ht="15.75" customHeight="1">
      <c r="A806" s="32"/>
    </row>
    <row r="807" spans="1:1" ht="15.75" customHeight="1">
      <c r="A807" s="32"/>
    </row>
    <row r="808" spans="1:1" ht="15.75" customHeight="1">
      <c r="A808" s="32"/>
    </row>
    <row r="809" spans="1:1" ht="15.75" customHeight="1">
      <c r="A809" s="32"/>
    </row>
    <row r="810" spans="1:1" ht="15.75" customHeight="1">
      <c r="A810" s="32"/>
    </row>
    <row r="811" spans="1:1" ht="15.75" customHeight="1">
      <c r="A811" s="32"/>
    </row>
    <row r="812" spans="1:1" ht="15.75" customHeight="1">
      <c r="A812" s="32"/>
    </row>
    <row r="813" spans="1:1" ht="15.75" customHeight="1">
      <c r="A813" s="32"/>
    </row>
    <row r="814" spans="1:1" ht="15.75" customHeight="1">
      <c r="A814" s="32"/>
    </row>
    <row r="815" spans="1:1" ht="15.75" customHeight="1">
      <c r="A815" s="32"/>
    </row>
    <row r="816" spans="1:1" ht="15.75" customHeight="1">
      <c r="A816" s="32"/>
    </row>
    <row r="817" spans="1:1" ht="15.75" customHeight="1">
      <c r="A817" s="32"/>
    </row>
    <row r="818" spans="1:1" ht="15.75" customHeight="1">
      <c r="A818" s="32"/>
    </row>
    <row r="819" spans="1:1" ht="15.75" customHeight="1">
      <c r="A819" s="32"/>
    </row>
    <row r="820" spans="1:1" ht="15.75" customHeight="1">
      <c r="A820" s="32"/>
    </row>
    <row r="821" spans="1:1" ht="15.75" customHeight="1">
      <c r="A821" s="32"/>
    </row>
    <row r="822" spans="1:1" ht="15.75" customHeight="1">
      <c r="A822" s="32"/>
    </row>
    <row r="823" spans="1:1" ht="15.75" customHeight="1">
      <c r="A823" s="32"/>
    </row>
    <row r="824" spans="1:1" ht="15.75" customHeight="1">
      <c r="A824" s="32"/>
    </row>
    <row r="825" spans="1:1" ht="15.75" customHeight="1">
      <c r="A825" s="32"/>
    </row>
    <row r="826" spans="1:1" ht="15.75" customHeight="1">
      <c r="A826" s="32"/>
    </row>
    <row r="827" spans="1:1" ht="15.75" customHeight="1">
      <c r="A827" s="32"/>
    </row>
    <row r="828" spans="1:1" ht="15.75" customHeight="1">
      <c r="A828" s="32"/>
    </row>
    <row r="829" spans="1:1" ht="15.75" customHeight="1">
      <c r="A829" s="32"/>
    </row>
    <row r="830" spans="1:1" ht="15.75" customHeight="1">
      <c r="A830" s="32"/>
    </row>
    <row r="831" spans="1:1" ht="15.75" customHeight="1">
      <c r="A831" s="32"/>
    </row>
    <row r="832" spans="1:1" ht="15.75" customHeight="1">
      <c r="A832" s="32"/>
    </row>
    <row r="833" spans="1:1" ht="15.75" customHeight="1">
      <c r="A833" s="32"/>
    </row>
    <row r="834" spans="1:1" ht="15.75" customHeight="1">
      <c r="A834" s="32"/>
    </row>
    <row r="835" spans="1:1" ht="15.75" customHeight="1">
      <c r="A835" s="32"/>
    </row>
    <row r="836" spans="1:1" ht="15.75" customHeight="1">
      <c r="A836" s="32"/>
    </row>
    <row r="837" spans="1:1" ht="15.75" customHeight="1">
      <c r="A837" s="32"/>
    </row>
    <row r="838" spans="1:1" ht="15.75" customHeight="1">
      <c r="A838" s="32"/>
    </row>
    <row r="839" spans="1:1" ht="15.75" customHeight="1">
      <c r="A839" s="32"/>
    </row>
    <row r="840" spans="1:1" ht="15.75" customHeight="1">
      <c r="A840" s="32"/>
    </row>
    <row r="841" spans="1:1" ht="15.75" customHeight="1">
      <c r="A841" s="32"/>
    </row>
    <row r="842" spans="1:1" ht="15.75" customHeight="1">
      <c r="A842" s="32"/>
    </row>
    <row r="843" spans="1:1" ht="15.75" customHeight="1">
      <c r="A843" s="32"/>
    </row>
    <row r="844" spans="1:1" ht="15.75" customHeight="1">
      <c r="A844" s="32"/>
    </row>
    <row r="845" spans="1:1" ht="15.75" customHeight="1">
      <c r="A845" s="32"/>
    </row>
    <row r="846" spans="1:1" ht="15.75" customHeight="1">
      <c r="A846" s="32"/>
    </row>
    <row r="847" spans="1:1" ht="15.75" customHeight="1">
      <c r="A847" s="32"/>
    </row>
    <row r="848" spans="1:1" ht="15.75" customHeight="1">
      <c r="A848" s="32"/>
    </row>
    <row r="849" spans="1:1" ht="15.75" customHeight="1">
      <c r="A849" s="32"/>
    </row>
    <row r="850" spans="1:1" ht="15.75" customHeight="1">
      <c r="A850" s="32"/>
    </row>
    <row r="851" spans="1:1" ht="15.75" customHeight="1">
      <c r="A851" s="32"/>
    </row>
    <row r="852" spans="1:1" ht="15.75" customHeight="1">
      <c r="A852" s="32"/>
    </row>
    <row r="853" spans="1:1" ht="15.75" customHeight="1">
      <c r="A853" s="32"/>
    </row>
    <row r="854" spans="1:1" ht="15.75" customHeight="1">
      <c r="A854" s="32"/>
    </row>
    <row r="855" spans="1:1" ht="15.75" customHeight="1">
      <c r="A855" s="32"/>
    </row>
    <row r="856" spans="1:1" ht="15.75" customHeight="1">
      <c r="A856" s="32"/>
    </row>
    <row r="857" spans="1:1" ht="15.75" customHeight="1">
      <c r="A857" s="32"/>
    </row>
    <row r="858" spans="1:1" ht="15.75" customHeight="1">
      <c r="A858" s="32"/>
    </row>
    <row r="859" spans="1:1" ht="15.75" customHeight="1">
      <c r="A859" s="32"/>
    </row>
    <row r="860" spans="1:1" ht="15.75" customHeight="1">
      <c r="A860" s="32"/>
    </row>
    <row r="861" spans="1:1" ht="15.75" customHeight="1">
      <c r="A861" s="32"/>
    </row>
    <row r="862" spans="1:1" ht="15.75" customHeight="1">
      <c r="A862" s="32"/>
    </row>
    <row r="863" spans="1:1" ht="15.75" customHeight="1">
      <c r="A863" s="32"/>
    </row>
    <row r="864" spans="1:1" ht="15.75" customHeight="1">
      <c r="A864" s="32"/>
    </row>
    <row r="865" spans="1:1" ht="15.75" customHeight="1">
      <c r="A865" s="32"/>
    </row>
    <row r="866" spans="1:1" ht="15.75" customHeight="1">
      <c r="A866" s="32"/>
    </row>
    <row r="867" spans="1:1" ht="15.75" customHeight="1">
      <c r="A867" s="32"/>
    </row>
    <row r="868" spans="1:1" ht="15.75" customHeight="1">
      <c r="A868" s="32"/>
    </row>
    <row r="869" spans="1:1" ht="15.75" customHeight="1">
      <c r="A869" s="32"/>
    </row>
    <row r="870" spans="1:1" ht="15.75" customHeight="1">
      <c r="A870" s="32"/>
    </row>
    <row r="871" spans="1:1" ht="15.75" customHeight="1">
      <c r="A871" s="32"/>
    </row>
    <row r="872" spans="1:1" ht="15.75" customHeight="1">
      <c r="A872" s="32"/>
    </row>
    <row r="873" spans="1:1" ht="15.75" customHeight="1">
      <c r="A873" s="32"/>
    </row>
    <row r="874" spans="1:1" ht="15.75" customHeight="1">
      <c r="A874" s="32"/>
    </row>
    <row r="875" spans="1:1" ht="15.75" customHeight="1">
      <c r="A875" s="32"/>
    </row>
    <row r="876" spans="1:1" ht="15.75" customHeight="1">
      <c r="A876" s="32"/>
    </row>
    <row r="877" spans="1:1" ht="15.75" customHeight="1">
      <c r="A877" s="32"/>
    </row>
    <row r="878" spans="1:1" ht="15.75" customHeight="1">
      <c r="A878" s="32"/>
    </row>
    <row r="879" spans="1:1" ht="15.75" customHeight="1">
      <c r="A879" s="32"/>
    </row>
    <row r="880" spans="1:1" ht="15.75" customHeight="1">
      <c r="A880" s="32"/>
    </row>
    <row r="881" spans="1:1" ht="15.75" customHeight="1">
      <c r="A881" s="32"/>
    </row>
    <row r="882" spans="1:1" ht="15.75" customHeight="1">
      <c r="A882" s="32"/>
    </row>
    <row r="883" spans="1:1" ht="15.75" customHeight="1">
      <c r="A883" s="32"/>
    </row>
    <row r="884" spans="1:1" ht="15.75" customHeight="1">
      <c r="A884" s="32"/>
    </row>
    <row r="885" spans="1:1" ht="15.75" customHeight="1">
      <c r="A885" s="32"/>
    </row>
    <row r="886" spans="1:1" ht="15.75" customHeight="1">
      <c r="A886" s="32"/>
    </row>
    <row r="887" spans="1:1" ht="15.75" customHeight="1">
      <c r="A887" s="32"/>
    </row>
    <row r="888" spans="1:1" ht="15.75" customHeight="1">
      <c r="A888" s="32"/>
    </row>
    <row r="889" spans="1:1" ht="15.75" customHeight="1">
      <c r="A889" s="32"/>
    </row>
    <row r="890" spans="1:1" ht="15.75" customHeight="1">
      <c r="A890" s="32"/>
    </row>
    <row r="891" spans="1:1" ht="15.75" customHeight="1">
      <c r="A891" s="32"/>
    </row>
    <row r="892" spans="1:1" ht="15.75" customHeight="1">
      <c r="A892" s="32"/>
    </row>
    <row r="893" spans="1:1" ht="15.75" customHeight="1">
      <c r="A893" s="32"/>
    </row>
    <row r="894" spans="1:1" ht="15.75" customHeight="1">
      <c r="A894" s="32"/>
    </row>
    <row r="895" spans="1:1" ht="15.75" customHeight="1">
      <c r="A895" s="32"/>
    </row>
    <row r="896" spans="1:1" ht="15.75" customHeight="1">
      <c r="A896" s="32"/>
    </row>
    <row r="897" spans="1:1" ht="15.75" customHeight="1">
      <c r="A897" s="32"/>
    </row>
    <row r="898" spans="1:1" ht="15.75" customHeight="1">
      <c r="A898" s="32"/>
    </row>
    <row r="899" spans="1:1" ht="15.75" customHeight="1">
      <c r="A899" s="32"/>
    </row>
    <row r="900" spans="1:1" ht="15.75" customHeight="1">
      <c r="A900" s="32"/>
    </row>
    <row r="901" spans="1:1" ht="15.75" customHeight="1">
      <c r="A901" s="32"/>
    </row>
    <row r="902" spans="1:1" ht="15.75" customHeight="1">
      <c r="A902" s="32"/>
    </row>
    <row r="903" spans="1:1" ht="15.75" customHeight="1">
      <c r="A903" s="32"/>
    </row>
    <row r="904" spans="1:1" ht="15.75" customHeight="1">
      <c r="A904" s="32"/>
    </row>
    <row r="905" spans="1:1" ht="15.75" customHeight="1">
      <c r="A905" s="32"/>
    </row>
    <row r="906" spans="1:1" ht="15.75" customHeight="1">
      <c r="A906" s="32"/>
    </row>
    <row r="907" spans="1:1" ht="15.75" customHeight="1">
      <c r="A907" s="32"/>
    </row>
    <row r="908" spans="1:1" ht="15.75" customHeight="1">
      <c r="A908" s="32"/>
    </row>
    <row r="909" spans="1:1" ht="15.75" customHeight="1">
      <c r="A909" s="32"/>
    </row>
    <row r="910" spans="1:1" ht="15.75" customHeight="1">
      <c r="A910" s="32"/>
    </row>
    <row r="911" spans="1:1" ht="15.75" customHeight="1">
      <c r="A911" s="32"/>
    </row>
    <row r="912" spans="1:1" ht="15.75" customHeight="1">
      <c r="A912" s="32"/>
    </row>
    <row r="913" spans="1:1" ht="15.75" customHeight="1">
      <c r="A913" s="32"/>
    </row>
    <row r="914" spans="1:1" ht="15.75" customHeight="1">
      <c r="A914" s="32"/>
    </row>
    <row r="915" spans="1:1" ht="15.75" customHeight="1">
      <c r="A915" s="32"/>
    </row>
    <row r="916" spans="1:1" ht="15.75" customHeight="1">
      <c r="A916" s="32"/>
    </row>
    <row r="917" spans="1:1" ht="15.75" customHeight="1">
      <c r="A917" s="32"/>
    </row>
    <row r="918" spans="1:1" ht="15.75" customHeight="1">
      <c r="A918" s="32"/>
    </row>
    <row r="919" spans="1:1" ht="15.75" customHeight="1">
      <c r="A919" s="32"/>
    </row>
    <row r="920" spans="1:1" ht="15.75" customHeight="1">
      <c r="A920" s="32"/>
    </row>
    <row r="921" spans="1:1" ht="15.75" customHeight="1">
      <c r="A921" s="32"/>
    </row>
    <row r="922" spans="1:1" ht="15.75" customHeight="1">
      <c r="A922" s="32"/>
    </row>
    <row r="923" spans="1:1" ht="15.75" customHeight="1">
      <c r="A923" s="32"/>
    </row>
    <row r="924" spans="1:1" ht="15.75" customHeight="1">
      <c r="A924" s="32"/>
    </row>
    <row r="925" spans="1:1" ht="15.75" customHeight="1">
      <c r="A925" s="32"/>
    </row>
    <row r="926" spans="1:1" ht="15.75" customHeight="1">
      <c r="A926" s="32"/>
    </row>
    <row r="927" spans="1:1" ht="15.75" customHeight="1">
      <c r="A927" s="32"/>
    </row>
    <row r="928" spans="1:1" ht="15.75" customHeight="1">
      <c r="A928" s="32"/>
    </row>
    <row r="929" spans="1:1" ht="15.75" customHeight="1">
      <c r="A929" s="32"/>
    </row>
    <row r="930" spans="1:1" ht="15.75" customHeight="1">
      <c r="A930" s="32"/>
    </row>
    <row r="931" spans="1:1" ht="15.75" customHeight="1">
      <c r="A931" s="32"/>
    </row>
    <row r="932" spans="1:1" ht="15.75" customHeight="1">
      <c r="A932" s="32"/>
    </row>
    <row r="933" spans="1:1" ht="15.75" customHeight="1">
      <c r="A933" s="32"/>
    </row>
    <row r="934" spans="1:1" ht="15.75" customHeight="1">
      <c r="A934" s="32"/>
    </row>
    <row r="935" spans="1:1" ht="15.75" customHeight="1">
      <c r="A935" s="32"/>
    </row>
    <row r="936" spans="1:1" ht="15.75" customHeight="1">
      <c r="A936" s="32"/>
    </row>
    <row r="937" spans="1:1" ht="15.75" customHeight="1">
      <c r="A937" s="32"/>
    </row>
    <row r="938" spans="1:1" ht="15.75" customHeight="1">
      <c r="A938" s="32"/>
    </row>
    <row r="939" spans="1:1" ht="15.75" customHeight="1">
      <c r="A939" s="32"/>
    </row>
    <row r="940" spans="1:1" ht="15.75" customHeight="1">
      <c r="A940" s="32"/>
    </row>
    <row r="941" spans="1:1" ht="15.75" customHeight="1">
      <c r="A941" s="32"/>
    </row>
    <row r="942" spans="1:1" ht="15.75" customHeight="1">
      <c r="A942" s="32"/>
    </row>
    <row r="943" spans="1:1" ht="15.75" customHeight="1">
      <c r="A943" s="32"/>
    </row>
    <row r="944" spans="1:1" ht="15.75" customHeight="1">
      <c r="A944" s="32"/>
    </row>
    <row r="945" spans="1:1" ht="15.75" customHeight="1">
      <c r="A945" s="32"/>
    </row>
    <row r="946" spans="1:1" ht="15.75" customHeight="1">
      <c r="A946" s="32"/>
    </row>
    <row r="947" spans="1:1" ht="15.75" customHeight="1">
      <c r="A947" s="32"/>
    </row>
    <row r="948" spans="1:1" ht="15.75" customHeight="1">
      <c r="A948" s="32"/>
    </row>
    <row r="949" spans="1:1" ht="15.75" customHeight="1">
      <c r="A949" s="32"/>
    </row>
    <row r="950" spans="1:1" ht="15.75" customHeight="1">
      <c r="A950" s="32"/>
    </row>
    <row r="951" spans="1:1" ht="15.75" customHeight="1">
      <c r="A951" s="32"/>
    </row>
    <row r="952" spans="1:1" ht="15.75" customHeight="1">
      <c r="A952" s="32"/>
    </row>
    <row r="953" spans="1:1" ht="15.75" customHeight="1">
      <c r="A953" s="32"/>
    </row>
    <row r="954" spans="1:1" ht="15.75" customHeight="1">
      <c r="A954" s="32"/>
    </row>
    <row r="955" spans="1:1" ht="15.75" customHeight="1">
      <c r="A955" s="32"/>
    </row>
    <row r="956" spans="1:1" ht="15.75" customHeight="1">
      <c r="A956" s="32"/>
    </row>
    <row r="957" spans="1:1" ht="15.75" customHeight="1">
      <c r="A957" s="32"/>
    </row>
    <row r="958" spans="1:1" ht="15.75" customHeight="1">
      <c r="A958" s="32"/>
    </row>
    <row r="959" spans="1:1" ht="15.75" customHeight="1">
      <c r="A959" s="32"/>
    </row>
    <row r="960" spans="1:1" ht="15.75" customHeight="1">
      <c r="A960" s="32"/>
    </row>
    <row r="961" spans="1:1" ht="15.75" customHeight="1">
      <c r="A961" s="32"/>
    </row>
    <row r="962" spans="1:1" ht="15.75" customHeight="1">
      <c r="A962" s="32"/>
    </row>
    <row r="963" spans="1:1" ht="15.75" customHeight="1">
      <c r="A963" s="32"/>
    </row>
    <row r="964" spans="1:1" ht="15.75" customHeight="1">
      <c r="A964" s="32"/>
    </row>
    <row r="965" spans="1:1" ht="15.75" customHeight="1">
      <c r="A965" s="32"/>
    </row>
    <row r="966" spans="1:1" ht="15.75" customHeight="1">
      <c r="A966" s="32"/>
    </row>
    <row r="967" spans="1:1" ht="15.75" customHeight="1">
      <c r="A967" s="32"/>
    </row>
    <row r="968" spans="1:1" ht="15.75" customHeight="1">
      <c r="A968" s="32"/>
    </row>
    <row r="969" spans="1:1" ht="15.75" customHeight="1">
      <c r="A969" s="32"/>
    </row>
    <row r="970" spans="1:1" ht="15.75" customHeight="1">
      <c r="A970" s="32"/>
    </row>
    <row r="971" spans="1:1" ht="15.75" customHeight="1">
      <c r="A971" s="32"/>
    </row>
    <row r="972" spans="1:1" ht="15.75" customHeight="1">
      <c r="A972" s="32"/>
    </row>
    <row r="973" spans="1:1" ht="15.75" customHeight="1">
      <c r="A973" s="32"/>
    </row>
    <row r="974" spans="1:1" ht="15.75" customHeight="1">
      <c r="A974" s="32"/>
    </row>
    <row r="975" spans="1:1" ht="15.75" customHeight="1">
      <c r="A975" s="32"/>
    </row>
    <row r="976" spans="1:1" ht="15.75" customHeight="1">
      <c r="A976" s="32"/>
    </row>
    <row r="977" spans="1:1" ht="15.75" customHeight="1">
      <c r="A977" s="32"/>
    </row>
    <row r="978" spans="1:1" ht="15.75" customHeight="1">
      <c r="A978" s="32"/>
    </row>
    <row r="979" spans="1:1" ht="15.75" customHeight="1">
      <c r="A979" s="32"/>
    </row>
    <row r="980" spans="1:1" ht="15.75" customHeight="1">
      <c r="A980" s="32"/>
    </row>
    <row r="981" spans="1:1" ht="15.75" customHeight="1">
      <c r="A981" s="32"/>
    </row>
    <row r="982" spans="1:1" ht="15.75" customHeight="1">
      <c r="A982" s="32"/>
    </row>
    <row r="983" spans="1:1" ht="15.75" customHeight="1">
      <c r="A983" s="32"/>
    </row>
    <row r="984" spans="1:1" ht="15.75" customHeight="1">
      <c r="A984" s="32"/>
    </row>
    <row r="985" spans="1:1" ht="15.75" customHeight="1">
      <c r="A985" s="32"/>
    </row>
    <row r="986" spans="1:1" ht="15.75" customHeight="1">
      <c r="A986" s="32"/>
    </row>
    <row r="987" spans="1:1" ht="15.75" customHeight="1">
      <c r="A987" s="32"/>
    </row>
    <row r="988" spans="1:1" ht="15.75" customHeight="1">
      <c r="A988" s="32"/>
    </row>
    <row r="989" spans="1:1" ht="15.75" customHeight="1">
      <c r="A989" s="32"/>
    </row>
    <row r="990" spans="1:1" ht="15.75" customHeight="1">
      <c r="A990" s="32"/>
    </row>
    <row r="991" spans="1:1" ht="15.75" customHeight="1">
      <c r="A991" s="32"/>
    </row>
    <row r="992" spans="1:1" ht="15.75" customHeight="1">
      <c r="A992" s="32"/>
    </row>
    <row r="993" spans="1:1" ht="15.75" customHeight="1">
      <c r="A993" s="32"/>
    </row>
    <row r="994" spans="1:1" ht="15.75" customHeight="1">
      <c r="A994" s="32"/>
    </row>
    <row r="995" spans="1:1" ht="15.75" customHeight="1">
      <c r="A995" s="32"/>
    </row>
    <row r="996" spans="1:1" ht="15.75" customHeight="1">
      <c r="A996" s="32"/>
    </row>
    <row r="997" spans="1:1" ht="15.75" customHeight="1">
      <c r="A997" s="32"/>
    </row>
    <row r="998" spans="1:1" ht="15.75" customHeight="1">
      <c r="A998" s="32"/>
    </row>
    <row r="999" spans="1:1" ht="15.75" customHeight="1">
      <c r="A999" s="32"/>
    </row>
    <row r="1000" spans="1:1" ht="15.75" customHeight="1">
      <c r="A1000" s="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999"/>
  <sheetViews>
    <sheetView workbookViewId="0">
      <pane ySplit="1" topLeftCell="A2" activePane="bottomLeft" state="frozen"/>
      <selection pane="bottomLeft" activeCell="B3" sqref="B3"/>
    </sheetView>
  </sheetViews>
  <sheetFormatPr baseColWidth="10" defaultColWidth="12.6328125" defaultRowHeight="15.75" customHeight="1"/>
  <sheetData>
    <row r="1" spans="1:27">
      <c r="A1" s="40" t="s">
        <v>4893</v>
      </c>
      <c r="B1" s="10" t="s">
        <v>18</v>
      </c>
      <c r="C1" s="8" t="s">
        <v>19</v>
      </c>
      <c r="D1" s="8" t="s">
        <v>20</v>
      </c>
      <c r="E1" s="8" t="s">
        <v>21</v>
      </c>
      <c r="F1" s="8"/>
      <c r="G1" s="43"/>
      <c r="H1" s="8"/>
      <c r="I1" s="8"/>
      <c r="J1" s="8"/>
      <c r="K1" s="8"/>
      <c r="L1" s="8"/>
      <c r="M1" s="8"/>
      <c r="N1" s="8"/>
      <c r="O1" s="8"/>
      <c r="P1" s="8"/>
      <c r="Q1" s="8"/>
      <c r="R1" s="8"/>
      <c r="S1" s="8"/>
      <c r="T1" s="8"/>
      <c r="U1" s="8"/>
      <c r="V1" s="8"/>
      <c r="W1" s="8"/>
      <c r="X1" s="8"/>
      <c r="Y1" s="8"/>
      <c r="Z1" s="8"/>
      <c r="AA1" s="8"/>
    </row>
    <row r="2" spans="1:27" ht="15.75" customHeight="1">
      <c r="A2" s="71">
        <v>1</v>
      </c>
      <c r="B2" s="72" t="s">
        <v>243</v>
      </c>
      <c r="C2" s="72" t="s">
        <v>328</v>
      </c>
      <c r="D2" s="72" t="s">
        <v>86</v>
      </c>
      <c r="E2" s="72" t="s">
        <v>4894</v>
      </c>
      <c r="F2" s="72"/>
    </row>
    <row r="3" spans="1:27" ht="15.75" customHeight="1">
      <c r="A3" s="71">
        <v>2</v>
      </c>
      <c r="B3" s="72" t="s">
        <v>243</v>
      </c>
      <c r="C3" s="72" t="s">
        <v>274</v>
      </c>
      <c r="D3" s="72" t="s">
        <v>2032</v>
      </c>
      <c r="E3" s="72" t="s">
        <v>4895</v>
      </c>
      <c r="F3" s="72"/>
    </row>
    <row r="4" spans="1:27" ht="15.75" customHeight="1">
      <c r="A4" s="71">
        <v>3</v>
      </c>
      <c r="B4" s="72" t="s">
        <v>243</v>
      </c>
      <c r="C4" s="72" t="s">
        <v>740</v>
      </c>
      <c r="D4" s="72" t="s">
        <v>735</v>
      </c>
      <c r="E4" s="72" t="s">
        <v>1040</v>
      </c>
      <c r="F4" s="72"/>
    </row>
    <row r="5" spans="1:27" ht="15.75" customHeight="1">
      <c r="A5" s="71">
        <v>4</v>
      </c>
      <c r="B5" s="72" t="s">
        <v>243</v>
      </c>
      <c r="C5" s="72" t="s">
        <v>344</v>
      </c>
      <c r="D5" s="72" t="s">
        <v>4896</v>
      </c>
      <c r="E5" s="72" t="s">
        <v>138</v>
      </c>
      <c r="F5" s="72"/>
    </row>
    <row r="6" spans="1:27" ht="15.75" customHeight="1">
      <c r="A6" s="71">
        <v>5</v>
      </c>
      <c r="B6" s="72" t="s">
        <v>243</v>
      </c>
      <c r="C6" s="72" t="s">
        <v>398</v>
      </c>
      <c r="D6" s="72" t="s">
        <v>4897</v>
      </c>
      <c r="E6" s="72" t="s">
        <v>87</v>
      </c>
      <c r="F6" s="72"/>
    </row>
    <row r="7" spans="1:27" ht="15.75" customHeight="1">
      <c r="A7" s="71">
        <v>6</v>
      </c>
      <c r="B7" s="72" t="s">
        <v>243</v>
      </c>
      <c r="C7" s="72" t="s">
        <v>244</v>
      </c>
      <c r="D7" s="72" t="s">
        <v>777</v>
      </c>
      <c r="E7" s="72"/>
      <c r="F7" s="72"/>
    </row>
    <row r="8" spans="1:27" ht="15.75" customHeight="1">
      <c r="A8" s="71">
        <v>7</v>
      </c>
      <c r="B8" s="72" t="s">
        <v>243</v>
      </c>
      <c r="C8" s="72" t="s">
        <v>662</v>
      </c>
      <c r="D8" s="72" t="s">
        <v>4898</v>
      </c>
      <c r="E8" s="72"/>
      <c r="F8" s="72"/>
    </row>
    <row r="9" spans="1:27" ht="15.75" customHeight="1">
      <c r="A9" s="71">
        <v>8</v>
      </c>
      <c r="B9" s="72" t="s">
        <v>243</v>
      </c>
      <c r="C9" s="72" t="s">
        <v>703</v>
      </c>
      <c r="D9" s="72" t="s">
        <v>4899</v>
      </c>
      <c r="E9" s="72"/>
      <c r="F9" s="72"/>
    </row>
    <row r="10" spans="1:27" ht="15.75" customHeight="1">
      <c r="A10" s="71">
        <v>9</v>
      </c>
      <c r="B10" s="72" t="s">
        <v>243</v>
      </c>
      <c r="C10" s="72" t="s">
        <v>293</v>
      </c>
      <c r="D10" s="72" t="s">
        <v>2043</v>
      </c>
      <c r="E10" s="72"/>
      <c r="F10" s="72"/>
    </row>
    <row r="11" spans="1:27" ht="15.75" customHeight="1">
      <c r="A11" s="71">
        <v>10</v>
      </c>
      <c r="B11" s="72" t="s">
        <v>249</v>
      </c>
      <c r="C11" s="72" t="s">
        <v>313</v>
      </c>
      <c r="D11" s="72" t="s">
        <v>2076</v>
      </c>
      <c r="E11" s="72"/>
      <c r="F11" s="72"/>
    </row>
    <row r="12" spans="1:27" ht="15.75" customHeight="1">
      <c r="A12" s="71">
        <v>11</v>
      </c>
      <c r="B12" s="72" t="s">
        <v>249</v>
      </c>
      <c r="C12" s="72" t="s">
        <v>250</v>
      </c>
      <c r="D12" s="72" t="s">
        <v>4900</v>
      </c>
      <c r="E12" s="72"/>
      <c r="F12" s="72"/>
    </row>
    <row r="13" spans="1:27" ht="15.75" customHeight="1">
      <c r="A13" s="71">
        <v>12</v>
      </c>
      <c r="B13" s="72" t="s">
        <v>249</v>
      </c>
      <c r="C13" s="72" t="s">
        <v>259</v>
      </c>
      <c r="D13" s="72" t="s">
        <v>4901</v>
      </c>
      <c r="E13" s="72"/>
      <c r="F13" s="72"/>
    </row>
    <row r="14" spans="1:27" ht="15.75" customHeight="1">
      <c r="A14" s="71">
        <v>13</v>
      </c>
      <c r="B14" s="72" t="s">
        <v>249</v>
      </c>
      <c r="C14" s="72" t="s">
        <v>2394</v>
      </c>
      <c r="D14" s="72" t="s">
        <v>4902</v>
      </c>
      <c r="E14" s="72"/>
      <c r="F14" s="72"/>
    </row>
    <row r="15" spans="1:27" ht="15.75" customHeight="1">
      <c r="A15" s="71">
        <v>14</v>
      </c>
      <c r="B15" s="72" t="s">
        <v>249</v>
      </c>
      <c r="C15" s="72" t="s">
        <v>4903</v>
      </c>
      <c r="D15" s="72" t="s">
        <v>148</v>
      </c>
      <c r="E15" s="72"/>
      <c r="F15" s="72"/>
    </row>
    <row r="16" spans="1:27" ht="15.75" customHeight="1">
      <c r="A16" s="71">
        <v>15</v>
      </c>
      <c r="B16" s="72" t="s">
        <v>249</v>
      </c>
      <c r="C16" s="72" t="s">
        <v>4904</v>
      </c>
      <c r="D16" s="72" t="s">
        <v>1363</v>
      </c>
      <c r="E16" s="72"/>
      <c r="F16" s="72"/>
    </row>
    <row r="17" spans="1:6" ht="15.75" customHeight="1">
      <c r="A17" s="71">
        <v>16</v>
      </c>
      <c r="B17" s="72" t="s">
        <v>249</v>
      </c>
      <c r="C17" s="72" t="s">
        <v>4905</v>
      </c>
      <c r="D17" s="72" t="s">
        <v>4906</v>
      </c>
      <c r="E17" s="72"/>
      <c r="F17" s="72"/>
    </row>
    <row r="18" spans="1:6" ht="15.75" customHeight="1">
      <c r="A18" s="71">
        <v>17</v>
      </c>
      <c r="B18" s="72" t="s">
        <v>214</v>
      </c>
      <c r="C18" s="72" t="s">
        <v>215</v>
      </c>
      <c r="D18" s="72" t="s">
        <v>4907</v>
      </c>
      <c r="E18" s="72"/>
      <c r="F18" s="72"/>
    </row>
    <row r="19" spans="1:6" ht="15.75" customHeight="1">
      <c r="A19" s="71">
        <v>18</v>
      </c>
      <c r="B19" s="72" t="s">
        <v>214</v>
      </c>
      <c r="C19" s="72" t="s">
        <v>333</v>
      </c>
      <c r="D19" s="72" t="s">
        <v>4908</v>
      </c>
      <c r="E19" s="72"/>
      <c r="F19" s="72"/>
    </row>
    <row r="20" spans="1:6" ht="14.5">
      <c r="A20" s="71">
        <v>19</v>
      </c>
      <c r="B20" s="72" t="s">
        <v>214</v>
      </c>
      <c r="C20" s="72" t="s">
        <v>1649</v>
      </c>
      <c r="D20" s="72" t="s">
        <v>783</v>
      </c>
      <c r="E20" s="72"/>
      <c r="F20" s="72"/>
    </row>
    <row r="21" spans="1:6" ht="14.5">
      <c r="A21" s="71">
        <v>20</v>
      </c>
      <c r="B21" s="72" t="s">
        <v>214</v>
      </c>
      <c r="C21" s="72" t="s">
        <v>4909</v>
      </c>
      <c r="D21" s="72" t="s">
        <v>4910</v>
      </c>
      <c r="E21" s="72"/>
      <c r="F21" s="72"/>
    </row>
    <row r="22" spans="1:6" ht="14.5">
      <c r="A22" s="71">
        <v>21</v>
      </c>
      <c r="B22" s="72" t="s">
        <v>214</v>
      </c>
      <c r="C22" s="72" t="s">
        <v>238</v>
      </c>
      <c r="D22" s="72" t="s">
        <v>4911</v>
      </c>
      <c r="E22" s="72"/>
      <c r="F22" s="72"/>
    </row>
    <row r="23" spans="1:6" ht="14.5">
      <c r="A23" s="71">
        <v>22</v>
      </c>
      <c r="B23" s="72" t="s">
        <v>214</v>
      </c>
      <c r="C23" s="72" t="s">
        <v>767</v>
      </c>
      <c r="D23" s="72" t="s">
        <v>339</v>
      </c>
      <c r="E23" s="72"/>
      <c r="F23" s="72"/>
    </row>
    <row r="24" spans="1:6" ht="14.5">
      <c r="A24" s="71">
        <v>23</v>
      </c>
      <c r="B24" s="72" t="s">
        <v>214</v>
      </c>
      <c r="C24" s="72" t="s">
        <v>561</v>
      </c>
      <c r="D24" s="72" t="s">
        <v>349</v>
      </c>
      <c r="E24" s="72"/>
      <c r="F24" s="72"/>
    </row>
    <row r="25" spans="1:6" ht="14.5">
      <c r="A25" s="71">
        <v>24</v>
      </c>
      <c r="B25" s="72" t="s">
        <v>214</v>
      </c>
      <c r="C25" s="72" t="s">
        <v>1287</v>
      </c>
      <c r="D25" s="72" t="s">
        <v>338</v>
      </c>
      <c r="E25" s="72"/>
      <c r="F25" s="72"/>
    </row>
    <row r="26" spans="1:6" ht="14.5">
      <c r="A26" s="71">
        <v>25</v>
      </c>
      <c r="B26" s="72" t="s">
        <v>264</v>
      </c>
      <c r="C26" s="72" t="s">
        <v>300</v>
      </c>
      <c r="D26" s="72" t="s">
        <v>4912</v>
      </c>
      <c r="E26" s="72"/>
      <c r="F26" s="72"/>
    </row>
    <row r="27" spans="1:6" ht="14.5">
      <c r="A27" s="71">
        <v>26</v>
      </c>
      <c r="B27" s="72" t="s">
        <v>264</v>
      </c>
      <c r="C27" s="72" t="s">
        <v>1777</v>
      </c>
      <c r="D27" s="72" t="s">
        <v>137</v>
      </c>
      <c r="E27" s="72"/>
      <c r="F27" s="72"/>
    </row>
    <row r="28" spans="1:6" ht="14.5">
      <c r="A28" s="71">
        <v>27</v>
      </c>
      <c r="B28" s="72" t="s">
        <v>264</v>
      </c>
      <c r="C28" s="72" t="s">
        <v>4913</v>
      </c>
      <c r="D28" s="72" t="s">
        <v>4914</v>
      </c>
      <c r="E28" s="72"/>
      <c r="F28" s="72"/>
    </row>
    <row r="29" spans="1:6" ht="14.5">
      <c r="A29" s="71">
        <v>28</v>
      </c>
      <c r="B29" s="72" t="s">
        <v>264</v>
      </c>
      <c r="C29" s="72" t="s">
        <v>4915</v>
      </c>
      <c r="D29" s="72" t="s">
        <v>4916</v>
      </c>
      <c r="E29" s="72"/>
      <c r="F29" s="72"/>
    </row>
    <row r="30" spans="1:6" ht="14.5">
      <c r="A30" s="71">
        <v>29</v>
      </c>
      <c r="B30" s="72" t="s">
        <v>264</v>
      </c>
      <c r="C30" s="72" t="s">
        <v>772</v>
      </c>
      <c r="D30" s="72" t="s">
        <v>1376</v>
      </c>
      <c r="E30" s="72"/>
      <c r="F30" s="72"/>
    </row>
    <row r="31" spans="1:6" ht="14.5">
      <c r="A31" s="71">
        <v>30</v>
      </c>
      <c r="B31" s="72" t="s">
        <v>264</v>
      </c>
      <c r="C31" s="72" t="s">
        <v>2156</v>
      </c>
      <c r="D31" s="72" t="s">
        <v>4917</v>
      </c>
      <c r="E31" s="72"/>
      <c r="F31" s="72"/>
    </row>
    <row r="32" spans="1:6" ht="14.5">
      <c r="A32" s="71">
        <v>31</v>
      </c>
      <c r="B32" s="72" t="s">
        <v>264</v>
      </c>
      <c r="C32" s="72" t="s">
        <v>265</v>
      </c>
      <c r="D32" s="72" t="s">
        <v>4918</v>
      </c>
      <c r="E32" s="72"/>
      <c r="F32" s="72"/>
    </row>
    <row r="33" spans="1:6" ht="14.5">
      <c r="A33" s="71">
        <v>32</v>
      </c>
      <c r="B33" s="72" t="s">
        <v>378</v>
      </c>
      <c r="C33" s="72" t="s">
        <v>379</v>
      </c>
      <c r="D33" s="72" t="s">
        <v>288</v>
      </c>
      <c r="E33" s="72"/>
      <c r="F33" s="72"/>
    </row>
    <row r="34" spans="1:6" ht="14.5">
      <c r="A34" s="71">
        <v>33</v>
      </c>
      <c r="B34" s="72" t="s">
        <v>378</v>
      </c>
      <c r="C34" s="72" t="s">
        <v>1068</v>
      </c>
      <c r="D34" s="72" t="s">
        <v>4919</v>
      </c>
      <c r="E34" s="72"/>
      <c r="F34" s="72"/>
    </row>
    <row r="35" spans="1:6" ht="14.5">
      <c r="A35" s="71">
        <v>34</v>
      </c>
      <c r="B35" s="72" t="s">
        <v>378</v>
      </c>
      <c r="C35" s="72" t="s">
        <v>4920</v>
      </c>
      <c r="D35" s="72" t="s">
        <v>1506</v>
      </c>
      <c r="E35" s="72"/>
      <c r="F35" s="72"/>
    </row>
    <row r="36" spans="1:6" ht="14.5">
      <c r="A36" s="71">
        <v>35</v>
      </c>
      <c r="B36" s="72" t="s">
        <v>378</v>
      </c>
      <c r="C36" s="72" t="s">
        <v>1372</v>
      </c>
      <c r="D36" s="72" t="s">
        <v>4921</v>
      </c>
      <c r="E36" s="72"/>
      <c r="F36" s="72"/>
    </row>
    <row r="37" spans="1:6" ht="14.5">
      <c r="A37" s="71">
        <v>36</v>
      </c>
      <c r="B37" s="72" t="s">
        <v>378</v>
      </c>
      <c r="C37" s="72" t="s">
        <v>4922</v>
      </c>
      <c r="D37" s="72" t="s">
        <v>216</v>
      </c>
      <c r="E37" s="72"/>
      <c r="F37" s="72"/>
    </row>
    <row r="38" spans="1:6" ht="14.5">
      <c r="A38" s="71">
        <v>37</v>
      </c>
      <c r="B38" s="72" t="s">
        <v>378</v>
      </c>
      <c r="C38" s="72" t="s">
        <v>2065</v>
      </c>
      <c r="D38" s="72" t="s">
        <v>4923</v>
      </c>
      <c r="E38" s="72"/>
      <c r="F38" s="72"/>
    </row>
    <row r="39" spans="1:6" ht="14.5">
      <c r="A39" s="71">
        <v>38</v>
      </c>
      <c r="B39" s="72" t="s">
        <v>378</v>
      </c>
      <c r="C39" s="72" t="s">
        <v>4924</v>
      </c>
      <c r="D39" s="72" t="s">
        <v>1159</v>
      </c>
      <c r="E39" s="72"/>
      <c r="F39" s="72"/>
    </row>
    <row r="40" spans="1:6" ht="14.5">
      <c r="A40" s="71">
        <v>39</v>
      </c>
      <c r="B40" s="72" t="s">
        <v>322</v>
      </c>
      <c r="C40" s="72" t="s">
        <v>4925</v>
      </c>
      <c r="D40" s="72" t="s">
        <v>367</v>
      </c>
      <c r="E40" s="72"/>
      <c r="F40" s="72"/>
    </row>
    <row r="41" spans="1:6" ht="14.5">
      <c r="A41" s="71">
        <v>40</v>
      </c>
      <c r="B41" s="72" t="s">
        <v>322</v>
      </c>
      <c r="C41" s="72" t="s">
        <v>323</v>
      </c>
      <c r="D41" s="72" t="s">
        <v>1069</v>
      </c>
      <c r="E41" s="72"/>
      <c r="F41" s="72"/>
    </row>
    <row r="42" spans="1:6" ht="14.5">
      <c r="A42" s="71">
        <v>41</v>
      </c>
      <c r="B42" s="72" t="s">
        <v>322</v>
      </c>
      <c r="C42" s="72" t="s">
        <v>4926</v>
      </c>
      <c r="D42" s="72" t="s">
        <v>4927</v>
      </c>
      <c r="E42" s="72"/>
      <c r="F42" s="72"/>
    </row>
    <row r="43" spans="1:6" ht="14.5">
      <c r="A43" s="71">
        <v>42</v>
      </c>
      <c r="B43" s="72" t="s">
        <v>322</v>
      </c>
      <c r="C43" s="72" t="s">
        <v>4928</v>
      </c>
      <c r="D43" s="72" t="s">
        <v>221</v>
      </c>
      <c r="E43" s="72"/>
      <c r="F43" s="72"/>
    </row>
    <row r="44" spans="1:6" ht="14.5">
      <c r="A44" s="71">
        <v>43</v>
      </c>
      <c r="B44" s="72" t="s">
        <v>322</v>
      </c>
      <c r="C44" s="72" t="s">
        <v>4929</v>
      </c>
      <c r="D44" s="72" t="s">
        <v>308</v>
      </c>
      <c r="E44" s="72"/>
      <c r="F44" s="72"/>
    </row>
    <row r="45" spans="1:6" ht="14.5">
      <c r="A45" s="71">
        <v>44</v>
      </c>
      <c r="B45" s="72" t="s">
        <v>322</v>
      </c>
      <c r="C45" s="72" t="s">
        <v>890</v>
      </c>
      <c r="D45" s="72" t="s">
        <v>160</v>
      </c>
      <c r="E45" s="72"/>
      <c r="F45" s="72"/>
    </row>
    <row r="46" spans="1:6" ht="14.5">
      <c r="A46" s="71">
        <v>45</v>
      </c>
      <c r="B46" s="72" t="s">
        <v>322</v>
      </c>
      <c r="C46" s="72" t="s">
        <v>1330</v>
      </c>
      <c r="D46" s="72" t="s">
        <v>497</v>
      </c>
      <c r="E46" s="72"/>
      <c r="F46" s="72"/>
    </row>
    <row r="47" spans="1:6" ht="14.5">
      <c r="A47" s="71">
        <v>46</v>
      </c>
      <c r="B47" s="72" t="s">
        <v>463</v>
      </c>
      <c r="C47" s="72" t="s">
        <v>489</v>
      </c>
      <c r="D47" s="72" t="s">
        <v>184</v>
      </c>
      <c r="E47" s="72"/>
      <c r="F47" s="72"/>
    </row>
    <row r="48" spans="1:6" ht="14.5">
      <c r="A48" s="71">
        <v>47</v>
      </c>
      <c r="B48" s="72" t="s">
        <v>463</v>
      </c>
      <c r="C48" s="72" t="s">
        <v>690</v>
      </c>
      <c r="D48" s="72" t="s">
        <v>4930</v>
      </c>
      <c r="E48" s="72"/>
      <c r="F48" s="72"/>
    </row>
    <row r="49" spans="1:27" ht="14.5">
      <c r="A49" s="71">
        <v>48</v>
      </c>
      <c r="B49" s="72" t="s">
        <v>463</v>
      </c>
      <c r="C49" s="72" t="s">
        <v>1397</v>
      </c>
      <c r="D49" s="72" t="s">
        <v>4931</v>
      </c>
      <c r="E49" s="72"/>
      <c r="F49" s="72"/>
    </row>
    <row r="50" spans="1:27" ht="14.5">
      <c r="A50" s="71">
        <v>49</v>
      </c>
      <c r="B50" s="72" t="s">
        <v>463</v>
      </c>
      <c r="C50" s="72" t="s">
        <v>464</v>
      </c>
      <c r="D50" s="72" t="s">
        <v>1682</v>
      </c>
      <c r="E50" s="72"/>
      <c r="F50" s="72"/>
    </row>
    <row r="51" spans="1:27" ht="14.5">
      <c r="A51" s="71">
        <v>50</v>
      </c>
      <c r="B51" s="72" t="s">
        <v>463</v>
      </c>
      <c r="C51" s="72" t="s">
        <v>717</v>
      </c>
      <c r="D51" s="72" t="s">
        <v>4932</v>
      </c>
      <c r="E51" s="72"/>
      <c r="F51" s="72"/>
    </row>
    <row r="52" spans="1:27" ht="14.5">
      <c r="A52" s="71">
        <v>51</v>
      </c>
      <c r="B52" s="72" t="s">
        <v>463</v>
      </c>
      <c r="C52" s="72" t="s">
        <v>1439</v>
      </c>
      <c r="D52" s="72" t="s">
        <v>4933</v>
      </c>
      <c r="E52" s="72"/>
      <c r="F52" s="72"/>
    </row>
    <row r="53" spans="1:27" ht="14.5">
      <c r="A53" s="71">
        <v>52</v>
      </c>
      <c r="B53" s="72" t="s">
        <v>463</v>
      </c>
      <c r="C53" s="72" t="s">
        <v>2220</v>
      </c>
      <c r="D53" s="72" t="s">
        <v>1039</v>
      </c>
      <c r="E53" s="72"/>
      <c r="F53" s="72"/>
    </row>
    <row r="54" spans="1:27" ht="14.5">
      <c r="A54" s="71">
        <v>53</v>
      </c>
      <c r="B54" s="72" t="s">
        <v>84</v>
      </c>
      <c r="C54" s="72" t="s">
        <v>117</v>
      </c>
      <c r="D54" s="72" t="s">
        <v>4895</v>
      </c>
      <c r="E54" s="72"/>
      <c r="F54" s="72"/>
    </row>
    <row r="55" spans="1:27" ht="14.5">
      <c r="A55" s="71">
        <v>54</v>
      </c>
      <c r="B55" s="72" t="s">
        <v>84</v>
      </c>
      <c r="C55" s="72" t="s">
        <v>136</v>
      </c>
      <c r="D55" s="72" t="s">
        <v>1040</v>
      </c>
      <c r="E55" s="72"/>
      <c r="F55" s="72"/>
    </row>
    <row r="56" spans="1:27" ht="14.5">
      <c r="A56" s="71">
        <v>55</v>
      </c>
      <c r="B56" s="72" t="s">
        <v>84</v>
      </c>
      <c r="C56" s="72" t="s">
        <v>85</v>
      </c>
      <c r="D56" s="72" t="s">
        <v>1410</v>
      </c>
      <c r="E56" s="72"/>
      <c r="F56" s="72"/>
    </row>
    <row r="57" spans="1:27" ht="14.5">
      <c r="A57" s="71">
        <v>56</v>
      </c>
      <c r="B57" s="72" t="s">
        <v>84</v>
      </c>
      <c r="C57" s="72" t="s">
        <v>506</v>
      </c>
      <c r="D57" s="72" t="s">
        <v>4934</v>
      </c>
      <c r="E57" s="72"/>
      <c r="F57" s="72"/>
    </row>
    <row r="58" spans="1:27" ht="14.5">
      <c r="A58" s="71">
        <v>57</v>
      </c>
      <c r="B58" s="72" t="s">
        <v>84</v>
      </c>
      <c r="C58" s="72" t="s">
        <v>337</v>
      </c>
      <c r="D58" s="72" t="s">
        <v>4935</v>
      </c>
      <c r="E58" s="72"/>
      <c r="F58" s="72"/>
    </row>
    <row r="59" spans="1:27" ht="14.5">
      <c r="A59" s="71">
        <v>58</v>
      </c>
      <c r="B59" s="72" t="s">
        <v>723</v>
      </c>
      <c r="C59" s="72" t="s">
        <v>750</v>
      </c>
      <c r="D59" s="72" t="s">
        <v>4936</v>
      </c>
      <c r="E59" s="72"/>
      <c r="F59" s="72"/>
    </row>
    <row r="60" spans="1:27" ht="14.5">
      <c r="A60" s="71">
        <v>59</v>
      </c>
      <c r="B60" s="73" t="s">
        <v>723</v>
      </c>
      <c r="C60" s="73" t="s">
        <v>2049</v>
      </c>
      <c r="D60" s="73" t="s">
        <v>307</v>
      </c>
      <c r="E60" s="73"/>
      <c r="F60" s="73"/>
      <c r="G60" s="34"/>
      <c r="H60" s="34"/>
      <c r="I60" s="34"/>
      <c r="J60" s="34"/>
      <c r="K60" s="34"/>
      <c r="L60" s="34"/>
      <c r="M60" s="34"/>
      <c r="N60" s="34"/>
      <c r="O60" s="34"/>
      <c r="P60" s="34"/>
      <c r="Q60" s="34"/>
      <c r="R60" s="34"/>
      <c r="S60" s="34"/>
      <c r="T60" s="34"/>
      <c r="U60" s="34"/>
      <c r="V60" s="34"/>
      <c r="W60" s="34"/>
      <c r="X60" s="34"/>
      <c r="Y60" s="34"/>
      <c r="Z60" s="34"/>
      <c r="AA60" s="34"/>
    </row>
    <row r="61" spans="1:27" ht="14.5">
      <c r="A61" s="71">
        <v>60</v>
      </c>
      <c r="B61" s="72" t="s">
        <v>723</v>
      </c>
      <c r="C61" s="72" t="s">
        <v>4937</v>
      </c>
      <c r="D61" s="72" t="s">
        <v>834</v>
      </c>
      <c r="E61" s="72"/>
      <c r="F61" s="72"/>
    </row>
    <row r="62" spans="1:27" ht="14.5">
      <c r="A62" s="71">
        <v>61</v>
      </c>
      <c r="B62" s="72" t="s">
        <v>723</v>
      </c>
      <c r="C62" s="72" t="s">
        <v>4938</v>
      </c>
      <c r="D62" s="72" t="s">
        <v>4939</v>
      </c>
      <c r="E62" s="72"/>
      <c r="F62" s="72"/>
    </row>
    <row r="63" spans="1:27" ht="14.5">
      <c r="A63" s="71">
        <v>62</v>
      </c>
      <c r="B63" s="72" t="s">
        <v>723</v>
      </c>
      <c r="C63" s="72" t="s">
        <v>724</v>
      </c>
      <c r="D63" s="72" t="s">
        <v>1889</v>
      </c>
      <c r="E63" s="72"/>
      <c r="F63" s="72"/>
    </row>
    <row r="64" spans="1:27" ht="14.5">
      <c r="A64" s="71">
        <v>63</v>
      </c>
      <c r="B64" s="72" t="s">
        <v>723</v>
      </c>
      <c r="C64" s="72" t="s">
        <v>4940</v>
      </c>
      <c r="D64" s="72" t="s">
        <v>507</v>
      </c>
      <c r="E64" s="72"/>
      <c r="F64" s="72"/>
    </row>
    <row r="65" spans="1:6" ht="14.5">
      <c r="A65" s="71">
        <v>64</v>
      </c>
      <c r="B65" s="72" t="s">
        <v>723</v>
      </c>
      <c r="C65" s="72" t="s">
        <v>4941</v>
      </c>
      <c r="D65" s="72" t="s">
        <v>598</v>
      </c>
      <c r="E65" s="72"/>
      <c r="F65" s="72"/>
    </row>
    <row r="66" spans="1:6" ht="14.5">
      <c r="A66" s="71">
        <v>65</v>
      </c>
      <c r="B66" s="72" t="s">
        <v>723</v>
      </c>
      <c r="C66" s="72" t="s">
        <v>4942</v>
      </c>
      <c r="D66" s="72" t="s">
        <v>4943</v>
      </c>
      <c r="E66" s="72"/>
      <c r="F66" s="72"/>
    </row>
    <row r="67" spans="1:6" ht="14.5">
      <c r="A67" s="71">
        <v>66</v>
      </c>
      <c r="B67" s="72" t="s">
        <v>723</v>
      </c>
      <c r="C67" s="72" t="s">
        <v>4944</v>
      </c>
      <c r="D67" s="72" t="s">
        <v>4945</v>
      </c>
      <c r="E67" s="72"/>
      <c r="F67" s="72"/>
    </row>
    <row r="68" spans="1:6" ht="14.5">
      <c r="A68" s="71">
        <v>67</v>
      </c>
      <c r="B68" s="72" t="s">
        <v>723</v>
      </c>
      <c r="C68" s="72" t="s">
        <v>4946</v>
      </c>
      <c r="D68" s="72" t="s">
        <v>4947</v>
      </c>
      <c r="E68" s="72"/>
      <c r="F68" s="72"/>
    </row>
    <row r="69" spans="1:6" ht="14.5">
      <c r="A69" s="71">
        <v>68</v>
      </c>
      <c r="B69" s="72" t="s">
        <v>194</v>
      </c>
      <c r="C69" s="72" t="s">
        <v>195</v>
      </c>
      <c r="D69" s="72" t="s">
        <v>4948</v>
      </c>
      <c r="E69" s="72"/>
      <c r="F69" s="72"/>
    </row>
    <row r="70" spans="1:6" ht="14.5">
      <c r="A70" s="71">
        <v>69</v>
      </c>
      <c r="B70" s="72" t="s">
        <v>194</v>
      </c>
      <c r="C70" s="72" t="s">
        <v>307</v>
      </c>
      <c r="D70" s="72" t="s">
        <v>1504</v>
      </c>
      <c r="E70" s="72"/>
      <c r="F70" s="72"/>
    </row>
    <row r="71" spans="1:6" ht="14.5">
      <c r="A71" s="71">
        <v>70</v>
      </c>
      <c r="B71" s="72" t="s">
        <v>194</v>
      </c>
      <c r="C71" s="72" t="s">
        <v>1382</v>
      </c>
      <c r="D71" s="72" t="s">
        <v>4949</v>
      </c>
      <c r="E71" s="72"/>
      <c r="F71" s="72"/>
    </row>
    <row r="72" spans="1:6" ht="14.5">
      <c r="A72" s="71">
        <v>71</v>
      </c>
      <c r="B72" s="74" t="s">
        <v>194</v>
      </c>
      <c r="C72" s="74" t="s">
        <v>136</v>
      </c>
      <c r="D72" s="72" t="s">
        <v>4950</v>
      </c>
      <c r="E72" s="72"/>
      <c r="F72" s="72"/>
    </row>
    <row r="73" spans="1:6" ht="14.5">
      <c r="A73" s="71">
        <v>72</v>
      </c>
      <c r="B73" s="74" t="s">
        <v>194</v>
      </c>
      <c r="C73" s="74" t="s">
        <v>136</v>
      </c>
      <c r="D73" s="72" t="s">
        <v>4951</v>
      </c>
      <c r="E73" s="72"/>
      <c r="F73" s="72"/>
    </row>
    <row r="74" spans="1:6" ht="14.5">
      <c r="A74" s="71">
        <v>73</v>
      </c>
      <c r="B74" s="74" t="s">
        <v>194</v>
      </c>
      <c r="C74" s="74" t="s">
        <v>136</v>
      </c>
      <c r="D74" s="72" t="s">
        <v>4952</v>
      </c>
      <c r="E74" s="72"/>
      <c r="F74" s="72"/>
    </row>
    <row r="75" spans="1:6" ht="14.5">
      <c r="A75" s="71">
        <v>74</v>
      </c>
      <c r="B75" s="74" t="s">
        <v>194</v>
      </c>
      <c r="C75" s="74" t="s">
        <v>136</v>
      </c>
      <c r="D75" s="72" t="s">
        <v>4953</v>
      </c>
      <c r="E75" s="72"/>
      <c r="F75" s="72"/>
    </row>
    <row r="76" spans="1:6" ht="14.5">
      <c r="A76" s="71">
        <v>75</v>
      </c>
      <c r="B76" s="74" t="s">
        <v>194</v>
      </c>
      <c r="C76" s="74" t="s">
        <v>136</v>
      </c>
      <c r="D76" s="72" t="s">
        <v>4954</v>
      </c>
      <c r="E76" s="72"/>
      <c r="F76" s="72"/>
    </row>
    <row r="77" spans="1:6" ht="14.5">
      <c r="A77" s="71">
        <v>76</v>
      </c>
      <c r="B77" s="74" t="s">
        <v>194</v>
      </c>
      <c r="C77" s="74" t="s">
        <v>136</v>
      </c>
      <c r="D77" s="72" t="s">
        <v>4955</v>
      </c>
      <c r="E77" s="72"/>
      <c r="F77" s="72"/>
    </row>
    <row r="78" spans="1:6" ht="14.5">
      <c r="A78" s="71">
        <v>77</v>
      </c>
      <c r="B78" s="74" t="s">
        <v>194</v>
      </c>
      <c r="C78" s="74" t="s">
        <v>136</v>
      </c>
      <c r="D78" s="72" t="s">
        <v>4956</v>
      </c>
      <c r="E78" s="72"/>
      <c r="F78" s="72"/>
    </row>
    <row r="79" spans="1:6" ht="14.5">
      <c r="A79" s="71">
        <v>78</v>
      </c>
      <c r="B79" s="74" t="s">
        <v>194</v>
      </c>
      <c r="C79" s="74" t="s">
        <v>136</v>
      </c>
      <c r="D79" s="72" t="s">
        <v>207</v>
      </c>
      <c r="E79" s="72"/>
      <c r="F79" s="72"/>
    </row>
    <row r="80" spans="1:6" ht="14.5">
      <c r="A80" s="71">
        <v>79</v>
      </c>
      <c r="B80" s="74" t="s">
        <v>194</v>
      </c>
      <c r="C80" s="74" t="s">
        <v>136</v>
      </c>
      <c r="D80" s="72" t="s">
        <v>480</v>
      </c>
      <c r="E80" s="72"/>
      <c r="F80" s="72"/>
    </row>
    <row r="81" spans="1:6" ht="14.5">
      <c r="A81" s="71">
        <v>80</v>
      </c>
      <c r="B81" s="74" t="s">
        <v>194</v>
      </c>
      <c r="C81" s="74" t="s">
        <v>136</v>
      </c>
      <c r="D81" s="72" t="s">
        <v>196</v>
      </c>
      <c r="E81" s="72"/>
      <c r="F81" s="72"/>
    </row>
    <row r="82" spans="1:6" ht="14.5">
      <c r="A82" s="71">
        <v>81</v>
      </c>
      <c r="B82" s="74" t="s">
        <v>194</v>
      </c>
      <c r="C82" s="74" t="s">
        <v>136</v>
      </c>
      <c r="D82" s="72" t="s">
        <v>4957</v>
      </c>
      <c r="E82" s="72"/>
      <c r="F82" s="72"/>
    </row>
    <row r="83" spans="1:6" ht="14.5">
      <c r="A83" s="32">
        <v>82</v>
      </c>
      <c r="B83" s="72" t="s">
        <v>214</v>
      </c>
      <c r="C83" s="34" t="s">
        <v>2005</v>
      </c>
      <c r="D83" s="30" t="s">
        <v>4958</v>
      </c>
    </row>
    <row r="84" spans="1:6" ht="12.5">
      <c r="A84" s="32"/>
    </row>
    <row r="85" spans="1:6" ht="12.5">
      <c r="A85" s="32"/>
    </row>
    <row r="86" spans="1:6" ht="12.5">
      <c r="A86" s="32"/>
    </row>
    <row r="87" spans="1:6" ht="12.5">
      <c r="A87" s="32"/>
    </row>
    <row r="88" spans="1:6" ht="12.5">
      <c r="A88" s="32"/>
    </row>
    <row r="89" spans="1:6" ht="12.5">
      <c r="A89" s="32"/>
    </row>
    <row r="90" spans="1:6" ht="12.5">
      <c r="A90" s="32"/>
    </row>
    <row r="91" spans="1:6" ht="12.5">
      <c r="A91" s="32"/>
    </row>
    <row r="92" spans="1:6" ht="12.5">
      <c r="A92" s="32"/>
    </row>
    <row r="93" spans="1:6" ht="12.5">
      <c r="A93" s="32"/>
    </row>
    <row r="94" spans="1:6" ht="12.5">
      <c r="A94" s="32"/>
    </row>
    <row r="95" spans="1:6" ht="12.5">
      <c r="A95" s="32"/>
    </row>
    <row r="96" spans="1:6" ht="12.5">
      <c r="A96" s="32"/>
    </row>
    <row r="97" spans="1:1" ht="12.5">
      <c r="A97" s="32"/>
    </row>
    <row r="98" spans="1:1" ht="12.5">
      <c r="A98" s="32"/>
    </row>
    <row r="99" spans="1:1" ht="12.5">
      <c r="A99" s="32"/>
    </row>
    <row r="100" spans="1:1" ht="12.5">
      <c r="A100" s="32"/>
    </row>
    <row r="101" spans="1:1" ht="12.5">
      <c r="A101" s="32"/>
    </row>
    <row r="102" spans="1:1" ht="12.5">
      <c r="A102" s="32"/>
    </row>
    <row r="103" spans="1:1" ht="12.5">
      <c r="A103" s="32"/>
    </row>
    <row r="104" spans="1:1" ht="12.5">
      <c r="A104" s="32"/>
    </row>
    <row r="105" spans="1:1" ht="12.5">
      <c r="A105" s="32"/>
    </row>
    <row r="106" spans="1:1" ht="12.5">
      <c r="A106" s="32"/>
    </row>
    <row r="107" spans="1:1" ht="12.5">
      <c r="A107" s="32"/>
    </row>
    <row r="108" spans="1:1" ht="12.5">
      <c r="A108" s="32"/>
    </row>
    <row r="109" spans="1:1" ht="12.5">
      <c r="A109" s="32"/>
    </row>
    <row r="110" spans="1:1" ht="12.5">
      <c r="A110" s="32"/>
    </row>
    <row r="111" spans="1:1" ht="12.5">
      <c r="A111" s="32"/>
    </row>
    <row r="112" spans="1:1" ht="12.5">
      <c r="A112" s="32"/>
    </row>
    <row r="113" spans="1:1" ht="12.5">
      <c r="A113" s="32"/>
    </row>
    <row r="114" spans="1:1" ht="12.5">
      <c r="A114" s="32"/>
    </row>
    <row r="115" spans="1:1" ht="12.5">
      <c r="A115" s="32"/>
    </row>
    <row r="116" spans="1:1" ht="12.5">
      <c r="A116" s="32"/>
    </row>
    <row r="117" spans="1:1" ht="12.5">
      <c r="A117" s="32"/>
    </row>
    <row r="118" spans="1:1" ht="12.5">
      <c r="A118" s="32"/>
    </row>
    <row r="119" spans="1:1" ht="12.5">
      <c r="A119" s="32"/>
    </row>
    <row r="120" spans="1:1" ht="12.5">
      <c r="A120" s="32"/>
    </row>
    <row r="121" spans="1:1" ht="12.5">
      <c r="A121" s="32"/>
    </row>
    <row r="122" spans="1:1" ht="12.5">
      <c r="A122" s="32"/>
    </row>
    <row r="123" spans="1:1" ht="12.5">
      <c r="A123" s="32"/>
    </row>
    <row r="124" spans="1:1" ht="12.5">
      <c r="A124" s="32"/>
    </row>
    <row r="125" spans="1:1" ht="12.5">
      <c r="A125" s="32"/>
    </row>
    <row r="126" spans="1:1" ht="12.5">
      <c r="A126" s="32"/>
    </row>
    <row r="127" spans="1:1" ht="12.5">
      <c r="A127" s="32"/>
    </row>
    <row r="128" spans="1:1" ht="12.5">
      <c r="A128" s="32"/>
    </row>
    <row r="129" spans="1:1" ht="12.5">
      <c r="A129" s="32"/>
    </row>
    <row r="130" spans="1:1" ht="12.5">
      <c r="A130" s="32"/>
    </row>
    <row r="131" spans="1:1" ht="12.5">
      <c r="A131" s="32"/>
    </row>
    <row r="132" spans="1:1" ht="12.5">
      <c r="A132" s="32"/>
    </row>
    <row r="133" spans="1:1" ht="12.5">
      <c r="A133" s="32"/>
    </row>
    <row r="134" spans="1:1" ht="12.5">
      <c r="A134" s="32"/>
    </row>
    <row r="135" spans="1:1" ht="12.5">
      <c r="A135" s="32"/>
    </row>
    <row r="136" spans="1:1" ht="12.5">
      <c r="A136" s="32"/>
    </row>
    <row r="137" spans="1:1" ht="12.5">
      <c r="A137" s="32"/>
    </row>
    <row r="138" spans="1:1" ht="12.5">
      <c r="A138" s="32"/>
    </row>
    <row r="139" spans="1:1" ht="12.5">
      <c r="A139" s="32"/>
    </row>
    <row r="140" spans="1:1" ht="12.5">
      <c r="A140" s="32"/>
    </row>
    <row r="141" spans="1:1" ht="12.5">
      <c r="A141" s="32"/>
    </row>
    <row r="142" spans="1:1" ht="12.5">
      <c r="A142" s="32"/>
    </row>
    <row r="143" spans="1:1" ht="12.5">
      <c r="A143" s="32"/>
    </row>
    <row r="144" spans="1:1" ht="12.5">
      <c r="A144" s="32"/>
    </row>
    <row r="145" spans="1:1" ht="12.5">
      <c r="A145" s="32"/>
    </row>
    <row r="146" spans="1:1" ht="12.5">
      <c r="A146" s="32"/>
    </row>
    <row r="147" spans="1:1" ht="12.5">
      <c r="A147" s="32"/>
    </row>
    <row r="148" spans="1:1" ht="12.5">
      <c r="A148" s="32"/>
    </row>
    <row r="149" spans="1:1" ht="12.5">
      <c r="A149" s="32"/>
    </row>
    <row r="150" spans="1:1" ht="12.5">
      <c r="A150" s="32"/>
    </row>
    <row r="151" spans="1:1" ht="12.5">
      <c r="A151" s="32"/>
    </row>
    <row r="152" spans="1:1" ht="12.5">
      <c r="A152" s="32"/>
    </row>
    <row r="153" spans="1:1" ht="12.5">
      <c r="A153" s="32"/>
    </row>
    <row r="154" spans="1:1" ht="12.5">
      <c r="A154" s="32"/>
    </row>
    <row r="155" spans="1:1" ht="12.5">
      <c r="A155" s="32"/>
    </row>
    <row r="156" spans="1:1" ht="12.5">
      <c r="A156" s="32"/>
    </row>
    <row r="157" spans="1:1" ht="12.5">
      <c r="A157" s="32"/>
    </row>
    <row r="158" spans="1:1" ht="12.5">
      <c r="A158" s="32"/>
    </row>
    <row r="159" spans="1:1" ht="12.5">
      <c r="A159" s="32"/>
    </row>
    <row r="160" spans="1:1" ht="12.5">
      <c r="A160" s="32"/>
    </row>
    <row r="161" spans="1:1" ht="12.5">
      <c r="A161" s="32"/>
    </row>
    <row r="162" spans="1:1" ht="12.5">
      <c r="A162" s="32"/>
    </row>
    <row r="163" spans="1:1" ht="12.5">
      <c r="A163" s="32"/>
    </row>
    <row r="164" spans="1:1" ht="12.5">
      <c r="A164" s="32"/>
    </row>
    <row r="165" spans="1:1" ht="12.5">
      <c r="A165" s="32"/>
    </row>
    <row r="166" spans="1:1" ht="12.5">
      <c r="A166" s="32"/>
    </row>
    <row r="167" spans="1:1" ht="12.5">
      <c r="A167" s="32"/>
    </row>
    <row r="168" spans="1:1" ht="12.5">
      <c r="A168" s="32"/>
    </row>
    <row r="169" spans="1:1" ht="12.5">
      <c r="A169" s="32"/>
    </row>
    <row r="170" spans="1:1" ht="12.5">
      <c r="A170" s="32"/>
    </row>
    <row r="171" spans="1:1" ht="12.5">
      <c r="A171" s="32"/>
    </row>
    <row r="172" spans="1:1" ht="12.5">
      <c r="A172" s="32"/>
    </row>
    <row r="173" spans="1:1" ht="12.5">
      <c r="A173" s="32"/>
    </row>
    <row r="174" spans="1:1" ht="12.5">
      <c r="A174" s="32"/>
    </row>
    <row r="175" spans="1:1" ht="12.5">
      <c r="A175" s="32"/>
    </row>
    <row r="176" spans="1:1" ht="12.5">
      <c r="A176" s="32"/>
    </row>
    <row r="177" spans="1:1" ht="12.5">
      <c r="A177" s="32"/>
    </row>
    <row r="178" spans="1:1" ht="12.5">
      <c r="A178" s="32"/>
    </row>
    <row r="179" spans="1:1" ht="12.5">
      <c r="A179" s="32"/>
    </row>
    <row r="180" spans="1:1" ht="12.5">
      <c r="A180" s="32"/>
    </row>
    <row r="181" spans="1:1" ht="12.5">
      <c r="A181" s="32"/>
    </row>
    <row r="182" spans="1:1" ht="12.5">
      <c r="A182" s="32"/>
    </row>
    <row r="183" spans="1:1" ht="12.5">
      <c r="A183" s="32"/>
    </row>
    <row r="184" spans="1:1" ht="12.5">
      <c r="A184" s="32"/>
    </row>
    <row r="185" spans="1:1" ht="12.5">
      <c r="A185" s="32"/>
    </row>
    <row r="186" spans="1:1" ht="12.5">
      <c r="A186" s="32"/>
    </row>
    <row r="187" spans="1:1" ht="12.5">
      <c r="A187" s="32"/>
    </row>
    <row r="188" spans="1:1" ht="12.5">
      <c r="A188" s="32"/>
    </row>
    <row r="189" spans="1:1" ht="12.5">
      <c r="A189" s="32"/>
    </row>
    <row r="190" spans="1:1" ht="12.5">
      <c r="A190" s="32"/>
    </row>
    <row r="191" spans="1:1" ht="12.5">
      <c r="A191" s="32"/>
    </row>
    <row r="192" spans="1:1" ht="12.5">
      <c r="A192" s="32"/>
    </row>
    <row r="193" spans="1:1" ht="12.5">
      <c r="A193" s="32"/>
    </row>
    <row r="194" spans="1:1" ht="12.5">
      <c r="A194" s="32"/>
    </row>
    <row r="195" spans="1:1" ht="12.5">
      <c r="A195" s="32"/>
    </row>
    <row r="196" spans="1:1" ht="12.5">
      <c r="A196" s="32"/>
    </row>
    <row r="197" spans="1:1" ht="12.5">
      <c r="A197" s="32"/>
    </row>
    <row r="198" spans="1:1" ht="12.5">
      <c r="A198" s="32"/>
    </row>
    <row r="199" spans="1:1" ht="12.5">
      <c r="A199" s="32"/>
    </row>
    <row r="200" spans="1:1" ht="12.5">
      <c r="A200" s="32"/>
    </row>
    <row r="201" spans="1:1" ht="12.5">
      <c r="A201" s="32"/>
    </row>
    <row r="202" spans="1:1" ht="12.5">
      <c r="A202" s="32"/>
    </row>
    <row r="203" spans="1:1" ht="12.5">
      <c r="A203" s="32"/>
    </row>
    <row r="204" spans="1:1" ht="12.5">
      <c r="A204" s="32"/>
    </row>
    <row r="205" spans="1:1" ht="12.5">
      <c r="A205" s="32"/>
    </row>
    <row r="206" spans="1:1" ht="12.5">
      <c r="A206" s="32"/>
    </row>
    <row r="207" spans="1:1" ht="12.5">
      <c r="A207" s="32"/>
    </row>
    <row r="208" spans="1:1" ht="12.5">
      <c r="A208" s="32"/>
    </row>
    <row r="209" spans="1:1" ht="12.5">
      <c r="A209" s="32"/>
    </row>
    <row r="210" spans="1:1" ht="12.5">
      <c r="A210" s="32"/>
    </row>
    <row r="211" spans="1:1" ht="12.5">
      <c r="A211" s="32"/>
    </row>
    <row r="212" spans="1:1" ht="12.5">
      <c r="A212" s="32"/>
    </row>
    <row r="213" spans="1:1" ht="12.5">
      <c r="A213" s="32"/>
    </row>
    <row r="214" spans="1:1" ht="12.5">
      <c r="A214" s="32"/>
    </row>
    <row r="215" spans="1:1" ht="12.5">
      <c r="A215" s="32"/>
    </row>
    <row r="216" spans="1:1" ht="12.5">
      <c r="A216" s="32"/>
    </row>
    <row r="217" spans="1:1" ht="12.5">
      <c r="A217" s="32"/>
    </row>
    <row r="218" spans="1:1" ht="12.5">
      <c r="A218" s="32"/>
    </row>
    <row r="219" spans="1:1" ht="12.5">
      <c r="A219" s="32"/>
    </row>
    <row r="220" spans="1:1" ht="12.5">
      <c r="A220" s="32"/>
    </row>
    <row r="221" spans="1:1" ht="12.5">
      <c r="A221" s="32"/>
    </row>
    <row r="222" spans="1:1" ht="12.5">
      <c r="A222" s="32"/>
    </row>
    <row r="223" spans="1:1" ht="12.5">
      <c r="A223" s="32"/>
    </row>
    <row r="224" spans="1:1" ht="12.5">
      <c r="A224" s="32"/>
    </row>
    <row r="225" spans="1:1" ht="12.5">
      <c r="A225" s="32"/>
    </row>
    <row r="226" spans="1:1" ht="12.5">
      <c r="A226" s="32"/>
    </row>
    <row r="227" spans="1:1" ht="12.5">
      <c r="A227" s="32"/>
    </row>
    <row r="228" spans="1:1" ht="12.5">
      <c r="A228" s="32"/>
    </row>
    <row r="229" spans="1:1" ht="12.5">
      <c r="A229" s="32"/>
    </row>
    <row r="230" spans="1:1" ht="12.5">
      <c r="A230" s="32"/>
    </row>
    <row r="231" spans="1:1" ht="12.5">
      <c r="A231" s="32"/>
    </row>
    <row r="232" spans="1:1" ht="12.5">
      <c r="A232" s="32"/>
    </row>
    <row r="233" spans="1:1" ht="12.5">
      <c r="A233" s="32"/>
    </row>
    <row r="234" spans="1:1" ht="12.5">
      <c r="A234" s="32"/>
    </row>
    <row r="235" spans="1:1" ht="12.5">
      <c r="A235" s="32"/>
    </row>
    <row r="236" spans="1:1" ht="12.5">
      <c r="A236" s="32"/>
    </row>
    <row r="237" spans="1:1" ht="12.5">
      <c r="A237" s="32"/>
    </row>
    <row r="238" spans="1:1" ht="12.5">
      <c r="A238" s="32"/>
    </row>
    <row r="239" spans="1:1" ht="12.5">
      <c r="A239" s="32"/>
    </row>
    <row r="240" spans="1:1" ht="12.5">
      <c r="A240" s="32"/>
    </row>
    <row r="241" spans="1:1" ht="12.5">
      <c r="A241" s="32"/>
    </row>
    <row r="242" spans="1:1" ht="12.5">
      <c r="A242" s="32"/>
    </row>
    <row r="243" spans="1:1" ht="12.5">
      <c r="A243" s="32"/>
    </row>
    <row r="244" spans="1:1" ht="12.5">
      <c r="A244" s="32"/>
    </row>
    <row r="245" spans="1:1" ht="12.5">
      <c r="A245" s="32"/>
    </row>
    <row r="246" spans="1:1" ht="12.5">
      <c r="A246" s="32"/>
    </row>
    <row r="247" spans="1:1" ht="12.5">
      <c r="A247" s="32"/>
    </row>
    <row r="248" spans="1:1" ht="12.5">
      <c r="A248" s="32"/>
    </row>
    <row r="249" spans="1:1" ht="12.5">
      <c r="A249" s="32"/>
    </row>
    <row r="250" spans="1:1" ht="12.5">
      <c r="A250" s="32"/>
    </row>
    <row r="251" spans="1:1" ht="12.5">
      <c r="A251" s="32"/>
    </row>
    <row r="252" spans="1:1" ht="12.5">
      <c r="A252" s="32"/>
    </row>
    <row r="253" spans="1:1" ht="12.5">
      <c r="A253" s="32"/>
    </row>
    <row r="254" spans="1:1" ht="12.5">
      <c r="A254" s="32"/>
    </row>
    <row r="255" spans="1:1" ht="12.5">
      <c r="A255" s="32"/>
    </row>
    <row r="256" spans="1:1" ht="12.5">
      <c r="A256" s="32"/>
    </row>
    <row r="257" spans="1:1" ht="12.5">
      <c r="A257" s="32"/>
    </row>
    <row r="258" spans="1:1" ht="12.5">
      <c r="A258" s="32"/>
    </row>
    <row r="259" spans="1:1" ht="12.5">
      <c r="A259" s="32"/>
    </row>
    <row r="260" spans="1:1" ht="12.5">
      <c r="A260" s="32"/>
    </row>
    <row r="261" spans="1:1" ht="12.5">
      <c r="A261" s="32"/>
    </row>
    <row r="262" spans="1:1" ht="12.5">
      <c r="A262" s="32"/>
    </row>
    <row r="263" spans="1:1" ht="12.5">
      <c r="A263" s="32"/>
    </row>
    <row r="264" spans="1:1" ht="12.5">
      <c r="A264" s="32"/>
    </row>
    <row r="265" spans="1:1" ht="12.5">
      <c r="A265" s="32"/>
    </row>
    <row r="266" spans="1:1" ht="12.5">
      <c r="A266" s="32"/>
    </row>
    <row r="267" spans="1:1" ht="12.5">
      <c r="A267" s="32"/>
    </row>
    <row r="268" spans="1:1" ht="12.5">
      <c r="A268" s="32"/>
    </row>
    <row r="269" spans="1:1" ht="12.5">
      <c r="A269" s="32"/>
    </row>
    <row r="270" spans="1:1" ht="12.5">
      <c r="A270" s="32"/>
    </row>
    <row r="271" spans="1:1" ht="12.5">
      <c r="A271" s="32"/>
    </row>
    <row r="272" spans="1:1" ht="12.5">
      <c r="A272" s="32"/>
    </row>
    <row r="273" spans="1:1" ht="12.5">
      <c r="A273" s="32"/>
    </row>
    <row r="274" spans="1:1" ht="12.5">
      <c r="A274" s="32"/>
    </row>
    <row r="275" spans="1:1" ht="12.5">
      <c r="A275" s="32"/>
    </row>
    <row r="276" spans="1:1" ht="12.5">
      <c r="A276" s="32"/>
    </row>
    <row r="277" spans="1:1" ht="12.5">
      <c r="A277" s="32"/>
    </row>
    <row r="278" spans="1:1" ht="12.5">
      <c r="A278" s="32"/>
    </row>
    <row r="279" spans="1:1" ht="12.5">
      <c r="A279" s="32"/>
    </row>
    <row r="280" spans="1:1" ht="12.5">
      <c r="A280" s="32"/>
    </row>
    <row r="281" spans="1:1" ht="12.5">
      <c r="A281" s="32"/>
    </row>
    <row r="282" spans="1:1" ht="12.5">
      <c r="A282" s="32"/>
    </row>
    <row r="283" spans="1:1" ht="12.5">
      <c r="A283" s="32"/>
    </row>
    <row r="284" spans="1:1" ht="12.5">
      <c r="A284" s="32"/>
    </row>
    <row r="285" spans="1:1" ht="12.5">
      <c r="A285" s="32"/>
    </row>
    <row r="286" spans="1:1" ht="12.5">
      <c r="A286" s="32"/>
    </row>
    <row r="287" spans="1:1" ht="12.5">
      <c r="A287" s="32"/>
    </row>
    <row r="288" spans="1:1" ht="12.5">
      <c r="A288" s="32"/>
    </row>
    <row r="289" spans="1:1" ht="12.5">
      <c r="A289" s="32"/>
    </row>
    <row r="290" spans="1:1" ht="12.5">
      <c r="A290" s="32"/>
    </row>
    <row r="291" spans="1:1" ht="12.5">
      <c r="A291" s="32"/>
    </row>
    <row r="292" spans="1:1" ht="12.5">
      <c r="A292" s="32"/>
    </row>
    <row r="293" spans="1:1" ht="12.5">
      <c r="A293" s="32"/>
    </row>
    <row r="294" spans="1:1" ht="12.5">
      <c r="A294" s="32"/>
    </row>
    <row r="295" spans="1:1" ht="12.5">
      <c r="A295" s="32"/>
    </row>
    <row r="296" spans="1:1" ht="12.5">
      <c r="A296" s="32"/>
    </row>
    <row r="297" spans="1:1" ht="12.5">
      <c r="A297" s="32"/>
    </row>
    <row r="298" spans="1:1" ht="12.5">
      <c r="A298" s="32"/>
    </row>
    <row r="299" spans="1:1" ht="12.5">
      <c r="A299" s="32"/>
    </row>
    <row r="300" spans="1:1" ht="12.5">
      <c r="A300" s="32"/>
    </row>
    <row r="301" spans="1:1" ht="12.5">
      <c r="A301" s="32"/>
    </row>
    <row r="302" spans="1:1" ht="12.5">
      <c r="A302" s="32"/>
    </row>
    <row r="303" spans="1:1" ht="12.5">
      <c r="A303" s="32"/>
    </row>
    <row r="304" spans="1:1" ht="12.5">
      <c r="A304" s="32"/>
    </row>
    <row r="305" spans="1:1" ht="12.5">
      <c r="A305" s="32"/>
    </row>
    <row r="306" spans="1:1" ht="12.5">
      <c r="A306" s="32"/>
    </row>
    <row r="307" spans="1:1" ht="12.5">
      <c r="A307" s="32"/>
    </row>
    <row r="308" spans="1:1" ht="12.5">
      <c r="A308" s="32"/>
    </row>
    <row r="309" spans="1:1" ht="12.5">
      <c r="A309" s="32"/>
    </row>
    <row r="310" spans="1:1" ht="12.5">
      <c r="A310" s="32"/>
    </row>
    <row r="311" spans="1:1" ht="12.5">
      <c r="A311" s="32"/>
    </row>
    <row r="312" spans="1:1" ht="12.5">
      <c r="A312" s="32"/>
    </row>
    <row r="313" spans="1:1" ht="12.5">
      <c r="A313" s="32"/>
    </row>
    <row r="314" spans="1:1" ht="12.5">
      <c r="A314" s="32"/>
    </row>
    <row r="315" spans="1:1" ht="12.5">
      <c r="A315" s="32"/>
    </row>
    <row r="316" spans="1:1" ht="12.5">
      <c r="A316" s="32"/>
    </row>
    <row r="317" spans="1:1" ht="12.5">
      <c r="A317" s="32"/>
    </row>
    <row r="318" spans="1:1" ht="12.5">
      <c r="A318" s="32"/>
    </row>
    <row r="319" spans="1:1" ht="12.5">
      <c r="A319" s="32"/>
    </row>
    <row r="320" spans="1:1" ht="12.5">
      <c r="A320" s="32"/>
    </row>
    <row r="321" spans="1:1" ht="12.5">
      <c r="A321" s="32"/>
    </row>
    <row r="322" spans="1:1" ht="12.5">
      <c r="A322" s="32"/>
    </row>
    <row r="323" spans="1:1" ht="12.5">
      <c r="A323" s="32"/>
    </row>
    <row r="324" spans="1:1" ht="12.5">
      <c r="A324" s="32"/>
    </row>
    <row r="325" spans="1:1" ht="12.5">
      <c r="A325" s="32"/>
    </row>
    <row r="326" spans="1:1" ht="12.5">
      <c r="A326" s="32"/>
    </row>
    <row r="327" spans="1:1" ht="12.5">
      <c r="A327" s="32"/>
    </row>
    <row r="328" spans="1:1" ht="12.5">
      <c r="A328" s="32"/>
    </row>
    <row r="329" spans="1:1" ht="12.5">
      <c r="A329" s="32"/>
    </row>
    <row r="330" spans="1:1" ht="12.5">
      <c r="A330" s="32"/>
    </row>
    <row r="331" spans="1:1" ht="12.5">
      <c r="A331" s="32"/>
    </row>
    <row r="332" spans="1:1" ht="12.5">
      <c r="A332" s="32"/>
    </row>
    <row r="333" spans="1:1" ht="12.5">
      <c r="A333" s="32"/>
    </row>
    <row r="334" spans="1:1" ht="12.5">
      <c r="A334" s="32"/>
    </row>
    <row r="335" spans="1:1" ht="12.5">
      <c r="A335" s="32"/>
    </row>
    <row r="336" spans="1:1" ht="12.5">
      <c r="A336" s="32"/>
    </row>
    <row r="337" spans="1:1" ht="12.5">
      <c r="A337" s="32"/>
    </row>
    <row r="338" spans="1:1" ht="12.5">
      <c r="A338" s="32"/>
    </row>
    <row r="339" spans="1:1" ht="12.5">
      <c r="A339" s="32"/>
    </row>
    <row r="340" spans="1:1" ht="12.5">
      <c r="A340" s="32"/>
    </row>
    <row r="341" spans="1:1" ht="12.5">
      <c r="A341" s="32"/>
    </row>
    <row r="342" spans="1:1" ht="12.5">
      <c r="A342" s="32"/>
    </row>
    <row r="343" spans="1:1" ht="12.5">
      <c r="A343" s="32"/>
    </row>
    <row r="344" spans="1:1" ht="12.5">
      <c r="A344" s="32"/>
    </row>
    <row r="345" spans="1:1" ht="12.5">
      <c r="A345" s="32"/>
    </row>
    <row r="346" spans="1:1" ht="12.5">
      <c r="A346" s="32"/>
    </row>
    <row r="347" spans="1:1" ht="12.5">
      <c r="A347" s="32"/>
    </row>
    <row r="348" spans="1:1" ht="12.5">
      <c r="A348" s="32"/>
    </row>
    <row r="349" spans="1:1" ht="12.5">
      <c r="A349" s="32"/>
    </row>
    <row r="350" spans="1:1" ht="12.5">
      <c r="A350" s="32"/>
    </row>
    <row r="351" spans="1:1" ht="12.5">
      <c r="A351" s="32"/>
    </row>
    <row r="352" spans="1:1" ht="12.5">
      <c r="A352" s="32"/>
    </row>
    <row r="353" spans="1:1" ht="12.5">
      <c r="A353" s="32"/>
    </row>
    <row r="354" spans="1:1" ht="12.5">
      <c r="A354" s="32"/>
    </row>
    <row r="355" spans="1:1" ht="12.5">
      <c r="A355" s="32"/>
    </row>
    <row r="356" spans="1:1" ht="12.5">
      <c r="A356" s="32"/>
    </row>
    <row r="357" spans="1:1" ht="12.5">
      <c r="A357" s="32"/>
    </row>
    <row r="358" spans="1:1" ht="12.5">
      <c r="A358" s="32"/>
    </row>
    <row r="359" spans="1:1" ht="12.5">
      <c r="A359" s="32"/>
    </row>
    <row r="360" spans="1:1" ht="12.5">
      <c r="A360" s="32"/>
    </row>
    <row r="361" spans="1:1" ht="12.5">
      <c r="A361" s="32"/>
    </row>
    <row r="362" spans="1:1" ht="12.5">
      <c r="A362" s="32"/>
    </row>
    <row r="363" spans="1:1" ht="12.5">
      <c r="A363" s="32"/>
    </row>
    <row r="364" spans="1:1" ht="12.5">
      <c r="A364" s="32"/>
    </row>
    <row r="365" spans="1:1" ht="12.5">
      <c r="A365" s="32"/>
    </row>
    <row r="366" spans="1:1" ht="12.5">
      <c r="A366" s="32"/>
    </row>
    <row r="367" spans="1:1" ht="12.5">
      <c r="A367" s="32"/>
    </row>
    <row r="368" spans="1:1" ht="12.5">
      <c r="A368" s="32"/>
    </row>
    <row r="369" spans="1:1" ht="12.5">
      <c r="A369" s="32"/>
    </row>
    <row r="370" spans="1:1" ht="12.5">
      <c r="A370" s="32"/>
    </row>
    <row r="371" spans="1:1" ht="12.5">
      <c r="A371" s="32"/>
    </row>
    <row r="372" spans="1:1" ht="12.5">
      <c r="A372" s="32"/>
    </row>
    <row r="373" spans="1:1" ht="12.5">
      <c r="A373" s="32"/>
    </row>
    <row r="374" spans="1:1" ht="12.5">
      <c r="A374" s="32"/>
    </row>
    <row r="375" spans="1:1" ht="12.5">
      <c r="A375" s="32"/>
    </row>
    <row r="376" spans="1:1" ht="12.5">
      <c r="A376" s="32"/>
    </row>
    <row r="377" spans="1:1" ht="12.5">
      <c r="A377" s="32"/>
    </row>
    <row r="378" spans="1:1" ht="12.5">
      <c r="A378" s="32"/>
    </row>
    <row r="379" spans="1:1" ht="12.5">
      <c r="A379" s="32"/>
    </row>
    <row r="380" spans="1:1" ht="12.5">
      <c r="A380" s="32"/>
    </row>
    <row r="381" spans="1:1" ht="12.5">
      <c r="A381" s="32"/>
    </row>
    <row r="382" spans="1:1" ht="12.5">
      <c r="A382" s="32"/>
    </row>
    <row r="383" spans="1:1" ht="12.5">
      <c r="A383" s="32"/>
    </row>
    <row r="384" spans="1:1" ht="12.5">
      <c r="A384" s="32"/>
    </row>
    <row r="385" spans="1:1" ht="12.5">
      <c r="A385" s="32"/>
    </row>
    <row r="386" spans="1:1" ht="12.5">
      <c r="A386" s="32"/>
    </row>
    <row r="387" spans="1:1" ht="12.5">
      <c r="A387" s="32"/>
    </row>
    <row r="388" spans="1:1" ht="12.5">
      <c r="A388" s="32"/>
    </row>
    <row r="389" spans="1:1" ht="12.5">
      <c r="A389" s="32"/>
    </row>
    <row r="390" spans="1:1" ht="12.5">
      <c r="A390" s="32"/>
    </row>
    <row r="391" spans="1:1" ht="12.5">
      <c r="A391" s="32"/>
    </row>
    <row r="392" spans="1:1" ht="12.5">
      <c r="A392" s="32"/>
    </row>
    <row r="393" spans="1:1" ht="12.5">
      <c r="A393" s="32"/>
    </row>
    <row r="394" spans="1:1" ht="12.5">
      <c r="A394" s="32"/>
    </row>
    <row r="395" spans="1:1" ht="12.5">
      <c r="A395" s="32"/>
    </row>
    <row r="396" spans="1:1" ht="12.5">
      <c r="A396" s="32"/>
    </row>
    <row r="397" spans="1:1" ht="12.5">
      <c r="A397" s="32"/>
    </row>
    <row r="398" spans="1:1" ht="12.5">
      <c r="A398" s="32"/>
    </row>
    <row r="399" spans="1:1" ht="12.5">
      <c r="A399" s="32"/>
    </row>
    <row r="400" spans="1:1" ht="12.5">
      <c r="A400" s="32"/>
    </row>
    <row r="401" spans="1:1" ht="12.5">
      <c r="A401" s="32"/>
    </row>
    <row r="402" spans="1:1" ht="12.5">
      <c r="A402" s="32"/>
    </row>
    <row r="403" spans="1:1" ht="12.5">
      <c r="A403" s="32"/>
    </row>
    <row r="404" spans="1:1" ht="12.5">
      <c r="A404" s="32"/>
    </row>
    <row r="405" spans="1:1" ht="12.5">
      <c r="A405" s="32"/>
    </row>
    <row r="406" spans="1:1" ht="12.5">
      <c r="A406" s="32"/>
    </row>
    <row r="407" spans="1:1" ht="12.5">
      <c r="A407" s="32"/>
    </row>
    <row r="408" spans="1:1" ht="12.5">
      <c r="A408" s="32"/>
    </row>
    <row r="409" spans="1:1" ht="12.5">
      <c r="A409" s="32"/>
    </row>
    <row r="410" spans="1:1" ht="12.5">
      <c r="A410" s="32"/>
    </row>
    <row r="411" spans="1:1" ht="12.5">
      <c r="A411" s="32"/>
    </row>
    <row r="412" spans="1:1" ht="12.5">
      <c r="A412" s="32"/>
    </row>
    <row r="413" spans="1:1" ht="12.5">
      <c r="A413" s="32"/>
    </row>
    <row r="414" spans="1:1" ht="12.5">
      <c r="A414" s="32"/>
    </row>
    <row r="415" spans="1:1" ht="12.5">
      <c r="A415" s="32"/>
    </row>
    <row r="416" spans="1:1" ht="12.5">
      <c r="A416" s="32"/>
    </row>
    <row r="417" spans="1:1" ht="12.5">
      <c r="A417" s="32"/>
    </row>
    <row r="418" spans="1:1" ht="12.5">
      <c r="A418" s="32"/>
    </row>
    <row r="419" spans="1:1" ht="12.5">
      <c r="A419" s="32"/>
    </row>
    <row r="420" spans="1:1" ht="12.5">
      <c r="A420" s="32"/>
    </row>
    <row r="421" spans="1:1" ht="12.5">
      <c r="A421" s="32"/>
    </row>
    <row r="422" spans="1:1" ht="12.5">
      <c r="A422" s="32"/>
    </row>
    <row r="423" spans="1:1" ht="12.5">
      <c r="A423" s="32"/>
    </row>
    <row r="424" spans="1:1" ht="12.5">
      <c r="A424" s="32"/>
    </row>
    <row r="425" spans="1:1" ht="12.5">
      <c r="A425" s="32"/>
    </row>
    <row r="426" spans="1:1" ht="12.5">
      <c r="A426" s="32"/>
    </row>
    <row r="427" spans="1:1" ht="12.5">
      <c r="A427" s="32"/>
    </row>
    <row r="428" spans="1:1" ht="12.5">
      <c r="A428" s="32"/>
    </row>
    <row r="429" spans="1:1" ht="12.5">
      <c r="A429" s="32"/>
    </row>
    <row r="430" spans="1:1" ht="12.5">
      <c r="A430" s="32"/>
    </row>
    <row r="431" spans="1:1" ht="12.5">
      <c r="A431" s="32"/>
    </row>
    <row r="432" spans="1:1" ht="12.5">
      <c r="A432" s="32"/>
    </row>
    <row r="433" spans="1:1" ht="12.5">
      <c r="A433" s="32"/>
    </row>
    <row r="434" spans="1:1" ht="12.5">
      <c r="A434" s="32"/>
    </row>
    <row r="435" spans="1:1" ht="12.5">
      <c r="A435" s="32"/>
    </row>
    <row r="436" spans="1:1" ht="12.5">
      <c r="A436" s="32"/>
    </row>
    <row r="437" spans="1:1" ht="12.5">
      <c r="A437" s="32"/>
    </row>
    <row r="438" spans="1:1" ht="12.5">
      <c r="A438" s="32"/>
    </row>
    <row r="439" spans="1:1" ht="12.5">
      <c r="A439" s="32"/>
    </row>
    <row r="440" spans="1:1" ht="12.5">
      <c r="A440" s="32"/>
    </row>
    <row r="441" spans="1:1" ht="12.5">
      <c r="A441" s="32"/>
    </row>
    <row r="442" spans="1:1" ht="12.5">
      <c r="A442" s="32"/>
    </row>
    <row r="443" spans="1:1" ht="12.5">
      <c r="A443" s="32"/>
    </row>
    <row r="444" spans="1:1" ht="12.5">
      <c r="A444" s="32"/>
    </row>
    <row r="445" spans="1:1" ht="12.5">
      <c r="A445" s="32"/>
    </row>
    <row r="446" spans="1:1" ht="12.5">
      <c r="A446" s="32"/>
    </row>
    <row r="447" spans="1:1" ht="12.5">
      <c r="A447" s="32"/>
    </row>
    <row r="448" spans="1:1" ht="12.5">
      <c r="A448" s="32"/>
    </row>
    <row r="449" spans="1:1" ht="12.5">
      <c r="A449" s="32"/>
    </row>
    <row r="450" spans="1:1" ht="12.5">
      <c r="A450" s="32"/>
    </row>
    <row r="451" spans="1:1" ht="12.5">
      <c r="A451" s="32"/>
    </row>
    <row r="452" spans="1:1" ht="12.5">
      <c r="A452" s="32"/>
    </row>
    <row r="453" spans="1:1" ht="12.5">
      <c r="A453" s="32"/>
    </row>
    <row r="454" spans="1:1" ht="12.5">
      <c r="A454" s="32"/>
    </row>
    <row r="455" spans="1:1" ht="12.5">
      <c r="A455" s="32"/>
    </row>
    <row r="456" spans="1:1" ht="12.5">
      <c r="A456" s="32"/>
    </row>
    <row r="457" spans="1:1" ht="12.5">
      <c r="A457" s="32"/>
    </row>
    <row r="458" spans="1:1" ht="12.5">
      <c r="A458" s="32"/>
    </row>
    <row r="459" spans="1:1" ht="12.5">
      <c r="A459" s="32"/>
    </row>
    <row r="460" spans="1:1" ht="12.5">
      <c r="A460" s="32"/>
    </row>
    <row r="461" spans="1:1" ht="12.5">
      <c r="A461" s="32"/>
    </row>
    <row r="462" spans="1:1" ht="12.5">
      <c r="A462" s="32"/>
    </row>
    <row r="463" spans="1:1" ht="12.5">
      <c r="A463" s="32"/>
    </row>
    <row r="464" spans="1:1" ht="12.5">
      <c r="A464" s="32"/>
    </row>
    <row r="465" spans="1:1" ht="12.5">
      <c r="A465" s="32"/>
    </row>
    <row r="466" spans="1:1" ht="12.5">
      <c r="A466" s="32"/>
    </row>
    <row r="467" spans="1:1" ht="12.5">
      <c r="A467" s="32"/>
    </row>
    <row r="468" spans="1:1" ht="12.5">
      <c r="A468" s="32"/>
    </row>
    <row r="469" spans="1:1" ht="12.5">
      <c r="A469" s="32"/>
    </row>
    <row r="470" spans="1:1" ht="12.5">
      <c r="A470" s="32"/>
    </row>
    <row r="471" spans="1:1" ht="12.5">
      <c r="A471" s="32"/>
    </row>
    <row r="472" spans="1:1" ht="12.5">
      <c r="A472" s="32"/>
    </row>
    <row r="473" spans="1:1" ht="12.5">
      <c r="A473" s="32"/>
    </row>
    <row r="474" spans="1:1" ht="12.5">
      <c r="A474" s="32"/>
    </row>
    <row r="475" spans="1:1" ht="12.5">
      <c r="A475" s="32"/>
    </row>
    <row r="476" spans="1:1" ht="12.5">
      <c r="A476" s="32"/>
    </row>
    <row r="477" spans="1:1" ht="12.5">
      <c r="A477" s="32"/>
    </row>
    <row r="478" spans="1:1" ht="12.5">
      <c r="A478" s="32"/>
    </row>
    <row r="479" spans="1:1" ht="12.5">
      <c r="A479" s="32"/>
    </row>
    <row r="480" spans="1:1" ht="12.5">
      <c r="A480" s="32"/>
    </row>
    <row r="481" spans="1:1" ht="12.5">
      <c r="A481" s="32"/>
    </row>
    <row r="482" spans="1:1" ht="12.5">
      <c r="A482" s="32"/>
    </row>
    <row r="483" spans="1:1" ht="12.5">
      <c r="A483" s="32"/>
    </row>
    <row r="484" spans="1:1" ht="12.5">
      <c r="A484" s="32"/>
    </row>
    <row r="485" spans="1:1" ht="12.5">
      <c r="A485" s="32"/>
    </row>
    <row r="486" spans="1:1" ht="12.5">
      <c r="A486" s="32"/>
    </row>
    <row r="487" spans="1:1" ht="12.5">
      <c r="A487" s="32"/>
    </row>
    <row r="488" spans="1:1" ht="12.5">
      <c r="A488" s="32"/>
    </row>
    <row r="489" spans="1:1" ht="12.5">
      <c r="A489" s="32"/>
    </row>
    <row r="490" spans="1:1" ht="12.5">
      <c r="A490" s="32"/>
    </row>
    <row r="491" spans="1:1" ht="12.5">
      <c r="A491" s="32"/>
    </row>
    <row r="492" spans="1:1" ht="12.5">
      <c r="A492" s="32"/>
    </row>
    <row r="493" spans="1:1" ht="12.5">
      <c r="A493" s="32"/>
    </row>
    <row r="494" spans="1:1" ht="12.5">
      <c r="A494" s="32"/>
    </row>
    <row r="495" spans="1:1" ht="12.5">
      <c r="A495" s="32"/>
    </row>
    <row r="496" spans="1:1" ht="12.5">
      <c r="A496" s="32"/>
    </row>
    <row r="497" spans="1:1" ht="12.5">
      <c r="A497" s="32"/>
    </row>
    <row r="498" spans="1:1" ht="12.5">
      <c r="A498" s="32"/>
    </row>
    <row r="499" spans="1:1" ht="12.5">
      <c r="A499" s="32"/>
    </row>
    <row r="500" spans="1:1" ht="12.5">
      <c r="A500" s="32"/>
    </row>
    <row r="501" spans="1:1" ht="12.5">
      <c r="A501" s="32"/>
    </row>
    <row r="502" spans="1:1" ht="12.5">
      <c r="A502" s="32"/>
    </row>
    <row r="503" spans="1:1" ht="12.5">
      <c r="A503" s="32"/>
    </row>
    <row r="504" spans="1:1" ht="12.5">
      <c r="A504" s="32"/>
    </row>
    <row r="505" spans="1:1" ht="12.5">
      <c r="A505" s="32"/>
    </row>
    <row r="506" spans="1:1" ht="12.5">
      <c r="A506" s="32"/>
    </row>
    <row r="507" spans="1:1" ht="12.5">
      <c r="A507" s="32"/>
    </row>
    <row r="508" spans="1:1" ht="12.5">
      <c r="A508" s="32"/>
    </row>
    <row r="509" spans="1:1" ht="12.5">
      <c r="A509" s="32"/>
    </row>
    <row r="510" spans="1:1" ht="12.5">
      <c r="A510" s="32"/>
    </row>
    <row r="511" spans="1:1" ht="12.5">
      <c r="A511" s="32"/>
    </row>
    <row r="512" spans="1:1" ht="12.5">
      <c r="A512" s="32"/>
    </row>
    <row r="513" spans="1:1" ht="12.5">
      <c r="A513" s="32"/>
    </row>
    <row r="514" spans="1:1" ht="12.5">
      <c r="A514" s="32"/>
    </row>
    <row r="515" spans="1:1" ht="12.5">
      <c r="A515" s="32"/>
    </row>
    <row r="516" spans="1:1" ht="12.5">
      <c r="A516" s="32"/>
    </row>
    <row r="517" spans="1:1" ht="12.5">
      <c r="A517" s="32"/>
    </row>
    <row r="518" spans="1:1" ht="12.5">
      <c r="A518" s="32"/>
    </row>
    <row r="519" spans="1:1" ht="12.5">
      <c r="A519" s="32"/>
    </row>
    <row r="520" spans="1:1" ht="12.5">
      <c r="A520" s="32"/>
    </row>
    <row r="521" spans="1:1" ht="12.5">
      <c r="A521" s="32"/>
    </row>
    <row r="522" spans="1:1" ht="12.5">
      <c r="A522" s="32"/>
    </row>
    <row r="523" spans="1:1" ht="12.5">
      <c r="A523" s="32"/>
    </row>
    <row r="524" spans="1:1" ht="12.5">
      <c r="A524" s="32"/>
    </row>
    <row r="525" spans="1:1" ht="12.5">
      <c r="A525" s="32"/>
    </row>
    <row r="526" spans="1:1" ht="12.5">
      <c r="A526" s="32"/>
    </row>
    <row r="527" spans="1:1" ht="12.5">
      <c r="A527" s="32"/>
    </row>
    <row r="528" spans="1:1" ht="12.5">
      <c r="A528" s="32"/>
    </row>
    <row r="529" spans="1:1" ht="12.5">
      <c r="A529" s="32"/>
    </row>
    <row r="530" spans="1:1" ht="12.5">
      <c r="A530" s="32"/>
    </row>
    <row r="531" spans="1:1" ht="12.5">
      <c r="A531" s="32"/>
    </row>
    <row r="532" spans="1:1" ht="12.5">
      <c r="A532" s="32"/>
    </row>
    <row r="533" spans="1:1" ht="12.5">
      <c r="A533" s="32"/>
    </row>
    <row r="534" spans="1:1" ht="12.5">
      <c r="A534" s="32"/>
    </row>
    <row r="535" spans="1:1" ht="12.5">
      <c r="A535" s="32"/>
    </row>
    <row r="536" spans="1:1" ht="12.5">
      <c r="A536" s="32"/>
    </row>
    <row r="537" spans="1:1" ht="12.5">
      <c r="A537" s="32"/>
    </row>
    <row r="538" spans="1:1" ht="12.5">
      <c r="A538" s="32"/>
    </row>
    <row r="539" spans="1:1" ht="12.5">
      <c r="A539" s="32"/>
    </row>
    <row r="540" spans="1:1" ht="12.5">
      <c r="A540" s="32"/>
    </row>
    <row r="541" spans="1:1" ht="12.5">
      <c r="A541" s="32"/>
    </row>
    <row r="542" spans="1:1" ht="12.5">
      <c r="A542" s="32"/>
    </row>
    <row r="543" spans="1:1" ht="12.5">
      <c r="A543" s="32"/>
    </row>
    <row r="544" spans="1:1" ht="12.5">
      <c r="A544" s="32"/>
    </row>
    <row r="545" spans="1:1" ht="12.5">
      <c r="A545" s="32"/>
    </row>
    <row r="546" spans="1:1" ht="12.5">
      <c r="A546" s="32"/>
    </row>
    <row r="547" spans="1:1" ht="12.5">
      <c r="A547" s="32"/>
    </row>
    <row r="548" spans="1:1" ht="12.5">
      <c r="A548" s="32"/>
    </row>
    <row r="549" spans="1:1" ht="12.5">
      <c r="A549" s="32"/>
    </row>
    <row r="550" spans="1:1" ht="12.5">
      <c r="A550" s="32"/>
    </row>
    <row r="551" spans="1:1" ht="12.5">
      <c r="A551" s="32"/>
    </row>
    <row r="552" spans="1:1" ht="12.5">
      <c r="A552" s="32"/>
    </row>
    <row r="553" spans="1:1" ht="12.5">
      <c r="A553" s="32"/>
    </row>
    <row r="554" spans="1:1" ht="12.5">
      <c r="A554" s="32"/>
    </row>
    <row r="555" spans="1:1" ht="12.5">
      <c r="A555" s="32"/>
    </row>
    <row r="556" spans="1:1" ht="12.5">
      <c r="A556" s="32"/>
    </row>
    <row r="557" spans="1:1" ht="12.5">
      <c r="A557" s="32"/>
    </row>
    <row r="558" spans="1:1" ht="12.5">
      <c r="A558" s="32"/>
    </row>
    <row r="559" spans="1:1" ht="12.5">
      <c r="A559" s="32"/>
    </row>
    <row r="560" spans="1:1" ht="12.5">
      <c r="A560" s="32"/>
    </row>
    <row r="561" spans="1:1" ht="12.5">
      <c r="A561" s="32"/>
    </row>
    <row r="562" spans="1:1" ht="12.5">
      <c r="A562" s="32"/>
    </row>
    <row r="563" spans="1:1" ht="12.5">
      <c r="A563" s="32"/>
    </row>
    <row r="564" spans="1:1" ht="12.5">
      <c r="A564" s="32"/>
    </row>
    <row r="565" spans="1:1" ht="12.5">
      <c r="A565" s="32"/>
    </row>
    <row r="566" spans="1:1" ht="12.5">
      <c r="A566" s="32"/>
    </row>
    <row r="567" spans="1:1" ht="12.5">
      <c r="A567" s="32"/>
    </row>
    <row r="568" spans="1:1" ht="12.5">
      <c r="A568" s="32"/>
    </row>
    <row r="569" spans="1:1" ht="12.5">
      <c r="A569" s="32"/>
    </row>
    <row r="570" spans="1:1" ht="12.5">
      <c r="A570" s="32"/>
    </row>
    <row r="571" spans="1:1" ht="12.5">
      <c r="A571" s="32"/>
    </row>
    <row r="572" spans="1:1" ht="12.5">
      <c r="A572" s="32"/>
    </row>
    <row r="573" spans="1:1" ht="12.5">
      <c r="A573" s="32"/>
    </row>
    <row r="574" spans="1:1" ht="12.5">
      <c r="A574" s="32"/>
    </row>
    <row r="575" spans="1:1" ht="12.5">
      <c r="A575" s="32"/>
    </row>
    <row r="576" spans="1:1" ht="12.5">
      <c r="A576" s="32"/>
    </row>
    <row r="577" spans="1:1" ht="12.5">
      <c r="A577" s="32"/>
    </row>
    <row r="578" spans="1:1" ht="12.5">
      <c r="A578" s="32"/>
    </row>
    <row r="579" spans="1:1" ht="12.5">
      <c r="A579" s="32"/>
    </row>
    <row r="580" spans="1:1" ht="12.5">
      <c r="A580" s="32"/>
    </row>
    <row r="581" spans="1:1" ht="12.5">
      <c r="A581" s="32"/>
    </row>
    <row r="582" spans="1:1" ht="12.5">
      <c r="A582" s="32"/>
    </row>
    <row r="583" spans="1:1" ht="12.5">
      <c r="A583" s="32"/>
    </row>
    <row r="584" spans="1:1" ht="12.5">
      <c r="A584" s="32"/>
    </row>
    <row r="585" spans="1:1" ht="12.5">
      <c r="A585" s="32"/>
    </row>
    <row r="586" spans="1:1" ht="12.5">
      <c r="A586" s="32"/>
    </row>
    <row r="587" spans="1:1" ht="12.5">
      <c r="A587" s="32"/>
    </row>
    <row r="588" spans="1:1" ht="12.5">
      <c r="A588" s="32"/>
    </row>
    <row r="589" spans="1:1" ht="12.5">
      <c r="A589" s="32"/>
    </row>
    <row r="590" spans="1:1" ht="12.5">
      <c r="A590" s="32"/>
    </row>
    <row r="591" spans="1:1" ht="12.5">
      <c r="A591" s="32"/>
    </row>
    <row r="592" spans="1:1" ht="12.5">
      <c r="A592" s="32"/>
    </row>
    <row r="593" spans="1:1" ht="12.5">
      <c r="A593" s="32"/>
    </row>
    <row r="594" spans="1:1" ht="12.5">
      <c r="A594" s="32"/>
    </row>
    <row r="595" spans="1:1" ht="12.5">
      <c r="A595" s="32"/>
    </row>
    <row r="596" spans="1:1" ht="12.5">
      <c r="A596" s="32"/>
    </row>
    <row r="597" spans="1:1" ht="12.5">
      <c r="A597" s="32"/>
    </row>
    <row r="598" spans="1:1" ht="12.5">
      <c r="A598" s="32"/>
    </row>
    <row r="599" spans="1:1" ht="12.5">
      <c r="A599" s="32"/>
    </row>
    <row r="600" spans="1:1" ht="12.5">
      <c r="A600" s="32"/>
    </row>
    <row r="601" spans="1:1" ht="12.5">
      <c r="A601" s="32"/>
    </row>
    <row r="602" spans="1:1" ht="12.5">
      <c r="A602" s="32"/>
    </row>
    <row r="603" spans="1:1" ht="12.5">
      <c r="A603" s="32"/>
    </row>
    <row r="604" spans="1:1" ht="12.5">
      <c r="A604" s="32"/>
    </row>
    <row r="605" spans="1:1" ht="12.5">
      <c r="A605" s="32"/>
    </row>
    <row r="606" spans="1:1" ht="12.5">
      <c r="A606" s="32"/>
    </row>
    <row r="607" spans="1:1" ht="12.5">
      <c r="A607" s="32"/>
    </row>
    <row r="608" spans="1:1" ht="12.5">
      <c r="A608" s="32"/>
    </row>
    <row r="609" spans="1:1" ht="12.5">
      <c r="A609" s="32"/>
    </row>
    <row r="610" spans="1:1" ht="12.5">
      <c r="A610" s="32"/>
    </row>
    <row r="611" spans="1:1" ht="12.5">
      <c r="A611" s="32"/>
    </row>
    <row r="612" spans="1:1" ht="12.5">
      <c r="A612" s="32"/>
    </row>
    <row r="613" spans="1:1" ht="12.5">
      <c r="A613" s="32"/>
    </row>
    <row r="614" spans="1:1" ht="12.5">
      <c r="A614" s="32"/>
    </row>
    <row r="615" spans="1:1" ht="12.5">
      <c r="A615" s="32"/>
    </row>
    <row r="616" spans="1:1" ht="12.5">
      <c r="A616" s="32"/>
    </row>
    <row r="617" spans="1:1" ht="12.5">
      <c r="A617" s="32"/>
    </row>
    <row r="618" spans="1:1" ht="12.5">
      <c r="A618" s="32"/>
    </row>
    <row r="619" spans="1:1" ht="12.5">
      <c r="A619" s="32"/>
    </row>
    <row r="620" spans="1:1" ht="12.5">
      <c r="A620" s="32"/>
    </row>
    <row r="621" spans="1:1" ht="12.5">
      <c r="A621" s="32"/>
    </row>
    <row r="622" spans="1:1" ht="12.5">
      <c r="A622" s="32"/>
    </row>
    <row r="623" spans="1:1" ht="12.5">
      <c r="A623" s="32"/>
    </row>
    <row r="624" spans="1:1" ht="12.5">
      <c r="A624" s="32"/>
    </row>
    <row r="625" spans="1:1" ht="12.5">
      <c r="A625" s="32"/>
    </row>
    <row r="626" spans="1:1" ht="12.5">
      <c r="A626" s="32"/>
    </row>
    <row r="627" spans="1:1" ht="12.5">
      <c r="A627" s="32"/>
    </row>
    <row r="628" spans="1:1" ht="12.5">
      <c r="A628" s="32"/>
    </row>
    <row r="629" spans="1:1" ht="12.5">
      <c r="A629" s="32"/>
    </row>
    <row r="630" spans="1:1" ht="12.5">
      <c r="A630" s="32"/>
    </row>
    <row r="631" spans="1:1" ht="12.5">
      <c r="A631" s="32"/>
    </row>
    <row r="632" spans="1:1" ht="12.5">
      <c r="A632" s="32"/>
    </row>
    <row r="633" spans="1:1" ht="12.5">
      <c r="A633" s="32"/>
    </row>
    <row r="634" spans="1:1" ht="12.5">
      <c r="A634" s="32"/>
    </row>
    <row r="635" spans="1:1" ht="12.5">
      <c r="A635" s="32"/>
    </row>
    <row r="636" spans="1:1" ht="12.5">
      <c r="A636" s="32"/>
    </row>
    <row r="637" spans="1:1" ht="12.5">
      <c r="A637" s="32"/>
    </row>
    <row r="638" spans="1:1" ht="12.5">
      <c r="A638" s="32"/>
    </row>
    <row r="639" spans="1:1" ht="12.5">
      <c r="A639" s="32"/>
    </row>
    <row r="640" spans="1:1" ht="12.5">
      <c r="A640" s="32"/>
    </row>
    <row r="641" spans="1:1" ht="12.5">
      <c r="A641" s="32"/>
    </row>
    <row r="642" spans="1:1" ht="12.5">
      <c r="A642" s="32"/>
    </row>
    <row r="643" spans="1:1" ht="12.5">
      <c r="A643" s="32"/>
    </row>
    <row r="644" spans="1:1" ht="12.5">
      <c r="A644" s="32"/>
    </row>
    <row r="645" spans="1:1" ht="12.5">
      <c r="A645" s="32"/>
    </row>
    <row r="646" spans="1:1" ht="12.5">
      <c r="A646" s="32"/>
    </row>
    <row r="647" spans="1:1" ht="12.5">
      <c r="A647" s="32"/>
    </row>
    <row r="648" spans="1:1" ht="12.5">
      <c r="A648" s="32"/>
    </row>
    <row r="649" spans="1:1" ht="12.5">
      <c r="A649" s="32"/>
    </row>
    <row r="650" spans="1:1" ht="12.5">
      <c r="A650" s="32"/>
    </row>
    <row r="651" spans="1:1" ht="12.5">
      <c r="A651" s="32"/>
    </row>
    <row r="652" spans="1:1" ht="12.5">
      <c r="A652" s="32"/>
    </row>
    <row r="653" spans="1:1" ht="12.5">
      <c r="A653" s="32"/>
    </row>
    <row r="654" spans="1:1" ht="12.5">
      <c r="A654" s="32"/>
    </row>
    <row r="655" spans="1:1" ht="12.5">
      <c r="A655" s="32"/>
    </row>
    <row r="656" spans="1:1" ht="12.5">
      <c r="A656" s="32"/>
    </row>
    <row r="657" spans="1:1" ht="12.5">
      <c r="A657" s="32"/>
    </row>
    <row r="658" spans="1:1" ht="12.5">
      <c r="A658" s="32"/>
    </row>
    <row r="659" spans="1:1" ht="12.5">
      <c r="A659" s="32"/>
    </row>
    <row r="660" spans="1:1" ht="12.5">
      <c r="A660" s="32"/>
    </row>
    <row r="661" spans="1:1" ht="12.5">
      <c r="A661" s="32"/>
    </row>
    <row r="662" spans="1:1" ht="12.5">
      <c r="A662" s="32"/>
    </row>
    <row r="663" spans="1:1" ht="12.5">
      <c r="A663" s="32"/>
    </row>
    <row r="664" spans="1:1" ht="12.5">
      <c r="A664" s="32"/>
    </row>
    <row r="665" spans="1:1" ht="12.5">
      <c r="A665" s="32"/>
    </row>
    <row r="666" spans="1:1" ht="12.5">
      <c r="A666" s="32"/>
    </row>
    <row r="667" spans="1:1" ht="12.5">
      <c r="A667" s="32"/>
    </row>
    <row r="668" spans="1:1" ht="12.5">
      <c r="A668" s="32"/>
    </row>
    <row r="669" spans="1:1" ht="12.5">
      <c r="A669" s="32"/>
    </row>
    <row r="670" spans="1:1" ht="12.5">
      <c r="A670" s="32"/>
    </row>
    <row r="671" spans="1:1" ht="12.5">
      <c r="A671" s="32"/>
    </row>
    <row r="672" spans="1:1" ht="12.5">
      <c r="A672" s="32"/>
    </row>
    <row r="673" spans="1:1" ht="12.5">
      <c r="A673" s="32"/>
    </row>
    <row r="674" spans="1:1" ht="12.5">
      <c r="A674" s="32"/>
    </row>
    <row r="675" spans="1:1" ht="12.5">
      <c r="A675" s="32"/>
    </row>
    <row r="676" spans="1:1" ht="12.5">
      <c r="A676" s="32"/>
    </row>
    <row r="677" spans="1:1" ht="12.5">
      <c r="A677" s="32"/>
    </row>
    <row r="678" spans="1:1" ht="12.5">
      <c r="A678" s="32"/>
    </row>
    <row r="679" spans="1:1" ht="12.5">
      <c r="A679" s="32"/>
    </row>
    <row r="680" spans="1:1" ht="12.5">
      <c r="A680" s="32"/>
    </row>
    <row r="681" spans="1:1" ht="12.5">
      <c r="A681" s="32"/>
    </row>
    <row r="682" spans="1:1" ht="12.5">
      <c r="A682" s="32"/>
    </row>
    <row r="683" spans="1:1" ht="12.5">
      <c r="A683" s="32"/>
    </row>
    <row r="684" spans="1:1" ht="12.5">
      <c r="A684" s="32"/>
    </row>
    <row r="685" spans="1:1" ht="12.5">
      <c r="A685" s="32"/>
    </row>
    <row r="686" spans="1:1" ht="12.5">
      <c r="A686" s="32"/>
    </row>
    <row r="687" spans="1:1" ht="12.5">
      <c r="A687" s="32"/>
    </row>
    <row r="688" spans="1:1" ht="12.5">
      <c r="A688" s="32"/>
    </row>
    <row r="689" spans="1:1" ht="12.5">
      <c r="A689" s="32"/>
    </row>
    <row r="690" spans="1:1" ht="12.5">
      <c r="A690" s="32"/>
    </row>
    <row r="691" spans="1:1" ht="12.5">
      <c r="A691" s="32"/>
    </row>
    <row r="692" spans="1:1" ht="12.5">
      <c r="A692" s="32"/>
    </row>
    <row r="693" spans="1:1" ht="12.5">
      <c r="A693" s="32"/>
    </row>
    <row r="694" spans="1:1" ht="12.5">
      <c r="A694" s="32"/>
    </row>
    <row r="695" spans="1:1" ht="12.5">
      <c r="A695" s="32"/>
    </row>
    <row r="696" spans="1:1" ht="12.5">
      <c r="A696" s="32"/>
    </row>
    <row r="697" spans="1:1" ht="12.5">
      <c r="A697" s="32"/>
    </row>
    <row r="698" spans="1:1" ht="12.5">
      <c r="A698" s="32"/>
    </row>
    <row r="699" spans="1:1" ht="12.5">
      <c r="A699" s="32"/>
    </row>
    <row r="700" spans="1:1" ht="12.5">
      <c r="A700" s="32"/>
    </row>
    <row r="701" spans="1:1" ht="12.5">
      <c r="A701" s="32"/>
    </row>
    <row r="702" spans="1:1" ht="12.5">
      <c r="A702" s="32"/>
    </row>
    <row r="703" spans="1:1" ht="12.5">
      <c r="A703" s="32"/>
    </row>
    <row r="704" spans="1:1" ht="12.5">
      <c r="A704" s="32"/>
    </row>
    <row r="705" spans="1:1" ht="12.5">
      <c r="A705" s="32"/>
    </row>
    <row r="706" spans="1:1" ht="12.5">
      <c r="A706" s="32"/>
    </row>
    <row r="707" spans="1:1" ht="12.5">
      <c r="A707" s="32"/>
    </row>
    <row r="708" spans="1:1" ht="12.5">
      <c r="A708" s="32"/>
    </row>
    <row r="709" spans="1:1" ht="12.5">
      <c r="A709" s="32"/>
    </row>
    <row r="710" spans="1:1" ht="12.5">
      <c r="A710" s="32"/>
    </row>
    <row r="711" spans="1:1" ht="12.5">
      <c r="A711" s="32"/>
    </row>
    <row r="712" spans="1:1" ht="12.5">
      <c r="A712" s="32"/>
    </row>
    <row r="713" spans="1:1" ht="12.5">
      <c r="A713" s="32"/>
    </row>
    <row r="714" spans="1:1" ht="12.5">
      <c r="A714" s="32"/>
    </row>
    <row r="715" spans="1:1" ht="12.5">
      <c r="A715" s="32"/>
    </row>
    <row r="716" spans="1:1" ht="12.5">
      <c r="A716" s="32"/>
    </row>
    <row r="717" spans="1:1" ht="12.5">
      <c r="A717" s="32"/>
    </row>
    <row r="718" spans="1:1" ht="12.5">
      <c r="A718" s="32"/>
    </row>
    <row r="719" spans="1:1" ht="12.5">
      <c r="A719" s="32"/>
    </row>
    <row r="720" spans="1:1" ht="12.5">
      <c r="A720" s="32"/>
    </row>
    <row r="721" spans="1:1" ht="12.5">
      <c r="A721" s="32"/>
    </row>
    <row r="722" spans="1:1" ht="12.5">
      <c r="A722" s="32"/>
    </row>
    <row r="723" spans="1:1" ht="12.5">
      <c r="A723" s="32"/>
    </row>
    <row r="724" spans="1:1" ht="12.5">
      <c r="A724" s="32"/>
    </row>
    <row r="725" spans="1:1" ht="12.5">
      <c r="A725" s="32"/>
    </row>
    <row r="726" spans="1:1" ht="12.5">
      <c r="A726" s="32"/>
    </row>
    <row r="727" spans="1:1" ht="12.5">
      <c r="A727" s="32"/>
    </row>
    <row r="728" spans="1:1" ht="12.5">
      <c r="A728" s="32"/>
    </row>
    <row r="729" spans="1:1" ht="12.5">
      <c r="A729" s="32"/>
    </row>
    <row r="730" spans="1:1" ht="12.5">
      <c r="A730" s="32"/>
    </row>
    <row r="731" spans="1:1" ht="12.5">
      <c r="A731" s="32"/>
    </row>
    <row r="732" spans="1:1" ht="12.5">
      <c r="A732" s="32"/>
    </row>
    <row r="733" spans="1:1" ht="12.5">
      <c r="A733" s="32"/>
    </row>
    <row r="734" spans="1:1" ht="12.5">
      <c r="A734" s="32"/>
    </row>
    <row r="735" spans="1:1" ht="12.5">
      <c r="A735" s="32"/>
    </row>
    <row r="736" spans="1:1" ht="12.5">
      <c r="A736" s="32"/>
    </row>
    <row r="737" spans="1:1" ht="12.5">
      <c r="A737" s="32"/>
    </row>
    <row r="738" spans="1:1" ht="12.5">
      <c r="A738" s="32"/>
    </row>
    <row r="739" spans="1:1" ht="12.5">
      <c r="A739" s="32"/>
    </row>
    <row r="740" spans="1:1" ht="12.5">
      <c r="A740" s="32"/>
    </row>
    <row r="741" spans="1:1" ht="12.5">
      <c r="A741" s="32"/>
    </row>
    <row r="742" spans="1:1" ht="12.5">
      <c r="A742" s="32"/>
    </row>
    <row r="743" spans="1:1" ht="12.5">
      <c r="A743" s="32"/>
    </row>
    <row r="744" spans="1:1" ht="12.5">
      <c r="A744" s="32"/>
    </row>
    <row r="745" spans="1:1" ht="12.5">
      <c r="A745" s="32"/>
    </row>
    <row r="746" spans="1:1" ht="12.5">
      <c r="A746" s="32"/>
    </row>
    <row r="747" spans="1:1" ht="12.5">
      <c r="A747" s="32"/>
    </row>
    <row r="748" spans="1:1" ht="12.5">
      <c r="A748" s="32"/>
    </row>
    <row r="749" spans="1:1" ht="12.5">
      <c r="A749" s="32"/>
    </row>
    <row r="750" spans="1:1" ht="12.5">
      <c r="A750" s="32"/>
    </row>
    <row r="751" spans="1:1" ht="12.5">
      <c r="A751" s="32"/>
    </row>
    <row r="752" spans="1:1" ht="12.5">
      <c r="A752" s="32"/>
    </row>
    <row r="753" spans="1:1" ht="12.5">
      <c r="A753" s="32"/>
    </row>
    <row r="754" spans="1:1" ht="12.5">
      <c r="A754" s="32"/>
    </row>
    <row r="755" spans="1:1" ht="12.5">
      <c r="A755" s="32"/>
    </row>
    <row r="756" spans="1:1" ht="12.5">
      <c r="A756" s="32"/>
    </row>
    <row r="757" spans="1:1" ht="12.5">
      <c r="A757" s="32"/>
    </row>
    <row r="758" spans="1:1" ht="12.5">
      <c r="A758" s="32"/>
    </row>
    <row r="759" spans="1:1" ht="12.5">
      <c r="A759" s="32"/>
    </row>
    <row r="760" spans="1:1" ht="12.5">
      <c r="A760" s="32"/>
    </row>
    <row r="761" spans="1:1" ht="12.5">
      <c r="A761" s="32"/>
    </row>
    <row r="762" spans="1:1" ht="12.5">
      <c r="A762" s="32"/>
    </row>
    <row r="763" spans="1:1" ht="12.5">
      <c r="A763" s="32"/>
    </row>
    <row r="764" spans="1:1" ht="12.5">
      <c r="A764" s="32"/>
    </row>
    <row r="765" spans="1:1" ht="12.5">
      <c r="A765" s="32"/>
    </row>
    <row r="766" spans="1:1" ht="12.5">
      <c r="A766" s="32"/>
    </row>
    <row r="767" spans="1:1" ht="12.5">
      <c r="A767" s="32"/>
    </row>
    <row r="768" spans="1:1" ht="12.5">
      <c r="A768" s="32"/>
    </row>
    <row r="769" spans="1:1" ht="12.5">
      <c r="A769" s="32"/>
    </row>
    <row r="770" spans="1:1" ht="12.5">
      <c r="A770" s="32"/>
    </row>
    <row r="771" spans="1:1" ht="12.5">
      <c r="A771" s="32"/>
    </row>
    <row r="772" spans="1:1" ht="12.5">
      <c r="A772" s="32"/>
    </row>
    <row r="773" spans="1:1" ht="12.5">
      <c r="A773" s="32"/>
    </row>
    <row r="774" spans="1:1" ht="12.5">
      <c r="A774" s="32"/>
    </row>
    <row r="775" spans="1:1" ht="12.5">
      <c r="A775" s="32"/>
    </row>
    <row r="776" spans="1:1" ht="12.5">
      <c r="A776" s="32"/>
    </row>
    <row r="777" spans="1:1" ht="12.5">
      <c r="A777" s="32"/>
    </row>
    <row r="778" spans="1:1" ht="12.5">
      <c r="A778" s="32"/>
    </row>
    <row r="779" spans="1:1" ht="12.5">
      <c r="A779" s="32"/>
    </row>
    <row r="780" spans="1:1" ht="12.5">
      <c r="A780" s="32"/>
    </row>
    <row r="781" spans="1:1" ht="12.5">
      <c r="A781" s="32"/>
    </row>
    <row r="782" spans="1:1" ht="12.5">
      <c r="A782" s="32"/>
    </row>
    <row r="783" spans="1:1" ht="12.5">
      <c r="A783" s="32"/>
    </row>
    <row r="784" spans="1:1" ht="12.5">
      <c r="A784" s="32"/>
    </row>
    <row r="785" spans="1:1" ht="12.5">
      <c r="A785" s="32"/>
    </row>
    <row r="786" spans="1:1" ht="12.5">
      <c r="A786" s="32"/>
    </row>
    <row r="787" spans="1:1" ht="12.5">
      <c r="A787" s="32"/>
    </row>
    <row r="788" spans="1:1" ht="12.5">
      <c r="A788" s="32"/>
    </row>
    <row r="789" spans="1:1" ht="12.5">
      <c r="A789" s="32"/>
    </row>
    <row r="790" spans="1:1" ht="12.5">
      <c r="A790" s="32"/>
    </row>
    <row r="791" spans="1:1" ht="12.5">
      <c r="A791" s="32"/>
    </row>
    <row r="792" spans="1:1" ht="12.5">
      <c r="A792" s="32"/>
    </row>
    <row r="793" spans="1:1" ht="12.5">
      <c r="A793" s="32"/>
    </row>
    <row r="794" spans="1:1" ht="12.5">
      <c r="A794" s="32"/>
    </row>
    <row r="795" spans="1:1" ht="12.5">
      <c r="A795" s="32"/>
    </row>
    <row r="796" spans="1:1" ht="12.5">
      <c r="A796" s="32"/>
    </row>
    <row r="797" spans="1:1" ht="12.5">
      <c r="A797" s="32"/>
    </row>
    <row r="798" spans="1:1" ht="12.5">
      <c r="A798" s="32"/>
    </row>
    <row r="799" spans="1:1" ht="12.5">
      <c r="A799" s="32"/>
    </row>
    <row r="800" spans="1:1" ht="12.5">
      <c r="A800" s="32"/>
    </row>
    <row r="801" spans="1:1" ht="12.5">
      <c r="A801" s="32"/>
    </row>
    <row r="802" spans="1:1" ht="12.5">
      <c r="A802" s="32"/>
    </row>
    <row r="803" spans="1:1" ht="12.5">
      <c r="A803" s="32"/>
    </row>
    <row r="804" spans="1:1" ht="12.5">
      <c r="A804" s="32"/>
    </row>
    <row r="805" spans="1:1" ht="12.5">
      <c r="A805" s="32"/>
    </row>
    <row r="806" spans="1:1" ht="12.5">
      <c r="A806" s="32"/>
    </row>
    <row r="807" spans="1:1" ht="12.5">
      <c r="A807" s="32"/>
    </row>
    <row r="808" spans="1:1" ht="12.5">
      <c r="A808" s="32"/>
    </row>
    <row r="809" spans="1:1" ht="12.5">
      <c r="A809" s="32"/>
    </row>
    <row r="810" spans="1:1" ht="12.5">
      <c r="A810" s="32"/>
    </row>
    <row r="811" spans="1:1" ht="12.5">
      <c r="A811" s="32"/>
    </row>
    <row r="812" spans="1:1" ht="12.5">
      <c r="A812" s="32"/>
    </row>
    <row r="813" spans="1:1" ht="12.5">
      <c r="A813" s="32"/>
    </row>
    <row r="814" spans="1:1" ht="12.5">
      <c r="A814" s="32"/>
    </row>
    <row r="815" spans="1:1" ht="12.5">
      <c r="A815" s="32"/>
    </row>
    <row r="816" spans="1:1" ht="12.5">
      <c r="A816" s="32"/>
    </row>
    <row r="817" spans="1:1" ht="12.5">
      <c r="A817" s="32"/>
    </row>
    <row r="818" spans="1:1" ht="12.5">
      <c r="A818" s="32"/>
    </row>
    <row r="819" spans="1:1" ht="12.5">
      <c r="A819" s="32"/>
    </row>
    <row r="820" spans="1:1" ht="12.5">
      <c r="A820" s="32"/>
    </row>
    <row r="821" spans="1:1" ht="12.5">
      <c r="A821" s="32"/>
    </row>
    <row r="822" spans="1:1" ht="12.5">
      <c r="A822" s="32"/>
    </row>
    <row r="823" spans="1:1" ht="12.5">
      <c r="A823" s="32"/>
    </row>
    <row r="824" spans="1:1" ht="12.5">
      <c r="A824" s="32"/>
    </row>
    <row r="825" spans="1:1" ht="12.5">
      <c r="A825" s="32"/>
    </row>
    <row r="826" spans="1:1" ht="12.5">
      <c r="A826" s="32"/>
    </row>
    <row r="827" spans="1:1" ht="12.5">
      <c r="A827" s="32"/>
    </row>
    <row r="828" spans="1:1" ht="12.5">
      <c r="A828" s="32"/>
    </row>
    <row r="829" spans="1:1" ht="12.5">
      <c r="A829" s="32"/>
    </row>
    <row r="830" spans="1:1" ht="12.5">
      <c r="A830" s="32"/>
    </row>
    <row r="831" spans="1:1" ht="12.5">
      <c r="A831" s="32"/>
    </row>
    <row r="832" spans="1:1" ht="12.5">
      <c r="A832" s="32"/>
    </row>
    <row r="833" spans="1:1" ht="12.5">
      <c r="A833" s="32"/>
    </row>
    <row r="834" spans="1:1" ht="12.5">
      <c r="A834" s="32"/>
    </row>
    <row r="835" spans="1:1" ht="12.5">
      <c r="A835" s="32"/>
    </row>
    <row r="836" spans="1:1" ht="12.5">
      <c r="A836" s="32"/>
    </row>
    <row r="837" spans="1:1" ht="12.5">
      <c r="A837" s="32"/>
    </row>
    <row r="838" spans="1:1" ht="12.5">
      <c r="A838" s="32"/>
    </row>
    <row r="839" spans="1:1" ht="12.5">
      <c r="A839" s="32"/>
    </row>
    <row r="840" spans="1:1" ht="12.5">
      <c r="A840" s="32"/>
    </row>
    <row r="841" spans="1:1" ht="12.5">
      <c r="A841" s="32"/>
    </row>
    <row r="842" spans="1:1" ht="12.5">
      <c r="A842" s="32"/>
    </row>
    <row r="843" spans="1:1" ht="12.5">
      <c r="A843" s="32"/>
    </row>
    <row r="844" spans="1:1" ht="12.5">
      <c r="A844" s="32"/>
    </row>
    <row r="845" spans="1:1" ht="12.5">
      <c r="A845" s="32"/>
    </row>
    <row r="846" spans="1:1" ht="12.5">
      <c r="A846" s="32"/>
    </row>
    <row r="847" spans="1:1" ht="12.5">
      <c r="A847" s="32"/>
    </row>
    <row r="848" spans="1:1" ht="12.5">
      <c r="A848" s="32"/>
    </row>
    <row r="849" spans="1:1" ht="12.5">
      <c r="A849" s="32"/>
    </row>
    <row r="850" spans="1:1" ht="12.5">
      <c r="A850" s="32"/>
    </row>
    <row r="851" spans="1:1" ht="12.5">
      <c r="A851" s="32"/>
    </row>
    <row r="852" spans="1:1" ht="12.5">
      <c r="A852" s="32"/>
    </row>
    <row r="853" spans="1:1" ht="12.5">
      <c r="A853" s="32"/>
    </row>
    <row r="854" spans="1:1" ht="12.5">
      <c r="A854" s="32"/>
    </row>
    <row r="855" spans="1:1" ht="12.5">
      <c r="A855" s="32"/>
    </row>
    <row r="856" spans="1:1" ht="12.5">
      <c r="A856" s="32"/>
    </row>
    <row r="857" spans="1:1" ht="12.5">
      <c r="A857" s="32"/>
    </row>
    <row r="858" spans="1:1" ht="12.5">
      <c r="A858" s="32"/>
    </row>
    <row r="859" spans="1:1" ht="12.5">
      <c r="A859" s="32"/>
    </row>
    <row r="860" spans="1:1" ht="12.5">
      <c r="A860" s="32"/>
    </row>
    <row r="861" spans="1:1" ht="12.5">
      <c r="A861" s="32"/>
    </row>
    <row r="862" spans="1:1" ht="12.5">
      <c r="A862" s="32"/>
    </row>
    <row r="863" spans="1:1" ht="12.5">
      <c r="A863" s="32"/>
    </row>
    <row r="864" spans="1:1" ht="12.5">
      <c r="A864" s="32"/>
    </row>
    <row r="865" spans="1:1" ht="12.5">
      <c r="A865" s="32"/>
    </row>
    <row r="866" spans="1:1" ht="12.5">
      <c r="A866" s="32"/>
    </row>
    <row r="867" spans="1:1" ht="12.5">
      <c r="A867" s="32"/>
    </row>
    <row r="868" spans="1:1" ht="12.5">
      <c r="A868" s="32"/>
    </row>
    <row r="869" spans="1:1" ht="12.5">
      <c r="A869" s="32"/>
    </row>
    <row r="870" spans="1:1" ht="12.5">
      <c r="A870" s="32"/>
    </row>
    <row r="871" spans="1:1" ht="12.5">
      <c r="A871" s="32"/>
    </row>
    <row r="872" spans="1:1" ht="12.5">
      <c r="A872" s="32"/>
    </row>
    <row r="873" spans="1:1" ht="12.5">
      <c r="A873" s="32"/>
    </row>
    <row r="874" spans="1:1" ht="12.5">
      <c r="A874" s="32"/>
    </row>
    <row r="875" spans="1:1" ht="12.5">
      <c r="A875" s="32"/>
    </row>
    <row r="876" spans="1:1" ht="12.5">
      <c r="A876" s="32"/>
    </row>
    <row r="877" spans="1:1" ht="12.5">
      <c r="A877" s="32"/>
    </row>
    <row r="878" spans="1:1" ht="12.5">
      <c r="A878" s="32"/>
    </row>
    <row r="879" spans="1:1" ht="12.5">
      <c r="A879" s="32"/>
    </row>
    <row r="880" spans="1:1" ht="12.5">
      <c r="A880" s="32"/>
    </row>
    <row r="881" spans="1:1" ht="12.5">
      <c r="A881" s="32"/>
    </row>
    <row r="882" spans="1:1" ht="12.5">
      <c r="A882" s="32"/>
    </row>
    <row r="883" spans="1:1" ht="12.5">
      <c r="A883" s="32"/>
    </row>
    <row r="884" spans="1:1" ht="12.5">
      <c r="A884" s="32"/>
    </row>
    <row r="885" spans="1:1" ht="12.5">
      <c r="A885" s="32"/>
    </row>
    <row r="886" spans="1:1" ht="12.5">
      <c r="A886" s="32"/>
    </row>
    <row r="887" spans="1:1" ht="12.5">
      <c r="A887" s="32"/>
    </row>
    <row r="888" spans="1:1" ht="12.5">
      <c r="A888" s="32"/>
    </row>
    <row r="889" spans="1:1" ht="12.5">
      <c r="A889" s="32"/>
    </row>
    <row r="890" spans="1:1" ht="12.5">
      <c r="A890" s="32"/>
    </row>
    <row r="891" spans="1:1" ht="12.5">
      <c r="A891" s="32"/>
    </row>
    <row r="892" spans="1:1" ht="12.5">
      <c r="A892" s="32"/>
    </row>
    <row r="893" spans="1:1" ht="12.5">
      <c r="A893" s="32"/>
    </row>
    <row r="894" spans="1:1" ht="12.5">
      <c r="A894" s="32"/>
    </row>
    <row r="895" spans="1:1" ht="12.5">
      <c r="A895" s="32"/>
    </row>
    <row r="896" spans="1:1" ht="12.5">
      <c r="A896" s="32"/>
    </row>
    <row r="897" spans="1:1" ht="12.5">
      <c r="A897" s="32"/>
    </row>
    <row r="898" spans="1:1" ht="12.5">
      <c r="A898" s="32"/>
    </row>
    <row r="899" spans="1:1" ht="12.5">
      <c r="A899" s="32"/>
    </row>
    <row r="900" spans="1:1" ht="12.5">
      <c r="A900" s="32"/>
    </row>
    <row r="901" spans="1:1" ht="12.5">
      <c r="A901" s="32"/>
    </row>
    <row r="902" spans="1:1" ht="12.5">
      <c r="A902" s="32"/>
    </row>
    <row r="903" spans="1:1" ht="12.5">
      <c r="A903" s="32"/>
    </row>
    <row r="904" spans="1:1" ht="12.5">
      <c r="A904" s="32"/>
    </row>
    <row r="905" spans="1:1" ht="12.5">
      <c r="A905" s="32"/>
    </row>
    <row r="906" spans="1:1" ht="12.5">
      <c r="A906" s="32"/>
    </row>
    <row r="907" spans="1:1" ht="12.5">
      <c r="A907" s="32"/>
    </row>
    <row r="908" spans="1:1" ht="12.5">
      <c r="A908" s="32"/>
    </row>
    <row r="909" spans="1:1" ht="12.5">
      <c r="A909" s="32"/>
    </row>
    <row r="910" spans="1:1" ht="12.5">
      <c r="A910" s="32"/>
    </row>
    <row r="911" spans="1:1" ht="12.5">
      <c r="A911" s="32"/>
    </row>
    <row r="912" spans="1:1" ht="12.5">
      <c r="A912" s="32"/>
    </row>
    <row r="913" spans="1:1" ht="12.5">
      <c r="A913" s="32"/>
    </row>
    <row r="914" spans="1:1" ht="12.5">
      <c r="A914" s="32"/>
    </row>
    <row r="915" spans="1:1" ht="12.5">
      <c r="A915" s="32"/>
    </row>
    <row r="916" spans="1:1" ht="12.5">
      <c r="A916" s="32"/>
    </row>
    <row r="917" spans="1:1" ht="12.5">
      <c r="A917" s="32"/>
    </row>
    <row r="918" spans="1:1" ht="12.5">
      <c r="A918" s="32"/>
    </row>
    <row r="919" spans="1:1" ht="12.5">
      <c r="A919" s="32"/>
    </row>
    <row r="920" spans="1:1" ht="12.5">
      <c r="A920" s="32"/>
    </row>
    <row r="921" spans="1:1" ht="12.5">
      <c r="A921" s="32"/>
    </row>
    <row r="922" spans="1:1" ht="12.5">
      <c r="A922" s="32"/>
    </row>
    <row r="923" spans="1:1" ht="12.5">
      <c r="A923" s="32"/>
    </row>
    <row r="924" spans="1:1" ht="12.5">
      <c r="A924" s="32"/>
    </row>
    <row r="925" spans="1:1" ht="12.5">
      <c r="A925" s="32"/>
    </row>
    <row r="926" spans="1:1" ht="12.5">
      <c r="A926" s="32"/>
    </row>
    <row r="927" spans="1:1" ht="12.5">
      <c r="A927" s="32"/>
    </row>
    <row r="928" spans="1:1" ht="12.5">
      <c r="A928" s="32"/>
    </row>
    <row r="929" spans="1:1" ht="12.5">
      <c r="A929" s="32"/>
    </row>
    <row r="930" spans="1:1" ht="12.5">
      <c r="A930" s="32"/>
    </row>
    <row r="931" spans="1:1" ht="12.5">
      <c r="A931" s="32"/>
    </row>
    <row r="932" spans="1:1" ht="12.5">
      <c r="A932" s="32"/>
    </row>
    <row r="933" spans="1:1" ht="12.5">
      <c r="A933" s="32"/>
    </row>
    <row r="934" spans="1:1" ht="12.5">
      <c r="A934" s="32"/>
    </row>
    <row r="935" spans="1:1" ht="12.5">
      <c r="A935" s="32"/>
    </row>
    <row r="936" spans="1:1" ht="12.5">
      <c r="A936" s="32"/>
    </row>
    <row r="937" spans="1:1" ht="12.5">
      <c r="A937" s="32"/>
    </row>
    <row r="938" spans="1:1" ht="12.5">
      <c r="A938" s="32"/>
    </row>
    <row r="939" spans="1:1" ht="12.5">
      <c r="A939" s="32"/>
    </row>
    <row r="940" spans="1:1" ht="12.5">
      <c r="A940" s="32"/>
    </row>
    <row r="941" spans="1:1" ht="12.5">
      <c r="A941" s="32"/>
    </row>
    <row r="942" spans="1:1" ht="12.5">
      <c r="A942" s="32"/>
    </row>
    <row r="943" spans="1:1" ht="12.5">
      <c r="A943" s="32"/>
    </row>
    <row r="944" spans="1:1" ht="12.5">
      <c r="A944" s="32"/>
    </row>
    <row r="945" spans="1:1" ht="12.5">
      <c r="A945" s="32"/>
    </row>
    <row r="946" spans="1:1" ht="12.5">
      <c r="A946" s="32"/>
    </row>
    <row r="947" spans="1:1" ht="12.5">
      <c r="A947" s="32"/>
    </row>
    <row r="948" spans="1:1" ht="12.5">
      <c r="A948" s="32"/>
    </row>
    <row r="949" spans="1:1" ht="12.5">
      <c r="A949" s="32"/>
    </row>
    <row r="950" spans="1:1" ht="12.5">
      <c r="A950" s="32"/>
    </row>
    <row r="951" spans="1:1" ht="12.5">
      <c r="A951" s="32"/>
    </row>
    <row r="952" spans="1:1" ht="12.5">
      <c r="A952" s="32"/>
    </row>
    <row r="953" spans="1:1" ht="12.5">
      <c r="A953" s="32"/>
    </row>
    <row r="954" spans="1:1" ht="12.5">
      <c r="A954" s="32"/>
    </row>
    <row r="955" spans="1:1" ht="12.5">
      <c r="A955" s="32"/>
    </row>
    <row r="956" spans="1:1" ht="12.5">
      <c r="A956" s="32"/>
    </row>
    <row r="957" spans="1:1" ht="12.5">
      <c r="A957" s="32"/>
    </row>
    <row r="958" spans="1:1" ht="12.5">
      <c r="A958" s="32"/>
    </row>
    <row r="959" spans="1:1" ht="12.5">
      <c r="A959" s="32"/>
    </row>
    <row r="960" spans="1:1" ht="12.5">
      <c r="A960" s="32"/>
    </row>
    <row r="961" spans="1:1" ht="12.5">
      <c r="A961" s="32"/>
    </row>
    <row r="962" spans="1:1" ht="12.5">
      <c r="A962" s="32"/>
    </row>
    <row r="963" spans="1:1" ht="12.5">
      <c r="A963" s="32"/>
    </row>
    <row r="964" spans="1:1" ht="12.5">
      <c r="A964" s="32"/>
    </row>
    <row r="965" spans="1:1" ht="12.5">
      <c r="A965" s="32"/>
    </row>
    <row r="966" spans="1:1" ht="12.5">
      <c r="A966" s="32"/>
    </row>
    <row r="967" spans="1:1" ht="12.5">
      <c r="A967" s="32"/>
    </row>
    <row r="968" spans="1:1" ht="12.5">
      <c r="A968" s="32"/>
    </row>
    <row r="969" spans="1:1" ht="12.5">
      <c r="A969" s="32"/>
    </row>
    <row r="970" spans="1:1" ht="12.5">
      <c r="A970" s="32"/>
    </row>
    <row r="971" spans="1:1" ht="12.5">
      <c r="A971" s="32"/>
    </row>
    <row r="972" spans="1:1" ht="12.5">
      <c r="A972" s="32"/>
    </row>
    <row r="973" spans="1:1" ht="12.5">
      <c r="A973" s="32"/>
    </row>
    <row r="974" spans="1:1" ht="12.5">
      <c r="A974" s="32"/>
    </row>
    <row r="975" spans="1:1" ht="12.5">
      <c r="A975" s="32"/>
    </row>
    <row r="976" spans="1:1" ht="12.5">
      <c r="A976" s="32"/>
    </row>
    <row r="977" spans="1:1" ht="12.5">
      <c r="A977" s="32"/>
    </row>
    <row r="978" spans="1:1" ht="12.5">
      <c r="A978" s="32"/>
    </row>
    <row r="979" spans="1:1" ht="12.5">
      <c r="A979" s="32"/>
    </row>
    <row r="980" spans="1:1" ht="12.5">
      <c r="A980" s="32"/>
    </row>
    <row r="981" spans="1:1" ht="12.5">
      <c r="A981" s="32"/>
    </row>
    <row r="982" spans="1:1" ht="12.5">
      <c r="A982" s="32"/>
    </row>
    <row r="983" spans="1:1" ht="12.5">
      <c r="A983" s="32"/>
    </row>
    <row r="984" spans="1:1" ht="12.5">
      <c r="A984" s="32"/>
    </row>
    <row r="985" spans="1:1" ht="12.5">
      <c r="A985" s="32"/>
    </row>
    <row r="986" spans="1:1" ht="12.5">
      <c r="A986" s="32"/>
    </row>
    <row r="987" spans="1:1" ht="12.5">
      <c r="A987" s="32"/>
    </row>
    <row r="988" spans="1:1" ht="12.5">
      <c r="A988" s="32"/>
    </row>
    <row r="989" spans="1:1" ht="12.5">
      <c r="A989" s="32"/>
    </row>
    <row r="990" spans="1:1" ht="12.5">
      <c r="A990" s="32"/>
    </row>
    <row r="991" spans="1:1" ht="12.5">
      <c r="A991" s="32"/>
    </row>
    <row r="992" spans="1:1" ht="12.5">
      <c r="A992" s="32"/>
    </row>
    <row r="993" spans="1:1" ht="12.5">
      <c r="A993" s="32"/>
    </row>
    <row r="994" spans="1:1" ht="12.5">
      <c r="A994" s="32"/>
    </row>
    <row r="995" spans="1:1" ht="12.5">
      <c r="A995" s="32"/>
    </row>
    <row r="996" spans="1:1" ht="12.5">
      <c r="A996" s="32"/>
    </row>
    <row r="997" spans="1:1" ht="12.5">
      <c r="A997" s="32"/>
    </row>
    <row r="998" spans="1:1" ht="12.5">
      <c r="A998" s="32"/>
    </row>
    <row r="999" spans="1:1" ht="12.5">
      <c r="A999"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9"/>
  <sheetViews>
    <sheetView workbookViewId="0">
      <pane ySplit="1" topLeftCell="A2" activePane="bottomLeft" state="frozen"/>
      <selection pane="bottomLeft" activeCell="B3" sqref="B3"/>
    </sheetView>
  </sheetViews>
  <sheetFormatPr baseColWidth="10" defaultColWidth="12.6328125" defaultRowHeight="15.75" customHeight="1"/>
  <cols>
    <col min="1" max="1" width="15.6328125" customWidth="1"/>
    <col min="2" max="2" width="32.6328125" customWidth="1"/>
    <col min="3" max="3" width="23.6328125" customWidth="1"/>
    <col min="4" max="4" width="13.453125" customWidth="1"/>
  </cols>
  <sheetData>
    <row r="1" spans="1:26" ht="22.5" customHeight="1">
      <c r="A1" s="75" t="s">
        <v>0</v>
      </c>
      <c r="B1" s="75" t="s">
        <v>49</v>
      </c>
      <c r="C1" s="76" t="s">
        <v>20</v>
      </c>
      <c r="D1" s="77" t="s">
        <v>51</v>
      </c>
      <c r="E1" s="77" t="s">
        <v>52</v>
      </c>
      <c r="F1" s="77" t="s">
        <v>53</v>
      </c>
      <c r="G1" s="77" t="s">
        <v>55</v>
      </c>
      <c r="H1" s="77" t="s">
        <v>58</v>
      </c>
      <c r="I1" s="77" t="s">
        <v>60</v>
      </c>
      <c r="J1" s="77" t="s">
        <v>61</v>
      </c>
      <c r="K1" s="77" t="s">
        <v>62</v>
      </c>
      <c r="L1" s="77" t="s">
        <v>63</v>
      </c>
      <c r="M1" s="77" t="s">
        <v>64</v>
      </c>
      <c r="N1" s="77" t="s">
        <v>65</v>
      </c>
      <c r="O1" s="8"/>
      <c r="P1" s="8"/>
      <c r="Q1" s="8"/>
      <c r="R1" s="8"/>
      <c r="S1" s="8"/>
      <c r="T1" s="8"/>
      <c r="U1" s="8"/>
      <c r="V1" s="8"/>
      <c r="W1" s="8"/>
      <c r="X1" s="8"/>
      <c r="Y1" s="8"/>
      <c r="Z1" s="8"/>
    </row>
    <row r="2" spans="1:26" ht="22.5" customHeight="1">
      <c r="A2" s="78">
        <v>1</v>
      </c>
      <c r="B2" s="79" t="s">
        <v>86</v>
      </c>
      <c r="C2" s="73" t="s">
        <v>149</v>
      </c>
      <c r="D2" s="80" t="s">
        <v>149</v>
      </c>
      <c r="E2" s="73"/>
      <c r="F2" s="80" t="s">
        <v>4959</v>
      </c>
      <c r="G2" s="81" t="s">
        <v>185</v>
      </c>
      <c r="H2" s="82" t="s">
        <v>1042</v>
      </c>
      <c r="I2" s="83" t="s">
        <v>4960</v>
      </c>
      <c r="J2" s="73"/>
      <c r="K2" s="84" t="s">
        <v>4961</v>
      </c>
      <c r="L2" s="73"/>
      <c r="M2" s="85" t="s">
        <v>106</v>
      </c>
      <c r="N2" s="86" t="s">
        <v>1015</v>
      </c>
    </row>
    <row r="3" spans="1:26" ht="22.5" customHeight="1">
      <c r="A3" s="78">
        <v>2</v>
      </c>
      <c r="B3" s="87" t="s">
        <v>2032</v>
      </c>
      <c r="C3" s="73" t="s">
        <v>149</v>
      </c>
      <c r="D3" s="88" t="s">
        <v>562</v>
      </c>
      <c r="E3" s="73"/>
      <c r="F3" s="88" t="s">
        <v>4962</v>
      </c>
      <c r="G3" s="89" t="s">
        <v>1365</v>
      </c>
      <c r="H3" s="82" t="s">
        <v>104</v>
      </c>
      <c r="I3" s="73"/>
      <c r="J3" s="73"/>
      <c r="K3" s="84" t="s">
        <v>4963</v>
      </c>
      <c r="L3" s="73"/>
      <c r="M3" s="85" t="s">
        <v>168</v>
      </c>
      <c r="N3" s="90" t="s">
        <v>1683</v>
      </c>
    </row>
    <row r="4" spans="1:26" ht="22.5" customHeight="1">
      <c r="A4" s="78">
        <v>3</v>
      </c>
      <c r="B4" s="87" t="s">
        <v>735</v>
      </c>
      <c r="C4" s="73" t="s">
        <v>149</v>
      </c>
      <c r="D4" s="91" t="s">
        <v>4964</v>
      </c>
      <c r="E4" s="73"/>
      <c r="F4" s="88" t="s">
        <v>4965</v>
      </c>
      <c r="G4" s="73"/>
      <c r="H4" s="82" t="s">
        <v>2008</v>
      </c>
      <c r="I4" s="73"/>
      <c r="J4" s="73"/>
      <c r="K4" s="73"/>
      <c r="L4" s="73"/>
      <c r="M4" s="73"/>
      <c r="N4" s="92" t="s">
        <v>107</v>
      </c>
    </row>
    <row r="5" spans="1:26" ht="22.5" customHeight="1">
      <c r="A5" s="78">
        <v>4</v>
      </c>
      <c r="B5" s="87" t="s">
        <v>4896</v>
      </c>
      <c r="C5" s="73" t="s">
        <v>149</v>
      </c>
      <c r="D5" s="73"/>
      <c r="E5" s="73"/>
      <c r="F5" s="91" t="s">
        <v>4966</v>
      </c>
      <c r="G5" s="73"/>
      <c r="H5" s="82" t="s">
        <v>150</v>
      </c>
      <c r="I5" s="73"/>
      <c r="J5" s="73"/>
      <c r="K5" s="73"/>
      <c r="L5" s="73"/>
      <c r="M5" s="73"/>
      <c r="N5" s="73"/>
    </row>
    <row r="6" spans="1:26" ht="22.5" customHeight="1">
      <c r="A6" s="78">
        <v>5</v>
      </c>
      <c r="B6" s="87" t="s">
        <v>4897</v>
      </c>
      <c r="C6" s="73" t="s">
        <v>149</v>
      </c>
      <c r="D6" s="73"/>
      <c r="E6" s="73"/>
      <c r="F6" s="73"/>
      <c r="G6" s="73"/>
      <c r="H6" s="73"/>
      <c r="I6" s="73"/>
      <c r="J6" s="73"/>
      <c r="K6" s="73"/>
      <c r="L6" s="73"/>
      <c r="M6" s="73"/>
      <c r="N6" s="73"/>
    </row>
    <row r="7" spans="1:26" ht="22.5" customHeight="1">
      <c r="A7" s="78">
        <v>6</v>
      </c>
      <c r="B7" s="87" t="s">
        <v>777</v>
      </c>
      <c r="C7" s="73" t="s">
        <v>149</v>
      </c>
      <c r="D7" s="73"/>
      <c r="E7" s="73"/>
      <c r="F7" s="73"/>
      <c r="G7" s="73"/>
      <c r="H7" s="73"/>
      <c r="I7" s="73"/>
      <c r="J7" s="73"/>
      <c r="K7" s="73"/>
      <c r="L7" s="73"/>
      <c r="M7" s="73"/>
      <c r="N7" s="73"/>
    </row>
    <row r="8" spans="1:26" ht="22.5" customHeight="1">
      <c r="A8" s="78">
        <v>7</v>
      </c>
      <c r="B8" s="87" t="s">
        <v>4898</v>
      </c>
      <c r="C8" s="73" t="s">
        <v>149</v>
      </c>
      <c r="D8" s="73"/>
      <c r="E8" s="73"/>
      <c r="F8" s="73"/>
      <c r="G8" s="73"/>
      <c r="H8" s="73"/>
      <c r="I8" s="73"/>
      <c r="J8" s="73"/>
      <c r="K8" s="73"/>
      <c r="L8" s="73"/>
      <c r="M8" s="73"/>
      <c r="N8" s="73"/>
    </row>
    <row r="9" spans="1:26" ht="22.5" customHeight="1">
      <c r="A9" s="78">
        <v>8</v>
      </c>
      <c r="B9" s="87" t="s">
        <v>4899</v>
      </c>
      <c r="C9" s="73" t="s">
        <v>149</v>
      </c>
      <c r="D9" s="73"/>
      <c r="E9" s="73"/>
      <c r="F9" s="73"/>
      <c r="G9" s="73"/>
      <c r="H9" s="73"/>
      <c r="I9" s="73"/>
      <c r="J9" s="73"/>
      <c r="K9" s="73"/>
      <c r="L9" s="73"/>
      <c r="M9" s="73"/>
      <c r="N9" s="73"/>
    </row>
    <row r="10" spans="1:26" ht="22.5" customHeight="1">
      <c r="A10" s="78">
        <v>9</v>
      </c>
      <c r="B10" s="87" t="s">
        <v>2043</v>
      </c>
      <c r="C10" s="73" t="s">
        <v>149</v>
      </c>
      <c r="D10" s="73"/>
      <c r="E10" s="73"/>
      <c r="F10" s="73"/>
      <c r="G10" s="73"/>
      <c r="H10" s="73"/>
      <c r="I10" s="73"/>
      <c r="J10" s="73"/>
      <c r="K10" s="73"/>
      <c r="L10" s="73"/>
      <c r="M10" s="73"/>
      <c r="N10" s="73"/>
    </row>
    <row r="11" spans="1:26" ht="22.5" customHeight="1">
      <c r="A11" s="78">
        <v>10</v>
      </c>
      <c r="B11" s="93" t="s">
        <v>2076</v>
      </c>
      <c r="C11" s="73" t="s">
        <v>149</v>
      </c>
      <c r="D11" s="73"/>
      <c r="E11" s="73"/>
      <c r="F11" s="73"/>
      <c r="G11" s="73"/>
      <c r="H11" s="73"/>
      <c r="I11" s="73"/>
      <c r="J11" s="73"/>
      <c r="K11" s="73"/>
      <c r="L11" s="73"/>
      <c r="M11" s="73"/>
      <c r="N11" s="73"/>
    </row>
    <row r="12" spans="1:26" ht="22.5" customHeight="1">
      <c r="A12" s="78">
        <v>11</v>
      </c>
      <c r="B12" s="94" t="s">
        <v>4900</v>
      </c>
      <c r="C12" s="95" t="s">
        <v>4967</v>
      </c>
      <c r="D12" s="95"/>
      <c r="E12" s="95"/>
      <c r="F12" s="95"/>
      <c r="G12" s="95"/>
      <c r="H12" s="95"/>
      <c r="I12" s="95"/>
      <c r="J12" s="95"/>
      <c r="K12" s="95"/>
      <c r="L12" s="95"/>
      <c r="M12" s="95"/>
      <c r="N12" s="95"/>
    </row>
    <row r="13" spans="1:26" ht="22.5" customHeight="1">
      <c r="A13" s="78">
        <v>12</v>
      </c>
      <c r="B13" s="94" t="s">
        <v>4901</v>
      </c>
      <c r="C13" s="95" t="s">
        <v>4967</v>
      </c>
      <c r="D13" s="95"/>
      <c r="E13" s="95"/>
      <c r="F13" s="95"/>
      <c r="G13" s="95"/>
      <c r="H13" s="95"/>
      <c r="I13" s="95"/>
      <c r="J13" s="95"/>
      <c r="K13" s="95"/>
      <c r="L13" s="95"/>
      <c r="M13" s="95"/>
      <c r="N13" s="95"/>
    </row>
    <row r="14" spans="1:26" ht="22.5" customHeight="1">
      <c r="A14" s="78">
        <v>13</v>
      </c>
      <c r="B14" s="94" t="s">
        <v>4902</v>
      </c>
      <c r="C14" s="73" t="s">
        <v>4968</v>
      </c>
      <c r="D14" s="73"/>
      <c r="E14" s="73"/>
      <c r="F14" s="73"/>
      <c r="G14" s="73"/>
      <c r="H14" s="73"/>
      <c r="I14" s="73"/>
      <c r="J14" s="73"/>
      <c r="K14" s="73"/>
      <c r="L14" s="73"/>
      <c r="M14" s="73"/>
      <c r="N14" s="73"/>
    </row>
    <row r="15" spans="1:26" ht="22.5" customHeight="1">
      <c r="A15" s="78">
        <v>14</v>
      </c>
      <c r="B15" s="94" t="s">
        <v>148</v>
      </c>
      <c r="C15" s="73" t="s">
        <v>4968</v>
      </c>
      <c r="D15" s="73"/>
      <c r="E15" s="73"/>
      <c r="F15" s="73"/>
      <c r="G15" s="73"/>
      <c r="H15" s="73"/>
      <c r="I15" s="73"/>
      <c r="J15" s="73"/>
      <c r="K15" s="73"/>
      <c r="L15" s="73"/>
      <c r="M15" s="73"/>
      <c r="N15" s="73"/>
    </row>
    <row r="16" spans="1:26" ht="22.5" customHeight="1">
      <c r="A16" s="78">
        <v>15</v>
      </c>
      <c r="B16" s="94" t="s">
        <v>1363</v>
      </c>
      <c r="C16" s="73" t="s">
        <v>4968</v>
      </c>
      <c r="D16" s="73"/>
      <c r="E16" s="73"/>
      <c r="F16" s="73"/>
      <c r="G16" s="73"/>
      <c r="H16" s="73"/>
      <c r="I16" s="73"/>
      <c r="J16" s="73"/>
      <c r="K16" s="73"/>
      <c r="L16" s="73"/>
      <c r="M16" s="73"/>
      <c r="N16" s="73"/>
    </row>
    <row r="17" spans="1:14" ht="22.5" customHeight="1">
      <c r="A17" s="78">
        <v>16</v>
      </c>
      <c r="B17" s="94" t="s">
        <v>4906</v>
      </c>
      <c r="C17" s="73" t="s">
        <v>4968</v>
      </c>
      <c r="D17" s="73"/>
      <c r="E17" s="73"/>
      <c r="F17" s="73"/>
      <c r="G17" s="73"/>
      <c r="H17" s="73"/>
      <c r="I17" s="73"/>
      <c r="J17" s="73"/>
      <c r="K17" s="73"/>
      <c r="L17" s="73"/>
      <c r="M17" s="73"/>
      <c r="N17" s="73"/>
    </row>
    <row r="18" spans="1:14" ht="22.5" customHeight="1">
      <c r="A18" s="78">
        <v>17</v>
      </c>
      <c r="B18" s="94" t="s">
        <v>4907</v>
      </c>
      <c r="C18" s="73" t="s">
        <v>4968</v>
      </c>
      <c r="D18" s="73"/>
      <c r="E18" s="73"/>
      <c r="F18" s="73"/>
      <c r="G18" s="73"/>
      <c r="H18" s="73"/>
      <c r="I18" s="73"/>
      <c r="J18" s="73"/>
      <c r="K18" s="73"/>
      <c r="L18" s="73"/>
      <c r="M18" s="73"/>
      <c r="N18" s="73"/>
    </row>
    <row r="19" spans="1:14" ht="22.5" customHeight="1">
      <c r="A19" s="78">
        <v>18</v>
      </c>
      <c r="B19" s="94" t="s">
        <v>4908</v>
      </c>
      <c r="C19" s="73" t="s">
        <v>4968</v>
      </c>
      <c r="D19" s="73"/>
      <c r="E19" s="73"/>
      <c r="F19" s="73"/>
      <c r="G19" s="73"/>
      <c r="H19" s="73"/>
      <c r="I19" s="73"/>
      <c r="J19" s="73"/>
      <c r="K19" s="73"/>
      <c r="L19" s="73"/>
      <c r="M19" s="73"/>
      <c r="N19" s="73"/>
    </row>
    <row r="20" spans="1:14" ht="22.5" customHeight="1">
      <c r="A20" s="78">
        <v>19</v>
      </c>
      <c r="B20" s="94" t="s">
        <v>783</v>
      </c>
      <c r="C20" s="73" t="s">
        <v>4968</v>
      </c>
      <c r="D20" s="73"/>
      <c r="E20" s="73"/>
      <c r="F20" s="73"/>
      <c r="G20" s="73"/>
      <c r="H20" s="73"/>
      <c r="I20" s="73"/>
      <c r="J20" s="73"/>
      <c r="K20" s="73"/>
      <c r="L20" s="73"/>
      <c r="M20" s="73"/>
      <c r="N20" s="73"/>
    </row>
    <row r="21" spans="1:14" ht="22.5" customHeight="1">
      <c r="A21" s="78">
        <v>20</v>
      </c>
      <c r="B21" s="94" t="s">
        <v>4910</v>
      </c>
      <c r="C21" s="73" t="s">
        <v>4968</v>
      </c>
      <c r="D21" s="73"/>
      <c r="E21" s="73"/>
      <c r="F21" s="73"/>
      <c r="G21" s="73"/>
      <c r="H21" s="73"/>
      <c r="I21" s="73"/>
      <c r="J21" s="73"/>
      <c r="K21" s="73"/>
      <c r="L21" s="73"/>
      <c r="M21" s="73"/>
      <c r="N21" s="73"/>
    </row>
    <row r="22" spans="1:14" ht="22.5" customHeight="1">
      <c r="A22" s="78">
        <v>21</v>
      </c>
      <c r="B22" s="94" t="s">
        <v>4911</v>
      </c>
      <c r="C22" s="95" t="s">
        <v>4967</v>
      </c>
      <c r="D22" s="95"/>
      <c r="E22" s="95"/>
      <c r="F22" s="95"/>
      <c r="G22" s="95"/>
      <c r="H22" s="95"/>
      <c r="I22" s="95"/>
      <c r="J22" s="95"/>
      <c r="K22" s="95"/>
      <c r="L22" s="95"/>
      <c r="M22" s="95"/>
      <c r="N22" s="95"/>
    </row>
    <row r="23" spans="1:14" ht="22.5" customHeight="1">
      <c r="A23" s="78">
        <v>22</v>
      </c>
      <c r="B23" s="94" t="s">
        <v>339</v>
      </c>
      <c r="C23" s="73" t="s">
        <v>4968</v>
      </c>
      <c r="D23" s="73"/>
      <c r="E23" s="73"/>
      <c r="F23" s="73"/>
      <c r="G23" s="73"/>
      <c r="H23" s="73"/>
      <c r="I23" s="73"/>
      <c r="J23" s="73"/>
      <c r="K23" s="73"/>
      <c r="L23" s="73"/>
      <c r="M23" s="73"/>
      <c r="N23" s="73"/>
    </row>
    <row r="24" spans="1:14" ht="22.5" customHeight="1">
      <c r="A24" s="78">
        <v>23</v>
      </c>
      <c r="B24" s="94" t="s">
        <v>349</v>
      </c>
      <c r="C24" s="73" t="s">
        <v>4968</v>
      </c>
      <c r="D24" s="73"/>
      <c r="E24" s="73"/>
      <c r="F24" s="73"/>
      <c r="G24" s="73"/>
      <c r="H24" s="73"/>
      <c r="I24" s="73"/>
      <c r="J24" s="73"/>
      <c r="K24" s="73"/>
      <c r="L24" s="73"/>
      <c r="M24" s="73"/>
      <c r="N24" s="73"/>
    </row>
    <row r="25" spans="1:14" ht="22.5" customHeight="1">
      <c r="A25" s="78">
        <v>24</v>
      </c>
      <c r="B25" s="94" t="s">
        <v>338</v>
      </c>
      <c r="C25" s="73" t="s">
        <v>4968</v>
      </c>
      <c r="D25" s="73"/>
      <c r="E25" s="73"/>
      <c r="F25" s="73"/>
      <c r="G25" s="73"/>
      <c r="H25" s="73"/>
      <c r="I25" s="73"/>
      <c r="J25" s="73"/>
      <c r="K25" s="73"/>
      <c r="L25" s="73"/>
      <c r="M25" s="73"/>
      <c r="N25" s="73"/>
    </row>
    <row r="26" spans="1:14" ht="22.5" customHeight="1">
      <c r="A26" s="78">
        <v>25</v>
      </c>
      <c r="B26" s="94" t="s">
        <v>4912</v>
      </c>
      <c r="C26" s="95" t="s">
        <v>4967</v>
      </c>
      <c r="D26" s="95"/>
      <c r="E26" s="95"/>
      <c r="F26" s="95"/>
      <c r="G26" s="95"/>
      <c r="H26" s="95"/>
      <c r="I26" s="95"/>
      <c r="J26" s="95"/>
      <c r="K26" s="95"/>
      <c r="L26" s="95"/>
      <c r="M26" s="95"/>
      <c r="N26" s="95"/>
    </row>
    <row r="27" spans="1:14" ht="22.5" customHeight="1">
      <c r="A27" s="78">
        <v>26</v>
      </c>
      <c r="B27" s="94" t="s">
        <v>137</v>
      </c>
      <c r="C27" s="73" t="s">
        <v>4968</v>
      </c>
      <c r="D27" s="73"/>
      <c r="E27" s="73"/>
      <c r="F27" s="73"/>
      <c r="G27" s="73"/>
      <c r="H27" s="73"/>
      <c r="I27" s="73"/>
      <c r="J27" s="73"/>
      <c r="K27" s="73"/>
      <c r="L27" s="73"/>
      <c r="M27" s="73"/>
      <c r="N27" s="73"/>
    </row>
    <row r="28" spans="1:14" ht="22.5" customHeight="1">
      <c r="A28" s="78">
        <v>27</v>
      </c>
      <c r="B28" s="94" t="s">
        <v>4914</v>
      </c>
      <c r="C28" s="73" t="s">
        <v>4968</v>
      </c>
      <c r="D28" s="73"/>
      <c r="E28" s="73"/>
      <c r="F28" s="73"/>
      <c r="G28" s="73"/>
      <c r="H28" s="73"/>
      <c r="I28" s="73"/>
      <c r="J28" s="73"/>
      <c r="K28" s="73"/>
      <c r="L28" s="73"/>
      <c r="M28" s="73"/>
      <c r="N28" s="73"/>
    </row>
    <row r="29" spans="1:14" ht="22.5" customHeight="1">
      <c r="A29" s="78">
        <v>28</v>
      </c>
      <c r="B29" s="94" t="s">
        <v>4916</v>
      </c>
      <c r="C29" s="73" t="s">
        <v>4968</v>
      </c>
      <c r="D29" s="73"/>
      <c r="E29" s="73"/>
      <c r="F29" s="73"/>
      <c r="G29" s="73"/>
      <c r="H29" s="73"/>
      <c r="I29" s="73"/>
      <c r="J29" s="73"/>
      <c r="K29" s="73"/>
      <c r="L29" s="73"/>
      <c r="M29" s="73"/>
      <c r="N29" s="73"/>
    </row>
    <row r="30" spans="1:14" ht="22.5" customHeight="1">
      <c r="A30" s="78">
        <v>29</v>
      </c>
      <c r="B30" s="94" t="s">
        <v>1376</v>
      </c>
      <c r="C30" s="73" t="s">
        <v>4968</v>
      </c>
      <c r="D30" s="73"/>
      <c r="E30" s="73"/>
      <c r="F30" s="73"/>
      <c r="G30" s="73"/>
      <c r="H30" s="73"/>
      <c r="I30" s="73"/>
      <c r="J30" s="73"/>
      <c r="K30" s="73"/>
      <c r="L30" s="73"/>
      <c r="M30" s="73"/>
      <c r="N30" s="73"/>
    </row>
    <row r="31" spans="1:14" ht="22.5" customHeight="1">
      <c r="A31" s="78">
        <v>30</v>
      </c>
      <c r="B31" s="94" t="s">
        <v>4917</v>
      </c>
      <c r="C31" s="73" t="s">
        <v>4968</v>
      </c>
      <c r="D31" s="73"/>
      <c r="E31" s="73"/>
      <c r="F31" s="73"/>
      <c r="G31" s="73"/>
      <c r="H31" s="73"/>
      <c r="I31" s="73"/>
      <c r="J31" s="73"/>
      <c r="K31" s="73"/>
      <c r="L31" s="73"/>
      <c r="M31" s="73"/>
      <c r="N31" s="73"/>
    </row>
    <row r="32" spans="1:14" ht="22.5" customHeight="1">
      <c r="A32" s="78">
        <v>31</v>
      </c>
      <c r="B32" s="94" t="s">
        <v>4918</v>
      </c>
      <c r="C32" s="73" t="s">
        <v>4968</v>
      </c>
      <c r="D32" s="73"/>
      <c r="E32" s="73"/>
      <c r="F32" s="73"/>
      <c r="G32" s="73"/>
      <c r="H32" s="73"/>
      <c r="I32" s="73"/>
      <c r="J32" s="73"/>
      <c r="K32" s="73"/>
      <c r="L32" s="73"/>
      <c r="M32" s="73"/>
      <c r="N32" s="73"/>
    </row>
    <row r="33" spans="1:14" ht="22.5" customHeight="1">
      <c r="A33" s="78">
        <v>32</v>
      </c>
      <c r="B33" s="94" t="s">
        <v>288</v>
      </c>
      <c r="C33" s="73" t="s">
        <v>4968</v>
      </c>
      <c r="D33" s="73"/>
      <c r="E33" s="73"/>
      <c r="F33" s="73"/>
      <c r="G33" s="73"/>
      <c r="H33" s="73"/>
      <c r="I33" s="73"/>
      <c r="J33" s="73"/>
      <c r="K33" s="73"/>
      <c r="L33" s="73"/>
      <c r="M33" s="73"/>
      <c r="N33" s="73"/>
    </row>
    <row r="34" spans="1:14" ht="22.5" customHeight="1">
      <c r="A34" s="78">
        <v>33</v>
      </c>
      <c r="B34" s="94" t="s">
        <v>4919</v>
      </c>
      <c r="C34" s="73" t="s">
        <v>4968</v>
      </c>
      <c r="D34" s="73"/>
      <c r="E34" s="73"/>
      <c r="F34" s="73"/>
      <c r="G34" s="73"/>
      <c r="H34" s="73"/>
      <c r="I34" s="73"/>
      <c r="J34" s="73"/>
      <c r="K34" s="73"/>
      <c r="L34" s="73"/>
      <c r="M34" s="73"/>
      <c r="N34" s="73"/>
    </row>
    <row r="35" spans="1:14" ht="22.5" customHeight="1">
      <c r="A35" s="78">
        <v>34</v>
      </c>
      <c r="B35" s="94" t="s">
        <v>1506</v>
      </c>
      <c r="C35" s="73" t="s">
        <v>4968</v>
      </c>
      <c r="D35" s="73"/>
      <c r="E35" s="73"/>
      <c r="F35" s="73"/>
      <c r="G35" s="73"/>
      <c r="H35" s="73"/>
      <c r="I35" s="73"/>
      <c r="J35" s="73"/>
      <c r="K35" s="73"/>
      <c r="L35" s="73"/>
      <c r="M35" s="73"/>
      <c r="N35" s="73"/>
    </row>
    <row r="36" spans="1:14" ht="22.5" customHeight="1">
      <c r="A36" s="78">
        <v>35</v>
      </c>
      <c r="B36" s="94" t="s">
        <v>4921</v>
      </c>
      <c r="C36" s="73" t="s">
        <v>4968</v>
      </c>
      <c r="D36" s="73"/>
      <c r="E36" s="73"/>
      <c r="F36" s="73"/>
      <c r="G36" s="73"/>
      <c r="H36" s="73"/>
      <c r="I36" s="73"/>
      <c r="J36" s="73"/>
      <c r="K36" s="73"/>
      <c r="L36" s="73"/>
      <c r="M36" s="73"/>
      <c r="N36" s="73"/>
    </row>
    <row r="37" spans="1:14" ht="22.5" customHeight="1">
      <c r="A37" s="78">
        <v>36</v>
      </c>
      <c r="B37" s="94" t="s">
        <v>216</v>
      </c>
      <c r="C37" s="73" t="s">
        <v>4968</v>
      </c>
      <c r="D37" s="73"/>
      <c r="E37" s="73"/>
      <c r="F37" s="73"/>
      <c r="G37" s="73"/>
      <c r="H37" s="73"/>
      <c r="I37" s="73"/>
      <c r="J37" s="73"/>
      <c r="K37" s="73"/>
      <c r="L37" s="73"/>
      <c r="M37" s="73"/>
      <c r="N37" s="73"/>
    </row>
    <row r="38" spans="1:14" ht="22.5" customHeight="1">
      <c r="A38" s="78">
        <v>37</v>
      </c>
      <c r="B38" s="94" t="s">
        <v>4923</v>
      </c>
      <c r="C38" s="73" t="s">
        <v>4968</v>
      </c>
      <c r="D38" s="73"/>
      <c r="E38" s="73"/>
      <c r="F38" s="73"/>
      <c r="G38" s="73"/>
      <c r="H38" s="73"/>
      <c r="I38" s="73"/>
      <c r="J38" s="73"/>
      <c r="K38" s="73"/>
      <c r="L38" s="73"/>
      <c r="M38" s="73"/>
      <c r="N38" s="73"/>
    </row>
    <row r="39" spans="1:14" ht="22.5" customHeight="1">
      <c r="A39" s="78">
        <v>38</v>
      </c>
      <c r="B39" s="94" t="s">
        <v>1159</v>
      </c>
      <c r="C39" s="73" t="s">
        <v>4968</v>
      </c>
      <c r="D39" s="73"/>
      <c r="E39" s="73"/>
      <c r="F39" s="73"/>
      <c r="G39" s="73"/>
      <c r="H39" s="73"/>
      <c r="I39" s="73"/>
      <c r="J39" s="73"/>
      <c r="K39" s="73"/>
      <c r="L39" s="73"/>
      <c r="M39" s="73"/>
      <c r="N39" s="73"/>
    </row>
    <row r="40" spans="1:14" ht="22.5" customHeight="1">
      <c r="A40" s="78">
        <v>39</v>
      </c>
      <c r="B40" s="94" t="s">
        <v>367</v>
      </c>
      <c r="C40" s="73" t="s">
        <v>4968</v>
      </c>
      <c r="D40" s="73"/>
      <c r="E40" s="73"/>
      <c r="F40" s="73"/>
      <c r="G40" s="73"/>
      <c r="H40" s="73"/>
      <c r="I40" s="73"/>
      <c r="J40" s="73"/>
      <c r="K40" s="73"/>
      <c r="L40" s="73"/>
      <c r="M40" s="73"/>
      <c r="N40" s="73"/>
    </row>
    <row r="41" spans="1:14" ht="22.5" customHeight="1">
      <c r="A41" s="78">
        <v>40</v>
      </c>
      <c r="B41" s="94" t="s">
        <v>1069</v>
      </c>
      <c r="C41" s="73" t="s">
        <v>4968</v>
      </c>
      <c r="D41" s="73"/>
      <c r="E41" s="73"/>
      <c r="F41" s="73"/>
      <c r="G41" s="73"/>
      <c r="H41" s="73"/>
      <c r="I41" s="73"/>
      <c r="J41" s="73"/>
      <c r="K41" s="73"/>
      <c r="L41" s="73"/>
      <c r="M41" s="73"/>
      <c r="N41" s="73"/>
    </row>
    <row r="42" spans="1:14" ht="22.5" customHeight="1">
      <c r="A42" s="78">
        <v>41</v>
      </c>
      <c r="B42" s="94" t="s">
        <v>4927</v>
      </c>
      <c r="C42" s="73" t="s">
        <v>4968</v>
      </c>
      <c r="D42" s="73"/>
      <c r="E42" s="73"/>
      <c r="F42" s="73"/>
      <c r="G42" s="73"/>
      <c r="H42" s="73"/>
      <c r="I42" s="73"/>
      <c r="J42" s="73"/>
      <c r="K42" s="73"/>
      <c r="L42" s="73"/>
      <c r="M42" s="73"/>
      <c r="N42" s="73"/>
    </row>
    <row r="43" spans="1:14" ht="22.5" customHeight="1">
      <c r="A43" s="78">
        <v>42</v>
      </c>
      <c r="B43" s="94" t="s">
        <v>221</v>
      </c>
      <c r="C43" s="73" t="s">
        <v>4968</v>
      </c>
      <c r="D43" s="73"/>
      <c r="E43" s="73"/>
      <c r="F43" s="73"/>
      <c r="G43" s="73"/>
      <c r="H43" s="73"/>
      <c r="I43" s="73"/>
      <c r="J43" s="73"/>
      <c r="K43" s="73"/>
      <c r="L43" s="73"/>
      <c r="M43" s="73"/>
      <c r="N43" s="73"/>
    </row>
    <row r="44" spans="1:14" ht="22.5" customHeight="1">
      <c r="A44" s="78">
        <v>43</v>
      </c>
      <c r="B44" s="94" t="s">
        <v>308</v>
      </c>
      <c r="C44" s="73" t="s">
        <v>4968</v>
      </c>
      <c r="D44" s="73"/>
      <c r="E44" s="73"/>
      <c r="F44" s="73"/>
      <c r="G44" s="73"/>
      <c r="H44" s="73"/>
      <c r="I44" s="73"/>
      <c r="J44" s="73"/>
      <c r="K44" s="73"/>
      <c r="L44" s="73"/>
      <c r="M44" s="73"/>
      <c r="N44" s="73"/>
    </row>
    <row r="45" spans="1:14" ht="22.5" customHeight="1">
      <c r="A45" s="78">
        <v>44</v>
      </c>
      <c r="B45" s="94" t="s">
        <v>160</v>
      </c>
      <c r="C45" s="73" t="s">
        <v>4968</v>
      </c>
      <c r="D45" s="73"/>
      <c r="E45" s="73"/>
      <c r="F45" s="73"/>
      <c r="G45" s="73"/>
      <c r="H45" s="73"/>
      <c r="I45" s="73"/>
      <c r="J45" s="73"/>
      <c r="K45" s="73"/>
      <c r="L45" s="73"/>
      <c r="M45" s="73"/>
      <c r="N45" s="73"/>
    </row>
    <row r="46" spans="1:14" ht="22.5" customHeight="1">
      <c r="A46" s="78">
        <v>45</v>
      </c>
      <c r="B46" s="94" t="s">
        <v>497</v>
      </c>
      <c r="C46" s="73" t="s">
        <v>4968</v>
      </c>
      <c r="D46" s="73"/>
      <c r="E46" s="73"/>
      <c r="F46" s="73"/>
      <c r="G46" s="73"/>
      <c r="H46" s="73"/>
      <c r="I46" s="73"/>
      <c r="J46" s="73"/>
      <c r="K46" s="73"/>
      <c r="L46" s="73"/>
      <c r="M46" s="73"/>
      <c r="N46" s="73"/>
    </row>
    <row r="47" spans="1:14" ht="22.5" customHeight="1">
      <c r="A47" s="78">
        <v>46</v>
      </c>
      <c r="B47" s="94" t="s">
        <v>184</v>
      </c>
      <c r="C47" s="73" t="s">
        <v>4968</v>
      </c>
      <c r="D47" s="73"/>
      <c r="E47" s="73"/>
      <c r="F47" s="73"/>
      <c r="G47" s="73"/>
      <c r="H47" s="73"/>
      <c r="I47" s="73"/>
      <c r="J47" s="73"/>
      <c r="K47" s="73"/>
      <c r="L47" s="73"/>
      <c r="M47" s="73"/>
      <c r="N47" s="73"/>
    </row>
    <row r="48" spans="1:14" ht="22.5" customHeight="1">
      <c r="A48" s="78">
        <v>47</v>
      </c>
      <c r="B48" s="94" t="s">
        <v>4930</v>
      </c>
      <c r="C48" s="73" t="s">
        <v>4968</v>
      </c>
      <c r="D48" s="73"/>
      <c r="E48" s="73"/>
      <c r="F48" s="73"/>
      <c r="G48" s="73"/>
      <c r="H48" s="73"/>
      <c r="I48" s="73"/>
      <c r="J48" s="73"/>
      <c r="K48" s="73"/>
      <c r="L48" s="73"/>
      <c r="M48" s="73"/>
      <c r="N48" s="73"/>
    </row>
    <row r="49" spans="1:26" ht="22.5" customHeight="1">
      <c r="A49" s="78">
        <v>48</v>
      </c>
      <c r="B49" s="94" t="s">
        <v>4931</v>
      </c>
      <c r="C49" s="73" t="s">
        <v>4968</v>
      </c>
      <c r="D49" s="73"/>
      <c r="E49" s="73"/>
      <c r="F49" s="73"/>
      <c r="G49" s="73"/>
      <c r="H49" s="73"/>
      <c r="I49" s="73"/>
      <c r="J49" s="73"/>
      <c r="K49" s="73"/>
      <c r="L49" s="73"/>
      <c r="M49" s="73"/>
      <c r="N49" s="73"/>
    </row>
    <row r="50" spans="1:26" ht="22.5" customHeight="1">
      <c r="A50" s="78">
        <v>49</v>
      </c>
      <c r="B50" s="94" t="s">
        <v>1682</v>
      </c>
      <c r="C50" s="95" t="s">
        <v>4967</v>
      </c>
      <c r="D50" s="95"/>
      <c r="E50" s="95"/>
      <c r="F50" s="95"/>
      <c r="G50" s="95"/>
      <c r="H50" s="95"/>
      <c r="I50" s="95"/>
      <c r="J50" s="95"/>
      <c r="K50" s="95"/>
      <c r="L50" s="95"/>
      <c r="M50" s="95"/>
      <c r="N50" s="95"/>
    </row>
    <row r="51" spans="1:26" ht="22.5" customHeight="1">
      <c r="A51" s="78">
        <v>50</v>
      </c>
      <c r="B51" s="94" t="s">
        <v>4932</v>
      </c>
      <c r="C51" s="73" t="s">
        <v>4968</v>
      </c>
      <c r="D51" s="73"/>
      <c r="E51" s="73"/>
      <c r="F51" s="73"/>
      <c r="G51" s="73"/>
      <c r="H51" s="73"/>
      <c r="I51" s="73"/>
      <c r="J51" s="73"/>
      <c r="K51" s="73"/>
      <c r="L51" s="73"/>
      <c r="M51" s="73"/>
      <c r="N51" s="73"/>
    </row>
    <row r="52" spans="1:26" ht="22.5" customHeight="1">
      <c r="A52" s="78">
        <v>51</v>
      </c>
      <c r="B52" s="94" t="s">
        <v>4933</v>
      </c>
      <c r="C52" s="73" t="s">
        <v>4968</v>
      </c>
      <c r="D52" s="73"/>
      <c r="E52" s="73"/>
      <c r="F52" s="73"/>
      <c r="G52" s="73"/>
      <c r="H52" s="73"/>
      <c r="I52" s="73"/>
      <c r="J52" s="73"/>
      <c r="K52" s="73"/>
      <c r="L52" s="73"/>
      <c r="M52" s="73"/>
      <c r="N52" s="73"/>
    </row>
    <row r="53" spans="1:26" ht="22.5" customHeight="1">
      <c r="A53" s="78">
        <v>52</v>
      </c>
      <c r="B53" s="94" t="s">
        <v>1039</v>
      </c>
      <c r="C53" s="73" t="s">
        <v>4969</v>
      </c>
      <c r="D53" s="73"/>
      <c r="E53" s="73"/>
      <c r="F53" s="73"/>
      <c r="G53" s="73"/>
      <c r="H53" s="73"/>
      <c r="I53" s="73"/>
      <c r="J53" s="73"/>
      <c r="K53" s="73"/>
      <c r="L53" s="73"/>
      <c r="M53" s="73"/>
      <c r="N53" s="73"/>
    </row>
    <row r="54" spans="1:26" ht="22.5" customHeight="1">
      <c r="A54" s="78">
        <v>53</v>
      </c>
      <c r="B54" s="94" t="s">
        <v>4895</v>
      </c>
      <c r="C54" s="73" t="s">
        <v>4968</v>
      </c>
      <c r="D54" s="73"/>
      <c r="E54" s="73"/>
      <c r="F54" s="73"/>
      <c r="G54" s="73"/>
      <c r="H54" s="73"/>
      <c r="I54" s="73"/>
      <c r="J54" s="73"/>
      <c r="K54" s="73"/>
      <c r="L54" s="73"/>
      <c r="M54" s="73"/>
      <c r="N54" s="73"/>
    </row>
    <row r="55" spans="1:26" ht="22.5" customHeight="1">
      <c r="A55" s="78">
        <v>54</v>
      </c>
      <c r="B55" s="94" t="s">
        <v>1040</v>
      </c>
      <c r="C55" s="73" t="s">
        <v>4969</v>
      </c>
      <c r="D55" s="73"/>
      <c r="E55" s="73"/>
      <c r="F55" s="73"/>
      <c r="G55" s="73"/>
      <c r="H55" s="73"/>
      <c r="I55" s="73"/>
      <c r="J55" s="73"/>
      <c r="K55" s="73"/>
      <c r="L55" s="73"/>
      <c r="M55" s="73"/>
      <c r="N55" s="73"/>
    </row>
    <row r="56" spans="1:26" ht="22.5" customHeight="1">
      <c r="A56" s="78">
        <v>55</v>
      </c>
      <c r="B56" s="94" t="s">
        <v>1410</v>
      </c>
      <c r="C56" s="73" t="s">
        <v>4968</v>
      </c>
      <c r="D56" s="73"/>
      <c r="E56" s="73"/>
      <c r="F56" s="73"/>
      <c r="G56" s="73"/>
      <c r="H56" s="73"/>
      <c r="I56" s="73"/>
      <c r="J56" s="73"/>
      <c r="K56" s="73"/>
      <c r="L56" s="73"/>
      <c r="M56" s="73"/>
      <c r="N56" s="73"/>
    </row>
    <row r="57" spans="1:26" ht="22.5" customHeight="1">
      <c r="A57" s="78">
        <v>56</v>
      </c>
      <c r="B57" s="94" t="s">
        <v>4934</v>
      </c>
      <c r="C57" s="73" t="s">
        <v>4968</v>
      </c>
      <c r="D57" s="73"/>
      <c r="E57" s="73"/>
      <c r="F57" s="73"/>
      <c r="G57" s="73"/>
      <c r="H57" s="73"/>
      <c r="I57" s="73"/>
      <c r="J57" s="73"/>
      <c r="K57" s="73"/>
      <c r="L57" s="73"/>
      <c r="M57" s="73"/>
      <c r="N57" s="73"/>
    </row>
    <row r="58" spans="1:26" ht="22.5" customHeight="1">
      <c r="A58" s="78">
        <v>57</v>
      </c>
      <c r="B58" s="94" t="s">
        <v>4935</v>
      </c>
      <c r="C58" s="73" t="s">
        <v>4968</v>
      </c>
      <c r="D58" s="73"/>
      <c r="E58" s="73"/>
      <c r="F58" s="73"/>
      <c r="G58" s="73"/>
      <c r="H58" s="73"/>
      <c r="I58" s="73"/>
      <c r="J58" s="73"/>
      <c r="K58" s="73"/>
      <c r="L58" s="73"/>
      <c r="M58" s="73"/>
      <c r="N58" s="73"/>
    </row>
    <row r="59" spans="1:26" ht="22.5" customHeight="1">
      <c r="A59" s="78">
        <v>58</v>
      </c>
      <c r="B59" s="94" t="s">
        <v>4936</v>
      </c>
      <c r="C59" s="73" t="s">
        <v>4968</v>
      </c>
      <c r="D59" s="73"/>
      <c r="E59" s="73"/>
      <c r="F59" s="73"/>
      <c r="G59" s="73"/>
      <c r="H59" s="73"/>
      <c r="I59" s="73"/>
      <c r="J59" s="73"/>
      <c r="K59" s="73"/>
      <c r="L59" s="73"/>
      <c r="M59" s="73"/>
      <c r="N59" s="73"/>
    </row>
    <row r="60" spans="1:26" ht="22.5" customHeight="1">
      <c r="A60" s="78">
        <v>59</v>
      </c>
      <c r="B60" s="94" t="s">
        <v>307</v>
      </c>
      <c r="C60" s="73" t="s">
        <v>4968</v>
      </c>
      <c r="D60" s="73"/>
      <c r="E60" s="73"/>
      <c r="F60" s="73"/>
      <c r="G60" s="73"/>
      <c r="H60" s="73"/>
      <c r="I60" s="73"/>
      <c r="J60" s="73"/>
      <c r="K60" s="73"/>
      <c r="L60" s="73"/>
      <c r="M60" s="73"/>
      <c r="N60" s="73"/>
      <c r="O60" s="34"/>
      <c r="P60" s="34"/>
      <c r="Q60" s="34"/>
      <c r="R60" s="34"/>
      <c r="S60" s="34"/>
      <c r="T60" s="34"/>
      <c r="U60" s="34"/>
      <c r="V60" s="34"/>
      <c r="W60" s="34"/>
      <c r="X60" s="34"/>
      <c r="Y60" s="34"/>
      <c r="Z60" s="34"/>
    </row>
    <row r="61" spans="1:26" ht="22.5" customHeight="1">
      <c r="A61" s="78">
        <v>60</v>
      </c>
      <c r="B61" s="94" t="s">
        <v>834</v>
      </c>
      <c r="C61" s="73" t="s">
        <v>4968</v>
      </c>
      <c r="D61" s="73"/>
      <c r="E61" s="73"/>
      <c r="F61" s="73"/>
      <c r="G61" s="73"/>
      <c r="H61" s="73"/>
      <c r="I61" s="73"/>
      <c r="J61" s="73"/>
      <c r="K61" s="73"/>
      <c r="L61" s="73"/>
      <c r="M61" s="73"/>
      <c r="N61" s="73"/>
    </row>
    <row r="62" spans="1:26" ht="22.5" customHeight="1">
      <c r="A62" s="78">
        <v>61</v>
      </c>
      <c r="B62" s="94" t="s">
        <v>4939</v>
      </c>
      <c r="C62" s="95" t="s">
        <v>4967</v>
      </c>
      <c r="D62" s="95"/>
      <c r="E62" s="95"/>
      <c r="F62" s="95"/>
      <c r="G62" s="95"/>
      <c r="H62" s="95"/>
      <c r="I62" s="95"/>
      <c r="J62" s="95"/>
      <c r="K62" s="95"/>
      <c r="L62" s="95"/>
      <c r="M62" s="95"/>
      <c r="N62" s="95"/>
    </row>
    <row r="63" spans="1:26" ht="22.5" customHeight="1">
      <c r="A63" s="78">
        <v>62</v>
      </c>
      <c r="B63" s="94" t="s">
        <v>1889</v>
      </c>
      <c r="C63" s="73" t="s">
        <v>4968</v>
      </c>
      <c r="D63" s="73"/>
      <c r="E63" s="73"/>
      <c r="F63" s="73"/>
      <c r="G63" s="73"/>
      <c r="H63" s="73"/>
      <c r="I63" s="73"/>
      <c r="J63" s="73"/>
      <c r="K63" s="73"/>
      <c r="L63" s="73"/>
      <c r="M63" s="73"/>
      <c r="N63" s="73"/>
    </row>
    <row r="64" spans="1:26" ht="22.5" customHeight="1">
      <c r="A64" s="78">
        <v>63</v>
      </c>
      <c r="B64" s="94" t="s">
        <v>507</v>
      </c>
      <c r="C64" s="73" t="s">
        <v>4968</v>
      </c>
      <c r="D64" s="73"/>
      <c r="E64" s="73"/>
      <c r="F64" s="73"/>
      <c r="G64" s="73"/>
      <c r="H64" s="73"/>
      <c r="I64" s="73"/>
      <c r="J64" s="73"/>
      <c r="K64" s="73"/>
      <c r="L64" s="73"/>
      <c r="M64" s="73"/>
      <c r="N64" s="73"/>
    </row>
    <row r="65" spans="1:14" ht="22.5" customHeight="1">
      <c r="A65" s="78">
        <v>64</v>
      </c>
      <c r="B65" s="94" t="s">
        <v>598</v>
      </c>
      <c r="C65" s="73" t="s">
        <v>4968</v>
      </c>
      <c r="D65" s="73"/>
      <c r="E65" s="73"/>
      <c r="F65" s="73"/>
      <c r="G65" s="73"/>
      <c r="H65" s="73"/>
      <c r="I65" s="73"/>
      <c r="J65" s="73"/>
      <c r="K65" s="73"/>
      <c r="L65" s="73"/>
      <c r="M65" s="73"/>
      <c r="N65" s="73"/>
    </row>
    <row r="66" spans="1:14" ht="22.5" customHeight="1">
      <c r="A66" s="78">
        <v>65</v>
      </c>
      <c r="B66" s="94" t="s">
        <v>4943</v>
      </c>
      <c r="C66" s="73" t="s">
        <v>4968</v>
      </c>
      <c r="D66" s="73"/>
      <c r="E66" s="73"/>
      <c r="F66" s="73"/>
      <c r="G66" s="73"/>
      <c r="H66" s="73"/>
      <c r="I66" s="73"/>
      <c r="J66" s="73"/>
      <c r="K66" s="73"/>
      <c r="L66" s="73"/>
      <c r="M66" s="73"/>
      <c r="N66" s="73"/>
    </row>
    <row r="67" spans="1:14" ht="22.5" customHeight="1">
      <c r="A67" s="78">
        <v>66</v>
      </c>
      <c r="B67" s="94" t="s">
        <v>4945</v>
      </c>
      <c r="C67" s="95" t="s">
        <v>4970</v>
      </c>
      <c r="D67" s="95"/>
      <c r="E67" s="95"/>
      <c r="F67" s="95"/>
      <c r="G67" s="95"/>
      <c r="H67" s="95"/>
      <c r="I67" s="95"/>
      <c r="J67" s="95"/>
      <c r="K67" s="95"/>
      <c r="L67" s="95"/>
      <c r="M67" s="95"/>
      <c r="N67" s="95"/>
    </row>
    <row r="68" spans="1:14" ht="22.5" customHeight="1">
      <c r="A68" s="78">
        <v>67</v>
      </c>
      <c r="B68" s="94" t="s">
        <v>4947</v>
      </c>
      <c r="C68" s="95" t="s">
        <v>4970</v>
      </c>
      <c r="D68" s="95"/>
      <c r="E68" s="95"/>
      <c r="F68" s="95"/>
      <c r="G68" s="95"/>
      <c r="H68" s="95"/>
      <c r="I68" s="95"/>
      <c r="J68" s="95"/>
      <c r="K68" s="95"/>
      <c r="L68" s="95"/>
      <c r="M68" s="95"/>
      <c r="N68" s="95"/>
    </row>
    <row r="69" spans="1:14" ht="22.5" customHeight="1">
      <c r="A69" s="78">
        <v>68</v>
      </c>
      <c r="B69" s="94" t="s">
        <v>4948</v>
      </c>
      <c r="C69" s="95" t="s">
        <v>4970</v>
      </c>
      <c r="D69" s="95"/>
      <c r="E69" s="95"/>
      <c r="F69" s="95"/>
      <c r="G69" s="95"/>
      <c r="H69" s="95"/>
      <c r="I69" s="95"/>
      <c r="J69" s="95"/>
      <c r="K69" s="95"/>
      <c r="L69" s="95"/>
      <c r="M69" s="95"/>
      <c r="N69" s="95"/>
    </row>
    <row r="70" spans="1:14" ht="22.5" customHeight="1">
      <c r="A70" s="78">
        <v>69</v>
      </c>
      <c r="B70" s="94" t="s">
        <v>1504</v>
      </c>
      <c r="C70" s="73" t="s">
        <v>4968</v>
      </c>
      <c r="D70" s="73"/>
      <c r="E70" s="73"/>
      <c r="F70" s="73"/>
      <c r="G70" s="73"/>
      <c r="H70" s="73"/>
      <c r="I70" s="73"/>
      <c r="J70" s="73"/>
      <c r="K70" s="73"/>
      <c r="L70" s="73"/>
      <c r="M70" s="73"/>
      <c r="N70" s="73"/>
    </row>
    <row r="71" spans="1:14" ht="22.5" customHeight="1">
      <c r="A71" s="78">
        <v>70</v>
      </c>
      <c r="B71" s="94" t="s">
        <v>4949</v>
      </c>
      <c r="C71" s="73" t="s">
        <v>4969</v>
      </c>
      <c r="D71" s="73"/>
      <c r="E71" s="73"/>
      <c r="F71" s="73"/>
      <c r="G71" s="73"/>
      <c r="H71" s="73"/>
      <c r="I71" s="73"/>
      <c r="J71" s="73"/>
      <c r="K71" s="73"/>
      <c r="L71" s="73"/>
      <c r="M71" s="73"/>
      <c r="N71" s="73"/>
    </row>
    <row r="72" spans="1:14" ht="22.5" customHeight="1">
      <c r="A72" s="78">
        <v>71</v>
      </c>
      <c r="B72" s="94" t="s">
        <v>4950</v>
      </c>
      <c r="C72" s="73" t="s">
        <v>4969</v>
      </c>
      <c r="D72" s="73"/>
      <c r="E72" s="73"/>
      <c r="F72" s="73"/>
      <c r="G72" s="73"/>
      <c r="H72" s="73"/>
      <c r="I72" s="73"/>
      <c r="J72" s="73"/>
      <c r="K72" s="73"/>
      <c r="L72" s="73"/>
      <c r="M72" s="73"/>
      <c r="N72" s="73"/>
    </row>
    <row r="73" spans="1:14" ht="22.5" customHeight="1">
      <c r="A73" s="78">
        <v>72</v>
      </c>
      <c r="B73" s="94" t="s">
        <v>4951</v>
      </c>
      <c r="C73" s="73" t="s">
        <v>4968</v>
      </c>
      <c r="D73" s="73"/>
      <c r="E73" s="73"/>
      <c r="F73" s="73"/>
      <c r="G73" s="73"/>
      <c r="H73" s="73"/>
      <c r="I73" s="73"/>
      <c r="J73" s="73"/>
      <c r="K73" s="73"/>
      <c r="L73" s="73"/>
      <c r="M73" s="73"/>
      <c r="N73" s="73"/>
    </row>
    <row r="74" spans="1:14" ht="22.5" customHeight="1">
      <c r="A74" s="78">
        <v>73</v>
      </c>
      <c r="B74" s="94" t="s">
        <v>4952</v>
      </c>
      <c r="C74" s="73" t="s">
        <v>4968</v>
      </c>
      <c r="D74" s="73"/>
      <c r="E74" s="73"/>
      <c r="F74" s="73"/>
      <c r="G74" s="73"/>
      <c r="H74" s="73"/>
      <c r="I74" s="73"/>
      <c r="J74" s="73"/>
      <c r="K74" s="73"/>
      <c r="L74" s="73"/>
      <c r="M74" s="73"/>
      <c r="N74" s="73"/>
    </row>
    <row r="75" spans="1:14" ht="22.5" customHeight="1">
      <c r="A75" s="78">
        <v>74</v>
      </c>
      <c r="B75" s="94" t="s">
        <v>4953</v>
      </c>
      <c r="C75" s="73" t="s">
        <v>4968</v>
      </c>
      <c r="D75" s="73"/>
      <c r="E75" s="73"/>
      <c r="F75" s="73"/>
      <c r="G75" s="73"/>
      <c r="H75" s="73"/>
      <c r="I75" s="73"/>
      <c r="J75" s="73"/>
      <c r="K75" s="73"/>
      <c r="L75" s="73"/>
      <c r="M75" s="73"/>
      <c r="N75" s="73"/>
    </row>
    <row r="76" spans="1:14" ht="22.5" customHeight="1">
      <c r="A76" s="78">
        <v>75</v>
      </c>
      <c r="B76" s="94" t="s">
        <v>4954</v>
      </c>
      <c r="C76" s="73" t="s">
        <v>4968</v>
      </c>
      <c r="D76" s="73"/>
      <c r="E76" s="73"/>
      <c r="F76" s="73"/>
      <c r="G76" s="73"/>
      <c r="H76" s="73"/>
      <c r="I76" s="73"/>
      <c r="J76" s="73"/>
      <c r="K76" s="73"/>
      <c r="L76" s="73"/>
      <c r="M76" s="73"/>
      <c r="N76" s="73"/>
    </row>
    <row r="77" spans="1:14" ht="22.5" customHeight="1">
      <c r="A77" s="78">
        <v>76</v>
      </c>
      <c r="B77" s="94" t="s">
        <v>4955</v>
      </c>
      <c r="C77" s="73" t="s">
        <v>4968</v>
      </c>
      <c r="D77" s="73"/>
      <c r="E77" s="73"/>
      <c r="F77" s="73"/>
      <c r="G77" s="73"/>
      <c r="H77" s="73"/>
      <c r="I77" s="73"/>
      <c r="J77" s="73"/>
      <c r="K77" s="73"/>
      <c r="L77" s="73"/>
      <c r="M77" s="73"/>
      <c r="N77" s="73"/>
    </row>
    <row r="78" spans="1:14" ht="22.5" customHeight="1">
      <c r="A78" s="78">
        <v>77</v>
      </c>
      <c r="B78" s="94" t="s">
        <v>4956</v>
      </c>
      <c r="C78" s="73" t="s">
        <v>4968</v>
      </c>
      <c r="D78" s="73"/>
      <c r="E78" s="73"/>
      <c r="F78" s="73"/>
      <c r="G78" s="73"/>
      <c r="H78" s="73"/>
      <c r="I78" s="73"/>
      <c r="J78" s="73"/>
      <c r="K78" s="73"/>
      <c r="L78" s="73"/>
      <c r="M78" s="73"/>
      <c r="N78" s="73"/>
    </row>
    <row r="79" spans="1:14" ht="22.5" customHeight="1">
      <c r="A79" s="78">
        <v>78</v>
      </c>
      <c r="B79" s="94" t="s">
        <v>207</v>
      </c>
      <c r="C79" s="73" t="s">
        <v>4968</v>
      </c>
      <c r="D79" s="73"/>
      <c r="E79" s="73"/>
      <c r="F79" s="73"/>
      <c r="G79" s="73"/>
      <c r="H79" s="73"/>
      <c r="I79" s="73"/>
      <c r="J79" s="73"/>
      <c r="K79" s="73"/>
      <c r="L79" s="73"/>
      <c r="M79" s="73"/>
      <c r="N79" s="73"/>
    </row>
    <row r="80" spans="1:14" ht="22.5" customHeight="1">
      <c r="A80" s="78">
        <v>79</v>
      </c>
      <c r="B80" s="94" t="s">
        <v>480</v>
      </c>
      <c r="C80" s="73" t="s">
        <v>4968</v>
      </c>
      <c r="D80" s="73"/>
      <c r="E80" s="73"/>
      <c r="F80" s="73"/>
      <c r="G80" s="73"/>
      <c r="H80" s="73"/>
      <c r="I80" s="73"/>
      <c r="J80" s="73"/>
      <c r="K80" s="73"/>
      <c r="L80" s="73"/>
      <c r="M80" s="73"/>
      <c r="N80" s="73"/>
    </row>
    <row r="81" spans="1:14" ht="22.5" customHeight="1">
      <c r="A81" s="78">
        <v>80</v>
      </c>
      <c r="B81" s="94" t="s">
        <v>196</v>
      </c>
      <c r="C81" s="73" t="s">
        <v>4968</v>
      </c>
      <c r="D81" s="73"/>
      <c r="E81" s="73"/>
      <c r="F81" s="73"/>
      <c r="G81" s="73"/>
      <c r="H81" s="73"/>
      <c r="I81" s="73"/>
      <c r="J81" s="73"/>
      <c r="K81" s="73"/>
      <c r="L81" s="73"/>
      <c r="M81" s="73"/>
      <c r="N81" s="73"/>
    </row>
    <row r="82" spans="1:14" ht="22.5" customHeight="1">
      <c r="A82" s="78">
        <v>81</v>
      </c>
      <c r="B82" s="94" t="s">
        <v>4957</v>
      </c>
      <c r="C82" s="73" t="s">
        <v>4968</v>
      </c>
      <c r="D82" s="73"/>
      <c r="E82" s="73"/>
      <c r="F82" s="73"/>
      <c r="G82" s="73"/>
      <c r="H82" s="73"/>
      <c r="I82" s="73"/>
      <c r="J82" s="73"/>
      <c r="K82" s="73"/>
      <c r="L82" s="73"/>
      <c r="M82" s="73"/>
      <c r="N82" s="73"/>
    </row>
    <row r="83" spans="1:14" ht="14.5">
      <c r="A83" s="96">
        <v>82</v>
      </c>
      <c r="B83" s="96" t="s">
        <v>1355</v>
      </c>
      <c r="C83" s="73" t="s">
        <v>4968</v>
      </c>
      <c r="D83" s="34"/>
      <c r="E83" s="34"/>
    </row>
    <row r="84" spans="1:14" ht="14.5">
      <c r="A84" s="96">
        <v>83</v>
      </c>
      <c r="B84" s="96" t="s">
        <v>1929</v>
      </c>
      <c r="C84" s="73" t="s">
        <v>149</v>
      </c>
      <c r="D84" s="34"/>
      <c r="E84" s="34"/>
    </row>
    <row r="85" spans="1:14" ht="14.5">
      <c r="A85" s="96">
        <v>84</v>
      </c>
      <c r="B85" s="96" t="s">
        <v>2006</v>
      </c>
      <c r="C85" s="73" t="s">
        <v>149</v>
      </c>
      <c r="D85" s="34"/>
      <c r="E85" s="34"/>
    </row>
    <row r="86" spans="1:14" ht="12.5">
      <c r="A86" s="96"/>
      <c r="B86" s="96"/>
      <c r="C86" s="34"/>
      <c r="D86" s="34"/>
      <c r="E86" s="34"/>
    </row>
    <row r="87" spans="1:14" ht="12.5">
      <c r="A87" s="96"/>
      <c r="B87" s="96"/>
      <c r="C87" s="34"/>
      <c r="D87" s="34"/>
      <c r="E87" s="34"/>
    </row>
    <row r="88" spans="1:14" ht="12.5">
      <c r="A88" s="96"/>
      <c r="B88" s="96"/>
      <c r="C88" s="34"/>
      <c r="D88" s="34"/>
      <c r="E88" s="34"/>
    </row>
    <row r="89" spans="1:14" ht="12.5">
      <c r="A89" s="96"/>
      <c r="B89" s="96"/>
      <c r="C89" s="34"/>
      <c r="D89" s="34"/>
      <c r="E89" s="34"/>
    </row>
    <row r="90" spans="1:14" ht="12.5">
      <c r="A90" s="96"/>
      <c r="B90" s="96"/>
      <c r="C90" s="34"/>
      <c r="D90" s="34"/>
      <c r="E90" s="34"/>
    </row>
    <row r="91" spans="1:14" ht="12.5">
      <c r="A91" s="96"/>
      <c r="B91" s="96"/>
      <c r="C91" s="34"/>
      <c r="D91" s="34"/>
      <c r="E91" s="34"/>
    </row>
    <row r="92" spans="1:14" ht="12.5">
      <c r="A92" s="96"/>
      <c r="B92" s="96"/>
      <c r="C92" s="34"/>
      <c r="D92" s="34"/>
      <c r="E92" s="34"/>
    </row>
    <row r="93" spans="1:14" ht="12.5">
      <c r="A93" s="96"/>
      <c r="B93" s="96"/>
      <c r="C93" s="34"/>
      <c r="D93" s="34"/>
      <c r="E93" s="34"/>
    </row>
    <row r="94" spans="1:14" ht="12.5">
      <c r="A94" s="96"/>
      <c r="B94" s="96"/>
      <c r="C94" s="34"/>
      <c r="D94" s="34"/>
      <c r="E94" s="34"/>
    </row>
    <row r="95" spans="1:14" ht="12.5">
      <c r="A95" s="96"/>
      <c r="B95" s="96"/>
      <c r="C95" s="34"/>
      <c r="D95" s="34"/>
      <c r="E95" s="34"/>
    </row>
    <row r="96" spans="1:14" ht="12.5">
      <c r="A96" s="96"/>
      <c r="B96" s="96"/>
      <c r="C96" s="34"/>
      <c r="D96" s="34"/>
      <c r="E96" s="34"/>
    </row>
    <row r="97" spans="1:5" ht="12.5">
      <c r="A97" s="96"/>
      <c r="B97" s="96"/>
      <c r="C97" s="34"/>
      <c r="D97" s="34"/>
      <c r="E97" s="34"/>
    </row>
    <row r="98" spans="1:5" ht="12.5">
      <c r="A98" s="96"/>
      <c r="B98" s="96"/>
      <c r="C98" s="34"/>
      <c r="D98" s="34"/>
      <c r="E98" s="34"/>
    </row>
    <row r="99" spans="1:5" ht="12.5">
      <c r="A99" s="96"/>
      <c r="B99" s="96"/>
      <c r="C99" s="34"/>
      <c r="D99" s="34"/>
      <c r="E99" s="34"/>
    </row>
    <row r="100" spans="1:5" ht="12.5">
      <c r="A100" s="32"/>
      <c r="B100" s="32"/>
    </row>
    <row r="101" spans="1:5" ht="12.5">
      <c r="A101" s="32"/>
      <c r="B101" s="32"/>
    </row>
    <row r="102" spans="1:5" ht="12.5">
      <c r="A102" s="32"/>
      <c r="B102" s="32"/>
    </row>
    <row r="103" spans="1:5" ht="12.5">
      <c r="A103" s="32"/>
      <c r="B103" s="32"/>
    </row>
    <row r="104" spans="1:5" ht="12.5">
      <c r="A104" s="32"/>
      <c r="B104" s="32"/>
    </row>
    <row r="105" spans="1:5" ht="12.5">
      <c r="A105" s="32"/>
      <c r="B105" s="32"/>
    </row>
    <row r="106" spans="1:5" ht="12.5">
      <c r="A106" s="32"/>
      <c r="B106" s="32"/>
    </row>
    <row r="107" spans="1:5" ht="12.5">
      <c r="A107" s="32"/>
      <c r="B107" s="32"/>
    </row>
    <row r="108" spans="1:5" ht="12.5">
      <c r="A108" s="32"/>
      <c r="B108" s="32"/>
    </row>
    <row r="109" spans="1:5" ht="12.5">
      <c r="A109" s="32"/>
      <c r="B109" s="32"/>
    </row>
    <row r="110" spans="1:5" ht="12.5">
      <c r="A110" s="32"/>
      <c r="B110" s="32"/>
    </row>
    <row r="111" spans="1:5" ht="12.5">
      <c r="A111" s="32"/>
      <c r="B111" s="32"/>
    </row>
    <row r="112" spans="1:5" ht="12.5">
      <c r="A112" s="32"/>
      <c r="B112" s="32"/>
    </row>
    <row r="113" spans="1:2" ht="12.5">
      <c r="A113" s="32"/>
      <c r="B113" s="32"/>
    </row>
    <row r="114" spans="1:2" ht="12.5">
      <c r="A114" s="32"/>
      <c r="B114" s="32"/>
    </row>
    <row r="115" spans="1:2" ht="12.5">
      <c r="A115" s="32"/>
      <c r="B115" s="32"/>
    </row>
    <row r="116" spans="1:2" ht="12.5">
      <c r="A116" s="32"/>
      <c r="B116" s="32"/>
    </row>
    <row r="117" spans="1:2" ht="12.5">
      <c r="A117" s="32"/>
      <c r="B117" s="32"/>
    </row>
    <row r="118" spans="1:2" ht="12.5">
      <c r="A118" s="32"/>
      <c r="B118" s="32"/>
    </row>
    <row r="119" spans="1:2" ht="12.5">
      <c r="A119" s="32"/>
      <c r="B119" s="32"/>
    </row>
    <row r="120" spans="1:2" ht="12.5">
      <c r="A120" s="32"/>
      <c r="B120" s="32"/>
    </row>
    <row r="121" spans="1:2" ht="12.5">
      <c r="A121" s="32"/>
      <c r="B121" s="32"/>
    </row>
    <row r="122" spans="1:2" ht="12.5">
      <c r="A122" s="32"/>
      <c r="B122" s="32"/>
    </row>
    <row r="123" spans="1:2" ht="12.5">
      <c r="A123" s="32"/>
      <c r="B123" s="32"/>
    </row>
    <row r="124" spans="1:2" ht="12.5">
      <c r="A124" s="32"/>
      <c r="B124" s="32"/>
    </row>
    <row r="125" spans="1:2" ht="12.5">
      <c r="A125" s="32"/>
      <c r="B125" s="32"/>
    </row>
    <row r="126" spans="1:2" ht="12.5">
      <c r="A126" s="32"/>
      <c r="B126" s="32"/>
    </row>
    <row r="127" spans="1:2" ht="12.5">
      <c r="A127" s="32"/>
      <c r="B127" s="32"/>
    </row>
    <row r="128" spans="1:2" ht="12.5">
      <c r="A128" s="32"/>
      <c r="B128" s="32"/>
    </row>
    <row r="129" spans="1:2" ht="12.5">
      <c r="A129" s="32"/>
      <c r="B129" s="32"/>
    </row>
    <row r="130" spans="1:2" ht="12.5">
      <c r="A130" s="32"/>
      <c r="B130" s="32"/>
    </row>
    <row r="131" spans="1:2" ht="12.5">
      <c r="A131" s="32"/>
      <c r="B131" s="32"/>
    </row>
    <row r="132" spans="1:2" ht="12.5">
      <c r="A132" s="32"/>
      <c r="B132" s="32"/>
    </row>
    <row r="133" spans="1:2" ht="12.5">
      <c r="A133" s="32"/>
      <c r="B133" s="32"/>
    </row>
    <row r="134" spans="1:2" ht="12.5">
      <c r="A134" s="32"/>
      <c r="B134" s="32"/>
    </row>
    <row r="135" spans="1:2" ht="12.5">
      <c r="A135" s="32"/>
      <c r="B135" s="32"/>
    </row>
    <row r="136" spans="1:2" ht="12.5">
      <c r="A136" s="32"/>
      <c r="B136" s="32"/>
    </row>
    <row r="137" spans="1:2" ht="12.5">
      <c r="A137" s="32"/>
      <c r="B137" s="32"/>
    </row>
    <row r="138" spans="1:2" ht="12.5">
      <c r="A138" s="32"/>
      <c r="B138" s="32"/>
    </row>
    <row r="139" spans="1:2" ht="12.5">
      <c r="A139" s="32"/>
      <c r="B139" s="32"/>
    </row>
    <row r="140" spans="1:2" ht="12.5">
      <c r="A140" s="32"/>
      <c r="B140" s="32"/>
    </row>
    <row r="141" spans="1:2" ht="12.5">
      <c r="A141" s="32"/>
      <c r="B141" s="32"/>
    </row>
    <row r="142" spans="1:2" ht="12.5">
      <c r="A142" s="32"/>
      <c r="B142" s="32"/>
    </row>
    <row r="143" spans="1:2" ht="12.5">
      <c r="A143" s="32"/>
      <c r="B143" s="32"/>
    </row>
    <row r="144" spans="1:2" ht="12.5">
      <c r="A144" s="32"/>
      <c r="B144" s="32"/>
    </row>
    <row r="145" spans="1:2" ht="12.5">
      <c r="A145" s="32"/>
      <c r="B145" s="32"/>
    </row>
    <row r="146" spans="1:2" ht="12.5">
      <c r="A146" s="32"/>
      <c r="B146" s="32"/>
    </row>
    <row r="147" spans="1:2" ht="12.5">
      <c r="A147" s="32"/>
      <c r="B147" s="32"/>
    </row>
    <row r="148" spans="1:2" ht="12.5">
      <c r="A148" s="32"/>
      <c r="B148" s="32"/>
    </row>
    <row r="149" spans="1:2" ht="12.5">
      <c r="A149" s="32"/>
      <c r="B149" s="32"/>
    </row>
    <row r="150" spans="1:2" ht="12.5">
      <c r="A150" s="32"/>
      <c r="B150" s="32"/>
    </row>
    <row r="151" spans="1:2" ht="12.5">
      <c r="A151" s="32"/>
      <c r="B151" s="32"/>
    </row>
    <row r="152" spans="1:2" ht="12.5">
      <c r="A152" s="32"/>
      <c r="B152" s="32"/>
    </row>
    <row r="153" spans="1:2" ht="12.5">
      <c r="A153" s="32"/>
      <c r="B153" s="32"/>
    </row>
    <row r="154" spans="1:2" ht="12.5">
      <c r="A154" s="32"/>
      <c r="B154" s="32"/>
    </row>
    <row r="155" spans="1:2" ht="12.5">
      <c r="A155" s="32"/>
      <c r="B155" s="32"/>
    </row>
    <row r="156" spans="1:2" ht="12.5">
      <c r="A156" s="32"/>
      <c r="B156" s="32"/>
    </row>
    <row r="157" spans="1:2" ht="12.5">
      <c r="A157" s="32"/>
      <c r="B157" s="32"/>
    </row>
    <row r="158" spans="1:2" ht="12.5">
      <c r="A158" s="32"/>
      <c r="B158" s="32"/>
    </row>
    <row r="159" spans="1:2" ht="12.5">
      <c r="A159" s="32"/>
      <c r="B159" s="32"/>
    </row>
    <row r="160" spans="1:2" ht="12.5">
      <c r="A160" s="32"/>
      <c r="B160" s="32"/>
    </row>
    <row r="161" spans="1:2" ht="12.5">
      <c r="A161" s="32"/>
      <c r="B161" s="32"/>
    </row>
    <row r="162" spans="1:2" ht="12.5">
      <c r="A162" s="32"/>
      <c r="B162" s="32"/>
    </row>
    <row r="163" spans="1:2" ht="12.5">
      <c r="A163" s="32"/>
      <c r="B163" s="32"/>
    </row>
    <row r="164" spans="1:2" ht="12.5">
      <c r="A164" s="32"/>
      <c r="B164" s="32"/>
    </row>
    <row r="165" spans="1:2" ht="12.5">
      <c r="A165" s="32"/>
      <c r="B165" s="32"/>
    </row>
    <row r="166" spans="1:2" ht="12.5">
      <c r="A166" s="32"/>
      <c r="B166" s="32"/>
    </row>
    <row r="167" spans="1:2" ht="12.5">
      <c r="A167" s="32"/>
      <c r="B167" s="32"/>
    </row>
    <row r="168" spans="1:2" ht="12.5">
      <c r="A168" s="32"/>
      <c r="B168" s="32"/>
    </row>
    <row r="169" spans="1:2" ht="12.5">
      <c r="A169" s="32"/>
      <c r="B169" s="32"/>
    </row>
    <row r="170" spans="1:2" ht="12.5">
      <c r="A170" s="32"/>
      <c r="B170" s="32"/>
    </row>
    <row r="171" spans="1:2" ht="12.5">
      <c r="A171" s="32"/>
      <c r="B171" s="32"/>
    </row>
    <row r="172" spans="1:2" ht="12.5">
      <c r="A172" s="32"/>
      <c r="B172" s="32"/>
    </row>
    <row r="173" spans="1:2" ht="12.5">
      <c r="A173" s="32"/>
      <c r="B173" s="32"/>
    </row>
    <row r="174" spans="1:2" ht="12.5">
      <c r="A174" s="32"/>
      <c r="B174" s="32"/>
    </row>
    <row r="175" spans="1:2" ht="12.5">
      <c r="A175" s="32"/>
      <c r="B175" s="32"/>
    </row>
    <row r="176" spans="1:2" ht="12.5">
      <c r="A176" s="32"/>
      <c r="B176" s="32"/>
    </row>
    <row r="177" spans="1:2" ht="12.5">
      <c r="A177" s="32"/>
      <c r="B177" s="32"/>
    </row>
    <row r="178" spans="1:2" ht="12.5">
      <c r="A178" s="32"/>
      <c r="B178" s="32"/>
    </row>
    <row r="179" spans="1:2" ht="12.5">
      <c r="A179" s="32"/>
      <c r="B179" s="32"/>
    </row>
    <row r="180" spans="1:2" ht="12.5">
      <c r="A180" s="32"/>
      <c r="B180" s="32"/>
    </row>
    <row r="181" spans="1:2" ht="12.5">
      <c r="A181" s="32"/>
      <c r="B181" s="32"/>
    </row>
    <row r="182" spans="1:2" ht="12.5">
      <c r="A182" s="32"/>
      <c r="B182" s="32"/>
    </row>
    <row r="183" spans="1:2" ht="12.5">
      <c r="A183" s="32"/>
      <c r="B183" s="32"/>
    </row>
    <row r="184" spans="1:2" ht="12.5">
      <c r="A184" s="32"/>
      <c r="B184" s="32"/>
    </row>
    <row r="185" spans="1:2" ht="12.5">
      <c r="A185" s="32"/>
      <c r="B185" s="32"/>
    </row>
    <row r="186" spans="1:2" ht="12.5">
      <c r="A186" s="32"/>
      <c r="B186" s="32"/>
    </row>
    <row r="187" spans="1:2" ht="12.5">
      <c r="A187" s="32"/>
      <c r="B187" s="32"/>
    </row>
    <row r="188" spans="1:2" ht="12.5">
      <c r="A188" s="32"/>
      <c r="B188" s="32"/>
    </row>
    <row r="189" spans="1:2" ht="12.5">
      <c r="A189" s="32"/>
      <c r="B189" s="32"/>
    </row>
    <row r="190" spans="1:2" ht="12.5">
      <c r="A190" s="32"/>
      <c r="B190" s="32"/>
    </row>
    <row r="191" spans="1:2" ht="12.5">
      <c r="A191" s="32"/>
      <c r="B191" s="32"/>
    </row>
    <row r="192" spans="1:2" ht="12.5">
      <c r="A192" s="32"/>
      <c r="B192" s="32"/>
    </row>
    <row r="193" spans="1:2" ht="12.5">
      <c r="A193" s="32"/>
      <c r="B193" s="32"/>
    </row>
    <row r="194" spans="1:2" ht="12.5">
      <c r="A194" s="32"/>
      <c r="B194" s="32"/>
    </row>
    <row r="195" spans="1:2" ht="12.5">
      <c r="A195" s="32"/>
      <c r="B195" s="32"/>
    </row>
    <row r="196" spans="1:2" ht="12.5">
      <c r="A196" s="32"/>
      <c r="B196" s="32"/>
    </row>
    <row r="197" spans="1:2" ht="12.5">
      <c r="A197" s="32"/>
      <c r="B197" s="32"/>
    </row>
    <row r="198" spans="1:2" ht="12.5">
      <c r="A198" s="32"/>
      <c r="B198" s="32"/>
    </row>
    <row r="199" spans="1:2" ht="12.5">
      <c r="A199" s="32"/>
      <c r="B199" s="32"/>
    </row>
    <row r="200" spans="1:2" ht="12.5">
      <c r="A200" s="32"/>
      <c r="B200" s="32"/>
    </row>
    <row r="201" spans="1:2" ht="12.5">
      <c r="A201" s="32"/>
      <c r="B201" s="32"/>
    </row>
    <row r="202" spans="1:2" ht="12.5">
      <c r="A202" s="32"/>
      <c r="B202" s="32"/>
    </row>
    <row r="203" spans="1:2" ht="12.5">
      <c r="A203" s="32"/>
      <c r="B203" s="32"/>
    </row>
    <row r="204" spans="1:2" ht="12.5">
      <c r="A204" s="32"/>
      <c r="B204" s="32"/>
    </row>
    <row r="205" spans="1:2" ht="12.5">
      <c r="A205" s="32"/>
      <c r="B205" s="32"/>
    </row>
    <row r="206" spans="1:2" ht="12.5">
      <c r="A206" s="32"/>
      <c r="B206" s="32"/>
    </row>
    <row r="207" spans="1:2" ht="12.5">
      <c r="A207" s="32"/>
      <c r="B207" s="32"/>
    </row>
    <row r="208" spans="1:2" ht="12.5">
      <c r="A208" s="32"/>
      <c r="B208" s="32"/>
    </row>
    <row r="209" spans="1:2" ht="12.5">
      <c r="A209" s="32"/>
      <c r="B209" s="32"/>
    </row>
    <row r="210" spans="1:2" ht="12.5">
      <c r="A210" s="32"/>
      <c r="B210" s="32"/>
    </row>
    <row r="211" spans="1:2" ht="12.5">
      <c r="A211" s="32"/>
      <c r="B211" s="32"/>
    </row>
    <row r="212" spans="1:2" ht="12.5">
      <c r="A212" s="32"/>
      <c r="B212" s="32"/>
    </row>
    <row r="213" spans="1:2" ht="12.5">
      <c r="A213" s="32"/>
      <c r="B213" s="32"/>
    </row>
    <row r="214" spans="1:2" ht="12.5">
      <c r="A214" s="32"/>
      <c r="B214" s="32"/>
    </row>
    <row r="215" spans="1:2" ht="12.5">
      <c r="A215" s="32"/>
      <c r="B215" s="32"/>
    </row>
    <row r="216" spans="1:2" ht="12.5">
      <c r="A216" s="32"/>
      <c r="B216" s="32"/>
    </row>
    <row r="217" spans="1:2" ht="12.5">
      <c r="A217" s="32"/>
      <c r="B217" s="32"/>
    </row>
    <row r="218" spans="1:2" ht="12.5">
      <c r="A218" s="32"/>
      <c r="B218" s="32"/>
    </row>
    <row r="219" spans="1:2" ht="12.5">
      <c r="A219" s="32"/>
      <c r="B219" s="32"/>
    </row>
    <row r="220" spans="1:2" ht="12.5">
      <c r="A220" s="32"/>
      <c r="B220" s="32"/>
    </row>
    <row r="221" spans="1:2" ht="12.5">
      <c r="A221" s="32"/>
      <c r="B221" s="32"/>
    </row>
    <row r="222" spans="1:2" ht="12.5">
      <c r="A222" s="32"/>
      <c r="B222" s="32"/>
    </row>
    <row r="223" spans="1:2" ht="12.5">
      <c r="A223" s="32"/>
      <c r="B223" s="32"/>
    </row>
    <row r="224" spans="1:2" ht="12.5">
      <c r="A224" s="32"/>
      <c r="B224" s="32"/>
    </row>
    <row r="225" spans="1:2" ht="12.5">
      <c r="A225" s="32"/>
      <c r="B225" s="32"/>
    </row>
    <row r="226" spans="1:2" ht="12.5">
      <c r="A226" s="32"/>
      <c r="B226" s="32"/>
    </row>
    <row r="227" spans="1:2" ht="12.5">
      <c r="A227" s="32"/>
      <c r="B227" s="32"/>
    </row>
    <row r="228" spans="1:2" ht="12.5">
      <c r="A228" s="32"/>
      <c r="B228" s="32"/>
    </row>
    <row r="229" spans="1:2" ht="12.5">
      <c r="A229" s="32"/>
      <c r="B229" s="32"/>
    </row>
    <row r="230" spans="1:2" ht="12.5">
      <c r="A230" s="32"/>
      <c r="B230" s="32"/>
    </row>
    <row r="231" spans="1:2" ht="12.5">
      <c r="A231" s="32"/>
      <c r="B231" s="32"/>
    </row>
    <row r="232" spans="1:2" ht="12.5">
      <c r="A232" s="32"/>
      <c r="B232" s="32"/>
    </row>
    <row r="233" spans="1:2" ht="12.5">
      <c r="A233" s="32"/>
      <c r="B233" s="32"/>
    </row>
    <row r="234" spans="1:2" ht="12.5">
      <c r="A234" s="32"/>
      <c r="B234" s="32"/>
    </row>
    <row r="235" spans="1:2" ht="12.5">
      <c r="A235" s="32"/>
      <c r="B235" s="32"/>
    </row>
    <row r="236" spans="1:2" ht="12.5">
      <c r="A236" s="32"/>
      <c r="B236" s="32"/>
    </row>
    <row r="237" spans="1:2" ht="12.5">
      <c r="A237" s="32"/>
      <c r="B237" s="32"/>
    </row>
    <row r="238" spans="1:2" ht="12.5">
      <c r="A238" s="32"/>
      <c r="B238" s="32"/>
    </row>
    <row r="239" spans="1:2" ht="12.5">
      <c r="A239" s="32"/>
      <c r="B239" s="32"/>
    </row>
    <row r="240" spans="1:2" ht="12.5">
      <c r="A240" s="32"/>
      <c r="B240" s="32"/>
    </row>
    <row r="241" spans="1:2" ht="12.5">
      <c r="A241" s="32"/>
      <c r="B241" s="32"/>
    </row>
    <row r="242" spans="1:2" ht="12.5">
      <c r="A242" s="32"/>
      <c r="B242" s="32"/>
    </row>
    <row r="243" spans="1:2" ht="12.5">
      <c r="A243" s="32"/>
      <c r="B243" s="32"/>
    </row>
    <row r="244" spans="1:2" ht="12.5">
      <c r="A244" s="32"/>
      <c r="B244" s="32"/>
    </row>
    <row r="245" spans="1:2" ht="12.5">
      <c r="A245" s="32"/>
      <c r="B245" s="32"/>
    </row>
    <row r="246" spans="1:2" ht="12.5">
      <c r="A246" s="32"/>
      <c r="B246" s="32"/>
    </row>
    <row r="247" spans="1:2" ht="12.5">
      <c r="A247" s="32"/>
      <c r="B247" s="32"/>
    </row>
    <row r="248" spans="1:2" ht="12.5">
      <c r="A248" s="32"/>
      <c r="B248" s="32"/>
    </row>
    <row r="249" spans="1:2" ht="12.5">
      <c r="A249" s="32"/>
      <c r="B249" s="32"/>
    </row>
    <row r="250" spans="1:2" ht="12.5">
      <c r="A250" s="32"/>
      <c r="B250" s="32"/>
    </row>
    <row r="251" spans="1:2" ht="12.5">
      <c r="A251" s="32"/>
      <c r="B251" s="32"/>
    </row>
    <row r="252" spans="1:2" ht="12.5">
      <c r="A252" s="32"/>
      <c r="B252" s="32"/>
    </row>
    <row r="253" spans="1:2" ht="12.5">
      <c r="A253" s="32"/>
      <c r="B253" s="32"/>
    </row>
    <row r="254" spans="1:2" ht="12.5">
      <c r="A254" s="32"/>
      <c r="B254" s="32"/>
    </row>
    <row r="255" spans="1:2" ht="12.5">
      <c r="A255" s="32"/>
      <c r="B255" s="32"/>
    </row>
    <row r="256" spans="1:2" ht="12.5">
      <c r="A256" s="32"/>
      <c r="B256" s="32"/>
    </row>
    <row r="257" spans="1:2" ht="12.5">
      <c r="A257" s="32"/>
      <c r="B257" s="32"/>
    </row>
    <row r="258" spans="1:2" ht="12.5">
      <c r="A258" s="32"/>
      <c r="B258" s="32"/>
    </row>
    <row r="259" spans="1:2" ht="12.5">
      <c r="A259" s="32"/>
      <c r="B259" s="32"/>
    </row>
    <row r="260" spans="1:2" ht="12.5">
      <c r="A260" s="32"/>
      <c r="B260" s="32"/>
    </row>
    <row r="261" spans="1:2" ht="12.5">
      <c r="A261" s="32"/>
      <c r="B261" s="32"/>
    </row>
    <row r="262" spans="1:2" ht="12.5">
      <c r="A262" s="32"/>
      <c r="B262" s="32"/>
    </row>
    <row r="263" spans="1:2" ht="12.5">
      <c r="A263" s="32"/>
      <c r="B263" s="32"/>
    </row>
    <row r="264" spans="1:2" ht="12.5">
      <c r="A264" s="32"/>
      <c r="B264" s="32"/>
    </row>
    <row r="265" spans="1:2" ht="12.5">
      <c r="A265" s="32"/>
      <c r="B265" s="32"/>
    </row>
    <row r="266" spans="1:2" ht="12.5">
      <c r="A266" s="32"/>
      <c r="B266" s="32"/>
    </row>
    <row r="267" spans="1:2" ht="12.5">
      <c r="A267" s="32"/>
      <c r="B267" s="32"/>
    </row>
    <row r="268" spans="1:2" ht="12.5">
      <c r="A268" s="32"/>
      <c r="B268" s="32"/>
    </row>
    <row r="269" spans="1:2" ht="12.5">
      <c r="A269" s="32"/>
      <c r="B269" s="32"/>
    </row>
    <row r="270" spans="1:2" ht="12.5">
      <c r="A270" s="32"/>
      <c r="B270" s="32"/>
    </row>
    <row r="271" spans="1:2" ht="12.5">
      <c r="A271" s="32"/>
      <c r="B271" s="32"/>
    </row>
    <row r="272" spans="1:2" ht="12.5">
      <c r="A272" s="32"/>
      <c r="B272" s="32"/>
    </row>
    <row r="273" spans="1:2" ht="12.5">
      <c r="A273" s="32"/>
      <c r="B273" s="32"/>
    </row>
    <row r="274" spans="1:2" ht="12.5">
      <c r="A274" s="32"/>
      <c r="B274" s="32"/>
    </row>
    <row r="275" spans="1:2" ht="12.5">
      <c r="A275" s="32"/>
      <c r="B275" s="32"/>
    </row>
    <row r="276" spans="1:2" ht="12.5">
      <c r="A276" s="32"/>
      <c r="B276" s="32"/>
    </row>
    <row r="277" spans="1:2" ht="12.5">
      <c r="A277" s="32"/>
      <c r="B277" s="32"/>
    </row>
    <row r="278" spans="1:2" ht="12.5">
      <c r="A278" s="32"/>
      <c r="B278" s="32"/>
    </row>
    <row r="279" spans="1:2" ht="12.5">
      <c r="A279" s="32"/>
      <c r="B279" s="32"/>
    </row>
    <row r="280" spans="1:2" ht="12.5">
      <c r="A280" s="32"/>
      <c r="B280" s="32"/>
    </row>
    <row r="281" spans="1:2" ht="12.5">
      <c r="A281" s="32"/>
      <c r="B281" s="32"/>
    </row>
    <row r="282" spans="1:2" ht="12.5">
      <c r="A282" s="32"/>
      <c r="B282" s="32"/>
    </row>
    <row r="283" spans="1:2" ht="12.5">
      <c r="A283" s="32"/>
      <c r="B283" s="32"/>
    </row>
    <row r="284" spans="1:2" ht="12.5">
      <c r="A284" s="32"/>
      <c r="B284" s="32"/>
    </row>
    <row r="285" spans="1:2" ht="12.5">
      <c r="A285" s="32"/>
      <c r="B285" s="32"/>
    </row>
    <row r="286" spans="1:2" ht="12.5">
      <c r="A286" s="32"/>
      <c r="B286" s="32"/>
    </row>
    <row r="287" spans="1:2" ht="12.5">
      <c r="A287" s="32"/>
      <c r="B287" s="32"/>
    </row>
    <row r="288" spans="1:2" ht="12.5">
      <c r="A288" s="32"/>
      <c r="B288" s="32"/>
    </row>
    <row r="289" spans="1:2" ht="12.5">
      <c r="A289" s="32"/>
      <c r="B289" s="32"/>
    </row>
    <row r="290" spans="1:2" ht="12.5">
      <c r="A290" s="32"/>
      <c r="B290" s="32"/>
    </row>
    <row r="291" spans="1:2" ht="12.5">
      <c r="A291" s="32"/>
      <c r="B291" s="32"/>
    </row>
    <row r="292" spans="1:2" ht="12.5">
      <c r="A292" s="32"/>
      <c r="B292" s="32"/>
    </row>
    <row r="293" spans="1:2" ht="12.5">
      <c r="A293" s="32"/>
      <c r="B293" s="32"/>
    </row>
    <row r="294" spans="1:2" ht="12.5">
      <c r="A294" s="32"/>
      <c r="B294" s="32"/>
    </row>
    <row r="295" spans="1:2" ht="12.5">
      <c r="A295" s="32"/>
      <c r="B295" s="32"/>
    </row>
    <row r="296" spans="1:2" ht="12.5">
      <c r="A296" s="32"/>
      <c r="B296" s="32"/>
    </row>
    <row r="297" spans="1:2" ht="12.5">
      <c r="A297" s="32"/>
      <c r="B297" s="32"/>
    </row>
    <row r="298" spans="1:2" ht="12.5">
      <c r="A298" s="32"/>
      <c r="B298" s="32"/>
    </row>
    <row r="299" spans="1:2" ht="12.5">
      <c r="A299" s="32"/>
      <c r="B299" s="32"/>
    </row>
    <row r="300" spans="1:2" ht="12.5">
      <c r="A300" s="32"/>
      <c r="B300" s="32"/>
    </row>
    <row r="301" spans="1:2" ht="12.5">
      <c r="A301" s="32"/>
      <c r="B301" s="32"/>
    </row>
    <row r="302" spans="1:2" ht="12.5">
      <c r="A302" s="32"/>
      <c r="B302" s="32"/>
    </row>
    <row r="303" spans="1:2" ht="12.5">
      <c r="A303" s="32"/>
      <c r="B303" s="32"/>
    </row>
    <row r="304" spans="1:2" ht="12.5">
      <c r="A304" s="32"/>
      <c r="B304" s="32"/>
    </row>
    <row r="305" spans="1:2" ht="12.5">
      <c r="A305" s="32"/>
      <c r="B305" s="32"/>
    </row>
    <row r="306" spans="1:2" ht="12.5">
      <c r="A306" s="32"/>
      <c r="B306" s="32"/>
    </row>
    <row r="307" spans="1:2" ht="12.5">
      <c r="A307" s="32"/>
      <c r="B307" s="32"/>
    </row>
    <row r="308" spans="1:2" ht="12.5">
      <c r="A308" s="32"/>
      <c r="B308" s="32"/>
    </row>
    <row r="309" spans="1:2" ht="12.5">
      <c r="A309" s="32"/>
      <c r="B309" s="32"/>
    </row>
    <row r="310" spans="1:2" ht="12.5">
      <c r="A310" s="32"/>
      <c r="B310" s="32"/>
    </row>
    <row r="311" spans="1:2" ht="12.5">
      <c r="A311" s="32"/>
      <c r="B311" s="32"/>
    </row>
    <row r="312" spans="1:2" ht="12.5">
      <c r="A312" s="32"/>
      <c r="B312" s="32"/>
    </row>
    <row r="313" spans="1:2" ht="12.5">
      <c r="A313" s="32"/>
      <c r="B313" s="32"/>
    </row>
    <row r="314" spans="1:2" ht="12.5">
      <c r="A314" s="32"/>
      <c r="B314" s="32"/>
    </row>
    <row r="315" spans="1:2" ht="12.5">
      <c r="A315" s="32"/>
      <c r="B315" s="32"/>
    </row>
    <row r="316" spans="1:2" ht="12.5">
      <c r="A316" s="32"/>
      <c r="B316" s="32"/>
    </row>
    <row r="317" spans="1:2" ht="12.5">
      <c r="A317" s="32"/>
      <c r="B317" s="32"/>
    </row>
    <row r="318" spans="1:2" ht="12.5">
      <c r="A318" s="32"/>
      <c r="B318" s="32"/>
    </row>
    <row r="319" spans="1:2" ht="12.5">
      <c r="A319" s="32"/>
      <c r="B319" s="32"/>
    </row>
    <row r="320" spans="1:2" ht="12.5">
      <c r="A320" s="32"/>
      <c r="B320" s="32"/>
    </row>
    <row r="321" spans="1:2" ht="12.5">
      <c r="A321" s="32"/>
      <c r="B321" s="32"/>
    </row>
    <row r="322" spans="1:2" ht="12.5">
      <c r="A322" s="32"/>
      <c r="B322" s="32"/>
    </row>
    <row r="323" spans="1:2" ht="12.5">
      <c r="A323" s="32"/>
      <c r="B323" s="32"/>
    </row>
    <row r="324" spans="1:2" ht="12.5">
      <c r="A324" s="32"/>
      <c r="B324" s="32"/>
    </row>
    <row r="325" spans="1:2" ht="12.5">
      <c r="A325" s="32"/>
      <c r="B325" s="32"/>
    </row>
    <row r="326" spans="1:2" ht="12.5">
      <c r="A326" s="32"/>
      <c r="B326" s="32"/>
    </row>
    <row r="327" spans="1:2" ht="12.5">
      <c r="A327" s="32"/>
      <c r="B327" s="32"/>
    </row>
    <row r="328" spans="1:2" ht="12.5">
      <c r="A328" s="32"/>
      <c r="B328" s="32"/>
    </row>
    <row r="329" spans="1:2" ht="12.5">
      <c r="A329" s="32"/>
      <c r="B329" s="32"/>
    </row>
    <row r="330" spans="1:2" ht="12.5">
      <c r="A330" s="32"/>
      <c r="B330" s="32"/>
    </row>
    <row r="331" spans="1:2" ht="12.5">
      <c r="A331" s="32"/>
      <c r="B331" s="32"/>
    </row>
    <row r="332" spans="1:2" ht="12.5">
      <c r="A332" s="32"/>
      <c r="B332" s="32"/>
    </row>
    <row r="333" spans="1:2" ht="12.5">
      <c r="A333" s="32"/>
      <c r="B333" s="32"/>
    </row>
    <row r="334" spans="1:2" ht="12.5">
      <c r="A334" s="32"/>
      <c r="B334" s="32"/>
    </row>
    <row r="335" spans="1:2" ht="12.5">
      <c r="A335" s="32"/>
      <c r="B335" s="32"/>
    </row>
    <row r="336" spans="1:2" ht="12.5">
      <c r="A336" s="32"/>
      <c r="B336" s="32"/>
    </row>
    <row r="337" spans="1:2" ht="12.5">
      <c r="A337" s="32"/>
      <c r="B337" s="32"/>
    </row>
    <row r="338" spans="1:2" ht="12.5">
      <c r="A338" s="32"/>
      <c r="B338" s="32"/>
    </row>
    <row r="339" spans="1:2" ht="12.5">
      <c r="A339" s="32"/>
      <c r="B339" s="32"/>
    </row>
    <row r="340" spans="1:2" ht="12.5">
      <c r="A340" s="32"/>
      <c r="B340" s="32"/>
    </row>
    <row r="341" spans="1:2" ht="12.5">
      <c r="A341" s="32"/>
      <c r="B341" s="32"/>
    </row>
    <row r="342" spans="1:2" ht="12.5">
      <c r="A342" s="32"/>
      <c r="B342" s="32"/>
    </row>
    <row r="343" spans="1:2" ht="12.5">
      <c r="A343" s="32"/>
      <c r="B343" s="32"/>
    </row>
    <row r="344" spans="1:2" ht="12.5">
      <c r="A344" s="32"/>
      <c r="B344" s="32"/>
    </row>
    <row r="345" spans="1:2" ht="12.5">
      <c r="A345" s="32"/>
      <c r="B345" s="32"/>
    </row>
    <row r="346" spans="1:2" ht="12.5">
      <c r="A346" s="32"/>
      <c r="B346" s="32"/>
    </row>
    <row r="347" spans="1:2" ht="12.5">
      <c r="A347" s="32"/>
      <c r="B347" s="32"/>
    </row>
    <row r="348" spans="1:2" ht="12.5">
      <c r="A348" s="32"/>
      <c r="B348" s="32"/>
    </row>
    <row r="349" spans="1:2" ht="12.5">
      <c r="A349" s="32"/>
      <c r="B349" s="32"/>
    </row>
    <row r="350" spans="1:2" ht="12.5">
      <c r="A350" s="32"/>
      <c r="B350" s="32"/>
    </row>
    <row r="351" spans="1:2" ht="12.5">
      <c r="A351" s="32"/>
      <c r="B351" s="32"/>
    </row>
    <row r="352" spans="1:2" ht="12.5">
      <c r="A352" s="32"/>
      <c r="B352" s="32"/>
    </row>
    <row r="353" spans="1:2" ht="12.5">
      <c r="A353" s="32"/>
      <c r="B353" s="32"/>
    </row>
    <row r="354" spans="1:2" ht="12.5">
      <c r="A354" s="32"/>
      <c r="B354" s="32"/>
    </row>
    <row r="355" spans="1:2" ht="12.5">
      <c r="A355" s="32"/>
      <c r="B355" s="32"/>
    </row>
    <row r="356" spans="1:2" ht="12.5">
      <c r="A356" s="32"/>
      <c r="B356" s="32"/>
    </row>
    <row r="357" spans="1:2" ht="12.5">
      <c r="A357" s="32"/>
      <c r="B357" s="32"/>
    </row>
    <row r="358" spans="1:2" ht="12.5">
      <c r="A358" s="32"/>
      <c r="B358" s="32"/>
    </row>
    <row r="359" spans="1:2" ht="12.5">
      <c r="A359" s="32"/>
      <c r="B359" s="32"/>
    </row>
    <row r="360" spans="1:2" ht="12.5">
      <c r="A360" s="32"/>
      <c r="B360" s="32"/>
    </row>
    <row r="361" spans="1:2" ht="12.5">
      <c r="A361" s="32"/>
      <c r="B361" s="32"/>
    </row>
    <row r="362" spans="1:2" ht="12.5">
      <c r="A362" s="32"/>
      <c r="B362" s="32"/>
    </row>
    <row r="363" spans="1:2" ht="12.5">
      <c r="A363" s="32"/>
      <c r="B363" s="32"/>
    </row>
    <row r="364" spans="1:2" ht="12.5">
      <c r="A364" s="32"/>
      <c r="B364" s="32"/>
    </row>
    <row r="365" spans="1:2" ht="12.5">
      <c r="A365" s="32"/>
      <c r="B365" s="32"/>
    </row>
    <row r="366" spans="1:2" ht="12.5">
      <c r="A366" s="32"/>
      <c r="B366" s="32"/>
    </row>
    <row r="367" spans="1:2" ht="12.5">
      <c r="A367" s="32"/>
      <c r="B367" s="32"/>
    </row>
    <row r="368" spans="1:2" ht="12.5">
      <c r="A368" s="32"/>
      <c r="B368" s="32"/>
    </row>
    <row r="369" spans="1:2" ht="12.5">
      <c r="A369" s="32"/>
      <c r="B369" s="32"/>
    </row>
    <row r="370" spans="1:2" ht="12.5">
      <c r="A370" s="32"/>
      <c r="B370" s="32"/>
    </row>
    <row r="371" spans="1:2" ht="12.5">
      <c r="A371" s="32"/>
      <c r="B371" s="32"/>
    </row>
    <row r="372" spans="1:2" ht="12.5">
      <c r="A372" s="32"/>
      <c r="B372" s="32"/>
    </row>
    <row r="373" spans="1:2" ht="12.5">
      <c r="A373" s="32"/>
      <c r="B373" s="32"/>
    </row>
    <row r="374" spans="1:2" ht="12.5">
      <c r="A374" s="32"/>
      <c r="B374" s="32"/>
    </row>
    <row r="375" spans="1:2" ht="12.5">
      <c r="A375" s="32"/>
      <c r="B375" s="32"/>
    </row>
    <row r="376" spans="1:2" ht="12.5">
      <c r="A376" s="32"/>
      <c r="B376" s="32"/>
    </row>
    <row r="377" spans="1:2" ht="12.5">
      <c r="A377" s="32"/>
      <c r="B377" s="32"/>
    </row>
    <row r="378" spans="1:2" ht="12.5">
      <c r="A378" s="32"/>
      <c r="B378" s="32"/>
    </row>
    <row r="379" spans="1:2" ht="12.5">
      <c r="A379" s="32"/>
      <c r="B379" s="32"/>
    </row>
    <row r="380" spans="1:2" ht="12.5">
      <c r="A380" s="32"/>
      <c r="B380" s="32"/>
    </row>
    <row r="381" spans="1:2" ht="12.5">
      <c r="A381" s="32"/>
      <c r="B381" s="32"/>
    </row>
    <row r="382" spans="1:2" ht="12.5">
      <c r="A382" s="32"/>
      <c r="B382" s="32"/>
    </row>
    <row r="383" spans="1:2" ht="12.5">
      <c r="A383" s="32"/>
      <c r="B383" s="32"/>
    </row>
    <row r="384" spans="1:2" ht="12.5">
      <c r="A384" s="32"/>
      <c r="B384" s="32"/>
    </row>
    <row r="385" spans="1:2" ht="12.5">
      <c r="A385" s="32"/>
      <c r="B385" s="32"/>
    </row>
    <row r="386" spans="1:2" ht="12.5">
      <c r="A386" s="32"/>
      <c r="B386" s="32"/>
    </row>
    <row r="387" spans="1:2" ht="12.5">
      <c r="A387" s="32"/>
      <c r="B387" s="32"/>
    </row>
    <row r="388" spans="1:2" ht="12.5">
      <c r="A388" s="32"/>
      <c r="B388" s="32"/>
    </row>
    <row r="389" spans="1:2" ht="12.5">
      <c r="A389" s="32"/>
      <c r="B389" s="32"/>
    </row>
    <row r="390" spans="1:2" ht="12.5">
      <c r="A390" s="32"/>
      <c r="B390" s="32"/>
    </row>
    <row r="391" spans="1:2" ht="12.5">
      <c r="A391" s="32"/>
      <c r="B391" s="32"/>
    </row>
    <row r="392" spans="1:2" ht="12.5">
      <c r="A392" s="32"/>
      <c r="B392" s="32"/>
    </row>
    <row r="393" spans="1:2" ht="12.5">
      <c r="A393" s="32"/>
      <c r="B393" s="32"/>
    </row>
    <row r="394" spans="1:2" ht="12.5">
      <c r="A394" s="32"/>
      <c r="B394" s="32"/>
    </row>
    <row r="395" spans="1:2" ht="12.5">
      <c r="A395" s="32"/>
      <c r="B395" s="32"/>
    </row>
    <row r="396" spans="1:2" ht="12.5">
      <c r="A396" s="32"/>
      <c r="B396" s="32"/>
    </row>
    <row r="397" spans="1:2" ht="12.5">
      <c r="A397" s="32"/>
      <c r="B397" s="32"/>
    </row>
    <row r="398" spans="1:2" ht="12.5">
      <c r="A398" s="32"/>
      <c r="B398" s="32"/>
    </row>
    <row r="399" spans="1:2" ht="12.5">
      <c r="A399" s="32"/>
      <c r="B399" s="32"/>
    </row>
    <row r="400" spans="1:2" ht="12.5">
      <c r="A400" s="32"/>
      <c r="B400" s="32"/>
    </row>
    <row r="401" spans="1:2" ht="12.5">
      <c r="A401" s="32"/>
      <c r="B401" s="32"/>
    </row>
    <row r="402" spans="1:2" ht="12.5">
      <c r="A402" s="32"/>
      <c r="B402" s="32"/>
    </row>
    <row r="403" spans="1:2" ht="12.5">
      <c r="A403" s="32"/>
      <c r="B403" s="32"/>
    </row>
    <row r="404" spans="1:2" ht="12.5">
      <c r="A404" s="32"/>
      <c r="B404" s="32"/>
    </row>
    <row r="405" spans="1:2" ht="12.5">
      <c r="A405" s="32"/>
      <c r="B405" s="32"/>
    </row>
    <row r="406" spans="1:2" ht="12.5">
      <c r="A406" s="32"/>
      <c r="B406" s="32"/>
    </row>
    <row r="407" spans="1:2" ht="12.5">
      <c r="A407" s="32"/>
      <c r="B407" s="32"/>
    </row>
    <row r="408" spans="1:2" ht="12.5">
      <c r="A408" s="32"/>
      <c r="B408" s="32"/>
    </row>
    <row r="409" spans="1:2" ht="12.5">
      <c r="A409" s="32"/>
      <c r="B409" s="32"/>
    </row>
    <row r="410" spans="1:2" ht="12.5">
      <c r="A410" s="32"/>
      <c r="B410" s="32"/>
    </row>
    <row r="411" spans="1:2" ht="12.5">
      <c r="A411" s="32"/>
      <c r="B411" s="32"/>
    </row>
    <row r="412" spans="1:2" ht="12.5">
      <c r="A412" s="32"/>
      <c r="B412" s="32"/>
    </row>
    <row r="413" spans="1:2" ht="12.5">
      <c r="A413" s="32"/>
      <c r="B413" s="32"/>
    </row>
    <row r="414" spans="1:2" ht="12.5">
      <c r="A414" s="32"/>
      <c r="B414" s="32"/>
    </row>
    <row r="415" spans="1:2" ht="12.5">
      <c r="A415" s="32"/>
      <c r="B415" s="32"/>
    </row>
    <row r="416" spans="1:2" ht="12.5">
      <c r="A416" s="32"/>
      <c r="B416" s="32"/>
    </row>
    <row r="417" spans="1:2" ht="12.5">
      <c r="A417" s="32"/>
      <c r="B417" s="32"/>
    </row>
    <row r="418" spans="1:2" ht="12.5">
      <c r="A418" s="32"/>
      <c r="B418" s="32"/>
    </row>
    <row r="419" spans="1:2" ht="12.5">
      <c r="A419" s="32"/>
      <c r="B419" s="32"/>
    </row>
    <row r="420" spans="1:2" ht="12.5">
      <c r="A420" s="32"/>
      <c r="B420" s="32"/>
    </row>
    <row r="421" spans="1:2" ht="12.5">
      <c r="A421" s="32"/>
      <c r="B421" s="32"/>
    </row>
    <row r="422" spans="1:2" ht="12.5">
      <c r="A422" s="32"/>
      <c r="B422" s="32"/>
    </row>
    <row r="423" spans="1:2" ht="12.5">
      <c r="A423" s="32"/>
      <c r="B423" s="32"/>
    </row>
    <row r="424" spans="1:2" ht="12.5">
      <c r="A424" s="32"/>
      <c r="B424" s="32"/>
    </row>
    <row r="425" spans="1:2" ht="12.5">
      <c r="A425" s="32"/>
      <c r="B425" s="32"/>
    </row>
    <row r="426" spans="1:2" ht="12.5">
      <c r="A426" s="32"/>
      <c r="B426" s="32"/>
    </row>
    <row r="427" spans="1:2" ht="12.5">
      <c r="A427" s="32"/>
      <c r="B427" s="32"/>
    </row>
    <row r="428" spans="1:2" ht="12.5">
      <c r="A428" s="32"/>
      <c r="B428" s="32"/>
    </row>
    <row r="429" spans="1:2" ht="12.5">
      <c r="A429" s="32"/>
      <c r="B429" s="32"/>
    </row>
    <row r="430" spans="1:2" ht="12.5">
      <c r="A430" s="32"/>
      <c r="B430" s="32"/>
    </row>
    <row r="431" spans="1:2" ht="12.5">
      <c r="A431" s="32"/>
      <c r="B431" s="32"/>
    </row>
    <row r="432" spans="1:2" ht="12.5">
      <c r="A432" s="32"/>
      <c r="B432" s="32"/>
    </row>
    <row r="433" spans="1:2" ht="12.5">
      <c r="A433" s="32"/>
      <c r="B433" s="32"/>
    </row>
    <row r="434" spans="1:2" ht="12.5">
      <c r="A434" s="32"/>
      <c r="B434" s="32"/>
    </row>
    <row r="435" spans="1:2" ht="12.5">
      <c r="A435" s="32"/>
      <c r="B435" s="32"/>
    </row>
    <row r="436" spans="1:2" ht="12.5">
      <c r="A436" s="32"/>
      <c r="B436" s="32"/>
    </row>
    <row r="437" spans="1:2" ht="12.5">
      <c r="A437" s="32"/>
      <c r="B437" s="32"/>
    </row>
    <row r="438" spans="1:2" ht="12.5">
      <c r="A438" s="32"/>
      <c r="B438" s="32"/>
    </row>
    <row r="439" spans="1:2" ht="12.5">
      <c r="A439" s="32"/>
      <c r="B439" s="32"/>
    </row>
    <row r="440" spans="1:2" ht="12.5">
      <c r="A440" s="32"/>
      <c r="B440" s="32"/>
    </row>
    <row r="441" spans="1:2" ht="12.5">
      <c r="A441" s="32"/>
      <c r="B441" s="32"/>
    </row>
    <row r="442" spans="1:2" ht="12.5">
      <c r="A442" s="32"/>
      <c r="B442" s="32"/>
    </row>
    <row r="443" spans="1:2" ht="12.5">
      <c r="A443" s="32"/>
      <c r="B443" s="32"/>
    </row>
    <row r="444" spans="1:2" ht="12.5">
      <c r="A444" s="32"/>
      <c r="B444" s="32"/>
    </row>
    <row r="445" spans="1:2" ht="12.5">
      <c r="A445" s="32"/>
      <c r="B445" s="32"/>
    </row>
    <row r="446" spans="1:2" ht="12.5">
      <c r="A446" s="32"/>
      <c r="B446" s="32"/>
    </row>
    <row r="447" spans="1:2" ht="12.5">
      <c r="A447" s="32"/>
      <c r="B447" s="32"/>
    </row>
    <row r="448" spans="1:2" ht="12.5">
      <c r="A448" s="32"/>
      <c r="B448" s="32"/>
    </row>
    <row r="449" spans="1:2" ht="12.5">
      <c r="A449" s="32"/>
      <c r="B449" s="32"/>
    </row>
    <row r="450" spans="1:2" ht="12.5">
      <c r="A450" s="32"/>
      <c r="B450" s="32"/>
    </row>
    <row r="451" spans="1:2" ht="12.5">
      <c r="A451" s="32"/>
      <c r="B451" s="32"/>
    </row>
    <row r="452" spans="1:2" ht="12.5">
      <c r="A452" s="32"/>
      <c r="B452" s="32"/>
    </row>
    <row r="453" spans="1:2" ht="12.5">
      <c r="A453" s="32"/>
      <c r="B453" s="32"/>
    </row>
    <row r="454" spans="1:2" ht="12.5">
      <c r="A454" s="32"/>
      <c r="B454" s="32"/>
    </row>
    <row r="455" spans="1:2" ht="12.5">
      <c r="A455" s="32"/>
      <c r="B455" s="32"/>
    </row>
    <row r="456" spans="1:2" ht="12.5">
      <c r="A456" s="32"/>
      <c r="B456" s="32"/>
    </row>
    <row r="457" spans="1:2" ht="12.5">
      <c r="A457" s="32"/>
      <c r="B457" s="32"/>
    </row>
    <row r="458" spans="1:2" ht="12.5">
      <c r="A458" s="32"/>
      <c r="B458" s="32"/>
    </row>
    <row r="459" spans="1:2" ht="12.5">
      <c r="A459" s="32"/>
      <c r="B459" s="32"/>
    </row>
    <row r="460" spans="1:2" ht="12.5">
      <c r="A460" s="32"/>
      <c r="B460" s="32"/>
    </row>
    <row r="461" spans="1:2" ht="12.5">
      <c r="A461" s="32"/>
      <c r="B461" s="32"/>
    </row>
    <row r="462" spans="1:2" ht="12.5">
      <c r="A462" s="32"/>
      <c r="B462" s="32"/>
    </row>
    <row r="463" spans="1:2" ht="12.5">
      <c r="A463" s="32"/>
      <c r="B463" s="32"/>
    </row>
    <row r="464" spans="1:2" ht="12.5">
      <c r="A464" s="32"/>
      <c r="B464" s="32"/>
    </row>
    <row r="465" spans="1:2" ht="12.5">
      <c r="A465" s="32"/>
      <c r="B465" s="32"/>
    </row>
    <row r="466" spans="1:2" ht="12.5">
      <c r="A466" s="32"/>
      <c r="B466" s="32"/>
    </row>
    <row r="467" spans="1:2" ht="12.5">
      <c r="A467" s="32"/>
      <c r="B467" s="32"/>
    </row>
    <row r="468" spans="1:2" ht="12.5">
      <c r="A468" s="32"/>
      <c r="B468" s="32"/>
    </row>
    <row r="469" spans="1:2" ht="12.5">
      <c r="A469" s="32"/>
      <c r="B469" s="32"/>
    </row>
    <row r="470" spans="1:2" ht="12.5">
      <c r="A470" s="32"/>
      <c r="B470" s="32"/>
    </row>
    <row r="471" spans="1:2" ht="12.5">
      <c r="A471" s="32"/>
      <c r="B471" s="32"/>
    </row>
    <row r="472" spans="1:2" ht="12.5">
      <c r="A472" s="32"/>
      <c r="B472" s="32"/>
    </row>
    <row r="473" spans="1:2" ht="12.5">
      <c r="A473" s="32"/>
      <c r="B473" s="32"/>
    </row>
    <row r="474" spans="1:2" ht="12.5">
      <c r="A474" s="32"/>
      <c r="B474" s="32"/>
    </row>
    <row r="475" spans="1:2" ht="12.5">
      <c r="A475" s="32"/>
      <c r="B475" s="32"/>
    </row>
    <row r="476" spans="1:2" ht="12.5">
      <c r="A476" s="32"/>
      <c r="B476" s="32"/>
    </row>
    <row r="477" spans="1:2" ht="12.5">
      <c r="A477" s="32"/>
      <c r="B477" s="32"/>
    </row>
    <row r="478" spans="1:2" ht="12.5">
      <c r="A478" s="32"/>
      <c r="B478" s="32"/>
    </row>
    <row r="479" spans="1:2" ht="12.5">
      <c r="A479" s="32"/>
      <c r="B479" s="32"/>
    </row>
    <row r="480" spans="1:2" ht="12.5">
      <c r="A480" s="32"/>
      <c r="B480" s="32"/>
    </row>
    <row r="481" spans="1:2" ht="12.5">
      <c r="A481" s="32"/>
      <c r="B481" s="32"/>
    </row>
    <row r="482" spans="1:2" ht="12.5">
      <c r="A482" s="32"/>
      <c r="B482" s="32"/>
    </row>
    <row r="483" spans="1:2" ht="12.5">
      <c r="A483" s="32"/>
      <c r="B483" s="32"/>
    </row>
    <row r="484" spans="1:2" ht="12.5">
      <c r="A484" s="32"/>
      <c r="B484" s="32"/>
    </row>
    <row r="485" spans="1:2" ht="12.5">
      <c r="A485" s="32"/>
      <c r="B485" s="32"/>
    </row>
    <row r="486" spans="1:2" ht="12.5">
      <c r="A486" s="32"/>
      <c r="B486" s="32"/>
    </row>
    <row r="487" spans="1:2" ht="12.5">
      <c r="A487" s="32"/>
      <c r="B487" s="32"/>
    </row>
    <row r="488" spans="1:2" ht="12.5">
      <c r="A488" s="32"/>
      <c r="B488" s="32"/>
    </row>
    <row r="489" spans="1:2" ht="12.5">
      <c r="A489" s="32"/>
      <c r="B489" s="32"/>
    </row>
    <row r="490" spans="1:2" ht="12.5">
      <c r="A490" s="32"/>
      <c r="B490" s="32"/>
    </row>
    <row r="491" spans="1:2" ht="12.5">
      <c r="A491" s="32"/>
      <c r="B491" s="32"/>
    </row>
    <row r="492" spans="1:2" ht="12.5">
      <c r="A492" s="32"/>
      <c r="B492" s="32"/>
    </row>
    <row r="493" spans="1:2" ht="12.5">
      <c r="A493" s="32"/>
      <c r="B493" s="32"/>
    </row>
    <row r="494" spans="1:2" ht="12.5">
      <c r="A494" s="32"/>
      <c r="B494" s="32"/>
    </row>
    <row r="495" spans="1:2" ht="12.5">
      <c r="A495" s="32"/>
      <c r="B495" s="32"/>
    </row>
    <row r="496" spans="1:2" ht="12.5">
      <c r="A496" s="32"/>
      <c r="B496" s="32"/>
    </row>
    <row r="497" spans="1:2" ht="12.5">
      <c r="A497" s="32"/>
      <c r="B497" s="32"/>
    </row>
    <row r="498" spans="1:2" ht="12.5">
      <c r="A498" s="32"/>
      <c r="B498" s="32"/>
    </row>
    <row r="499" spans="1:2" ht="12.5">
      <c r="A499" s="32"/>
      <c r="B499" s="32"/>
    </row>
    <row r="500" spans="1:2" ht="12.5">
      <c r="A500" s="32"/>
      <c r="B500" s="32"/>
    </row>
    <row r="501" spans="1:2" ht="12.5">
      <c r="A501" s="32"/>
      <c r="B501" s="32"/>
    </row>
    <row r="502" spans="1:2" ht="12.5">
      <c r="A502" s="32"/>
      <c r="B502" s="32"/>
    </row>
    <row r="503" spans="1:2" ht="12.5">
      <c r="A503" s="32"/>
      <c r="B503" s="32"/>
    </row>
    <row r="504" spans="1:2" ht="12.5">
      <c r="A504" s="32"/>
      <c r="B504" s="32"/>
    </row>
    <row r="505" spans="1:2" ht="12.5">
      <c r="A505" s="32"/>
      <c r="B505" s="32"/>
    </row>
    <row r="506" spans="1:2" ht="12.5">
      <c r="A506" s="32"/>
      <c r="B506" s="32"/>
    </row>
    <row r="507" spans="1:2" ht="12.5">
      <c r="A507" s="32"/>
      <c r="B507" s="32"/>
    </row>
    <row r="508" spans="1:2" ht="12.5">
      <c r="A508" s="32"/>
      <c r="B508" s="32"/>
    </row>
    <row r="509" spans="1:2" ht="12.5">
      <c r="A509" s="32"/>
      <c r="B509" s="32"/>
    </row>
    <row r="510" spans="1:2" ht="12.5">
      <c r="A510" s="32"/>
      <c r="B510" s="32"/>
    </row>
    <row r="511" spans="1:2" ht="12.5">
      <c r="A511" s="32"/>
      <c r="B511" s="32"/>
    </row>
    <row r="512" spans="1:2" ht="12.5">
      <c r="A512" s="32"/>
      <c r="B512" s="32"/>
    </row>
    <row r="513" spans="1:2" ht="12.5">
      <c r="A513" s="32"/>
      <c r="B513" s="32"/>
    </row>
    <row r="514" spans="1:2" ht="12.5">
      <c r="A514" s="32"/>
      <c r="B514" s="32"/>
    </row>
    <row r="515" spans="1:2" ht="12.5">
      <c r="A515" s="32"/>
      <c r="B515" s="32"/>
    </row>
    <row r="516" spans="1:2" ht="12.5">
      <c r="A516" s="32"/>
      <c r="B516" s="32"/>
    </row>
    <row r="517" spans="1:2" ht="12.5">
      <c r="A517" s="32"/>
      <c r="B517" s="32"/>
    </row>
    <row r="518" spans="1:2" ht="12.5">
      <c r="A518" s="32"/>
      <c r="B518" s="32"/>
    </row>
    <row r="519" spans="1:2" ht="12.5">
      <c r="A519" s="32"/>
      <c r="B519" s="32"/>
    </row>
    <row r="520" spans="1:2" ht="12.5">
      <c r="A520" s="32"/>
      <c r="B520" s="32"/>
    </row>
    <row r="521" spans="1:2" ht="12.5">
      <c r="A521" s="32"/>
      <c r="B521" s="32"/>
    </row>
    <row r="522" spans="1:2" ht="12.5">
      <c r="A522" s="32"/>
      <c r="B522" s="32"/>
    </row>
    <row r="523" spans="1:2" ht="12.5">
      <c r="A523" s="32"/>
      <c r="B523" s="32"/>
    </row>
    <row r="524" spans="1:2" ht="12.5">
      <c r="A524" s="32"/>
      <c r="B524" s="32"/>
    </row>
    <row r="525" spans="1:2" ht="12.5">
      <c r="A525" s="32"/>
      <c r="B525" s="32"/>
    </row>
    <row r="526" spans="1:2" ht="12.5">
      <c r="A526" s="32"/>
      <c r="B526" s="32"/>
    </row>
    <row r="527" spans="1:2" ht="12.5">
      <c r="A527" s="32"/>
      <c r="B527" s="32"/>
    </row>
    <row r="528" spans="1:2" ht="12.5">
      <c r="A528" s="32"/>
      <c r="B528" s="32"/>
    </row>
    <row r="529" spans="1:2" ht="12.5">
      <c r="A529" s="32"/>
      <c r="B529" s="32"/>
    </row>
    <row r="530" spans="1:2" ht="12.5">
      <c r="A530" s="32"/>
      <c r="B530" s="32"/>
    </row>
    <row r="531" spans="1:2" ht="12.5">
      <c r="A531" s="32"/>
      <c r="B531" s="32"/>
    </row>
    <row r="532" spans="1:2" ht="12.5">
      <c r="A532" s="32"/>
      <c r="B532" s="32"/>
    </row>
    <row r="533" spans="1:2" ht="12.5">
      <c r="A533" s="32"/>
      <c r="B533" s="32"/>
    </row>
    <row r="534" spans="1:2" ht="12.5">
      <c r="A534" s="32"/>
      <c r="B534" s="32"/>
    </row>
    <row r="535" spans="1:2" ht="12.5">
      <c r="A535" s="32"/>
      <c r="B535" s="32"/>
    </row>
    <row r="536" spans="1:2" ht="12.5">
      <c r="A536" s="32"/>
      <c r="B536" s="32"/>
    </row>
    <row r="537" spans="1:2" ht="12.5">
      <c r="A537" s="32"/>
      <c r="B537" s="32"/>
    </row>
    <row r="538" spans="1:2" ht="12.5">
      <c r="A538" s="32"/>
      <c r="B538" s="32"/>
    </row>
    <row r="539" spans="1:2" ht="12.5">
      <c r="A539" s="32"/>
      <c r="B539" s="32"/>
    </row>
    <row r="540" spans="1:2" ht="12.5">
      <c r="A540" s="32"/>
      <c r="B540" s="32"/>
    </row>
    <row r="541" spans="1:2" ht="12.5">
      <c r="A541" s="32"/>
      <c r="B541" s="32"/>
    </row>
    <row r="542" spans="1:2" ht="12.5">
      <c r="A542" s="32"/>
      <c r="B542" s="32"/>
    </row>
    <row r="543" spans="1:2" ht="12.5">
      <c r="A543" s="32"/>
      <c r="B543" s="32"/>
    </row>
    <row r="544" spans="1:2" ht="12.5">
      <c r="A544" s="32"/>
      <c r="B544" s="32"/>
    </row>
    <row r="545" spans="1:2" ht="12.5">
      <c r="A545" s="32"/>
      <c r="B545" s="32"/>
    </row>
    <row r="546" spans="1:2" ht="12.5">
      <c r="A546" s="32"/>
      <c r="B546" s="32"/>
    </row>
    <row r="547" spans="1:2" ht="12.5">
      <c r="A547" s="32"/>
      <c r="B547" s="32"/>
    </row>
    <row r="548" spans="1:2" ht="12.5">
      <c r="A548" s="32"/>
      <c r="B548" s="32"/>
    </row>
    <row r="549" spans="1:2" ht="12.5">
      <c r="A549" s="32"/>
      <c r="B549" s="32"/>
    </row>
    <row r="550" spans="1:2" ht="12.5">
      <c r="A550" s="32"/>
      <c r="B550" s="32"/>
    </row>
    <row r="551" spans="1:2" ht="12.5">
      <c r="A551" s="32"/>
      <c r="B551" s="32"/>
    </row>
    <row r="552" spans="1:2" ht="12.5">
      <c r="A552" s="32"/>
      <c r="B552" s="32"/>
    </row>
    <row r="553" spans="1:2" ht="12.5">
      <c r="A553" s="32"/>
      <c r="B553" s="32"/>
    </row>
    <row r="554" spans="1:2" ht="12.5">
      <c r="A554" s="32"/>
      <c r="B554" s="32"/>
    </row>
    <row r="555" spans="1:2" ht="12.5">
      <c r="A555" s="32"/>
      <c r="B555" s="32"/>
    </row>
    <row r="556" spans="1:2" ht="12.5">
      <c r="A556" s="32"/>
      <c r="B556" s="32"/>
    </row>
    <row r="557" spans="1:2" ht="12.5">
      <c r="A557" s="32"/>
      <c r="B557" s="32"/>
    </row>
    <row r="558" spans="1:2" ht="12.5">
      <c r="A558" s="32"/>
      <c r="B558" s="32"/>
    </row>
    <row r="559" spans="1:2" ht="12.5">
      <c r="A559" s="32"/>
      <c r="B559" s="32"/>
    </row>
    <row r="560" spans="1:2" ht="12.5">
      <c r="A560" s="32"/>
      <c r="B560" s="32"/>
    </row>
    <row r="561" spans="1:2" ht="12.5">
      <c r="A561" s="32"/>
      <c r="B561" s="32"/>
    </row>
    <row r="562" spans="1:2" ht="12.5">
      <c r="A562" s="32"/>
      <c r="B562" s="32"/>
    </row>
    <row r="563" spans="1:2" ht="12.5">
      <c r="A563" s="32"/>
      <c r="B563" s="32"/>
    </row>
    <row r="564" spans="1:2" ht="12.5">
      <c r="A564" s="32"/>
      <c r="B564" s="32"/>
    </row>
    <row r="565" spans="1:2" ht="12.5">
      <c r="A565" s="32"/>
      <c r="B565" s="32"/>
    </row>
    <row r="566" spans="1:2" ht="12.5">
      <c r="A566" s="32"/>
      <c r="B566" s="32"/>
    </row>
    <row r="567" spans="1:2" ht="12.5">
      <c r="A567" s="32"/>
      <c r="B567" s="32"/>
    </row>
    <row r="568" spans="1:2" ht="12.5">
      <c r="A568" s="32"/>
      <c r="B568" s="32"/>
    </row>
    <row r="569" spans="1:2" ht="12.5">
      <c r="A569" s="32"/>
      <c r="B569" s="32"/>
    </row>
    <row r="570" spans="1:2" ht="12.5">
      <c r="A570" s="32"/>
      <c r="B570" s="32"/>
    </row>
    <row r="571" spans="1:2" ht="12.5">
      <c r="A571" s="32"/>
      <c r="B571" s="32"/>
    </row>
    <row r="572" spans="1:2" ht="12.5">
      <c r="A572" s="32"/>
      <c r="B572" s="32"/>
    </row>
    <row r="573" spans="1:2" ht="12.5">
      <c r="A573" s="32"/>
      <c r="B573" s="32"/>
    </row>
    <row r="574" spans="1:2" ht="12.5">
      <c r="A574" s="32"/>
      <c r="B574" s="32"/>
    </row>
    <row r="575" spans="1:2" ht="12.5">
      <c r="A575" s="32"/>
      <c r="B575" s="32"/>
    </row>
    <row r="576" spans="1:2" ht="12.5">
      <c r="A576" s="32"/>
      <c r="B576" s="32"/>
    </row>
    <row r="577" spans="1:2" ht="12.5">
      <c r="A577" s="32"/>
      <c r="B577" s="32"/>
    </row>
    <row r="578" spans="1:2" ht="12.5">
      <c r="A578" s="32"/>
      <c r="B578" s="32"/>
    </row>
    <row r="579" spans="1:2" ht="12.5">
      <c r="A579" s="32"/>
      <c r="B579" s="32"/>
    </row>
    <row r="580" spans="1:2" ht="12.5">
      <c r="A580" s="32"/>
      <c r="B580" s="32"/>
    </row>
    <row r="581" spans="1:2" ht="12.5">
      <c r="A581" s="32"/>
      <c r="B581" s="32"/>
    </row>
    <row r="582" spans="1:2" ht="12.5">
      <c r="A582" s="32"/>
      <c r="B582" s="32"/>
    </row>
    <row r="583" spans="1:2" ht="12.5">
      <c r="A583" s="32"/>
      <c r="B583" s="32"/>
    </row>
    <row r="584" spans="1:2" ht="12.5">
      <c r="A584" s="32"/>
      <c r="B584" s="32"/>
    </row>
    <row r="585" spans="1:2" ht="12.5">
      <c r="A585" s="32"/>
      <c r="B585" s="32"/>
    </row>
    <row r="586" spans="1:2" ht="12.5">
      <c r="A586" s="32"/>
      <c r="B586" s="32"/>
    </row>
    <row r="587" spans="1:2" ht="12.5">
      <c r="A587" s="32"/>
      <c r="B587" s="32"/>
    </row>
    <row r="588" spans="1:2" ht="12.5">
      <c r="A588" s="32"/>
      <c r="B588" s="32"/>
    </row>
    <row r="589" spans="1:2" ht="12.5">
      <c r="A589" s="32"/>
      <c r="B589" s="32"/>
    </row>
    <row r="590" spans="1:2" ht="12.5">
      <c r="A590" s="32"/>
      <c r="B590" s="32"/>
    </row>
    <row r="591" spans="1:2" ht="12.5">
      <c r="A591" s="32"/>
      <c r="B591" s="32"/>
    </row>
    <row r="592" spans="1:2" ht="12.5">
      <c r="A592" s="32"/>
      <c r="B592" s="32"/>
    </row>
    <row r="593" spans="1:2" ht="12.5">
      <c r="A593" s="32"/>
      <c r="B593" s="32"/>
    </row>
    <row r="594" spans="1:2" ht="12.5">
      <c r="A594" s="32"/>
      <c r="B594" s="32"/>
    </row>
    <row r="595" spans="1:2" ht="12.5">
      <c r="A595" s="32"/>
      <c r="B595" s="32"/>
    </row>
    <row r="596" spans="1:2" ht="12.5">
      <c r="A596" s="32"/>
      <c r="B596" s="32"/>
    </row>
    <row r="597" spans="1:2" ht="12.5">
      <c r="A597" s="32"/>
      <c r="B597" s="32"/>
    </row>
    <row r="598" spans="1:2" ht="12.5">
      <c r="A598" s="32"/>
      <c r="B598" s="32"/>
    </row>
    <row r="599" spans="1:2" ht="12.5">
      <c r="A599" s="32"/>
      <c r="B599" s="32"/>
    </row>
    <row r="600" spans="1:2" ht="12.5">
      <c r="A600" s="32"/>
      <c r="B600" s="32"/>
    </row>
    <row r="601" spans="1:2" ht="12.5">
      <c r="A601" s="32"/>
      <c r="B601" s="32"/>
    </row>
    <row r="602" spans="1:2" ht="12.5">
      <c r="A602" s="32"/>
      <c r="B602" s="32"/>
    </row>
    <row r="603" spans="1:2" ht="12.5">
      <c r="A603" s="32"/>
      <c r="B603" s="32"/>
    </row>
    <row r="604" spans="1:2" ht="12.5">
      <c r="A604" s="32"/>
      <c r="B604" s="32"/>
    </row>
    <row r="605" spans="1:2" ht="12.5">
      <c r="A605" s="32"/>
      <c r="B605" s="32"/>
    </row>
    <row r="606" spans="1:2" ht="12.5">
      <c r="A606" s="32"/>
      <c r="B606" s="32"/>
    </row>
    <row r="607" spans="1:2" ht="12.5">
      <c r="A607" s="32"/>
      <c r="B607" s="32"/>
    </row>
    <row r="608" spans="1:2" ht="12.5">
      <c r="A608" s="32"/>
      <c r="B608" s="32"/>
    </row>
    <row r="609" spans="1:2" ht="12.5">
      <c r="A609" s="32"/>
      <c r="B609" s="32"/>
    </row>
    <row r="610" spans="1:2" ht="12.5">
      <c r="A610" s="32"/>
      <c r="B610" s="32"/>
    </row>
    <row r="611" spans="1:2" ht="12.5">
      <c r="A611" s="32"/>
      <c r="B611" s="32"/>
    </row>
    <row r="612" spans="1:2" ht="12.5">
      <c r="A612" s="32"/>
      <c r="B612" s="32"/>
    </row>
    <row r="613" spans="1:2" ht="12.5">
      <c r="A613" s="32"/>
      <c r="B613" s="32"/>
    </row>
    <row r="614" spans="1:2" ht="12.5">
      <c r="A614" s="32"/>
      <c r="B614" s="32"/>
    </row>
    <row r="615" spans="1:2" ht="12.5">
      <c r="A615" s="32"/>
      <c r="B615" s="32"/>
    </row>
    <row r="616" spans="1:2" ht="12.5">
      <c r="A616" s="32"/>
      <c r="B616" s="32"/>
    </row>
    <row r="617" spans="1:2" ht="12.5">
      <c r="A617" s="32"/>
      <c r="B617" s="32"/>
    </row>
    <row r="618" spans="1:2" ht="12.5">
      <c r="A618" s="32"/>
      <c r="B618" s="32"/>
    </row>
    <row r="619" spans="1:2" ht="12.5">
      <c r="A619" s="32"/>
      <c r="B619" s="32"/>
    </row>
    <row r="620" spans="1:2" ht="12.5">
      <c r="A620" s="32"/>
      <c r="B620" s="32"/>
    </row>
    <row r="621" spans="1:2" ht="12.5">
      <c r="A621" s="32"/>
      <c r="B621" s="32"/>
    </row>
    <row r="622" spans="1:2" ht="12.5">
      <c r="A622" s="32"/>
      <c r="B622" s="32"/>
    </row>
    <row r="623" spans="1:2" ht="12.5">
      <c r="A623" s="32"/>
      <c r="B623" s="32"/>
    </row>
    <row r="624" spans="1:2" ht="12.5">
      <c r="A624" s="32"/>
      <c r="B624" s="32"/>
    </row>
    <row r="625" spans="1:2" ht="12.5">
      <c r="A625" s="32"/>
      <c r="B625" s="32"/>
    </row>
    <row r="626" spans="1:2" ht="12.5">
      <c r="A626" s="32"/>
      <c r="B626" s="32"/>
    </row>
    <row r="627" spans="1:2" ht="12.5">
      <c r="A627" s="32"/>
      <c r="B627" s="32"/>
    </row>
    <row r="628" spans="1:2" ht="12.5">
      <c r="A628" s="32"/>
      <c r="B628" s="32"/>
    </row>
    <row r="629" spans="1:2" ht="12.5">
      <c r="A629" s="32"/>
      <c r="B629" s="32"/>
    </row>
    <row r="630" spans="1:2" ht="12.5">
      <c r="A630" s="32"/>
      <c r="B630" s="32"/>
    </row>
    <row r="631" spans="1:2" ht="12.5">
      <c r="A631" s="32"/>
      <c r="B631" s="32"/>
    </row>
    <row r="632" spans="1:2" ht="12.5">
      <c r="A632" s="32"/>
      <c r="B632" s="32"/>
    </row>
    <row r="633" spans="1:2" ht="12.5">
      <c r="A633" s="32"/>
      <c r="B633" s="32"/>
    </row>
    <row r="634" spans="1:2" ht="12.5">
      <c r="A634" s="32"/>
      <c r="B634" s="32"/>
    </row>
    <row r="635" spans="1:2" ht="12.5">
      <c r="A635" s="32"/>
      <c r="B635" s="32"/>
    </row>
    <row r="636" spans="1:2" ht="12.5">
      <c r="A636" s="32"/>
      <c r="B636" s="32"/>
    </row>
    <row r="637" spans="1:2" ht="12.5">
      <c r="A637" s="32"/>
      <c r="B637" s="32"/>
    </row>
    <row r="638" spans="1:2" ht="12.5">
      <c r="A638" s="32"/>
      <c r="B638" s="32"/>
    </row>
    <row r="639" spans="1:2" ht="12.5">
      <c r="A639" s="32"/>
      <c r="B639" s="32"/>
    </row>
    <row r="640" spans="1:2" ht="12.5">
      <c r="A640" s="32"/>
      <c r="B640" s="32"/>
    </row>
    <row r="641" spans="1:2" ht="12.5">
      <c r="A641" s="32"/>
      <c r="B641" s="32"/>
    </row>
    <row r="642" spans="1:2" ht="12.5">
      <c r="A642" s="32"/>
      <c r="B642" s="32"/>
    </row>
    <row r="643" spans="1:2" ht="12.5">
      <c r="A643" s="32"/>
      <c r="B643" s="32"/>
    </row>
    <row r="644" spans="1:2" ht="12.5">
      <c r="A644" s="32"/>
      <c r="B644" s="32"/>
    </row>
    <row r="645" spans="1:2" ht="12.5">
      <c r="A645" s="32"/>
      <c r="B645" s="32"/>
    </row>
    <row r="646" spans="1:2" ht="12.5">
      <c r="A646" s="32"/>
      <c r="B646" s="32"/>
    </row>
    <row r="647" spans="1:2" ht="12.5">
      <c r="A647" s="32"/>
      <c r="B647" s="32"/>
    </row>
    <row r="648" spans="1:2" ht="12.5">
      <c r="A648" s="32"/>
      <c r="B648" s="32"/>
    </row>
    <row r="649" spans="1:2" ht="12.5">
      <c r="A649" s="32"/>
      <c r="B649" s="32"/>
    </row>
    <row r="650" spans="1:2" ht="12.5">
      <c r="A650" s="32"/>
      <c r="B650" s="32"/>
    </row>
    <row r="651" spans="1:2" ht="12.5">
      <c r="A651" s="32"/>
      <c r="B651" s="32"/>
    </row>
    <row r="652" spans="1:2" ht="12.5">
      <c r="A652" s="32"/>
      <c r="B652" s="32"/>
    </row>
    <row r="653" spans="1:2" ht="12.5">
      <c r="A653" s="32"/>
      <c r="B653" s="32"/>
    </row>
    <row r="654" spans="1:2" ht="12.5">
      <c r="A654" s="32"/>
      <c r="B654" s="32"/>
    </row>
    <row r="655" spans="1:2" ht="12.5">
      <c r="A655" s="32"/>
      <c r="B655" s="32"/>
    </row>
    <row r="656" spans="1:2" ht="12.5">
      <c r="A656" s="32"/>
      <c r="B656" s="32"/>
    </row>
    <row r="657" spans="1:2" ht="12.5">
      <c r="A657" s="32"/>
      <c r="B657" s="32"/>
    </row>
    <row r="658" spans="1:2" ht="12.5">
      <c r="A658" s="32"/>
      <c r="B658" s="32"/>
    </row>
    <row r="659" spans="1:2" ht="12.5">
      <c r="A659" s="32"/>
      <c r="B659" s="32"/>
    </row>
    <row r="660" spans="1:2" ht="12.5">
      <c r="A660" s="32"/>
      <c r="B660" s="32"/>
    </row>
    <row r="661" spans="1:2" ht="12.5">
      <c r="A661" s="32"/>
      <c r="B661" s="32"/>
    </row>
    <row r="662" spans="1:2" ht="12.5">
      <c r="A662" s="32"/>
      <c r="B662" s="32"/>
    </row>
    <row r="663" spans="1:2" ht="12.5">
      <c r="A663" s="32"/>
      <c r="B663" s="32"/>
    </row>
    <row r="664" spans="1:2" ht="12.5">
      <c r="A664" s="32"/>
      <c r="B664" s="32"/>
    </row>
    <row r="665" spans="1:2" ht="12.5">
      <c r="A665" s="32"/>
      <c r="B665" s="32"/>
    </row>
    <row r="666" spans="1:2" ht="12.5">
      <c r="A666" s="32"/>
      <c r="B666" s="32"/>
    </row>
    <row r="667" spans="1:2" ht="12.5">
      <c r="A667" s="32"/>
      <c r="B667" s="32"/>
    </row>
    <row r="668" spans="1:2" ht="12.5">
      <c r="A668" s="32"/>
      <c r="B668" s="32"/>
    </row>
    <row r="669" spans="1:2" ht="12.5">
      <c r="A669" s="32"/>
      <c r="B669" s="32"/>
    </row>
    <row r="670" spans="1:2" ht="12.5">
      <c r="A670" s="32"/>
      <c r="B670" s="32"/>
    </row>
    <row r="671" spans="1:2" ht="12.5">
      <c r="A671" s="32"/>
      <c r="B671" s="32"/>
    </row>
    <row r="672" spans="1:2" ht="12.5">
      <c r="A672" s="32"/>
      <c r="B672" s="32"/>
    </row>
    <row r="673" spans="1:2" ht="12.5">
      <c r="A673" s="32"/>
      <c r="B673" s="32"/>
    </row>
    <row r="674" spans="1:2" ht="12.5">
      <c r="A674" s="32"/>
      <c r="B674" s="32"/>
    </row>
    <row r="675" spans="1:2" ht="12.5">
      <c r="A675" s="32"/>
      <c r="B675" s="32"/>
    </row>
    <row r="676" spans="1:2" ht="12.5">
      <c r="A676" s="32"/>
      <c r="B676" s="32"/>
    </row>
    <row r="677" spans="1:2" ht="12.5">
      <c r="A677" s="32"/>
      <c r="B677" s="32"/>
    </row>
    <row r="678" spans="1:2" ht="12.5">
      <c r="A678" s="32"/>
      <c r="B678" s="32"/>
    </row>
    <row r="679" spans="1:2" ht="12.5">
      <c r="A679" s="32"/>
      <c r="B679" s="32"/>
    </row>
    <row r="680" spans="1:2" ht="12.5">
      <c r="A680" s="32"/>
      <c r="B680" s="32"/>
    </row>
    <row r="681" spans="1:2" ht="12.5">
      <c r="A681" s="32"/>
      <c r="B681" s="32"/>
    </row>
    <row r="682" spans="1:2" ht="12.5">
      <c r="A682" s="32"/>
      <c r="B682" s="32"/>
    </row>
    <row r="683" spans="1:2" ht="12.5">
      <c r="A683" s="32"/>
      <c r="B683" s="32"/>
    </row>
    <row r="684" spans="1:2" ht="12.5">
      <c r="A684" s="32"/>
      <c r="B684" s="32"/>
    </row>
    <row r="685" spans="1:2" ht="12.5">
      <c r="A685" s="32"/>
      <c r="B685" s="32"/>
    </row>
    <row r="686" spans="1:2" ht="12.5">
      <c r="A686" s="32"/>
      <c r="B686" s="32"/>
    </row>
    <row r="687" spans="1:2" ht="12.5">
      <c r="A687" s="32"/>
      <c r="B687" s="32"/>
    </row>
    <row r="688" spans="1:2" ht="12.5">
      <c r="A688" s="32"/>
      <c r="B688" s="32"/>
    </row>
    <row r="689" spans="1:2" ht="12.5">
      <c r="A689" s="32"/>
      <c r="B689" s="32"/>
    </row>
    <row r="690" spans="1:2" ht="12.5">
      <c r="A690" s="32"/>
      <c r="B690" s="32"/>
    </row>
    <row r="691" spans="1:2" ht="12.5">
      <c r="A691" s="32"/>
      <c r="B691" s="32"/>
    </row>
    <row r="692" spans="1:2" ht="12.5">
      <c r="A692" s="32"/>
      <c r="B692" s="32"/>
    </row>
    <row r="693" spans="1:2" ht="12.5">
      <c r="A693" s="32"/>
      <c r="B693" s="32"/>
    </row>
    <row r="694" spans="1:2" ht="12.5">
      <c r="A694" s="32"/>
      <c r="B694" s="32"/>
    </row>
    <row r="695" spans="1:2" ht="12.5">
      <c r="A695" s="32"/>
      <c r="B695" s="32"/>
    </row>
    <row r="696" spans="1:2" ht="12.5">
      <c r="A696" s="32"/>
      <c r="B696" s="32"/>
    </row>
    <row r="697" spans="1:2" ht="12.5">
      <c r="A697" s="32"/>
      <c r="B697" s="32"/>
    </row>
    <row r="698" spans="1:2" ht="12.5">
      <c r="A698" s="32"/>
      <c r="B698" s="32"/>
    </row>
    <row r="699" spans="1:2" ht="12.5">
      <c r="A699" s="32"/>
      <c r="B699" s="32"/>
    </row>
    <row r="700" spans="1:2" ht="12.5">
      <c r="A700" s="32"/>
      <c r="B700" s="32"/>
    </row>
    <row r="701" spans="1:2" ht="12.5">
      <c r="A701" s="32"/>
      <c r="B701" s="32"/>
    </row>
    <row r="702" spans="1:2" ht="12.5">
      <c r="A702" s="32"/>
      <c r="B702" s="32"/>
    </row>
    <row r="703" spans="1:2" ht="12.5">
      <c r="A703" s="32"/>
      <c r="B703" s="32"/>
    </row>
    <row r="704" spans="1:2" ht="12.5">
      <c r="A704" s="32"/>
      <c r="B704" s="32"/>
    </row>
    <row r="705" spans="1:2" ht="12.5">
      <c r="A705" s="32"/>
      <c r="B705" s="32"/>
    </row>
    <row r="706" spans="1:2" ht="12.5">
      <c r="A706" s="32"/>
      <c r="B706" s="32"/>
    </row>
    <row r="707" spans="1:2" ht="12.5">
      <c r="A707" s="32"/>
      <c r="B707" s="32"/>
    </row>
    <row r="708" spans="1:2" ht="12.5">
      <c r="A708" s="32"/>
      <c r="B708" s="32"/>
    </row>
    <row r="709" spans="1:2" ht="12.5">
      <c r="A709" s="32"/>
      <c r="B709" s="32"/>
    </row>
    <row r="710" spans="1:2" ht="12.5">
      <c r="A710" s="32"/>
      <c r="B710" s="32"/>
    </row>
    <row r="711" spans="1:2" ht="12.5">
      <c r="A711" s="32"/>
      <c r="B711" s="32"/>
    </row>
    <row r="712" spans="1:2" ht="12.5">
      <c r="A712" s="32"/>
      <c r="B712" s="32"/>
    </row>
    <row r="713" spans="1:2" ht="12.5">
      <c r="A713" s="32"/>
      <c r="B713" s="32"/>
    </row>
    <row r="714" spans="1:2" ht="12.5">
      <c r="A714" s="32"/>
      <c r="B714" s="32"/>
    </row>
    <row r="715" spans="1:2" ht="12.5">
      <c r="A715" s="32"/>
      <c r="B715" s="32"/>
    </row>
    <row r="716" spans="1:2" ht="12.5">
      <c r="A716" s="32"/>
      <c r="B716" s="32"/>
    </row>
    <row r="717" spans="1:2" ht="12.5">
      <c r="A717" s="32"/>
      <c r="B717" s="32"/>
    </row>
    <row r="718" spans="1:2" ht="12.5">
      <c r="A718" s="32"/>
      <c r="B718" s="32"/>
    </row>
    <row r="719" spans="1:2" ht="12.5">
      <c r="A719" s="32"/>
      <c r="B719" s="32"/>
    </row>
    <row r="720" spans="1:2" ht="12.5">
      <c r="A720" s="32"/>
      <c r="B720" s="32"/>
    </row>
    <row r="721" spans="1:2" ht="12.5">
      <c r="A721" s="32"/>
      <c r="B721" s="32"/>
    </row>
    <row r="722" spans="1:2" ht="12.5">
      <c r="A722" s="32"/>
      <c r="B722" s="32"/>
    </row>
    <row r="723" spans="1:2" ht="12.5">
      <c r="A723" s="32"/>
      <c r="B723" s="32"/>
    </row>
    <row r="724" spans="1:2" ht="12.5">
      <c r="A724" s="32"/>
      <c r="B724" s="32"/>
    </row>
    <row r="725" spans="1:2" ht="12.5">
      <c r="A725" s="32"/>
      <c r="B725" s="32"/>
    </row>
    <row r="726" spans="1:2" ht="12.5">
      <c r="A726" s="32"/>
      <c r="B726" s="32"/>
    </row>
    <row r="727" spans="1:2" ht="12.5">
      <c r="A727" s="32"/>
      <c r="B727" s="32"/>
    </row>
    <row r="728" spans="1:2" ht="12.5">
      <c r="A728" s="32"/>
      <c r="B728" s="32"/>
    </row>
    <row r="729" spans="1:2" ht="12.5">
      <c r="A729" s="32"/>
      <c r="B729" s="32"/>
    </row>
    <row r="730" spans="1:2" ht="12.5">
      <c r="A730" s="32"/>
      <c r="B730" s="32"/>
    </row>
    <row r="731" spans="1:2" ht="12.5">
      <c r="A731" s="32"/>
      <c r="B731" s="32"/>
    </row>
    <row r="732" spans="1:2" ht="12.5">
      <c r="A732" s="32"/>
      <c r="B732" s="32"/>
    </row>
    <row r="733" spans="1:2" ht="12.5">
      <c r="A733" s="32"/>
      <c r="B733" s="32"/>
    </row>
    <row r="734" spans="1:2" ht="12.5">
      <c r="A734" s="32"/>
      <c r="B734" s="32"/>
    </row>
    <row r="735" spans="1:2" ht="12.5">
      <c r="A735" s="32"/>
      <c r="B735" s="32"/>
    </row>
    <row r="736" spans="1:2" ht="12.5">
      <c r="A736" s="32"/>
      <c r="B736" s="32"/>
    </row>
    <row r="737" spans="1:2" ht="12.5">
      <c r="A737" s="32"/>
      <c r="B737" s="32"/>
    </row>
    <row r="738" spans="1:2" ht="12.5">
      <c r="A738" s="32"/>
      <c r="B738" s="32"/>
    </row>
    <row r="739" spans="1:2" ht="12.5">
      <c r="A739" s="32"/>
      <c r="B739" s="32"/>
    </row>
    <row r="740" spans="1:2" ht="12.5">
      <c r="A740" s="32"/>
      <c r="B740" s="32"/>
    </row>
    <row r="741" spans="1:2" ht="12.5">
      <c r="A741" s="32"/>
      <c r="B741" s="32"/>
    </row>
    <row r="742" spans="1:2" ht="12.5">
      <c r="A742" s="32"/>
      <c r="B742" s="32"/>
    </row>
    <row r="743" spans="1:2" ht="12.5">
      <c r="A743" s="32"/>
      <c r="B743" s="32"/>
    </row>
    <row r="744" spans="1:2" ht="12.5">
      <c r="A744" s="32"/>
      <c r="B744" s="32"/>
    </row>
    <row r="745" spans="1:2" ht="12.5">
      <c r="A745" s="32"/>
      <c r="B745" s="32"/>
    </row>
    <row r="746" spans="1:2" ht="12.5">
      <c r="A746" s="32"/>
      <c r="B746" s="32"/>
    </row>
    <row r="747" spans="1:2" ht="12.5">
      <c r="A747" s="32"/>
      <c r="B747" s="32"/>
    </row>
    <row r="748" spans="1:2" ht="12.5">
      <c r="A748" s="32"/>
      <c r="B748" s="32"/>
    </row>
    <row r="749" spans="1:2" ht="12.5">
      <c r="A749" s="32"/>
      <c r="B749" s="32"/>
    </row>
    <row r="750" spans="1:2" ht="12.5">
      <c r="A750" s="32"/>
      <c r="B750" s="32"/>
    </row>
    <row r="751" spans="1:2" ht="12.5">
      <c r="A751" s="32"/>
      <c r="B751" s="32"/>
    </row>
    <row r="752" spans="1:2" ht="12.5">
      <c r="A752" s="32"/>
      <c r="B752" s="32"/>
    </row>
    <row r="753" spans="1:2" ht="12.5">
      <c r="A753" s="32"/>
      <c r="B753" s="32"/>
    </row>
    <row r="754" spans="1:2" ht="12.5">
      <c r="A754" s="32"/>
      <c r="B754" s="32"/>
    </row>
    <row r="755" spans="1:2" ht="12.5">
      <c r="A755" s="32"/>
      <c r="B755" s="32"/>
    </row>
    <row r="756" spans="1:2" ht="12.5">
      <c r="A756" s="32"/>
      <c r="B756" s="32"/>
    </row>
    <row r="757" spans="1:2" ht="12.5">
      <c r="A757" s="32"/>
      <c r="B757" s="32"/>
    </row>
    <row r="758" spans="1:2" ht="12.5">
      <c r="A758" s="32"/>
      <c r="B758" s="32"/>
    </row>
    <row r="759" spans="1:2" ht="12.5">
      <c r="A759" s="32"/>
      <c r="B759" s="32"/>
    </row>
    <row r="760" spans="1:2" ht="12.5">
      <c r="A760" s="32"/>
      <c r="B760" s="32"/>
    </row>
    <row r="761" spans="1:2" ht="12.5">
      <c r="A761" s="32"/>
      <c r="B761" s="32"/>
    </row>
    <row r="762" spans="1:2" ht="12.5">
      <c r="A762" s="32"/>
      <c r="B762" s="32"/>
    </row>
    <row r="763" spans="1:2" ht="12.5">
      <c r="A763" s="32"/>
      <c r="B763" s="32"/>
    </row>
    <row r="764" spans="1:2" ht="12.5">
      <c r="A764" s="32"/>
      <c r="B764" s="32"/>
    </row>
    <row r="765" spans="1:2" ht="12.5">
      <c r="A765" s="32"/>
      <c r="B765" s="32"/>
    </row>
    <row r="766" spans="1:2" ht="12.5">
      <c r="A766" s="32"/>
      <c r="B766" s="32"/>
    </row>
    <row r="767" spans="1:2" ht="12.5">
      <c r="A767" s="32"/>
      <c r="B767" s="32"/>
    </row>
    <row r="768" spans="1:2" ht="12.5">
      <c r="A768" s="32"/>
      <c r="B768" s="32"/>
    </row>
    <row r="769" spans="1:2" ht="12.5">
      <c r="A769" s="32"/>
      <c r="B769" s="32"/>
    </row>
    <row r="770" spans="1:2" ht="12.5">
      <c r="A770" s="32"/>
      <c r="B770" s="32"/>
    </row>
    <row r="771" spans="1:2" ht="12.5">
      <c r="A771" s="32"/>
      <c r="B771" s="32"/>
    </row>
    <row r="772" spans="1:2" ht="12.5">
      <c r="A772" s="32"/>
      <c r="B772" s="32"/>
    </row>
    <row r="773" spans="1:2" ht="12.5">
      <c r="A773" s="32"/>
      <c r="B773" s="32"/>
    </row>
    <row r="774" spans="1:2" ht="12.5">
      <c r="A774" s="32"/>
      <c r="B774" s="32"/>
    </row>
    <row r="775" spans="1:2" ht="12.5">
      <c r="A775" s="32"/>
      <c r="B775" s="32"/>
    </row>
    <row r="776" spans="1:2" ht="12.5">
      <c r="A776" s="32"/>
      <c r="B776" s="32"/>
    </row>
    <row r="777" spans="1:2" ht="12.5">
      <c r="A777" s="32"/>
      <c r="B777" s="32"/>
    </row>
    <row r="778" spans="1:2" ht="12.5">
      <c r="A778" s="32"/>
      <c r="B778" s="32"/>
    </row>
    <row r="779" spans="1:2" ht="12.5">
      <c r="A779" s="32"/>
      <c r="B779" s="32"/>
    </row>
    <row r="780" spans="1:2" ht="12.5">
      <c r="A780" s="32"/>
      <c r="B780" s="32"/>
    </row>
    <row r="781" spans="1:2" ht="12.5">
      <c r="A781" s="32"/>
      <c r="B781" s="32"/>
    </row>
    <row r="782" spans="1:2" ht="12.5">
      <c r="A782" s="32"/>
      <c r="B782" s="32"/>
    </row>
    <row r="783" spans="1:2" ht="12.5">
      <c r="A783" s="32"/>
      <c r="B783" s="32"/>
    </row>
    <row r="784" spans="1:2" ht="12.5">
      <c r="A784" s="32"/>
      <c r="B784" s="32"/>
    </row>
    <row r="785" spans="1:2" ht="12.5">
      <c r="A785" s="32"/>
      <c r="B785" s="32"/>
    </row>
    <row r="786" spans="1:2" ht="12.5">
      <c r="A786" s="32"/>
      <c r="B786" s="32"/>
    </row>
    <row r="787" spans="1:2" ht="12.5">
      <c r="A787" s="32"/>
      <c r="B787" s="32"/>
    </row>
    <row r="788" spans="1:2" ht="12.5">
      <c r="A788" s="32"/>
      <c r="B788" s="32"/>
    </row>
    <row r="789" spans="1:2" ht="12.5">
      <c r="A789" s="32"/>
      <c r="B789" s="32"/>
    </row>
    <row r="790" spans="1:2" ht="12.5">
      <c r="A790" s="32"/>
      <c r="B790" s="32"/>
    </row>
    <row r="791" spans="1:2" ht="12.5">
      <c r="A791" s="32"/>
      <c r="B791" s="32"/>
    </row>
    <row r="792" spans="1:2" ht="12.5">
      <c r="A792" s="32"/>
      <c r="B792" s="32"/>
    </row>
    <row r="793" spans="1:2" ht="12.5">
      <c r="A793" s="32"/>
      <c r="B793" s="32"/>
    </row>
    <row r="794" spans="1:2" ht="12.5">
      <c r="A794" s="32"/>
      <c r="B794" s="32"/>
    </row>
    <row r="795" spans="1:2" ht="12.5">
      <c r="A795" s="32"/>
      <c r="B795" s="32"/>
    </row>
    <row r="796" spans="1:2" ht="12.5">
      <c r="A796" s="32"/>
      <c r="B796" s="32"/>
    </row>
    <row r="797" spans="1:2" ht="12.5">
      <c r="A797" s="32"/>
      <c r="B797" s="32"/>
    </row>
    <row r="798" spans="1:2" ht="12.5">
      <c r="A798" s="32"/>
      <c r="B798" s="32"/>
    </row>
    <row r="799" spans="1:2" ht="12.5">
      <c r="A799" s="32"/>
      <c r="B799" s="32"/>
    </row>
    <row r="800" spans="1:2" ht="12.5">
      <c r="A800" s="32"/>
      <c r="B800" s="32"/>
    </row>
    <row r="801" spans="1:2" ht="12.5">
      <c r="A801" s="32"/>
      <c r="B801" s="32"/>
    </row>
    <row r="802" spans="1:2" ht="12.5">
      <c r="A802" s="32"/>
      <c r="B802" s="32"/>
    </row>
    <row r="803" spans="1:2" ht="12.5">
      <c r="A803" s="32"/>
      <c r="B803" s="32"/>
    </row>
    <row r="804" spans="1:2" ht="12.5">
      <c r="A804" s="32"/>
      <c r="B804" s="32"/>
    </row>
    <row r="805" spans="1:2" ht="12.5">
      <c r="A805" s="32"/>
      <c r="B805" s="32"/>
    </row>
    <row r="806" spans="1:2" ht="12.5">
      <c r="A806" s="32"/>
      <c r="B806" s="32"/>
    </row>
    <row r="807" spans="1:2" ht="12.5">
      <c r="A807" s="32"/>
      <c r="B807" s="32"/>
    </row>
    <row r="808" spans="1:2" ht="12.5">
      <c r="A808" s="32"/>
      <c r="B808" s="32"/>
    </row>
    <row r="809" spans="1:2" ht="12.5">
      <c r="A809" s="32"/>
      <c r="B809" s="32"/>
    </row>
    <row r="810" spans="1:2" ht="12.5">
      <c r="A810" s="32"/>
      <c r="B810" s="32"/>
    </row>
    <row r="811" spans="1:2" ht="12.5">
      <c r="A811" s="32"/>
      <c r="B811" s="32"/>
    </row>
    <row r="812" spans="1:2" ht="12.5">
      <c r="A812" s="32"/>
      <c r="B812" s="32"/>
    </row>
    <row r="813" spans="1:2" ht="12.5">
      <c r="A813" s="32"/>
      <c r="B813" s="32"/>
    </row>
    <row r="814" spans="1:2" ht="12.5">
      <c r="A814" s="32"/>
      <c r="B814" s="32"/>
    </row>
    <row r="815" spans="1:2" ht="12.5">
      <c r="A815" s="32"/>
      <c r="B815" s="32"/>
    </row>
    <row r="816" spans="1:2" ht="12.5">
      <c r="A816" s="32"/>
      <c r="B816" s="32"/>
    </row>
    <row r="817" spans="1:2" ht="12.5">
      <c r="A817" s="32"/>
      <c r="B817" s="32"/>
    </row>
    <row r="818" spans="1:2" ht="12.5">
      <c r="A818" s="32"/>
      <c r="B818" s="32"/>
    </row>
    <row r="819" spans="1:2" ht="12.5">
      <c r="A819" s="32"/>
      <c r="B819" s="32"/>
    </row>
    <row r="820" spans="1:2" ht="12.5">
      <c r="A820" s="32"/>
      <c r="B820" s="32"/>
    </row>
    <row r="821" spans="1:2" ht="12.5">
      <c r="A821" s="32"/>
      <c r="B821" s="32"/>
    </row>
    <row r="822" spans="1:2" ht="12.5">
      <c r="A822" s="32"/>
      <c r="B822" s="32"/>
    </row>
    <row r="823" spans="1:2" ht="12.5">
      <c r="A823" s="32"/>
      <c r="B823" s="32"/>
    </row>
    <row r="824" spans="1:2" ht="12.5">
      <c r="A824" s="32"/>
      <c r="B824" s="32"/>
    </row>
    <row r="825" spans="1:2" ht="12.5">
      <c r="A825" s="32"/>
      <c r="B825" s="32"/>
    </row>
    <row r="826" spans="1:2" ht="12.5">
      <c r="A826" s="32"/>
      <c r="B826" s="32"/>
    </row>
    <row r="827" spans="1:2" ht="12.5">
      <c r="A827" s="32"/>
      <c r="B827" s="32"/>
    </row>
    <row r="828" spans="1:2" ht="12.5">
      <c r="A828" s="32"/>
      <c r="B828" s="32"/>
    </row>
    <row r="829" spans="1:2" ht="12.5">
      <c r="A829" s="32"/>
      <c r="B829" s="32"/>
    </row>
    <row r="830" spans="1:2" ht="12.5">
      <c r="A830" s="32"/>
      <c r="B830" s="32"/>
    </row>
    <row r="831" spans="1:2" ht="12.5">
      <c r="A831" s="32"/>
      <c r="B831" s="32"/>
    </row>
    <row r="832" spans="1:2" ht="12.5">
      <c r="A832" s="32"/>
      <c r="B832" s="32"/>
    </row>
    <row r="833" spans="1:2" ht="12.5">
      <c r="A833" s="32"/>
      <c r="B833" s="32"/>
    </row>
    <row r="834" spans="1:2" ht="12.5">
      <c r="A834" s="32"/>
      <c r="B834" s="32"/>
    </row>
    <row r="835" spans="1:2" ht="12.5">
      <c r="A835" s="32"/>
      <c r="B835" s="32"/>
    </row>
    <row r="836" spans="1:2" ht="12.5">
      <c r="A836" s="32"/>
      <c r="B836" s="32"/>
    </row>
    <row r="837" spans="1:2" ht="12.5">
      <c r="A837" s="32"/>
      <c r="B837" s="32"/>
    </row>
    <row r="838" spans="1:2" ht="12.5">
      <c r="A838" s="32"/>
      <c r="B838" s="32"/>
    </row>
    <row r="839" spans="1:2" ht="12.5">
      <c r="A839" s="32"/>
      <c r="B839" s="32"/>
    </row>
    <row r="840" spans="1:2" ht="12.5">
      <c r="A840" s="32"/>
      <c r="B840" s="32"/>
    </row>
    <row r="841" spans="1:2" ht="12.5">
      <c r="A841" s="32"/>
      <c r="B841" s="32"/>
    </row>
    <row r="842" spans="1:2" ht="12.5">
      <c r="A842" s="32"/>
      <c r="B842" s="32"/>
    </row>
    <row r="843" spans="1:2" ht="12.5">
      <c r="A843" s="32"/>
      <c r="B843" s="32"/>
    </row>
    <row r="844" spans="1:2" ht="12.5">
      <c r="A844" s="32"/>
      <c r="B844" s="32"/>
    </row>
    <row r="845" spans="1:2" ht="12.5">
      <c r="A845" s="32"/>
      <c r="B845" s="32"/>
    </row>
    <row r="846" spans="1:2" ht="12.5">
      <c r="A846" s="32"/>
      <c r="B846" s="32"/>
    </row>
    <row r="847" spans="1:2" ht="12.5">
      <c r="A847" s="32"/>
      <c r="B847" s="32"/>
    </row>
    <row r="848" spans="1:2" ht="12.5">
      <c r="A848" s="32"/>
      <c r="B848" s="32"/>
    </row>
    <row r="849" spans="1:2" ht="12.5">
      <c r="A849" s="32"/>
      <c r="B849" s="32"/>
    </row>
    <row r="850" spans="1:2" ht="12.5">
      <c r="A850" s="32"/>
      <c r="B850" s="32"/>
    </row>
    <row r="851" spans="1:2" ht="12.5">
      <c r="A851" s="32"/>
      <c r="B851" s="32"/>
    </row>
    <row r="852" spans="1:2" ht="12.5">
      <c r="A852" s="32"/>
      <c r="B852" s="32"/>
    </row>
    <row r="853" spans="1:2" ht="12.5">
      <c r="A853" s="32"/>
      <c r="B853" s="32"/>
    </row>
    <row r="854" spans="1:2" ht="12.5">
      <c r="A854" s="32"/>
      <c r="B854" s="32"/>
    </row>
    <row r="855" spans="1:2" ht="12.5">
      <c r="A855" s="32"/>
      <c r="B855" s="32"/>
    </row>
    <row r="856" spans="1:2" ht="12.5">
      <c r="A856" s="32"/>
      <c r="B856" s="32"/>
    </row>
    <row r="857" spans="1:2" ht="12.5">
      <c r="A857" s="32"/>
      <c r="B857" s="32"/>
    </row>
    <row r="858" spans="1:2" ht="12.5">
      <c r="A858" s="32"/>
      <c r="B858" s="32"/>
    </row>
    <row r="859" spans="1:2" ht="12.5">
      <c r="A859" s="32"/>
      <c r="B859" s="32"/>
    </row>
    <row r="860" spans="1:2" ht="12.5">
      <c r="A860" s="32"/>
      <c r="B860" s="32"/>
    </row>
    <row r="861" spans="1:2" ht="12.5">
      <c r="A861" s="32"/>
      <c r="B861" s="32"/>
    </row>
    <row r="862" spans="1:2" ht="12.5">
      <c r="A862" s="32"/>
      <c r="B862" s="32"/>
    </row>
    <row r="863" spans="1:2" ht="12.5">
      <c r="A863" s="32"/>
      <c r="B863" s="32"/>
    </row>
    <row r="864" spans="1:2" ht="12.5">
      <c r="A864" s="32"/>
      <c r="B864" s="32"/>
    </row>
    <row r="865" spans="1:2" ht="12.5">
      <c r="A865" s="32"/>
      <c r="B865" s="32"/>
    </row>
    <row r="866" spans="1:2" ht="12.5">
      <c r="A866" s="32"/>
      <c r="B866" s="32"/>
    </row>
    <row r="867" spans="1:2" ht="12.5">
      <c r="A867" s="32"/>
      <c r="B867" s="32"/>
    </row>
    <row r="868" spans="1:2" ht="12.5">
      <c r="A868" s="32"/>
      <c r="B868" s="32"/>
    </row>
    <row r="869" spans="1:2" ht="12.5">
      <c r="A869" s="32"/>
      <c r="B869" s="32"/>
    </row>
    <row r="870" spans="1:2" ht="12.5">
      <c r="A870" s="32"/>
      <c r="B870" s="32"/>
    </row>
    <row r="871" spans="1:2" ht="12.5">
      <c r="A871" s="32"/>
      <c r="B871" s="32"/>
    </row>
    <row r="872" spans="1:2" ht="12.5">
      <c r="A872" s="32"/>
      <c r="B872" s="32"/>
    </row>
    <row r="873" spans="1:2" ht="12.5">
      <c r="A873" s="32"/>
      <c r="B873" s="32"/>
    </row>
    <row r="874" spans="1:2" ht="12.5">
      <c r="A874" s="32"/>
      <c r="B874" s="32"/>
    </row>
    <row r="875" spans="1:2" ht="12.5">
      <c r="A875" s="32"/>
      <c r="B875" s="32"/>
    </row>
    <row r="876" spans="1:2" ht="12.5">
      <c r="A876" s="32"/>
      <c r="B876" s="32"/>
    </row>
    <row r="877" spans="1:2" ht="12.5">
      <c r="A877" s="32"/>
      <c r="B877" s="32"/>
    </row>
    <row r="878" spans="1:2" ht="12.5">
      <c r="A878" s="32"/>
      <c r="B878" s="32"/>
    </row>
    <row r="879" spans="1:2" ht="12.5">
      <c r="A879" s="32"/>
      <c r="B879" s="32"/>
    </row>
    <row r="880" spans="1:2" ht="12.5">
      <c r="A880" s="32"/>
      <c r="B880" s="32"/>
    </row>
    <row r="881" spans="1:2" ht="12.5">
      <c r="A881" s="32"/>
      <c r="B881" s="32"/>
    </row>
    <row r="882" spans="1:2" ht="12.5">
      <c r="A882" s="32"/>
      <c r="B882" s="32"/>
    </row>
    <row r="883" spans="1:2" ht="12.5">
      <c r="A883" s="32"/>
      <c r="B883" s="32"/>
    </row>
    <row r="884" spans="1:2" ht="12.5">
      <c r="A884" s="32"/>
      <c r="B884" s="32"/>
    </row>
    <row r="885" spans="1:2" ht="12.5">
      <c r="A885" s="32"/>
      <c r="B885" s="32"/>
    </row>
    <row r="886" spans="1:2" ht="12.5">
      <c r="A886" s="32"/>
      <c r="B886" s="32"/>
    </row>
    <row r="887" spans="1:2" ht="12.5">
      <c r="A887" s="32"/>
      <c r="B887" s="32"/>
    </row>
    <row r="888" spans="1:2" ht="12.5">
      <c r="A888" s="32"/>
      <c r="B888" s="32"/>
    </row>
    <row r="889" spans="1:2" ht="12.5">
      <c r="A889" s="32"/>
      <c r="B889" s="32"/>
    </row>
    <row r="890" spans="1:2" ht="12.5">
      <c r="A890" s="32"/>
      <c r="B890" s="32"/>
    </row>
    <row r="891" spans="1:2" ht="12.5">
      <c r="A891" s="32"/>
      <c r="B891" s="32"/>
    </row>
    <row r="892" spans="1:2" ht="12.5">
      <c r="A892" s="32"/>
      <c r="B892" s="32"/>
    </row>
    <row r="893" spans="1:2" ht="12.5">
      <c r="A893" s="32"/>
      <c r="B893" s="32"/>
    </row>
    <row r="894" spans="1:2" ht="12.5">
      <c r="A894" s="32"/>
      <c r="B894" s="32"/>
    </row>
    <row r="895" spans="1:2" ht="12.5">
      <c r="A895" s="32"/>
      <c r="B895" s="32"/>
    </row>
    <row r="896" spans="1:2" ht="12.5">
      <c r="A896" s="32"/>
      <c r="B896" s="32"/>
    </row>
    <row r="897" spans="1:2" ht="12.5">
      <c r="A897" s="32"/>
      <c r="B897" s="32"/>
    </row>
    <row r="898" spans="1:2" ht="12.5">
      <c r="A898" s="32"/>
      <c r="B898" s="32"/>
    </row>
    <row r="899" spans="1:2" ht="12.5">
      <c r="A899" s="32"/>
      <c r="B899" s="32"/>
    </row>
    <row r="900" spans="1:2" ht="12.5">
      <c r="A900" s="32"/>
      <c r="B900" s="32"/>
    </row>
    <row r="901" spans="1:2" ht="12.5">
      <c r="A901" s="32"/>
      <c r="B901" s="32"/>
    </row>
    <row r="902" spans="1:2" ht="12.5">
      <c r="A902" s="32"/>
      <c r="B902" s="32"/>
    </row>
    <row r="903" spans="1:2" ht="12.5">
      <c r="A903" s="32"/>
      <c r="B903" s="32"/>
    </row>
    <row r="904" spans="1:2" ht="12.5">
      <c r="A904" s="32"/>
      <c r="B904" s="32"/>
    </row>
    <row r="905" spans="1:2" ht="12.5">
      <c r="A905" s="32"/>
      <c r="B905" s="32"/>
    </row>
    <row r="906" spans="1:2" ht="12.5">
      <c r="A906" s="32"/>
      <c r="B906" s="32"/>
    </row>
    <row r="907" spans="1:2" ht="12.5">
      <c r="A907" s="32"/>
      <c r="B907" s="32"/>
    </row>
    <row r="908" spans="1:2" ht="12.5">
      <c r="A908" s="32"/>
      <c r="B908" s="32"/>
    </row>
    <row r="909" spans="1:2" ht="12.5">
      <c r="A909" s="32"/>
      <c r="B909" s="32"/>
    </row>
    <row r="910" spans="1:2" ht="12.5">
      <c r="A910" s="32"/>
      <c r="B910" s="32"/>
    </row>
    <row r="911" spans="1:2" ht="12.5">
      <c r="A911" s="32"/>
      <c r="B911" s="32"/>
    </row>
    <row r="912" spans="1:2" ht="12.5">
      <c r="A912" s="32"/>
      <c r="B912" s="32"/>
    </row>
    <row r="913" spans="1:2" ht="12.5">
      <c r="A913" s="32"/>
      <c r="B913" s="32"/>
    </row>
    <row r="914" spans="1:2" ht="12.5">
      <c r="A914" s="32"/>
      <c r="B914" s="32"/>
    </row>
    <row r="915" spans="1:2" ht="12.5">
      <c r="A915" s="32"/>
      <c r="B915" s="32"/>
    </row>
    <row r="916" spans="1:2" ht="12.5">
      <c r="A916" s="32"/>
      <c r="B916" s="32"/>
    </row>
    <row r="917" spans="1:2" ht="12.5">
      <c r="A917" s="32"/>
      <c r="B917" s="32"/>
    </row>
    <row r="918" spans="1:2" ht="12.5">
      <c r="A918" s="32"/>
      <c r="B918" s="32"/>
    </row>
    <row r="919" spans="1:2" ht="12.5">
      <c r="A919" s="32"/>
      <c r="B919" s="32"/>
    </row>
    <row r="920" spans="1:2" ht="12.5">
      <c r="A920" s="32"/>
      <c r="B920" s="32"/>
    </row>
    <row r="921" spans="1:2" ht="12.5">
      <c r="A921" s="32"/>
      <c r="B921" s="32"/>
    </row>
    <row r="922" spans="1:2" ht="12.5">
      <c r="A922" s="32"/>
      <c r="B922" s="32"/>
    </row>
    <row r="923" spans="1:2" ht="12.5">
      <c r="A923" s="32"/>
      <c r="B923" s="32"/>
    </row>
    <row r="924" spans="1:2" ht="12.5">
      <c r="A924" s="32"/>
      <c r="B924" s="32"/>
    </row>
    <row r="925" spans="1:2" ht="12.5">
      <c r="A925" s="32"/>
      <c r="B925" s="32"/>
    </row>
    <row r="926" spans="1:2" ht="12.5">
      <c r="A926" s="32"/>
      <c r="B926" s="32"/>
    </row>
    <row r="927" spans="1:2" ht="12.5">
      <c r="A927" s="32"/>
      <c r="B927" s="32"/>
    </row>
    <row r="928" spans="1:2" ht="12.5">
      <c r="A928" s="32"/>
      <c r="B928" s="32"/>
    </row>
    <row r="929" spans="1:2" ht="12.5">
      <c r="A929" s="32"/>
      <c r="B929" s="32"/>
    </row>
    <row r="930" spans="1:2" ht="12.5">
      <c r="A930" s="32"/>
      <c r="B930" s="32"/>
    </row>
    <row r="931" spans="1:2" ht="12.5">
      <c r="A931" s="32"/>
      <c r="B931" s="32"/>
    </row>
    <row r="932" spans="1:2" ht="12.5">
      <c r="A932" s="32"/>
      <c r="B932" s="32"/>
    </row>
    <row r="933" spans="1:2" ht="12.5">
      <c r="A933" s="32"/>
      <c r="B933" s="32"/>
    </row>
    <row r="934" spans="1:2" ht="12.5">
      <c r="A934" s="32"/>
      <c r="B934" s="32"/>
    </row>
    <row r="935" spans="1:2" ht="12.5">
      <c r="A935" s="32"/>
      <c r="B935" s="32"/>
    </row>
    <row r="936" spans="1:2" ht="12.5">
      <c r="A936" s="32"/>
      <c r="B936" s="32"/>
    </row>
    <row r="937" spans="1:2" ht="12.5">
      <c r="A937" s="32"/>
      <c r="B937" s="32"/>
    </row>
    <row r="938" spans="1:2" ht="12.5">
      <c r="A938" s="32"/>
      <c r="B938" s="32"/>
    </row>
    <row r="939" spans="1:2" ht="12.5">
      <c r="A939" s="32"/>
      <c r="B939" s="32"/>
    </row>
    <row r="940" spans="1:2" ht="12.5">
      <c r="A940" s="32"/>
      <c r="B940" s="32"/>
    </row>
    <row r="941" spans="1:2" ht="12.5">
      <c r="A941" s="32"/>
      <c r="B941" s="32"/>
    </row>
    <row r="942" spans="1:2" ht="12.5">
      <c r="A942" s="32"/>
      <c r="B942" s="32"/>
    </row>
    <row r="943" spans="1:2" ht="12.5">
      <c r="A943" s="32"/>
      <c r="B943" s="32"/>
    </row>
    <row r="944" spans="1:2" ht="12.5">
      <c r="A944" s="32"/>
      <c r="B944" s="32"/>
    </row>
    <row r="945" spans="1:2" ht="12.5">
      <c r="A945" s="32"/>
      <c r="B945" s="32"/>
    </row>
    <row r="946" spans="1:2" ht="12.5">
      <c r="A946" s="32"/>
      <c r="B946" s="32"/>
    </row>
    <row r="947" spans="1:2" ht="12.5">
      <c r="A947" s="32"/>
      <c r="B947" s="32"/>
    </row>
    <row r="948" spans="1:2" ht="12.5">
      <c r="A948" s="32"/>
      <c r="B948" s="32"/>
    </row>
    <row r="949" spans="1:2" ht="12.5">
      <c r="A949" s="32"/>
      <c r="B949" s="32"/>
    </row>
    <row r="950" spans="1:2" ht="12.5">
      <c r="A950" s="32"/>
      <c r="B950" s="32"/>
    </row>
    <row r="951" spans="1:2" ht="12.5">
      <c r="A951" s="32"/>
      <c r="B951" s="32"/>
    </row>
    <row r="952" spans="1:2" ht="12.5">
      <c r="A952" s="32"/>
      <c r="B952" s="32"/>
    </row>
    <row r="953" spans="1:2" ht="12.5">
      <c r="A953" s="32"/>
      <c r="B953" s="32"/>
    </row>
    <row r="954" spans="1:2" ht="12.5">
      <c r="A954" s="32"/>
      <c r="B954" s="32"/>
    </row>
    <row r="955" spans="1:2" ht="12.5">
      <c r="A955" s="32"/>
      <c r="B955" s="32"/>
    </row>
    <row r="956" spans="1:2" ht="12.5">
      <c r="A956" s="32"/>
      <c r="B956" s="32"/>
    </row>
    <row r="957" spans="1:2" ht="12.5">
      <c r="A957" s="32"/>
      <c r="B957" s="32"/>
    </row>
    <row r="958" spans="1:2" ht="12.5">
      <c r="A958" s="32"/>
      <c r="B958" s="32"/>
    </row>
    <row r="959" spans="1:2" ht="12.5">
      <c r="A959" s="32"/>
      <c r="B959" s="32"/>
    </row>
    <row r="960" spans="1:2" ht="12.5">
      <c r="A960" s="32"/>
      <c r="B960" s="32"/>
    </row>
    <row r="961" spans="1:2" ht="12.5">
      <c r="A961" s="32"/>
      <c r="B961" s="32"/>
    </row>
    <row r="962" spans="1:2" ht="12.5">
      <c r="A962" s="32"/>
      <c r="B962" s="32"/>
    </row>
    <row r="963" spans="1:2" ht="12.5">
      <c r="A963" s="32"/>
      <c r="B963" s="32"/>
    </row>
    <row r="964" spans="1:2" ht="12.5">
      <c r="A964" s="32"/>
      <c r="B964" s="32"/>
    </row>
    <row r="965" spans="1:2" ht="12.5">
      <c r="A965" s="32"/>
      <c r="B965" s="32"/>
    </row>
    <row r="966" spans="1:2" ht="12.5">
      <c r="A966" s="32"/>
      <c r="B966" s="32"/>
    </row>
    <row r="967" spans="1:2" ht="12.5">
      <c r="A967" s="32"/>
      <c r="B967" s="32"/>
    </row>
    <row r="968" spans="1:2" ht="12.5">
      <c r="A968" s="32"/>
      <c r="B968" s="32"/>
    </row>
    <row r="969" spans="1:2" ht="12.5">
      <c r="A969" s="32"/>
      <c r="B969" s="32"/>
    </row>
    <row r="970" spans="1:2" ht="12.5">
      <c r="A970" s="32"/>
      <c r="B970" s="32"/>
    </row>
    <row r="971" spans="1:2" ht="12.5">
      <c r="A971" s="32"/>
      <c r="B971" s="32"/>
    </row>
    <row r="972" spans="1:2" ht="12.5">
      <c r="A972" s="32"/>
      <c r="B972" s="32"/>
    </row>
    <row r="973" spans="1:2" ht="12.5">
      <c r="A973" s="32"/>
      <c r="B973" s="32"/>
    </row>
    <row r="974" spans="1:2" ht="12.5">
      <c r="A974" s="32"/>
      <c r="B974" s="32"/>
    </row>
    <row r="975" spans="1:2" ht="12.5">
      <c r="A975" s="32"/>
      <c r="B975" s="32"/>
    </row>
    <row r="976" spans="1:2" ht="12.5">
      <c r="A976" s="32"/>
      <c r="B976" s="32"/>
    </row>
    <row r="977" spans="1:2" ht="12.5">
      <c r="A977" s="32"/>
      <c r="B977" s="32"/>
    </row>
    <row r="978" spans="1:2" ht="12.5">
      <c r="A978" s="32"/>
      <c r="B978" s="32"/>
    </row>
    <row r="979" spans="1:2" ht="12.5">
      <c r="A979" s="32"/>
      <c r="B979" s="32"/>
    </row>
    <row r="980" spans="1:2" ht="12.5">
      <c r="A980" s="32"/>
      <c r="B980" s="32"/>
    </row>
    <row r="981" spans="1:2" ht="12.5">
      <c r="A981" s="32"/>
      <c r="B981" s="32"/>
    </row>
    <row r="982" spans="1:2" ht="12.5">
      <c r="A982" s="32"/>
      <c r="B982" s="32"/>
    </row>
    <row r="983" spans="1:2" ht="12.5">
      <c r="A983" s="32"/>
      <c r="B983" s="32"/>
    </row>
    <row r="984" spans="1:2" ht="12.5">
      <c r="A984" s="32"/>
      <c r="B984" s="32"/>
    </row>
    <row r="985" spans="1:2" ht="12.5">
      <c r="A985" s="32"/>
      <c r="B985" s="32"/>
    </row>
    <row r="986" spans="1:2" ht="12.5">
      <c r="A986" s="32"/>
      <c r="B986" s="32"/>
    </row>
    <row r="987" spans="1:2" ht="12.5">
      <c r="A987" s="32"/>
      <c r="B987" s="32"/>
    </row>
    <row r="988" spans="1:2" ht="12.5">
      <c r="A988" s="32"/>
      <c r="B988" s="32"/>
    </row>
    <row r="989" spans="1:2" ht="12.5">
      <c r="A989" s="32"/>
      <c r="B989" s="32"/>
    </row>
    <row r="990" spans="1:2" ht="12.5">
      <c r="A990" s="32"/>
      <c r="B990" s="32"/>
    </row>
    <row r="991" spans="1:2" ht="12.5">
      <c r="A991" s="32"/>
      <c r="B991" s="32"/>
    </row>
    <row r="992" spans="1:2" ht="12.5">
      <c r="A992" s="32"/>
      <c r="B992" s="32"/>
    </row>
    <row r="993" spans="1:2" ht="12.5">
      <c r="A993" s="32"/>
      <c r="B993" s="32"/>
    </row>
    <row r="994" spans="1:2" ht="12.5">
      <c r="A994" s="32"/>
      <c r="B994" s="32"/>
    </row>
    <row r="995" spans="1:2" ht="12.5">
      <c r="A995" s="32"/>
      <c r="B995" s="32"/>
    </row>
    <row r="996" spans="1:2" ht="12.5">
      <c r="A996" s="32"/>
      <c r="B996" s="32"/>
    </row>
    <row r="997" spans="1:2" ht="12.5">
      <c r="A997" s="32"/>
      <c r="B997" s="32"/>
    </row>
    <row r="998" spans="1:2" ht="12.5">
      <c r="A998" s="32"/>
      <c r="B998" s="32"/>
    </row>
    <row r="999" spans="1:2" ht="12.5">
      <c r="A999" s="32"/>
      <c r="B999" s="3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0"/>
  <sheetViews>
    <sheetView workbookViewId="0">
      <pane ySplit="1" topLeftCell="A2" activePane="bottomLeft" state="frozen"/>
      <selection pane="bottomLeft" activeCell="B3" sqref="B3"/>
    </sheetView>
  </sheetViews>
  <sheetFormatPr baseColWidth="10" defaultColWidth="12.6328125" defaultRowHeight="15.75" customHeight="1"/>
  <sheetData>
    <row r="1" spans="1:27">
      <c r="A1" s="97" t="s">
        <v>4971</v>
      </c>
      <c r="B1" s="29" t="s">
        <v>4972</v>
      </c>
      <c r="C1" s="29" t="s">
        <v>70</v>
      </c>
      <c r="D1" s="29" t="s">
        <v>9</v>
      </c>
      <c r="E1" s="29" t="s">
        <v>4973</v>
      </c>
      <c r="F1" s="29" t="s">
        <v>71</v>
      </c>
      <c r="G1" s="29"/>
      <c r="H1" s="29"/>
      <c r="I1" s="29"/>
      <c r="J1" s="29"/>
      <c r="K1" s="29"/>
      <c r="L1" s="29"/>
      <c r="M1" s="29"/>
      <c r="N1" s="29"/>
      <c r="O1" s="29"/>
      <c r="P1" s="29"/>
      <c r="Q1" s="29"/>
      <c r="R1" s="29"/>
      <c r="S1" s="29"/>
      <c r="T1" s="29"/>
      <c r="U1" s="29"/>
      <c r="V1" s="29"/>
      <c r="W1" s="29"/>
      <c r="X1" s="29"/>
      <c r="Y1" s="29"/>
      <c r="Z1" s="29"/>
      <c r="AA1" s="29"/>
    </row>
    <row r="2" spans="1:27">
      <c r="A2" s="98">
        <v>1</v>
      </c>
      <c r="B2" s="99" t="s">
        <v>4974</v>
      </c>
      <c r="C2" s="99" t="s">
        <v>4975</v>
      </c>
      <c r="D2" s="99" t="s">
        <v>4976</v>
      </c>
      <c r="E2" s="30" t="b">
        <v>1</v>
      </c>
      <c r="F2" s="30" t="s">
        <v>4977</v>
      </c>
    </row>
    <row r="3" spans="1:27">
      <c r="A3" s="98">
        <v>2</v>
      </c>
      <c r="B3" s="99" t="s">
        <v>4978</v>
      </c>
      <c r="C3" s="99" t="s">
        <v>4979</v>
      </c>
      <c r="D3" s="99" t="s">
        <v>4980</v>
      </c>
      <c r="E3" s="30" t="b">
        <v>1</v>
      </c>
      <c r="F3" s="30" t="s">
        <v>4981</v>
      </c>
    </row>
    <row r="4" spans="1:27">
      <c r="A4" s="98">
        <v>3</v>
      </c>
      <c r="B4" s="99" t="s">
        <v>4982</v>
      </c>
      <c r="C4" s="99" t="s">
        <v>4983</v>
      </c>
      <c r="D4" s="99" t="s">
        <v>4976</v>
      </c>
      <c r="E4" s="30" t="b">
        <v>1</v>
      </c>
      <c r="F4" s="30" t="s">
        <v>4984</v>
      </c>
    </row>
    <row r="5" spans="1:27">
      <c r="A5" s="98">
        <v>4</v>
      </c>
      <c r="B5" s="99" t="s">
        <v>4985</v>
      </c>
      <c r="C5" s="99" t="s">
        <v>4986</v>
      </c>
      <c r="D5" s="99" t="s">
        <v>4987</v>
      </c>
      <c r="E5" s="30" t="b">
        <v>1</v>
      </c>
      <c r="F5" s="30"/>
    </row>
    <row r="6" spans="1:27">
      <c r="A6" s="98">
        <v>5</v>
      </c>
      <c r="B6" s="99" t="s">
        <v>4988</v>
      </c>
      <c r="C6" s="99" t="s">
        <v>4989</v>
      </c>
      <c r="D6" s="99" t="s">
        <v>4990</v>
      </c>
      <c r="E6" s="30" t="b">
        <v>1</v>
      </c>
      <c r="F6" s="30"/>
    </row>
    <row r="7" spans="1:27">
      <c r="A7" s="98">
        <v>6</v>
      </c>
      <c r="B7" s="99" t="s">
        <v>4991</v>
      </c>
      <c r="C7" s="99" t="s">
        <v>4992</v>
      </c>
      <c r="D7" s="99" t="s">
        <v>4976</v>
      </c>
      <c r="E7" s="30" t="b">
        <v>1</v>
      </c>
      <c r="F7" s="30"/>
    </row>
    <row r="8" spans="1:27">
      <c r="A8" s="98">
        <v>7</v>
      </c>
      <c r="B8" s="99" t="s">
        <v>4993</v>
      </c>
      <c r="C8" s="99" t="s">
        <v>4994</v>
      </c>
      <c r="D8" s="99" t="s">
        <v>4995</v>
      </c>
      <c r="E8" s="30" t="b">
        <v>1</v>
      </c>
      <c r="F8" s="30"/>
    </row>
    <row r="9" spans="1:27">
      <c r="A9" s="98">
        <v>8</v>
      </c>
      <c r="B9" s="99" t="s">
        <v>4996</v>
      </c>
      <c r="C9" s="99" t="s">
        <v>4997</v>
      </c>
      <c r="D9" s="99" t="s">
        <v>4998</v>
      </c>
      <c r="E9" s="30" t="b">
        <v>1</v>
      </c>
      <c r="F9" s="30"/>
    </row>
    <row r="10" spans="1:27">
      <c r="A10" s="98">
        <v>9</v>
      </c>
      <c r="B10" s="99" t="s">
        <v>4999</v>
      </c>
      <c r="C10" s="99" t="s">
        <v>5000</v>
      </c>
      <c r="D10" s="99" t="s">
        <v>5001</v>
      </c>
      <c r="E10" s="30" t="b">
        <v>1</v>
      </c>
      <c r="F10" s="30"/>
    </row>
    <row r="11" spans="1:27" ht="15.75" customHeight="1">
      <c r="A11" s="32"/>
    </row>
    <row r="12" spans="1:27" ht="15.75" customHeight="1">
      <c r="A12" s="32"/>
    </row>
    <row r="13" spans="1:27" ht="15.75" customHeight="1">
      <c r="A13" s="32"/>
    </row>
    <row r="14" spans="1:27" ht="15.75" customHeight="1">
      <c r="A14" s="32"/>
    </row>
    <row r="15" spans="1:27" ht="15.75" customHeight="1">
      <c r="A15" s="32"/>
    </row>
    <row r="16" spans="1:27" ht="15.75" customHeight="1">
      <c r="A16" s="32"/>
    </row>
    <row r="17" spans="1:1" ht="15.75" customHeight="1">
      <c r="A17" s="32"/>
    </row>
    <row r="18" spans="1:1" ht="15.75" customHeight="1">
      <c r="A18" s="32"/>
    </row>
    <row r="19" spans="1:1" ht="15.75" customHeight="1">
      <c r="A19" s="32"/>
    </row>
    <row r="20" spans="1:1" ht="12.5">
      <c r="A20" s="32"/>
    </row>
    <row r="21" spans="1:1" ht="12.5">
      <c r="A21" s="32"/>
    </row>
    <row r="22" spans="1:1" ht="12.5">
      <c r="A22" s="32"/>
    </row>
    <row r="23" spans="1:1" ht="12.5">
      <c r="A23" s="32"/>
    </row>
    <row r="24" spans="1:1" ht="12.5">
      <c r="A24" s="32"/>
    </row>
    <row r="25" spans="1:1" ht="12.5">
      <c r="A25" s="32"/>
    </row>
    <row r="26" spans="1:1" ht="12.5">
      <c r="A26" s="32"/>
    </row>
    <row r="27" spans="1:1" ht="12.5">
      <c r="A27" s="32"/>
    </row>
    <row r="28" spans="1:1" ht="12.5">
      <c r="A28" s="32"/>
    </row>
    <row r="29" spans="1:1" ht="12.5">
      <c r="A29" s="32"/>
    </row>
    <row r="30" spans="1:1" ht="12.5">
      <c r="A30" s="32"/>
    </row>
    <row r="31" spans="1:1" ht="12.5">
      <c r="A31" s="32"/>
    </row>
    <row r="32" spans="1:1" ht="12.5">
      <c r="A32" s="32"/>
    </row>
    <row r="33" spans="1:1" ht="12.5">
      <c r="A33" s="32"/>
    </row>
    <row r="34" spans="1:1" ht="12.5">
      <c r="A34" s="32"/>
    </row>
    <row r="35" spans="1:1" ht="12.5">
      <c r="A35" s="32"/>
    </row>
    <row r="36" spans="1:1" ht="12.5">
      <c r="A36" s="32"/>
    </row>
    <row r="37" spans="1:1" ht="12.5">
      <c r="A37" s="32"/>
    </row>
    <row r="38" spans="1:1" ht="12.5">
      <c r="A38" s="32"/>
    </row>
    <row r="39" spans="1:1" ht="12.5">
      <c r="A39" s="32"/>
    </row>
    <row r="40" spans="1:1" ht="12.5">
      <c r="A40" s="32"/>
    </row>
    <row r="41" spans="1:1" ht="12.5">
      <c r="A41" s="32"/>
    </row>
    <row r="42" spans="1:1" ht="12.5">
      <c r="A42" s="32"/>
    </row>
    <row r="43" spans="1:1" ht="12.5">
      <c r="A43" s="32"/>
    </row>
    <row r="44" spans="1:1" ht="12.5">
      <c r="A44" s="32"/>
    </row>
    <row r="45" spans="1:1" ht="12.5">
      <c r="A45" s="32"/>
    </row>
    <row r="46" spans="1:1" ht="12.5">
      <c r="A46" s="32"/>
    </row>
    <row r="47" spans="1:1" ht="12.5">
      <c r="A47" s="32"/>
    </row>
    <row r="48" spans="1:1" ht="12.5">
      <c r="A48" s="32"/>
    </row>
    <row r="49" spans="1:1" ht="12.5">
      <c r="A49" s="32"/>
    </row>
    <row r="50" spans="1:1" ht="12.5">
      <c r="A50" s="32"/>
    </row>
    <row r="51" spans="1:1" ht="12.5">
      <c r="A51" s="32"/>
    </row>
    <row r="52" spans="1:1" ht="12.5">
      <c r="A52" s="32"/>
    </row>
    <row r="53" spans="1:1" ht="12.5">
      <c r="A53" s="32"/>
    </row>
    <row r="54" spans="1:1" ht="12.5">
      <c r="A54" s="32"/>
    </row>
    <row r="55" spans="1:1" ht="12.5">
      <c r="A55" s="32"/>
    </row>
    <row r="56" spans="1:1" ht="12.5">
      <c r="A56" s="32"/>
    </row>
    <row r="57" spans="1:1" ht="12.5">
      <c r="A57" s="32"/>
    </row>
    <row r="58" spans="1:1" ht="12.5">
      <c r="A58" s="32"/>
    </row>
    <row r="59" spans="1:1" ht="12.5">
      <c r="A59" s="32"/>
    </row>
    <row r="60" spans="1:1" ht="12.5">
      <c r="A60" s="32"/>
    </row>
    <row r="61" spans="1:1" ht="12.5">
      <c r="A61" s="32"/>
    </row>
    <row r="62" spans="1:1" ht="12.5">
      <c r="A62" s="32"/>
    </row>
    <row r="63" spans="1:1" ht="12.5">
      <c r="A63" s="32"/>
    </row>
    <row r="64" spans="1:1" ht="12.5">
      <c r="A64" s="32"/>
    </row>
    <row r="65" spans="1:1" ht="12.5">
      <c r="A65" s="32"/>
    </row>
    <row r="66" spans="1:1" ht="12.5">
      <c r="A66" s="32"/>
    </row>
    <row r="67" spans="1:1" ht="12.5">
      <c r="A67" s="32"/>
    </row>
    <row r="68" spans="1:1" ht="12.5">
      <c r="A68" s="32"/>
    </row>
    <row r="69" spans="1:1" ht="12.5">
      <c r="A69" s="32"/>
    </row>
    <row r="70" spans="1:1" ht="12.5">
      <c r="A70" s="32"/>
    </row>
    <row r="71" spans="1:1" ht="12.5">
      <c r="A71" s="32"/>
    </row>
    <row r="72" spans="1:1" ht="12.5">
      <c r="A72" s="32"/>
    </row>
    <row r="73" spans="1:1" ht="12.5">
      <c r="A73" s="32"/>
    </row>
    <row r="74" spans="1:1" ht="12.5">
      <c r="A74" s="32"/>
    </row>
    <row r="75" spans="1:1" ht="12.5">
      <c r="A75" s="32"/>
    </row>
    <row r="76" spans="1:1" ht="12.5">
      <c r="A76" s="32"/>
    </row>
    <row r="77" spans="1:1" ht="12.5">
      <c r="A77" s="32"/>
    </row>
    <row r="78" spans="1:1" ht="12.5">
      <c r="A78" s="32"/>
    </row>
    <row r="79" spans="1:1" ht="12.5">
      <c r="A79" s="32"/>
    </row>
    <row r="80" spans="1:1" ht="12.5">
      <c r="A80" s="32"/>
    </row>
    <row r="81" spans="1:1" ht="12.5">
      <c r="A81" s="32"/>
    </row>
    <row r="82" spans="1:1" ht="12.5">
      <c r="A82" s="32"/>
    </row>
    <row r="83" spans="1:1" ht="12.5">
      <c r="A83" s="32"/>
    </row>
    <row r="84" spans="1:1" ht="12.5">
      <c r="A84" s="32"/>
    </row>
    <row r="85" spans="1:1" ht="12.5">
      <c r="A85" s="32"/>
    </row>
    <row r="86" spans="1:1" ht="12.5">
      <c r="A86" s="32"/>
    </row>
    <row r="87" spans="1:1" ht="12.5">
      <c r="A87" s="32"/>
    </row>
    <row r="88" spans="1:1" ht="12.5">
      <c r="A88" s="32"/>
    </row>
    <row r="89" spans="1:1" ht="12.5">
      <c r="A89" s="32"/>
    </row>
    <row r="90" spans="1:1" ht="12.5">
      <c r="A90" s="32"/>
    </row>
    <row r="91" spans="1:1" ht="12.5">
      <c r="A91" s="32"/>
    </row>
    <row r="92" spans="1:1" ht="12.5">
      <c r="A92" s="32"/>
    </row>
    <row r="93" spans="1:1" ht="12.5">
      <c r="A93" s="32"/>
    </row>
    <row r="94" spans="1:1" ht="12.5">
      <c r="A94" s="32"/>
    </row>
    <row r="95" spans="1:1" ht="12.5">
      <c r="A95" s="32"/>
    </row>
    <row r="96" spans="1:1" ht="12.5">
      <c r="A96" s="32"/>
    </row>
    <row r="97" spans="1:1" ht="12.5">
      <c r="A97" s="32"/>
    </row>
    <row r="98" spans="1:1" ht="12.5">
      <c r="A98" s="32"/>
    </row>
    <row r="99" spans="1:1" ht="12.5">
      <c r="A99" s="32"/>
    </row>
    <row r="100" spans="1:1" ht="12.5">
      <c r="A100" s="32"/>
    </row>
    <row r="101" spans="1:1" ht="12.5">
      <c r="A101" s="32"/>
    </row>
    <row r="102" spans="1:1" ht="12.5">
      <c r="A102" s="32"/>
    </row>
    <row r="103" spans="1:1" ht="12.5">
      <c r="A103" s="32"/>
    </row>
    <row r="104" spans="1:1" ht="12.5">
      <c r="A104" s="32"/>
    </row>
    <row r="105" spans="1:1" ht="12.5">
      <c r="A105" s="32"/>
    </row>
    <row r="106" spans="1:1" ht="12.5">
      <c r="A106" s="32"/>
    </row>
    <row r="107" spans="1:1" ht="12.5">
      <c r="A107" s="32"/>
    </row>
    <row r="108" spans="1:1" ht="12.5">
      <c r="A108" s="32"/>
    </row>
    <row r="109" spans="1:1" ht="12.5">
      <c r="A109" s="32"/>
    </row>
    <row r="110" spans="1:1" ht="12.5">
      <c r="A110" s="32"/>
    </row>
    <row r="111" spans="1:1" ht="12.5">
      <c r="A111" s="32"/>
    </row>
    <row r="112" spans="1:1" ht="12.5">
      <c r="A112" s="32"/>
    </row>
    <row r="113" spans="1:1" ht="12.5">
      <c r="A113" s="32"/>
    </row>
    <row r="114" spans="1:1" ht="12.5">
      <c r="A114" s="32"/>
    </row>
    <row r="115" spans="1:1" ht="12.5">
      <c r="A115" s="32"/>
    </row>
    <row r="116" spans="1:1" ht="12.5">
      <c r="A116" s="32"/>
    </row>
    <row r="117" spans="1:1" ht="12.5">
      <c r="A117" s="32"/>
    </row>
    <row r="118" spans="1:1" ht="12.5">
      <c r="A118" s="32"/>
    </row>
    <row r="119" spans="1:1" ht="12.5">
      <c r="A119" s="32"/>
    </row>
    <row r="120" spans="1:1" ht="12.5">
      <c r="A120" s="32"/>
    </row>
    <row r="121" spans="1:1" ht="12.5">
      <c r="A121" s="32"/>
    </row>
    <row r="122" spans="1:1" ht="12.5">
      <c r="A122" s="32"/>
    </row>
    <row r="123" spans="1:1" ht="12.5">
      <c r="A123" s="32"/>
    </row>
    <row r="124" spans="1:1" ht="12.5">
      <c r="A124" s="32"/>
    </row>
    <row r="125" spans="1:1" ht="12.5">
      <c r="A125" s="32"/>
    </row>
    <row r="126" spans="1:1" ht="12.5">
      <c r="A126" s="32"/>
    </row>
    <row r="127" spans="1:1" ht="12.5">
      <c r="A127" s="32"/>
    </row>
    <row r="128" spans="1:1" ht="12.5">
      <c r="A128" s="32"/>
    </row>
    <row r="129" spans="1:1" ht="12.5">
      <c r="A129" s="32"/>
    </row>
    <row r="130" spans="1:1" ht="12.5">
      <c r="A130" s="32"/>
    </row>
    <row r="131" spans="1:1" ht="12.5">
      <c r="A131" s="32"/>
    </row>
    <row r="132" spans="1:1" ht="12.5">
      <c r="A132" s="32"/>
    </row>
    <row r="133" spans="1:1" ht="12.5">
      <c r="A133" s="32"/>
    </row>
    <row r="134" spans="1:1" ht="12.5">
      <c r="A134" s="32"/>
    </row>
    <row r="135" spans="1:1" ht="12.5">
      <c r="A135" s="32"/>
    </row>
    <row r="136" spans="1:1" ht="12.5">
      <c r="A136" s="32"/>
    </row>
    <row r="137" spans="1:1" ht="12.5">
      <c r="A137" s="32"/>
    </row>
    <row r="138" spans="1:1" ht="12.5">
      <c r="A138" s="32"/>
    </row>
    <row r="139" spans="1:1" ht="12.5">
      <c r="A139" s="32"/>
    </row>
    <row r="140" spans="1:1" ht="12.5">
      <c r="A140" s="32"/>
    </row>
    <row r="141" spans="1:1" ht="12.5">
      <c r="A141" s="32"/>
    </row>
    <row r="142" spans="1:1" ht="12.5">
      <c r="A142" s="32"/>
    </row>
    <row r="143" spans="1:1" ht="12.5">
      <c r="A143" s="32"/>
    </row>
    <row r="144" spans="1:1" ht="12.5">
      <c r="A144" s="32"/>
    </row>
    <row r="145" spans="1:1" ht="12.5">
      <c r="A145" s="32"/>
    </row>
    <row r="146" spans="1:1" ht="12.5">
      <c r="A146" s="32"/>
    </row>
    <row r="147" spans="1:1" ht="12.5">
      <c r="A147" s="32"/>
    </row>
    <row r="148" spans="1:1" ht="12.5">
      <c r="A148" s="32"/>
    </row>
    <row r="149" spans="1:1" ht="12.5">
      <c r="A149" s="32"/>
    </row>
    <row r="150" spans="1:1" ht="12.5">
      <c r="A150" s="32"/>
    </row>
    <row r="151" spans="1:1" ht="12.5">
      <c r="A151" s="32"/>
    </row>
    <row r="152" spans="1:1" ht="12.5">
      <c r="A152" s="32"/>
    </row>
    <row r="153" spans="1:1" ht="12.5">
      <c r="A153" s="32"/>
    </row>
    <row r="154" spans="1:1" ht="12.5">
      <c r="A154" s="32"/>
    </row>
    <row r="155" spans="1:1" ht="12.5">
      <c r="A155" s="32"/>
    </row>
    <row r="156" spans="1:1" ht="12.5">
      <c r="A156" s="32"/>
    </row>
    <row r="157" spans="1:1" ht="12.5">
      <c r="A157" s="32"/>
    </row>
    <row r="158" spans="1:1" ht="12.5">
      <c r="A158" s="32"/>
    </row>
    <row r="159" spans="1:1" ht="12.5">
      <c r="A159" s="32"/>
    </row>
    <row r="160" spans="1:1" ht="12.5">
      <c r="A160" s="32"/>
    </row>
    <row r="161" spans="1:1" ht="12.5">
      <c r="A161" s="32"/>
    </row>
    <row r="162" spans="1:1" ht="12.5">
      <c r="A162" s="32"/>
    </row>
    <row r="163" spans="1:1" ht="12.5">
      <c r="A163" s="32"/>
    </row>
    <row r="164" spans="1:1" ht="12.5">
      <c r="A164" s="32"/>
    </row>
    <row r="165" spans="1:1" ht="12.5">
      <c r="A165" s="32"/>
    </row>
    <row r="166" spans="1:1" ht="12.5">
      <c r="A166" s="32"/>
    </row>
    <row r="167" spans="1:1" ht="12.5">
      <c r="A167" s="32"/>
    </row>
    <row r="168" spans="1:1" ht="12.5">
      <c r="A168" s="32"/>
    </row>
    <row r="169" spans="1:1" ht="12.5">
      <c r="A169" s="32"/>
    </row>
    <row r="170" spans="1:1" ht="12.5">
      <c r="A170" s="32"/>
    </row>
    <row r="171" spans="1:1" ht="12.5">
      <c r="A171" s="32"/>
    </row>
    <row r="172" spans="1:1" ht="12.5">
      <c r="A172" s="32"/>
    </row>
    <row r="173" spans="1:1" ht="12.5">
      <c r="A173" s="32"/>
    </row>
    <row r="174" spans="1:1" ht="12.5">
      <c r="A174" s="32"/>
    </row>
    <row r="175" spans="1:1" ht="12.5">
      <c r="A175" s="32"/>
    </row>
    <row r="176" spans="1:1" ht="12.5">
      <c r="A176" s="32"/>
    </row>
    <row r="177" spans="1:1" ht="12.5">
      <c r="A177" s="32"/>
    </row>
    <row r="178" spans="1:1" ht="12.5">
      <c r="A178" s="32"/>
    </row>
    <row r="179" spans="1:1" ht="12.5">
      <c r="A179" s="32"/>
    </row>
    <row r="180" spans="1:1" ht="12.5">
      <c r="A180" s="32"/>
    </row>
    <row r="181" spans="1:1" ht="12.5">
      <c r="A181" s="32"/>
    </row>
    <row r="182" spans="1:1" ht="12.5">
      <c r="A182" s="32"/>
    </row>
    <row r="183" spans="1:1" ht="12.5">
      <c r="A183" s="32"/>
    </row>
    <row r="184" spans="1:1" ht="12.5">
      <c r="A184" s="32"/>
    </row>
    <row r="185" spans="1:1" ht="12.5">
      <c r="A185" s="32"/>
    </row>
    <row r="186" spans="1:1" ht="12.5">
      <c r="A186" s="32"/>
    </row>
    <row r="187" spans="1:1" ht="12.5">
      <c r="A187" s="32"/>
    </row>
    <row r="188" spans="1:1" ht="12.5">
      <c r="A188" s="32"/>
    </row>
    <row r="189" spans="1:1" ht="12.5">
      <c r="A189" s="32"/>
    </row>
    <row r="190" spans="1:1" ht="12.5">
      <c r="A190" s="32"/>
    </row>
    <row r="191" spans="1:1" ht="12.5">
      <c r="A191" s="32"/>
    </row>
    <row r="192" spans="1:1" ht="12.5">
      <c r="A192" s="32"/>
    </row>
    <row r="193" spans="1:1" ht="12.5">
      <c r="A193" s="32"/>
    </row>
    <row r="194" spans="1:1" ht="12.5">
      <c r="A194" s="32"/>
    </row>
    <row r="195" spans="1:1" ht="12.5">
      <c r="A195" s="32"/>
    </row>
    <row r="196" spans="1:1" ht="12.5">
      <c r="A196" s="32"/>
    </row>
    <row r="197" spans="1:1" ht="12.5">
      <c r="A197" s="32"/>
    </row>
    <row r="198" spans="1:1" ht="12.5">
      <c r="A198" s="32"/>
    </row>
    <row r="199" spans="1:1" ht="12.5">
      <c r="A199" s="32"/>
    </row>
    <row r="200" spans="1:1" ht="12.5">
      <c r="A200" s="32"/>
    </row>
    <row r="201" spans="1:1" ht="12.5">
      <c r="A201" s="32"/>
    </row>
    <row r="202" spans="1:1" ht="12.5">
      <c r="A202" s="32"/>
    </row>
    <row r="203" spans="1:1" ht="12.5">
      <c r="A203" s="32"/>
    </row>
    <row r="204" spans="1:1" ht="12.5">
      <c r="A204" s="32"/>
    </row>
    <row r="205" spans="1:1" ht="12.5">
      <c r="A205" s="32"/>
    </row>
    <row r="206" spans="1:1" ht="12.5">
      <c r="A206" s="32"/>
    </row>
    <row r="207" spans="1:1" ht="12.5">
      <c r="A207" s="32"/>
    </row>
    <row r="208" spans="1:1" ht="12.5">
      <c r="A208" s="32"/>
    </row>
    <row r="209" spans="1:1" ht="12.5">
      <c r="A209" s="32"/>
    </row>
    <row r="210" spans="1:1" ht="12.5">
      <c r="A210" s="32"/>
    </row>
    <row r="211" spans="1:1" ht="12.5">
      <c r="A211" s="32"/>
    </row>
    <row r="212" spans="1:1" ht="12.5">
      <c r="A212" s="32"/>
    </row>
    <row r="213" spans="1:1" ht="12.5">
      <c r="A213" s="32"/>
    </row>
    <row r="214" spans="1:1" ht="12.5">
      <c r="A214" s="32"/>
    </row>
    <row r="215" spans="1:1" ht="12.5">
      <c r="A215" s="32"/>
    </row>
    <row r="216" spans="1:1" ht="12.5">
      <c r="A216" s="32"/>
    </row>
    <row r="217" spans="1:1" ht="12.5">
      <c r="A217" s="32"/>
    </row>
    <row r="218" spans="1:1" ht="12.5">
      <c r="A218" s="32"/>
    </row>
    <row r="219" spans="1:1" ht="12.5">
      <c r="A219" s="32"/>
    </row>
    <row r="220" spans="1:1" ht="12.5">
      <c r="A220" s="32"/>
    </row>
    <row r="221" spans="1:1" ht="12.5">
      <c r="A221" s="32"/>
    </row>
    <row r="222" spans="1:1" ht="12.5">
      <c r="A222" s="32"/>
    </row>
    <row r="223" spans="1:1" ht="12.5">
      <c r="A223" s="32"/>
    </row>
    <row r="224" spans="1:1" ht="12.5">
      <c r="A224" s="32"/>
    </row>
    <row r="225" spans="1:1" ht="12.5">
      <c r="A225" s="32"/>
    </row>
    <row r="226" spans="1:1" ht="12.5">
      <c r="A226" s="32"/>
    </row>
    <row r="227" spans="1:1" ht="12.5">
      <c r="A227" s="32"/>
    </row>
    <row r="228" spans="1:1" ht="12.5">
      <c r="A228" s="32"/>
    </row>
    <row r="229" spans="1:1" ht="12.5">
      <c r="A229" s="32"/>
    </row>
    <row r="230" spans="1:1" ht="12.5">
      <c r="A230" s="32"/>
    </row>
    <row r="231" spans="1:1" ht="12.5">
      <c r="A231" s="32"/>
    </row>
    <row r="232" spans="1:1" ht="12.5">
      <c r="A232" s="32"/>
    </row>
    <row r="233" spans="1:1" ht="12.5">
      <c r="A233" s="32"/>
    </row>
    <row r="234" spans="1:1" ht="12.5">
      <c r="A234" s="32"/>
    </row>
    <row r="235" spans="1:1" ht="12.5">
      <c r="A235" s="32"/>
    </row>
    <row r="236" spans="1:1" ht="12.5">
      <c r="A236" s="32"/>
    </row>
    <row r="237" spans="1:1" ht="12.5">
      <c r="A237" s="32"/>
    </row>
    <row r="238" spans="1:1" ht="12.5">
      <c r="A238" s="32"/>
    </row>
    <row r="239" spans="1:1" ht="12.5">
      <c r="A239" s="32"/>
    </row>
    <row r="240" spans="1:1" ht="12.5">
      <c r="A240" s="32"/>
    </row>
    <row r="241" spans="1:1" ht="12.5">
      <c r="A241" s="32"/>
    </row>
    <row r="242" spans="1:1" ht="12.5">
      <c r="A242" s="32"/>
    </row>
    <row r="243" spans="1:1" ht="12.5">
      <c r="A243" s="32"/>
    </row>
    <row r="244" spans="1:1" ht="12.5">
      <c r="A244" s="32"/>
    </row>
    <row r="245" spans="1:1" ht="12.5">
      <c r="A245" s="32"/>
    </row>
    <row r="246" spans="1:1" ht="12.5">
      <c r="A246" s="32"/>
    </row>
    <row r="247" spans="1:1" ht="12.5">
      <c r="A247" s="32"/>
    </row>
    <row r="248" spans="1:1" ht="12.5">
      <c r="A248" s="32"/>
    </row>
    <row r="249" spans="1:1" ht="12.5">
      <c r="A249" s="32"/>
    </row>
    <row r="250" spans="1:1" ht="12.5">
      <c r="A250" s="32"/>
    </row>
    <row r="251" spans="1:1" ht="12.5">
      <c r="A251" s="32"/>
    </row>
    <row r="252" spans="1:1" ht="12.5">
      <c r="A252" s="32"/>
    </row>
    <row r="253" spans="1:1" ht="12.5">
      <c r="A253" s="32"/>
    </row>
    <row r="254" spans="1:1" ht="12.5">
      <c r="A254" s="32"/>
    </row>
    <row r="255" spans="1:1" ht="12.5">
      <c r="A255" s="32"/>
    </row>
    <row r="256" spans="1:1" ht="12.5">
      <c r="A256" s="32"/>
    </row>
    <row r="257" spans="1:1" ht="12.5">
      <c r="A257" s="32"/>
    </row>
    <row r="258" spans="1:1" ht="12.5">
      <c r="A258" s="32"/>
    </row>
    <row r="259" spans="1:1" ht="12.5">
      <c r="A259" s="32"/>
    </row>
    <row r="260" spans="1:1" ht="12.5">
      <c r="A260" s="32"/>
    </row>
    <row r="261" spans="1:1" ht="12.5">
      <c r="A261" s="32"/>
    </row>
    <row r="262" spans="1:1" ht="12.5">
      <c r="A262" s="32"/>
    </row>
    <row r="263" spans="1:1" ht="12.5">
      <c r="A263" s="32"/>
    </row>
    <row r="264" spans="1:1" ht="12.5">
      <c r="A264" s="32"/>
    </row>
    <row r="265" spans="1:1" ht="12.5">
      <c r="A265" s="32"/>
    </row>
    <row r="266" spans="1:1" ht="12.5">
      <c r="A266" s="32"/>
    </row>
    <row r="267" spans="1:1" ht="12.5">
      <c r="A267" s="32"/>
    </row>
    <row r="268" spans="1:1" ht="12.5">
      <c r="A268" s="32"/>
    </row>
    <row r="269" spans="1:1" ht="12.5">
      <c r="A269" s="32"/>
    </row>
    <row r="270" spans="1:1" ht="12.5">
      <c r="A270" s="32"/>
    </row>
    <row r="271" spans="1:1" ht="12.5">
      <c r="A271" s="32"/>
    </row>
    <row r="272" spans="1:1" ht="12.5">
      <c r="A272" s="32"/>
    </row>
    <row r="273" spans="1:1" ht="12.5">
      <c r="A273" s="32"/>
    </row>
    <row r="274" spans="1:1" ht="12.5">
      <c r="A274" s="32"/>
    </row>
    <row r="275" spans="1:1" ht="12.5">
      <c r="A275" s="32"/>
    </row>
    <row r="276" spans="1:1" ht="12.5">
      <c r="A276" s="32"/>
    </row>
    <row r="277" spans="1:1" ht="12.5">
      <c r="A277" s="32"/>
    </row>
    <row r="278" spans="1:1" ht="12.5">
      <c r="A278" s="32"/>
    </row>
    <row r="279" spans="1:1" ht="12.5">
      <c r="A279" s="32"/>
    </row>
    <row r="280" spans="1:1" ht="12.5">
      <c r="A280" s="32"/>
    </row>
    <row r="281" spans="1:1" ht="12.5">
      <c r="A281" s="32"/>
    </row>
    <row r="282" spans="1:1" ht="12.5">
      <c r="A282" s="32"/>
    </row>
    <row r="283" spans="1:1" ht="12.5">
      <c r="A283" s="32"/>
    </row>
    <row r="284" spans="1:1" ht="12.5">
      <c r="A284" s="32"/>
    </row>
    <row r="285" spans="1:1" ht="12.5">
      <c r="A285" s="32"/>
    </row>
    <row r="286" spans="1:1" ht="12.5">
      <c r="A286" s="32"/>
    </row>
    <row r="287" spans="1:1" ht="12.5">
      <c r="A287" s="32"/>
    </row>
    <row r="288" spans="1:1" ht="12.5">
      <c r="A288" s="32"/>
    </row>
    <row r="289" spans="1:1" ht="12.5">
      <c r="A289" s="32"/>
    </row>
    <row r="290" spans="1:1" ht="12.5">
      <c r="A290" s="32"/>
    </row>
    <row r="291" spans="1:1" ht="12.5">
      <c r="A291" s="32"/>
    </row>
    <row r="292" spans="1:1" ht="12.5">
      <c r="A292" s="32"/>
    </row>
    <row r="293" spans="1:1" ht="12.5">
      <c r="A293" s="32"/>
    </row>
    <row r="294" spans="1:1" ht="12.5">
      <c r="A294" s="32"/>
    </row>
    <row r="295" spans="1:1" ht="12.5">
      <c r="A295" s="32"/>
    </row>
    <row r="296" spans="1:1" ht="12.5">
      <c r="A296" s="32"/>
    </row>
    <row r="297" spans="1:1" ht="12.5">
      <c r="A297" s="32"/>
    </row>
    <row r="298" spans="1:1" ht="12.5">
      <c r="A298" s="32"/>
    </row>
    <row r="299" spans="1:1" ht="12.5">
      <c r="A299" s="32"/>
    </row>
    <row r="300" spans="1:1" ht="12.5">
      <c r="A300" s="32"/>
    </row>
    <row r="301" spans="1:1" ht="12.5">
      <c r="A301" s="32"/>
    </row>
    <row r="302" spans="1:1" ht="12.5">
      <c r="A302" s="32"/>
    </row>
    <row r="303" spans="1:1" ht="12.5">
      <c r="A303" s="32"/>
    </row>
    <row r="304" spans="1:1" ht="12.5">
      <c r="A304" s="32"/>
    </row>
    <row r="305" spans="1:1" ht="12.5">
      <c r="A305" s="32"/>
    </row>
    <row r="306" spans="1:1" ht="12.5">
      <c r="A306" s="32"/>
    </row>
    <row r="307" spans="1:1" ht="12.5">
      <c r="A307" s="32"/>
    </row>
    <row r="308" spans="1:1" ht="12.5">
      <c r="A308" s="32"/>
    </row>
    <row r="309" spans="1:1" ht="12.5">
      <c r="A309" s="32"/>
    </row>
    <row r="310" spans="1:1" ht="12.5">
      <c r="A310" s="32"/>
    </row>
    <row r="311" spans="1:1" ht="12.5">
      <c r="A311" s="32"/>
    </row>
    <row r="312" spans="1:1" ht="12.5">
      <c r="A312" s="32"/>
    </row>
    <row r="313" spans="1:1" ht="12.5">
      <c r="A313" s="32"/>
    </row>
    <row r="314" spans="1:1" ht="12.5">
      <c r="A314" s="32"/>
    </row>
    <row r="315" spans="1:1" ht="12.5">
      <c r="A315" s="32"/>
    </row>
    <row r="316" spans="1:1" ht="12.5">
      <c r="A316" s="32"/>
    </row>
    <row r="317" spans="1:1" ht="12.5">
      <c r="A317" s="32"/>
    </row>
    <row r="318" spans="1:1" ht="12.5">
      <c r="A318" s="32"/>
    </row>
    <row r="319" spans="1:1" ht="12.5">
      <c r="A319" s="32"/>
    </row>
    <row r="320" spans="1:1" ht="12.5">
      <c r="A320" s="32"/>
    </row>
    <row r="321" spans="1:1" ht="12.5">
      <c r="A321" s="32"/>
    </row>
    <row r="322" spans="1:1" ht="12.5">
      <c r="A322" s="32"/>
    </row>
    <row r="323" spans="1:1" ht="12.5">
      <c r="A323" s="32"/>
    </row>
    <row r="324" spans="1:1" ht="12.5">
      <c r="A324" s="32"/>
    </row>
    <row r="325" spans="1:1" ht="12.5">
      <c r="A325" s="32"/>
    </row>
    <row r="326" spans="1:1" ht="12.5">
      <c r="A326" s="32"/>
    </row>
    <row r="327" spans="1:1" ht="12.5">
      <c r="A327" s="32"/>
    </row>
    <row r="328" spans="1:1" ht="12.5">
      <c r="A328" s="32"/>
    </row>
    <row r="329" spans="1:1" ht="12.5">
      <c r="A329" s="32"/>
    </row>
    <row r="330" spans="1:1" ht="12.5">
      <c r="A330" s="32"/>
    </row>
    <row r="331" spans="1:1" ht="12.5">
      <c r="A331" s="32"/>
    </row>
    <row r="332" spans="1:1" ht="12.5">
      <c r="A332" s="32"/>
    </row>
    <row r="333" spans="1:1" ht="12.5">
      <c r="A333" s="32"/>
    </row>
    <row r="334" spans="1:1" ht="12.5">
      <c r="A334" s="32"/>
    </row>
    <row r="335" spans="1:1" ht="12.5">
      <c r="A335" s="32"/>
    </row>
    <row r="336" spans="1:1" ht="12.5">
      <c r="A336" s="32"/>
    </row>
    <row r="337" spans="1:1" ht="12.5">
      <c r="A337" s="32"/>
    </row>
    <row r="338" spans="1:1" ht="12.5">
      <c r="A338" s="32"/>
    </row>
    <row r="339" spans="1:1" ht="12.5">
      <c r="A339" s="32"/>
    </row>
    <row r="340" spans="1:1" ht="12.5">
      <c r="A340" s="32"/>
    </row>
    <row r="341" spans="1:1" ht="12.5">
      <c r="A341" s="32"/>
    </row>
    <row r="342" spans="1:1" ht="12.5">
      <c r="A342" s="32"/>
    </row>
    <row r="343" spans="1:1" ht="12.5">
      <c r="A343" s="32"/>
    </row>
    <row r="344" spans="1:1" ht="12.5">
      <c r="A344" s="32"/>
    </row>
    <row r="345" spans="1:1" ht="12.5">
      <c r="A345" s="32"/>
    </row>
    <row r="346" spans="1:1" ht="12.5">
      <c r="A346" s="32"/>
    </row>
    <row r="347" spans="1:1" ht="12.5">
      <c r="A347" s="32"/>
    </row>
    <row r="348" spans="1:1" ht="12.5">
      <c r="A348" s="32"/>
    </row>
    <row r="349" spans="1:1" ht="12.5">
      <c r="A349" s="32"/>
    </row>
    <row r="350" spans="1:1" ht="12.5">
      <c r="A350" s="32"/>
    </row>
    <row r="351" spans="1:1" ht="12.5">
      <c r="A351" s="32"/>
    </row>
    <row r="352" spans="1:1" ht="12.5">
      <c r="A352" s="32"/>
    </row>
    <row r="353" spans="1:1" ht="12.5">
      <c r="A353" s="32"/>
    </row>
    <row r="354" spans="1:1" ht="12.5">
      <c r="A354" s="32"/>
    </row>
    <row r="355" spans="1:1" ht="12.5">
      <c r="A355" s="32"/>
    </row>
    <row r="356" spans="1:1" ht="12.5">
      <c r="A356" s="32"/>
    </row>
    <row r="357" spans="1:1" ht="12.5">
      <c r="A357" s="32"/>
    </row>
    <row r="358" spans="1:1" ht="12.5">
      <c r="A358" s="32"/>
    </row>
    <row r="359" spans="1:1" ht="12.5">
      <c r="A359" s="32"/>
    </row>
    <row r="360" spans="1:1" ht="12.5">
      <c r="A360" s="32"/>
    </row>
    <row r="361" spans="1:1" ht="12.5">
      <c r="A361" s="32"/>
    </row>
    <row r="362" spans="1:1" ht="12.5">
      <c r="A362" s="32"/>
    </row>
    <row r="363" spans="1:1" ht="12.5">
      <c r="A363" s="32"/>
    </row>
    <row r="364" spans="1:1" ht="12.5">
      <c r="A364" s="32"/>
    </row>
    <row r="365" spans="1:1" ht="12.5">
      <c r="A365" s="32"/>
    </row>
    <row r="366" spans="1:1" ht="12.5">
      <c r="A366" s="32"/>
    </row>
    <row r="367" spans="1:1" ht="12.5">
      <c r="A367" s="32"/>
    </row>
    <row r="368" spans="1:1" ht="12.5">
      <c r="A368" s="32"/>
    </row>
    <row r="369" spans="1:1" ht="12.5">
      <c r="A369" s="32"/>
    </row>
    <row r="370" spans="1:1" ht="12.5">
      <c r="A370" s="32"/>
    </row>
    <row r="371" spans="1:1" ht="12.5">
      <c r="A371" s="32"/>
    </row>
    <row r="372" spans="1:1" ht="12.5">
      <c r="A372" s="32"/>
    </row>
    <row r="373" spans="1:1" ht="12.5">
      <c r="A373" s="32"/>
    </row>
    <row r="374" spans="1:1" ht="12.5">
      <c r="A374" s="32"/>
    </row>
    <row r="375" spans="1:1" ht="12.5">
      <c r="A375" s="32"/>
    </row>
    <row r="376" spans="1:1" ht="12.5">
      <c r="A376" s="32"/>
    </row>
    <row r="377" spans="1:1" ht="12.5">
      <c r="A377" s="32"/>
    </row>
    <row r="378" spans="1:1" ht="12.5">
      <c r="A378" s="32"/>
    </row>
    <row r="379" spans="1:1" ht="12.5">
      <c r="A379" s="32"/>
    </row>
    <row r="380" spans="1:1" ht="12.5">
      <c r="A380" s="32"/>
    </row>
    <row r="381" spans="1:1" ht="12.5">
      <c r="A381" s="32"/>
    </row>
    <row r="382" spans="1:1" ht="12.5">
      <c r="A382" s="32"/>
    </row>
    <row r="383" spans="1:1" ht="12.5">
      <c r="A383" s="32"/>
    </row>
    <row r="384" spans="1:1" ht="12.5">
      <c r="A384" s="32"/>
    </row>
    <row r="385" spans="1:1" ht="12.5">
      <c r="A385" s="32"/>
    </row>
    <row r="386" spans="1:1" ht="12.5">
      <c r="A386" s="32"/>
    </row>
    <row r="387" spans="1:1" ht="12.5">
      <c r="A387" s="32"/>
    </row>
    <row r="388" spans="1:1" ht="12.5">
      <c r="A388" s="32"/>
    </row>
    <row r="389" spans="1:1" ht="12.5">
      <c r="A389" s="32"/>
    </row>
    <row r="390" spans="1:1" ht="12.5">
      <c r="A390" s="32"/>
    </row>
    <row r="391" spans="1:1" ht="12.5">
      <c r="A391" s="32"/>
    </row>
    <row r="392" spans="1:1" ht="12.5">
      <c r="A392" s="32"/>
    </row>
    <row r="393" spans="1:1" ht="12.5">
      <c r="A393" s="32"/>
    </row>
    <row r="394" spans="1:1" ht="12.5">
      <c r="A394" s="32"/>
    </row>
    <row r="395" spans="1:1" ht="12.5">
      <c r="A395" s="32"/>
    </row>
    <row r="396" spans="1:1" ht="12.5">
      <c r="A396" s="32"/>
    </row>
    <row r="397" spans="1:1" ht="12.5">
      <c r="A397" s="32"/>
    </row>
    <row r="398" spans="1:1" ht="12.5">
      <c r="A398" s="32"/>
    </row>
    <row r="399" spans="1:1" ht="12.5">
      <c r="A399" s="32"/>
    </row>
    <row r="400" spans="1:1" ht="12.5">
      <c r="A400" s="32"/>
    </row>
    <row r="401" spans="1:1" ht="12.5">
      <c r="A401" s="32"/>
    </row>
    <row r="402" spans="1:1" ht="12.5">
      <c r="A402" s="32"/>
    </row>
    <row r="403" spans="1:1" ht="12.5">
      <c r="A403" s="32"/>
    </row>
    <row r="404" spans="1:1" ht="12.5">
      <c r="A404" s="32"/>
    </row>
    <row r="405" spans="1:1" ht="12.5">
      <c r="A405" s="32"/>
    </row>
    <row r="406" spans="1:1" ht="12.5">
      <c r="A406" s="32"/>
    </row>
    <row r="407" spans="1:1" ht="12.5">
      <c r="A407" s="32"/>
    </row>
    <row r="408" spans="1:1" ht="12.5">
      <c r="A408" s="32"/>
    </row>
    <row r="409" spans="1:1" ht="12.5">
      <c r="A409" s="32"/>
    </row>
    <row r="410" spans="1:1" ht="12.5">
      <c r="A410" s="32"/>
    </row>
    <row r="411" spans="1:1" ht="12.5">
      <c r="A411" s="32"/>
    </row>
    <row r="412" spans="1:1" ht="12.5">
      <c r="A412" s="32"/>
    </row>
    <row r="413" spans="1:1" ht="12.5">
      <c r="A413" s="32"/>
    </row>
    <row r="414" spans="1:1" ht="12.5">
      <c r="A414" s="32"/>
    </row>
    <row r="415" spans="1:1" ht="12.5">
      <c r="A415" s="32"/>
    </row>
    <row r="416" spans="1:1" ht="12.5">
      <c r="A416" s="32"/>
    </row>
    <row r="417" spans="1:1" ht="12.5">
      <c r="A417" s="32"/>
    </row>
    <row r="418" spans="1:1" ht="12.5">
      <c r="A418" s="32"/>
    </row>
    <row r="419" spans="1:1" ht="12.5">
      <c r="A419" s="32"/>
    </row>
    <row r="420" spans="1:1" ht="12.5">
      <c r="A420" s="32"/>
    </row>
    <row r="421" spans="1:1" ht="12.5">
      <c r="A421" s="32"/>
    </row>
    <row r="422" spans="1:1" ht="12.5">
      <c r="A422" s="32"/>
    </row>
    <row r="423" spans="1:1" ht="12.5">
      <c r="A423" s="32"/>
    </row>
    <row r="424" spans="1:1" ht="12.5">
      <c r="A424" s="32"/>
    </row>
    <row r="425" spans="1:1" ht="12.5">
      <c r="A425" s="32"/>
    </row>
    <row r="426" spans="1:1" ht="12.5">
      <c r="A426" s="32"/>
    </row>
    <row r="427" spans="1:1" ht="12.5">
      <c r="A427" s="32"/>
    </row>
    <row r="428" spans="1:1" ht="12.5">
      <c r="A428" s="32"/>
    </row>
    <row r="429" spans="1:1" ht="12.5">
      <c r="A429" s="32"/>
    </row>
    <row r="430" spans="1:1" ht="12.5">
      <c r="A430" s="32"/>
    </row>
    <row r="431" spans="1:1" ht="12.5">
      <c r="A431" s="32"/>
    </row>
    <row r="432" spans="1:1" ht="12.5">
      <c r="A432" s="32"/>
    </row>
    <row r="433" spans="1:1" ht="12.5">
      <c r="A433" s="32"/>
    </row>
    <row r="434" spans="1:1" ht="12.5">
      <c r="A434" s="32"/>
    </row>
    <row r="435" spans="1:1" ht="12.5">
      <c r="A435" s="32"/>
    </row>
    <row r="436" spans="1:1" ht="12.5">
      <c r="A436" s="32"/>
    </row>
    <row r="437" spans="1:1" ht="12.5">
      <c r="A437" s="32"/>
    </row>
    <row r="438" spans="1:1" ht="12.5">
      <c r="A438" s="32"/>
    </row>
    <row r="439" spans="1:1" ht="12.5">
      <c r="A439" s="32"/>
    </row>
    <row r="440" spans="1:1" ht="12.5">
      <c r="A440" s="32"/>
    </row>
    <row r="441" spans="1:1" ht="12.5">
      <c r="A441" s="32"/>
    </row>
    <row r="442" spans="1:1" ht="12.5">
      <c r="A442" s="32"/>
    </row>
    <row r="443" spans="1:1" ht="12.5">
      <c r="A443" s="32"/>
    </row>
    <row r="444" spans="1:1" ht="12.5">
      <c r="A444" s="32"/>
    </row>
    <row r="445" spans="1:1" ht="12.5">
      <c r="A445" s="32"/>
    </row>
    <row r="446" spans="1:1" ht="12.5">
      <c r="A446" s="32"/>
    </row>
    <row r="447" spans="1:1" ht="12.5">
      <c r="A447" s="32"/>
    </row>
    <row r="448" spans="1:1" ht="12.5">
      <c r="A448" s="32"/>
    </row>
    <row r="449" spans="1:1" ht="12.5">
      <c r="A449" s="32"/>
    </row>
    <row r="450" spans="1:1" ht="12.5">
      <c r="A450" s="32"/>
    </row>
    <row r="451" spans="1:1" ht="12.5">
      <c r="A451" s="32"/>
    </row>
    <row r="452" spans="1:1" ht="12.5">
      <c r="A452" s="32"/>
    </row>
    <row r="453" spans="1:1" ht="12.5">
      <c r="A453" s="32"/>
    </row>
    <row r="454" spans="1:1" ht="12.5">
      <c r="A454" s="32"/>
    </row>
    <row r="455" spans="1:1" ht="12.5">
      <c r="A455" s="32"/>
    </row>
    <row r="456" spans="1:1" ht="12.5">
      <c r="A456" s="32"/>
    </row>
    <row r="457" spans="1:1" ht="12.5">
      <c r="A457" s="32"/>
    </row>
    <row r="458" spans="1:1" ht="12.5">
      <c r="A458" s="32"/>
    </row>
    <row r="459" spans="1:1" ht="12.5">
      <c r="A459" s="32"/>
    </row>
    <row r="460" spans="1:1" ht="12.5">
      <c r="A460" s="32"/>
    </row>
    <row r="461" spans="1:1" ht="12.5">
      <c r="A461" s="32"/>
    </row>
    <row r="462" spans="1:1" ht="12.5">
      <c r="A462" s="32"/>
    </row>
    <row r="463" spans="1:1" ht="12.5">
      <c r="A463" s="32"/>
    </row>
    <row r="464" spans="1:1" ht="12.5">
      <c r="A464" s="32"/>
    </row>
    <row r="465" spans="1:1" ht="12.5">
      <c r="A465" s="32"/>
    </row>
    <row r="466" spans="1:1" ht="12.5">
      <c r="A466" s="32"/>
    </row>
    <row r="467" spans="1:1" ht="12.5">
      <c r="A467" s="32"/>
    </row>
    <row r="468" spans="1:1" ht="12.5">
      <c r="A468" s="32"/>
    </row>
    <row r="469" spans="1:1" ht="12.5">
      <c r="A469" s="32"/>
    </row>
    <row r="470" spans="1:1" ht="12.5">
      <c r="A470" s="32"/>
    </row>
    <row r="471" spans="1:1" ht="12.5">
      <c r="A471" s="32"/>
    </row>
    <row r="472" spans="1:1" ht="12.5">
      <c r="A472" s="32"/>
    </row>
    <row r="473" spans="1:1" ht="12.5">
      <c r="A473" s="32"/>
    </row>
    <row r="474" spans="1:1" ht="12.5">
      <c r="A474" s="32"/>
    </row>
    <row r="475" spans="1:1" ht="12.5">
      <c r="A475" s="32"/>
    </row>
    <row r="476" spans="1:1" ht="12.5">
      <c r="A476" s="32"/>
    </row>
    <row r="477" spans="1:1" ht="12.5">
      <c r="A477" s="32"/>
    </row>
    <row r="478" spans="1:1" ht="12.5">
      <c r="A478" s="32"/>
    </row>
    <row r="479" spans="1:1" ht="12.5">
      <c r="A479" s="32"/>
    </row>
    <row r="480" spans="1:1" ht="12.5">
      <c r="A480" s="32"/>
    </row>
    <row r="481" spans="1:1" ht="12.5">
      <c r="A481" s="32"/>
    </row>
    <row r="482" spans="1:1" ht="12.5">
      <c r="A482" s="32"/>
    </row>
    <row r="483" spans="1:1" ht="12.5">
      <c r="A483" s="32"/>
    </row>
    <row r="484" spans="1:1" ht="12.5">
      <c r="A484" s="32"/>
    </row>
    <row r="485" spans="1:1" ht="12.5">
      <c r="A485" s="32"/>
    </row>
    <row r="486" spans="1:1" ht="12.5">
      <c r="A486" s="32"/>
    </row>
    <row r="487" spans="1:1" ht="12.5">
      <c r="A487" s="32"/>
    </row>
    <row r="488" spans="1:1" ht="12.5">
      <c r="A488" s="32"/>
    </row>
    <row r="489" spans="1:1" ht="12.5">
      <c r="A489" s="32"/>
    </row>
    <row r="490" spans="1:1" ht="12.5">
      <c r="A490" s="32"/>
    </row>
    <row r="491" spans="1:1" ht="12.5">
      <c r="A491" s="32"/>
    </row>
    <row r="492" spans="1:1" ht="12.5">
      <c r="A492" s="32"/>
    </row>
    <row r="493" spans="1:1" ht="12.5">
      <c r="A493" s="32"/>
    </row>
    <row r="494" spans="1:1" ht="12.5">
      <c r="A494" s="32"/>
    </row>
    <row r="495" spans="1:1" ht="12.5">
      <c r="A495" s="32"/>
    </row>
    <row r="496" spans="1:1" ht="12.5">
      <c r="A496" s="32"/>
    </row>
    <row r="497" spans="1:1" ht="12.5">
      <c r="A497" s="32"/>
    </row>
    <row r="498" spans="1:1" ht="12.5">
      <c r="A498" s="32"/>
    </row>
    <row r="499" spans="1:1" ht="12.5">
      <c r="A499" s="32"/>
    </row>
    <row r="500" spans="1:1" ht="12.5">
      <c r="A500" s="32"/>
    </row>
    <row r="501" spans="1:1" ht="12.5">
      <c r="A501" s="32"/>
    </row>
    <row r="502" spans="1:1" ht="12.5">
      <c r="A502" s="32"/>
    </row>
    <row r="503" spans="1:1" ht="12.5">
      <c r="A503" s="32"/>
    </row>
    <row r="504" spans="1:1" ht="12.5">
      <c r="A504" s="32"/>
    </row>
    <row r="505" spans="1:1" ht="12.5">
      <c r="A505" s="32"/>
    </row>
    <row r="506" spans="1:1" ht="12.5">
      <c r="A506" s="32"/>
    </row>
    <row r="507" spans="1:1" ht="12.5">
      <c r="A507" s="32"/>
    </row>
    <row r="508" spans="1:1" ht="12.5">
      <c r="A508" s="32"/>
    </row>
    <row r="509" spans="1:1" ht="12.5">
      <c r="A509" s="32"/>
    </row>
    <row r="510" spans="1:1" ht="12.5">
      <c r="A510" s="32"/>
    </row>
    <row r="511" spans="1:1" ht="12.5">
      <c r="A511" s="32"/>
    </row>
    <row r="512" spans="1:1" ht="12.5">
      <c r="A512" s="32"/>
    </row>
    <row r="513" spans="1:1" ht="12.5">
      <c r="A513" s="32"/>
    </row>
    <row r="514" spans="1:1" ht="12.5">
      <c r="A514" s="32"/>
    </row>
    <row r="515" spans="1:1" ht="12.5">
      <c r="A515" s="32"/>
    </row>
    <row r="516" spans="1:1" ht="12.5">
      <c r="A516" s="32"/>
    </row>
    <row r="517" spans="1:1" ht="12.5">
      <c r="A517" s="32"/>
    </row>
    <row r="518" spans="1:1" ht="12.5">
      <c r="A518" s="32"/>
    </row>
    <row r="519" spans="1:1" ht="12.5">
      <c r="A519" s="32"/>
    </row>
    <row r="520" spans="1:1" ht="12.5">
      <c r="A520" s="32"/>
    </row>
    <row r="521" spans="1:1" ht="12.5">
      <c r="A521" s="32"/>
    </row>
    <row r="522" spans="1:1" ht="12.5">
      <c r="A522" s="32"/>
    </row>
    <row r="523" spans="1:1" ht="12.5">
      <c r="A523" s="32"/>
    </row>
    <row r="524" spans="1:1" ht="12.5">
      <c r="A524" s="32"/>
    </row>
    <row r="525" spans="1:1" ht="12.5">
      <c r="A525" s="32"/>
    </row>
    <row r="526" spans="1:1" ht="12.5">
      <c r="A526" s="32"/>
    </row>
    <row r="527" spans="1:1" ht="12.5">
      <c r="A527" s="32"/>
    </row>
    <row r="528" spans="1:1" ht="12.5">
      <c r="A528" s="32"/>
    </row>
    <row r="529" spans="1:1" ht="12.5">
      <c r="A529" s="32"/>
    </row>
    <row r="530" spans="1:1" ht="12.5">
      <c r="A530" s="32"/>
    </row>
    <row r="531" spans="1:1" ht="12.5">
      <c r="A531" s="32"/>
    </row>
    <row r="532" spans="1:1" ht="12.5">
      <c r="A532" s="32"/>
    </row>
    <row r="533" spans="1:1" ht="12.5">
      <c r="A533" s="32"/>
    </row>
    <row r="534" spans="1:1" ht="12.5">
      <c r="A534" s="32"/>
    </row>
    <row r="535" spans="1:1" ht="12.5">
      <c r="A535" s="32"/>
    </row>
    <row r="536" spans="1:1" ht="12.5">
      <c r="A536" s="32"/>
    </row>
    <row r="537" spans="1:1" ht="12.5">
      <c r="A537" s="32"/>
    </row>
    <row r="538" spans="1:1" ht="12.5">
      <c r="A538" s="32"/>
    </row>
    <row r="539" spans="1:1" ht="12.5">
      <c r="A539" s="32"/>
    </row>
    <row r="540" spans="1:1" ht="12.5">
      <c r="A540" s="32"/>
    </row>
    <row r="541" spans="1:1" ht="12.5">
      <c r="A541" s="32"/>
    </row>
    <row r="542" spans="1:1" ht="12.5">
      <c r="A542" s="32"/>
    </row>
    <row r="543" spans="1:1" ht="12.5">
      <c r="A543" s="32"/>
    </row>
    <row r="544" spans="1:1" ht="12.5">
      <c r="A544" s="32"/>
    </row>
    <row r="545" spans="1:1" ht="12.5">
      <c r="A545" s="32"/>
    </row>
    <row r="546" spans="1:1" ht="12.5">
      <c r="A546" s="32"/>
    </row>
    <row r="547" spans="1:1" ht="12.5">
      <c r="A547" s="32"/>
    </row>
    <row r="548" spans="1:1" ht="12.5">
      <c r="A548" s="32"/>
    </row>
    <row r="549" spans="1:1" ht="12.5">
      <c r="A549" s="32"/>
    </row>
    <row r="550" spans="1:1" ht="12.5">
      <c r="A550" s="32"/>
    </row>
    <row r="551" spans="1:1" ht="12.5">
      <c r="A551" s="32"/>
    </row>
    <row r="552" spans="1:1" ht="12.5">
      <c r="A552" s="32"/>
    </row>
    <row r="553" spans="1:1" ht="12.5">
      <c r="A553" s="32"/>
    </row>
    <row r="554" spans="1:1" ht="12.5">
      <c r="A554" s="32"/>
    </row>
    <row r="555" spans="1:1" ht="12.5">
      <c r="A555" s="32"/>
    </row>
    <row r="556" spans="1:1" ht="12.5">
      <c r="A556" s="32"/>
    </row>
    <row r="557" spans="1:1" ht="12.5">
      <c r="A557" s="32"/>
    </row>
    <row r="558" spans="1:1" ht="12.5">
      <c r="A558" s="32"/>
    </row>
    <row r="559" spans="1:1" ht="12.5">
      <c r="A559" s="32"/>
    </row>
    <row r="560" spans="1:1" ht="12.5">
      <c r="A560" s="32"/>
    </row>
    <row r="561" spans="1:1" ht="12.5">
      <c r="A561" s="32"/>
    </row>
    <row r="562" spans="1:1" ht="12.5">
      <c r="A562" s="32"/>
    </row>
    <row r="563" spans="1:1" ht="12.5">
      <c r="A563" s="32"/>
    </row>
    <row r="564" spans="1:1" ht="12.5">
      <c r="A564" s="32"/>
    </row>
    <row r="565" spans="1:1" ht="12.5">
      <c r="A565" s="32"/>
    </row>
    <row r="566" spans="1:1" ht="12.5">
      <c r="A566" s="32"/>
    </row>
    <row r="567" spans="1:1" ht="12.5">
      <c r="A567" s="32"/>
    </row>
    <row r="568" spans="1:1" ht="12.5">
      <c r="A568" s="32"/>
    </row>
    <row r="569" spans="1:1" ht="12.5">
      <c r="A569" s="32"/>
    </row>
    <row r="570" spans="1:1" ht="12.5">
      <c r="A570" s="32"/>
    </row>
    <row r="571" spans="1:1" ht="12.5">
      <c r="A571" s="32"/>
    </row>
    <row r="572" spans="1:1" ht="12.5">
      <c r="A572" s="32"/>
    </row>
    <row r="573" spans="1:1" ht="12.5">
      <c r="A573" s="32"/>
    </row>
    <row r="574" spans="1:1" ht="12.5">
      <c r="A574" s="32"/>
    </row>
    <row r="575" spans="1:1" ht="12.5">
      <c r="A575" s="32"/>
    </row>
    <row r="576" spans="1:1" ht="12.5">
      <c r="A576" s="32"/>
    </row>
    <row r="577" spans="1:1" ht="12.5">
      <c r="A577" s="32"/>
    </row>
    <row r="578" spans="1:1" ht="12.5">
      <c r="A578" s="32"/>
    </row>
    <row r="579" spans="1:1" ht="12.5">
      <c r="A579" s="32"/>
    </row>
    <row r="580" spans="1:1" ht="12.5">
      <c r="A580" s="32"/>
    </row>
    <row r="581" spans="1:1" ht="12.5">
      <c r="A581" s="32"/>
    </row>
    <row r="582" spans="1:1" ht="12.5">
      <c r="A582" s="32"/>
    </row>
    <row r="583" spans="1:1" ht="12.5">
      <c r="A583" s="32"/>
    </row>
    <row r="584" spans="1:1" ht="12.5">
      <c r="A584" s="32"/>
    </row>
    <row r="585" spans="1:1" ht="12.5">
      <c r="A585" s="32"/>
    </row>
    <row r="586" spans="1:1" ht="12.5">
      <c r="A586" s="32"/>
    </row>
    <row r="587" spans="1:1" ht="12.5">
      <c r="A587" s="32"/>
    </row>
    <row r="588" spans="1:1" ht="12.5">
      <c r="A588" s="32"/>
    </row>
    <row r="589" spans="1:1" ht="12.5">
      <c r="A589" s="32"/>
    </row>
    <row r="590" spans="1:1" ht="12.5">
      <c r="A590" s="32"/>
    </row>
    <row r="591" spans="1:1" ht="12.5">
      <c r="A591" s="32"/>
    </row>
    <row r="592" spans="1:1" ht="12.5">
      <c r="A592" s="32"/>
    </row>
    <row r="593" spans="1:1" ht="12.5">
      <c r="A593" s="32"/>
    </row>
    <row r="594" spans="1:1" ht="12.5">
      <c r="A594" s="32"/>
    </row>
    <row r="595" spans="1:1" ht="12.5">
      <c r="A595" s="32"/>
    </row>
    <row r="596" spans="1:1" ht="12.5">
      <c r="A596" s="32"/>
    </row>
    <row r="597" spans="1:1" ht="12.5">
      <c r="A597" s="32"/>
    </row>
    <row r="598" spans="1:1" ht="12.5">
      <c r="A598" s="32"/>
    </row>
    <row r="599" spans="1:1" ht="12.5">
      <c r="A599" s="32"/>
    </row>
    <row r="600" spans="1:1" ht="12.5">
      <c r="A600" s="32"/>
    </row>
    <row r="601" spans="1:1" ht="12.5">
      <c r="A601" s="32"/>
    </row>
    <row r="602" spans="1:1" ht="12.5">
      <c r="A602" s="32"/>
    </row>
    <row r="603" spans="1:1" ht="12.5">
      <c r="A603" s="32"/>
    </row>
    <row r="604" spans="1:1" ht="12.5">
      <c r="A604" s="32"/>
    </row>
    <row r="605" spans="1:1" ht="12.5">
      <c r="A605" s="32"/>
    </row>
    <row r="606" spans="1:1" ht="12.5">
      <c r="A606" s="32"/>
    </row>
    <row r="607" spans="1:1" ht="12.5">
      <c r="A607" s="32"/>
    </row>
    <row r="608" spans="1:1" ht="12.5">
      <c r="A608" s="32"/>
    </row>
    <row r="609" spans="1:1" ht="12.5">
      <c r="A609" s="32"/>
    </row>
    <row r="610" spans="1:1" ht="12.5">
      <c r="A610" s="32"/>
    </row>
    <row r="611" spans="1:1" ht="12.5">
      <c r="A611" s="32"/>
    </row>
    <row r="612" spans="1:1" ht="12.5">
      <c r="A612" s="32"/>
    </row>
    <row r="613" spans="1:1" ht="12.5">
      <c r="A613" s="32"/>
    </row>
    <row r="614" spans="1:1" ht="12.5">
      <c r="A614" s="32"/>
    </row>
    <row r="615" spans="1:1" ht="12.5">
      <c r="A615" s="32"/>
    </row>
    <row r="616" spans="1:1" ht="12.5">
      <c r="A616" s="32"/>
    </row>
    <row r="617" spans="1:1" ht="12.5">
      <c r="A617" s="32"/>
    </row>
    <row r="618" spans="1:1" ht="12.5">
      <c r="A618" s="32"/>
    </row>
    <row r="619" spans="1:1" ht="12.5">
      <c r="A619" s="32"/>
    </row>
    <row r="620" spans="1:1" ht="12.5">
      <c r="A620" s="32"/>
    </row>
    <row r="621" spans="1:1" ht="12.5">
      <c r="A621" s="32"/>
    </row>
    <row r="622" spans="1:1" ht="12.5">
      <c r="A622" s="32"/>
    </row>
    <row r="623" spans="1:1" ht="12.5">
      <c r="A623" s="32"/>
    </row>
    <row r="624" spans="1:1" ht="12.5">
      <c r="A624" s="32"/>
    </row>
    <row r="625" spans="1:1" ht="12.5">
      <c r="A625" s="32"/>
    </row>
    <row r="626" spans="1:1" ht="12.5">
      <c r="A626" s="32"/>
    </row>
    <row r="627" spans="1:1" ht="12.5">
      <c r="A627" s="32"/>
    </row>
    <row r="628" spans="1:1" ht="12.5">
      <c r="A628" s="32"/>
    </row>
    <row r="629" spans="1:1" ht="12.5">
      <c r="A629" s="32"/>
    </row>
    <row r="630" spans="1:1" ht="12.5">
      <c r="A630" s="32"/>
    </row>
    <row r="631" spans="1:1" ht="12.5">
      <c r="A631" s="32"/>
    </row>
    <row r="632" spans="1:1" ht="12.5">
      <c r="A632" s="32"/>
    </row>
    <row r="633" spans="1:1" ht="12.5">
      <c r="A633" s="32"/>
    </row>
    <row r="634" spans="1:1" ht="12.5">
      <c r="A634" s="32"/>
    </row>
    <row r="635" spans="1:1" ht="12.5">
      <c r="A635" s="32"/>
    </row>
    <row r="636" spans="1:1" ht="12.5">
      <c r="A636" s="32"/>
    </row>
    <row r="637" spans="1:1" ht="12.5">
      <c r="A637" s="32"/>
    </row>
    <row r="638" spans="1:1" ht="12.5">
      <c r="A638" s="32"/>
    </row>
    <row r="639" spans="1:1" ht="12.5">
      <c r="A639" s="32"/>
    </row>
    <row r="640" spans="1:1" ht="12.5">
      <c r="A640" s="32"/>
    </row>
    <row r="641" spans="1:1" ht="12.5">
      <c r="A641" s="32"/>
    </row>
    <row r="642" spans="1:1" ht="12.5">
      <c r="A642" s="32"/>
    </row>
    <row r="643" spans="1:1" ht="12.5">
      <c r="A643" s="32"/>
    </row>
    <row r="644" spans="1:1" ht="12.5">
      <c r="A644" s="32"/>
    </row>
    <row r="645" spans="1:1" ht="12.5">
      <c r="A645" s="32"/>
    </row>
    <row r="646" spans="1:1" ht="12.5">
      <c r="A646" s="32"/>
    </row>
    <row r="647" spans="1:1" ht="12.5">
      <c r="A647" s="32"/>
    </row>
    <row r="648" spans="1:1" ht="12.5">
      <c r="A648" s="32"/>
    </row>
    <row r="649" spans="1:1" ht="12.5">
      <c r="A649" s="32"/>
    </row>
    <row r="650" spans="1:1" ht="12.5">
      <c r="A650" s="32"/>
    </row>
    <row r="651" spans="1:1" ht="12.5">
      <c r="A651" s="32"/>
    </row>
    <row r="652" spans="1:1" ht="12.5">
      <c r="A652" s="32"/>
    </row>
    <row r="653" spans="1:1" ht="12.5">
      <c r="A653" s="32"/>
    </row>
    <row r="654" spans="1:1" ht="12.5">
      <c r="A654" s="32"/>
    </row>
    <row r="655" spans="1:1" ht="12.5">
      <c r="A655" s="32"/>
    </row>
    <row r="656" spans="1:1" ht="12.5">
      <c r="A656" s="32"/>
    </row>
    <row r="657" spans="1:1" ht="12.5">
      <c r="A657" s="32"/>
    </row>
    <row r="658" spans="1:1" ht="12.5">
      <c r="A658" s="32"/>
    </row>
    <row r="659" spans="1:1" ht="12.5">
      <c r="A659" s="32"/>
    </row>
    <row r="660" spans="1:1" ht="12.5">
      <c r="A660" s="32"/>
    </row>
    <row r="661" spans="1:1" ht="12.5">
      <c r="A661" s="32"/>
    </row>
    <row r="662" spans="1:1" ht="12.5">
      <c r="A662" s="32"/>
    </row>
    <row r="663" spans="1:1" ht="12.5">
      <c r="A663" s="32"/>
    </row>
    <row r="664" spans="1:1" ht="12.5">
      <c r="A664" s="32"/>
    </row>
    <row r="665" spans="1:1" ht="12.5">
      <c r="A665" s="32"/>
    </row>
    <row r="666" spans="1:1" ht="12.5">
      <c r="A666" s="32"/>
    </row>
    <row r="667" spans="1:1" ht="12.5">
      <c r="A667" s="32"/>
    </row>
    <row r="668" spans="1:1" ht="12.5">
      <c r="A668" s="32"/>
    </row>
    <row r="669" spans="1:1" ht="12.5">
      <c r="A669" s="32"/>
    </row>
    <row r="670" spans="1:1" ht="12.5">
      <c r="A670" s="32"/>
    </row>
    <row r="671" spans="1:1" ht="12.5">
      <c r="A671" s="32"/>
    </row>
    <row r="672" spans="1:1" ht="12.5">
      <c r="A672" s="32"/>
    </row>
    <row r="673" spans="1:1" ht="12.5">
      <c r="A673" s="32"/>
    </row>
    <row r="674" spans="1:1" ht="12.5">
      <c r="A674" s="32"/>
    </row>
    <row r="675" spans="1:1" ht="12.5">
      <c r="A675" s="32"/>
    </row>
    <row r="676" spans="1:1" ht="12.5">
      <c r="A676" s="32"/>
    </row>
    <row r="677" spans="1:1" ht="12.5">
      <c r="A677" s="32"/>
    </row>
    <row r="678" spans="1:1" ht="12.5">
      <c r="A678" s="32"/>
    </row>
    <row r="679" spans="1:1" ht="12.5">
      <c r="A679" s="32"/>
    </row>
    <row r="680" spans="1:1" ht="12.5">
      <c r="A680" s="32"/>
    </row>
    <row r="681" spans="1:1" ht="12.5">
      <c r="A681" s="32"/>
    </row>
    <row r="682" spans="1:1" ht="12.5">
      <c r="A682" s="32"/>
    </row>
    <row r="683" spans="1:1" ht="12.5">
      <c r="A683" s="32"/>
    </row>
    <row r="684" spans="1:1" ht="12.5">
      <c r="A684" s="32"/>
    </row>
    <row r="685" spans="1:1" ht="12.5">
      <c r="A685" s="32"/>
    </row>
    <row r="686" spans="1:1" ht="12.5">
      <c r="A686" s="32"/>
    </row>
    <row r="687" spans="1:1" ht="12.5">
      <c r="A687" s="32"/>
    </row>
    <row r="688" spans="1:1" ht="12.5">
      <c r="A688" s="32"/>
    </row>
    <row r="689" spans="1:1" ht="12.5">
      <c r="A689" s="32"/>
    </row>
    <row r="690" spans="1:1" ht="12.5">
      <c r="A690" s="32"/>
    </row>
    <row r="691" spans="1:1" ht="12.5">
      <c r="A691" s="32"/>
    </row>
    <row r="692" spans="1:1" ht="12.5">
      <c r="A692" s="32"/>
    </row>
    <row r="693" spans="1:1" ht="12.5">
      <c r="A693" s="32"/>
    </row>
    <row r="694" spans="1:1" ht="12.5">
      <c r="A694" s="32"/>
    </row>
    <row r="695" spans="1:1" ht="12.5">
      <c r="A695" s="32"/>
    </row>
    <row r="696" spans="1:1" ht="12.5">
      <c r="A696" s="32"/>
    </row>
    <row r="697" spans="1:1" ht="12.5">
      <c r="A697" s="32"/>
    </row>
    <row r="698" spans="1:1" ht="12.5">
      <c r="A698" s="32"/>
    </row>
    <row r="699" spans="1:1" ht="12.5">
      <c r="A699" s="32"/>
    </row>
    <row r="700" spans="1:1" ht="12.5">
      <c r="A700" s="32"/>
    </row>
    <row r="701" spans="1:1" ht="12.5">
      <c r="A701" s="32"/>
    </row>
    <row r="702" spans="1:1" ht="12.5">
      <c r="A702" s="32"/>
    </row>
    <row r="703" spans="1:1" ht="12.5">
      <c r="A703" s="32"/>
    </row>
    <row r="704" spans="1:1" ht="12.5">
      <c r="A704" s="32"/>
    </row>
    <row r="705" spans="1:1" ht="12.5">
      <c r="A705" s="32"/>
    </row>
    <row r="706" spans="1:1" ht="12.5">
      <c r="A706" s="32"/>
    </row>
    <row r="707" spans="1:1" ht="12.5">
      <c r="A707" s="32"/>
    </row>
    <row r="708" spans="1:1" ht="12.5">
      <c r="A708" s="32"/>
    </row>
    <row r="709" spans="1:1" ht="12.5">
      <c r="A709" s="32"/>
    </row>
    <row r="710" spans="1:1" ht="12.5">
      <c r="A710" s="32"/>
    </row>
    <row r="711" spans="1:1" ht="12.5">
      <c r="A711" s="32"/>
    </row>
    <row r="712" spans="1:1" ht="12.5">
      <c r="A712" s="32"/>
    </row>
    <row r="713" spans="1:1" ht="12.5">
      <c r="A713" s="32"/>
    </row>
    <row r="714" spans="1:1" ht="12.5">
      <c r="A714" s="32"/>
    </row>
    <row r="715" spans="1:1" ht="12.5">
      <c r="A715" s="32"/>
    </row>
    <row r="716" spans="1:1" ht="12.5">
      <c r="A716" s="32"/>
    </row>
    <row r="717" spans="1:1" ht="12.5">
      <c r="A717" s="32"/>
    </row>
    <row r="718" spans="1:1" ht="12.5">
      <c r="A718" s="32"/>
    </row>
    <row r="719" spans="1:1" ht="12.5">
      <c r="A719" s="32"/>
    </row>
    <row r="720" spans="1:1" ht="12.5">
      <c r="A720" s="32"/>
    </row>
    <row r="721" spans="1:1" ht="12.5">
      <c r="A721" s="32"/>
    </row>
    <row r="722" spans="1:1" ht="12.5">
      <c r="A722" s="32"/>
    </row>
    <row r="723" spans="1:1" ht="12.5">
      <c r="A723" s="32"/>
    </row>
    <row r="724" spans="1:1" ht="12.5">
      <c r="A724" s="32"/>
    </row>
    <row r="725" spans="1:1" ht="12.5">
      <c r="A725" s="32"/>
    </row>
    <row r="726" spans="1:1" ht="12.5">
      <c r="A726" s="32"/>
    </row>
    <row r="727" spans="1:1" ht="12.5">
      <c r="A727" s="32"/>
    </row>
    <row r="728" spans="1:1" ht="12.5">
      <c r="A728" s="32"/>
    </row>
    <row r="729" spans="1:1" ht="12.5">
      <c r="A729" s="32"/>
    </row>
    <row r="730" spans="1:1" ht="12.5">
      <c r="A730" s="32"/>
    </row>
    <row r="731" spans="1:1" ht="12.5">
      <c r="A731" s="32"/>
    </row>
    <row r="732" spans="1:1" ht="12.5">
      <c r="A732" s="32"/>
    </row>
    <row r="733" spans="1:1" ht="12.5">
      <c r="A733" s="32"/>
    </row>
    <row r="734" spans="1:1" ht="12.5">
      <c r="A734" s="32"/>
    </row>
    <row r="735" spans="1:1" ht="12.5">
      <c r="A735" s="32"/>
    </row>
    <row r="736" spans="1:1" ht="12.5">
      <c r="A736" s="32"/>
    </row>
    <row r="737" spans="1:1" ht="12.5">
      <c r="A737" s="32"/>
    </row>
    <row r="738" spans="1:1" ht="12.5">
      <c r="A738" s="32"/>
    </row>
    <row r="739" spans="1:1" ht="12.5">
      <c r="A739" s="32"/>
    </row>
    <row r="740" spans="1:1" ht="12.5">
      <c r="A740" s="32"/>
    </row>
    <row r="741" spans="1:1" ht="12.5">
      <c r="A741" s="32"/>
    </row>
    <row r="742" spans="1:1" ht="12.5">
      <c r="A742" s="32"/>
    </row>
    <row r="743" spans="1:1" ht="12.5">
      <c r="A743" s="32"/>
    </row>
    <row r="744" spans="1:1" ht="12.5">
      <c r="A744" s="32"/>
    </row>
    <row r="745" spans="1:1" ht="12.5">
      <c r="A745" s="32"/>
    </row>
    <row r="746" spans="1:1" ht="12.5">
      <c r="A746" s="32"/>
    </row>
    <row r="747" spans="1:1" ht="12.5">
      <c r="A747" s="32"/>
    </row>
    <row r="748" spans="1:1" ht="12.5">
      <c r="A748" s="32"/>
    </row>
    <row r="749" spans="1:1" ht="12.5">
      <c r="A749" s="32"/>
    </row>
    <row r="750" spans="1:1" ht="12.5">
      <c r="A750" s="32"/>
    </row>
    <row r="751" spans="1:1" ht="12.5">
      <c r="A751" s="32"/>
    </row>
    <row r="752" spans="1:1" ht="12.5">
      <c r="A752" s="32"/>
    </row>
    <row r="753" spans="1:1" ht="12.5">
      <c r="A753" s="32"/>
    </row>
    <row r="754" spans="1:1" ht="12.5">
      <c r="A754" s="32"/>
    </row>
    <row r="755" spans="1:1" ht="12.5">
      <c r="A755" s="32"/>
    </row>
    <row r="756" spans="1:1" ht="12.5">
      <c r="A756" s="32"/>
    </row>
    <row r="757" spans="1:1" ht="12.5">
      <c r="A757" s="32"/>
    </row>
    <row r="758" spans="1:1" ht="12.5">
      <c r="A758" s="32"/>
    </row>
    <row r="759" spans="1:1" ht="12.5">
      <c r="A759" s="32"/>
    </row>
    <row r="760" spans="1:1" ht="12.5">
      <c r="A760" s="32"/>
    </row>
    <row r="761" spans="1:1" ht="12.5">
      <c r="A761" s="32"/>
    </row>
    <row r="762" spans="1:1" ht="12.5">
      <c r="A762" s="32"/>
    </row>
    <row r="763" spans="1:1" ht="12.5">
      <c r="A763" s="32"/>
    </row>
    <row r="764" spans="1:1" ht="12.5">
      <c r="A764" s="32"/>
    </row>
    <row r="765" spans="1:1" ht="12.5">
      <c r="A765" s="32"/>
    </row>
    <row r="766" spans="1:1" ht="12.5">
      <c r="A766" s="32"/>
    </row>
    <row r="767" spans="1:1" ht="12.5">
      <c r="A767" s="32"/>
    </row>
    <row r="768" spans="1:1" ht="12.5">
      <c r="A768" s="32"/>
    </row>
    <row r="769" spans="1:1" ht="12.5">
      <c r="A769" s="32"/>
    </row>
    <row r="770" spans="1:1" ht="12.5">
      <c r="A770" s="32"/>
    </row>
    <row r="771" spans="1:1" ht="12.5">
      <c r="A771" s="32"/>
    </row>
    <row r="772" spans="1:1" ht="12.5">
      <c r="A772" s="32"/>
    </row>
    <row r="773" spans="1:1" ht="12.5">
      <c r="A773" s="32"/>
    </row>
    <row r="774" spans="1:1" ht="12.5">
      <c r="A774" s="32"/>
    </row>
    <row r="775" spans="1:1" ht="12.5">
      <c r="A775" s="32"/>
    </row>
    <row r="776" spans="1:1" ht="12.5">
      <c r="A776" s="32"/>
    </row>
    <row r="777" spans="1:1" ht="12.5">
      <c r="A777" s="32"/>
    </row>
    <row r="778" spans="1:1" ht="12.5">
      <c r="A778" s="32"/>
    </row>
    <row r="779" spans="1:1" ht="12.5">
      <c r="A779" s="32"/>
    </row>
    <row r="780" spans="1:1" ht="12.5">
      <c r="A780" s="32"/>
    </row>
    <row r="781" spans="1:1" ht="12.5">
      <c r="A781" s="32"/>
    </row>
    <row r="782" spans="1:1" ht="12.5">
      <c r="A782" s="32"/>
    </row>
    <row r="783" spans="1:1" ht="12.5">
      <c r="A783" s="32"/>
    </row>
    <row r="784" spans="1:1" ht="12.5">
      <c r="A784" s="32"/>
    </row>
    <row r="785" spans="1:1" ht="12.5">
      <c r="A785" s="32"/>
    </row>
    <row r="786" spans="1:1" ht="12.5">
      <c r="A786" s="32"/>
    </row>
    <row r="787" spans="1:1" ht="12.5">
      <c r="A787" s="32"/>
    </row>
    <row r="788" spans="1:1" ht="12.5">
      <c r="A788" s="32"/>
    </row>
    <row r="789" spans="1:1" ht="12.5">
      <c r="A789" s="32"/>
    </row>
    <row r="790" spans="1:1" ht="12.5">
      <c r="A790" s="32"/>
    </row>
    <row r="791" spans="1:1" ht="12.5">
      <c r="A791" s="32"/>
    </row>
    <row r="792" spans="1:1" ht="12.5">
      <c r="A792" s="32"/>
    </row>
    <row r="793" spans="1:1" ht="12.5">
      <c r="A793" s="32"/>
    </row>
    <row r="794" spans="1:1" ht="12.5">
      <c r="A794" s="32"/>
    </row>
    <row r="795" spans="1:1" ht="12.5">
      <c r="A795" s="32"/>
    </row>
    <row r="796" spans="1:1" ht="12.5">
      <c r="A796" s="32"/>
    </row>
    <row r="797" spans="1:1" ht="12.5">
      <c r="A797" s="32"/>
    </row>
    <row r="798" spans="1:1" ht="12.5">
      <c r="A798" s="32"/>
    </row>
    <row r="799" spans="1:1" ht="12.5">
      <c r="A799" s="32"/>
    </row>
    <row r="800" spans="1:1" ht="12.5">
      <c r="A800" s="32"/>
    </row>
    <row r="801" spans="1:1" ht="12.5">
      <c r="A801" s="32"/>
    </row>
    <row r="802" spans="1:1" ht="12.5">
      <c r="A802" s="32"/>
    </row>
    <row r="803" spans="1:1" ht="12.5">
      <c r="A803" s="32"/>
    </row>
    <row r="804" spans="1:1" ht="12.5">
      <c r="A804" s="32"/>
    </row>
    <row r="805" spans="1:1" ht="12.5">
      <c r="A805" s="32"/>
    </row>
    <row r="806" spans="1:1" ht="12.5">
      <c r="A806" s="32"/>
    </row>
    <row r="807" spans="1:1" ht="12.5">
      <c r="A807" s="32"/>
    </row>
    <row r="808" spans="1:1" ht="12.5">
      <c r="A808" s="32"/>
    </row>
    <row r="809" spans="1:1" ht="12.5">
      <c r="A809" s="32"/>
    </row>
    <row r="810" spans="1:1" ht="12.5">
      <c r="A810" s="32"/>
    </row>
    <row r="811" spans="1:1" ht="12.5">
      <c r="A811" s="32"/>
    </row>
    <row r="812" spans="1:1" ht="12.5">
      <c r="A812" s="32"/>
    </row>
    <row r="813" spans="1:1" ht="12.5">
      <c r="A813" s="32"/>
    </row>
    <row r="814" spans="1:1" ht="12.5">
      <c r="A814" s="32"/>
    </row>
    <row r="815" spans="1:1" ht="12.5">
      <c r="A815" s="32"/>
    </row>
    <row r="816" spans="1:1" ht="12.5">
      <c r="A816" s="32"/>
    </row>
    <row r="817" spans="1:1" ht="12.5">
      <c r="A817" s="32"/>
    </row>
    <row r="818" spans="1:1" ht="12.5">
      <c r="A818" s="32"/>
    </row>
    <row r="819" spans="1:1" ht="12.5">
      <c r="A819" s="32"/>
    </row>
    <row r="820" spans="1:1" ht="12.5">
      <c r="A820" s="32"/>
    </row>
    <row r="821" spans="1:1" ht="12.5">
      <c r="A821" s="32"/>
    </row>
    <row r="822" spans="1:1" ht="12.5">
      <c r="A822" s="32"/>
    </row>
    <row r="823" spans="1:1" ht="12.5">
      <c r="A823" s="32"/>
    </row>
    <row r="824" spans="1:1" ht="12.5">
      <c r="A824" s="32"/>
    </row>
    <row r="825" spans="1:1" ht="12.5">
      <c r="A825" s="32"/>
    </row>
    <row r="826" spans="1:1" ht="12.5">
      <c r="A826" s="32"/>
    </row>
    <row r="827" spans="1:1" ht="12.5">
      <c r="A827" s="32"/>
    </row>
    <row r="828" spans="1:1" ht="12.5">
      <c r="A828" s="32"/>
    </row>
    <row r="829" spans="1:1" ht="12.5">
      <c r="A829" s="32"/>
    </row>
    <row r="830" spans="1:1" ht="12.5">
      <c r="A830" s="32"/>
    </row>
    <row r="831" spans="1:1" ht="12.5">
      <c r="A831" s="32"/>
    </row>
    <row r="832" spans="1:1" ht="12.5">
      <c r="A832" s="32"/>
    </row>
    <row r="833" spans="1:1" ht="12.5">
      <c r="A833" s="32"/>
    </row>
    <row r="834" spans="1:1" ht="12.5">
      <c r="A834" s="32"/>
    </row>
    <row r="835" spans="1:1" ht="12.5">
      <c r="A835" s="32"/>
    </row>
    <row r="836" spans="1:1" ht="12.5">
      <c r="A836" s="32"/>
    </row>
    <row r="837" spans="1:1" ht="12.5">
      <c r="A837" s="32"/>
    </row>
    <row r="838" spans="1:1" ht="12.5">
      <c r="A838" s="32"/>
    </row>
    <row r="839" spans="1:1" ht="12.5">
      <c r="A839" s="32"/>
    </row>
    <row r="840" spans="1:1" ht="12.5">
      <c r="A840" s="32"/>
    </row>
    <row r="841" spans="1:1" ht="12.5">
      <c r="A841" s="32"/>
    </row>
    <row r="842" spans="1:1" ht="12.5">
      <c r="A842" s="32"/>
    </row>
    <row r="843" spans="1:1" ht="12.5">
      <c r="A843" s="32"/>
    </row>
    <row r="844" spans="1:1" ht="12.5">
      <c r="A844" s="32"/>
    </row>
    <row r="845" spans="1:1" ht="12.5">
      <c r="A845" s="32"/>
    </row>
    <row r="846" spans="1:1" ht="12.5">
      <c r="A846" s="32"/>
    </row>
    <row r="847" spans="1:1" ht="12.5">
      <c r="A847" s="32"/>
    </row>
    <row r="848" spans="1:1" ht="12.5">
      <c r="A848" s="32"/>
    </row>
    <row r="849" spans="1:1" ht="12.5">
      <c r="A849" s="32"/>
    </row>
    <row r="850" spans="1:1" ht="12.5">
      <c r="A850" s="32"/>
    </row>
    <row r="851" spans="1:1" ht="12.5">
      <c r="A851" s="32"/>
    </row>
    <row r="852" spans="1:1" ht="12.5">
      <c r="A852" s="32"/>
    </row>
    <row r="853" spans="1:1" ht="12.5">
      <c r="A853" s="32"/>
    </row>
    <row r="854" spans="1:1" ht="12.5">
      <c r="A854" s="32"/>
    </row>
    <row r="855" spans="1:1" ht="12.5">
      <c r="A855" s="32"/>
    </row>
    <row r="856" spans="1:1" ht="12.5">
      <c r="A856" s="32"/>
    </row>
    <row r="857" spans="1:1" ht="12.5">
      <c r="A857" s="32"/>
    </row>
    <row r="858" spans="1:1" ht="12.5">
      <c r="A858" s="32"/>
    </row>
    <row r="859" spans="1:1" ht="12.5">
      <c r="A859" s="32"/>
    </row>
    <row r="860" spans="1:1" ht="12.5">
      <c r="A860" s="32"/>
    </row>
    <row r="861" spans="1:1" ht="12.5">
      <c r="A861" s="32"/>
    </row>
    <row r="862" spans="1:1" ht="12.5">
      <c r="A862" s="32"/>
    </row>
    <row r="863" spans="1:1" ht="12.5">
      <c r="A863" s="32"/>
    </row>
    <row r="864" spans="1:1" ht="12.5">
      <c r="A864" s="32"/>
    </row>
    <row r="865" spans="1:1" ht="12.5">
      <c r="A865" s="32"/>
    </row>
    <row r="866" spans="1:1" ht="12.5">
      <c r="A866" s="32"/>
    </row>
    <row r="867" spans="1:1" ht="12.5">
      <c r="A867" s="32"/>
    </row>
    <row r="868" spans="1:1" ht="12.5">
      <c r="A868" s="32"/>
    </row>
    <row r="869" spans="1:1" ht="12.5">
      <c r="A869" s="32"/>
    </row>
    <row r="870" spans="1:1" ht="12.5">
      <c r="A870" s="32"/>
    </row>
    <row r="871" spans="1:1" ht="12.5">
      <c r="A871" s="32"/>
    </row>
    <row r="872" spans="1:1" ht="12.5">
      <c r="A872" s="32"/>
    </row>
    <row r="873" spans="1:1" ht="12.5">
      <c r="A873" s="32"/>
    </row>
    <row r="874" spans="1:1" ht="12.5">
      <c r="A874" s="32"/>
    </row>
    <row r="875" spans="1:1" ht="12.5">
      <c r="A875" s="32"/>
    </row>
    <row r="876" spans="1:1" ht="12.5">
      <c r="A876" s="32"/>
    </row>
    <row r="877" spans="1:1" ht="12.5">
      <c r="A877" s="32"/>
    </row>
    <row r="878" spans="1:1" ht="12.5">
      <c r="A878" s="32"/>
    </row>
    <row r="879" spans="1:1" ht="12.5">
      <c r="A879" s="32"/>
    </row>
    <row r="880" spans="1:1" ht="12.5">
      <c r="A880" s="32"/>
    </row>
    <row r="881" spans="1:1" ht="12.5">
      <c r="A881" s="32"/>
    </row>
    <row r="882" spans="1:1" ht="12.5">
      <c r="A882" s="32"/>
    </row>
    <row r="883" spans="1:1" ht="12.5">
      <c r="A883" s="32"/>
    </row>
    <row r="884" spans="1:1" ht="12.5">
      <c r="A884" s="32"/>
    </row>
    <row r="885" spans="1:1" ht="12.5">
      <c r="A885" s="32"/>
    </row>
    <row r="886" spans="1:1" ht="12.5">
      <c r="A886" s="32"/>
    </row>
    <row r="887" spans="1:1" ht="12.5">
      <c r="A887" s="32"/>
    </row>
    <row r="888" spans="1:1" ht="12.5">
      <c r="A888" s="32"/>
    </row>
    <row r="889" spans="1:1" ht="12.5">
      <c r="A889" s="32"/>
    </row>
    <row r="890" spans="1:1" ht="12.5">
      <c r="A890" s="32"/>
    </row>
    <row r="891" spans="1:1" ht="12.5">
      <c r="A891" s="32"/>
    </row>
    <row r="892" spans="1:1" ht="12.5">
      <c r="A892" s="32"/>
    </row>
    <row r="893" spans="1:1" ht="12.5">
      <c r="A893" s="32"/>
    </row>
    <row r="894" spans="1:1" ht="12.5">
      <c r="A894" s="32"/>
    </row>
    <row r="895" spans="1:1" ht="12.5">
      <c r="A895" s="32"/>
    </row>
    <row r="896" spans="1:1" ht="12.5">
      <c r="A896" s="32"/>
    </row>
    <row r="897" spans="1:1" ht="12.5">
      <c r="A897" s="32"/>
    </row>
    <row r="898" spans="1:1" ht="12.5">
      <c r="A898" s="32"/>
    </row>
    <row r="899" spans="1:1" ht="12.5">
      <c r="A899" s="32"/>
    </row>
    <row r="900" spans="1:1" ht="12.5">
      <c r="A900" s="32"/>
    </row>
    <row r="901" spans="1:1" ht="12.5">
      <c r="A901" s="32"/>
    </row>
    <row r="902" spans="1:1" ht="12.5">
      <c r="A902" s="32"/>
    </row>
    <row r="903" spans="1:1" ht="12.5">
      <c r="A903" s="32"/>
    </row>
    <row r="904" spans="1:1" ht="12.5">
      <c r="A904" s="32"/>
    </row>
    <row r="905" spans="1:1" ht="12.5">
      <c r="A905" s="32"/>
    </row>
    <row r="906" spans="1:1" ht="12.5">
      <c r="A906" s="32"/>
    </row>
    <row r="907" spans="1:1" ht="12.5">
      <c r="A907" s="32"/>
    </row>
    <row r="908" spans="1:1" ht="12.5">
      <c r="A908" s="32"/>
    </row>
    <row r="909" spans="1:1" ht="12.5">
      <c r="A909" s="32"/>
    </row>
    <row r="910" spans="1:1" ht="12.5">
      <c r="A910" s="32"/>
    </row>
    <row r="911" spans="1:1" ht="12.5">
      <c r="A911" s="32"/>
    </row>
    <row r="912" spans="1:1" ht="12.5">
      <c r="A912" s="32"/>
    </row>
    <row r="913" spans="1:1" ht="12.5">
      <c r="A913" s="32"/>
    </row>
    <row r="914" spans="1:1" ht="12.5">
      <c r="A914" s="32"/>
    </row>
    <row r="915" spans="1:1" ht="12.5">
      <c r="A915" s="32"/>
    </row>
    <row r="916" spans="1:1" ht="12.5">
      <c r="A916" s="32"/>
    </row>
    <row r="917" spans="1:1" ht="12.5">
      <c r="A917" s="32"/>
    </row>
    <row r="918" spans="1:1" ht="12.5">
      <c r="A918" s="32"/>
    </row>
    <row r="919" spans="1:1" ht="12.5">
      <c r="A919" s="32"/>
    </row>
    <row r="920" spans="1:1" ht="12.5">
      <c r="A920" s="32"/>
    </row>
    <row r="921" spans="1:1" ht="12.5">
      <c r="A921" s="32"/>
    </row>
    <row r="922" spans="1:1" ht="12.5">
      <c r="A922" s="32"/>
    </row>
    <row r="923" spans="1:1" ht="12.5">
      <c r="A923" s="32"/>
    </row>
    <row r="924" spans="1:1" ht="12.5">
      <c r="A924" s="32"/>
    </row>
    <row r="925" spans="1:1" ht="12.5">
      <c r="A925" s="32"/>
    </row>
    <row r="926" spans="1:1" ht="12.5">
      <c r="A926" s="32"/>
    </row>
    <row r="927" spans="1:1" ht="12.5">
      <c r="A927" s="32"/>
    </row>
    <row r="928" spans="1:1" ht="12.5">
      <c r="A928" s="32"/>
    </row>
    <row r="929" spans="1:1" ht="12.5">
      <c r="A929" s="32"/>
    </row>
    <row r="930" spans="1:1" ht="12.5">
      <c r="A930" s="32"/>
    </row>
    <row r="931" spans="1:1" ht="12.5">
      <c r="A931" s="32"/>
    </row>
    <row r="932" spans="1:1" ht="12.5">
      <c r="A932" s="32"/>
    </row>
    <row r="933" spans="1:1" ht="12.5">
      <c r="A933" s="32"/>
    </row>
    <row r="934" spans="1:1" ht="12.5">
      <c r="A934" s="32"/>
    </row>
    <row r="935" spans="1:1" ht="12.5">
      <c r="A935" s="32"/>
    </row>
    <row r="936" spans="1:1" ht="12.5">
      <c r="A936" s="32"/>
    </row>
    <row r="937" spans="1:1" ht="12.5">
      <c r="A937" s="32"/>
    </row>
    <row r="938" spans="1:1" ht="12.5">
      <c r="A938" s="32"/>
    </row>
    <row r="939" spans="1:1" ht="12.5">
      <c r="A939" s="32"/>
    </row>
    <row r="940" spans="1:1" ht="12.5">
      <c r="A940" s="32"/>
    </row>
    <row r="941" spans="1:1" ht="12.5">
      <c r="A941" s="32"/>
    </row>
    <row r="942" spans="1:1" ht="12.5">
      <c r="A942" s="32"/>
    </row>
    <row r="943" spans="1:1" ht="12.5">
      <c r="A943" s="32"/>
    </row>
    <row r="944" spans="1:1" ht="12.5">
      <c r="A944" s="32"/>
    </row>
    <row r="945" spans="1:1" ht="12.5">
      <c r="A945" s="32"/>
    </row>
    <row r="946" spans="1:1" ht="12.5">
      <c r="A946" s="32"/>
    </row>
    <row r="947" spans="1:1" ht="12.5">
      <c r="A947" s="32"/>
    </row>
    <row r="948" spans="1:1" ht="12.5">
      <c r="A948" s="32"/>
    </row>
    <row r="949" spans="1:1" ht="12.5">
      <c r="A949" s="32"/>
    </row>
    <row r="950" spans="1:1" ht="12.5">
      <c r="A950" s="32"/>
    </row>
    <row r="951" spans="1:1" ht="12.5">
      <c r="A951" s="32"/>
    </row>
    <row r="952" spans="1:1" ht="12.5">
      <c r="A952" s="32"/>
    </row>
    <row r="953" spans="1:1" ht="12.5">
      <c r="A953" s="32"/>
    </row>
    <row r="954" spans="1:1" ht="12.5">
      <c r="A954" s="32"/>
    </row>
    <row r="955" spans="1:1" ht="12.5">
      <c r="A955" s="32"/>
    </row>
    <row r="956" spans="1:1" ht="12.5">
      <c r="A956" s="32"/>
    </row>
    <row r="957" spans="1:1" ht="12.5">
      <c r="A957" s="32"/>
    </row>
    <row r="958" spans="1:1" ht="12.5">
      <c r="A958" s="32"/>
    </row>
    <row r="959" spans="1:1" ht="12.5">
      <c r="A959" s="32"/>
    </row>
    <row r="960" spans="1:1" ht="12.5">
      <c r="A960" s="32"/>
    </row>
    <row r="961" spans="1:1" ht="12.5">
      <c r="A961" s="32"/>
    </row>
    <row r="962" spans="1:1" ht="12.5">
      <c r="A962" s="32"/>
    </row>
    <row r="963" spans="1:1" ht="12.5">
      <c r="A963" s="32"/>
    </row>
    <row r="964" spans="1:1" ht="12.5">
      <c r="A964" s="32"/>
    </row>
    <row r="965" spans="1:1" ht="12.5">
      <c r="A965" s="32"/>
    </row>
    <row r="966" spans="1:1" ht="12.5">
      <c r="A966" s="32"/>
    </row>
    <row r="967" spans="1:1" ht="12.5">
      <c r="A967" s="32"/>
    </row>
    <row r="968" spans="1:1" ht="12.5">
      <c r="A968" s="32"/>
    </row>
    <row r="969" spans="1:1" ht="12.5">
      <c r="A969" s="32"/>
    </row>
    <row r="970" spans="1:1" ht="12.5">
      <c r="A970" s="32"/>
    </row>
    <row r="971" spans="1:1" ht="12.5">
      <c r="A971" s="32"/>
    </row>
    <row r="972" spans="1:1" ht="12.5">
      <c r="A972" s="32"/>
    </row>
    <row r="973" spans="1:1" ht="12.5">
      <c r="A973" s="32"/>
    </row>
    <row r="974" spans="1:1" ht="12.5">
      <c r="A974" s="32"/>
    </row>
    <row r="975" spans="1:1" ht="12.5">
      <c r="A975" s="32"/>
    </row>
    <row r="976" spans="1:1" ht="12.5">
      <c r="A976" s="32"/>
    </row>
    <row r="977" spans="1:1" ht="12.5">
      <c r="A977" s="32"/>
    </row>
    <row r="978" spans="1:1" ht="12.5">
      <c r="A978" s="32"/>
    </row>
    <row r="979" spans="1:1" ht="12.5">
      <c r="A979" s="32"/>
    </row>
    <row r="980" spans="1:1" ht="12.5">
      <c r="A980" s="32"/>
    </row>
    <row r="981" spans="1:1" ht="12.5">
      <c r="A981" s="32"/>
    </row>
    <row r="982" spans="1:1" ht="12.5">
      <c r="A982" s="32"/>
    </row>
    <row r="983" spans="1:1" ht="12.5">
      <c r="A983" s="32"/>
    </row>
    <row r="984" spans="1:1" ht="12.5">
      <c r="A984" s="32"/>
    </row>
    <row r="985" spans="1:1" ht="12.5">
      <c r="A985" s="32"/>
    </row>
    <row r="986" spans="1:1" ht="12.5">
      <c r="A986" s="32"/>
    </row>
    <row r="987" spans="1:1" ht="12.5">
      <c r="A987" s="32"/>
    </row>
    <row r="988" spans="1:1" ht="12.5">
      <c r="A988" s="32"/>
    </row>
    <row r="989" spans="1:1" ht="12.5">
      <c r="A989" s="32"/>
    </row>
    <row r="990" spans="1:1" ht="12.5">
      <c r="A990" s="32"/>
    </row>
    <row r="991" spans="1:1" ht="12.5">
      <c r="A991" s="32"/>
    </row>
    <row r="992" spans="1:1" ht="12.5">
      <c r="A992" s="32"/>
    </row>
    <row r="993" spans="1:1" ht="12.5">
      <c r="A993" s="32"/>
    </row>
    <row r="994" spans="1:1" ht="12.5">
      <c r="A994" s="32"/>
    </row>
    <row r="995" spans="1:1" ht="12.5">
      <c r="A995" s="32"/>
    </row>
    <row r="996" spans="1:1" ht="12.5">
      <c r="A996" s="32"/>
    </row>
    <row r="997" spans="1:1" ht="12.5">
      <c r="A997" s="32"/>
    </row>
    <row r="998" spans="1:1" ht="12.5">
      <c r="A998" s="32"/>
    </row>
    <row r="999" spans="1:1" ht="12.5">
      <c r="A999" s="32"/>
    </row>
    <row r="1000" spans="1:1" ht="12.5">
      <c r="A1000" s="3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999"/>
  <sheetViews>
    <sheetView workbookViewId="0">
      <pane ySplit="1" topLeftCell="A2" activePane="bottomLeft" state="frozen"/>
      <selection pane="bottomLeft" activeCell="B3" sqref="B3"/>
    </sheetView>
  </sheetViews>
  <sheetFormatPr baseColWidth="10" defaultColWidth="12.6328125" defaultRowHeight="15.75" customHeight="1"/>
  <sheetData>
    <row r="1" spans="1:27">
      <c r="A1" s="40" t="s">
        <v>5002</v>
      </c>
      <c r="B1" s="100" t="s">
        <v>11</v>
      </c>
      <c r="C1" s="8"/>
      <c r="D1" s="8"/>
      <c r="E1" s="8"/>
      <c r="F1" s="8"/>
      <c r="G1" s="101"/>
      <c r="H1" s="8"/>
      <c r="I1" s="8"/>
      <c r="J1" s="8"/>
      <c r="K1" s="8"/>
      <c r="L1" s="8"/>
      <c r="M1" s="8"/>
      <c r="N1" s="8"/>
      <c r="O1" s="8"/>
      <c r="P1" s="8"/>
      <c r="Q1" s="8"/>
      <c r="R1" s="8"/>
      <c r="S1" s="8"/>
      <c r="T1" s="8"/>
      <c r="U1" s="8"/>
      <c r="V1" s="8"/>
      <c r="W1" s="8"/>
      <c r="X1" s="8"/>
      <c r="Y1" s="8"/>
      <c r="Z1" s="8"/>
      <c r="AA1" s="8"/>
    </row>
    <row r="2" spans="1:27" ht="15.75" customHeight="1">
      <c r="A2" s="71">
        <v>1</v>
      </c>
      <c r="B2" s="73" t="s">
        <v>211</v>
      </c>
      <c r="C2" s="72"/>
      <c r="D2" s="72"/>
      <c r="E2" s="72"/>
      <c r="F2" s="72"/>
      <c r="G2" s="73"/>
    </row>
    <row r="3" spans="1:27" ht="15.75" customHeight="1">
      <c r="A3" s="71">
        <v>2</v>
      </c>
      <c r="B3" s="73" t="s">
        <v>80</v>
      </c>
      <c r="C3" s="72"/>
      <c r="D3" s="72"/>
      <c r="E3" s="72"/>
      <c r="F3" s="72"/>
      <c r="G3" s="73"/>
    </row>
    <row r="4" spans="1:27" ht="15.75" customHeight="1">
      <c r="A4" s="71"/>
      <c r="B4" s="72"/>
      <c r="C4" s="72"/>
      <c r="D4" s="72"/>
      <c r="E4" s="72"/>
      <c r="F4" s="72"/>
    </row>
    <row r="5" spans="1:27" ht="15.75" customHeight="1">
      <c r="A5" s="71"/>
      <c r="B5" s="72"/>
      <c r="C5" s="72"/>
      <c r="D5" s="72"/>
      <c r="E5" s="72"/>
      <c r="F5" s="72"/>
    </row>
    <row r="6" spans="1:27" ht="15.75" customHeight="1">
      <c r="A6" s="71"/>
      <c r="B6" s="72"/>
      <c r="C6" s="72"/>
      <c r="D6" s="72"/>
      <c r="E6" s="72"/>
      <c r="F6" s="72"/>
    </row>
    <row r="7" spans="1:27" ht="15.75" customHeight="1">
      <c r="A7" s="71"/>
      <c r="B7" s="72"/>
      <c r="C7" s="72"/>
      <c r="D7" s="72"/>
      <c r="E7" s="72"/>
      <c r="F7" s="72"/>
    </row>
    <row r="8" spans="1:27" ht="15.75" customHeight="1">
      <c r="A8" s="71"/>
      <c r="B8" s="72"/>
      <c r="C8" s="72"/>
      <c r="D8" s="72"/>
      <c r="E8" s="72"/>
      <c r="F8" s="72"/>
    </row>
    <row r="9" spans="1:27" ht="15.75" customHeight="1">
      <c r="A9" s="71"/>
      <c r="B9" s="72"/>
      <c r="C9" s="72"/>
      <c r="D9" s="72"/>
      <c r="E9" s="72"/>
      <c r="F9" s="72"/>
    </row>
    <row r="10" spans="1:27" ht="15.75" customHeight="1">
      <c r="A10" s="71"/>
      <c r="B10" s="72"/>
      <c r="C10" s="72"/>
      <c r="D10" s="72"/>
      <c r="E10" s="72"/>
      <c r="F10" s="72"/>
    </row>
    <row r="11" spans="1:27" ht="15.75" customHeight="1">
      <c r="A11" s="71"/>
      <c r="B11" s="72"/>
      <c r="C11" s="72"/>
      <c r="D11" s="72"/>
      <c r="E11" s="72"/>
      <c r="F11" s="72"/>
    </row>
    <row r="12" spans="1:27" ht="15.75" customHeight="1">
      <c r="A12" s="71"/>
      <c r="B12" s="72"/>
      <c r="C12" s="72"/>
      <c r="D12" s="72"/>
      <c r="E12" s="72"/>
      <c r="F12" s="72"/>
    </row>
    <row r="13" spans="1:27" ht="15.75" customHeight="1">
      <c r="A13" s="71"/>
      <c r="B13" s="72"/>
      <c r="C13" s="72"/>
      <c r="D13" s="72"/>
      <c r="E13" s="72"/>
      <c r="F13" s="72"/>
    </row>
    <row r="14" spans="1:27" ht="15.75" customHeight="1">
      <c r="A14" s="71"/>
      <c r="B14" s="72"/>
      <c r="C14" s="72"/>
      <c r="D14" s="72"/>
      <c r="E14" s="72"/>
      <c r="F14" s="72"/>
    </row>
    <row r="15" spans="1:27" ht="15.75" customHeight="1">
      <c r="A15" s="71"/>
      <c r="B15" s="72"/>
      <c r="C15" s="72"/>
      <c r="D15" s="72"/>
      <c r="E15" s="72"/>
      <c r="F15" s="72"/>
    </row>
    <row r="16" spans="1:27" ht="15.75" customHeight="1">
      <c r="A16" s="71"/>
      <c r="B16" s="72"/>
      <c r="C16" s="72"/>
      <c r="D16" s="72"/>
      <c r="E16" s="72"/>
      <c r="F16" s="72"/>
    </row>
    <row r="17" spans="1:6" ht="15.75" customHeight="1">
      <c r="A17" s="71"/>
      <c r="B17" s="72"/>
      <c r="C17" s="72"/>
      <c r="D17" s="72"/>
      <c r="E17" s="72"/>
      <c r="F17" s="72"/>
    </row>
    <row r="18" spans="1:6" ht="15.75" customHeight="1">
      <c r="A18" s="71"/>
      <c r="B18" s="72"/>
      <c r="C18" s="72"/>
      <c r="D18" s="72"/>
      <c r="E18" s="72"/>
      <c r="F18" s="72"/>
    </row>
    <row r="19" spans="1:6" ht="15.75" customHeight="1">
      <c r="A19" s="71"/>
      <c r="B19" s="72"/>
      <c r="C19" s="72"/>
      <c r="D19" s="72"/>
      <c r="E19" s="72"/>
      <c r="F19" s="72"/>
    </row>
    <row r="20" spans="1:6" ht="14.5">
      <c r="A20" s="71"/>
      <c r="B20" s="72"/>
      <c r="C20" s="72"/>
      <c r="D20" s="72"/>
      <c r="E20" s="72"/>
      <c r="F20" s="72"/>
    </row>
    <row r="21" spans="1:6" ht="14.5">
      <c r="A21" s="71"/>
      <c r="B21" s="72"/>
      <c r="C21" s="72"/>
      <c r="D21" s="72"/>
      <c r="E21" s="72"/>
      <c r="F21" s="72"/>
    </row>
    <row r="22" spans="1:6" ht="14.5">
      <c r="A22" s="71"/>
      <c r="B22" s="72"/>
      <c r="C22" s="72"/>
      <c r="D22" s="72"/>
      <c r="E22" s="72"/>
      <c r="F22" s="72"/>
    </row>
    <row r="23" spans="1:6" ht="14.5">
      <c r="A23" s="71"/>
      <c r="B23" s="72"/>
      <c r="C23" s="72"/>
      <c r="D23" s="72"/>
      <c r="E23" s="72"/>
      <c r="F23" s="72"/>
    </row>
    <row r="24" spans="1:6" ht="14.5">
      <c r="A24" s="71"/>
      <c r="B24" s="72"/>
      <c r="C24" s="72"/>
      <c r="D24" s="72"/>
      <c r="E24" s="72"/>
      <c r="F24" s="72"/>
    </row>
    <row r="25" spans="1:6" ht="14.5">
      <c r="A25" s="71"/>
      <c r="B25" s="72"/>
      <c r="C25" s="72"/>
      <c r="D25" s="72"/>
      <c r="E25" s="72"/>
      <c r="F25" s="72"/>
    </row>
    <row r="26" spans="1:6" ht="14.5">
      <c r="A26" s="71"/>
      <c r="B26" s="72"/>
      <c r="C26" s="72"/>
      <c r="D26" s="72"/>
      <c r="E26" s="72"/>
      <c r="F26" s="72"/>
    </row>
    <row r="27" spans="1:6" ht="14.5">
      <c r="A27" s="71"/>
      <c r="B27" s="72"/>
      <c r="C27" s="72"/>
      <c r="D27" s="72"/>
      <c r="E27" s="72"/>
      <c r="F27" s="72"/>
    </row>
    <row r="28" spans="1:6" ht="14.5">
      <c r="A28" s="71"/>
      <c r="B28" s="72"/>
      <c r="C28" s="72"/>
      <c r="D28" s="72"/>
      <c r="E28" s="72"/>
      <c r="F28" s="72"/>
    </row>
    <row r="29" spans="1:6" ht="14.5">
      <c r="A29" s="71"/>
      <c r="B29" s="72"/>
      <c r="C29" s="72"/>
      <c r="D29" s="72"/>
      <c r="E29" s="72"/>
      <c r="F29" s="72"/>
    </row>
    <row r="30" spans="1:6" ht="14.5">
      <c r="A30" s="71"/>
      <c r="B30" s="72"/>
      <c r="C30" s="72"/>
      <c r="D30" s="72"/>
      <c r="E30" s="72"/>
      <c r="F30" s="72"/>
    </row>
    <row r="31" spans="1:6" ht="14.5">
      <c r="A31" s="71"/>
      <c r="B31" s="72"/>
      <c r="C31" s="72"/>
      <c r="D31" s="72"/>
      <c r="E31" s="72"/>
      <c r="F31" s="72"/>
    </row>
    <row r="32" spans="1:6" ht="14.5">
      <c r="A32" s="71"/>
      <c r="B32" s="72"/>
      <c r="C32" s="72"/>
      <c r="D32" s="72"/>
      <c r="E32" s="72"/>
      <c r="F32" s="72"/>
    </row>
    <row r="33" spans="1:6" ht="14.5">
      <c r="A33" s="71"/>
      <c r="B33" s="72"/>
      <c r="C33" s="72"/>
      <c r="D33" s="72"/>
      <c r="E33" s="72"/>
      <c r="F33" s="72"/>
    </row>
    <row r="34" spans="1:6" ht="14.5">
      <c r="A34" s="71"/>
      <c r="B34" s="72"/>
      <c r="C34" s="72"/>
      <c r="D34" s="72"/>
      <c r="E34" s="72"/>
      <c r="F34" s="72"/>
    </row>
    <row r="35" spans="1:6" ht="14.5">
      <c r="A35" s="71"/>
      <c r="B35" s="72"/>
      <c r="C35" s="72"/>
      <c r="D35" s="72"/>
      <c r="E35" s="72"/>
      <c r="F35" s="72"/>
    </row>
    <row r="36" spans="1:6" ht="14.5">
      <c r="A36" s="71"/>
      <c r="B36" s="72"/>
      <c r="C36" s="72"/>
      <c r="D36" s="72"/>
      <c r="E36" s="72"/>
      <c r="F36" s="72"/>
    </row>
    <row r="37" spans="1:6" ht="14.5">
      <c r="A37" s="71"/>
      <c r="B37" s="72"/>
      <c r="C37" s="72"/>
      <c r="D37" s="72"/>
      <c r="E37" s="72"/>
      <c r="F37" s="72"/>
    </row>
    <row r="38" spans="1:6" ht="14.5">
      <c r="A38" s="71"/>
      <c r="B38" s="72"/>
      <c r="C38" s="72"/>
      <c r="D38" s="72"/>
      <c r="E38" s="72"/>
      <c r="F38" s="72"/>
    </row>
    <row r="39" spans="1:6" ht="14.5">
      <c r="A39" s="71"/>
      <c r="B39" s="72"/>
      <c r="C39" s="72"/>
      <c r="D39" s="72"/>
      <c r="E39" s="72"/>
      <c r="F39" s="72"/>
    </row>
    <row r="40" spans="1:6" ht="14.5">
      <c r="A40" s="71"/>
      <c r="B40" s="72"/>
      <c r="C40" s="72"/>
      <c r="D40" s="72"/>
      <c r="E40" s="72"/>
      <c r="F40" s="72"/>
    </row>
    <row r="41" spans="1:6" ht="14.5">
      <c r="A41" s="71"/>
      <c r="B41" s="72"/>
      <c r="C41" s="72"/>
      <c r="D41" s="72"/>
      <c r="E41" s="72"/>
      <c r="F41" s="72"/>
    </row>
    <row r="42" spans="1:6" ht="14.5">
      <c r="A42" s="71"/>
      <c r="B42" s="72"/>
      <c r="C42" s="72"/>
      <c r="D42" s="72"/>
      <c r="E42" s="72"/>
      <c r="F42" s="72"/>
    </row>
    <row r="43" spans="1:6" ht="14.5">
      <c r="A43" s="71"/>
      <c r="B43" s="72"/>
      <c r="C43" s="72"/>
      <c r="D43" s="72"/>
      <c r="E43" s="72"/>
      <c r="F43" s="72"/>
    </row>
    <row r="44" spans="1:6" ht="14.5">
      <c r="A44" s="71"/>
      <c r="B44" s="72"/>
      <c r="C44" s="72"/>
      <c r="D44" s="72"/>
      <c r="E44" s="72"/>
      <c r="F44" s="72"/>
    </row>
    <row r="45" spans="1:6" ht="14.5">
      <c r="A45" s="71"/>
      <c r="B45" s="72"/>
      <c r="C45" s="72"/>
      <c r="D45" s="72"/>
      <c r="E45" s="72"/>
      <c r="F45" s="72"/>
    </row>
    <row r="46" spans="1:6" ht="14.5">
      <c r="A46" s="71"/>
      <c r="B46" s="72"/>
      <c r="C46" s="72"/>
      <c r="D46" s="72"/>
      <c r="E46" s="72"/>
      <c r="F46" s="72"/>
    </row>
    <row r="47" spans="1:6" ht="14.5">
      <c r="A47" s="71"/>
      <c r="B47" s="72"/>
      <c r="C47" s="72"/>
      <c r="D47" s="72"/>
      <c r="E47" s="72"/>
      <c r="F47" s="72"/>
    </row>
    <row r="48" spans="1:6" ht="14.5">
      <c r="A48" s="71"/>
      <c r="B48" s="72"/>
      <c r="C48" s="72"/>
      <c r="D48" s="72"/>
      <c r="E48" s="72"/>
      <c r="F48" s="72"/>
    </row>
    <row r="49" spans="1:27" ht="14.5">
      <c r="A49" s="71"/>
      <c r="B49" s="72"/>
      <c r="C49" s="72"/>
      <c r="D49" s="72"/>
      <c r="E49" s="72"/>
      <c r="F49" s="72"/>
    </row>
    <row r="50" spans="1:27" ht="14.5">
      <c r="A50" s="71"/>
      <c r="B50" s="72"/>
      <c r="C50" s="72"/>
      <c r="D50" s="72"/>
      <c r="E50" s="72"/>
      <c r="F50" s="72"/>
    </row>
    <row r="51" spans="1:27" ht="14.5">
      <c r="A51" s="71"/>
      <c r="B51" s="72"/>
      <c r="C51" s="72"/>
      <c r="D51" s="72"/>
      <c r="E51" s="72"/>
      <c r="F51" s="72"/>
    </row>
    <row r="52" spans="1:27" ht="14.5">
      <c r="A52" s="71"/>
      <c r="B52" s="72"/>
      <c r="C52" s="72"/>
      <c r="D52" s="72"/>
      <c r="E52" s="72"/>
      <c r="F52" s="72"/>
    </row>
    <row r="53" spans="1:27" ht="14.5">
      <c r="A53" s="71"/>
      <c r="B53" s="72"/>
      <c r="C53" s="72"/>
      <c r="D53" s="72"/>
      <c r="E53" s="72"/>
      <c r="F53" s="72"/>
    </row>
    <row r="54" spans="1:27" ht="14.5">
      <c r="A54" s="71"/>
      <c r="B54" s="72"/>
      <c r="C54" s="72"/>
      <c r="D54" s="72"/>
      <c r="E54" s="72"/>
      <c r="F54" s="72"/>
    </row>
    <row r="55" spans="1:27" ht="14.5">
      <c r="A55" s="71"/>
      <c r="B55" s="72"/>
      <c r="C55" s="72"/>
      <c r="D55" s="72"/>
      <c r="E55" s="72"/>
      <c r="F55" s="72"/>
    </row>
    <row r="56" spans="1:27" ht="14.5">
      <c r="A56" s="71"/>
      <c r="B56" s="72"/>
      <c r="C56" s="72"/>
      <c r="D56" s="72"/>
      <c r="E56" s="72"/>
      <c r="F56" s="72"/>
    </row>
    <row r="57" spans="1:27" ht="14.5">
      <c r="A57" s="71"/>
      <c r="B57" s="72"/>
      <c r="C57" s="72"/>
      <c r="D57" s="72"/>
      <c r="E57" s="72"/>
      <c r="F57" s="72"/>
    </row>
    <row r="58" spans="1:27" ht="14.5">
      <c r="A58" s="71"/>
      <c r="B58" s="72"/>
      <c r="C58" s="72"/>
      <c r="D58" s="72"/>
      <c r="E58" s="72"/>
      <c r="F58" s="72"/>
    </row>
    <row r="59" spans="1:27" ht="14.5">
      <c r="A59" s="71"/>
      <c r="B59" s="72"/>
      <c r="C59" s="72"/>
      <c r="D59" s="72"/>
      <c r="E59" s="72"/>
      <c r="F59" s="72"/>
    </row>
    <row r="60" spans="1:27" ht="14.5">
      <c r="A60" s="71"/>
      <c r="B60" s="73"/>
      <c r="C60" s="73"/>
      <c r="D60" s="73"/>
      <c r="E60" s="73"/>
      <c r="F60" s="73"/>
      <c r="G60" s="34"/>
      <c r="H60" s="34"/>
      <c r="I60" s="34"/>
      <c r="J60" s="34"/>
      <c r="K60" s="34"/>
      <c r="L60" s="34"/>
      <c r="M60" s="34"/>
      <c r="N60" s="34"/>
      <c r="O60" s="34"/>
      <c r="P60" s="34"/>
      <c r="Q60" s="34"/>
      <c r="R60" s="34"/>
      <c r="S60" s="34"/>
      <c r="T60" s="34"/>
      <c r="U60" s="34"/>
      <c r="V60" s="34"/>
      <c r="W60" s="34"/>
      <c r="X60" s="34"/>
      <c r="Y60" s="34"/>
      <c r="Z60" s="34"/>
      <c r="AA60" s="34"/>
    </row>
    <row r="61" spans="1:27" ht="14.5">
      <c r="A61" s="71"/>
      <c r="B61" s="72"/>
      <c r="C61" s="72"/>
      <c r="D61" s="72"/>
      <c r="E61" s="72"/>
      <c r="F61" s="72"/>
    </row>
    <row r="62" spans="1:27" ht="14.5">
      <c r="A62" s="71"/>
      <c r="B62" s="72"/>
      <c r="C62" s="72"/>
      <c r="D62" s="72"/>
      <c r="E62" s="72"/>
      <c r="F62" s="72"/>
    </row>
    <row r="63" spans="1:27" ht="14.5">
      <c r="A63" s="71"/>
      <c r="B63" s="72"/>
      <c r="C63" s="72"/>
      <c r="D63" s="72"/>
      <c r="E63" s="72"/>
      <c r="F63" s="72"/>
    </row>
    <row r="64" spans="1:27" ht="14.5">
      <c r="A64" s="71"/>
      <c r="B64" s="72"/>
      <c r="C64" s="72"/>
      <c r="D64" s="72"/>
      <c r="E64" s="72"/>
      <c r="F64" s="72"/>
    </row>
    <row r="65" spans="1:6" ht="14.5">
      <c r="A65" s="71"/>
      <c r="B65" s="72"/>
      <c r="C65" s="72"/>
      <c r="D65" s="72"/>
      <c r="E65" s="72"/>
      <c r="F65" s="72"/>
    </row>
    <row r="66" spans="1:6" ht="14.5">
      <c r="A66" s="71"/>
      <c r="B66" s="72"/>
      <c r="C66" s="72"/>
      <c r="D66" s="72"/>
      <c r="E66" s="72"/>
      <c r="F66" s="72"/>
    </row>
    <row r="67" spans="1:6" ht="14.5">
      <c r="A67" s="71"/>
      <c r="B67" s="72"/>
      <c r="C67" s="72"/>
      <c r="D67" s="72"/>
      <c r="E67" s="72"/>
      <c r="F67" s="72"/>
    </row>
    <row r="68" spans="1:6" ht="14.5">
      <c r="A68" s="71"/>
      <c r="B68" s="72"/>
      <c r="C68" s="72"/>
      <c r="D68" s="72"/>
      <c r="E68" s="72"/>
      <c r="F68" s="72"/>
    </row>
    <row r="69" spans="1:6" ht="14.5">
      <c r="A69" s="71"/>
      <c r="B69" s="72"/>
      <c r="C69" s="72"/>
      <c r="D69" s="72"/>
      <c r="E69" s="72"/>
      <c r="F69" s="72"/>
    </row>
    <row r="70" spans="1:6" ht="14.5">
      <c r="A70" s="71"/>
      <c r="B70" s="72"/>
      <c r="C70" s="72"/>
      <c r="D70" s="72"/>
      <c r="E70" s="72"/>
      <c r="F70" s="72"/>
    </row>
    <row r="71" spans="1:6" ht="14.5">
      <c r="A71" s="71"/>
      <c r="B71" s="72"/>
      <c r="C71" s="72"/>
      <c r="D71" s="72"/>
      <c r="E71" s="72"/>
      <c r="F71" s="72"/>
    </row>
    <row r="72" spans="1:6" ht="14.5">
      <c r="A72" s="71"/>
      <c r="B72" s="73"/>
      <c r="C72" s="73"/>
      <c r="D72" s="72"/>
      <c r="E72" s="72"/>
      <c r="F72" s="72"/>
    </row>
    <row r="73" spans="1:6" ht="14.5">
      <c r="A73" s="71"/>
      <c r="B73" s="73"/>
      <c r="C73" s="73"/>
      <c r="D73" s="72"/>
      <c r="E73" s="72"/>
      <c r="F73" s="72"/>
    </row>
    <row r="74" spans="1:6" ht="14.5">
      <c r="A74" s="71"/>
      <c r="B74" s="73"/>
      <c r="C74" s="73"/>
      <c r="D74" s="72"/>
      <c r="E74" s="72"/>
      <c r="F74" s="72"/>
    </row>
    <row r="75" spans="1:6" ht="14.5">
      <c r="A75" s="71"/>
      <c r="B75" s="73"/>
      <c r="C75" s="73"/>
      <c r="D75" s="72"/>
      <c r="E75" s="72"/>
      <c r="F75" s="72"/>
    </row>
    <row r="76" spans="1:6" ht="14.5">
      <c r="A76" s="71"/>
      <c r="B76" s="73"/>
      <c r="C76" s="73"/>
      <c r="D76" s="72"/>
      <c r="E76" s="72"/>
      <c r="F76" s="72"/>
    </row>
    <row r="77" spans="1:6" ht="14.5">
      <c r="A77" s="71"/>
      <c r="B77" s="73"/>
      <c r="C77" s="73"/>
      <c r="D77" s="72"/>
      <c r="E77" s="72"/>
      <c r="F77" s="72"/>
    </row>
    <row r="78" spans="1:6" ht="14.5">
      <c r="A78" s="71"/>
      <c r="B78" s="73"/>
      <c r="C78" s="73"/>
      <c r="D78" s="72"/>
      <c r="E78" s="72"/>
      <c r="F78" s="72"/>
    </row>
    <row r="79" spans="1:6" ht="14.5">
      <c r="A79" s="71"/>
      <c r="B79" s="73"/>
      <c r="C79" s="73"/>
      <c r="D79" s="72"/>
      <c r="E79" s="72"/>
      <c r="F79" s="72"/>
    </row>
    <row r="80" spans="1:6" ht="14.5">
      <c r="A80" s="71"/>
      <c r="B80" s="73"/>
      <c r="C80" s="73"/>
      <c r="D80" s="72"/>
      <c r="E80" s="72"/>
      <c r="F80" s="72"/>
    </row>
    <row r="81" spans="1:6" ht="14.5">
      <c r="A81" s="71"/>
      <c r="B81" s="73"/>
      <c r="C81" s="73"/>
      <c r="D81" s="72"/>
      <c r="E81" s="72"/>
      <c r="F81" s="72"/>
    </row>
    <row r="82" spans="1:6" ht="14.5">
      <c r="A82" s="71"/>
      <c r="B82" s="73"/>
      <c r="C82" s="73"/>
      <c r="D82" s="72"/>
      <c r="E82" s="72"/>
      <c r="F82" s="72"/>
    </row>
    <row r="83" spans="1:6" ht="12.5">
      <c r="A83" s="32"/>
      <c r="C83" s="34"/>
    </row>
    <row r="84" spans="1:6" ht="12.5">
      <c r="A84" s="32"/>
    </row>
    <row r="85" spans="1:6" ht="12.5">
      <c r="A85" s="32"/>
    </row>
    <row r="86" spans="1:6" ht="12.5">
      <c r="A86" s="32"/>
    </row>
    <row r="87" spans="1:6" ht="12.5">
      <c r="A87" s="32"/>
    </row>
    <row r="88" spans="1:6" ht="12.5">
      <c r="A88" s="32"/>
    </row>
    <row r="89" spans="1:6" ht="12.5">
      <c r="A89" s="32"/>
    </row>
    <row r="90" spans="1:6" ht="12.5">
      <c r="A90" s="32"/>
    </row>
    <row r="91" spans="1:6" ht="12.5">
      <c r="A91" s="32"/>
    </row>
    <row r="92" spans="1:6" ht="12.5">
      <c r="A92" s="32"/>
    </row>
    <row r="93" spans="1:6" ht="12.5">
      <c r="A93" s="32"/>
    </row>
    <row r="94" spans="1:6" ht="12.5">
      <c r="A94" s="32"/>
    </row>
    <row r="95" spans="1:6" ht="12.5">
      <c r="A95" s="32"/>
    </row>
    <row r="96" spans="1:6" ht="12.5">
      <c r="A96" s="32"/>
    </row>
    <row r="97" spans="1:1" ht="12.5">
      <c r="A97" s="32"/>
    </row>
    <row r="98" spans="1:1" ht="12.5">
      <c r="A98" s="32"/>
    </row>
    <row r="99" spans="1:1" ht="12.5">
      <c r="A99" s="32"/>
    </row>
    <row r="100" spans="1:1" ht="12.5">
      <c r="A100" s="32"/>
    </row>
    <row r="101" spans="1:1" ht="12.5">
      <c r="A101" s="32"/>
    </row>
    <row r="102" spans="1:1" ht="12.5">
      <c r="A102" s="32"/>
    </row>
    <row r="103" spans="1:1" ht="12.5">
      <c r="A103" s="32"/>
    </row>
    <row r="104" spans="1:1" ht="12.5">
      <c r="A104" s="32"/>
    </row>
    <row r="105" spans="1:1" ht="12.5">
      <c r="A105" s="32"/>
    </row>
    <row r="106" spans="1:1" ht="12.5">
      <c r="A106" s="32"/>
    </row>
    <row r="107" spans="1:1" ht="12.5">
      <c r="A107" s="32"/>
    </row>
    <row r="108" spans="1:1" ht="12.5">
      <c r="A108" s="32"/>
    </row>
    <row r="109" spans="1:1" ht="12.5">
      <c r="A109" s="32"/>
    </row>
    <row r="110" spans="1:1" ht="12.5">
      <c r="A110" s="32"/>
    </row>
    <row r="111" spans="1:1" ht="12.5">
      <c r="A111" s="32"/>
    </row>
    <row r="112" spans="1:1" ht="12.5">
      <c r="A112" s="32"/>
    </row>
    <row r="113" spans="1:1" ht="12.5">
      <c r="A113" s="32"/>
    </row>
    <row r="114" spans="1:1" ht="12.5">
      <c r="A114" s="32"/>
    </row>
    <row r="115" spans="1:1" ht="12.5">
      <c r="A115" s="32"/>
    </row>
    <row r="116" spans="1:1" ht="12.5">
      <c r="A116" s="32"/>
    </row>
    <row r="117" spans="1:1" ht="12.5">
      <c r="A117" s="32"/>
    </row>
    <row r="118" spans="1:1" ht="12.5">
      <c r="A118" s="32"/>
    </row>
    <row r="119" spans="1:1" ht="12.5">
      <c r="A119" s="32"/>
    </row>
    <row r="120" spans="1:1" ht="12.5">
      <c r="A120" s="32"/>
    </row>
    <row r="121" spans="1:1" ht="12.5">
      <c r="A121" s="32"/>
    </row>
    <row r="122" spans="1:1" ht="12.5">
      <c r="A122" s="32"/>
    </row>
    <row r="123" spans="1:1" ht="12.5">
      <c r="A123" s="32"/>
    </row>
    <row r="124" spans="1:1" ht="12.5">
      <c r="A124" s="32"/>
    </row>
    <row r="125" spans="1:1" ht="12.5">
      <c r="A125" s="32"/>
    </row>
    <row r="126" spans="1:1" ht="12.5">
      <c r="A126" s="32"/>
    </row>
    <row r="127" spans="1:1" ht="12.5">
      <c r="A127" s="32"/>
    </row>
    <row r="128" spans="1:1" ht="12.5">
      <c r="A128" s="32"/>
    </row>
    <row r="129" spans="1:1" ht="12.5">
      <c r="A129" s="32"/>
    </row>
    <row r="130" spans="1:1" ht="12.5">
      <c r="A130" s="32"/>
    </row>
    <row r="131" spans="1:1" ht="12.5">
      <c r="A131" s="32"/>
    </row>
    <row r="132" spans="1:1" ht="12.5">
      <c r="A132" s="32"/>
    </row>
    <row r="133" spans="1:1" ht="12.5">
      <c r="A133" s="32"/>
    </row>
    <row r="134" spans="1:1" ht="12.5">
      <c r="A134" s="32"/>
    </row>
    <row r="135" spans="1:1" ht="12.5">
      <c r="A135" s="32"/>
    </row>
    <row r="136" spans="1:1" ht="12.5">
      <c r="A136" s="32"/>
    </row>
    <row r="137" spans="1:1" ht="12.5">
      <c r="A137" s="32"/>
    </row>
    <row r="138" spans="1:1" ht="12.5">
      <c r="A138" s="32"/>
    </row>
    <row r="139" spans="1:1" ht="12.5">
      <c r="A139" s="32"/>
    </row>
    <row r="140" spans="1:1" ht="12.5">
      <c r="A140" s="32"/>
    </row>
    <row r="141" spans="1:1" ht="12.5">
      <c r="A141" s="32"/>
    </row>
    <row r="142" spans="1:1" ht="12.5">
      <c r="A142" s="32"/>
    </row>
    <row r="143" spans="1:1" ht="12.5">
      <c r="A143" s="32"/>
    </row>
    <row r="144" spans="1:1" ht="12.5">
      <c r="A144" s="32"/>
    </row>
    <row r="145" spans="1:1" ht="12.5">
      <c r="A145" s="32"/>
    </row>
    <row r="146" spans="1:1" ht="12.5">
      <c r="A146" s="32"/>
    </row>
    <row r="147" spans="1:1" ht="12.5">
      <c r="A147" s="32"/>
    </row>
    <row r="148" spans="1:1" ht="12.5">
      <c r="A148" s="32"/>
    </row>
    <row r="149" spans="1:1" ht="12.5">
      <c r="A149" s="32"/>
    </row>
    <row r="150" spans="1:1" ht="12.5">
      <c r="A150" s="32"/>
    </row>
    <row r="151" spans="1:1" ht="12.5">
      <c r="A151" s="32"/>
    </row>
    <row r="152" spans="1:1" ht="12.5">
      <c r="A152" s="32"/>
    </row>
    <row r="153" spans="1:1" ht="12.5">
      <c r="A153" s="32"/>
    </row>
    <row r="154" spans="1:1" ht="12.5">
      <c r="A154" s="32"/>
    </row>
    <row r="155" spans="1:1" ht="12.5">
      <c r="A155" s="32"/>
    </row>
    <row r="156" spans="1:1" ht="12.5">
      <c r="A156" s="32"/>
    </row>
    <row r="157" spans="1:1" ht="12.5">
      <c r="A157" s="32"/>
    </row>
    <row r="158" spans="1:1" ht="12.5">
      <c r="A158" s="32"/>
    </row>
    <row r="159" spans="1:1" ht="12.5">
      <c r="A159" s="32"/>
    </row>
    <row r="160" spans="1:1" ht="12.5">
      <c r="A160" s="32"/>
    </row>
    <row r="161" spans="1:1" ht="12.5">
      <c r="A161" s="32"/>
    </row>
    <row r="162" spans="1:1" ht="12.5">
      <c r="A162" s="32"/>
    </row>
    <row r="163" spans="1:1" ht="12.5">
      <c r="A163" s="32"/>
    </row>
    <row r="164" spans="1:1" ht="12.5">
      <c r="A164" s="32"/>
    </row>
    <row r="165" spans="1:1" ht="12.5">
      <c r="A165" s="32"/>
    </row>
    <row r="166" spans="1:1" ht="12.5">
      <c r="A166" s="32"/>
    </row>
    <row r="167" spans="1:1" ht="12.5">
      <c r="A167" s="32"/>
    </row>
    <row r="168" spans="1:1" ht="12.5">
      <c r="A168" s="32"/>
    </row>
    <row r="169" spans="1:1" ht="12.5">
      <c r="A169" s="32"/>
    </row>
    <row r="170" spans="1:1" ht="12.5">
      <c r="A170" s="32"/>
    </row>
    <row r="171" spans="1:1" ht="12.5">
      <c r="A171" s="32"/>
    </row>
    <row r="172" spans="1:1" ht="12.5">
      <c r="A172" s="32"/>
    </row>
    <row r="173" spans="1:1" ht="12.5">
      <c r="A173" s="32"/>
    </row>
    <row r="174" spans="1:1" ht="12.5">
      <c r="A174" s="32"/>
    </row>
    <row r="175" spans="1:1" ht="12.5">
      <c r="A175" s="32"/>
    </row>
    <row r="176" spans="1:1" ht="12.5">
      <c r="A176" s="32"/>
    </row>
    <row r="177" spans="1:1" ht="12.5">
      <c r="A177" s="32"/>
    </row>
    <row r="178" spans="1:1" ht="12.5">
      <c r="A178" s="32"/>
    </row>
    <row r="179" spans="1:1" ht="12.5">
      <c r="A179" s="32"/>
    </row>
    <row r="180" spans="1:1" ht="12.5">
      <c r="A180" s="32"/>
    </row>
    <row r="181" spans="1:1" ht="12.5">
      <c r="A181" s="32"/>
    </row>
    <row r="182" spans="1:1" ht="12.5">
      <c r="A182" s="32"/>
    </row>
    <row r="183" spans="1:1" ht="12.5">
      <c r="A183" s="32"/>
    </row>
    <row r="184" spans="1:1" ht="12.5">
      <c r="A184" s="32"/>
    </row>
    <row r="185" spans="1:1" ht="12.5">
      <c r="A185" s="32"/>
    </row>
    <row r="186" spans="1:1" ht="12.5">
      <c r="A186" s="32"/>
    </row>
    <row r="187" spans="1:1" ht="12.5">
      <c r="A187" s="32"/>
    </row>
    <row r="188" spans="1:1" ht="12.5">
      <c r="A188" s="32"/>
    </row>
    <row r="189" spans="1:1" ht="12.5">
      <c r="A189" s="32"/>
    </row>
    <row r="190" spans="1:1" ht="12.5">
      <c r="A190" s="32"/>
    </row>
    <row r="191" spans="1:1" ht="12.5">
      <c r="A191" s="32"/>
    </row>
    <row r="192" spans="1:1" ht="12.5">
      <c r="A192" s="32"/>
    </row>
    <row r="193" spans="1:1" ht="12.5">
      <c r="A193" s="32"/>
    </row>
    <row r="194" spans="1:1" ht="12.5">
      <c r="A194" s="32"/>
    </row>
    <row r="195" spans="1:1" ht="12.5">
      <c r="A195" s="32"/>
    </row>
    <row r="196" spans="1:1" ht="12.5">
      <c r="A196" s="32"/>
    </row>
    <row r="197" spans="1:1" ht="12.5">
      <c r="A197" s="32"/>
    </row>
    <row r="198" spans="1:1" ht="12.5">
      <c r="A198" s="32"/>
    </row>
    <row r="199" spans="1:1" ht="12.5">
      <c r="A199" s="32"/>
    </row>
    <row r="200" spans="1:1" ht="12.5">
      <c r="A200" s="32"/>
    </row>
    <row r="201" spans="1:1" ht="12.5">
      <c r="A201" s="32"/>
    </row>
    <row r="202" spans="1:1" ht="12.5">
      <c r="A202" s="32"/>
    </row>
    <row r="203" spans="1:1" ht="12.5">
      <c r="A203" s="32"/>
    </row>
    <row r="204" spans="1:1" ht="12.5">
      <c r="A204" s="32"/>
    </row>
    <row r="205" spans="1:1" ht="12.5">
      <c r="A205" s="32"/>
    </row>
    <row r="206" spans="1:1" ht="12.5">
      <c r="A206" s="32"/>
    </row>
    <row r="207" spans="1:1" ht="12.5">
      <c r="A207" s="32"/>
    </row>
    <row r="208" spans="1:1" ht="12.5">
      <c r="A208" s="32"/>
    </row>
    <row r="209" spans="1:1" ht="12.5">
      <c r="A209" s="32"/>
    </row>
    <row r="210" spans="1:1" ht="12.5">
      <c r="A210" s="32"/>
    </row>
    <row r="211" spans="1:1" ht="12.5">
      <c r="A211" s="32"/>
    </row>
    <row r="212" spans="1:1" ht="12.5">
      <c r="A212" s="32"/>
    </row>
    <row r="213" spans="1:1" ht="12.5">
      <c r="A213" s="32"/>
    </row>
    <row r="214" spans="1:1" ht="12.5">
      <c r="A214" s="32"/>
    </row>
    <row r="215" spans="1:1" ht="12.5">
      <c r="A215" s="32"/>
    </row>
    <row r="216" spans="1:1" ht="12.5">
      <c r="A216" s="32"/>
    </row>
    <row r="217" spans="1:1" ht="12.5">
      <c r="A217" s="32"/>
    </row>
    <row r="218" spans="1:1" ht="12.5">
      <c r="A218" s="32"/>
    </row>
    <row r="219" spans="1:1" ht="12.5">
      <c r="A219" s="32"/>
    </row>
    <row r="220" spans="1:1" ht="12.5">
      <c r="A220" s="32"/>
    </row>
    <row r="221" spans="1:1" ht="12.5">
      <c r="A221" s="32"/>
    </row>
    <row r="222" spans="1:1" ht="12.5">
      <c r="A222" s="32"/>
    </row>
    <row r="223" spans="1:1" ht="12.5">
      <c r="A223" s="32"/>
    </row>
    <row r="224" spans="1:1" ht="12.5">
      <c r="A224" s="32"/>
    </row>
    <row r="225" spans="1:1" ht="12.5">
      <c r="A225" s="32"/>
    </row>
    <row r="226" spans="1:1" ht="12.5">
      <c r="A226" s="32"/>
    </row>
    <row r="227" spans="1:1" ht="12.5">
      <c r="A227" s="32"/>
    </row>
    <row r="228" spans="1:1" ht="12.5">
      <c r="A228" s="32"/>
    </row>
    <row r="229" spans="1:1" ht="12.5">
      <c r="A229" s="32"/>
    </row>
    <row r="230" spans="1:1" ht="12.5">
      <c r="A230" s="32"/>
    </row>
    <row r="231" spans="1:1" ht="12.5">
      <c r="A231" s="32"/>
    </row>
    <row r="232" spans="1:1" ht="12.5">
      <c r="A232" s="32"/>
    </row>
    <row r="233" spans="1:1" ht="12.5">
      <c r="A233" s="32"/>
    </row>
    <row r="234" spans="1:1" ht="12.5">
      <c r="A234" s="32"/>
    </row>
    <row r="235" spans="1:1" ht="12.5">
      <c r="A235" s="32"/>
    </row>
    <row r="236" spans="1:1" ht="12.5">
      <c r="A236" s="32"/>
    </row>
    <row r="237" spans="1:1" ht="12.5">
      <c r="A237" s="32"/>
    </row>
    <row r="238" spans="1:1" ht="12.5">
      <c r="A238" s="32"/>
    </row>
    <row r="239" spans="1:1" ht="12.5">
      <c r="A239" s="32"/>
    </row>
    <row r="240" spans="1:1" ht="12.5">
      <c r="A240" s="32"/>
    </row>
    <row r="241" spans="1:1" ht="12.5">
      <c r="A241" s="32"/>
    </row>
    <row r="242" spans="1:1" ht="12.5">
      <c r="A242" s="32"/>
    </row>
    <row r="243" spans="1:1" ht="12.5">
      <c r="A243" s="32"/>
    </row>
    <row r="244" spans="1:1" ht="12.5">
      <c r="A244" s="32"/>
    </row>
    <row r="245" spans="1:1" ht="12.5">
      <c r="A245" s="32"/>
    </row>
    <row r="246" spans="1:1" ht="12.5">
      <c r="A246" s="32"/>
    </row>
    <row r="247" spans="1:1" ht="12.5">
      <c r="A247" s="32"/>
    </row>
    <row r="248" spans="1:1" ht="12.5">
      <c r="A248" s="32"/>
    </row>
    <row r="249" spans="1:1" ht="12.5">
      <c r="A249" s="32"/>
    </row>
    <row r="250" spans="1:1" ht="12.5">
      <c r="A250" s="32"/>
    </row>
    <row r="251" spans="1:1" ht="12.5">
      <c r="A251" s="32"/>
    </row>
    <row r="252" spans="1:1" ht="12.5">
      <c r="A252" s="32"/>
    </row>
    <row r="253" spans="1:1" ht="12.5">
      <c r="A253" s="32"/>
    </row>
    <row r="254" spans="1:1" ht="12.5">
      <c r="A254" s="32"/>
    </row>
    <row r="255" spans="1:1" ht="12.5">
      <c r="A255" s="32"/>
    </row>
    <row r="256" spans="1:1" ht="12.5">
      <c r="A256" s="32"/>
    </row>
    <row r="257" spans="1:1" ht="12.5">
      <c r="A257" s="32"/>
    </row>
    <row r="258" spans="1:1" ht="12.5">
      <c r="A258" s="32"/>
    </row>
    <row r="259" spans="1:1" ht="12.5">
      <c r="A259" s="32"/>
    </row>
    <row r="260" spans="1:1" ht="12.5">
      <c r="A260" s="32"/>
    </row>
    <row r="261" spans="1:1" ht="12.5">
      <c r="A261" s="32"/>
    </row>
    <row r="262" spans="1:1" ht="12.5">
      <c r="A262" s="32"/>
    </row>
    <row r="263" spans="1:1" ht="12.5">
      <c r="A263" s="32"/>
    </row>
    <row r="264" spans="1:1" ht="12.5">
      <c r="A264" s="32"/>
    </row>
    <row r="265" spans="1:1" ht="12.5">
      <c r="A265" s="32"/>
    </row>
    <row r="266" spans="1:1" ht="12.5">
      <c r="A266" s="32"/>
    </row>
    <row r="267" spans="1:1" ht="12.5">
      <c r="A267" s="32"/>
    </row>
    <row r="268" spans="1:1" ht="12.5">
      <c r="A268" s="32"/>
    </row>
    <row r="269" spans="1:1" ht="12.5">
      <c r="A269" s="32"/>
    </row>
    <row r="270" spans="1:1" ht="12.5">
      <c r="A270" s="32"/>
    </row>
    <row r="271" spans="1:1" ht="12.5">
      <c r="A271" s="32"/>
    </row>
    <row r="272" spans="1:1" ht="12.5">
      <c r="A272" s="32"/>
    </row>
    <row r="273" spans="1:1" ht="12.5">
      <c r="A273" s="32"/>
    </row>
    <row r="274" spans="1:1" ht="12.5">
      <c r="A274" s="32"/>
    </row>
    <row r="275" spans="1:1" ht="12.5">
      <c r="A275" s="32"/>
    </row>
    <row r="276" spans="1:1" ht="12.5">
      <c r="A276" s="32"/>
    </row>
    <row r="277" spans="1:1" ht="12.5">
      <c r="A277" s="32"/>
    </row>
    <row r="278" spans="1:1" ht="12.5">
      <c r="A278" s="32"/>
    </row>
    <row r="279" spans="1:1" ht="12.5">
      <c r="A279" s="32"/>
    </row>
    <row r="280" spans="1:1" ht="12.5">
      <c r="A280" s="32"/>
    </row>
    <row r="281" spans="1:1" ht="12.5">
      <c r="A281" s="32"/>
    </row>
    <row r="282" spans="1:1" ht="12.5">
      <c r="A282" s="32"/>
    </row>
    <row r="283" spans="1:1" ht="12.5">
      <c r="A283" s="32"/>
    </row>
    <row r="284" spans="1:1" ht="12.5">
      <c r="A284" s="32"/>
    </row>
    <row r="285" spans="1:1" ht="12.5">
      <c r="A285" s="32"/>
    </row>
    <row r="286" spans="1:1" ht="12.5">
      <c r="A286" s="32"/>
    </row>
    <row r="287" spans="1:1" ht="12.5">
      <c r="A287" s="32"/>
    </row>
    <row r="288" spans="1:1" ht="12.5">
      <c r="A288" s="32"/>
    </row>
    <row r="289" spans="1:1" ht="12.5">
      <c r="A289" s="32"/>
    </row>
    <row r="290" spans="1:1" ht="12.5">
      <c r="A290" s="32"/>
    </row>
    <row r="291" spans="1:1" ht="12.5">
      <c r="A291" s="32"/>
    </row>
    <row r="292" spans="1:1" ht="12.5">
      <c r="A292" s="32"/>
    </row>
    <row r="293" spans="1:1" ht="12.5">
      <c r="A293" s="32"/>
    </row>
    <row r="294" spans="1:1" ht="12.5">
      <c r="A294" s="32"/>
    </row>
    <row r="295" spans="1:1" ht="12.5">
      <c r="A295" s="32"/>
    </row>
    <row r="296" spans="1:1" ht="12.5">
      <c r="A296" s="32"/>
    </row>
    <row r="297" spans="1:1" ht="12.5">
      <c r="A297" s="32"/>
    </row>
    <row r="298" spans="1:1" ht="12.5">
      <c r="A298" s="32"/>
    </row>
    <row r="299" spans="1:1" ht="12.5">
      <c r="A299" s="32"/>
    </row>
    <row r="300" spans="1:1" ht="12.5">
      <c r="A300" s="32"/>
    </row>
    <row r="301" spans="1:1" ht="12.5">
      <c r="A301" s="32"/>
    </row>
    <row r="302" spans="1:1" ht="12.5">
      <c r="A302" s="32"/>
    </row>
    <row r="303" spans="1:1" ht="12.5">
      <c r="A303" s="32"/>
    </row>
    <row r="304" spans="1:1" ht="12.5">
      <c r="A304" s="32"/>
    </row>
    <row r="305" spans="1:1" ht="12.5">
      <c r="A305" s="32"/>
    </row>
    <row r="306" spans="1:1" ht="12.5">
      <c r="A306" s="32"/>
    </row>
    <row r="307" spans="1:1" ht="12.5">
      <c r="A307" s="32"/>
    </row>
    <row r="308" spans="1:1" ht="12.5">
      <c r="A308" s="32"/>
    </row>
    <row r="309" spans="1:1" ht="12.5">
      <c r="A309" s="32"/>
    </row>
    <row r="310" spans="1:1" ht="12.5">
      <c r="A310" s="32"/>
    </row>
    <row r="311" spans="1:1" ht="12.5">
      <c r="A311" s="32"/>
    </row>
    <row r="312" spans="1:1" ht="12.5">
      <c r="A312" s="32"/>
    </row>
    <row r="313" spans="1:1" ht="12.5">
      <c r="A313" s="32"/>
    </row>
    <row r="314" spans="1:1" ht="12.5">
      <c r="A314" s="32"/>
    </row>
    <row r="315" spans="1:1" ht="12.5">
      <c r="A315" s="32"/>
    </row>
    <row r="316" spans="1:1" ht="12.5">
      <c r="A316" s="32"/>
    </row>
    <row r="317" spans="1:1" ht="12.5">
      <c r="A317" s="32"/>
    </row>
    <row r="318" spans="1:1" ht="12.5">
      <c r="A318" s="32"/>
    </row>
    <row r="319" spans="1:1" ht="12.5">
      <c r="A319" s="32"/>
    </row>
    <row r="320" spans="1:1" ht="12.5">
      <c r="A320" s="32"/>
    </row>
    <row r="321" spans="1:1" ht="12.5">
      <c r="A321" s="32"/>
    </row>
    <row r="322" spans="1:1" ht="12.5">
      <c r="A322" s="32"/>
    </row>
    <row r="323" spans="1:1" ht="12.5">
      <c r="A323" s="32"/>
    </row>
    <row r="324" spans="1:1" ht="12.5">
      <c r="A324" s="32"/>
    </row>
    <row r="325" spans="1:1" ht="12.5">
      <c r="A325" s="32"/>
    </row>
    <row r="326" spans="1:1" ht="12.5">
      <c r="A326" s="32"/>
    </row>
    <row r="327" spans="1:1" ht="12.5">
      <c r="A327" s="32"/>
    </row>
    <row r="328" spans="1:1" ht="12.5">
      <c r="A328" s="32"/>
    </row>
    <row r="329" spans="1:1" ht="12.5">
      <c r="A329" s="32"/>
    </row>
    <row r="330" spans="1:1" ht="12.5">
      <c r="A330" s="32"/>
    </row>
    <row r="331" spans="1:1" ht="12.5">
      <c r="A331" s="32"/>
    </row>
    <row r="332" spans="1:1" ht="12.5">
      <c r="A332" s="32"/>
    </row>
    <row r="333" spans="1:1" ht="12.5">
      <c r="A333" s="32"/>
    </row>
    <row r="334" spans="1:1" ht="12.5">
      <c r="A334" s="32"/>
    </row>
    <row r="335" spans="1:1" ht="12.5">
      <c r="A335" s="32"/>
    </row>
    <row r="336" spans="1:1" ht="12.5">
      <c r="A336" s="32"/>
    </row>
    <row r="337" spans="1:1" ht="12.5">
      <c r="A337" s="32"/>
    </row>
    <row r="338" spans="1:1" ht="12.5">
      <c r="A338" s="32"/>
    </row>
    <row r="339" spans="1:1" ht="12.5">
      <c r="A339" s="32"/>
    </row>
    <row r="340" spans="1:1" ht="12.5">
      <c r="A340" s="32"/>
    </row>
    <row r="341" spans="1:1" ht="12.5">
      <c r="A341" s="32"/>
    </row>
    <row r="342" spans="1:1" ht="12.5">
      <c r="A342" s="32"/>
    </row>
    <row r="343" spans="1:1" ht="12.5">
      <c r="A343" s="32"/>
    </row>
    <row r="344" spans="1:1" ht="12.5">
      <c r="A344" s="32"/>
    </row>
    <row r="345" spans="1:1" ht="12.5">
      <c r="A345" s="32"/>
    </row>
    <row r="346" spans="1:1" ht="12.5">
      <c r="A346" s="32"/>
    </row>
    <row r="347" spans="1:1" ht="12.5">
      <c r="A347" s="32"/>
    </row>
    <row r="348" spans="1:1" ht="12.5">
      <c r="A348" s="32"/>
    </row>
    <row r="349" spans="1:1" ht="12.5">
      <c r="A349" s="32"/>
    </row>
    <row r="350" spans="1:1" ht="12.5">
      <c r="A350" s="32"/>
    </row>
    <row r="351" spans="1:1" ht="12.5">
      <c r="A351" s="32"/>
    </row>
    <row r="352" spans="1:1" ht="12.5">
      <c r="A352" s="32"/>
    </row>
    <row r="353" spans="1:1" ht="12.5">
      <c r="A353" s="32"/>
    </row>
    <row r="354" spans="1:1" ht="12.5">
      <c r="A354" s="32"/>
    </row>
    <row r="355" spans="1:1" ht="12.5">
      <c r="A355" s="32"/>
    </row>
    <row r="356" spans="1:1" ht="12.5">
      <c r="A356" s="32"/>
    </row>
    <row r="357" spans="1:1" ht="12.5">
      <c r="A357" s="32"/>
    </row>
    <row r="358" spans="1:1" ht="12.5">
      <c r="A358" s="32"/>
    </row>
    <row r="359" spans="1:1" ht="12.5">
      <c r="A359" s="32"/>
    </row>
    <row r="360" spans="1:1" ht="12.5">
      <c r="A360" s="32"/>
    </row>
    <row r="361" spans="1:1" ht="12.5">
      <c r="A361" s="32"/>
    </row>
    <row r="362" spans="1:1" ht="12.5">
      <c r="A362" s="32"/>
    </row>
    <row r="363" spans="1:1" ht="12.5">
      <c r="A363" s="32"/>
    </row>
    <row r="364" spans="1:1" ht="12.5">
      <c r="A364" s="32"/>
    </row>
    <row r="365" spans="1:1" ht="12.5">
      <c r="A365" s="32"/>
    </row>
    <row r="366" spans="1:1" ht="12.5">
      <c r="A366" s="32"/>
    </row>
    <row r="367" spans="1:1" ht="12.5">
      <c r="A367" s="32"/>
    </row>
    <row r="368" spans="1:1" ht="12.5">
      <c r="A368" s="32"/>
    </row>
    <row r="369" spans="1:1" ht="12.5">
      <c r="A369" s="32"/>
    </row>
    <row r="370" spans="1:1" ht="12.5">
      <c r="A370" s="32"/>
    </row>
    <row r="371" spans="1:1" ht="12.5">
      <c r="A371" s="32"/>
    </row>
    <row r="372" spans="1:1" ht="12.5">
      <c r="A372" s="32"/>
    </row>
    <row r="373" spans="1:1" ht="12.5">
      <c r="A373" s="32"/>
    </row>
    <row r="374" spans="1:1" ht="12.5">
      <c r="A374" s="32"/>
    </row>
    <row r="375" spans="1:1" ht="12.5">
      <c r="A375" s="32"/>
    </row>
    <row r="376" spans="1:1" ht="12.5">
      <c r="A376" s="32"/>
    </row>
    <row r="377" spans="1:1" ht="12.5">
      <c r="A377" s="32"/>
    </row>
    <row r="378" spans="1:1" ht="12.5">
      <c r="A378" s="32"/>
    </row>
    <row r="379" spans="1:1" ht="12.5">
      <c r="A379" s="32"/>
    </row>
    <row r="380" spans="1:1" ht="12.5">
      <c r="A380" s="32"/>
    </row>
    <row r="381" spans="1:1" ht="12.5">
      <c r="A381" s="32"/>
    </row>
    <row r="382" spans="1:1" ht="12.5">
      <c r="A382" s="32"/>
    </row>
    <row r="383" spans="1:1" ht="12.5">
      <c r="A383" s="32"/>
    </row>
    <row r="384" spans="1:1" ht="12.5">
      <c r="A384" s="32"/>
    </row>
    <row r="385" spans="1:1" ht="12.5">
      <c r="A385" s="32"/>
    </row>
    <row r="386" spans="1:1" ht="12.5">
      <c r="A386" s="32"/>
    </row>
    <row r="387" spans="1:1" ht="12.5">
      <c r="A387" s="32"/>
    </row>
    <row r="388" spans="1:1" ht="12.5">
      <c r="A388" s="32"/>
    </row>
    <row r="389" spans="1:1" ht="12.5">
      <c r="A389" s="32"/>
    </row>
    <row r="390" spans="1:1" ht="12.5">
      <c r="A390" s="32"/>
    </row>
    <row r="391" spans="1:1" ht="12.5">
      <c r="A391" s="32"/>
    </row>
    <row r="392" spans="1:1" ht="12.5">
      <c r="A392" s="32"/>
    </row>
    <row r="393" spans="1:1" ht="12.5">
      <c r="A393" s="32"/>
    </row>
    <row r="394" spans="1:1" ht="12.5">
      <c r="A394" s="32"/>
    </row>
    <row r="395" spans="1:1" ht="12.5">
      <c r="A395" s="32"/>
    </row>
    <row r="396" spans="1:1" ht="12.5">
      <c r="A396" s="32"/>
    </row>
    <row r="397" spans="1:1" ht="12.5">
      <c r="A397" s="32"/>
    </row>
    <row r="398" spans="1:1" ht="12.5">
      <c r="A398" s="32"/>
    </row>
    <row r="399" spans="1:1" ht="12.5">
      <c r="A399" s="32"/>
    </row>
    <row r="400" spans="1:1" ht="12.5">
      <c r="A400" s="32"/>
    </row>
    <row r="401" spans="1:1" ht="12.5">
      <c r="A401" s="32"/>
    </row>
    <row r="402" spans="1:1" ht="12.5">
      <c r="A402" s="32"/>
    </row>
    <row r="403" spans="1:1" ht="12.5">
      <c r="A403" s="32"/>
    </row>
    <row r="404" spans="1:1" ht="12.5">
      <c r="A404" s="32"/>
    </row>
    <row r="405" spans="1:1" ht="12.5">
      <c r="A405" s="32"/>
    </row>
    <row r="406" spans="1:1" ht="12.5">
      <c r="A406" s="32"/>
    </row>
    <row r="407" spans="1:1" ht="12.5">
      <c r="A407" s="32"/>
    </row>
    <row r="408" spans="1:1" ht="12.5">
      <c r="A408" s="32"/>
    </row>
    <row r="409" spans="1:1" ht="12.5">
      <c r="A409" s="32"/>
    </row>
    <row r="410" spans="1:1" ht="12.5">
      <c r="A410" s="32"/>
    </row>
    <row r="411" spans="1:1" ht="12.5">
      <c r="A411" s="32"/>
    </row>
    <row r="412" spans="1:1" ht="12.5">
      <c r="A412" s="32"/>
    </row>
    <row r="413" spans="1:1" ht="12.5">
      <c r="A413" s="32"/>
    </row>
    <row r="414" spans="1:1" ht="12.5">
      <c r="A414" s="32"/>
    </row>
    <row r="415" spans="1:1" ht="12.5">
      <c r="A415" s="32"/>
    </row>
    <row r="416" spans="1:1" ht="12.5">
      <c r="A416" s="32"/>
    </row>
    <row r="417" spans="1:1" ht="12.5">
      <c r="A417" s="32"/>
    </row>
    <row r="418" spans="1:1" ht="12.5">
      <c r="A418" s="32"/>
    </row>
    <row r="419" spans="1:1" ht="12.5">
      <c r="A419" s="32"/>
    </row>
    <row r="420" spans="1:1" ht="12.5">
      <c r="A420" s="32"/>
    </row>
    <row r="421" spans="1:1" ht="12.5">
      <c r="A421" s="32"/>
    </row>
    <row r="422" spans="1:1" ht="12.5">
      <c r="A422" s="32"/>
    </row>
    <row r="423" spans="1:1" ht="12.5">
      <c r="A423" s="32"/>
    </row>
    <row r="424" spans="1:1" ht="12.5">
      <c r="A424" s="32"/>
    </row>
    <row r="425" spans="1:1" ht="12.5">
      <c r="A425" s="32"/>
    </row>
    <row r="426" spans="1:1" ht="12.5">
      <c r="A426" s="32"/>
    </row>
    <row r="427" spans="1:1" ht="12.5">
      <c r="A427" s="32"/>
    </row>
    <row r="428" spans="1:1" ht="12.5">
      <c r="A428" s="32"/>
    </row>
    <row r="429" spans="1:1" ht="12.5">
      <c r="A429" s="32"/>
    </row>
    <row r="430" spans="1:1" ht="12.5">
      <c r="A430" s="32"/>
    </row>
    <row r="431" spans="1:1" ht="12.5">
      <c r="A431" s="32"/>
    </row>
    <row r="432" spans="1:1" ht="12.5">
      <c r="A432" s="32"/>
    </row>
    <row r="433" spans="1:1" ht="12.5">
      <c r="A433" s="32"/>
    </row>
    <row r="434" spans="1:1" ht="12.5">
      <c r="A434" s="32"/>
    </row>
    <row r="435" spans="1:1" ht="12.5">
      <c r="A435" s="32"/>
    </row>
    <row r="436" spans="1:1" ht="12.5">
      <c r="A436" s="32"/>
    </row>
    <row r="437" spans="1:1" ht="12.5">
      <c r="A437" s="32"/>
    </row>
    <row r="438" spans="1:1" ht="12.5">
      <c r="A438" s="32"/>
    </row>
    <row r="439" spans="1:1" ht="12.5">
      <c r="A439" s="32"/>
    </row>
    <row r="440" spans="1:1" ht="12.5">
      <c r="A440" s="32"/>
    </row>
    <row r="441" spans="1:1" ht="12.5">
      <c r="A441" s="32"/>
    </row>
    <row r="442" spans="1:1" ht="12.5">
      <c r="A442" s="32"/>
    </row>
    <row r="443" spans="1:1" ht="12.5">
      <c r="A443" s="32"/>
    </row>
    <row r="444" spans="1:1" ht="12.5">
      <c r="A444" s="32"/>
    </row>
    <row r="445" spans="1:1" ht="12.5">
      <c r="A445" s="32"/>
    </row>
    <row r="446" spans="1:1" ht="12.5">
      <c r="A446" s="32"/>
    </row>
    <row r="447" spans="1:1" ht="12.5">
      <c r="A447" s="32"/>
    </row>
    <row r="448" spans="1:1" ht="12.5">
      <c r="A448" s="32"/>
    </row>
    <row r="449" spans="1:1" ht="12.5">
      <c r="A449" s="32"/>
    </row>
    <row r="450" spans="1:1" ht="12.5">
      <c r="A450" s="32"/>
    </row>
    <row r="451" spans="1:1" ht="12.5">
      <c r="A451" s="32"/>
    </row>
    <row r="452" spans="1:1" ht="12.5">
      <c r="A452" s="32"/>
    </row>
    <row r="453" spans="1:1" ht="12.5">
      <c r="A453" s="32"/>
    </row>
    <row r="454" spans="1:1" ht="12.5">
      <c r="A454" s="32"/>
    </row>
    <row r="455" spans="1:1" ht="12.5">
      <c r="A455" s="32"/>
    </row>
    <row r="456" spans="1:1" ht="12.5">
      <c r="A456" s="32"/>
    </row>
    <row r="457" spans="1:1" ht="12.5">
      <c r="A457" s="32"/>
    </row>
    <row r="458" spans="1:1" ht="12.5">
      <c r="A458" s="32"/>
    </row>
    <row r="459" spans="1:1" ht="12.5">
      <c r="A459" s="32"/>
    </row>
    <row r="460" spans="1:1" ht="12.5">
      <c r="A460" s="32"/>
    </row>
    <row r="461" spans="1:1" ht="12.5">
      <c r="A461" s="32"/>
    </row>
    <row r="462" spans="1:1" ht="12.5">
      <c r="A462" s="32"/>
    </row>
    <row r="463" spans="1:1" ht="12.5">
      <c r="A463" s="32"/>
    </row>
    <row r="464" spans="1:1" ht="12.5">
      <c r="A464" s="32"/>
    </row>
    <row r="465" spans="1:1" ht="12.5">
      <c r="A465" s="32"/>
    </row>
    <row r="466" spans="1:1" ht="12.5">
      <c r="A466" s="32"/>
    </row>
    <row r="467" spans="1:1" ht="12.5">
      <c r="A467" s="32"/>
    </row>
    <row r="468" spans="1:1" ht="12.5">
      <c r="A468" s="32"/>
    </row>
    <row r="469" spans="1:1" ht="12.5">
      <c r="A469" s="32"/>
    </row>
    <row r="470" spans="1:1" ht="12.5">
      <c r="A470" s="32"/>
    </row>
    <row r="471" spans="1:1" ht="12.5">
      <c r="A471" s="32"/>
    </row>
    <row r="472" spans="1:1" ht="12.5">
      <c r="A472" s="32"/>
    </row>
    <row r="473" spans="1:1" ht="12.5">
      <c r="A473" s="32"/>
    </row>
    <row r="474" spans="1:1" ht="12.5">
      <c r="A474" s="32"/>
    </row>
    <row r="475" spans="1:1" ht="12.5">
      <c r="A475" s="32"/>
    </row>
    <row r="476" spans="1:1" ht="12.5">
      <c r="A476" s="32"/>
    </row>
    <row r="477" spans="1:1" ht="12.5">
      <c r="A477" s="32"/>
    </row>
    <row r="478" spans="1:1" ht="12.5">
      <c r="A478" s="32"/>
    </row>
    <row r="479" spans="1:1" ht="12.5">
      <c r="A479" s="32"/>
    </row>
    <row r="480" spans="1:1" ht="12.5">
      <c r="A480" s="32"/>
    </row>
    <row r="481" spans="1:1" ht="12.5">
      <c r="A481" s="32"/>
    </row>
    <row r="482" spans="1:1" ht="12.5">
      <c r="A482" s="32"/>
    </row>
    <row r="483" spans="1:1" ht="12.5">
      <c r="A483" s="32"/>
    </row>
    <row r="484" spans="1:1" ht="12.5">
      <c r="A484" s="32"/>
    </row>
    <row r="485" spans="1:1" ht="12.5">
      <c r="A485" s="32"/>
    </row>
    <row r="486" spans="1:1" ht="12.5">
      <c r="A486" s="32"/>
    </row>
    <row r="487" spans="1:1" ht="12.5">
      <c r="A487" s="32"/>
    </row>
    <row r="488" spans="1:1" ht="12.5">
      <c r="A488" s="32"/>
    </row>
    <row r="489" spans="1:1" ht="12.5">
      <c r="A489" s="32"/>
    </row>
    <row r="490" spans="1:1" ht="12.5">
      <c r="A490" s="32"/>
    </row>
    <row r="491" spans="1:1" ht="12.5">
      <c r="A491" s="32"/>
    </row>
    <row r="492" spans="1:1" ht="12.5">
      <c r="A492" s="32"/>
    </row>
    <row r="493" spans="1:1" ht="12.5">
      <c r="A493" s="32"/>
    </row>
    <row r="494" spans="1:1" ht="12.5">
      <c r="A494" s="32"/>
    </row>
    <row r="495" spans="1:1" ht="12.5">
      <c r="A495" s="32"/>
    </row>
    <row r="496" spans="1:1" ht="12.5">
      <c r="A496" s="32"/>
    </row>
    <row r="497" spans="1:1" ht="12.5">
      <c r="A497" s="32"/>
    </row>
    <row r="498" spans="1:1" ht="12.5">
      <c r="A498" s="32"/>
    </row>
    <row r="499" spans="1:1" ht="12.5">
      <c r="A499" s="32"/>
    </row>
    <row r="500" spans="1:1" ht="12.5">
      <c r="A500" s="32"/>
    </row>
    <row r="501" spans="1:1" ht="12.5">
      <c r="A501" s="32"/>
    </row>
    <row r="502" spans="1:1" ht="12.5">
      <c r="A502" s="32"/>
    </row>
    <row r="503" spans="1:1" ht="12.5">
      <c r="A503" s="32"/>
    </row>
    <row r="504" spans="1:1" ht="12.5">
      <c r="A504" s="32"/>
    </row>
    <row r="505" spans="1:1" ht="12.5">
      <c r="A505" s="32"/>
    </row>
    <row r="506" spans="1:1" ht="12.5">
      <c r="A506" s="32"/>
    </row>
    <row r="507" spans="1:1" ht="12.5">
      <c r="A507" s="32"/>
    </row>
    <row r="508" spans="1:1" ht="12.5">
      <c r="A508" s="32"/>
    </row>
    <row r="509" spans="1:1" ht="12.5">
      <c r="A509" s="32"/>
    </row>
    <row r="510" spans="1:1" ht="12.5">
      <c r="A510" s="32"/>
    </row>
    <row r="511" spans="1:1" ht="12.5">
      <c r="A511" s="32"/>
    </row>
    <row r="512" spans="1:1" ht="12.5">
      <c r="A512" s="32"/>
    </row>
    <row r="513" spans="1:1" ht="12.5">
      <c r="A513" s="32"/>
    </row>
    <row r="514" spans="1:1" ht="12.5">
      <c r="A514" s="32"/>
    </row>
    <row r="515" spans="1:1" ht="12.5">
      <c r="A515" s="32"/>
    </row>
    <row r="516" spans="1:1" ht="12.5">
      <c r="A516" s="32"/>
    </row>
    <row r="517" spans="1:1" ht="12.5">
      <c r="A517" s="32"/>
    </row>
    <row r="518" spans="1:1" ht="12.5">
      <c r="A518" s="32"/>
    </row>
    <row r="519" spans="1:1" ht="12.5">
      <c r="A519" s="32"/>
    </row>
    <row r="520" spans="1:1" ht="12.5">
      <c r="A520" s="32"/>
    </row>
    <row r="521" spans="1:1" ht="12.5">
      <c r="A521" s="32"/>
    </row>
    <row r="522" spans="1:1" ht="12.5">
      <c r="A522" s="32"/>
    </row>
    <row r="523" spans="1:1" ht="12.5">
      <c r="A523" s="32"/>
    </row>
    <row r="524" spans="1:1" ht="12.5">
      <c r="A524" s="32"/>
    </row>
    <row r="525" spans="1:1" ht="12.5">
      <c r="A525" s="32"/>
    </row>
    <row r="526" spans="1:1" ht="12.5">
      <c r="A526" s="32"/>
    </row>
    <row r="527" spans="1:1" ht="12.5">
      <c r="A527" s="32"/>
    </row>
    <row r="528" spans="1:1" ht="12.5">
      <c r="A528" s="32"/>
    </row>
    <row r="529" spans="1:1" ht="12.5">
      <c r="A529" s="32"/>
    </row>
    <row r="530" spans="1:1" ht="12.5">
      <c r="A530" s="32"/>
    </row>
    <row r="531" spans="1:1" ht="12.5">
      <c r="A531" s="32"/>
    </row>
    <row r="532" spans="1:1" ht="12.5">
      <c r="A532" s="32"/>
    </row>
    <row r="533" spans="1:1" ht="12.5">
      <c r="A533" s="32"/>
    </row>
    <row r="534" spans="1:1" ht="12.5">
      <c r="A534" s="32"/>
    </row>
    <row r="535" spans="1:1" ht="12.5">
      <c r="A535" s="32"/>
    </row>
    <row r="536" spans="1:1" ht="12.5">
      <c r="A536" s="32"/>
    </row>
    <row r="537" spans="1:1" ht="12.5">
      <c r="A537" s="32"/>
    </row>
    <row r="538" spans="1:1" ht="12.5">
      <c r="A538" s="32"/>
    </row>
    <row r="539" spans="1:1" ht="12.5">
      <c r="A539" s="32"/>
    </row>
    <row r="540" spans="1:1" ht="12.5">
      <c r="A540" s="32"/>
    </row>
    <row r="541" spans="1:1" ht="12.5">
      <c r="A541" s="32"/>
    </row>
    <row r="542" spans="1:1" ht="12.5">
      <c r="A542" s="32"/>
    </row>
    <row r="543" spans="1:1" ht="12.5">
      <c r="A543" s="32"/>
    </row>
    <row r="544" spans="1:1" ht="12.5">
      <c r="A544" s="32"/>
    </row>
    <row r="545" spans="1:1" ht="12.5">
      <c r="A545" s="32"/>
    </row>
    <row r="546" spans="1:1" ht="12.5">
      <c r="A546" s="32"/>
    </row>
    <row r="547" spans="1:1" ht="12.5">
      <c r="A547" s="32"/>
    </row>
    <row r="548" spans="1:1" ht="12.5">
      <c r="A548" s="32"/>
    </row>
    <row r="549" spans="1:1" ht="12.5">
      <c r="A549" s="32"/>
    </row>
    <row r="550" spans="1:1" ht="12.5">
      <c r="A550" s="32"/>
    </row>
    <row r="551" spans="1:1" ht="12.5">
      <c r="A551" s="32"/>
    </row>
    <row r="552" spans="1:1" ht="12.5">
      <c r="A552" s="32"/>
    </row>
    <row r="553" spans="1:1" ht="12.5">
      <c r="A553" s="32"/>
    </row>
    <row r="554" spans="1:1" ht="12.5">
      <c r="A554" s="32"/>
    </row>
    <row r="555" spans="1:1" ht="12.5">
      <c r="A555" s="32"/>
    </row>
    <row r="556" spans="1:1" ht="12.5">
      <c r="A556" s="32"/>
    </row>
    <row r="557" spans="1:1" ht="12.5">
      <c r="A557" s="32"/>
    </row>
    <row r="558" spans="1:1" ht="12.5">
      <c r="A558" s="32"/>
    </row>
    <row r="559" spans="1:1" ht="12.5">
      <c r="A559" s="32"/>
    </row>
    <row r="560" spans="1:1" ht="12.5">
      <c r="A560" s="32"/>
    </row>
    <row r="561" spans="1:1" ht="12.5">
      <c r="A561" s="32"/>
    </row>
    <row r="562" spans="1:1" ht="12.5">
      <c r="A562" s="32"/>
    </row>
    <row r="563" spans="1:1" ht="12.5">
      <c r="A563" s="32"/>
    </row>
    <row r="564" spans="1:1" ht="12.5">
      <c r="A564" s="32"/>
    </row>
    <row r="565" spans="1:1" ht="12.5">
      <c r="A565" s="32"/>
    </row>
    <row r="566" spans="1:1" ht="12.5">
      <c r="A566" s="32"/>
    </row>
    <row r="567" spans="1:1" ht="12.5">
      <c r="A567" s="32"/>
    </row>
    <row r="568" spans="1:1" ht="12.5">
      <c r="A568" s="32"/>
    </row>
    <row r="569" spans="1:1" ht="12.5">
      <c r="A569" s="32"/>
    </row>
    <row r="570" spans="1:1" ht="12.5">
      <c r="A570" s="32"/>
    </row>
    <row r="571" spans="1:1" ht="12.5">
      <c r="A571" s="32"/>
    </row>
    <row r="572" spans="1:1" ht="12.5">
      <c r="A572" s="32"/>
    </row>
    <row r="573" spans="1:1" ht="12.5">
      <c r="A573" s="32"/>
    </row>
    <row r="574" spans="1:1" ht="12.5">
      <c r="A574" s="32"/>
    </row>
    <row r="575" spans="1:1" ht="12.5">
      <c r="A575" s="32"/>
    </row>
    <row r="576" spans="1:1" ht="12.5">
      <c r="A576" s="32"/>
    </row>
    <row r="577" spans="1:1" ht="12.5">
      <c r="A577" s="32"/>
    </row>
    <row r="578" spans="1:1" ht="12.5">
      <c r="A578" s="32"/>
    </row>
    <row r="579" spans="1:1" ht="12.5">
      <c r="A579" s="32"/>
    </row>
    <row r="580" spans="1:1" ht="12.5">
      <c r="A580" s="32"/>
    </row>
    <row r="581" spans="1:1" ht="12.5">
      <c r="A581" s="32"/>
    </row>
    <row r="582" spans="1:1" ht="12.5">
      <c r="A582" s="32"/>
    </row>
    <row r="583" spans="1:1" ht="12.5">
      <c r="A583" s="32"/>
    </row>
    <row r="584" spans="1:1" ht="12.5">
      <c r="A584" s="32"/>
    </row>
    <row r="585" spans="1:1" ht="12.5">
      <c r="A585" s="32"/>
    </row>
    <row r="586" spans="1:1" ht="12.5">
      <c r="A586" s="32"/>
    </row>
    <row r="587" spans="1:1" ht="12.5">
      <c r="A587" s="32"/>
    </row>
    <row r="588" spans="1:1" ht="12.5">
      <c r="A588" s="32"/>
    </row>
    <row r="589" spans="1:1" ht="12.5">
      <c r="A589" s="32"/>
    </row>
    <row r="590" spans="1:1" ht="12.5">
      <c r="A590" s="32"/>
    </row>
    <row r="591" spans="1:1" ht="12.5">
      <c r="A591" s="32"/>
    </row>
    <row r="592" spans="1:1" ht="12.5">
      <c r="A592" s="32"/>
    </row>
    <row r="593" spans="1:1" ht="12.5">
      <c r="A593" s="32"/>
    </row>
    <row r="594" spans="1:1" ht="12.5">
      <c r="A594" s="32"/>
    </row>
    <row r="595" spans="1:1" ht="12.5">
      <c r="A595" s="32"/>
    </row>
    <row r="596" spans="1:1" ht="12.5">
      <c r="A596" s="32"/>
    </row>
    <row r="597" spans="1:1" ht="12.5">
      <c r="A597" s="32"/>
    </row>
    <row r="598" spans="1:1" ht="12.5">
      <c r="A598" s="32"/>
    </row>
    <row r="599" spans="1:1" ht="12.5">
      <c r="A599" s="32"/>
    </row>
    <row r="600" spans="1:1" ht="12.5">
      <c r="A600" s="32"/>
    </row>
    <row r="601" spans="1:1" ht="12.5">
      <c r="A601" s="32"/>
    </row>
    <row r="602" spans="1:1" ht="12.5">
      <c r="A602" s="32"/>
    </row>
    <row r="603" spans="1:1" ht="12.5">
      <c r="A603" s="32"/>
    </row>
    <row r="604" spans="1:1" ht="12.5">
      <c r="A604" s="32"/>
    </row>
    <row r="605" spans="1:1" ht="12.5">
      <c r="A605" s="32"/>
    </row>
    <row r="606" spans="1:1" ht="12.5">
      <c r="A606" s="32"/>
    </row>
    <row r="607" spans="1:1" ht="12.5">
      <c r="A607" s="32"/>
    </row>
    <row r="608" spans="1:1" ht="12.5">
      <c r="A608" s="32"/>
    </row>
    <row r="609" spans="1:1" ht="12.5">
      <c r="A609" s="32"/>
    </row>
    <row r="610" spans="1:1" ht="12.5">
      <c r="A610" s="32"/>
    </row>
    <row r="611" spans="1:1" ht="12.5">
      <c r="A611" s="32"/>
    </row>
    <row r="612" spans="1:1" ht="12.5">
      <c r="A612" s="32"/>
    </row>
    <row r="613" spans="1:1" ht="12.5">
      <c r="A613" s="32"/>
    </row>
    <row r="614" spans="1:1" ht="12.5">
      <c r="A614" s="32"/>
    </row>
    <row r="615" spans="1:1" ht="12.5">
      <c r="A615" s="32"/>
    </row>
    <row r="616" spans="1:1" ht="12.5">
      <c r="A616" s="32"/>
    </row>
    <row r="617" spans="1:1" ht="12.5">
      <c r="A617" s="32"/>
    </row>
    <row r="618" spans="1:1" ht="12.5">
      <c r="A618" s="32"/>
    </row>
    <row r="619" spans="1:1" ht="12.5">
      <c r="A619" s="32"/>
    </row>
    <row r="620" spans="1:1" ht="12.5">
      <c r="A620" s="32"/>
    </row>
    <row r="621" spans="1:1" ht="12.5">
      <c r="A621" s="32"/>
    </row>
    <row r="622" spans="1:1" ht="12.5">
      <c r="A622" s="32"/>
    </row>
    <row r="623" spans="1:1" ht="12.5">
      <c r="A623" s="32"/>
    </row>
    <row r="624" spans="1:1" ht="12.5">
      <c r="A624" s="32"/>
    </row>
    <row r="625" spans="1:1" ht="12.5">
      <c r="A625" s="32"/>
    </row>
    <row r="626" spans="1:1" ht="12.5">
      <c r="A626" s="32"/>
    </row>
    <row r="627" spans="1:1" ht="12.5">
      <c r="A627" s="32"/>
    </row>
    <row r="628" spans="1:1" ht="12.5">
      <c r="A628" s="32"/>
    </row>
    <row r="629" spans="1:1" ht="12.5">
      <c r="A629" s="32"/>
    </row>
    <row r="630" spans="1:1" ht="12.5">
      <c r="A630" s="32"/>
    </row>
    <row r="631" spans="1:1" ht="12.5">
      <c r="A631" s="32"/>
    </row>
    <row r="632" spans="1:1" ht="12.5">
      <c r="A632" s="32"/>
    </row>
    <row r="633" spans="1:1" ht="12.5">
      <c r="A633" s="32"/>
    </row>
    <row r="634" spans="1:1" ht="12.5">
      <c r="A634" s="32"/>
    </row>
    <row r="635" spans="1:1" ht="12.5">
      <c r="A635" s="32"/>
    </row>
    <row r="636" spans="1:1" ht="12.5">
      <c r="A636" s="32"/>
    </row>
    <row r="637" spans="1:1" ht="12.5">
      <c r="A637" s="32"/>
    </row>
    <row r="638" spans="1:1" ht="12.5">
      <c r="A638" s="32"/>
    </row>
    <row r="639" spans="1:1" ht="12.5">
      <c r="A639" s="32"/>
    </row>
    <row r="640" spans="1:1" ht="12.5">
      <c r="A640" s="32"/>
    </row>
    <row r="641" spans="1:1" ht="12.5">
      <c r="A641" s="32"/>
    </row>
    <row r="642" spans="1:1" ht="12.5">
      <c r="A642" s="32"/>
    </row>
    <row r="643" spans="1:1" ht="12.5">
      <c r="A643" s="32"/>
    </row>
    <row r="644" spans="1:1" ht="12.5">
      <c r="A644" s="32"/>
    </row>
    <row r="645" spans="1:1" ht="12.5">
      <c r="A645" s="32"/>
    </row>
    <row r="646" spans="1:1" ht="12.5">
      <c r="A646" s="32"/>
    </row>
    <row r="647" spans="1:1" ht="12.5">
      <c r="A647" s="32"/>
    </row>
    <row r="648" spans="1:1" ht="12.5">
      <c r="A648" s="32"/>
    </row>
    <row r="649" spans="1:1" ht="12.5">
      <c r="A649" s="32"/>
    </row>
    <row r="650" spans="1:1" ht="12.5">
      <c r="A650" s="32"/>
    </row>
    <row r="651" spans="1:1" ht="12.5">
      <c r="A651" s="32"/>
    </row>
    <row r="652" spans="1:1" ht="12.5">
      <c r="A652" s="32"/>
    </row>
    <row r="653" spans="1:1" ht="12.5">
      <c r="A653" s="32"/>
    </row>
    <row r="654" spans="1:1" ht="12.5">
      <c r="A654" s="32"/>
    </row>
    <row r="655" spans="1:1" ht="12.5">
      <c r="A655" s="32"/>
    </row>
    <row r="656" spans="1:1" ht="12.5">
      <c r="A656" s="32"/>
    </row>
    <row r="657" spans="1:1" ht="12.5">
      <c r="A657" s="32"/>
    </row>
    <row r="658" spans="1:1" ht="12.5">
      <c r="A658" s="32"/>
    </row>
    <row r="659" spans="1:1" ht="12.5">
      <c r="A659" s="32"/>
    </row>
    <row r="660" spans="1:1" ht="12.5">
      <c r="A660" s="32"/>
    </row>
    <row r="661" spans="1:1" ht="12.5">
      <c r="A661" s="32"/>
    </row>
    <row r="662" spans="1:1" ht="12.5">
      <c r="A662" s="32"/>
    </row>
    <row r="663" spans="1:1" ht="12.5">
      <c r="A663" s="32"/>
    </row>
    <row r="664" spans="1:1" ht="12.5">
      <c r="A664" s="32"/>
    </row>
    <row r="665" spans="1:1" ht="12.5">
      <c r="A665" s="32"/>
    </row>
    <row r="666" spans="1:1" ht="12.5">
      <c r="A666" s="32"/>
    </row>
    <row r="667" spans="1:1" ht="12.5">
      <c r="A667" s="32"/>
    </row>
    <row r="668" spans="1:1" ht="12.5">
      <c r="A668" s="32"/>
    </row>
    <row r="669" spans="1:1" ht="12.5">
      <c r="A669" s="32"/>
    </row>
    <row r="670" spans="1:1" ht="12.5">
      <c r="A670" s="32"/>
    </row>
    <row r="671" spans="1:1" ht="12.5">
      <c r="A671" s="32"/>
    </row>
    <row r="672" spans="1:1" ht="12.5">
      <c r="A672" s="32"/>
    </row>
    <row r="673" spans="1:1" ht="12.5">
      <c r="A673" s="32"/>
    </row>
    <row r="674" spans="1:1" ht="12.5">
      <c r="A674" s="32"/>
    </row>
    <row r="675" spans="1:1" ht="12.5">
      <c r="A675" s="32"/>
    </row>
    <row r="676" spans="1:1" ht="12.5">
      <c r="A676" s="32"/>
    </row>
    <row r="677" spans="1:1" ht="12.5">
      <c r="A677" s="32"/>
    </row>
    <row r="678" spans="1:1" ht="12.5">
      <c r="A678" s="32"/>
    </row>
    <row r="679" spans="1:1" ht="12.5">
      <c r="A679" s="32"/>
    </row>
    <row r="680" spans="1:1" ht="12.5">
      <c r="A680" s="32"/>
    </row>
    <row r="681" spans="1:1" ht="12.5">
      <c r="A681" s="32"/>
    </row>
    <row r="682" spans="1:1" ht="12.5">
      <c r="A682" s="32"/>
    </row>
    <row r="683" spans="1:1" ht="12.5">
      <c r="A683" s="32"/>
    </row>
    <row r="684" spans="1:1" ht="12.5">
      <c r="A684" s="32"/>
    </row>
    <row r="685" spans="1:1" ht="12.5">
      <c r="A685" s="32"/>
    </row>
    <row r="686" spans="1:1" ht="12.5">
      <c r="A686" s="32"/>
    </row>
    <row r="687" spans="1:1" ht="12.5">
      <c r="A687" s="32"/>
    </row>
    <row r="688" spans="1:1" ht="12.5">
      <c r="A688" s="32"/>
    </row>
    <row r="689" spans="1:1" ht="12.5">
      <c r="A689" s="32"/>
    </row>
    <row r="690" spans="1:1" ht="12.5">
      <c r="A690" s="32"/>
    </row>
    <row r="691" spans="1:1" ht="12.5">
      <c r="A691" s="32"/>
    </row>
    <row r="692" spans="1:1" ht="12.5">
      <c r="A692" s="32"/>
    </row>
    <row r="693" spans="1:1" ht="12.5">
      <c r="A693" s="32"/>
    </row>
    <row r="694" spans="1:1" ht="12.5">
      <c r="A694" s="32"/>
    </row>
    <row r="695" spans="1:1" ht="12.5">
      <c r="A695" s="32"/>
    </row>
    <row r="696" spans="1:1" ht="12.5">
      <c r="A696" s="32"/>
    </row>
    <row r="697" spans="1:1" ht="12.5">
      <c r="A697" s="32"/>
    </row>
    <row r="698" spans="1:1" ht="12.5">
      <c r="A698" s="32"/>
    </row>
    <row r="699" spans="1:1" ht="12.5">
      <c r="A699" s="32"/>
    </row>
    <row r="700" spans="1:1" ht="12.5">
      <c r="A700" s="32"/>
    </row>
    <row r="701" spans="1:1" ht="12.5">
      <c r="A701" s="32"/>
    </row>
    <row r="702" spans="1:1" ht="12.5">
      <c r="A702" s="32"/>
    </row>
    <row r="703" spans="1:1" ht="12.5">
      <c r="A703" s="32"/>
    </row>
    <row r="704" spans="1:1" ht="12.5">
      <c r="A704" s="32"/>
    </row>
    <row r="705" spans="1:1" ht="12.5">
      <c r="A705" s="32"/>
    </row>
    <row r="706" spans="1:1" ht="12.5">
      <c r="A706" s="32"/>
    </row>
    <row r="707" spans="1:1" ht="12.5">
      <c r="A707" s="32"/>
    </row>
    <row r="708" spans="1:1" ht="12.5">
      <c r="A708" s="32"/>
    </row>
    <row r="709" spans="1:1" ht="12.5">
      <c r="A709" s="32"/>
    </row>
    <row r="710" spans="1:1" ht="12.5">
      <c r="A710" s="32"/>
    </row>
    <row r="711" spans="1:1" ht="12.5">
      <c r="A711" s="32"/>
    </row>
    <row r="712" spans="1:1" ht="12.5">
      <c r="A712" s="32"/>
    </row>
    <row r="713" spans="1:1" ht="12.5">
      <c r="A713" s="32"/>
    </row>
    <row r="714" spans="1:1" ht="12.5">
      <c r="A714" s="32"/>
    </row>
    <row r="715" spans="1:1" ht="12.5">
      <c r="A715" s="32"/>
    </row>
    <row r="716" spans="1:1" ht="12.5">
      <c r="A716" s="32"/>
    </row>
    <row r="717" spans="1:1" ht="12.5">
      <c r="A717" s="32"/>
    </row>
    <row r="718" spans="1:1" ht="12.5">
      <c r="A718" s="32"/>
    </row>
    <row r="719" spans="1:1" ht="12.5">
      <c r="A719" s="32"/>
    </row>
    <row r="720" spans="1:1" ht="12.5">
      <c r="A720" s="32"/>
    </row>
    <row r="721" spans="1:1" ht="12.5">
      <c r="A721" s="32"/>
    </row>
    <row r="722" spans="1:1" ht="12.5">
      <c r="A722" s="32"/>
    </row>
    <row r="723" spans="1:1" ht="12.5">
      <c r="A723" s="32"/>
    </row>
    <row r="724" spans="1:1" ht="12.5">
      <c r="A724" s="32"/>
    </row>
    <row r="725" spans="1:1" ht="12.5">
      <c r="A725" s="32"/>
    </row>
    <row r="726" spans="1:1" ht="12.5">
      <c r="A726" s="32"/>
    </row>
    <row r="727" spans="1:1" ht="12.5">
      <c r="A727" s="32"/>
    </row>
    <row r="728" spans="1:1" ht="12.5">
      <c r="A728" s="32"/>
    </row>
    <row r="729" spans="1:1" ht="12.5">
      <c r="A729" s="32"/>
    </row>
    <row r="730" spans="1:1" ht="12.5">
      <c r="A730" s="32"/>
    </row>
    <row r="731" spans="1:1" ht="12.5">
      <c r="A731" s="32"/>
    </row>
    <row r="732" spans="1:1" ht="12.5">
      <c r="A732" s="32"/>
    </row>
    <row r="733" spans="1:1" ht="12.5">
      <c r="A733" s="32"/>
    </row>
    <row r="734" spans="1:1" ht="12.5">
      <c r="A734" s="32"/>
    </row>
    <row r="735" spans="1:1" ht="12.5">
      <c r="A735" s="32"/>
    </row>
    <row r="736" spans="1:1" ht="12.5">
      <c r="A736" s="32"/>
    </row>
    <row r="737" spans="1:1" ht="12.5">
      <c r="A737" s="32"/>
    </row>
    <row r="738" spans="1:1" ht="12.5">
      <c r="A738" s="32"/>
    </row>
    <row r="739" spans="1:1" ht="12.5">
      <c r="A739" s="32"/>
    </row>
    <row r="740" spans="1:1" ht="12.5">
      <c r="A740" s="32"/>
    </row>
    <row r="741" spans="1:1" ht="12.5">
      <c r="A741" s="32"/>
    </row>
    <row r="742" spans="1:1" ht="12.5">
      <c r="A742" s="32"/>
    </row>
    <row r="743" spans="1:1" ht="12.5">
      <c r="A743" s="32"/>
    </row>
    <row r="744" spans="1:1" ht="12.5">
      <c r="A744" s="32"/>
    </row>
    <row r="745" spans="1:1" ht="12.5">
      <c r="A745" s="32"/>
    </row>
    <row r="746" spans="1:1" ht="12.5">
      <c r="A746" s="32"/>
    </row>
    <row r="747" spans="1:1" ht="12.5">
      <c r="A747" s="32"/>
    </row>
    <row r="748" spans="1:1" ht="12.5">
      <c r="A748" s="32"/>
    </row>
    <row r="749" spans="1:1" ht="12.5">
      <c r="A749" s="32"/>
    </row>
    <row r="750" spans="1:1" ht="12.5">
      <c r="A750" s="32"/>
    </row>
    <row r="751" spans="1:1" ht="12.5">
      <c r="A751" s="32"/>
    </row>
    <row r="752" spans="1:1" ht="12.5">
      <c r="A752" s="32"/>
    </row>
    <row r="753" spans="1:1" ht="12.5">
      <c r="A753" s="32"/>
    </row>
    <row r="754" spans="1:1" ht="12.5">
      <c r="A754" s="32"/>
    </row>
    <row r="755" spans="1:1" ht="12.5">
      <c r="A755" s="32"/>
    </row>
    <row r="756" spans="1:1" ht="12.5">
      <c r="A756" s="32"/>
    </row>
    <row r="757" spans="1:1" ht="12.5">
      <c r="A757" s="32"/>
    </row>
    <row r="758" spans="1:1" ht="12.5">
      <c r="A758" s="32"/>
    </row>
    <row r="759" spans="1:1" ht="12.5">
      <c r="A759" s="32"/>
    </row>
    <row r="760" spans="1:1" ht="12.5">
      <c r="A760" s="32"/>
    </row>
    <row r="761" spans="1:1" ht="12.5">
      <c r="A761" s="32"/>
    </row>
    <row r="762" spans="1:1" ht="12.5">
      <c r="A762" s="32"/>
    </row>
    <row r="763" spans="1:1" ht="12.5">
      <c r="A763" s="32"/>
    </row>
    <row r="764" spans="1:1" ht="12.5">
      <c r="A764" s="32"/>
    </row>
    <row r="765" spans="1:1" ht="12.5">
      <c r="A765" s="32"/>
    </row>
    <row r="766" spans="1:1" ht="12.5">
      <c r="A766" s="32"/>
    </row>
    <row r="767" spans="1:1" ht="12.5">
      <c r="A767" s="32"/>
    </row>
    <row r="768" spans="1:1" ht="12.5">
      <c r="A768" s="32"/>
    </row>
    <row r="769" spans="1:1" ht="12.5">
      <c r="A769" s="32"/>
    </row>
    <row r="770" spans="1:1" ht="12.5">
      <c r="A770" s="32"/>
    </row>
    <row r="771" spans="1:1" ht="12.5">
      <c r="A771" s="32"/>
    </row>
    <row r="772" spans="1:1" ht="12.5">
      <c r="A772" s="32"/>
    </row>
    <row r="773" spans="1:1" ht="12.5">
      <c r="A773" s="32"/>
    </row>
    <row r="774" spans="1:1" ht="12.5">
      <c r="A774" s="32"/>
    </row>
    <row r="775" spans="1:1" ht="12.5">
      <c r="A775" s="32"/>
    </row>
    <row r="776" spans="1:1" ht="12.5">
      <c r="A776" s="32"/>
    </row>
    <row r="777" spans="1:1" ht="12.5">
      <c r="A777" s="32"/>
    </row>
    <row r="778" spans="1:1" ht="12.5">
      <c r="A778" s="32"/>
    </row>
    <row r="779" spans="1:1" ht="12.5">
      <c r="A779" s="32"/>
    </row>
    <row r="780" spans="1:1" ht="12.5">
      <c r="A780" s="32"/>
    </row>
    <row r="781" spans="1:1" ht="12.5">
      <c r="A781" s="32"/>
    </row>
    <row r="782" spans="1:1" ht="12.5">
      <c r="A782" s="32"/>
    </row>
    <row r="783" spans="1:1" ht="12.5">
      <c r="A783" s="32"/>
    </row>
    <row r="784" spans="1:1" ht="12.5">
      <c r="A784" s="32"/>
    </row>
    <row r="785" spans="1:1" ht="12.5">
      <c r="A785" s="32"/>
    </row>
    <row r="786" spans="1:1" ht="12.5">
      <c r="A786" s="32"/>
    </row>
    <row r="787" spans="1:1" ht="12.5">
      <c r="A787" s="32"/>
    </row>
    <row r="788" spans="1:1" ht="12.5">
      <c r="A788" s="32"/>
    </row>
    <row r="789" spans="1:1" ht="12.5">
      <c r="A789" s="32"/>
    </row>
    <row r="790" spans="1:1" ht="12.5">
      <c r="A790" s="32"/>
    </row>
    <row r="791" spans="1:1" ht="12.5">
      <c r="A791" s="32"/>
    </row>
    <row r="792" spans="1:1" ht="12.5">
      <c r="A792" s="32"/>
    </row>
    <row r="793" spans="1:1" ht="12.5">
      <c r="A793" s="32"/>
    </row>
    <row r="794" spans="1:1" ht="12.5">
      <c r="A794" s="32"/>
    </row>
    <row r="795" spans="1:1" ht="12.5">
      <c r="A795" s="32"/>
    </row>
    <row r="796" spans="1:1" ht="12.5">
      <c r="A796" s="32"/>
    </row>
    <row r="797" spans="1:1" ht="12.5">
      <c r="A797" s="32"/>
    </row>
    <row r="798" spans="1:1" ht="12.5">
      <c r="A798" s="32"/>
    </row>
    <row r="799" spans="1:1" ht="12.5">
      <c r="A799" s="32"/>
    </row>
    <row r="800" spans="1:1" ht="12.5">
      <c r="A800" s="32"/>
    </row>
    <row r="801" spans="1:1" ht="12.5">
      <c r="A801" s="32"/>
    </row>
    <row r="802" spans="1:1" ht="12.5">
      <c r="A802" s="32"/>
    </row>
    <row r="803" spans="1:1" ht="12.5">
      <c r="A803" s="32"/>
    </row>
    <row r="804" spans="1:1" ht="12.5">
      <c r="A804" s="32"/>
    </row>
    <row r="805" spans="1:1" ht="12.5">
      <c r="A805" s="32"/>
    </row>
    <row r="806" spans="1:1" ht="12.5">
      <c r="A806" s="32"/>
    </row>
    <row r="807" spans="1:1" ht="12.5">
      <c r="A807" s="32"/>
    </row>
    <row r="808" spans="1:1" ht="12.5">
      <c r="A808" s="32"/>
    </row>
    <row r="809" spans="1:1" ht="12.5">
      <c r="A809" s="32"/>
    </row>
    <row r="810" spans="1:1" ht="12.5">
      <c r="A810" s="32"/>
    </row>
    <row r="811" spans="1:1" ht="12.5">
      <c r="A811" s="32"/>
    </row>
    <row r="812" spans="1:1" ht="12.5">
      <c r="A812" s="32"/>
    </row>
    <row r="813" spans="1:1" ht="12.5">
      <c r="A813" s="32"/>
    </row>
    <row r="814" spans="1:1" ht="12.5">
      <c r="A814" s="32"/>
    </row>
    <row r="815" spans="1:1" ht="12.5">
      <c r="A815" s="32"/>
    </row>
    <row r="816" spans="1:1" ht="12.5">
      <c r="A816" s="32"/>
    </row>
    <row r="817" spans="1:1" ht="12.5">
      <c r="A817" s="32"/>
    </row>
    <row r="818" spans="1:1" ht="12.5">
      <c r="A818" s="32"/>
    </row>
    <row r="819" spans="1:1" ht="12.5">
      <c r="A819" s="32"/>
    </row>
    <row r="820" spans="1:1" ht="12.5">
      <c r="A820" s="32"/>
    </row>
    <row r="821" spans="1:1" ht="12.5">
      <c r="A821" s="32"/>
    </row>
    <row r="822" spans="1:1" ht="12.5">
      <c r="A822" s="32"/>
    </row>
    <row r="823" spans="1:1" ht="12.5">
      <c r="A823" s="32"/>
    </row>
    <row r="824" spans="1:1" ht="12.5">
      <c r="A824" s="32"/>
    </row>
    <row r="825" spans="1:1" ht="12.5">
      <c r="A825" s="32"/>
    </row>
    <row r="826" spans="1:1" ht="12.5">
      <c r="A826" s="32"/>
    </row>
    <row r="827" spans="1:1" ht="12.5">
      <c r="A827" s="32"/>
    </row>
    <row r="828" spans="1:1" ht="12.5">
      <c r="A828" s="32"/>
    </row>
    <row r="829" spans="1:1" ht="12.5">
      <c r="A829" s="32"/>
    </row>
    <row r="830" spans="1:1" ht="12.5">
      <c r="A830" s="32"/>
    </row>
    <row r="831" spans="1:1" ht="12.5">
      <c r="A831" s="32"/>
    </row>
    <row r="832" spans="1:1" ht="12.5">
      <c r="A832" s="32"/>
    </row>
    <row r="833" spans="1:1" ht="12.5">
      <c r="A833" s="32"/>
    </row>
    <row r="834" spans="1:1" ht="12.5">
      <c r="A834" s="32"/>
    </row>
    <row r="835" spans="1:1" ht="12.5">
      <c r="A835" s="32"/>
    </row>
    <row r="836" spans="1:1" ht="12.5">
      <c r="A836" s="32"/>
    </row>
    <row r="837" spans="1:1" ht="12.5">
      <c r="A837" s="32"/>
    </row>
    <row r="838" spans="1:1" ht="12.5">
      <c r="A838" s="32"/>
    </row>
    <row r="839" spans="1:1" ht="12.5">
      <c r="A839" s="32"/>
    </row>
    <row r="840" spans="1:1" ht="12.5">
      <c r="A840" s="32"/>
    </row>
    <row r="841" spans="1:1" ht="12.5">
      <c r="A841" s="32"/>
    </row>
    <row r="842" spans="1:1" ht="12.5">
      <c r="A842" s="32"/>
    </row>
    <row r="843" spans="1:1" ht="12.5">
      <c r="A843" s="32"/>
    </row>
    <row r="844" spans="1:1" ht="12.5">
      <c r="A844" s="32"/>
    </row>
    <row r="845" spans="1:1" ht="12.5">
      <c r="A845" s="32"/>
    </row>
    <row r="846" spans="1:1" ht="12.5">
      <c r="A846" s="32"/>
    </row>
    <row r="847" spans="1:1" ht="12.5">
      <c r="A847" s="32"/>
    </row>
    <row r="848" spans="1:1" ht="12.5">
      <c r="A848" s="32"/>
    </row>
    <row r="849" spans="1:1" ht="12.5">
      <c r="A849" s="32"/>
    </row>
    <row r="850" spans="1:1" ht="12.5">
      <c r="A850" s="32"/>
    </row>
    <row r="851" spans="1:1" ht="12.5">
      <c r="A851" s="32"/>
    </row>
    <row r="852" spans="1:1" ht="12.5">
      <c r="A852" s="32"/>
    </row>
    <row r="853" spans="1:1" ht="12.5">
      <c r="A853" s="32"/>
    </row>
    <row r="854" spans="1:1" ht="12.5">
      <c r="A854" s="32"/>
    </row>
    <row r="855" spans="1:1" ht="12.5">
      <c r="A855" s="32"/>
    </row>
    <row r="856" spans="1:1" ht="12.5">
      <c r="A856" s="32"/>
    </row>
    <row r="857" spans="1:1" ht="12.5">
      <c r="A857" s="32"/>
    </row>
    <row r="858" spans="1:1" ht="12.5">
      <c r="A858" s="32"/>
    </row>
    <row r="859" spans="1:1" ht="12.5">
      <c r="A859" s="32"/>
    </row>
    <row r="860" spans="1:1" ht="12.5">
      <c r="A860" s="32"/>
    </row>
    <row r="861" spans="1:1" ht="12.5">
      <c r="A861" s="32"/>
    </row>
    <row r="862" spans="1:1" ht="12.5">
      <c r="A862" s="32"/>
    </row>
    <row r="863" spans="1:1" ht="12.5">
      <c r="A863" s="32"/>
    </row>
    <row r="864" spans="1:1" ht="12.5">
      <c r="A864" s="32"/>
    </row>
    <row r="865" spans="1:1" ht="12.5">
      <c r="A865" s="32"/>
    </row>
    <row r="866" spans="1:1" ht="12.5">
      <c r="A866" s="32"/>
    </row>
    <row r="867" spans="1:1" ht="12.5">
      <c r="A867" s="32"/>
    </row>
    <row r="868" spans="1:1" ht="12.5">
      <c r="A868" s="32"/>
    </row>
    <row r="869" spans="1:1" ht="12.5">
      <c r="A869" s="32"/>
    </row>
    <row r="870" spans="1:1" ht="12.5">
      <c r="A870" s="32"/>
    </row>
    <row r="871" spans="1:1" ht="12.5">
      <c r="A871" s="32"/>
    </row>
    <row r="872" spans="1:1" ht="12.5">
      <c r="A872" s="32"/>
    </row>
    <row r="873" spans="1:1" ht="12.5">
      <c r="A873" s="32"/>
    </row>
    <row r="874" spans="1:1" ht="12.5">
      <c r="A874" s="32"/>
    </row>
    <row r="875" spans="1:1" ht="12.5">
      <c r="A875" s="32"/>
    </row>
    <row r="876" spans="1:1" ht="12.5">
      <c r="A876" s="32"/>
    </row>
    <row r="877" spans="1:1" ht="12.5">
      <c r="A877" s="32"/>
    </row>
    <row r="878" spans="1:1" ht="12.5">
      <c r="A878" s="32"/>
    </row>
    <row r="879" spans="1:1" ht="12.5">
      <c r="A879" s="32"/>
    </row>
    <row r="880" spans="1:1" ht="12.5">
      <c r="A880" s="32"/>
    </row>
    <row r="881" spans="1:1" ht="12.5">
      <c r="A881" s="32"/>
    </row>
    <row r="882" spans="1:1" ht="12.5">
      <c r="A882" s="32"/>
    </row>
    <row r="883" spans="1:1" ht="12.5">
      <c r="A883" s="32"/>
    </row>
    <row r="884" spans="1:1" ht="12.5">
      <c r="A884" s="32"/>
    </row>
    <row r="885" spans="1:1" ht="12.5">
      <c r="A885" s="32"/>
    </row>
    <row r="886" spans="1:1" ht="12.5">
      <c r="A886" s="32"/>
    </row>
    <row r="887" spans="1:1" ht="12.5">
      <c r="A887" s="32"/>
    </row>
    <row r="888" spans="1:1" ht="12.5">
      <c r="A888" s="32"/>
    </row>
    <row r="889" spans="1:1" ht="12.5">
      <c r="A889" s="32"/>
    </row>
    <row r="890" spans="1:1" ht="12.5">
      <c r="A890" s="32"/>
    </row>
    <row r="891" spans="1:1" ht="12.5">
      <c r="A891" s="32"/>
    </row>
    <row r="892" spans="1:1" ht="12.5">
      <c r="A892" s="32"/>
    </row>
    <row r="893" spans="1:1" ht="12.5">
      <c r="A893" s="32"/>
    </row>
    <row r="894" spans="1:1" ht="12.5">
      <c r="A894" s="32"/>
    </row>
    <row r="895" spans="1:1" ht="12.5">
      <c r="A895" s="32"/>
    </row>
    <row r="896" spans="1:1" ht="12.5">
      <c r="A896" s="32"/>
    </row>
    <row r="897" spans="1:1" ht="12.5">
      <c r="A897" s="32"/>
    </row>
    <row r="898" spans="1:1" ht="12.5">
      <c r="A898" s="32"/>
    </row>
    <row r="899" spans="1:1" ht="12.5">
      <c r="A899" s="32"/>
    </row>
    <row r="900" spans="1:1" ht="12.5">
      <c r="A900" s="32"/>
    </row>
    <row r="901" spans="1:1" ht="12.5">
      <c r="A901" s="32"/>
    </row>
    <row r="902" spans="1:1" ht="12.5">
      <c r="A902" s="32"/>
    </row>
    <row r="903" spans="1:1" ht="12.5">
      <c r="A903" s="32"/>
    </row>
    <row r="904" spans="1:1" ht="12.5">
      <c r="A904" s="32"/>
    </row>
    <row r="905" spans="1:1" ht="12.5">
      <c r="A905" s="32"/>
    </row>
    <row r="906" spans="1:1" ht="12.5">
      <c r="A906" s="32"/>
    </row>
    <row r="907" spans="1:1" ht="12.5">
      <c r="A907" s="32"/>
    </row>
    <row r="908" spans="1:1" ht="12.5">
      <c r="A908" s="32"/>
    </row>
    <row r="909" spans="1:1" ht="12.5">
      <c r="A909" s="32"/>
    </row>
    <row r="910" spans="1:1" ht="12.5">
      <c r="A910" s="32"/>
    </row>
    <row r="911" spans="1:1" ht="12.5">
      <c r="A911" s="32"/>
    </row>
    <row r="912" spans="1:1" ht="12.5">
      <c r="A912" s="32"/>
    </row>
    <row r="913" spans="1:1" ht="12.5">
      <c r="A913" s="32"/>
    </row>
    <row r="914" spans="1:1" ht="12.5">
      <c r="A914" s="32"/>
    </row>
    <row r="915" spans="1:1" ht="12.5">
      <c r="A915" s="32"/>
    </row>
    <row r="916" spans="1:1" ht="12.5">
      <c r="A916" s="32"/>
    </row>
    <row r="917" spans="1:1" ht="12.5">
      <c r="A917" s="32"/>
    </row>
    <row r="918" spans="1:1" ht="12.5">
      <c r="A918" s="32"/>
    </row>
    <row r="919" spans="1:1" ht="12.5">
      <c r="A919" s="32"/>
    </row>
    <row r="920" spans="1:1" ht="12.5">
      <c r="A920" s="32"/>
    </row>
    <row r="921" spans="1:1" ht="12.5">
      <c r="A921" s="32"/>
    </row>
    <row r="922" spans="1:1" ht="12.5">
      <c r="A922" s="32"/>
    </row>
    <row r="923" spans="1:1" ht="12.5">
      <c r="A923" s="32"/>
    </row>
    <row r="924" spans="1:1" ht="12.5">
      <c r="A924" s="32"/>
    </row>
    <row r="925" spans="1:1" ht="12.5">
      <c r="A925" s="32"/>
    </row>
    <row r="926" spans="1:1" ht="12.5">
      <c r="A926" s="32"/>
    </row>
    <row r="927" spans="1:1" ht="12.5">
      <c r="A927" s="32"/>
    </row>
    <row r="928" spans="1:1" ht="12.5">
      <c r="A928" s="32"/>
    </row>
    <row r="929" spans="1:1" ht="12.5">
      <c r="A929" s="32"/>
    </row>
    <row r="930" spans="1:1" ht="12.5">
      <c r="A930" s="32"/>
    </row>
    <row r="931" spans="1:1" ht="12.5">
      <c r="A931" s="32"/>
    </row>
    <row r="932" spans="1:1" ht="12.5">
      <c r="A932" s="32"/>
    </row>
    <row r="933" spans="1:1" ht="12.5">
      <c r="A933" s="32"/>
    </row>
    <row r="934" spans="1:1" ht="12.5">
      <c r="A934" s="32"/>
    </row>
    <row r="935" spans="1:1" ht="12.5">
      <c r="A935" s="32"/>
    </row>
    <row r="936" spans="1:1" ht="12.5">
      <c r="A936" s="32"/>
    </row>
    <row r="937" spans="1:1" ht="12.5">
      <c r="A937" s="32"/>
    </row>
    <row r="938" spans="1:1" ht="12.5">
      <c r="A938" s="32"/>
    </row>
    <row r="939" spans="1:1" ht="12.5">
      <c r="A939" s="32"/>
    </row>
    <row r="940" spans="1:1" ht="12.5">
      <c r="A940" s="32"/>
    </row>
    <row r="941" spans="1:1" ht="12.5">
      <c r="A941" s="32"/>
    </row>
    <row r="942" spans="1:1" ht="12.5">
      <c r="A942" s="32"/>
    </row>
    <row r="943" spans="1:1" ht="12.5">
      <c r="A943" s="32"/>
    </row>
    <row r="944" spans="1:1" ht="12.5">
      <c r="A944" s="32"/>
    </row>
    <row r="945" spans="1:1" ht="12.5">
      <c r="A945" s="32"/>
    </row>
    <row r="946" spans="1:1" ht="12.5">
      <c r="A946" s="32"/>
    </row>
    <row r="947" spans="1:1" ht="12.5">
      <c r="A947" s="32"/>
    </row>
    <row r="948" spans="1:1" ht="12.5">
      <c r="A948" s="32"/>
    </row>
    <row r="949" spans="1:1" ht="12.5">
      <c r="A949" s="32"/>
    </row>
    <row r="950" spans="1:1" ht="12.5">
      <c r="A950" s="32"/>
    </row>
    <row r="951" spans="1:1" ht="12.5">
      <c r="A951" s="32"/>
    </row>
    <row r="952" spans="1:1" ht="12.5">
      <c r="A952" s="32"/>
    </row>
    <row r="953" spans="1:1" ht="12.5">
      <c r="A953" s="32"/>
    </row>
    <row r="954" spans="1:1" ht="12.5">
      <c r="A954" s="32"/>
    </row>
    <row r="955" spans="1:1" ht="12.5">
      <c r="A955" s="32"/>
    </row>
    <row r="956" spans="1:1" ht="12.5">
      <c r="A956" s="32"/>
    </row>
    <row r="957" spans="1:1" ht="12.5">
      <c r="A957" s="32"/>
    </row>
    <row r="958" spans="1:1" ht="12.5">
      <c r="A958" s="32"/>
    </row>
    <row r="959" spans="1:1" ht="12.5">
      <c r="A959" s="32"/>
    </row>
    <row r="960" spans="1:1" ht="12.5">
      <c r="A960" s="32"/>
    </row>
    <row r="961" spans="1:1" ht="12.5">
      <c r="A961" s="32"/>
    </row>
    <row r="962" spans="1:1" ht="12.5">
      <c r="A962" s="32"/>
    </row>
    <row r="963" spans="1:1" ht="12.5">
      <c r="A963" s="32"/>
    </row>
    <row r="964" spans="1:1" ht="12.5">
      <c r="A964" s="32"/>
    </row>
    <row r="965" spans="1:1" ht="12.5">
      <c r="A965" s="32"/>
    </row>
    <row r="966" spans="1:1" ht="12.5">
      <c r="A966" s="32"/>
    </row>
    <row r="967" spans="1:1" ht="12.5">
      <c r="A967" s="32"/>
    </row>
    <row r="968" spans="1:1" ht="12.5">
      <c r="A968" s="32"/>
    </row>
    <row r="969" spans="1:1" ht="12.5">
      <c r="A969" s="32"/>
    </row>
    <row r="970" spans="1:1" ht="12.5">
      <c r="A970" s="32"/>
    </row>
    <row r="971" spans="1:1" ht="12.5">
      <c r="A971" s="32"/>
    </row>
    <row r="972" spans="1:1" ht="12.5">
      <c r="A972" s="32"/>
    </row>
    <row r="973" spans="1:1" ht="12.5">
      <c r="A973" s="32"/>
    </row>
    <row r="974" spans="1:1" ht="12.5">
      <c r="A974" s="32"/>
    </row>
    <row r="975" spans="1:1" ht="12.5">
      <c r="A975" s="32"/>
    </row>
    <row r="976" spans="1:1" ht="12.5">
      <c r="A976" s="32"/>
    </row>
    <row r="977" spans="1:1" ht="12.5">
      <c r="A977" s="32"/>
    </row>
    <row r="978" spans="1:1" ht="12.5">
      <c r="A978" s="32"/>
    </row>
    <row r="979" spans="1:1" ht="12.5">
      <c r="A979" s="32"/>
    </row>
    <row r="980" spans="1:1" ht="12.5">
      <c r="A980" s="32"/>
    </row>
    <row r="981" spans="1:1" ht="12.5">
      <c r="A981" s="32"/>
    </row>
    <row r="982" spans="1:1" ht="12.5">
      <c r="A982" s="32"/>
    </row>
    <row r="983" spans="1:1" ht="12.5">
      <c r="A983" s="32"/>
    </row>
    <row r="984" spans="1:1" ht="12.5">
      <c r="A984" s="32"/>
    </row>
    <row r="985" spans="1:1" ht="12.5">
      <c r="A985" s="32"/>
    </row>
    <row r="986" spans="1:1" ht="12.5">
      <c r="A986" s="32"/>
    </row>
    <row r="987" spans="1:1" ht="12.5">
      <c r="A987" s="32"/>
    </row>
    <row r="988" spans="1:1" ht="12.5">
      <c r="A988" s="32"/>
    </row>
    <row r="989" spans="1:1" ht="12.5">
      <c r="A989" s="32"/>
    </row>
    <row r="990" spans="1:1" ht="12.5">
      <c r="A990" s="32"/>
    </row>
    <row r="991" spans="1:1" ht="12.5">
      <c r="A991" s="32"/>
    </row>
    <row r="992" spans="1:1" ht="12.5">
      <c r="A992" s="32"/>
    </row>
    <row r="993" spans="1:1" ht="12.5">
      <c r="A993" s="32"/>
    </row>
    <row r="994" spans="1:1" ht="12.5">
      <c r="A994" s="32"/>
    </row>
    <row r="995" spans="1:1" ht="12.5">
      <c r="A995" s="32"/>
    </row>
    <row r="996" spans="1:1" ht="12.5">
      <c r="A996" s="32"/>
    </row>
    <row r="997" spans="1:1" ht="12.5">
      <c r="A997" s="32"/>
    </row>
    <row r="998" spans="1:1" ht="12.5">
      <c r="A998" s="32"/>
    </row>
    <row r="999" spans="1:1" ht="12.5">
      <c r="A999" s="3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D999"/>
  <sheetViews>
    <sheetView workbookViewId="0">
      <pane ySplit="1" topLeftCell="A2" activePane="bottomLeft" state="frozen"/>
      <selection pane="bottomLeft" activeCell="B3" sqref="B3"/>
    </sheetView>
  </sheetViews>
  <sheetFormatPr baseColWidth="10" defaultColWidth="12.6328125" defaultRowHeight="15.75" customHeight="1"/>
  <sheetData>
    <row r="1" spans="1:30">
      <c r="A1" s="102" t="s">
        <v>5003</v>
      </c>
      <c r="B1" s="68" t="s">
        <v>3</v>
      </c>
      <c r="C1" s="68" t="s">
        <v>7</v>
      </c>
      <c r="D1" s="68" t="s">
        <v>8</v>
      </c>
      <c r="E1" s="103" t="s">
        <v>5</v>
      </c>
      <c r="F1" s="68" t="s">
        <v>6</v>
      </c>
      <c r="G1" s="68" t="s">
        <v>9</v>
      </c>
      <c r="H1" s="102" t="s">
        <v>10</v>
      </c>
      <c r="I1" s="29" t="s">
        <v>38</v>
      </c>
      <c r="J1" s="29" t="s">
        <v>39</v>
      </c>
      <c r="K1" s="29" t="s">
        <v>40</v>
      </c>
      <c r="L1" s="104" t="s">
        <v>41</v>
      </c>
      <c r="M1" s="104" t="s">
        <v>42</v>
      </c>
      <c r="N1" s="104" t="s">
        <v>43</v>
      </c>
      <c r="O1" s="29" t="s">
        <v>45</v>
      </c>
      <c r="P1" s="29" t="s">
        <v>46</v>
      </c>
      <c r="Q1" s="29" t="s">
        <v>47</v>
      </c>
      <c r="R1" s="105" t="s">
        <v>48</v>
      </c>
      <c r="S1" s="68"/>
      <c r="T1" s="68"/>
      <c r="U1" s="68"/>
      <c r="V1" s="68"/>
      <c r="W1" s="68"/>
      <c r="X1" s="68"/>
      <c r="Y1" s="68"/>
      <c r="Z1" s="68"/>
      <c r="AA1" s="68"/>
      <c r="AB1" s="68"/>
      <c r="AC1" s="68"/>
      <c r="AD1" s="68"/>
    </row>
    <row r="2" spans="1:30" ht="15.75" customHeight="1">
      <c r="A2" s="106">
        <v>1</v>
      </c>
      <c r="B2" s="71" t="s">
        <v>1897</v>
      </c>
      <c r="C2" s="107" t="s">
        <v>5004</v>
      </c>
      <c r="D2" s="84" t="s">
        <v>1448</v>
      </c>
      <c r="E2" s="108" t="s">
        <v>1898</v>
      </c>
      <c r="F2" s="72" t="s">
        <v>1899</v>
      </c>
      <c r="G2" s="72" t="s">
        <v>1900</v>
      </c>
      <c r="H2" s="71">
        <v>20</v>
      </c>
      <c r="I2" s="72" t="s">
        <v>5005</v>
      </c>
      <c r="J2" s="72" t="s">
        <v>199</v>
      </c>
      <c r="K2" s="72" t="s">
        <v>200</v>
      </c>
      <c r="L2" s="72" t="s">
        <v>201</v>
      </c>
      <c r="M2" s="72" t="s">
        <v>202</v>
      </c>
      <c r="N2" s="72" t="s">
        <v>5006</v>
      </c>
      <c r="O2" s="43" t="s">
        <v>99</v>
      </c>
      <c r="P2" s="109" t="s">
        <v>146</v>
      </c>
      <c r="Q2" s="110" t="s">
        <v>839</v>
      </c>
      <c r="R2" s="111" t="s">
        <v>102</v>
      </c>
    </row>
    <row r="3" spans="1:30" ht="15.75" customHeight="1">
      <c r="A3" s="106">
        <v>2</v>
      </c>
      <c r="B3" s="71" t="s">
        <v>1897</v>
      </c>
      <c r="C3" s="107" t="s">
        <v>5004</v>
      </c>
      <c r="D3" s="84" t="s">
        <v>1448</v>
      </c>
      <c r="E3" s="108" t="s">
        <v>1898</v>
      </c>
      <c r="F3" s="72" t="s">
        <v>2273</v>
      </c>
      <c r="G3" s="72" t="s">
        <v>2274</v>
      </c>
      <c r="H3" s="71">
        <v>15</v>
      </c>
      <c r="I3" s="72" t="s">
        <v>93</v>
      </c>
      <c r="J3" s="72" t="s">
        <v>94</v>
      </c>
      <c r="K3" s="72" t="s">
        <v>407</v>
      </c>
      <c r="L3" s="72" t="s">
        <v>408</v>
      </c>
      <c r="M3" s="72" t="s">
        <v>409</v>
      </c>
      <c r="N3" s="72" t="s">
        <v>97</v>
      </c>
      <c r="O3" s="43" t="s">
        <v>99</v>
      </c>
      <c r="P3" s="109" t="s">
        <v>146</v>
      </c>
      <c r="Q3" s="110" t="s">
        <v>5007</v>
      </c>
      <c r="R3" s="111" t="s">
        <v>102</v>
      </c>
    </row>
    <row r="4" spans="1:30" ht="15.75" customHeight="1">
      <c r="A4" s="106">
        <v>3</v>
      </c>
      <c r="B4" s="71" t="s">
        <v>1897</v>
      </c>
      <c r="C4" s="107" t="s">
        <v>5004</v>
      </c>
      <c r="D4" s="84" t="s">
        <v>1448</v>
      </c>
      <c r="E4" s="108" t="s">
        <v>1898</v>
      </c>
      <c r="F4" s="72" t="s">
        <v>5008</v>
      </c>
      <c r="G4" s="72" t="s">
        <v>5009</v>
      </c>
      <c r="H4" s="71">
        <v>16</v>
      </c>
      <c r="I4" s="72" t="s">
        <v>141</v>
      </c>
      <c r="J4" s="72" t="s">
        <v>94</v>
      </c>
      <c r="K4" s="72" t="s">
        <v>407</v>
      </c>
      <c r="L4" s="112" t="s">
        <v>1184</v>
      </c>
      <c r="M4" s="112" t="s">
        <v>1184</v>
      </c>
      <c r="N4" s="34" t="s">
        <v>691</v>
      </c>
      <c r="O4" s="43" t="s">
        <v>99</v>
      </c>
      <c r="P4" s="109" t="s">
        <v>146</v>
      </c>
      <c r="Q4" s="110" t="s">
        <v>147</v>
      </c>
      <c r="R4" s="111" t="s">
        <v>102</v>
      </c>
    </row>
    <row r="5" spans="1:30" ht="15.75" customHeight="1">
      <c r="A5" s="106">
        <v>4</v>
      </c>
      <c r="B5" s="71" t="s">
        <v>5010</v>
      </c>
      <c r="C5" s="107" t="s">
        <v>5004</v>
      </c>
      <c r="D5" s="84" t="s">
        <v>1448</v>
      </c>
      <c r="E5" s="108" t="s">
        <v>5011</v>
      </c>
      <c r="F5" s="72" t="s">
        <v>5012</v>
      </c>
      <c r="G5" s="72" t="s">
        <v>5013</v>
      </c>
      <c r="H5" s="71">
        <v>1500</v>
      </c>
      <c r="I5" s="72" t="s">
        <v>664</v>
      </c>
      <c r="J5" s="72" t="s">
        <v>94</v>
      </c>
      <c r="K5" s="112" t="s">
        <v>95</v>
      </c>
      <c r="L5" s="112" t="s">
        <v>95</v>
      </c>
      <c r="M5" s="72" t="s">
        <v>96</v>
      </c>
      <c r="N5" s="34"/>
      <c r="O5" s="43" t="s">
        <v>99</v>
      </c>
      <c r="P5" s="109" t="s">
        <v>146</v>
      </c>
      <c r="Q5" s="110" t="s">
        <v>233</v>
      </c>
      <c r="R5" s="111" t="s">
        <v>102</v>
      </c>
    </row>
    <row r="6" spans="1:30" ht="15.75" customHeight="1">
      <c r="A6" s="106">
        <v>5</v>
      </c>
      <c r="B6" s="71" t="s">
        <v>1445</v>
      </c>
      <c r="C6" s="107" t="s">
        <v>5004</v>
      </c>
      <c r="D6" s="84" t="s">
        <v>1448</v>
      </c>
      <c r="E6" s="108" t="s">
        <v>1446</v>
      </c>
      <c r="F6" s="72" t="s">
        <v>5014</v>
      </c>
      <c r="G6" s="72" t="s">
        <v>5015</v>
      </c>
      <c r="H6" s="71">
        <v>10000</v>
      </c>
      <c r="I6" s="72" t="s">
        <v>599</v>
      </c>
      <c r="J6" s="72" t="s">
        <v>94</v>
      </c>
      <c r="K6" s="112" t="s">
        <v>95</v>
      </c>
      <c r="L6" s="112" t="s">
        <v>589</v>
      </c>
      <c r="M6" s="112" t="s">
        <v>589</v>
      </c>
      <c r="N6" s="34"/>
      <c r="O6" s="43" t="s">
        <v>99</v>
      </c>
      <c r="P6" s="113" t="s">
        <v>100</v>
      </c>
      <c r="Q6" s="114" t="s">
        <v>665</v>
      </c>
      <c r="R6" s="111" t="s">
        <v>102</v>
      </c>
    </row>
    <row r="7" spans="1:30" ht="15.75" customHeight="1">
      <c r="A7" s="106">
        <v>6</v>
      </c>
      <c r="B7" s="71" t="s">
        <v>1445</v>
      </c>
      <c r="C7" s="107" t="s">
        <v>5004</v>
      </c>
      <c r="D7" s="84" t="s">
        <v>1448</v>
      </c>
      <c r="E7" s="108" t="s">
        <v>1446</v>
      </c>
      <c r="F7" s="72" t="s">
        <v>1447</v>
      </c>
      <c r="G7" s="72" t="s">
        <v>1449</v>
      </c>
      <c r="H7" s="71">
        <v>6000</v>
      </c>
      <c r="I7" s="72" t="s">
        <v>251</v>
      </c>
      <c r="J7" s="72" t="s">
        <v>94</v>
      </c>
      <c r="K7" s="72" t="s">
        <v>142</v>
      </c>
      <c r="L7" s="112" t="s">
        <v>5016</v>
      </c>
      <c r="M7" s="112" t="s">
        <v>5016</v>
      </c>
      <c r="N7" s="34"/>
      <c r="O7" s="43" t="s">
        <v>99</v>
      </c>
      <c r="P7" s="113" t="s">
        <v>100</v>
      </c>
      <c r="Q7" s="114" t="s">
        <v>101</v>
      </c>
      <c r="R7" s="111" t="s">
        <v>102</v>
      </c>
    </row>
    <row r="8" spans="1:30" ht="15.75" customHeight="1">
      <c r="A8" s="106">
        <v>7</v>
      </c>
      <c r="B8" s="71" t="s">
        <v>1445</v>
      </c>
      <c r="C8" s="107" t="s">
        <v>5004</v>
      </c>
      <c r="D8" s="84" t="s">
        <v>1448</v>
      </c>
      <c r="E8" s="108" t="s">
        <v>1446</v>
      </c>
      <c r="F8" s="72" t="s">
        <v>5017</v>
      </c>
      <c r="G8" s="72" t="s">
        <v>5018</v>
      </c>
      <c r="H8" s="71">
        <v>5</v>
      </c>
      <c r="I8" s="72" t="s">
        <v>1832</v>
      </c>
      <c r="J8" s="72" t="s">
        <v>94</v>
      </c>
      <c r="K8" s="72" t="s">
        <v>142</v>
      </c>
      <c r="L8" s="72" t="s">
        <v>143</v>
      </c>
      <c r="M8" s="72" t="s">
        <v>232</v>
      </c>
      <c r="N8" s="34"/>
      <c r="O8" s="43" t="s">
        <v>99</v>
      </c>
      <c r="P8" s="113" t="s">
        <v>100</v>
      </c>
      <c r="Q8" s="114" t="s">
        <v>5019</v>
      </c>
      <c r="R8" s="115" t="s">
        <v>620</v>
      </c>
    </row>
    <row r="9" spans="1:30" ht="15.75" customHeight="1">
      <c r="A9" s="106">
        <v>8</v>
      </c>
      <c r="B9" s="71" t="s">
        <v>1926</v>
      </c>
      <c r="C9" s="107" t="s">
        <v>5004</v>
      </c>
      <c r="D9" s="84" t="s">
        <v>1448</v>
      </c>
      <c r="E9" s="108" t="s">
        <v>1927</v>
      </c>
      <c r="F9" s="72" t="s">
        <v>5020</v>
      </c>
      <c r="G9" s="72" t="s">
        <v>2029</v>
      </c>
      <c r="H9" s="71">
        <v>50</v>
      </c>
      <c r="I9" s="72" t="s">
        <v>5021</v>
      </c>
      <c r="J9" s="72" t="s">
        <v>94</v>
      </c>
      <c r="K9" s="72" t="s">
        <v>142</v>
      </c>
      <c r="L9" s="72" t="s">
        <v>143</v>
      </c>
      <c r="M9" s="72" t="s">
        <v>144</v>
      </c>
      <c r="N9" s="34"/>
      <c r="O9" s="43" t="s">
        <v>99</v>
      </c>
      <c r="P9" s="116" t="s">
        <v>618</v>
      </c>
      <c r="Q9" s="117" t="s">
        <v>5022</v>
      </c>
      <c r="R9" s="115" t="s">
        <v>620</v>
      </c>
    </row>
    <row r="10" spans="1:30" ht="15.75" customHeight="1">
      <c r="A10" s="106">
        <v>9</v>
      </c>
      <c r="B10" s="71" t="s">
        <v>1926</v>
      </c>
      <c r="C10" s="107" t="s">
        <v>5004</v>
      </c>
      <c r="D10" s="84" t="s">
        <v>1448</v>
      </c>
      <c r="E10" s="108" t="s">
        <v>1927</v>
      </c>
      <c r="F10" s="72" t="s">
        <v>5023</v>
      </c>
      <c r="G10" s="72" t="s">
        <v>1715</v>
      </c>
      <c r="H10" s="71">
        <v>40</v>
      </c>
      <c r="I10" s="72" t="s">
        <v>1739</v>
      </c>
      <c r="J10" s="72" t="s">
        <v>94</v>
      </c>
      <c r="K10" s="72" t="s">
        <v>142</v>
      </c>
      <c r="L10" s="72" t="s">
        <v>143</v>
      </c>
      <c r="M10" s="72" t="s">
        <v>5024</v>
      </c>
      <c r="N10" s="34"/>
      <c r="O10" s="118" t="s">
        <v>275</v>
      </c>
      <c r="P10" s="116" t="s">
        <v>618</v>
      </c>
      <c r="Q10" s="117" t="s">
        <v>619</v>
      </c>
      <c r="R10" s="115" t="s">
        <v>620</v>
      </c>
    </row>
    <row r="11" spans="1:30" ht="15.75" customHeight="1">
      <c r="A11" s="106">
        <v>10</v>
      </c>
      <c r="B11" s="71" t="s">
        <v>1926</v>
      </c>
      <c r="C11" s="107" t="s">
        <v>5004</v>
      </c>
      <c r="D11" s="84" t="s">
        <v>1448</v>
      </c>
      <c r="E11" s="108" t="s">
        <v>1927</v>
      </c>
      <c r="F11" s="72" t="s">
        <v>1928</v>
      </c>
      <c r="G11" s="72" t="s">
        <v>1349</v>
      </c>
      <c r="H11" s="71">
        <v>20</v>
      </c>
      <c r="I11" s="72" t="s">
        <v>755</v>
      </c>
      <c r="J11" s="72" t="s">
        <v>266</v>
      </c>
      <c r="K11" s="72" t="s">
        <v>267</v>
      </c>
      <c r="L11" s="112" t="s">
        <v>295</v>
      </c>
      <c r="M11" s="112" t="s">
        <v>295</v>
      </c>
      <c r="N11" s="34"/>
      <c r="O11" s="118" t="s">
        <v>275</v>
      </c>
      <c r="P11" s="119" t="s">
        <v>276</v>
      </c>
      <c r="Q11" s="120" t="s">
        <v>1740</v>
      </c>
      <c r="R11" s="121" t="s">
        <v>278</v>
      </c>
    </row>
    <row r="12" spans="1:30" ht="15.75" customHeight="1">
      <c r="A12" s="106">
        <v>11</v>
      </c>
      <c r="B12" s="71" t="s">
        <v>5025</v>
      </c>
      <c r="C12" s="107" t="s">
        <v>5004</v>
      </c>
      <c r="D12" s="84" t="s">
        <v>1448</v>
      </c>
      <c r="E12" s="108" t="s">
        <v>5026</v>
      </c>
      <c r="F12" s="72" t="s">
        <v>5027</v>
      </c>
      <c r="G12" s="72" t="s">
        <v>5028</v>
      </c>
      <c r="H12" s="71">
        <v>3</v>
      </c>
      <c r="I12" s="72" t="s">
        <v>649</v>
      </c>
      <c r="J12" s="72" t="s">
        <v>266</v>
      </c>
      <c r="K12" s="72" t="s">
        <v>267</v>
      </c>
      <c r="L12" s="72" t="s">
        <v>268</v>
      </c>
      <c r="M12" s="72" t="s">
        <v>269</v>
      </c>
      <c r="N12" s="34"/>
      <c r="O12" s="118" t="s">
        <v>275</v>
      </c>
      <c r="P12" s="119" t="s">
        <v>276</v>
      </c>
      <c r="Q12" s="120" t="s">
        <v>5029</v>
      </c>
      <c r="R12" s="121" t="s">
        <v>278</v>
      </c>
    </row>
    <row r="13" spans="1:30" ht="15.75" customHeight="1">
      <c r="A13" s="106">
        <v>12</v>
      </c>
      <c r="B13" s="71" t="s">
        <v>5030</v>
      </c>
      <c r="C13" s="107" t="s">
        <v>5031</v>
      </c>
      <c r="D13" s="122" t="s">
        <v>5032</v>
      </c>
      <c r="E13" s="108" t="s">
        <v>5033</v>
      </c>
      <c r="F13" s="72" t="s">
        <v>5034</v>
      </c>
      <c r="G13" s="72" t="s">
        <v>5035</v>
      </c>
      <c r="H13" s="71">
        <v>3</v>
      </c>
      <c r="I13" s="72" t="s">
        <v>5036</v>
      </c>
      <c r="J13" s="72" t="s">
        <v>301</v>
      </c>
      <c r="K13" s="112" t="s">
        <v>302</v>
      </c>
      <c r="L13" s="112" t="s">
        <v>302</v>
      </c>
      <c r="M13" s="112" t="s">
        <v>302</v>
      </c>
      <c r="N13" s="34"/>
      <c r="O13" s="118" t="s">
        <v>275</v>
      </c>
      <c r="P13" s="119" t="s">
        <v>276</v>
      </c>
      <c r="Q13" s="120" t="s">
        <v>277</v>
      </c>
      <c r="R13" s="121" t="s">
        <v>278</v>
      </c>
    </row>
    <row r="14" spans="1:30" ht="15.75" customHeight="1">
      <c r="A14" s="106">
        <v>13</v>
      </c>
      <c r="B14" s="71" t="s">
        <v>1389</v>
      </c>
      <c r="C14" s="107" t="s">
        <v>5031</v>
      </c>
      <c r="D14" s="107" t="s">
        <v>5037</v>
      </c>
      <c r="E14" s="108" t="s">
        <v>1390</v>
      </c>
      <c r="F14" s="72" t="s">
        <v>1391</v>
      </c>
      <c r="G14" s="72" t="s">
        <v>1394</v>
      </c>
      <c r="H14" s="71">
        <v>105000</v>
      </c>
      <c r="I14" s="72" t="s">
        <v>294</v>
      </c>
      <c r="J14" s="72" t="s">
        <v>301</v>
      </c>
      <c r="K14" s="112" t="s">
        <v>1933</v>
      </c>
      <c r="L14" s="112" t="s">
        <v>1933</v>
      </c>
      <c r="M14" s="112" t="s">
        <v>1933</v>
      </c>
      <c r="N14" s="34"/>
      <c r="O14" s="118" t="s">
        <v>275</v>
      </c>
      <c r="P14" s="119" t="s">
        <v>276</v>
      </c>
      <c r="Q14" s="120" t="s">
        <v>5038</v>
      </c>
      <c r="R14" s="123" t="s">
        <v>584</v>
      </c>
    </row>
    <row r="15" spans="1:30" ht="15.75" customHeight="1">
      <c r="A15" s="106">
        <v>14</v>
      </c>
      <c r="B15" s="71" t="s">
        <v>1389</v>
      </c>
      <c r="C15" s="107" t="s">
        <v>5031</v>
      </c>
      <c r="D15" s="107" t="s">
        <v>5037</v>
      </c>
      <c r="E15" s="108" t="s">
        <v>1390</v>
      </c>
      <c r="F15" s="72" t="s">
        <v>5039</v>
      </c>
      <c r="G15" s="72" t="s">
        <v>5040</v>
      </c>
      <c r="H15" s="71">
        <v>2</v>
      </c>
      <c r="I15" s="72" t="s">
        <v>1385</v>
      </c>
      <c r="N15" s="34"/>
      <c r="O15" s="118" t="s">
        <v>275</v>
      </c>
      <c r="P15" s="119" t="s">
        <v>276</v>
      </c>
      <c r="Q15" s="124" t="s">
        <v>5041</v>
      </c>
      <c r="R15" s="123" t="s">
        <v>584</v>
      </c>
    </row>
    <row r="16" spans="1:30" ht="15.75" customHeight="1">
      <c r="A16" s="106">
        <v>15</v>
      </c>
      <c r="B16" s="71" t="s">
        <v>5042</v>
      </c>
      <c r="C16" s="107" t="s">
        <v>5031</v>
      </c>
      <c r="D16" s="107" t="s">
        <v>5037</v>
      </c>
      <c r="E16" s="108" t="s">
        <v>5043</v>
      </c>
      <c r="F16" s="72" t="s">
        <v>5044</v>
      </c>
      <c r="G16" s="72" t="s">
        <v>1394</v>
      </c>
      <c r="H16" s="71">
        <v>80000</v>
      </c>
      <c r="I16" s="72" t="s">
        <v>198</v>
      </c>
      <c r="N16" s="34"/>
      <c r="O16" s="118" t="s">
        <v>275</v>
      </c>
      <c r="P16" s="125" t="s">
        <v>582</v>
      </c>
      <c r="Q16" s="126" t="s">
        <v>583</v>
      </c>
      <c r="R16" s="123" t="s">
        <v>584</v>
      </c>
    </row>
    <row r="17" spans="1:18" ht="15.75" customHeight="1">
      <c r="A17" s="106">
        <v>16</v>
      </c>
      <c r="B17" s="71" t="s">
        <v>5042</v>
      </c>
      <c r="C17" s="107" t="s">
        <v>5031</v>
      </c>
      <c r="D17" s="107" t="s">
        <v>5037</v>
      </c>
      <c r="E17" s="108" t="s">
        <v>5043</v>
      </c>
      <c r="F17" s="72" t="s">
        <v>5045</v>
      </c>
      <c r="G17" s="72" t="s">
        <v>5040</v>
      </c>
      <c r="H17" s="71">
        <v>2</v>
      </c>
      <c r="I17" s="72" t="s">
        <v>1375</v>
      </c>
      <c r="N17" s="34"/>
      <c r="O17" s="127" t="s">
        <v>217</v>
      </c>
      <c r="P17" s="125" t="s">
        <v>582</v>
      </c>
      <c r="Q17" s="126" t="s">
        <v>5046</v>
      </c>
      <c r="R17" s="123" t="s">
        <v>584</v>
      </c>
    </row>
    <row r="18" spans="1:18" ht="15.75" customHeight="1">
      <c r="A18" s="106">
        <v>17</v>
      </c>
      <c r="B18" s="71" t="s">
        <v>5047</v>
      </c>
      <c r="C18" s="107" t="s">
        <v>5031</v>
      </c>
      <c r="D18" s="107" t="s">
        <v>5037</v>
      </c>
      <c r="E18" s="108" t="s">
        <v>5048</v>
      </c>
      <c r="F18" s="72" t="s">
        <v>5049</v>
      </c>
      <c r="G18" s="72" t="s">
        <v>5040</v>
      </c>
      <c r="H18" s="71">
        <v>2</v>
      </c>
      <c r="I18" s="72" t="s">
        <v>2326</v>
      </c>
      <c r="N18" s="34"/>
      <c r="O18" s="127" t="s">
        <v>217</v>
      </c>
      <c r="P18" s="128" t="s">
        <v>252</v>
      </c>
      <c r="Q18" s="129" t="s">
        <v>5050</v>
      </c>
      <c r="R18" s="130" t="s">
        <v>254</v>
      </c>
    </row>
    <row r="19" spans="1:18" ht="15.75" customHeight="1">
      <c r="A19" s="106">
        <v>18</v>
      </c>
      <c r="B19" s="71" t="s">
        <v>1405</v>
      </c>
      <c r="C19" s="107" t="s">
        <v>5031</v>
      </c>
      <c r="D19" s="107" t="s">
        <v>5037</v>
      </c>
      <c r="E19" s="108" t="s">
        <v>5051</v>
      </c>
      <c r="F19" s="72" t="s">
        <v>5052</v>
      </c>
      <c r="G19" s="72" t="s">
        <v>1394</v>
      </c>
      <c r="H19" s="71">
        <v>90000</v>
      </c>
      <c r="N19" s="34"/>
      <c r="O19" s="127" t="s">
        <v>217</v>
      </c>
      <c r="P19" s="128" t="s">
        <v>252</v>
      </c>
      <c r="Q19" s="129" t="s">
        <v>1364</v>
      </c>
      <c r="R19" s="130" t="s">
        <v>254</v>
      </c>
    </row>
    <row r="20" spans="1:18" ht="14.5">
      <c r="A20" s="106">
        <v>19</v>
      </c>
      <c r="B20" s="71" t="s">
        <v>1405</v>
      </c>
      <c r="C20" s="107" t="s">
        <v>5031</v>
      </c>
      <c r="D20" s="107" t="s">
        <v>5037</v>
      </c>
      <c r="E20" s="108" t="s">
        <v>5051</v>
      </c>
      <c r="F20" s="72" t="s">
        <v>5053</v>
      </c>
      <c r="G20" s="72" t="s">
        <v>5040</v>
      </c>
      <c r="H20" s="71">
        <v>2</v>
      </c>
      <c r="N20" s="34"/>
      <c r="O20" s="127" t="s">
        <v>217</v>
      </c>
      <c r="P20" s="128" t="s">
        <v>252</v>
      </c>
      <c r="Q20" s="129" t="s">
        <v>253</v>
      </c>
      <c r="R20" s="130" t="s">
        <v>254</v>
      </c>
    </row>
    <row r="21" spans="1:18" ht="14.5">
      <c r="A21" s="106">
        <v>20</v>
      </c>
      <c r="B21" s="71" t="s">
        <v>5054</v>
      </c>
      <c r="C21" s="107" t="s">
        <v>5031</v>
      </c>
      <c r="D21" s="107" t="s">
        <v>5037</v>
      </c>
      <c r="E21" s="108" t="s">
        <v>5055</v>
      </c>
      <c r="F21" s="72" t="s">
        <v>5056</v>
      </c>
      <c r="G21" s="72" t="s">
        <v>1394</v>
      </c>
      <c r="H21" s="71">
        <v>95000</v>
      </c>
      <c r="N21" s="34"/>
      <c r="O21" s="127" t="s">
        <v>217</v>
      </c>
      <c r="P21" s="131" t="s">
        <v>218</v>
      </c>
      <c r="Q21" s="132" t="s">
        <v>1153</v>
      </c>
      <c r="R21" s="44" t="s">
        <v>220</v>
      </c>
    </row>
    <row r="22" spans="1:18" ht="14.5">
      <c r="A22" s="106">
        <v>21</v>
      </c>
      <c r="B22" s="71" t="s">
        <v>5054</v>
      </c>
      <c r="C22" s="107" t="s">
        <v>5031</v>
      </c>
      <c r="D22" s="107" t="s">
        <v>5037</v>
      </c>
      <c r="E22" s="108" t="s">
        <v>5055</v>
      </c>
      <c r="F22" s="72" t="s">
        <v>5057</v>
      </c>
      <c r="G22" s="72" t="s">
        <v>5040</v>
      </c>
      <c r="H22" s="71">
        <v>2</v>
      </c>
      <c r="N22" s="34"/>
      <c r="O22" s="127" t="s">
        <v>217</v>
      </c>
      <c r="P22" s="131" t="s">
        <v>218</v>
      </c>
      <c r="Q22" s="132" t="s">
        <v>5058</v>
      </c>
      <c r="R22" s="44" t="s">
        <v>220</v>
      </c>
    </row>
    <row r="23" spans="1:18" ht="14.5">
      <c r="A23" s="106">
        <v>22</v>
      </c>
      <c r="B23" s="71" t="s">
        <v>5059</v>
      </c>
      <c r="C23" s="107" t="s">
        <v>5031</v>
      </c>
      <c r="D23" s="107" t="s">
        <v>5037</v>
      </c>
      <c r="E23" s="108" t="s">
        <v>5060</v>
      </c>
      <c r="F23" s="72" t="s">
        <v>5061</v>
      </c>
      <c r="G23" s="72" t="s">
        <v>1394</v>
      </c>
      <c r="H23" s="71">
        <v>45000</v>
      </c>
      <c r="N23" s="34"/>
      <c r="O23" s="127" t="s">
        <v>217</v>
      </c>
      <c r="P23" s="131" t="s">
        <v>218</v>
      </c>
      <c r="Q23" s="132" t="s">
        <v>219</v>
      </c>
      <c r="R23" s="44" t="s">
        <v>220</v>
      </c>
    </row>
    <row r="24" spans="1:18" ht="14.5">
      <c r="A24" s="106">
        <v>23</v>
      </c>
      <c r="B24" s="71" t="s">
        <v>5059</v>
      </c>
      <c r="C24" s="107" t="s">
        <v>5031</v>
      </c>
      <c r="D24" s="107" t="s">
        <v>5037</v>
      </c>
      <c r="E24" s="108" t="s">
        <v>5060</v>
      </c>
      <c r="F24" s="72" t="s">
        <v>5062</v>
      </c>
      <c r="G24" s="72" t="s">
        <v>5040</v>
      </c>
      <c r="H24" s="71">
        <v>2</v>
      </c>
      <c r="N24" s="34"/>
      <c r="O24" s="127" t="s">
        <v>217</v>
      </c>
      <c r="P24" s="133" t="s">
        <v>5063</v>
      </c>
      <c r="Q24" s="134" t="s">
        <v>5064</v>
      </c>
      <c r="R24" s="135" t="s">
        <v>5065</v>
      </c>
    </row>
    <row r="25" spans="1:18" ht="14.5">
      <c r="A25" s="106">
        <v>24</v>
      </c>
      <c r="B25" s="71" t="s">
        <v>1999</v>
      </c>
      <c r="C25" s="107" t="s">
        <v>5031</v>
      </c>
      <c r="D25" s="107" t="s">
        <v>5032</v>
      </c>
      <c r="E25" s="108" t="s">
        <v>2000</v>
      </c>
      <c r="F25" s="72" t="s">
        <v>2001</v>
      </c>
      <c r="G25" s="72" t="s">
        <v>2002</v>
      </c>
      <c r="H25" s="71">
        <v>1240</v>
      </c>
      <c r="N25" s="34"/>
      <c r="O25" s="136" t="s">
        <v>203</v>
      </c>
      <c r="P25" s="133" t="s">
        <v>5063</v>
      </c>
      <c r="Q25" s="134" t="s">
        <v>5066</v>
      </c>
      <c r="R25" s="135" t="s">
        <v>5065</v>
      </c>
    </row>
    <row r="26" spans="1:18" ht="14.5">
      <c r="A26" s="106">
        <v>25</v>
      </c>
      <c r="B26" s="71" t="s">
        <v>1999</v>
      </c>
      <c r="C26" s="107" t="s">
        <v>5031</v>
      </c>
      <c r="D26" s="107" t="s">
        <v>5032</v>
      </c>
      <c r="E26" s="108" t="s">
        <v>2000</v>
      </c>
      <c r="F26" s="72" t="s">
        <v>2285</v>
      </c>
      <c r="G26" s="72" t="s">
        <v>2002</v>
      </c>
      <c r="H26" s="71">
        <v>700</v>
      </c>
      <c r="N26" s="34"/>
      <c r="O26" s="136" t="s">
        <v>203</v>
      </c>
      <c r="P26" s="44" t="s">
        <v>590</v>
      </c>
      <c r="Q26" s="137" t="s">
        <v>5067</v>
      </c>
      <c r="R26" s="138" t="s">
        <v>592</v>
      </c>
    </row>
    <row r="27" spans="1:18" ht="14.5">
      <c r="A27" s="106">
        <v>26</v>
      </c>
      <c r="B27" s="71" t="s">
        <v>1999</v>
      </c>
      <c r="C27" s="107" t="s">
        <v>5031</v>
      </c>
      <c r="D27" s="107" t="s">
        <v>5032</v>
      </c>
      <c r="E27" s="108" t="s">
        <v>2000</v>
      </c>
      <c r="F27" s="72" t="s">
        <v>2279</v>
      </c>
      <c r="G27" s="72" t="s">
        <v>2002</v>
      </c>
      <c r="H27" s="71">
        <v>400</v>
      </c>
      <c r="N27" s="34"/>
      <c r="O27" s="136" t="s">
        <v>203</v>
      </c>
      <c r="P27" s="44" t="s">
        <v>590</v>
      </c>
      <c r="Q27" s="137" t="s">
        <v>650</v>
      </c>
      <c r="R27" s="138" t="s">
        <v>592</v>
      </c>
    </row>
    <row r="28" spans="1:18" ht="14.5">
      <c r="A28" s="106">
        <v>27</v>
      </c>
      <c r="B28" s="71" t="s">
        <v>1745</v>
      </c>
      <c r="C28" s="107" t="s">
        <v>5031</v>
      </c>
      <c r="D28" s="107" t="s">
        <v>5032</v>
      </c>
      <c r="E28" s="108" t="s">
        <v>1746</v>
      </c>
      <c r="F28" s="72" t="s">
        <v>5068</v>
      </c>
      <c r="G28" s="72" t="s">
        <v>5069</v>
      </c>
      <c r="H28" s="71">
        <v>6.3</v>
      </c>
      <c r="N28" s="34"/>
      <c r="O28" s="136" t="s">
        <v>203</v>
      </c>
      <c r="P28" s="44" t="s">
        <v>590</v>
      </c>
      <c r="Q28" s="137" t="s">
        <v>591</v>
      </c>
      <c r="R28" s="138" t="s">
        <v>592</v>
      </c>
    </row>
    <row r="29" spans="1:18" ht="14.5">
      <c r="A29" s="106">
        <v>28</v>
      </c>
      <c r="B29" s="71" t="s">
        <v>1745</v>
      </c>
      <c r="C29" s="107" t="s">
        <v>5031</v>
      </c>
      <c r="D29" s="107" t="s">
        <v>5032</v>
      </c>
      <c r="E29" s="108" t="s">
        <v>1746</v>
      </c>
      <c r="F29" s="72" t="s">
        <v>5068</v>
      </c>
      <c r="G29" s="72" t="s">
        <v>5069</v>
      </c>
      <c r="H29" s="71">
        <v>3</v>
      </c>
      <c r="N29" s="34"/>
      <c r="O29" s="136" t="s">
        <v>203</v>
      </c>
      <c r="P29" s="44" t="s">
        <v>590</v>
      </c>
      <c r="Q29" s="137" t="s">
        <v>5070</v>
      </c>
      <c r="R29" s="138" t="s">
        <v>592</v>
      </c>
    </row>
    <row r="30" spans="1:18" ht="14.5">
      <c r="A30" s="106">
        <v>29</v>
      </c>
      <c r="B30" s="71" t="s">
        <v>1745</v>
      </c>
      <c r="C30" s="107" t="s">
        <v>5031</v>
      </c>
      <c r="D30" s="107" t="s">
        <v>5032</v>
      </c>
      <c r="E30" s="108" t="s">
        <v>1746</v>
      </c>
      <c r="F30" s="72" t="s">
        <v>1747</v>
      </c>
      <c r="G30" s="72" t="s">
        <v>1748</v>
      </c>
      <c r="H30" s="71">
        <v>16</v>
      </c>
      <c r="N30" s="34"/>
      <c r="O30" s="136" t="s">
        <v>203</v>
      </c>
      <c r="P30" s="44" t="s">
        <v>590</v>
      </c>
      <c r="Q30" s="137" t="s">
        <v>5071</v>
      </c>
      <c r="R30" s="138" t="s">
        <v>592</v>
      </c>
    </row>
    <row r="31" spans="1:18" ht="14.5">
      <c r="A31" s="106">
        <v>30</v>
      </c>
      <c r="B31" s="71" t="s">
        <v>1745</v>
      </c>
      <c r="C31" s="107" t="s">
        <v>5031</v>
      </c>
      <c r="D31" s="107" t="s">
        <v>5032</v>
      </c>
      <c r="E31" s="108" t="s">
        <v>1746</v>
      </c>
      <c r="F31" s="72" t="s">
        <v>2028</v>
      </c>
      <c r="G31" s="72" t="s">
        <v>2029</v>
      </c>
      <c r="H31" s="71">
        <v>4</v>
      </c>
      <c r="N31" s="34"/>
      <c r="O31" s="136" t="s">
        <v>203</v>
      </c>
      <c r="P31" s="139" t="s">
        <v>204</v>
      </c>
      <c r="Q31" s="94" t="s">
        <v>5072</v>
      </c>
      <c r="R31" s="140" t="s">
        <v>206</v>
      </c>
    </row>
    <row r="32" spans="1:18" ht="14.5">
      <c r="A32" s="106">
        <v>31</v>
      </c>
      <c r="B32" s="71" t="s">
        <v>1745</v>
      </c>
      <c r="C32" s="107" t="s">
        <v>5031</v>
      </c>
      <c r="D32" s="107" t="s">
        <v>5032</v>
      </c>
      <c r="E32" s="108" t="s">
        <v>1746</v>
      </c>
      <c r="F32" s="72" t="s">
        <v>1877</v>
      </c>
      <c r="G32" s="72" t="s">
        <v>1715</v>
      </c>
      <c r="H32" s="71">
        <v>3</v>
      </c>
      <c r="N32" s="34"/>
      <c r="O32" s="136" t="s">
        <v>203</v>
      </c>
      <c r="P32" s="139" t="s">
        <v>204</v>
      </c>
      <c r="Q32" s="94" t="s">
        <v>624</v>
      </c>
      <c r="R32" s="140" t="s">
        <v>206</v>
      </c>
    </row>
    <row r="33" spans="1:18" ht="14.5">
      <c r="A33" s="106">
        <v>32</v>
      </c>
      <c r="B33" s="71" t="s">
        <v>5073</v>
      </c>
      <c r="C33" s="107" t="s">
        <v>5031</v>
      </c>
      <c r="D33" s="107" t="s">
        <v>5032</v>
      </c>
      <c r="E33" s="108" t="s">
        <v>5074</v>
      </c>
      <c r="F33" s="72" t="s">
        <v>5075</v>
      </c>
      <c r="G33" s="72" t="s">
        <v>5076</v>
      </c>
      <c r="H33" s="71">
        <v>42</v>
      </c>
      <c r="N33" s="34"/>
      <c r="O33" s="136" t="s">
        <v>203</v>
      </c>
      <c r="P33" s="139" t="s">
        <v>204</v>
      </c>
      <c r="Q33" s="94" t="s">
        <v>205</v>
      </c>
      <c r="R33" s="140" t="s">
        <v>206</v>
      </c>
    </row>
    <row r="34" spans="1:18" ht="14.5">
      <c r="A34" s="106">
        <v>33</v>
      </c>
      <c r="B34" s="71" t="s">
        <v>5077</v>
      </c>
      <c r="C34" s="107" t="s">
        <v>5031</v>
      </c>
      <c r="D34" s="107" t="s">
        <v>5032</v>
      </c>
      <c r="E34" s="108" t="s">
        <v>5078</v>
      </c>
      <c r="F34" s="72" t="s">
        <v>5079</v>
      </c>
      <c r="G34" s="72" t="s">
        <v>5076</v>
      </c>
      <c r="H34" s="71">
        <v>8</v>
      </c>
      <c r="N34" s="34"/>
      <c r="O34" s="136" t="s">
        <v>203</v>
      </c>
      <c r="P34" s="139" t="s">
        <v>204</v>
      </c>
      <c r="Q34" s="94" t="s">
        <v>1402</v>
      </c>
      <c r="R34" s="140" t="s">
        <v>206</v>
      </c>
    </row>
    <row r="35" spans="1:18" ht="14.5">
      <c r="A35" s="106">
        <v>34</v>
      </c>
      <c r="B35" s="71" t="s">
        <v>5080</v>
      </c>
      <c r="C35" s="107" t="s">
        <v>5004</v>
      </c>
      <c r="D35" s="107" t="s">
        <v>5081</v>
      </c>
      <c r="E35" s="108" t="s">
        <v>1406</v>
      </c>
      <c r="F35" s="72" t="s">
        <v>5082</v>
      </c>
      <c r="G35" s="72" t="s">
        <v>5083</v>
      </c>
      <c r="H35" s="71">
        <v>5</v>
      </c>
      <c r="N35" s="34"/>
      <c r="O35" s="141" t="s">
        <v>226</v>
      </c>
      <c r="P35" s="139" t="s">
        <v>204</v>
      </c>
      <c r="Q35" s="94" t="s">
        <v>227</v>
      </c>
      <c r="R35" s="140" t="s">
        <v>206</v>
      </c>
    </row>
    <row r="36" spans="1:18" ht="14.5">
      <c r="A36" s="106">
        <v>35</v>
      </c>
      <c r="B36" s="71" t="s">
        <v>1405</v>
      </c>
      <c r="C36" s="107" t="s">
        <v>5004</v>
      </c>
      <c r="D36" s="107" t="s">
        <v>5081</v>
      </c>
      <c r="E36" s="108" t="s">
        <v>1406</v>
      </c>
      <c r="F36" s="72" t="s">
        <v>5084</v>
      </c>
      <c r="G36" s="72" t="s">
        <v>5085</v>
      </c>
      <c r="H36" s="71">
        <v>1</v>
      </c>
      <c r="N36" s="34"/>
      <c r="O36" s="141" t="s">
        <v>226</v>
      </c>
      <c r="P36" s="111" t="s">
        <v>5086</v>
      </c>
      <c r="Q36" s="142" t="s">
        <v>5087</v>
      </c>
      <c r="R36" s="143" t="s">
        <v>5088</v>
      </c>
    </row>
    <row r="37" spans="1:18" ht="14.5">
      <c r="A37" s="106">
        <v>36</v>
      </c>
      <c r="B37" s="71" t="s">
        <v>1405</v>
      </c>
      <c r="C37" s="107" t="s">
        <v>5004</v>
      </c>
      <c r="D37" s="107" t="s">
        <v>5081</v>
      </c>
      <c r="E37" s="108" t="s">
        <v>1406</v>
      </c>
      <c r="F37" s="72" t="s">
        <v>5089</v>
      </c>
      <c r="G37" s="72" t="s">
        <v>5090</v>
      </c>
      <c r="H37" s="71">
        <v>1</v>
      </c>
      <c r="N37" s="34"/>
      <c r="O37" s="141" t="s">
        <v>226</v>
      </c>
      <c r="P37" s="111" t="s">
        <v>5086</v>
      </c>
      <c r="Q37" s="142" t="s">
        <v>5091</v>
      </c>
      <c r="R37" s="143" t="s">
        <v>5088</v>
      </c>
    </row>
    <row r="38" spans="1:18" ht="14.5">
      <c r="A38" s="106">
        <v>37</v>
      </c>
      <c r="B38" s="71" t="s">
        <v>1405</v>
      </c>
      <c r="C38" s="107" t="s">
        <v>5004</v>
      </c>
      <c r="D38" s="107" t="s">
        <v>5081</v>
      </c>
      <c r="E38" s="108" t="s">
        <v>1406</v>
      </c>
      <c r="F38" s="72" t="s">
        <v>5092</v>
      </c>
      <c r="G38" s="72" t="s">
        <v>5093</v>
      </c>
      <c r="H38" s="71">
        <v>1</v>
      </c>
      <c r="N38" s="34"/>
      <c r="O38" s="141" t="s">
        <v>226</v>
      </c>
      <c r="P38" s="111" t="s">
        <v>5086</v>
      </c>
      <c r="Q38" s="142" t="s">
        <v>5094</v>
      </c>
      <c r="R38" s="143" t="s">
        <v>5088</v>
      </c>
    </row>
    <row r="39" spans="1:18" ht="14.5">
      <c r="A39" s="106">
        <v>38</v>
      </c>
      <c r="B39" s="71" t="s">
        <v>1405</v>
      </c>
      <c r="C39" s="107" t="s">
        <v>5004</v>
      </c>
      <c r="D39" s="107" t="s">
        <v>5081</v>
      </c>
      <c r="E39" s="108" t="s">
        <v>1406</v>
      </c>
      <c r="F39" s="72" t="s">
        <v>1407</v>
      </c>
      <c r="G39" s="72" t="s">
        <v>1408</v>
      </c>
      <c r="H39" s="71">
        <v>1</v>
      </c>
      <c r="N39" s="34"/>
      <c r="O39" s="141" t="s">
        <v>226</v>
      </c>
      <c r="P39" s="111" t="s">
        <v>5086</v>
      </c>
      <c r="Q39" s="142" t="s">
        <v>5095</v>
      </c>
      <c r="R39" s="143" t="s">
        <v>5088</v>
      </c>
    </row>
    <row r="40" spans="1:18" ht="14.5">
      <c r="A40" s="106">
        <v>39</v>
      </c>
      <c r="B40" s="71" t="s">
        <v>5096</v>
      </c>
      <c r="C40" s="107" t="s">
        <v>5031</v>
      </c>
      <c r="D40" s="107" t="s">
        <v>5037</v>
      </c>
      <c r="E40" s="108" t="s">
        <v>5097</v>
      </c>
      <c r="F40" s="72" t="s">
        <v>5098</v>
      </c>
      <c r="G40" s="72" t="s">
        <v>5099</v>
      </c>
      <c r="H40" s="71">
        <v>1478</v>
      </c>
      <c r="N40" s="34"/>
      <c r="O40" s="141" t="s">
        <v>226</v>
      </c>
      <c r="P40" s="111" t="s">
        <v>5086</v>
      </c>
      <c r="Q40" s="142" t="s">
        <v>5100</v>
      </c>
      <c r="R40" s="143" t="s">
        <v>5088</v>
      </c>
    </row>
    <row r="41" spans="1:18" ht="14.5">
      <c r="A41" s="106">
        <v>40</v>
      </c>
      <c r="B41" s="71" t="s">
        <v>5101</v>
      </c>
      <c r="C41" s="107" t="s">
        <v>5031</v>
      </c>
      <c r="D41" s="107" t="s">
        <v>5037</v>
      </c>
      <c r="E41" s="108" t="s">
        <v>5102</v>
      </c>
      <c r="F41" s="72" t="s">
        <v>5103</v>
      </c>
      <c r="G41" s="72"/>
      <c r="H41" s="71">
        <v>3</v>
      </c>
      <c r="N41" s="34"/>
      <c r="O41" s="141" t="s">
        <v>226</v>
      </c>
      <c r="P41" s="131" t="s">
        <v>5104</v>
      </c>
      <c r="Q41" s="144" t="s">
        <v>5105</v>
      </c>
      <c r="R41" s="136" t="s">
        <v>758</v>
      </c>
    </row>
    <row r="42" spans="1:18" ht="14.5">
      <c r="A42" s="106">
        <v>41</v>
      </c>
      <c r="B42" s="71" t="s">
        <v>5101</v>
      </c>
      <c r="C42" s="107" t="s">
        <v>5031</v>
      </c>
      <c r="D42" s="107" t="s">
        <v>5037</v>
      </c>
      <c r="E42" s="108" t="s">
        <v>5102</v>
      </c>
      <c r="F42" s="72" t="s">
        <v>5106</v>
      </c>
      <c r="G42" s="72"/>
      <c r="H42" s="71">
        <v>1</v>
      </c>
      <c r="N42" s="34"/>
      <c r="O42" s="141" t="s">
        <v>226</v>
      </c>
      <c r="P42" s="131" t="s">
        <v>5104</v>
      </c>
      <c r="Q42" s="144" t="s">
        <v>5107</v>
      </c>
      <c r="R42" s="136" t="s">
        <v>758</v>
      </c>
    </row>
    <row r="43" spans="1:18" ht="14.5">
      <c r="A43" s="106">
        <v>42</v>
      </c>
      <c r="B43" s="71" t="s">
        <v>5101</v>
      </c>
      <c r="C43" s="107" t="s">
        <v>5031</v>
      </c>
      <c r="D43" s="107" t="s">
        <v>5037</v>
      </c>
      <c r="E43" s="108" t="s">
        <v>5102</v>
      </c>
      <c r="F43" s="72" t="s">
        <v>5108</v>
      </c>
      <c r="G43" s="72"/>
      <c r="H43" s="71">
        <v>2</v>
      </c>
      <c r="N43" s="34"/>
      <c r="O43" s="141" t="s">
        <v>226</v>
      </c>
      <c r="P43" s="131" t="s">
        <v>5104</v>
      </c>
      <c r="Q43" s="144" t="s">
        <v>5109</v>
      </c>
      <c r="R43" s="136" t="s">
        <v>758</v>
      </c>
    </row>
    <row r="44" spans="1:18" ht="14.5">
      <c r="A44" s="106">
        <v>43</v>
      </c>
      <c r="B44" s="71" t="s">
        <v>5101</v>
      </c>
      <c r="C44" s="107" t="s">
        <v>5031</v>
      </c>
      <c r="D44" s="107" t="s">
        <v>5037</v>
      </c>
      <c r="E44" s="108" t="s">
        <v>5102</v>
      </c>
      <c r="F44" s="72" t="s">
        <v>5110</v>
      </c>
      <c r="G44" s="72" t="s">
        <v>5099</v>
      </c>
      <c r="H44" s="71">
        <v>769.12</v>
      </c>
      <c r="N44" s="34"/>
      <c r="O44" s="141" t="s">
        <v>226</v>
      </c>
      <c r="P44" s="145" t="s">
        <v>756</v>
      </c>
      <c r="Q44" s="146" t="s">
        <v>757</v>
      </c>
      <c r="R44" s="136" t="s">
        <v>758</v>
      </c>
    </row>
    <row r="45" spans="1:18" ht="14.5">
      <c r="A45" s="106">
        <v>44</v>
      </c>
      <c r="B45" s="71" t="s">
        <v>5111</v>
      </c>
      <c r="C45" s="147" t="s">
        <v>1448</v>
      </c>
      <c r="D45" s="107" t="s">
        <v>5112</v>
      </c>
      <c r="E45" s="108" t="s">
        <v>5113</v>
      </c>
      <c r="F45" s="72" t="s">
        <v>5114</v>
      </c>
      <c r="G45" s="72" t="s">
        <v>5115</v>
      </c>
      <c r="H45" s="71">
        <v>12</v>
      </c>
      <c r="N45" s="34"/>
      <c r="O45" s="141" t="s">
        <v>226</v>
      </c>
      <c r="P45" s="145" t="s">
        <v>756</v>
      </c>
      <c r="Q45" s="146" t="s">
        <v>5116</v>
      </c>
      <c r="R45" s="136" t="s">
        <v>758</v>
      </c>
    </row>
    <row r="46" spans="1:18" ht="14.5">
      <c r="A46" s="106">
        <v>45</v>
      </c>
      <c r="B46" s="71" t="s">
        <v>5111</v>
      </c>
      <c r="C46" s="147" t="s">
        <v>1448</v>
      </c>
      <c r="D46" s="107" t="s">
        <v>5112</v>
      </c>
      <c r="E46" s="108" t="s">
        <v>5113</v>
      </c>
      <c r="F46" s="72" t="s">
        <v>5117</v>
      </c>
      <c r="G46" s="72" t="s">
        <v>5115</v>
      </c>
      <c r="H46" s="71">
        <v>8</v>
      </c>
      <c r="O46" s="141" t="s">
        <v>226</v>
      </c>
      <c r="P46" s="145" t="s">
        <v>756</v>
      </c>
      <c r="Q46" s="146" t="s">
        <v>5118</v>
      </c>
      <c r="R46" s="136" t="s">
        <v>758</v>
      </c>
    </row>
    <row r="47" spans="1:18" ht="14.5">
      <c r="A47" s="106">
        <v>46</v>
      </c>
      <c r="B47" s="71" t="s">
        <v>5111</v>
      </c>
      <c r="C47" s="147" t="s">
        <v>1448</v>
      </c>
      <c r="D47" s="107" t="s">
        <v>5112</v>
      </c>
      <c r="E47" s="108" t="s">
        <v>5113</v>
      </c>
      <c r="F47" s="72" t="s">
        <v>5119</v>
      </c>
      <c r="G47" s="72" t="s">
        <v>5120</v>
      </c>
      <c r="H47" s="71">
        <v>1</v>
      </c>
    </row>
    <row r="48" spans="1:18" ht="14.5">
      <c r="A48" s="106">
        <v>47</v>
      </c>
      <c r="B48" s="71" t="s">
        <v>5121</v>
      </c>
      <c r="C48" s="107" t="s">
        <v>5031</v>
      </c>
      <c r="D48" s="72"/>
      <c r="E48" s="108" t="s">
        <v>5122</v>
      </c>
      <c r="F48" s="72" t="s">
        <v>5123</v>
      </c>
      <c r="G48" s="72" t="s">
        <v>5124</v>
      </c>
      <c r="H48" s="71">
        <v>5</v>
      </c>
    </row>
    <row r="49" spans="1:8" ht="14.5">
      <c r="A49" s="106">
        <v>48</v>
      </c>
      <c r="B49" s="71" t="s">
        <v>5121</v>
      </c>
      <c r="C49" s="107" t="s">
        <v>5031</v>
      </c>
      <c r="D49" s="72"/>
      <c r="E49" s="108" t="s">
        <v>5122</v>
      </c>
      <c r="F49" s="72" t="s">
        <v>5125</v>
      </c>
      <c r="G49" s="72" t="s">
        <v>5126</v>
      </c>
      <c r="H49" s="71">
        <v>10</v>
      </c>
    </row>
    <row r="50" spans="1:8" ht="14.5">
      <c r="A50" s="106">
        <v>49</v>
      </c>
      <c r="B50" s="71" t="s">
        <v>5121</v>
      </c>
      <c r="C50" s="107" t="s">
        <v>5031</v>
      </c>
      <c r="D50" s="72"/>
      <c r="E50" s="108" t="s">
        <v>5122</v>
      </c>
      <c r="F50" s="72" t="s">
        <v>5127</v>
      </c>
      <c r="G50" s="72" t="s">
        <v>1415</v>
      </c>
      <c r="H50" s="71">
        <v>3</v>
      </c>
    </row>
    <row r="51" spans="1:8" ht="14.5">
      <c r="A51" s="106">
        <v>50</v>
      </c>
      <c r="B51" s="71" t="s">
        <v>2360</v>
      </c>
      <c r="C51" s="107" t="s">
        <v>5031</v>
      </c>
      <c r="D51" s="107" t="s">
        <v>5128</v>
      </c>
      <c r="E51" s="108" t="s">
        <v>2361</v>
      </c>
      <c r="F51" s="72" t="s">
        <v>2362</v>
      </c>
      <c r="G51" s="72" t="s">
        <v>2364</v>
      </c>
      <c r="H51" s="71">
        <v>138</v>
      </c>
    </row>
    <row r="52" spans="1:8" ht="14.5">
      <c r="A52" s="106">
        <v>51</v>
      </c>
      <c r="B52" s="71" t="s">
        <v>2360</v>
      </c>
      <c r="C52" s="107" t="s">
        <v>5031</v>
      </c>
      <c r="D52" s="107" t="s">
        <v>5128</v>
      </c>
      <c r="E52" s="108" t="s">
        <v>2361</v>
      </c>
      <c r="F52" s="72" t="s">
        <v>2368</v>
      </c>
      <c r="G52" s="72" t="s">
        <v>1900</v>
      </c>
      <c r="H52" s="71">
        <v>3800</v>
      </c>
    </row>
    <row r="53" spans="1:8" ht="14.5">
      <c r="A53" s="106">
        <v>52</v>
      </c>
      <c r="B53" s="71" t="s">
        <v>2360</v>
      </c>
      <c r="C53" s="107" t="s">
        <v>5031</v>
      </c>
      <c r="D53" s="107" t="s">
        <v>5128</v>
      </c>
      <c r="E53" s="108" t="s">
        <v>2361</v>
      </c>
      <c r="F53" s="72" t="s">
        <v>2372</v>
      </c>
      <c r="G53" s="72" t="s">
        <v>2364</v>
      </c>
      <c r="H53" s="71">
        <v>90</v>
      </c>
    </row>
    <row r="54" spans="1:8" ht="14.5">
      <c r="A54" s="106">
        <v>53</v>
      </c>
      <c r="B54" s="71" t="s">
        <v>2360</v>
      </c>
      <c r="C54" s="107" t="s">
        <v>5031</v>
      </c>
      <c r="D54" s="107" t="s">
        <v>5128</v>
      </c>
      <c r="E54" s="108" t="s">
        <v>2361</v>
      </c>
      <c r="F54" s="72" t="s">
        <v>2376</v>
      </c>
      <c r="G54" s="72" t="s">
        <v>1900</v>
      </c>
      <c r="H54" s="71">
        <v>20</v>
      </c>
    </row>
    <row r="55" spans="1:8" ht="14.5">
      <c r="A55" s="106">
        <v>54</v>
      </c>
      <c r="B55" s="71" t="s">
        <v>2360</v>
      </c>
      <c r="C55" s="107" t="s">
        <v>5031</v>
      </c>
      <c r="D55" s="107" t="s">
        <v>5128</v>
      </c>
      <c r="E55" s="108" t="s">
        <v>2361</v>
      </c>
      <c r="F55" s="72" t="s">
        <v>2391</v>
      </c>
      <c r="G55" s="72" t="s">
        <v>2392</v>
      </c>
      <c r="H55" s="71">
        <v>2</v>
      </c>
    </row>
    <row r="56" spans="1:8" ht="14.5">
      <c r="A56" s="106">
        <v>55</v>
      </c>
      <c r="B56" s="71" t="s">
        <v>5129</v>
      </c>
      <c r="C56" s="107" t="s">
        <v>5031</v>
      </c>
      <c r="D56" s="107" t="s">
        <v>5128</v>
      </c>
      <c r="E56" s="108" t="s">
        <v>5130</v>
      </c>
      <c r="F56" s="72" t="s">
        <v>5131</v>
      </c>
      <c r="G56" s="72" t="s">
        <v>5076</v>
      </c>
      <c r="H56" s="71">
        <v>74</v>
      </c>
    </row>
    <row r="57" spans="1:8" ht="14.5">
      <c r="A57" s="106">
        <v>56</v>
      </c>
      <c r="B57" s="71" t="s">
        <v>5129</v>
      </c>
      <c r="C57" s="107" t="s">
        <v>5031</v>
      </c>
      <c r="D57" s="107" t="s">
        <v>5128</v>
      </c>
      <c r="E57" s="108" t="s">
        <v>5130</v>
      </c>
      <c r="F57" s="72" t="s">
        <v>5132</v>
      </c>
      <c r="G57" s="72" t="s">
        <v>5069</v>
      </c>
      <c r="H57" s="71">
        <v>495</v>
      </c>
    </row>
    <row r="58" spans="1:8" ht="14.5">
      <c r="A58" s="106">
        <v>57</v>
      </c>
      <c r="B58" s="71" t="s">
        <v>5129</v>
      </c>
      <c r="C58" s="107" t="s">
        <v>5031</v>
      </c>
      <c r="D58" s="107" t="s">
        <v>5128</v>
      </c>
      <c r="E58" s="108" t="s">
        <v>5130</v>
      </c>
      <c r="F58" s="72" t="s">
        <v>5133</v>
      </c>
      <c r="G58" s="72" t="s">
        <v>5134</v>
      </c>
      <c r="H58" s="71">
        <v>30</v>
      </c>
    </row>
    <row r="59" spans="1:8" ht="14.5">
      <c r="A59" s="106">
        <v>58</v>
      </c>
      <c r="B59" s="71" t="s">
        <v>5129</v>
      </c>
      <c r="C59" s="107" t="s">
        <v>5031</v>
      </c>
      <c r="D59" s="107" t="s">
        <v>5128</v>
      </c>
      <c r="E59" s="108" t="s">
        <v>5130</v>
      </c>
      <c r="F59" s="72" t="s">
        <v>5135</v>
      </c>
      <c r="G59" s="72" t="s">
        <v>1748</v>
      </c>
      <c r="H59" s="71">
        <v>125</v>
      </c>
    </row>
    <row r="60" spans="1:8" ht="14.5">
      <c r="A60" s="106">
        <v>59</v>
      </c>
      <c r="B60" s="71" t="s">
        <v>5129</v>
      </c>
      <c r="C60" s="107" t="s">
        <v>5031</v>
      </c>
      <c r="D60" s="107" t="s">
        <v>5128</v>
      </c>
      <c r="E60" s="108" t="s">
        <v>5130</v>
      </c>
      <c r="F60" s="72" t="s">
        <v>5136</v>
      </c>
      <c r="G60" s="72" t="s">
        <v>5137</v>
      </c>
      <c r="H60" s="71">
        <v>2</v>
      </c>
    </row>
    <row r="61" spans="1:8" ht="14.5">
      <c r="A61" s="106">
        <v>60</v>
      </c>
      <c r="B61" s="148" t="s">
        <v>5138</v>
      </c>
      <c r="C61" s="107" t="s">
        <v>5031</v>
      </c>
      <c r="D61" s="107" t="s">
        <v>5128</v>
      </c>
      <c r="E61" s="108" t="s">
        <v>1434</v>
      </c>
      <c r="F61" s="72" t="s">
        <v>5139</v>
      </c>
      <c r="G61" s="72" t="s">
        <v>5140</v>
      </c>
      <c r="H61" s="71">
        <v>3</v>
      </c>
    </row>
    <row r="62" spans="1:8" ht="14.5">
      <c r="A62" s="106">
        <v>61</v>
      </c>
      <c r="B62" s="148" t="s">
        <v>5138</v>
      </c>
      <c r="C62" s="107" t="s">
        <v>5031</v>
      </c>
      <c r="D62" s="107" t="s">
        <v>5128</v>
      </c>
      <c r="E62" s="108" t="s">
        <v>1434</v>
      </c>
      <c r="F62" s="72" t="s">
        <v>5141</v>
      </c>
      <c r="G62" s="72" t="s">
        <v>5140</v>
      </c>
      <c r="H62" s="71">
        <v>10</v>
      </c>
    </row>
    <row r="63" spans="1:8" ht="14.5">
      <c r="A63" s="106">
        <v>62</v>
      </c>
      <c r="B63" s="148" t="s">
        <v>5138</v>
      </c>
      <c r="C63" s="107" t="s">
        <v>5031</v>
      </c>
      <c r="D63" s="107" t="s">
        <v>5128</v>
      </c>
      <c r="E63" s="108" t="s">
        <v>1434</v>
      </c>
      <c r="F63" s="72" t="s">
        <v>5142</v>
      </c>
      <c r="G63" s="72" t="s">
        <v>5143</v>
      </c>
      <c r="H63" s="71">
        <v>95</v>
      </c>
    </row>
    <row r="64" spans="1:8" ht="14.5">
      <c r="A64" s="106">
        <v>63</v>
      </c>
      <c r="B64" s="71" t="s">
        <v>1433</v>
      </c>
      <c r="C64" s="107" t="s">
        <v>5031</v>
      </c>
      <c r="D64" s="107" t="s">
        <v>5037</v>
      </c>
      <c r="E64" s="108" t="s">
        <v>1434</v>
      </c>
      <c r="F64" s="72" t="s">
        <v>1435</v>
      </c>
      <c r="G64" s="72" t="s">
        <v>1436</v>
      </c>
      <c r="H64" s="71">
        <v>1</v>
      </c>
    </row>
    <row r="65" spans="1:8" ht="14.5">
      <c r="A65" s="106">
        <v>64</v>
      </c>
      <c r="B65" s="71" t="s">
        <v>1433</v>
      </c>
      <c r="C65" s="107" t="s">
        <v>5031</v>
      </c>
      <c r="D65" s="107" t="s">
        <v>5037</v>
      </c>
      <c r="E65" s="108" t="s">
        <v>1434</v>
      </c>
      <c r="F65" s="72" t="s">
        <v>5144</v>
      </c>
      <c r="G65" s="72" t="s">
        <v>5145</v>
      </c>
      <c r="H65" s="71">
        <v>1</v>
      </c>
    </row>
    <row r="66" spans="1:8" ht="14.5">
      <c r="A66" s="106">
        <v>65</v>
      </c>
      <c r="B66" s="71" t="s">
        <v>1433</v>
      </c>
      <c r="C66" s="107" t="s">
        <v>5031</v>
      </c>
      <c r="D66" s="107" t="s">
        <v>5037</v>
      </c>
      <c r="E66" s="108" t="s">
        <v>1434</v>
      </c>
      <c r="F66" s="72" t="s">
        <v>5146</v>
      </c>
      <c r="G66" s="72" t="s">
        <v>5147</v>
      </c>
      <c r="H66" s="71">
        <v>2</v>
      </c>
    </row>
    <row r="67" spans="1:8" ht="14.5">
      <c r="A67" s="106">
        <v>66</v>
      </c>
      <c r="B67" s="71" t="s">
        <v>5148</v>
      </c>
      <c r="C67" s="107" t="s">
        <v>5031</v>
      </c>
      <c r="D67" s="107" t="s">
        <v>5037</v>
      </c>
      <c r="E67" s="108" t="s">
        <v>5149</v>
      </c>
      <c r="F67" s="72" t="s">
        <v>5150</v>
      </c>
      <c r="G67" s="72" t="s">
        <v>5151</v>
      </c>
      <c r="H67" s="71">
        <v>15</v>
      </c>
    </row>
    <row r="68" spans="1:8" ht="14.5">
      <c r="A68" s="106">
        <v>67</v>
      </c>
      <c r="B68" s="71" t="s">
        <v>5148</v>
      </c>
      <c r="C68" s="107" t="s">
        <v>5031</v>
      </c>
      <c r="D68" s="107" t="s">
        <v>5037</v>
      </c>
      <c r="E68" s="108" t="s">
        <v>5149</v>
      </c>
      <c r="F68" s="72" t="s">
        <v>5152</v>
      </c>
      <c r="G68" s="72" t="s">
        <v>5153</v>
      </c>
      <c r="H68" s="71">
        <v>5</v>
      </c>
    </row>
    <row r="69" spans="1:8" ht="14.5">
      <c r="A69" s="106">
        <v>68</v>
      </c>
      <c r="B69" s="71" t="s">
        <v>5148</v>
      </c>
      <c r="C69" s="107" t="s">
        <v>5031</v>
      </c>
      <c r="D69" s="107" t="s">
        <v>5037</v>
      </c>
      <c r="E69" s="108" t="s">
        <v>5149</v>
      </c>
      <c r="F69" s="72" t="s">
        <v>5154</v>
      </c>
      <c r="G69" s="72" t="s">
        <v>5155</v>
      </c>
      <c r="H69" s="71">
        <v>5</v>
      </c>
    </row>
    <row r="70" spans="1:8" ht="14.5">
      <c r="A70" s="106">
        <v>69</v>
      </c>
      <c r="B70" s="71" t="s">
        <v>5148</v>
      </c>
      <c r="C70" s="107" t="s">
        <v>5031</v>
      </c>
      <c r="D70" s="107" t="s">
        <v>5037</v>
      </c>
      <c r="E70" s="108" t="s">
        <v>5149</v>
      </c>
      <c r="F70" s="72" t="s">
        <v>5156</v>
      </c>
      <c r="G70" s="72" t="s">
        <v>5157</v>
      </c>
      <c r="H70" s="71">
        <v>10</v>
      </c>
    </row>
    <row r="71" spans="1:8" ht="14.5">
      <c r="A71" s="106">
        <v>70</v>
      </c>
      <c r="B71" s="71" t="s">
        <v>5148</v>
      </c>
      <c r="C71" s="107" t="s">
        <v>5031</v>
      </c>
      <c r="D71" s="107" t="s">
        <v>5037</v>
      </c>
      <c r="E71" s="108" t="s">
        <v>5149</v>
      </c>
      <c r="F71" s="72" t="s">
        <v>5158</v>
      </c>
      <c r="G71" s="72" t="s">
        <v>5159</v>
      </c>
      <c r="H71" s="71">
        <v>15</v>
      </c>
    </row>
    <row r="72" spans="1:8" ht="14.5">
      <c r="A72" s="106">
        <v>71</v>
      </c>
      <c r="B72" s="71" t="s">
        <v>1711</v>
      </c>
      <c r="C72" s="107" t="s">
        <v>5031</v>
      </c>
      <c r="D72" s="107" t="s">
        <v>5032</v>
      </c>
      <c r="E72" s="108" t="s">
        <v>1712</v>
      </c>
      <c r="F72" s="72" t="s">
        <v>1735</v>
      </c>
      <c r="G72" s="72" t="s">
        <v>1736</v>
      </c>
      <c r="H72" s="71">
        <v>4</v>
      </c>
    </row>
    <row r="73" spans="1:8" ht="14.5">
      <c r="A73" s="106">
        <v>72</v>
      </c>
      <c r="B73" s="71" t="s">
        <v>1711</v>
      </c>
      <c r="C73" s="107" t="s">
        <v>5031</v>
      </c>
      <c r="D73" s="107" t="s">
        <v>5032</v>
      </c>
      <c r="E73" s="108" t="s">
        <v>1712</v>
      </c>
      <c r="F73" s="72" t="s">
        <v>1767</v>
      </c>
      <c r="G73" s="72" t="s">
        <v>1736</v>
      </c>
      <c r="H73" s="71">
        <v>4</v>
      </c>
    </row>
    <row r="74" spans="1:8" ht="14.5">
      <c r="A74" s="106">
        <v>73</v>
      </c>
      <c r="B74" s="71" t="s">
        <v>1711</v>
      </c>
      <c r="C74" s="107" t="s">
        <v>5031</v>
      </c>
      <c r="D74" s="107" t="s">
        <v>5032</v>
      </c>
      <c r="E74" s="108" t="s">
        <v>1712</v>
      </c>
      <c r="F74" s="72" t="s">
        <v>2202</v>
      </c>
      <c r="G74" s="72" t="s">
        <v>1736</v>
      </c>
      <c r="H74" s="71">
        <v>2</v>
      </c>
    </row>
    <row r="75" spans="1:8" ht="14.5">
      <c r="A75" s="106">
        <v>74</v>
      </c>
      <c r="B75" s="71" t="s">
        <v>1711</v>
      </c>
      <c r="C75" s="107" t="s">
        <v>5031</v>
      </c>
      <c r="D75" s="107" t="s">
        <v>5032</v>
      </c>
      <c r="E75" s="108" t="s">
        <v>1712</v>
      </c>
      <c r="F75" s="72" t="s">
        <v>1863</v>
      </c>
      <c r="G75" s="72" t="s">
        <v>1736</v>
      </c>
      <c r="H75" s="71">
        <v>2</v>
      </c>
    </row>
    <row r="76" spans="1:8" ht="14.5">
      <c r="A76" s="106">
        <v>75</v>
      </c>
      <c r="B76" s="71" t="s">
        <v>1711</v>
      </c>
      <c r="C76" s="107" t="s">
        <v>5031</v>
      </c>
      <c r="D76" s="107" t="s">
        <v>5032</v>
      </c>
      <c r="E76" s="108" t="s">
        <v>1712</v>
      </c>
      <c r="F76" s="72" t="s">
        <v>1795</v>
      </c>
      <c r="G76" s="72" t="s">
        <v>1736</v>
      </c>
      <c r="H76" s="71">
        <v>4</v>
      </c>
    </row>
    <row r="77" spans="1:8" ht="14.5">
      <c r="A77" s="106">
        <v>76</v>
      </c>
      <c r="B77" s="71" t="s">
        <v>1711</v>
      </c>
      <c r="C77" s="107" t="s">
        <v>5031</v>
      </c>
      <c r="D77" s="107" t="s">
        <v>5032</v>
      </c>
      <c r="E77" s="108" t="s">
        <v>1712</v>
      </c>
      <c r="F77" s="72" t="s">
        <v>1713</v>
      </c>
      <c r="G77" s="72" t="s">
        <v>1715</v>
      </c>
      <c r="H77" s="71">
        <v>3</v>
      </c>
    </row>
    <row r="78" spans="1:8" ht="14.5">
      <c r="A78" s="106">
        <v>77</v>
      </c>
      <c r="B78" s="71" t="s">
        <v>1711</v>
      </c>
      <c r="C78" s="107" t="s">
        <v>5031</v>
      </c>
      <c r="D78" s="107" t="s">
        <v>5032</v>
      </c>
      <c r="E78" s="108" t="s">
        <v>1712</v>
      </c>
      <c r="F78" s="72" t="s">
        <v>1837</v>
      </c>
      <c r="G78" s="72" t="s">
        <v>1349</v>
      </c>
      <c r="H78" s="71">
        <v>20</v>
      </c>
    </row>
    <row r="79" spans="1:8" ht="14.5">
      <c r="A79" s="106">
        <v>78</v>
      </c>
      <c r="B79" s="71" t="s">
        <v>1711</v>
      </c>
      <c r="C79" s="107" t="s">
        <v>5031</v>
      </c>
      <c r="D79" s="107" t="s">
        <v>5032</v>
      </c>
      <c r="E79" s="108" t="s">
        <v>1712</v>
      </c>
      <c r="F79" s="72" t="s">
        <v>1828</v>
      </c>
      <c r="G79" s="72" t="s">
        <v>1829</v>
      </c>
      <c r="H79" s="71">
        <v>15</v>
      </c>
    </row>
    <row r="80" spans="1:8" ht="14.5">
      <c r="A80" s="106">
        <v>79</v>
      </c>
      <c r="B80" s="71" t="s">
        <v>1711</v>
      </c>
      <c r="C80" s="107" t="s">
        <v>5031</v>
      </c>
      <c r="D80" s="107" t="s">
        <v>5032</v>
      </c>
      <c r="E80" s="108" t="s">
        <v>1712</v>
      </c>
      <c r="F80" s="72" t="s">
        <v>5160</v>
      </c>
      <c r="G80" s="72" t="s">
        <v>5161</v>
      </c>
      <c r="H80" s="71">
        <v>1</v>
      </c>
    </row>
    <row r="81" spans="1:8" ht="14.5">
      <c r="A81" s="106">
        <v>80</v>
      </c>
      <c r="B81" s="71" t="s">
        <v>1957</v>
      </c>
      <c r="C81" s="107" t="s">
        <v>5031</v>
      </c>
      <c r="D81" s="107" t="s">
        <v>5032</v>
      </c>
      <c r="E81" s="108" t="s">
        <v>1958</v>
      </c>
      <c r="F81" s="72" t="s">
        <v>1959</v>
      </c>
      <c r="G81" s="72" t="s">
        <v>1960</v>
      </c>
      <c r="H81" s="71">
        <v>12</v>
      </c>
    </row>
    <row r="82" spans="1:8" ht="14.5">
      <c r="A82" s="106">
        <v>81</v>
      </c>
      <c r="B82" s="71" t="s">
        <v>1957</v>
      </c>
      <c r="C82" s="107" t="s">
        <v>5031</v>
      </c>
      <c r="D82" s="107" t="s">
        <v>5032</v>
      </c>
      <c r="E82" s="108" t="s">
        <v>1958</v>
      </c>
      <c r="F82" s="72" t="s">
        <v>1987</v>
      </c>
      <c r="G82" s="72" t="s">
        <v>1988</v>
      </c>
      <c r="H82" s="71">
        <v>2</v>
      </c>
    </row>
    <row r="83" spans="1:8" ht="14.5">
      <c r="A83" s="106">
        <v>82</v>
      </c>
      <c r="B83" s="71" t="s">
        <v>1957</v>
      </c>
      <c r="C83" s="107" t="s">
        <v>5031</v>
      </c>
      <c r="D83" s="107" t="s">
        <v>5032</v>
      </c>
      <c r="E83" s="108" t="s">
        <v>1958</v>
      </c>
      <c r="F83" s="72" t="s">
        <v>1974</v>
      </c>
      <c r="G83" s="72" t="s">
        <v>1975</v>
      </c>
      <c r="H83" s="71">
        <v>4</v>
      </c>
    </row>
    <row r="84" spans="1:8" ht="14.5">
      <c r="A84" s="106">
        <v>83</v>
      </c>
      <c r="B84" s="71" t="s">
        <v>2070</v>
      </c>
      <c r="C84" s="107" t="s">
        <v>5004</v>
      </c>
      <c r="D84" s="107" t="s">
        <v>5162</v>
      </c>
      <c r="E84" s="108" t="s">
        <v>2071</v>
      </c>
      <c r="F84" s="72" t="s">
        <v>2072</v>
      </c>
      <c r="G84" s="72" t="s">
        <v>1748</v>
      </c>
      <c r="H84" s="71">
        <v>46</v>
      </c>
    </row>
    <row r="85" spans="1:8" ht="14.5">
      <c r="A85" s="106">
        <v>84</v>
      </c>
      <c r="B85" s="71" t="s">
        <v>2070</v>
      </c>
      <c r="C85" s="107" t="s">
        <v>5004</v>
      </c>
      <c r="D85" s="107" t="s">
        <v>5162</v>
      </c>
      <c r="E85" s="108" t="s">
        <v>2071</v>
      </c>
      <c r="F85" s="72" t="s">
        <v>5163</v>
      </c>
      <c r="G85" s="72" t="s">
        <v>5164</v>
      </c>
      <c r="H85" s="71">
        <v>3</v>
      </c>
    </row>
    <row r="86" spans="1:8" ht="14.5">
      <c r="A86" s="106">
        <v>85</v>
      </c>
      <c r="B86" s="71" t="s">
        <v>1843</v>
      </c>
      <c r="C86" s="107" t="s">
        <v>5004</v>
      </c>
      <c r="D86" s="107" t="s">
        <v>5162</v>
      </c>
      <c r="E86" s="108" t="s">
        <v>1844</v>
      </c>
      <c r="F86" s="72" t="s">
        <v>1845</v>
      </c>
      <c r="G86" s="72" t="s">
        <v>1847</v>
      </c>
      <c r="H86" s="71">
        <v>25</v>
      </c>
    </row>
    <row r="87" spans="1:8" ht="14.5">
      <c r="A87" s="106">
        <v>86</v>
      </c>
      <c r="B87" s="71" t="s">
        <v>5165</v>
      </c>
      <c r="C87" s="107" t="s">
        <v>5004</v>
      </c>
      <c r="D87" s="107" t="s">
        <v>5162</v>
      </c>
      <c r="E87" s="108" t="s">
        <v>5166</v>
      </c>
      <c r="F87" s="72" t="s">
        <v>5167</v>
      </c>
      <c r="G87" s="72" t="s">
        <v>5168</v>
      </c>
      <c r="H87" s="71">
        <v>18</v>
      </c>
    </row>
    <row r="88" spans="1:8" ht="14.5">
      <c r="A88" s="106">
        <v>87</v>
      </c>
      <c r="B88" s="71" t="s">
        <v>1345</v>
      </c>
      <c r="C88" s="107" t="s">
        <v>5004</v>
      </c>
      <c r="D88" s="107" t="s">
        <v>5081</v>
      </c>
      <c r="E88" s="108" t="s">
        <v>1346</v>
      </c>
      <c r="F88" s="72" t="s">
        <v>1359</v>
      </c>
      <c r="G88" s="72" t="s">
        <v>1360</v>
      </c>
      <c r="H88" s="71">
        <v>4</v>
      </c>
    </row>
    <row r="89" spans="1:8" ht="14.5">
      <c r="A89" s="106">
        <v>88</v>
      </c>
      <c r="B89" s="71" t="s">
        <v>1345</v>
      </c>
      <c r="C89" s="107" t="s">
        <v>5004</v>
      </c>
      <c r="D89" s="107" t="s">
        <v>5081</v>
      </c>
      <c r="E89" s="108" t="s">
        <v>1346</v>
      </c>
      <c r="F89" s="72" t="s">
        <v>1347</v>
      </c>
      <c r="G89" s="72" t="s">
        <v>1349</v>
      </c>
      <c r="H89" s="71">
        <v>92</v>
      </c>
    </row>
    <row r="90" spans="1:8" ht="14.5">
      <c r="A90" s="106">
        <v>89</v>
      </c>
      <c r="B90" s="71" t="s">
        <v>1345</v>
      </c>
      <c r="C90" s="107" t="s">
        <v>5004</v>
      </c>
      <c r="D90" s="107" t="s">
        <v>5081</v>
      </c>
      <c r="E90" s="108" t="s">
        <v>1346</v>
      </c>
      <c r="F90" s="72" t="s">
        <v>1414</v>
      </c>
      <c r="G90" s="72" t="s">
        <v>1415</v>
      </c>
      <c r="H90" s="71">
        <v>2</v>
      </c>
    </row>
    <row r="91" spans="1:8" ht="14.5">
      <c r="A91" s="106">
        <v>90</v>
      </c>
      <c r="B91" s="71" t="s">
        <v>1345</v>
      </c>
      <c r="C91" s="107" t="s">
        <v>5004</v>
      </c>
      <c r="D91" s="107" t="s">
        <v>5081</v>
      </c>
      <c r="E91" s="108" t="s">
        <v>1346</v>
      </c>
      <c r="F91" s="72" t="s">
        <v>5169</v>
      </c>
      <c r="G91" s="72" t="s">
        <v>5170</v>
      </c>
      <c r="H91" s="71">
        <v>1</v>
      </c>
    </row>
    <row r="92" spans="1:8" ht="14.5">
      <c r="A92" s="106">
        <v>91</v>
      </c>
      <c r="B92" s="71" t="s">
        <v>74</v>
      </c>
      <c r="C92" s="107" t="s">
        <v>5004</v>
      </c>
      <c r="D92" s="107" t="s">
        <v>5171</v>
      </c>
      <c r="E92" s="108" t="s">
        <v>75</v>
      </c>
      <c r="F92" s="72" t="s">
        <v>573</v>
      </c>
      <c r="G92" s="72" t="s">
        <v>574</v>
      </c>
      <c r="H92" s="71">
        <v>28</v>
      </c>
    </row>
    <row r="93" spans="1:8" ht="14.5">
      <c r="A93" s="106">
        <v>92</v>
      </c>
      <c r="B93" s="71" t="s">
        <v>74</v>
      </c>
      <c r="C93" s="107" t="s">
        <v>5004</v>
      </c>
      <c r="D93" s="107" t="s">
        <v>5171</v>
      </c>
      <c r="E93" s="108" t="s">
        <v>75</v>
      </c>
      <c r="F93" s="72" t="s">
        <v>133</v>
      </c>
      <c r="G93" s="72" t="s">
        <v>79</v>
      </c>
      <c r="H93" s="71">
        <v>800</v>
      </c>
    </row>
    <row r="94" spans="1:8" ht="14.5">
      <c r="A94" s="106">
        <v>93</v>
      </c>
      <c r="B94" s="71" t="s">
        <v>74</v>
      </c>
      <c r="C94" s="107" t="s">
        <v>5004</v>
      </c>
      <c r="D94" s="107" t="s">
        <v>5171</v>
      </c>
      <c r="E94" s="108" t="s">
        <v>75</v>
      </c>
      <c r="F94" s="72" t="s">
        <v>595</v>
      </c>
      <c r="G94" s="72" t="s">
        <v>79</v>
      </c>
      <c r="H94" s="71">
        <v>10</v>
      </c>
    </row>
    <row r="95" spans="1:8" ht="14.5">
      <c r="A95" s="106">
        <v>94</v>
      </c>
      <c r="B95" s="71" t="s">
        <v>74</v>
      </c>
      <c r="C95" s="107" t="s">
        <v>5004</v>
      </c>
      <c r="D95" s="107" t="s">
        <v>5171</v>
      </c>
      <c r="E95" s="108" t="s">
        <v>75</v>
      </c>
      <c r="F95" s="72" t="s">
        <v>76</v>
      </c>
      <c r="G95" s="72" t="s">
        <v>79</v>
      </c>
      <c r="H95" s="71">
        <v>12</v>
      </c>
    </row>
    <row r="96" spans="1:8" ht="14.5">
      <c r="A96" s="106">
        <v>95</v>
      </c>
      <c r="B96" s="71" t="s">
        <v>74</v>
      </c>
      <c r="C96" s="107" t="s">
        <v>5004</v>
      </c>
      <c r="D96" s="107" t="s">
        <v>5171</v>
      </c>
      <c r="E96" s="108" t="s">
        <v>75</v>
      </c>
      <c r="F96" s="72" t="s">
        <v>5172</v>
      </c>
      <c r="G96" s="72" t="s">
        <v>5173</v>
      </c>
      <c r="H96" s="71">
        <v>4</v>
      </c>
    </row>
    <row r="97" spans="1:8" ht="14.5">
      <c r="A97" s="106">
        <v>96</v>
      </c>
      <c r="B97" s="71" t="s">
        <v>5174</v>
      </c>
      <c r="C97" s="107" t="s">
        <v>5004</v>
      </c>
      <c r="D97" s="107" t="s">
        <v>5175</v>
      </c>
      <c r="E97" s="108" t="s">
        <v>5176</v>
      </c>
      <c r="F97" s="72" t="s">
        <v>5177</v>
      </c>
      <c r="G97" s="72" t="s">
        <v>5178</v>
      </c>
      <c r="H97" s="71">
        <v>1</v>
      </c>
    </row>
    <row r="98" spans="1:8" ht="14.5">
      <c r="A98" s="106">
        <v>97</v>
      </c>
      <c r="B98" s="71" t="s">
        <v>5174</v>
      </c>
      <c r="C98" s="107" t="s">
        <v>5004</v>
      </c>
      <c r="D98" s="107" t="s">
        <v>5175</v>
      </c>
      <c r="E98" s="108" t="s">
        <v>5176</v>
      </c>
      <c r="F98" s="72" t="s">
        <v>5179</v>
      </c>
      <c r="G98" s="72" t="s">
        <v>1748</v>
      </c>
      <c r="H98" s="71">
        <v>70</v>
      </c>
    </row>
    <row r="99" spans="1:8" ht="14.5">
      <c r="A99" s="106">
        <v>98</v>
      </c>
      <c r="B99" s="71" t="s">
        <v>5174</v>
      </c>
      <c r="C99" s="107" t="s">
        <v>5004</v>
      </c>
      <c r="D99" s="107" t="s">
        <v>5175</v>
      </c>
      <c r="E99" s="108" t="s">
        <v>5176</v>
      </c>
      <c r="F99" s="72" t="s">
        <v>5180</v>
      </c>
      <c r="G99" s="72" t="s">
        <v>1748</v>
      </c>
      <c r="H99" s="71">
        <v>30</v>
      </c>
    </row>
    <row r="100" spans="1:8" ht="14.5">
      <c r="A100" s="106">
        <v>99</v>
      </c>
      <c r="B100" s="71" t="s">
        <v>5174</v>
      </c>
      <c r="C100" s="107" t="s">
        <v>5004</v>
      </c>
      <c r="D100" s="107" t="s">
        <v>5175</v>
      </c>
      <c r="E100" s="108" t="s">
        <v>5176</v>
      </c>
      <c r="F100" s="72" t="s">
        <v>5181</v>
      </c>
      <c r="G100" s="72" t="s">
        <v>5182</v>
      </c>
      <c r="H100" s="71">
        <v>1</v>
      </c>
    </row>
    <row r="101" spans="1:8" ht="12.5">
      <c r="A101" s="32"/>
      <c r="E101" s="149"/>
      <c r="H101" s="32"/>
    </row>
    <row r="102" spans="1:8" ht="12.5">
      <c r="A102" s="32"/>
      <c r="E102" s="149"/>
      <c r="H102" s="32"/>
    </row>
    <row r="103" spans="1:8" ht="12.5">
      <c r="A103" s="32"/>
      <c r="E103" s="149"/>
      <c r="H103" s="32"/>
    </row>
    <row r="104" spans="1:8" ht="12.5">
      <c r="A104" s="32"/>
      <c r="E104" s="149"/>
      <c r="H104" s="32"/>
    </row>
    <row r="105" spans="1:8" ht="12.5">
      <c r="A105" s="32"/>
      <c r="E105" s="149"/>
      <c r="H105" s="32"/>
    </row>
    <row r="106" spans="1:8" ht="12.5">
      <c r="A106" s="32"/>
      <c r="E106" s="149"/>
      <c r="H106" s="32"/>
    </row>
    <row r="107" spans="1:8" ht="12.5">
      <c r="A107" s="32"/>
      <c r="E107" s="149"/>
      <c r="H107" s="32"/>
    </row>
    <row r="108" spans="1:8" ht="12.5">
      <c r="A108" s="32"/>
      <c r="E108" s="149"/>
      <c r="H108" s="32"/>
    </row>
    <row r="109" spans="1:8" ht="12.5">
      <c r="A109" s="32"/>
      <c r="E109" s="149"/>
      <c r="H109" s="32"/>
    </row>
    <row r="110" spans="1:8" ht="12.5">
      <c r="A110" s="32"/>
      <c r="E110" s="149"/>
      <c r="H110" s="32"/>
    </row>
    <row r="111" spans="1:8" ht="12.5">
      <c r="A111" s="32"/>
      <c r="E111" s="149"/>
      <c r="H111" s="32"/>
    </row>
    <row r="112" spans="1:8" ht="12.5">
      <c r="A112" s="32"/>
      <c r="E112" s="149"/>
      <c r="H112" s="32"/>
    </row>
    <row r="113" spans="1:8" ht="12.5">
      <c r="A113" s="32"/>
      <c r="E113" s="149"/>
      <c r="H113" s="32"/>
    </row>
    <row r="114" spans="1:8" ht="12.5">
      <c r="A114" s="32"/>
      <c r="E114" s="149"/>
      <c r="H114" s="32"/>
    </row>
    <row r="115" spans="1:8" ht="12.5">
      <c r="A115" s="32"/>
      <c r="E115" s="149"/>
      <c r="H115" s="32"/>
    </row>
    <row r="116" spans="1:8" ht="12.5">
      <c r="A116" s="32"/>
      <c r="E116" s="149"/>
      <c r="H116" s="32"/>
    </row>
    <row r="117" spans="1:8" ht="12.5">
      <c r="A117" s="32"/>
      <c r="E117" s="149"/>
      <c r="H117" s="32"/>
    </row>
    <row r="118" spans="1:8" ht="12.5">
      <c r="A118" s="32"/>
      <c r="E118" s="149"/>
      <c r="H118" s="32"/>
    </row>
    <row r="119" spans="1:8" ht="12.5">
      <c r="A119" s="32"/>
      <c r="E119" s="149"/>
      <c r="H119" s="32"/>
    </row>
    <row r="120" spans="1:8" ht="12.5">
      <c r="A120" s="32"/>
      <c r="E120" s="149"/>
      <c r="H120" s="32"/>
    </row>
    <row r="121" spans="1:8" ht="12.5">
      <c r="A121" s="32"/>
      <c r="E121" s="149"/>
      <c r="H121" s="32"/>
    </row>
    <row r="122" spans="1:8" ht="12.5">
      <c r="A122" s="32"/>
      <c r="E122" s="149"/>
      <c r="H122" s="32"/>
    </row>
    <row r="123" spans="1:8" ht="12.5">
      <c r="A123" s="32"/>
      <c r="E123" s="149"/>
      <c r="H123" s="32"/>
    </row>
    <row r="124" spans="1:8" ht="12.5">
      <c r="A124" s="32"/>
      <c r="E124" s="149"/>
      <c r="H124" s="32"/>
    </row>
    <row r="125" spans="1:8" ht="12.5">
      <c r="A125" s="32"/>
      <c r="E125" s="149"/>
      <c r="H125" s="32"/>
    </row>
    <row r="126" spans="1:8" ht="12.5">
      <c r="A126" s="32"/>
      <c r="E126" s="149"/>
      <c r="H126" s="32"/>
    </row>
    <row r="127" spans="1:8" ht="12.5">
      <c r="A127" s="32"/>
      <c r="E127" s="149"/>
      <c r="H127" s="32"/>
    </row>
    <row r="128" spans="1:8" ht="12.5">
      <c r="A128" s="32"/>
      <c r="E128" s="149"/>
      <c r="H128" s="32"/>
    </row>
    <row r="129" spans="1:8" ht="12.5">
      <c r="A129" s="32"/>
      <c r="E129" s="149"/>
      <c r="H129" s="32"/>
    </row>
    <row r="130" spans="1:8" ht="12.5">
      <c r="A130" s="32"/>
      <c r="E130" s="149"/>
      <c r="H130" s="32"/>
    </row>
    <row r="131" spans="1:8" ht="12.5">
      <c r="A131" s="32"/>
      <c r="E131" s="149"/>
      <c r="H131" s="32"/>
    </row>
    <row r="132" spans="1:8" ht="12.5">
      <c r="A132" s="32"/>
      <c r="E132" s="149"/>
      <c r="H132" s="32"/>
    </row>
    <row r="133" spans="1:8" ht="12.5">
      <c r="A133" s="32"/>
      <c r="E133" s="149"/>
      <c r="H133" s="32"/>
    </row>
    <row r="134" spans="1:8" ht="12.5">
      <c r="A134" s="32"/>
      <c r="E134" s="149"/>
      <c r="H134" s="32"/>
    </row>
    <row r="135" spans="1:8" ht="12.5">
      <c r="A135" s="32"/>
      <c r="E135" s="149"/>
      <c r="H135" s="32"/>
    </row>
    <row r="136" spans="1:8" ht="12.5">
      <c r="A136" s="32"/>
      <c r="E136" s="149"/>
      <c r="H136" s="32"/>
    </row>
    <row r="137" spans="1:8" ht="12.5">
      <c r="A137" s="32"/>
      <c r="E137" s="149"/>
      <c r="H137" s="32"/>
    </row>
    <row r="138" spans="1:8" ht="12.5">
      <c r="A138" s="32"/>
      <c r="E138" s="149"/>
      <c r="H138" s="32"/>
    </row>
    <row r="139" spans="1:8" ht="12.5">
      <c r="A139" s="32"/>
      <c r="E139" s="149"/>
      <c r="H139" s="32"/>
    </row>
    <row r="140" spans="1:8" ht="12.5">
      <c r="A140" s="32"/>
      <c r="E140" s="149"/>
      <c r="H140" s="32"/>
    </row>
    <row r="141" spans="1:8" ht="12.5">
      <c r="A141" s="32"/>
      <c r="E141" s="149"/>
      <c r="H141" s="32"/>
    </row>
    <row r="142" spans="1:8" ht="12.5">
      <c r="A142" s="32"/>
      <c r="E142" s="149"/>
      <c r="H142" s="32"/>
    </row>
    <row r="143" spans="1:8" ht="12.5">
      <c r="A143" s="32"/>
      <c r="E143" s="149"/>
      <c r="H143" s="32"/>
    </row>
    <row r="144" spans="1:8" ht="12.5">
      <c r="A144" s="32"/>
      <c r="E144" s="149"/>
      <c r="H144" s="32"/>
    </row>
    <row r="145" spans="1:8" ht="12.5">
      <c r="A145" s="32"/>
      <c r="E145" s="149"/>
      <c r="H145" s="32"/>
    </row>
    <row r="146" spans="1:8" ht="12.5">
      <c r="A146" s="32"/>
      <c r="E146" s="149"/>
      <c r="H146" s="32"/>
    </row>
    <row r="147" spans="1:8" ht="12.5">
      <c r="A147" s="32"/>
      <c r="E147" s="149"/>
      <c r="H147" s="32"/>
    </row>
    <row r="148" spans="1:8" ht="12.5">
      <c r="A148" s="32"/>
      <c r="E148" s="149"/>
      <c r="H148" s="32"/>
    </row>
    <row r="149" spans="1:8" ht="12.5">
      <c r="A149" s="32"/>
      <c r="E149" s="149"/>
      <c r="H149" s="32"/>
    </row>
    <row r="150" spans="1:8" ht="12.5">
      <c r="A150" s="32"/>
      <c r="E150" s="149"/>
      <c r="H150" s="32"/>
    </row>
    <row r="151" spans="1:8" ht="12.5">
      <c r="A151" s="32"/>
      <c r="E151" s="149"/>
      <c r="H151" s="32"/>
    </row>
    <row r="152" spans="1:8" ht="12.5">
      <c r="A152" s="32"/>
      <c r="E152" s="149"/>
      <c r="H152" s="32"/>
    </row>
    <row r="153" spans="1:8" ht="12.5">
      <c r="A153" s="32"/>
      <c r="E153" s="149"/>
      <c r="H153" s="32"/>
    </row>
    <row r="154" spans="1:8" ht="12.5">
      <c r="A154" s="32"/>
      <c r="E154" s="149"/>
      <c r="H154" s="32"/>
    </row>
    <row r="155" spans="1:8" ht="12.5">
      <c r="A155" s="32"/>
      <c r="E155" s="149"/>
      <c r="H155" s="32"/>
    </row>
    <row r="156" spans="1:8" ht="12.5">
      <c r="A156" s="32"/>
      <c r="E156" s="149"/>
      <c r="H156" s="32"/>
    </row>
    <row r="157" spans="1:8" ht="12.5">
      <c r="A157" s="32"/>
      <c r="E157" s="149"/>
      <c r="H157" s="32"/>
    </row>
    <row r="158" spans="1:8" ht="12.5">
      <c r="A158" s="32"/>
      <c r="E158" s="149"/>
      <c r="H158" s="32"/>
    </row>
    <row r="159" spans="1:8" ht="12.5">
      <c r="A159" s="32"/>
      <c r="E159" s="149"/>
      <c r="H159" s="32"/>
    </row>
    <row r="160" spans="1:8" ht="12.5">
      <c r="A160" s="32"/>
      <c r="E160" s="149"/>
      <c r="H160" s="32"/>
    </row>
    <row r="161" spans="1:8" ht="12.5">
      <c r="A161" s="32"/>
      <c r="E161" s="149"/>
      <c r="H161" s="32"/>
    </row>
    <row r="162" spans="1:8" ht="12.5">
      <c r="A162" s="32"/>
      <c r="E162" s="149"/>
      <c r="H162" s="32"/>
    </row>
    <row r="163" spans="1:8" ht="12.5">
      <c r="A163" s="32"/>
      <c r="E163" s="149"/>
      <c r="H163" s="32"/>
    </row>
    <row r="164" spans="1:8" ht="12.5">
      <c r="A164" s="32"/>
      <c r="E164" s="149"/>
      <c r="H164" s="32"/>
    </row>
    <row r="165" spans="1:8" ht="12.5">
      <c r="A165" s="32"/>
      <c r="E165" s="149"/>
      <c r="H165" s="32"/>
    </row>
    <row r="166" spans="1:8" ht="12.5">
      <c r="A166" s="32"/>
      <c r="E166" s="149"/>
      <c r="H166" s="32"/>
    </row>
    <row r="167" spans="1:8" ht="12.5">
      <c r="A167" s="32"/>
      <c r="E167" s="149"/>
      <c r="H167" s="32"/>
    </row>
    <row r="168" spans="1:8" ht="12.5">
      <c r="A168" s="32"/>
      <c r="E168" s="149"/>
      <c r="H168" s="32"/>
    </row>
    <row r="169" spans="1:8" ht="12.5">
      <c r="A169" s="32"/>
      <c r="E169" s="149"/>
      <c r="H169" s="32"/>
    </row>
    <row r="170" spans="1:8" ht="12.5">
      <c r="A170" s="32"/>
      <c r="E170" s="149"/>
      <c r="H170" s="32"/>
    </row>
    <row r="171" spans="1:8" ht="12.5">
      <c r="A171" s="32"/>
      <c r="E171" s="149"/>
      <c r="H171" s="32"/>
    </row>
    <row r="172" spans="1:8" ht="12.5">
      <c r="A172" s="32"/>
      <c r="E172" s="149"/>
      <c r="H172" s="32"/>
    </row>
    <row r="173" spans="1:8" ht="12.5">
      <c r="A173" s="32"/>
      <c r="E173" s="149"/>
      <c r="H173" s="32"/>
    </row>
    <row r="174" spans="1:8" ht="12.5">
      <c r="A174" s="32"/>
      <c r="E174" s="149"/>
      <c r="H174" s="32"/>
    </row>
    <row r="175" spans="1:8" ht="12.5">
      <c r="A175" s="32"/>
      <c r="E175" s="149"/>
      <c r="H175" s="32"/>
    </row>
    <row r="176" spans="1:8" ht="12.5">
      <c r="A176" s="32"/>
      <c r="E176" s="149"/>
      <c r="H176" s="32"/>
    </row>
    <row r="177" spans="1:8" ht="12.5">
      <c r="A177" s="32"/>
      <c r="E177" s="149"/>
      <c r="H177" s="32"/>
    </row>
    <row r="178" spans="1:8" ht="12.5">
      <c r="A178" s="32"/>
      <c r="E178" s="149"/>
      <c r="H178" s="32"/>
    </row>
    <row r="179" spans="1:8" ht="12.5">
      <c r="A179" s="32"/>
      <c r="E179" s="149"/>
      <c r="H179" s="32"/>
    </row>
    <row r="180" spans="1:8" ht="12.5">
      <c r="A180" s="32"/>
      <c r="E180" s="149"/>
      <c r="H180" s="32"/>
    </row>
    <row r="181" spans="1:8" ht="12.5">
      <c r="A181" s="32"/>
      <c r="E181" s="149"/>
      <c r="H181" s="32"/>
    </row>
    <row r="182" spans="1:8" ht="12.5">
      <c r="A182" s="32"/>
      <c r="E182" s="149"/>
      <c r="H182" s="32"/>
    </row>
    <row r="183" spans="1:8" ht="12.5">
      <c r="A183" s="32"/>
      <c r="E183" s="149"/>
      <c r="H183" s="32"/>
    </row>
    <row r="184" spans="1:8" ht="12.5">
      <c r="A184" s="32"/>
      <c r="E184" s="149"/>
      <c r="H184" s="32"/>
    </row>
    <row r="185" spans="1:8" ht="12.5">
      <c r="A185" s="32"/>
      <c r="E185" s="149"/>
      <c r="H185" s="32"/>
    </row>
    <row r="186" spans="1:8" ht="12.5">
      <c r="A186" s="32"/>
      <c r="E186" s="149"/>
      <c r="H186" s="32"/>
    </row>
    <row r="187" spans="1:8" ht="12.5">
      <c r="A187" s="32"/>
      <c r="E187" s="149"/>
      <c r="H187" s="32"/>
    </row>
    <row r="188" spans="1:8" ht="12.5">
      <c r="A188" s="32"/>
      <c r="E188" s="149"/>
      <c r="H188" s="32"/>
    </row>
    <row r="189" spans="1:8" ht="12.5">
      <c r="A189" s="32"/>
      <c r="E189" s="149"/>
      <c r="H189" s="32"/>
    </row>
    <row r="190" spans="1:8" ht="12.5">
      <c r="A190" s="32"/>
      <c r="E190" s="149"/>
      <c r="H190" s="32"/>
    </row>
    <row r="191" spans="1:8" ht="12.5">
      <c r="A191" s="32"/>
      <c r="E191" s="149"/>
      <c r="H191" s="32"/>
    </row>
    <row r="192" spans="1:8" ht="12.5">
      <c r="A192" s="32"/>
      <c r="E192" s="149"/>
      <c r="H192" s="32"/>
    </row>
    <row r="193" spans="1:8" ht="12.5">
      <c r="A193" s="32"/>
      <c r="E193" s="149"/>
      <c r="H193" s="32"/>
    </row>
    <row r="194" spans="1:8" ht="12.5">
      <c r="A194" s="32"/>
      <c r="E194" s="149"/>
      <c r="H194" s="32"/>
    </row>
    <row r="195" spans="1:8" ht="12.5">
      <c r="A195" s="32"/>
      <c r="E195" s="149"/>
      <c r="H195" s="32"/>
    </row>
    <row r="196" spans="1:8" ht="12.5">
      <c r="A196" s="32"/>
      <c r="E196" s="149"/>
      <c r="H196" s="32"/>
    </row>
    <row r="197" spans="1:8" ht="12.5">
      <c r="A197" s="32"/>
      <c r="E197" s="149"/>
      <c r="H197" s="32"/>
    </row>
    <row r="198" spans="1:8" ht="12.5">
      <c r="A198" s="32"/>
      <c r="E198" s="149"/>
      <c r="H198" s="32"/>
    </row>
    <row r="199" spans="1:8" ht="12.5">
      <c r="A199" s="32"/>
      <c r="E199" s="149"/>
      <c r="H199" s="32"/>
    </row>
    <row r="200" spans="1:8" ht="12.5">
      <c r="A200" s="32"/>
      <c r="E200" s="149"/>
      <c r="H200" s="32"/>
    </row>
    <row r="201" spans="1:8" ht="12.5">
      <c r="A201" s="32"/>
      <c r="E201" s="149"/>
      <c r="H201" s="32"/>
    </row>
    <row r="202" spans="1:8" ht="12.5">
      <c r="A202" s="32"/>
      <c r="E202" s="149"/>
      <c r="H202" s="32"/>
    </row>
    <row r="203" spans="1:8" ht="12.5">
      <c r="A203" s="32"/>
      <c r="E203" s="149"/>
      <c r="H203" s="32"/>
    </row>
    <row r="204" spans="1:8" ht="12.5">
      <c r="A204" s="32"/>
      <c r="E204" s="149"/>
      <c r="H204" s="32"/>
    </row>
    <row r="205" spans="1:8" ht="12.5">
      <c r="A205" s="32"/>
      <c r="E205" s="149"/>
      <c r="H205" s="32"/>
    </row>
    <row r="206" spans="1:8" ht="12.5">
      <c r="A206" s="32"/>
      <c r="E206" s="149"/>
      <c r="H206" s="32"/>
    </row>
    <row r="207" spans="1:8" ht="12.5">
      <c r="A207" s="32"/>
      <c r="E207" s="149"/>
      <c r="H207" s="32"/>
    </row>
    <row r="208" spans="1:8" ht="12.5">
      <c r="A208" s="32"/>
      <c r="E208" s="149"/>
      <c r="H208" s="32"/>
    </row>
    <row r="209" spans="1:8" ht="12.5">
      <c r="A209" s="32"/>
      <c r="E209" s="149"/>
      <c r="H209" s="32"/>
    </row>
    <row r="210" spans="1:8" ht="12.5">
      <c r="A210" s="32"/>
      <c r="E210" s="149"/>
      <c r="H210" s="32"/>
    </row>
    <row r="211" spans="1:8" ht="12.5">
      <c r="A211" s="32"/>
      <c r="E211" s="149"/>
      <c r="H211" s="32"/>
    </row>
    <row r="212" spans="1:8" ht="12.5">
      <c r="A212" s="32"/>
      <c r="E212" s="149"/>
      <c r="H212" s="32"/>
    </row>
    <row r="213" spans="1:8" ht="12.5">
      <c r="A213" s="32"/>
      <c r="E213" s="149"/>
      <c r="H213" s="32"/>
    </row>
    <row r="214" spans="1:8" ht="12.5">
      <c r="A214" s="32"/>
      <c r="E214" s="149"/>
      <c r="H214" s="32"/>
    </row>
    <row r="215" spans="1:8" ht="12.5">
      <c r="A215" s="32"/>
      <c r="E215" s="149"/>
      <c r="H215" s="32"/>
    </row>
    <row r="216" spans="1:8" ht="12.5">
      <c r="A216" s="32"/>
      <c r="E216" s="149"/>
      <c r="H216" s="32"/>
    </row>
    <row r="217" spans="1:8" ht="12.5">
      <c r="A217" s="32"/>
      <c r="E217" s="149"/>
      <c r="H217" s="32"/>
    </row>
    <row r="218" spans="1:8" ht="12.5">
      <c r="A218" s="32"/>
      <c r="E218" s="149"/>
      <c r="H218" s="32"/>
    </row>
    <row r="219" spans="1:8" ht="12.5">
      <c r="A219" s="32"/>
      <c r="E219" s="149"/>
      <c r="H219" s="32"/>
    </row>
    <row r="220" spans="1:8" ht="12.5">
      <c r="A220" s="32"/>
      <c r="E220" s="149"/>
      <c r="H220" s="32"/>
    </row>
    <row r="221" spans="1:8" ht="12.5">
      <c r="A221" s="32"/>
      <c r="E221" s="149"/>
      <c r="H221" s="32"/>
    </row>
    <row r="222" spans="1:8" ht="12.5">
      <c r="A222" s="32"/>
      <c r="E222" s="149"/>
      <c r="H222" s="32"/>
    </row>
    <row r="223" spans="1:8" ht="12.5">
      <c r="A223" s="32"/>
      <c r="E223" s="149"/>
      <c r="H223" s="32"/>
    </row>
    <row r="224" spans="1:8" ht="12.5">
      <c r="A224" s="32"/>
      <c r="E224" s="149"/>
      <c r="H224" s="32"/>
    </row>
    <row r="225" spans="1:8" ht="12.5">
      <c r="A225" s="32"/>
      <c r="E225" s="149"/>
      <c r="H225" s="32"/>
    </row>
    <row r="226" spans="1:8" ht="12.5">
      <c r="A226" s="32"/>
      <c r="E226" s="149"/>
      <c r="H226" s="32"/>
    </row>
    <row r="227" spans="1:8" ht="12.5">
      <c r="A227" s="32"/>
      <c r="E227" s="149"/>
      <c r="H227" s="32"/>
    </row>
    <row r="228" spans="1:8" ht="12.5">
      <c r="A228" s="32"/>
      <c r="E228" s="149"/>
      <c r="H228" s="32"/>
    </row>
    <row r="229" spans="1:8" ht="12.5">
      <c r="A229" s="32"/>
      <c r="E229" s="149"/>
      <c r="H229" s="32"/>
    </row>
    <row r="230" spans="1:8" ht="12.5">
      <c r="A230" s="32"/>
      <c r="E230" s="149"/>
      <c r="H230" s="32"/>
    </row>
    <row r="231" spans="1:8" ht="12.5">
      <c r="A231" s="32"/>
      <c r="E231" s="149"/>
      <c r="H231" s="32"/>
    </row>
    <row r="232" spans="1:8" ht="12.5">
      <c r="A232" s="32"/>
      <c r="E232" s="149"/>
      <c r="H232" s="32"/>
    </row>
    <row r="233" spans="1:8" ht="12.5">
      <c r="A233" s="32"/>
      <c r="E233" s="149"/>
      <c r="H233" s="32"/>
    </row>
    <row r="234" spans="1:8" ht="12.5">
      <c r="A234" s="32"/>
      <c r="E234" s="149"/>
      <c r="H234" s="32"/>
    </row>
    <row r="235" spans="1:8" ht="12.5">
      <c r="A235" s="32"/>
      <c r="E235" s="149"/>
      <c r="H235" s="32"/>
    </row>
    <row r="236" spans="1:8" ht="12.5">
      <c r="A236" s="32"/>
      <c r="E236" s="149"/>
      <c r="H236" s="32"/>
    </row>
    <row r="237" spans="1:8" ht="12.5">
      <c r="A237" s="32"/>
      <c r="E237" s="149"/>
      <c r="H237" s="32"/>
    </row>
    <row r="238" spans="1:8" ht="12.5">
      <c r="A238" s="32"/>
      <c r="E238" s="149"/>
      <c r="H238" s="32"/>
    </row>
    <row r="239" spans="1:8" ht="12.5">
      <c r="A239" s="32"/>
      <c r="E239" s="149"/>
      <c r="H239" s="32"/>
    </row>
    <row r="240" spans="1:8" ht="12.5">
      <c r="A240" s="32"/>
      <c r="E240" s="149"/>
      <c r="H240" s="32"/>
    </row>
    <row r="241" spans="1:8" ht="12.5">
      <c r="A241" s="32"/>
      <c r="E241" s="149"/>
      <c r="H241" s="32"/>
    </row>
    <row r="242" spans="1:8" ht="12.5">
      <c r="A242" s="32"/>
      <c r="E242" s="149"/>
      <c r="H242" s="32"/>
    </row>
    <row r="243" spans="1:8" ht="12.5">
      <c r="A243" s="32"/>
      <c r="E243" s="149"/>
      <c r="H243" s="32"/>
    </row>
    <row r="244" spans="1:8" ht="12.5">
      <c r="A244" s="32"/>
      <c r="E244" s="149"/>
      <c r="H244" s="32"/>
    </row>
    <row r="245" spans="1:8" ht="12.5">
      <c r="A245" s="32"/>
      <c r="E245" s="149"/>
      <c r="H245" s="32"/>
    </row>
    <row r="246" spans="1:8" ht="12.5">
      <c r="A246" s="32"/>
      <c r="E246" s="149"/>
      <c r="H246" s="32"/>
    </row>
    <row r="247" spans="1:8" ht="12.5">
      <c r="A247" s="32"/>
      <c r="E247" s="149"/>
      <c r="H247" s="32"/>
    </row>
    <row r="248" spans="1:8" ht="12.5">
      <c r="A248" s="32"/>
      <c r="E248" s="149"/>
      <c r="H248" s="32"/>
    </row>
    <row r="249" spans="1:8" ht="12.5">
      <c r="A249" s="32"/>
      <c r="E249" s="149"/>
      <c r="H249" s="32"/>
    </row>
    <row r="250" spans="1:8" ht="12.5">
      <c r="A250" s="32"/>
      <c r="E250" s="149"/>
      <c r="H250" s="32"/>
    </row>
    <row r="251" spans="1:8" ht="12.5">
      <c r="A251" s="32"/>
      <c r="E251" s="149"/>
      <c r="H251" s="32"/>
    </row>
    <row r="252" spans="1:8" ht="12.5">
      <c r="A252" s="32"/>
      <c r="E252" s="149"/>
      <c r="H252" s="32"/>
    </row>
    <row r="253" spans="1:8" ht="12.5">
      <c r="A253" s="32"/>
      <c r="E253" s="149"/>
      <c r="H253" s="32"/>
    </row>
    <row r="254" spans="1:8" ht="12.5">
      <c r="A254" s="32"/>
      <c r="E254" s="149"/>
      <c r="H254" s="32"/>
    </row>
    <row r="255" spans="1:8" ht="12.5">
      <c r="A255" s="32"/>
      <c r="E255" s="149"/>
      <c r="H255" s="32"/>
    </row>
    <row r="256" spans="1:8" ht="12.5">
      <c r="A256" s="32"/>
      <c r="E256" s="149"/>
      <c r="H256" s="32"/>
    </row>
    <row r="257" spans="1:8" ht="12.5">
      <c r="A257" s="32"/>
      <c r="E257" s="149"/>
      <c r="H257" s="32"/>
    </row>
    <row r="258" spans="1:8" ht="12.5">
      <c r="A258" s="32"/>
      <c r="E258" s="149"/>
      <c r="H258" s="32"/>
    </row>
    <row r="259" spans="1:8" ht="12.5">
      <c r="A259" s="32"/>
      <c r="E259" s="149"/>
      <c r="H259" s="32"/>
    </row>
    <row r="260" spans="1:8" ht="12.5">
      <c r="A260" s="32"/>
      <c r="E260" s="149"/>
      <c r="H260" s="32"/>
    </row>
    <row r="261" spans="1:8" ht="12.5">
      <c r="A261" s="32"/>
      <c r="E261" s="149"/>
      <c r="H261" s="32"/>
    </row>
    <row r="262" spans="1:8" ht="12.5">
      <c r="A262" s="32"/>
      <c r="E262" s="149"/>
      <c r="H262" s="32"/>
    </row>
    <row r="263" spans="1:8" ht="12.5">
      <c r="A263" s="32"/>
      <c r="E263" s="149"/>
      <c r="H263" s="32"/>
    </row>
    <row r="264" spans="1:8" ht="12.5">
      <c r="A264" s="32"/>
      <c r="E264" s="149"/>
      <c r="H264" s="32"/>
    </row>
    <row r="265" spans="1:8" ht="12.5">
      <c r="A265" s="32"/>
      <c r="E265" s="149"/>
      <c r="H265" s="32"/>
    </row>
    <row r="266" spans="1:8" ht="12.5">
      <c r="A266" s="32"/>
      <c r="E266" s="149"/>
      <c r="H266" s="32"/>
    </row>
    <row r="267" spans="1:8" ht="12.5">
      <c r="A267" s="32"/>
      <c r="E267" s="149"/>
      <c r="H267" s="32"/>
    </row>
    <row r="268" spans="1:8" ht="12.5">
      <c r="A268" s="32"/>
      <c r="E268" s="149"/>
      <c r="H268" s="32"/>
    </row>
    <row r="269" spans="1:8" ht="12.5">
      <c r="A269" s="32"/>
      <c r="E269" s="149"/>
      <c r="H269" s="32"/>
    </row>
    <row r="270" spans="1:8" ht="12.5">
      <c r="A270" s="32"/>
      <c r="E270" s="149"/>
      <c r="H270" s="32"/>
    </row>
    <row r="271" spans="1:8" ht="12.5">
      <c r="A271" s="32"/>
      <c r="E271" s="149"/>
      <c r="H271" s="32"/>
    </row>
    <row r="272" spans="1:8" ht="12.5">
      <c r="A272" s="32"/>
      <c r="E272" s="149"/>
      <c r="H272" s="32"/>
    </row>
    <row r="273" spans="1:8" ht="12.5">
      <c r="A273" s="32"/>
      <c r="E273" s="149"/>
      <c r="H273" s="32"/>
    </row>
    <row r="274" spans="1:8" ht="12.5">
      <c r="A274" s="32"/>
      <c r="E274" s="149"/>
      <c r="H274" s="32"/>
    </row>
    <row r="275" spans="1:8" ht="12.5">
      <c r="A275" s="32"/>
      <c r="E275" s="149"/>
      <c r="H275" s="32"/>
    </row>
    <row r="276" spans="1:8" ht="12.5">
      <c r="A276" s="32"/>
      <c r="E276" s="149"/>
      <c r="H276" s="32"/>
    </row>
    <row r="277" spans="1:8" ht="12.5">
      <c r="A277" s="32"/>
      <c r="E277" s="149"/>
      <c r="H277" s="32"/>
    </row>
    <row r="278" spans="1:8" ht="12.5">
      <c r="A278" s="32"/>
      <c r="E278" s="149"/>
      <c r="H278" s="32"/>
    </row>
    <row r="279" spans="1:8" ht="12.5">
      <c r="A279" s="32"/>
      <c r="E279" s="149"/>
      <c r="H279" s="32"/>
    </row>
    <row r="280" spans="1:8" ht="12.5">
      <c r="A280" s="32"/>
      <c r="E280" s="149"/>
      <c r="H280" s="32"/>
    </row>
    <row r="281" spans="1:8" ht="12.5">
      <c r="A281" s="32"/>
      <c r="E281" s="149"/>
      <c r="H281" s="32"/>
    </row>
    <row r="282" spans="1:8" ht="12.5">
      <c r="A282" s="32"/>
      <c r="E282" s="149"/>
      <c r="H282" s="32"/>
    </row>
    <row r="283" spans="1:8" ht="12.5">
      <c r="A283" s="32"/>
      <c r="E283" s="149"/>
      <c r="H283" s="32"/>
    </row>
    <row r="284" spans="1:8" ht="12.5">
      <c r="A284" s="32"/>
      <c r="E284" s="149"/>
      <c r="H284" s="32"/>
    </row>
    <row r="285" spans="1:8" ht="12.5">
      <c r="A285" s="32"/>
      <c r="E285" s="149"/>
      <c r="H285" s="32"/>
    </row>
    <row r="286" spans="1:8" ht="12.5">
      <c r="A286" s="32"/>
      <c r="E286" s="149"/>
      <c r="H286" s="32"/>
    </row>
    <row r="287" spans="1:8" ht="12.5">
      <c r="A287" s="32"/>
      <c r="E287" s="149"/>
      <c r="H287" s="32"/>
    </row>
    <row r="288" spans="1:8" ht="12.5">
      <c r="A288" s="32"/>
      <c r="E288" s="149"/>
      <c r="H288" s="32"/>
    </row>
    <row r="289" spans="1:8" ht="12.5">
      <c r="A289" s="32"/>
      <c r="E289" s="149"/>
      <c r="H289" s="32"/>
    </row>
    <row r="290" spans="1:8" ht="12.5">
      <c r="A290" s="32"/>
      <c r="E290" s="149"/>
      <c r="H290" s="32"/>
    </row>
    <row r="291" spans="1:8" ht="12.5">
      <c r="A291" s="32"/>
      <c r="E291" s="149"/>
      <c r="H291" s="32"/>
    </row>
    <row r="292" spans="1:8" ht="12.5">
      <c r="A292" s="32"/>
      <c r="E292" s="149"/>
      <c r="H292" s="32"/>
    </row>
    <row r="293" spans="1:8" ht="12.5">
      <c r="A293" s="32"/>
      <c r="E293" s="149"/>
      <c r="H293" s="32"/>
    </row>
    <row r="294" spans="1:8" ht="12.5">
      <c r="A294" s="32"/>
      <c r="E294" s="149"/>
      <c r="H294" s="32"/>
    </row>
    <row r="295" spans="1:8" ht="12.5">
      <c r="A295" s="32"/>
      <c r="E295" s="149"/>
      <c r="H295" s="32"/>
    </row>
    <row r="296" spans="1:8" ht="12.5">
      <c r="A296" s="32"/>
      <c r="E296" s="149"/>
      <c r="H296" s="32"/>
    </row>
    <row r="297" spans="1:8" ht="12.5">
      <c r="A297" s="32"/>
      <c r="E297" s="149"/>
      <c r="H297" s="32"/>
    </row>
    <row r="298" spans="1:8" ht="12.5">
      <c r="A298" s="32"/>
      <c r="E298" s="149"/>
      <c r="H298" s="32"/>
    </row>
    <row r="299" spans="1:8" ht="12.5">
      <c r="A299" s="32"/>
      <c r="E299" s="149"/>
      <c r="H299" s="32"/>
    </row>
    <row r="300" spans="1:8" ht="12.5">
      <c r="A300" s="32"/>
      <c r="E300" s="149"/>
      <c r="H300" s="32"/>
    </row>
    <row r="301" spans="1:8" ht="12.5">
      <c r="A301" s="32"/>
      <c r="E301" s="149"/>
      <c r="H301" s="32"/>
    </row>
    <row r="302" spans="1:8" ht="12.5">
      <c r="A302" s="32"/>
      <c r="E302" s="149"/>
      <c r="H302" s="32"/>
    </row>
    <row r="303" spans="1:8" ht="12.5">
      <c r="A303" s="32"/>
      <c r="E303" s="149"/>
      <c r="H303" s="32"/>
    </row>
    <row r="304" spans="1:8" ht="12.5">
      <c r="A304" s="32"/>
      <c r="E304" s="149"/>
      <c r="H304" s="32"/>
    </row>
    <row r="305" spans="1:8" ht="12.5">
      <c r="A305" s="32"/>
      <c r="E305" s="149"/>
      <c r="H305" s="32"/>
    </row>
    <row r="306" spans="1:8" ht="12.5">
      <c r="A306" s="32"/>
      <c r="E306" s="149"/>
      <c r="H306" s="32"/>
    </row>
    <row r="307" spans="1:8" ht="12.5">
      <c r="A307" s="32"/>
      <c r="E307" s="149"/>
      <c r="H307" s="32"/>
    </row>
    <row r="308" spans="1:8" ht="12.5">
      <c r="A308" s="32"/>
      <c r="E308" s="149"/>
      <c r="H308" s="32"/>
    </row>
    <row r="309" spans="1:8" ht="12.5">
      <c r="A309" s="32"/>
      <c r="E309" s="149"/>
      <c r="H309" s="32"/>
    </row>
    <row r="310" spans="1:8" ht="12.5">
      <c r="A310" s="32"/>
      <c r="E310" s="149"/>
      <c r="H310" s="32"/>
    </row>
    <row r="311" spans="1:8" ht="12.5">
      <c r="A311" s="32"/>
      <c r="E311" s="149"/>
      <c r="H311" s="32"/>
    </row>
    <row r="312" spans="1:8" ht="12.5">
      <c r="A312" s="32"/>
      <c r="E312" s="149"/>
      <c r="H312" s="32"/>
    </row>
    <row r="313" spans="1:8" ht="12.5">
      <c r="A313" s="32"/>
      <c r="E313" s="149"/>
      <c r="H313" s="32"/>
    </row>
    <row r="314" spans="1:8" ht="12.5">
      <c r="A314" s="32"/>
      <c r="E314" s="149"/>
      <c r="H314" s="32"/>
    </row>
    <row r="315" spans="1:8" ht="12.5">
      <c r="A315" s="32"/>
      <c r="E315" s="149"/>
      <c r="H315" s="32"/>
    </row>
    <row r="316" spans="1:8" ht="12.5">
      <c r="A316" s="32"/>
      <c r="E316" s="149"/>
      <c r="H316" s="32"/>
    </row>
    <row r="317" spans="1:8" ht="12.5">
      <c r="A317" s="32"/>
      <c r="E317" s="149"/>
      <c r="H317" s="32"/>
    </row>
    <row r="318" spans="1:8" ht="12.5">
      <c r="A318" s="32"/>
      <c r="E318" s="149"/>
      <c r="H318" s="32"/>
    </row>
    <row r="319" spans="1:8" ht="12.5">
      <c r="A319" s="32"/>
      <c r="E319" s="149"/>
      <c r="H319" s="32"/>
    </row>
    <row r="320" spans="1:8" ht="12.5">
      <c r="A320" s="32"/>
      <c r="E320" s="149"/>
      <c r="H320" s="32"/>
    </row>
    <row r="321" spans="1:8" ht="12.5">
      <c r="A321" s="32"/>
      <c r="E321" s="149"/>
      <c r="H321" s="32"/>
    </row>
    <row r="322" spans="1:8" ht="12.5">
      <c r="A322" s="32"/>
      <c r="E322" s="149"/>
      <c r="H322" s="32"/>
    </row>
    <row r="323" spans="1:8" ht="12.5">
      <c r="A323" s="32"/>
      <c r="E323" s="149"/>
      <c r="H323" s="32"/>
    </row>
    <row r="324" spans="1:8" ht="12.5">
      <c r="A324" s="32"/>
      <c r="E324" s="149"/>
      <c r="H324" s="32"/>
    </row>
    <row r="325" spans="1:8" ht="12.5">
      <c r="A325" s="32"/>
      <c r="E325" s="149"/>
      <c r="H325" s="32"/>
    </row>
    <row r="326" spans="1:8" ht="12.5">
      <c r="A326" s="32"/>
      <c r="E326" s="149"/>
      <c r="H326" s="32"/>
    </row>
    <row r="327" spans="1:8" ht="12.5">
      <c r="A327" s="32"/>
      <c r="E327" s="149"/>
      <c r="H327" s="32"/>
    </row>
    <row r="328" spans="1:8" ht="12.5">
      <c r="A328" s="32"/>
      <c r="E328" s="149"/>
      <c r="H328" s="32"/>
    </row>
    <row r="329" spans="1:8" ht="12.5">
      <c r="A329" s="32"/>
      <c r="E329" s="149"/>
      <c r="H329" s="32"/>
    </row>
    <row r="330" spans="1:8" ht="12.5">
      <c r="A330" s="32"/>
      <c r="E330" s="149"/>
      <c r="H330" s="32"/>
    </row>
    <row r="331" spans="1:8" ht="12.5">
      <c r="A331" s="32"/>
      <c r="E331" s="149"/>
      <c r="H331" s="32"/>
    </row>
    <row r="332" spans="1:8" ht="12.5">
      <c r="A332" s="32"/>
      <c r="E332" s="149"/>
      <c r="H332" s="32"/>
    </row>
    <row r="333" spans="1:8" ht="12.5">
      <c r="A333" s="32"/>
      <c r="E333" s="149"/>
      <c r="H333" s="32"/>
    </row>
    <row r="334" spans="1:8" ht="12.5">
      <c r="A334" s="32"/>
      <c r="E334" s="149"/>
      <c r="H334" s="32"/>
    </row>
    <row r="335" spans="1:8" ht="12.5">
      <c r="A335" s="32"/>
      <c r="E335" s="149"/>
      <c r="H335" s="32"/>
    </row>
    <row r="336" spans="1:8" ht="12.5">
      <c r="A336" s="32"/>
      <c r="E336" s="149"/>
      <c r="H336" s="32"/>
    </row>
    <row r="337" spans="1:8" ht="12.5">
      <c r="A337" s="32"/>
      <c r="E337" s="149"/>
      <c r="H337" s="32"/>
    </row>
    <row r="338" spans="1:8" ht="12.5">
      <c r="A338" s="32"/>
      <c r="E338" s="149"/>
      <c r="H338" s="32"/>
    </row>
    <row r="339" spans="1:8" ht="12.5">
      <c r="A339" s="32"/>
      <c r="E339" s="149"/>
      <c r="H339" s="32"/>
    </row>
    <row r="340" spans="1:8" ht="12.5">
      <c r="A340" s="32"/>
      <c r="E340" s="149"/>
      <c r="H340" s="32"/>
    </row>
    <row r="341" spans="1:8" ht="12.5">
      <c r="A341" s="32"/>
      <c r="E341" s="149"/>
      <c r="H341" s="32"/>
    </row>
    <row r="342" spans="1:8" ht="12.5">
      <c r="A342" s="32"/>
      <c r="E342" s="149"/>
      <c r="H342" s="32"/>
    </row>
    <row r="343" spans="1:8" ht="12.5">
      <c r="A343" s="32"/>
      <c r="E343" s="149"/>
      <c r="H343" s="32"/>
    </row>
    <row r="344" spans="1:8" ht="12.5">
      <c r="A344" s="32"/>
      <c r="E344" s="149"/>
      <c r="H344" s="32"/>
    </row>
    <row r="345" spans="1:8" ht="12.5">
      <c r="A345" s="32"/>
      <c r="E345" s="149"/>
      <c r="H345" s="32"/>
    </row>
    <row r="346" spans="1:8" ht="12.5">
      <c r="A346" s="32"/>
      <c r="E346" s="149"/>
      <c r="H346" s="32"/>
    </row>
    <row r="347" spans="1:8" ht="12.5">
      <c r="A347" s="32"/>
      <c r="E347" s="149"/>
      <c r="H347" s="32"/>
    </row>
    <row r="348" spans="1:8" ht="12.5">
      <c r="A348" s="32"/>
      <c r="E348" s="149"/>
      <c r="H348" s="32"/>
    </row>
    <row r="349" spans="1:8" ht="12.5">
      <c r="A349" s="32"/>
      <c r="E349" s="149"/>
      <c r="H349" s="32"/>
    </row>
    <row r="350" spans="1:8" ht="12.5">
      <c r="A350" s="32"/>
      <c r="E350" s="149"/>
      <c r="H350" s="32"/>
    </row>
    <row r="351" spans="1:8" ht="12.5">
      <c r="A351" s="32"/>
      <c r="E351" s="149"/>
      <c r="H351" s="32"/>
    </row>
    <row r="352" spans="1:8" ht="12.5">
      <c r="A352" s="32"/>
      <c r="E352" s="149"/>
      <c r="H352" s="32"/>
    </row>
    <row r="353" spans="1:8" ht="12.5">
      <c r="A353" s="32"/>
      <c r="E353" s="149"/>
      <c r="H353" s="32"/>
    </row>
    <row r="354" spans="1:8" ht="12.5">
      <c r="A354" s="32"/>
      <c r="E354" s="149"/>
      <c r="H354" s="32"/>
    </row>
    <row r="355" spans="1:8" ht="12.5">
      <c r="A355" s="32"/>
      <c r="E355" s="149"/>
      <c r="H355" s="32"/>
    </row>
    <row r="356" spans="1:8" ht="12.5">
      <c r="A356" s="32"/>
      <c r="E356" s="149"/>
      <c r="H356" s="32"/>
    </row>
    <row r="357" spans="1:8" ht="12.5">
      <c r="A357" s="32"/>
      <c r="E357" s="149"/>
      <c r="H357" s="32"/>
    </row>
    <row r="358" spans="1:8" ht="12.5">
      <c r="A358" s="32"/>
      <c r="E358" s="149"/>
      <c r="H358" s="32"/>
    </row>
    <row r="359" spans="1:8" ht="12.5">
      <c r="A359" s="32"/>
      <c r="E359" s="149"/>
      <c r="H359" s="32"/>
    </row>
    <row r="360" spans="1:8" ht="12.5">
      <c r="A360" s="32"/>
      <c r="E360" s="149"/>
      <c r="H360" s="32"/>
    </row>
    <row r="361" spans="1:8" ht="12.5">
      <c r="A361" s="32"/>
      <c r="E361" s="149"/>
      <c r="H361" s="32"/>
    </row>
    <row r="362" spans="1:8" ht="12.5">
      <c r="A362" s="32"/>
      <c r="E362" s="149"/>
      <c r="H362" s="32"/>
    </row>
    <row r="363" spans="1:8" ht="12.5">
      <c r="A363" s="32"/>
      <c r="E363" s="149"/>
      <c r="H363" s="32"/>
    </row>
    <row r="364" spans="1:8" ht="12.5">
      <c r="A364" s="32"/>
      <c r="E364" s="149"/>
      <c r="H364" s="32"/>
    </row>
    <row r="365" spans="1:8" ht="12.5">
      <c r="A365" s="32"/>
      <c r="E365" s="149"/>
      <c r="H365" s="32"/>
    </row>
    <row r="366" spans="1:8" ht="12.5">
      <c r="A366" s="32"/>
      <c r="E366" s="149"/>
      <c r="H366" s="32"/>
    </row>
    <row r="367" spans="1:8" ht="12.5">
      <c r="A367" s="32"/>
      <c r="E367" s="149"/>
      <c r="H367" s="32"/>
    </row>
    <row r="368" spans="1:8" ht="12.5">
      <c r="A368" s="32"/>
      <c r="E368" s="149"/>
      <c r="H368" s="32"/>
    </row>
    <row r="369" spans="1:8" ht="12.5">
      <c r="A369" s="32"/>
      <c r="E369" s="149"/>
      <c r="H369" s="32"/>
    </row>
    <row r="370" spans="1:8" ht="12.5">
      <c r="A370" s="32"/>
      <c r="E370" s="149"/>
      <c r="H370" s="32"/>
    </row>
    <row r="371" spans="1:8" ht="12.5">
      <c r="A371" s="32"/>
      <c r="E371" s="149"/>
      <c r="H371" s="32"/>
    </row>
    <row r="372" spans="1:8" ht="12.5">
      <c r="A372" s="32"/>
      <c r="E372" s="149"/>
      <c r="H372" s="32"/>
    </row>
    <row r="373" spans="1:8" ht="12.5">
      <c r="A373" s="32"/>
      <c r="E373" s="149"/>
      <c r="H373" s="32"/>
    </row>
    <row r="374" spans="1:8" ht="12.5">
      <c r="A374" s="32"/>
      <c r="E374" s="149"/>
      <c r="H374" s="32"/>
    </row>
    <row r="375" spans="1:8" ht="12.5">
      <c r="A375" s="32"/>
      <c r="E375" s="149"/>
      <c r="H375" s="32"/>
    </row>
    <row r="376" spans="1:8" ht="12.5">
      <c r="A376" s="32"/>
      <c r="E376" s="149"/>
      <c r="H376" s="32"/>
    </row>
    <row r="377" spans="1:8" ht="12.5">
      <c r="A377" s="32"/>
      <c r="E377" s="149"/>
      <c r="H377" s="32"/>
    </row>
    <row r="378" spans="1:8" ht="12.5">
      <c r="A378" s="32"/>
      <c r="E378" s="149"/>
      <c r="H378" s="32"/>
    </row>
    <row r="379" spans="1:8" ht="12.5">
      <c r="A379" s="32"/>
      <c r="E379" s="149"/>
      <c r="H379" s="32"/>
    </row>
    <row r="380" spans="1:8" ht="12.5">
      <c r="A380" s="32"/>
      <c r="E380" s="149"/>
      <c r="H380" s="32"/>
    </row>
    <row r="381" spans="1:8" ht="12.5">
      <c r="A381" s="32"/>
      <c r="E381" s="149"/>
      <c r="H381" s="32"/>
    </row>
    <row r="382" spans="1:8" ht="12.5">
      <c r="A382" s="32"/>
      <c r="E382" s="149"/>
      <c r="H382" s="32"/>
    </row>
    <row r="383" spans="1:8" ht="12.5">
      <c r="A383" s="32"/>
      <c r="E383" s="149"/>
      <c r="H383" s="32"/>
    </row>
    <row r="384" spans="1:8" ht="12.5">
      <c r="A384" s="32"/>
      <c r="E384" s="149"/>
      <c r="H384" s="32"/>
    </row>
    <row r="385" spans="1:8" ht="12.5">
      <c r="A385" s="32"/>
      <c r="E385" s="149"/>
      <c r="H385" s="32"/>
    </row>
    <row r="386" spans="1:8" ht="12.5">
      <c r="A386" s="32"/>
      <c r="E386" s="149"/>
      <c r="H386" s="32"/>
    </row>
    <row r="387" spans="1:8" ht="12.5">
      <c r="A387" s="32"/>
      <c r="E387" s="149"/>
      <c r="H387" s="32"/>
    </row>
    <row r="388" spans="1:8" ht="12.5">
      <c r="A388" s="32"/>
      <c r="E388" s="149"/>
      <c r="H388" s="32"/>
    </row>
    <row r="389" spans="1:8" ht="12.5">
      <c r="A389" s="32"/>
      <c r="E389" s="149"/>
      <c r="H389" s="32"/>
    </row>
    <row r="390" spans="1:8" ht="12.5">
      <c r="A390" s="32"/>
      <c r="E390" s="149"/>
      <c r="H390" s="32"/>
    </row>
    <row r="391" spans="1:8" ht="12.5">
      <c r="A391" s="32"/>
      <c r="E391" s="149"/>
      <c r="H391" s="32"/>
    </row>
    <row r="392" spans="1:8" ht="12.5">
      <c r="A392" s="32"/>
      <c r="E392" s="149"/>
      <c r="H392" s="32"/>
    </row>
    <row r="393" spans="1:8" ht="12.5">
      <c r="A393" s="32"/>
      <c r="E393" s="149"/>
      <c r="H393" s="32"/>
    </row>
    <row r="394" spans="1:8" ht="12.5">
      <c r="A394" s="32"/>
      <c r="E394" s="149"/>
      <c r="H394" s="32"/>
    </row>
    <row r="395" spans="1:8" ht="12.5">
      <c r="A395" s="32"/>
      <c r="E395" s="149"/>
      <c r="H395" s="32"/>
    </row>
    <row r="396" spans="1:8" ht="12.5">
      <c r="A396" s="32"/>
      <c r="E396" s="149"/>
      <c r="H396" s="32"/>
    </row>
    <row r="397" spans="1:8" ht="12.5">
      <c r="A397" s="32"/>
      <c r="E397" s="149"/>
      <c r="H397" s="32"/>
    </row>
    <row r="398" spans="1:8" ht="12.5">
      <c r="A398" s="32"/>
      <c r="E398" s="149"/>
      <c r="H398" s="32"/>
    </row>
    <row r="399" spans="1:8" ht="12.5">
      <c r="A399" s="32"/>
      <c r="E399" s="149"/>
      <c r="H399" s="32"/>
    </row>
    <row r="400" spans="1:8" ht="12.5">
      <c r="A400" s="32"/>
      <c r="E400" s="149"/>
      <c r="H400" s="32"/>
    </row>
    <row r="401" spans="1:8" ht="12.5">
      <c r="A401" s="32"/>
      <c r="E401" s="149"/>
      <c r="H401" s="32"/>
    </row>
    <row r="402" spans="1:8" ht="12.5">
      <c r="A402" s="32"/>
      <c r="E402" s="149"/>
      <c r="H402" s="32"/>
    </row>
    <row r="403" spans="1:8" ht="12.5">
      <c r="A403" s="32"/>
      <c r="E403" s="149"/>
      <c r="H403" s="32"/>
    </row>
    <row r="404" spans="1:8" ht="12.5">
      <c r="A404" s="32"/>
      <c r="E404" s="149"/>
      <c r="H404" s="32"/>
    </row>
    <row r="405" spans="1:8" ht="12.5">
      <c r="A405" s="32"/>
      <c r="E405" s="149"/>
      <c r="H405" s="32"/>
    </row>
    <row r="406" spans="1:8" ht="12.5">
      <c r="A406" s="32"/>
      <c r="E406" s="149"/>
      <c r="H406" s="32"/>
    </row>
    <row r="407" spans="1:8" ht="12.5">
      <c r="A407" s="32"/>
      <c r="E407" s="149"/>
      <c r="H407" s="32"/>
    </row>
    <row r="408" spans="1:8" ht="12.5">
      <c r="A408" s="32"/>
      <c r="E408" s="149"/>
      <c r="H408" s="32"/>
    </row>
    <row r="409" spans="1:8" ht="12.5">
      <c r="A409" s="32"/>
      <c r="E409" s="149"/>
      <c r="H409" s="32"/>
    </row>
    <row r="410" spans="1:8" ht="12.5">
      <c r="A410" s="32"/>
      <c r="E410" s="149"/>
      <c r="H410" s="32"/>
    </row>
    <row r="411" spans="1:8" ht="12.5">
      <c r="A411" s="32"/>
      <c r="E411" s="149"/>
      <c r="H411" s="32"/>
    </row>
    <row r="412" spans="1:8" ht="12.5">
      <c r="A412" s="32"/>
      <c r="E412" s="149"/>
      <c r="H412" s="32"/>
    </row>
    <row r="413" spans="1:8" ht="12.5">
      <c r="A413" s="32"/>
      <c r="E413" s="149"/>
      <c r="H413" s="32"/>
    </row>
    <row r="414" spans="1:8" ht="12.5">
      <c r="A414" s="32"/>
      <c r="E414" s="149"/>
      <c r="H414" s="32"/>
    </row>
    <row r="415" spans="1:8" ht="12.5">
      <c r="A415" s="32"/>
      <c r="E415" s="149"/>
      <c r="H415" s="32"/>
    </row>
    <row r="416" spans="1:8" ht="12.5">
      <c r="A416" s="32"/>
      <c r="E416" s="149"/>
      <c r="H416" s="32"/>
    </row>
    <row r="417" spans="1:8" ht="12.5">
      <c r="A417" s="32"/>
      <c r="E417" s="149"/>
      <c r="H417" s="32"/>
    </row>
    <row r="418" spans="1:8" ht="12.5">
      <c r="A418" s="32"/>
      <c r="E418" s="149"/>
      <c r="H418" s="32"/>
    </row>
    <row r="419" spans="1:8" ht="12.5">
      <c r="A419" s="32"/>
      <c r="E419" s="149"/>
      <c r="H419" s="32"/>
    </row>
    <row r="420" spans="1:8" ht="12.5">
      <c r="A420" s="32"/>
      <c r="E420" s="149"/>
      <c r="H420" s="32"/>
    </row>
    <row r="421" spans="1:8" ht="12.5">
      <c r="A421" s="32"/>
      <c r="E421" s="149"/>
      <c r="H421" s="32"/>
    </row>
    <row r="422" spans="1:8" ht="12.5">
      <c r="A422" s="32"/>
      <c r="E422" s="149"/>
      <c r="H422" s="32"/>
    </row>
    <row r="423" spans="1:8" ht="12.5">
      <c r="A423" s="32"/>
      <c r="E423" s="149"/>
      <c r="H423" s="32"/>
    </row>
    <row r="424" spans="1:8" ht="12.5">
      <c r="A424" s="32"/>
      <c r="E424" s="149"/>
      <c r="H424" s="32"/>
    </row>
    <row r="425" spans="1:8" ht="12.5">
      <c r="A425" s="32"/>
      <c r="E425" s="149"/>
      <c r="H425" s="32"/>
    </row>
    <row r="426" spans="1:8" ht="12.5">
      <c r="A426" s="32"/>
      <c r="E426" s="149"/>
      <c r="H426" s="32"/>
    </row>
    <row r="427" spans="1:8" ht="12.5">
      <c r="A427" s="32"/>
      <c r="E427" s="149"/>
      <c r="H427" s="32"/>
    </row>
    <row r="428" spans="1:8" ht="12.5">
      <c r="A428" s="32"/>
      <c r="E428" s="149"/>
      <c r="H428" s="32"/>
    </row>
    <row r="429" spans="1:8" ht="12.5">
      <c r="A429" s="32"/>
      <c r="E429" s="149"/>
      <c r="H429" s="32"/>
    </row>
    <row r="430" spans="1:8" ht="12.5">
      <c r="A430" s="32"/>
      <c r="E430" s="149"/>
      <c r="H430" s="32"/>
    </row>
    <row r="431" spans="1:8" ht="12.5">
      <c r="A431" s="32"/>
      <c r="E431" s="149"/>
      <c r="H431" s="32"/>
    </row>
    <row r="432" spans="1:8" ht="12.5">
      <c r="A432" s="32"/>
      <c r="E432" s="149"/>
      <c r="H432" s="32"/>
    </row>
    <row r="433" spans="1:8" ht="12.5">
      <c r="A433" s="32"/>
      <c r="E433" s="149"/>
      <c r="H433" s="32"/>
    </row>
    <row r="434" spans="1:8" ht="12.5">
      <c r="A434" s="32"/>
      <c r="E434" s="149"/>
      <c r="H434" s="32"/>
    </row>
    <row r="435" spans="1:8" ht="12.5">
      <c r="A435" s="32"/>
      <c r="E435" s="149"/>
      <c r="H435" s="32"/>
    </row>
    <row r="436" spans="1:8" ht="12.5">
      <c r="A436" s="32"/>
      <c r="E436" s="149"/>
      <c r="H436" s="32"/>
    </row>
    <row r="437" spans="1:8" ht="12.5">
      <c r="A437" s="32"/>
      <c r="E437" s="149"/>
      <c r="H437" s="32"/>
    </row>
    <row r="438" spans="1:8" ht="12.5">
      <c r="A438" s="32"/>
      <c r="E438" s="149"/>
      <c r="H438" s="32"/>
    </row>
    <row r="439" spans="1:8" ht="12.5">
      <c r="A439" s="32"/>
      <c r="E439" s="149"/>
      <c r="H439" s="32"/>
    </row>
    <row r="440" spans="1:8" ht="12.5">
      <c r="A440" s="32"/>
      <c r="E440" s="149"/>
      <c r="H440" s="32"/>
    </row>
    <row r="441" spans="1:8" ht="12.5">
      <c r="A441" s="32"/>
      <c r="E441" s="149"/>
      <c r="H441" s="32"/>
    </row>
    <row r="442" spans="1:8" ht="12.5">
      <c r="A442" s="32"/>
      <c r="E442" s="149"/>
      <c r="H442" s="32"/>
    </row>
    <row r="443" spans="1:8" ht="12.5">
      <c r="A443" s="32"/>
      <c r="E443" s="149"/>
      <c r="H443" s="32"/>
    </row>
    <row r="444" spans="1:8" ht="12.5">
      <c r="A444" s="32"/>
      <c r="E444" s="149"/>
      <c r="H444" s="32"/>
    </row>
    <row r="445" spans="1:8" ht="12.5">
      <c r="A445" s="32"/>
      <c r="E445" s="149"/>
      <c r="H445" s="32"/>
    </row>
    <row r="446" spans="1:8" ht="12.5">
      <c r="A446" s="32"/>
      <c r="E446" s="149"/>
      <c r="H446" s="32"/>
    </row>
    <row r="447" spans="1:8" ht="12.5">
      <c r="A447" s="32"/>
      <c r="E447" s="149"/>
      <c r="H447" s="32"/>
    </row>
    <row r="448" spans="1:8" ht="12.5">
      <c r="A448" s="32"/>
      <c r="E448" s="149"/>
      <c r="H448" s="32"/>
    </row>
    <row r="449" spans="1:8" ht="12.5">
      <c r="A449" s="32"/>
      <c r="E449" s="149"/>
      <c r="H449" s="32"/>
    </row>
    <row r="450" spans="1:8" ht="12.5">
      <c r="A450" s="32"/>
      <c r="E450" s="149"/>
      <c r="H450" s="32"/>
    </row>
    <row r="451" spans="1:8" ht="12.5">
      <c r="A451" s="32"/>
      <c r="E451" s="149"/>
      <c r="H451" s="32"/>
    </row>
    <row r="452" spans="1:8" ht="12.5">
      <c r="A452" s="32"/>
      <c r="E452" s="149"/>
      <c r="H452" s="32"/>
    </row>
    <row r="453" spans="1:8" ht="12.5">
      <c r="A453" s="32"/>
      <c r="E453" s="149"/>
      <c r="H453" s="32"/>
    </row>
    <row r="454" spans="1:8" ht="12.5">
      <c r="A454" s="32"/>
      <c r="E454" s="149"/>
      <c r="H454" s="32"/>
    </row>
    <row r="455" spans="1:8" ht="12.5">
      <c r="A455" s="32"/>
      <c r="E455" s="149"/>
      <c r="H455" s="32"/>
    </row>
    <row r="456" spans="1:8" ht="12.5">
      <c r="A456" s="32"/>
      <c r="E456" s="149"/>
      <c r="H456" s="32"/>
    </row>
    <row r="457" spans="1:8" ht="12.5">
      <c r="A457" s="32"/>
      <c r="E457" s="149"/>
      <c r="H457" s="32"/>
    </row>
    <row r="458" spans="1:8" ht="12.5">
      <c r="A458" s="32"/>
      <c r="E458" s="149"/>
      <c r="H458" s="32"/>
    </row>
    <row r="459" spans="1:8" ht="12.5">
      <c r="A459" s="32"/>
      <c r="E459" s="149"/>
      <c r="H459" s="32"/>
    </row>
    <row r="460" spans="1:8" ht="12.5">
      <c r="A460" s="32"/>
      <c r="E460" s="149"/>
      <c r="H460" s="32"/>
    </row>
    <row r="461" spans="1:8" ht="12.5">
      <c r="A461" s="32"/>
      <c r="E461" s="149"/>
      <c r="H461" s="32"/>
    </row>
    <row r="462" spans="1:8" ht="12.5">
      <c r="A462" s="32"/>
      <c r="E462" s="149"/>
      <c r="H462" s="32"/>
    </row>
    <row r="463" spans="1:8" ht="12.5">
      <c r="A463" s="32"/>
      <c r="E463" s="149"/>
      <c r="H463" s="32"/>
    </row>
    <row r="464" spans="1:8" ht="12.5">
      <c r="A464" s="32"/>
      <c r="E464" s="149"/>
      <c r="H464" s="32"/>
    </row>
    <row r="465" spans="1:8" ht="12.5">
      <c r="A465" s="32"/>
      <c r="E465" s="149"/>
      <c r="H465" s="32"/>
    </row>
    <row r="466" spans="1:8" ht="12.5">
      <c r="A466" s="32"/>
      <c r="E466" s="149"/>
      <c r="H466" s="32"/>
    </row>
    <row r="467" spans="1:8" ht="12.5">
      <c r="A467" s="32"/>
      <c r="E467" s="149"/>
      <c r="H467" s="32"/>
    </row>
    <row r="468" spans="1:8" ht="12.5">
      <c r="A468" s="32"/>
      <c r="E468" s="149"/>
      <c r="H468" s="32"/>
    </row>
    <row r="469" spans="1:8" ht="12.5">
      <c r="A469" s="32"/>
      <c r="E469" s="149"/>
      <c r="H469" s="32"/>
    </row>
    <row r="470" spans="1:8" ht="12.5">
      <c r="A470" s="32"/>
      <c r="E470" s="149"/>
      <c r="H470" s="32"/>
    </row>
    <row r="471" spans="1:8" ht="12.5">
      <c r="A471" s="32"/>
      <c r="E471" s="149"/>
      <c r="H471" s="32"/>
    </row>
    <row r="472" spans="1:8" ht="12.5">
      <c r="A472" s="32"/>
      <c r="E472" s="149"/>
      <c r="H472" s="32"/>
    </row>
    <row r="473" spans="1:8" ht="12.5">
      <c r="A473" s="32"/>
      <c r="E473" s="149"/>
      <c r="H473" s="32"/>
    </row>
    <row r="474" spans="1:8" ht="12.5">
      <c r="A474" s="32"/>
      <c r="E474" s="149"/>
      <c r="H474" s="32"/>
    </row>
    <row r="475" spans="1:8" ht="12.5">
      <c r="A475" s="32"/>
      <c r="E475" s="149"/>
      <c r="H475" s="32"/>
    </row>
    <row r="476" spans="1:8" ht="12.5">
      <c r="A476" s="32"/>
      <c r="E476" s="149"/>
      <c r="H476" s="32"/>
    </row>
    <row r="477" spans="1:8" ht="12.5">
      <c r="A477" s="32"/>
      <c r="E477" s="149"/>
      <c r="H477" s="32"/>
    </row>
    <row r="478" spans="1:8" ht="12.5">
      <c r="A478" s="32"/>
      <c r="E478" s="149"/>
      <c r="H478" s="32"/>
    </row>
    <row r="479" spans="1:8" ht="12.5">
      <c r="A479" s="32"/>
      <c r="E479" s="149"/>
      <c r="H479" s="32"/>
    </row>
    <row r="480" spans="1:8" ht="12.5">
      <c r="A480" s="32"/>
      <c r="E480" s="149"/>
      <c r="H480" s="32"/>
    </row>
    <row r="481" spans="1:8" ht="12.5">
      <c r="A481" s="32"/>
      <c r="E481" s="149"/>
      <c r="H481" s="32"/>
    </row>
    <row r="482" spans="1:8" ht="12.5">
      <c r="A482" s="32"/>
      <c r="E482" s="149"/>
      <c r="H482" s="32"/>
    </row>
    <row r="483" spans="1:8" ht="12.5">
      <c r="A483" s="32"/>
      <c r="E483" s="149"/>
      <c r="H483" s="32"/>
    </row>
    <row r="484" spans="1:8" ht="12.5">
      <c r="A484" s="32"/>
      <c r="E484" s="149"/>
      <c r="H484" s="32"/>
    </row>
    <row r="485" spans="1:8" ht="12.5">
      <c r="A485" s="32"/>
      <c r="E485" s="149"/>
      <c r="H485" s="32"/>
    </row>
    <row r="486" spans="1:8" ht="12.5">
      <c r="A486" s="32"/>
      <c r="E486" s="149"/>
      <c r="H486" s="32"/>
    </row>
    <row r="487" spans="1:8" ht="12.5">
      <c r="A487" s="32"/>
      <c r="E487" s="149"/>
      <c r="H487" s="32"/>
    </row>
    <row r="488" spans="1:8" ht="12.5">
      <c r="A488" s="32"/>
      <c r="E488" s="149"/>
      <c r="H488" s="32"/>
    </row>
    <row r="489" spans="1:8" ht="12.5">
      <c r="A489" s="32"/>
      <c r="E489" s="149"/>
      <c r="H489" s="32"/>
    </row>
    <row r="490" spans="1:8" ht="12.5">
      <c r="A490" s="32"/>
      <c r="E490" s="149"/>
      <c r="H490" s="32"/>
    </row>
    <row r="491" spans="1:8" ht="12.5">
      <c r="A491" s="32"/>
      <c r="E491" s="149"/>
      <c r="H491" s="32"/>
    </row>
    <row r="492" spans="1:8" ht="12.5">
      <c r="A492" s="32"/>
      <c r="E492" s="149"/>
      <c r="H492" s="32"/>
    </row>
    <row r="493" spans="1:8" ht="12.5">
      <c r="A493" s="32"/>
      <c r="E493" s="149"/>
      <c r="H493" s="32"/>
    </row>
    <row r="494" spans="1:8" ht="12.5">
      <c r="A494" s="32"/>
      <c r="E494" s="149"/>
      <c r="H494" s="32"/>
    </row>
    <row r="495" spans="1:8" ht="12.5">
      <c r="A495" s="32"/>
      <c r="E495" s="149"/>
      <c r="H495" s="32"/>
    </row>
    <row r="496" spans="1:8" ht="12.5">
      <c r="A496" s="32"/>
      <c r="E496" s="149"/>
      <c r="H496" s="32"/>
    </row>
    <row r="497" spans="1:8" ht="12.5">
      <c r="A497" s="32"/>
      <c r="E497" s="149"/>
      <c r="H497" s="32"/>
    </row>
    <row r="498" spans="1:8" ht="12.5">
      <c r="A498" s="32"/>
      <c r="E498" s="149"/>
      <c r="H498" s="32"/>
    </row>
    <row r="499" spans="1:8" ht="12.5">
      <c r="A499" s="32"/>
      <c r="E499" s="149"/>
      <c r="H499" s="32"/>
    </row>
    <row r="500" spans="1:8" ht="12.5">
      <c r="A500" s="32"/>
      <c r="E500" s="149"/>
      <c r="H500" s="32"/>
    </row>
    <row r="501" spans="1:8" ht="12.5">
      <c r="A501" s="32"/>
      <c r="E501" s="149"/>
      <c r="H501" s="32"/>
    </row>
    <row r="502" spans="1:8" ht="12.5">
      <c r="A502" s="32"/>
      <c r="E502" s="149"/>
      <c r="H502" s="32"/>
    </row>
    <row r="503" spans="1:8" ht="12.5">
      <c r="A503" s="32"/>
      <c r="E503" s="149"/>
      <c r="H503" s="32"/>
    </row>
    <row r="504" spans="1:8" ht="12.5">
      <c r="A504" s="32"/>
      <c r="E504" s="149"/>
      <c r="H504" s="32"/>
    </row>
    <row r="505" spans="1:8" ht="12.5">
      <c r="A505" s="32"/>
      <c r="E505" s="149"/>
      <c r="H505" s="32"/>
    </row>
    <row r="506" spans="1:8" ht="12.5">
      <c r="A506" s="32"/>
      <c r="E506" s="149"/>
      <c r="H506" s="32"/>
    </row>
    <row r="507" spans="1:8" ht="12.5">
      <c r="A507" s="32"/>
      <c r="E507" s="149"/>
      <c r="H507" s="32"/>
    </row>
    <row r="508" spans="1:8" ht="12.5">
      <c r="A508" s="32"/>
      <c r="E508" s="149"/>
      <c r="H508" s="32"/>
    </row>
    <row r="509" spans="1:8" ht="12.5">
      <c r="A509" s="32"/>
      <c r="E509" s="149"/>
      <c r="H509" s="32"/>
    </row>
    <row r="510" spans="1:8" ht="12.5">
      <c r="A510" s="32"/>
      <c r="E510" s="149"/>
      <c r="H510" s="32"/>
    </row>
    <row r="511" spans="1:8" ht="12.5">
      <c r="A511" s="32"/>
      <c r="E511" s="149"/>
      <c r="H511" s="32"/>
    </row>
    <row r="512" spans="1:8" ht="12.5">
      <c r="A512" s="32"/>
      <c r="E512" s="149"/>
      <c r="H512" s="32"/>
    </row>
    <row r="513" spans="1:8" ht="12.5">
      <c r="A513" s="32"/>
      <c r="E513" s="149"/>
      <c r="H513" s="32"/>
    </row>
    <row r="514" spans="1:8" ht="12.5">
      <c r="A514" s="32"/>
      <c r="E514" s="149"/>
      <c r="H514" s="32"/>
    </row>
    <row r="515" spans="1:8" ht="12.5">
      <c r="A515" s="32"/>
      <c r="E515" s="149"/>
      <c r="H515" s="32"/>
    </row>
    <row r="516" spans="1:8" ht="12.5">
      <c r="A516" s="32"/>
      <c r="E516" s="149"/>
      <c r="H516" s="32"/>
    </row>
    <row r="517" spans="1:8" ht="12.5">
      <c r="A517" s="32"/>
      <c r="E517" s="149"/>
      <c r="H517" s="32"/>
    </row>
    <row r="518" spans="1:8" ht="12.5">
      <c r="A518" s="32"/>
      <c r="E518" s="149"/>
      <c r="H518" s="32"/>
    </row>
    <row r="519" spans="1:8" ht="12.5">
      <c r="A519" s="32"/>
      <c r="E519" s="149"/>
      <c r="H519" s="32"/>
    </row>
    <row r="520" spans="1:8" ht="12.5">
      <c r="A520" s="32"/>
      <c r="E520" s="149"/>
      <c r="H520" s="32"/>
    </row>
    <row r="521" spans="1:8" ht="12.5">
      <c r="A521" s="32"/>
      <c r="E521" s="149"/>
      <c r="H521" s="32"/>
    </row>
    <row r="522" spans="1:8" ht="12.5">
      <c r="A522" s="32"/>
      <c r="E522" s="149"/>
      <c r="H522" s="32"/>
    </row>
    <row r="523" spans="1:8" ht="12.5">
      <c r="A523" s="32"/>
      <c r="E523" s="149"/>
      <c r="H523" s="32"/>
    </row>
    <row r="524" spans="1:8" ht="12.5">
      <c r="A524" s="32"/>
      <c r="E524" s="149"/>
      <c r="H524" s="32"/>
    </row>
    <row r="525" spans="1:8" ht="12.5">
      <c r="A525" s="32"/>
      <c r="E525" s="149"/>
      <c r="H525" s="32"/>
    </row>
    <row r="526" spans="1:8" ht="12.5">
      <c r="A526" s="32"/>
      <c r="E526" s="149"/>
      <c r="H526" s="32"/>
    </row>
    <row r="527" spans="1:8" ht="12.5">
      <c r="A527" s="32"/>
      <c r="E527" s="149"/>
      <c r="H527" s="32"/>
    </row>
    <row r="528" spans="1:8" ht="12.5">
      <c r="A528" s="32"/>
      <c r="E528" s="149"/>
      <c r="H528" s="32"/>
    </row>
    <row r="529" spans="1:8" ht="12.5">
      <c r="A529" s="32"/>
      <c r="E529" s="149"/>
      <c r="H529" s="32"/>
    </row>
    <row r="530" spans="1:8" ht="12.5">
      <c r="A530" s="32"/>
      <c r="E530" s="149"/>
      <c r="H530" s="32"/>
    </row>
    <row r="531" spans="1:8" ht="12.5">
      <c r="A531" s="32"/>
      <c r="E531" s="149"/>
      <c r="H531" s="32"/>
    </row>
    <row r="532" spans="1:8" ht="12.5">
      <c r="A532" s="32"/>
      <c r="E532" s="149"/>
      <c r="H532" s="32"/>
    </row>
    <row r="533" spans="1:8" ht="12.5">
      <c r="A533" s="32"/>
      <c r="E533" s="149"/>
      <c r="H533" s="32"/>
    </row>
    <row r="534" spans="1:8" ht="12.5">
      <c r="A534" s="32"/>
      <c r="E534" s="149"/>
      <c r="H534" s="32"/>
    </row>
    <row r="535" spans="1:8" ht="12.5">
      <c r="A535" s="32"/>
      <c r="E535" s="149"/>
      <c r="H535" s="32"/>
    </row>
    <row r="536" spans="1:8" ht="12.5">
      <c r="A536" s="32"/>
      <c r="E536" s="149"/>
      <c r="H536" s="32"/>
    </row>
    <row r="537" spans="1:8" ht="12.5">
      <c r="A537" s="32"/>
      <c r="E537" s="149"/>
      <c r="H537" s="32"/>
    </row>
    <row r="538" spans="1:8" ht="12.5">
      <c r="A538" s="32"/>
      <c r="E538" s="149"/>
      <c r="H538" s="32"/>
    </row>
    <row r="539" spans="1:8" ht="12.5">
      <c r="A539" s="32"/>
      <c r="E539" s="149"/>
      <c r="H539" s="32"/>
    </row>
    <row r="540" spans="1:8" ht="12.5">
      <c r="A540" s="32"/>
      <c r="E540" s="149"/>
      <c r="H540" s="32"/>
    </row>
    <row r="541" spans="1:8" ht="12.5">
      <c r="A541" s="32"/>
      <c r="E541" s="149"/>
      <c r="H541" s="32"/>
    </row>
    <row r="542" spans="1:8" ht="12.5">
      <c r="A542" s="32"/>
      <c r="E542" s="149"/>
      <c r="H542" s="32"/>
    </row>
    <row r="543" spans="1:8" ht="12.5">
      <c r="A543" s="32"/>
      <c r="E543" s="149"/>
      <c r="H543" s="32"/>
    </row>
    <row r="544" spans="1:8" ht="12.5">
      <c r="A544" s="32"/>
      <c r="E544" s="149"/>
      <c r="H544" s="32"/>
    </row>
    <row r="545" spans="1:8" ht="12.5">
      <c r="A545" s="32"/>
      <c r="E545" s="149"/>
      <c r="H545" s="32"/>
    </row>
    <row r="546" spans="1:8" ht="12.5">
      <c r="A546" s="32"/>
      <c r="E546" s="149"/>
      <c r="H546" s="32"/>
    </row>
    <row r="547" spans="1:8" ht="12.5">
      <c r="A547" s="32"/>
      <c r="E547" s="149"/>
      <c r="H547" s="32"/>
    </row>
    <row r="548" spans="1:8" ht="12.5">
      <c r="A548" s="32"/>
      <c r="E548" s="149"/>
      <c r="H548" s="32"/>
    </row>
    <row r="549" spans="1:8" ht="12.5">
      <c r="A549" s="32"/>
      <c r="E549" s="149"/>
      <c r="H549" s="32"/>
    </row>
    <row r="550" spans="1:8" ht="12.5">
      <c r="A550" s="32"/>
      <c r="E550" s="149"/>
      <c r="H550" s="32"/>
    </row>
    <row r="551" spans="1:8" ht="12.5">
      <c r="A551" s="32"/>
      <c r="E551" s="149"/>
      <c r="H551" s="32"/>
    </row>
    <row r="552" spans="1:8" ht="12.5">
      <c r="A552" s="32"/>
      <c r="E552" s="149"/>
      <c r="H552" s="32"/>
    </row>
    <row r="553" spans="1:8" ht="12.5">
      <c r="A553" s="32"/>
      <c r="E553" s="149"/>
      <c r="H553" s="32"/>
    </row>
    <row r="554" spans="1:8" ht="12.5">
      <c r="A554" s="32"/>
      <c r="E554" s="149"/>
      <c r="H554" s="32"/>
    </row>
    <row r="555" spans="1:8" ht="12.5">
      <c r="A555" s="32"/>
      <c r="E555" s="149"/>
      <c r="H555" s="32"/>
    </row>
    <row r="556" spans="1:8" ht="12.5">
      <c r="A556" s="32"/>
      <c r="E556" s="149"/>
      <c r="H556" s="32"/>
    </row>
    <row r="557" spans="1:8" ht="12.5">
      <c r="A557" s="32"/>
      <c r="E557" s="149"/>
      <c r="H557" s="32"/>
    </row>
    <row r="558" spans="1:8" ht="12.5">
      <c r="A558" s="32"/>
      <c r="E558" s="149"/>
      <c r="H558" s="32"/>
    </row>
    <row r="559" spans="1:8" ht="12.5">
      <c r="A559" s="32"/>
      <c r="E559" s="149"/>
      <c r="H559" s="32"/>
    </row>
    <row r="560" spans="1:8" ht="12.5">
      <c r="A560" s="32"/>
      <c r="E560" s="149"/>
      <c r="H560" s="32"/>
    </row>
    <row r="561" spans="1:8" ht="12.5">
      <c r="A561" s="32"/>
      <c r="E561" s="149"/>
      <c r="H561" s="32"/>
    </row>
    <row r="562" spans="1:8" ht="12.5">
      <c r="A562" s="32"/>
      <c r="E562" s="149"/>
      <c r="H562" s="32"/>
    </row>
    <row r="563" spans="1:8" ht="12.5">
      <c r="A563" s="32"/>
      <c r="E563" s="149"/>
      <c r="H563" s="32"/>
    </row>
    <row r="564" spans="1:8" ht="12.5">
      <c r="A564" s="32"/>
      <c r="E564" s="149"/>
      <c r="H564" s="32"/>
    </row>
    <row r="565" spans="1:8" ht="12.5">
      <c r="A565" s="32"/>
      <c r="E565" s="149"/>
      <c r="H565" s="32"/>
    </row>
    <row r="566" spans="1:8" ht="12.5">
      <c r="A566" s="32"/>
      <c r="E566" s="149"/>
      <c r="H566" s="32"/>
    </row>
    <row r="567" spans="1:8" ht="12.5">
      <c r="A567" s="32"/>
      <c r="E567" s="149"/>
      <c r="H567" s="32"/>
    </row>
    <row r="568" spans="1:8" ht="12.5">
      <c r="A568" s="32"/>
      <c r="E568" s="149"/>
      <c r="H568" s="32"/>
    </row>
    <row r="569" spans="1:8" ht="12.5">
      <c r="A569" s="32"/>
      <c r="E569" s="149"/>
      <c r="H569" s="32"/>
    </row>
    <row r="570" spans="1:8" ht="12.5">
      <c r="A570" s="32"/>
      <c r="E570" s="149"/>
      <c r="H570" s="32"/>
    </row>
    <row r="571" spans="1:8" ht="12.5">
      <c r="A571" s="32"/>
      <c r="E571" s="149"/>
      <c r="H571" s="32"/>
    </row>
    <row r="572" spans="1:8" ht="12.5">
      <c r="A572" s="32"/>
      <c r="E572" s="149"/>
      <c r="H572" s="32"/>
    </row>
    <row r="573" spans="1:8" ht="12.5">
      <c r="A573" s="32"/>
      <c r="E573" s="149"/>
      <c r="H573" s="32"/>
    </row>
    <row r="574" spans="1:8" ht="12.5">
      <c r="A574" s="32"/>
      <c r="E574" s="149"/>
      <c r="H574" s="32"/>
    </row>
    <row r="575" spans="1:8" ht="12.5">
      <c r="A575" s="32"/>
      <c r="E575" s="149"/>
      <c r="H575" s="32"/>
    </row>
    <row r="576" spans="1:8" ht="12.5">
      <c r="A576" s="32"/>
      <c r="E576" s="149"/>
      <c r="H576" s="32"/>
    </row>
    <row r="577" spans="1:8" ht="12.5">
      <c r="A577" s="32"/>
      <c r="E577" s="149"/>
      <c r="H577" s="32"/>
    </row>
    <row r="578" spans="1:8" ht="12.5">
      <c r="A578" s="32"/>
      <c r="E578" s="149"/>
      <c r="H578" s="32"/>
    </row>
    <row r="579" spans="1:8" ht="12.5">
      <c r="A579" s="32"/>
      <c r="E579" s="149"/>
      <c r="H579" s="32"/>
    </row>
    <row r="580" spans="1:8" ht="12.5">
      <c r="A580" s="32"/>
      <c r="E580" s="149"/>
      <c r="H580" s="32"/>
    </row>
    <row r="581" spans="1:8" ht="12.5">
      <c r="A581" s="32"/>
      <c r="E581" s="149"/>
      <c r="H581" s="32"/>
    </row>
    <row r="582" spans="1:8" ht="12.5">
      <c r="A582" s="32"/>
      <c r="E582" s="149"/>
      <c r="H582" s="32"/>
    </row>
    <row r="583" spans="1:8" ht="12.5">
      <c r="A583" s="32"/>
      <c r="E583" s="149"/>
      <c r="H583" s="32"/>
    </row>
    <row r="584" spans="1:8" ht="12.5">
      <c r="A584" s="32"/>
      <c r="E584" s="149"/>
      <c r="H584" s="32"/>
    </row>
    <row r="585" spans="1:8" ht="12.5">
      <c r="A585" s="32"/>
      <c r="E585" s="149"/>
      <c r="H585" s="32"/>
    </row>
    <row r="586" spans="1:8" ht="12.5">
      <c r="A586" s="32"/>
      <c r="E586" s="149"/>
      <c r="H586" s="32"/>
    </row>
    <row r="587" spans="1:8" ht="12.5">
      <c r="A587" s="32"/>
      <c r="E587" s="149"/>
      <c r="H587" s="32"/>
    </row>
    <row r="588" spans="1:8" ht="12.5">
      <c r="A588" s="32"/>
      <c r="E588" s="149"/>
      <c r="H588" s="32"/>
    </row>
    <row r="589" spans="1:8" ht="12.5">
      <c r="A589" s="32"/>
      <c r="E589" s="149"/>
      <c r="H589" s="32"/>
    </row>
    <row r="590" spans="1:8" ht="12.5">
      <c r="A590" s="32"/>
      <c r="E590" s="149"/>
      <c r="H590" s="32"/>
    </row>
    <row r="591" spans="1:8" ht="12.5">
      <c r="A591" s="32"/>
      <c r="E591" s="149"/>
      <c r="H591" s="32"/>
    </row>
    <row r="592" spans="1:8" ht="12.5">
      <c r="A592" s="32"/>
      <c r="E592" s="149"/>
      <c r="H592" s="32"/>
    </row>
    <row r="593" spans="1:8" ht="12.5">
      <c r="A593" s="32"/>
      <c r="E593" s="149"/>
      <c r="H593" s="32"/>
    </row>
    <row r="594" spans="1:8" ht="12.5">
      <c r="A594" s="32"/>
      <c r="E594" s="149"/>
      <c r="H594" s="32"/>
    </row>
    <row r="595" spans="1:8" ht="12.5">
      <c r="A595" s="32"/>
      <c r="E595" s="149"/>
      <c r="H595" s="32"/>
    </row>
    <row r="596" spans="1:8" ht="12.5">
      <c r="A596" s="32"/>
      <c r="E596" s="149"/>
      <c r="H596" s="32"/>
    </row>
    <row r="597" spans="1:8" ht="12.5">
      <c r="A597" s="32"/>
      <c r="E597" s="149"/>
      <c r="H597" s="32"/>
    </row>
    <row r="598" spans="1:8" ht="12.5">
      <c r="A598" s="32"/>
      <c r="E598" s="149"/>
      <c r="H598" s="32"/>
    </row>
    <row r="599" spans="1:8" ht="12.5">
      <c r="A599" s="32"/>
      <c r="E599" s="149"/>
      <c r="H599" s="32"/>
    </row>
    <row r="600" spans="1:8" ht="12.5">
      <c r="A600" s="32"/>
      <c r="E600" s="149"/>
      <c r="H600" s="32"/>
    </row>
    <row r="601" spans="1:8" ht="12.5">
      <c r="A601" s="32"/>
      <c r="E601" s="149"/>
      <c r="H601" s="32"/>
    </row>
    <row r="602" spans="1:8" ht="12.5">
      <c r="A602" s="32"/>
      <c r="E602" s="149"/>
      <c r="H602" s="32"/>
    </row>
    <row r="603" spans="1:8" ht="12.5">
      <c r="A603" s="32"/>
      <c r="E603" s="149"/>
      <c r="H603" s="32"/>
    </row>
    <row r="604" spans="1:8" ht="12.5">
      <c r="A604" s="32"/>
      <c r="E604" s="149"/>
      <c r="H604" s="32"/>
    </row>
    <row r="605" spans="1:8" ht="12.5">
      <c r="A605" s="32"/>
      <c r="E605" s="149"/>
      <c r="H605" s="32"/>
    </row>
    <row r="606" spans="1:8" ht="12.5">
      <c r="A606" s="32"/>
      <c r="E606" s="149"/>
      <c r="H606" s="32"/>
    </row>
    <row r="607" spans="1:8" ht="12.5">
      <c r="A607" s="32"/>
      <c r="E607" s="149"/>
      <c r="H607" s="32"/>
    </row>
    <row r="608" spans="1:8" ht="12.5">
      <c r="A608" s="32"/>
      <c r="E608" s="149"/>
      <c r="H608" s="32"/>
    </row>
    <row r="609" spans="1:8" ht="12.5">
      <c r="A609" s="32"/>
      <c r="E609" s="149"/>
      <c r="H609" s="32"/>
    </row>
    <row r="610" spans="1:8" ht="12.5">
      <c r="A610" s="32"/>
      <c r="E610" s="149"/>
      <c r="H610" s="32"/>
    </row>
    <row r="611" spans="1:8" ht="12.5">
      <c r="A611" s="32"/>
      <c r="E611" s="149"/>
      <c r="H611" s="32"/>
    </row>
    <row r="612" spans="1:8" ht="12.5">
      <c r="A612" s="32"/>
      <c r="E612" s="149"/>
      <c r="H612" s="32"/>
    </row>
    <row r="613" spans="1:8" ht="12.5">
      <c r="A613" s="32"/>
      <c r="E613" s="149"/>
      <c r="H613" s="32"/>
    </row>
    <row r="614" spans="1:8" ht="12.5">
      <c r="A614" s="32"/>
      <c r="E614" s="149"/>
      <c r="H614" s="32"/>
    </row>
    <row r="615" spans="1:8" ht="12.5">
      <c r="A615" s="32"/>
      <c r="E615" s="149"/>
      <c r="H615" s="32"/>
    </row>
    <row r="616" spans="1:8" ht="12.5">
      <c r="A616" s="32"/>
      <c r="E616" s="149"/>
      <c r="H616" s="32"/>
    </row>
    <row r="617" spans="1:8" ht="12.5">
      <c r="A617" s="32"/>
      <c r="E617" s="149"/>
      <c r="H617" s="32"/>
    </row>
    <row r="618" spans="1:8" ht="12.5">
      <c r="A618" s="32"/>
      <c r="E618" s="149"/>
      <c r="H618" s="32"/>
    </row>
    <row r="619" spans="1:8" ht="12.5">
      <c r="A619" s="32"/>
      <c r="E619" s="149"/>
      <c r="H619" s="32"/>
    </row>
    <row r="620" spans="1:8" ht="12.5">
      <c r="A620" s="32"/>
      <c r="E620" s="149"/>
      <c r="H620" s="32"/>
    </row>
    <row r="621" spans="1:8" ht="12.5">
      <c r="A621" s="32"/>
      <c r="E621" s="149"/>
      <c r="H621" s="32"/>
    </row>
    <row r="622" spans="1:8" ht="12.5">
      <c r="A622" s="32"/>
      <c r="E622" s="149"/>
      <c r="H622" s="32"/>
    </row>
    <row r="623" spans="1:8" ht="12.5">
      <c r="A623" s="32"/>
      <c r="E623" s="149"/>
      <c r="H623" s="32"/>
    </row>
    <row r="624" spans="1:8" ht="12.5">
      <c r="A624" s="32"/>
      <c r="E624" s="149"/>
      <c r="H624" s="32"/>
    </row>
    <row r="625" spans="1:8" ht="12.5">
      <c r="A625" s="32"/>
      <c r="E625" s="149"/>
      <c r="H625" s="32"/>
    </row>
    <row r="626" spans="1:8" ht="12.5">
      <c r="A626" s="32"/>
      <c r="E626" s="149"/>
      <c r="H626" s="32"/>
    </row>
    <row r="627" spans="1:8" ht="12.5">
      <c r="A627" s="32"/>
      <c r="E627" s="149"/>
      <c r="H627" s="32"/>
    </row>
    <row r="628" spans="1:8" ht="12.5">
      <c r="A628" s="32"/>
      <c r="E628" s="149"/>
      <c r="H628" s="32"/>
    </row>
    <row r="629" spans="1:8" ht="12.5">
      <c r="A629" s="32"/>
      <c r="E629" s="149"/>
      <c r="H629" s="32"/>
    </row>
    <row r="630" spans="1:8" ht="12.5">
      <c r="A630" s="32"/>
      <c r="E630" s="149"/>
      <c r="H630" s="32"/>
    </row>
    <row r="631" spans="1:8" ht="12.5">
      <c r="A631" s="32"/>
      <c r="E631" s="149"/>
      <c r="H631" s="32"/>
    </row>
    <row r="632" spans="1:8" ht="12.5">
      <c r="A632" s="32"/>
      <c r="E632" s="149"/>
      <c r="H632" s="32"/>
    </row>
    <row r="633" spans="1:8" ht="12.5">
      <c r="A633" s="32"/>
      <c r="E633" s="149"/>
      <c r="H633" s="32"/>
    </row>
    <row r="634" spans="1:8" ht="12.5">
      <c r="A634" s="32"/>
      <c r="E634" s="149"/>
      <c r="H634" s="32"/>
    </row>
    <row r="635" spans="1:8" ht="12.5">
      <c r="A635" s="32"/>
      <c r="E635" s="149"/>
      <c r="H635" s="32"/>
    </row>
    <row r="636" spans="1:8" ht="12.5">
      <c r="A636" s="32"/>
      <c r="E636" s="149"/>
      <c r="H636" s="32"/>
    </row>
    <row r="637" spans="1:8" ht="12.5">
      <c r="A637" s="32"/>
      <c r="E637" s="149"/>
      <c r="H637" s="32"/>
    </row>
    <row r="638" spans="1:8" ht="12.5">
      <c r="A638" s="32"/>
      <c r="E638" s="149"/>
      <c r="H638" s="32"/>
    </row>
    <row r="639" spans="1:8" ht="12.5">
      <c r="A639" s="32"/>
      <c r="E639" s="149"/>
      <c r="H639" s="32"/>
    </row>
    <row r="640" spans="1:8" ht="12.5">
      <c r="A640" s="32"/>
      <c r="E640" s="149"/>
      <c r="H640" s="32"/>
    </row>
    <row r="641" spans="1:8" ht="12.5">
      <c r="A641" s="32"/>
      <c r="E641" s="149"/>
      <c r="H641" s="32"/>
    </row>
    <row r="642" spans="1:8" ht="12.5">
      <c r="A642" s="32"/>
      <c r="E642" s="149"/>
      <c r="H642" s="32"/>
    </row>
    <row r="643" spans="1:8" ht="12.5">
      <c r="A643" s="32"/>
      <c r="E643" s="149"/>
      <c r="H643" s="32"/>
    </row>
    <row r="644" spans="1:8" ht="12.5">
      <c r="A644" s="32"/>
      <c r="E644" s="149"/>
      <c r="H644" s="32"/>
    </row>
    <row r="645" spans="1:8" ht="12.5">
      <c r="A645" s="32"/>
      <c r="E645" s="149"/>
      <c r="H645" s="32"/>
    </row>
    <row r="646" spans="1:8" ht="12.5">
      <c r="A646" s="32"/>
      <c r="E646" s="149"/>
      <c r="H646" s="32"/>
    </row>
    <row r="647" spans="1:8" ht="12.5">
      <c r="A647" s="32"/>
      <c r="E647" s="149"/>
      <c r="H647" s="32"/>
    </row>
    <row r="648" spans="1:8" ht="12.5">
      <c r="A648" s="32"/>
      <c r="E648" s="149"/>
      <c r="H648" s="32"/>
    </row>
    <row r="649" spans="1:8" ht="12.5">
      <c r="A649" s="32"/>
      <c r="E649" s="149"/>
      <c r="H649" s="32"/>
    </row>
    <row r="650" spans="1:8" ht="12.5">
      <c r="A650" s="32"/>
      <c r="E650" s="149"/>
      <c r="H650" s="32"/>
    </row>
    <row r="651" spans="1:8" ht="12.5">
      <c r="A651" s="32"/>
      <c r="E651" s="149"/>
      <c r="H651" s="32"/>
    </row>
    <row r="652" spans="1:8" ht="12.5">
      <c r="A652" s="32"/>
      <c r="E652" s="149"/>
      <c r="H652" s="32"/>
    </row>
    <row r="653" spans="1:8" ht="12.5">
      <c r="A653" s="32"/>
      <c r="E653" s="149"/>
      <c r="H653" s="32"/>
    </row>
    <row r="654" spans="1:8" ht="12.5">
      <c r="A654" s="32"/>
      <c r="E654" s="149"/>
      <c r="H654" s="32"/>
    </row>
    <row r="655" spans="1:8" ht="12.5">
      <c r="A655" s="32"/>
      <c r="E655" s="149"/>
      <c r="H655" s="32"/>
    </row>
    <row r="656" spans="1:8" ht="12.5">
      <c r="A656" s="32"/>
      <c r="E656" s="149"/>
      <c r="H656" s="32"/>
    </row>
    <row r="657" spans="1:8" ht="12.5">
      <c r="A657" s="32"/>
      <c r="E657" s="149"/>
      <c r="H657" s="32"/>
    </row>
    <row r="658" spans="1:8" ht="12.5">
      <c r="A658" s="32"/>
      <c r="E658" s="149"/>
      <c r="H658" s="32"/>
    </row>
    <row r="659" spans="1:8" ht="12.5">
      <c r="A659" s="32"/>
      <c r="E659" s="149"/>
      <c r="H659" s="32"/>
    </row>
    <row r="660" spans="1:8" ht="12.5">
      <c r="A660" s="32"/>
      <c r="E660" s="149"/>
      <c r="H660" s="32"/>
    </row>
    <row r="661" spans="1:8" ht="12.5">
      <c r="A661" s="32"/>
      <c r="E661" s="149"/>
      <c r="H661" s="32"/>
    </row>
    <row r="662" spans="1:8" ht="12.5">
      <c r="A662" s="32"/>
      <c r="E662" s="149"/>
      <c r="H662" s="32"/>
    </row>
    <row r="663" spans="1:8" ht="12.5">
      <c r="A663" s="32"/>
      <c r="E663" s="149"/>
      <c r="H663" s="32"/>
    </row>
    <row r="664" spans="1:8" ht="12.5">
      <c r="A664" s="32"/>
      <c r="E664" s="149"/>
      <c r="H664" s="32"/>
    </row>
    <row r="665" spans="1:8" ht="12.5">
      <c r="A665" s="32"/>
      <c r="E665" s="149"/>
      <c r="H665" s="32"/>
    </row>
    <row r="666" spans="1:8" ht="12.5">
      <c r="A666" s="32"/>
      <c r="E666" s="149"/>
      <c r="H666" s="32"/>
    </row>
    <row r="667" spans="1:8" ht="12.5">
      <c r="A667" s="32"/>
      <c r="E667" s="149"/>
      <c r="H667" s="32"/>
    </row>
    <row r="668" spans="1:8" ht="12.5">
      <c r="A668" s="32"/>
      <c r="E668" s="149"/>
      <c r="H668" s="32"/>
    </row>
    <row r="669" spans="1:8" ht="12.5">
      <c r="A669" s="32"/>
      <c r="E669" s="149"/>
      <c r="H669" s="32"/>
    </row>
    <row r="670" spans="1:8" ht="12.5">
      <c r="A670" s="32"/>
      <c r="E670" s="149"/>
      <c r="H670" s="32"/>
    </row>
    <row r="671" spans="1:8" ht="12.5">
      <c r="A671" s="32"/>
      <c r="E671" s="149"/>
      <c r="H671" s="32"/>
    </row>
    <row r="672" spans="1:8" ht="12.5">
      <c r="A672" s="32"/>
      <c r="E672" s="149"/>
      <c r="H672" s="32"/>
    </row>
    <row r="673" spans="1:8" ht="12.5">
      <c r="A673" s="32"/>
      <c r="E673" s="149"/>
      <c r="H673" s="32"/>
    </row>
    <row r="674" spans="1:8" ht="12.5">
      <c r="A674" s="32"/>
      <c r="E674" s="149"/>
      <c r="H674" s="32"/>
    </row>
    <row r="675" spans="1:8" ht="12.5">
      <c r="A675" s="32"/>
      <c r="E675" s="149"/>
      <c r="H675" s="32"/>
    </row>
    <row r="676" spans="1:8" ht="12.5">
      <c r="A676" s="32"/>
      <c r="E676" s="149"/>
      <c r="H676" s="32"/>
    </row>
    <row r="677" spans="1:8" ht="12.5">
      <c r="A677" s="32"/>
      <c r="E677" s="149"/>
      <c r="H677" s="32"/>
    </row>
    <row r="678" spans="1:8" ht="12.5">
      <c r="A678" s="32"/>
      <c r="E678" s="149"/>
      <c r="H678" s="32"/>
    </row>
    <row r="679" spans="1:8" ht="12.5">
      <c r="A679" s="32"/>
      <c r="E679" s="149"/>
      <c r="H679" s="32"/>
    </row>
    <row r="680" spans="1:8" ht="12.5">
      <c r="A680" s="32"/>
      <c r="E680" s="149"/>
      <c r="H680" s="32"/>
    </row>
    <row r="681" spans="1:8" ht="12.5">
      <c r="A681" s="32"/>
      <c r="E681" s="149"/>
      <c r="H681" s="32"/>
    </row>
    <row r="682" spans="1:8" ht="12.5">
      <c r="A682" s="32"/>
      <c r="E682" s="149"/>
      <c r="H682" s="32"/>
    </row>
    <row r="683" spans="1:8" ht="12.5">
      <c r="A683" s="32"/>
      <c r="E683" s="149"/>
      <c r="H683" s="32"/>
    </row>
    <row r="684" spans="1:8" ht="12.5">
      <c r="A684" s="32"/>
      <c r="E684" s="149"/>
      <c r="H684" s="32"/>
    </row>
    <row r="685" spans="1:8" ht="12.5">
      <c r="A685" s="32"/>
      <c r="E685" s="149"/>
      <c r="H685" s="32"/>
    </row>
    <row r="686" spans="1:8" ht="12.5">
      <c r="A686" s="32"/>
      <c r="E686" s="149"/>
      <c r="H686" s="32"/>
    </row>
    <row r="687" spans="1:8" ht="12.5">
      <c r="A687" s="32"/>
      <c r="E687" s="149"/>
      <c r="H687" s="32"/>
    </row>
    <row r="688" spans="1:8" ht="12.5">
      <c r="A688" s="32"/>
      <c r="E688" s="149"/>
      <c r="H688" s="32"/>
    </row>
    <row r="689" spans="1:8" ht="12.5">
      <c r="A689" s="32"/>
      <c r="E689" s="149"/>
      <c r="H689" s="32"/>
    </row>
    <row r="690" spans="1:8" ht="12.5">
      <c r="A690" s="32"/>
      <c r="E690" s="149"/>
      <c r="H690" s="32"/>
    </row>
    <row r="691" spans="1:8" ht="12.5">
      <c r="A691" s="32"/>
      <c r="E691" s="149"/>
      <c r="H691" s="32"/>
    </row>
    <row r="692" spans="1:8" ht="12.5">
      <c r="A692" s="32"/>
      <c r="E692" s="149"/>
      <c r="H692" s="32"/>
    </row>
    <row r="693" spans="1:8" ht="12.5">
      <c r="A693" s="32"/>
      <c r="E693" s="149"/>
      <c r="H693" s="32"/>
    </row>
    <row r="694" spans="1:8" ht="12.5">
      <c r="A694" s="32"/>
      <c r="E694" s="149"/>
      <c r="H694" s="32"/>
    </row>
    <row r="695" spans="1:8" ht="12.5">
      <c r="A695" s="32"/>
      <c r="E695" s="149"/>
      <c r="H695" s="32"/>
    </row>
    <row r="696" spans="1:8" ht="12.5">
      <c r="A696" s="32"/>
      <c r="E696" s="149"/>
      <c r="H696" s="32"/>
    </row>
    <row r="697" spans="1:8" ht="12.5">
      <c r="A697" s="32"/>
      <c r="E697" s="149"/>
      <c r="H697" s="32"/>
    </row>
    <row r="698" spans="1:8" ht="12.5">
      <c r="A698" s="32"/>
      <c r="E698" s="149"/>
      <c r="H698" s="32"/>
    </row>
    <row r="699" spans="1:8" ht="12.5">
      <c r="A699" s="32"/>
      <c r="E699" s="149"/>
      <c r="H699" s="32"/>
    </row>
    <row r="700" spans="1:8" ht="12.5">
      <c r="A700" s="32"/>
      <c r="E700" s="149"/>
      <c r="H700" s="32"/>
    </row>
    <row r="701" spans="1:8" ht="12.5">
      <c r="A701" s="32"/>
      <c r="E701" s="149"/>
      <c r="H701" s="32"/>
    </row>
    <row r="702" spans="1:8" ht="12.5">
      <c r="A702" s="32"/>
      <c r="E702" s="149"/>
      <c r="H702" s="32"/>
    </row>
    <row r="703" spans="1:8" ht="12.5">
      <c r="A703" s="32"/>
      <c r="E703" s="149"/>
      <c r="H703" s="32"/>
    </row>
    <row r="704" spans="1:8" ht="12.5">
      <c r="A704" s="32"/>
      <c r="E704" s="149"/>
      <c r="H704" s="32"/>
    </row>
    <row r="705" spans="1:8" ht="12.5">
      <c r="A705" s="32"/>
      <c r="E705" s="149"/>
      <c r="H705" s="32"/>
    </row>
    <row r="706" spans="1:8" ht="12.5">
      <c r="A706" s="32"/>
      <c r="E706" s="149"/>
      <c r="H706" s="32"/>
    </row>
    <row r="707" spans="1:8" ht="12.5">
      <c r="A707" s="32"/>
      <c r="E707" s="149"/>
      <c r="H707" s="32"/>
    </row>
    <row r="708" spans="1:8" ht="12.5">
      <c r="A708" s="32"/>
      <c r="E708" s="149"/>
      <c r="H708" s="32"/>
    </row>
    <row r="709" spans="1:8" ht="12.5">
      <c r="A709" s="32"/>
      <c r="E709" s="149"/>
      <c r="H709" s="32"/>
    </row>
    <row r="710" spans="1:8" ht="12.5">
      <c r="A710" s="32"/>
      <c r="E710" s="149"/>
      <c r="H710" s="32"/>
    </row>
    <row r="711" spans="1:8" ht="12.5">
      <c r="A711" s="32"/>
      <c r="E711" s="149"/>
      <c r="H711" s="32"/>
    </row>
    <row r="712" spans="1:8" ht="12.5">
      <c r="A712" s="32"/>
      <c r="E712" s="149"/>
      <c r="H712" s="32"/>
    </row>
    <row r="713" spans="1:8" ht="12.5">
      <c r="A713" s="32"/>
      <c r="E713" s="149"/>
      <c r="H713" s="32"/>
    </row>
    <row r="714" spans="1:8" ht="12.5">
      <c r="A714" s="32"/>
      <c r="E714" s="149"/>
      <c r="H714" s="32"/>
    </row>
    <row r="715" spans="1:8" ht="12.5">
      <c r="A715" s="32"/>
      <c r="E715" s="149"/>
      <c r="H715" s="32"/>
    </row>
    <row r="716" spans="1:8" ht="12.5">
      <c r="A716" s="32"/>
      <c r="E716" s="149"/>
      <c r="H716" s="32"/>
    </row>
    <row r="717" spans="1:8" ht="12.5">
      <c r="A717" s="32"/>
      <c r="E717" s="149"/>
      <c r="H717" s="32"/>
    </row>
    <row r="718" spans="1:8" ht="12.5">
      <c r="A718" s="32"/>
      <c r="E718" s="149"/>
      <c r="H718" s="32"/>
    </row>
    <row r="719" spans="1:8" ht="12.5">
      <c r="A719" s="32"/>
      <c r="E719" s="149"/>
      <c r="H719" s="32"/>
    </row>
    <row r="720" spans="1:8" ht="12.5">
      <c r="A720" s="32"/>
      <c r="E720" s="149"/>
      <c r="H720" s="32"/>
    </row>
    <row r="721" spans="1:8" ht="12.5">
      <c r="A721" s="32"/>
      <c r="E721" s="149"/>
      <c r="H721" s="32"/>
    </row>
    <row r="722" spans="1:8" ht="12.5">
      <c r="A722" s="32"/>
      <c r="E722" s="149"/>
      <c r="H722" s="32"/>
    </row>
    <row r="723" spans="1:8" ht="12.5">
      <c r="A723" s="32"/>
      <c r="E723" s="149"/>
      <c r="H723" s="32"/>
    </row>
    <row r="724" spans="1:8" ht="12.5">
      <c r="A724" s="32"/>
      <c r="E724" s="149"/>
      <c r="H724" s="32"/>
    </row>
    <row r="725" spans="1:8" ht="12.5">
      <c r="A725" s="32"/>
      <c r="E725" s="149"/>
      <c r="H725" s="32"/>
    </row>
    <row r="726" spans="1:8" ht="12.5">
      <c r="A726" s="32"/>
      <c r="E726" s="149"/>
      <c r="H726" s="32"/>
    </row>
    <row r="727" spans="1:8" ht="12.5">
      <c r="A727" s="32"/>
      <c r="E727" s="149"/>
      <c r="H727" s="32"/>
    </row>
    <row r="728" spans="1:8" ht="12.5">
      <c r="A728" s="32"/>
      <c r="E728" s="149"/>
      <c r="H728" s="32"/>
    </row>
    <row r="729" spans="1:8" ht="12.5">
      <c r="A729" s="32"/>
      <c r="E729" s="149"/>
      <c r="H729" s="32"/>
    </row>
    <row r="730" spans="1:8" ht="12.5">
      <c r="A730" s="32"/>
      <c r="E730" s="149"/>
      <c r="H730" s="32"/>
    </row>
    <row r="731" spans="1:8" ht="12.5">
      <c r="A731" s="32"/>
      <c r="E731" s="149"/>
      <c r="H731" s="32"/>
    </row>
    <row r="732" spans="1:8" ht="12.5">
      <c r="A732" s="32"/>
      <c r="E732" s="149"/>
      <c r="H732" s="32"/>
    </row>
    <row r="733" spans="1:8" ht="12.5">
      <c r="A733" s="32"/>
      <c r="E733" s="149"/>
      <c r="H733" s="32"/>
    </row>
    <row r="734" spans="1:8" ht="12.5">
      <c r="A734" s="32"/>
      <c r="E734" s="149"/>
      <c r="H734" s="32"/>
    </row>
    <row r="735" spans="1:8" ht="12.5">
      <c r="A735" s="32"/>
      <c r="E735" s="149"/>
      <c r="H735" s="32"/>
    </row>
    <row r="736" spans="1:8" ht="12.5">
      <c r="A736" s="32"/>
      <c r="E736" s="149"/>
      <c r="H736" s="32"/>
    </row>
    <row r="737" spans="1:8" ht="12.5">
      <c r="A737" s="32"/>
      <c r="E737" s="149"/>
      <c r="H737" s="32"/>
    </row>
    <row r="738" spans="1:8" ht="12.5">
      <c r="A738" s="32"/>
      <c r="E738" s="149"/>
      <c r="H738" s="32"/>
    </row>
    <row r="739" spans="1:8" ht="12.5">
      <c r="A739" s="32"/>
      <c r="E739" s="149"/>
      <c r="H739" s="32"/>
    </row>
    <row r="740" spans="1:8" ht="12.5">
      <c r="A740" s="32"/>
      <c r="E740" s="149"/>
      <c r="H740" s="32"/>
    </row>
    <row r="741" spans="1:8" ht="12.5">
      <c r="A741" s="32"/>
      <c r="E741" s="149"/>
      <c r="H741" s="32"/>
    </row>
    <row r="742" spans="1:8" ht="12.5">
      <c r="A742" s="32"/>
      <c r="E742" s="149"/>
      <c r="H742" s="32"/>
    </row>
    <row r="743" spans="1:8" ht="12.5">
      <c r="A743" s="32"/>
      <c r="E743" s="149"/>
      <c r="H743" s="32"/>
    </row>
    <row r="744" spans="1:8" ht="12.5">
      <c r="A744" s="32"/>
      <c r="E744" s="149"/>
      <c r="H744" s="32"/>
    </row>
    <row r="745" spans="1:8" ht="12.5">
      <c r="A745" s="32"/>
      <c r="E745" s="149"/>
      <c r="H745" s="32"/>
    </row>
    <row r="746" spans="1:8" ht="12.5">
      <c r="A746" s="32"/>
      <c r="E746" s="149"/>
      <c r="H746" s="32"/>
    </row>
    <row r="747" spans="1:8" ht="12.5">
      <c r="A747" s="32"/>
      <c r="E747" s="149"/>
      <c r="H747" s="32"/>
    </row>
    <row r="748" spans="1:8" ht="12.5">
      <c r="A748" s="32"/>
      <c r="E748" s="149"/>
      <c r="H748" s="32"/>
    </row>
    <row r="749" spans="1:8" ht="12.5">
      <c r="A749" s="32"/>
      <c r="E749" s="149"/>
      <c r="H749" s="32"/>
    </row>
    <row r="750" spans="1:8" ht="12.5">
      <c r="A750" s="32"/>
      <c r="E750" s="149"/>
      <c r="H750" s="32"/>
    </row>
    <row r="751" spans="1:8" ht="12.5">
      <c r="A751" s="32"/>
      <c r="E751" s="149"/>
      <c r="H751" s="32"/>
    </row>
    <row r="752" spans="1:8" ht="12.5">
      <c r="A752" s="32"/>
      <c r="E752" s="149"/>
      <c r="H752" s="32"/>
    </row>
    <row r="753" spans="1:8" ht="12.5">
      <c r="A753" s="32"/>
      <c r="E753" s="149"/>
      <c r="H753" s="32"/>
    </row>
    <row r="754" spans="1:8" ht="12.5">
      <c r="A754" s="32"/>
      <c r="E754" s="149"/>
      <c r="H754" s="32"/>
    </row>
    <row r="755" spans="1:8" ht="12.5">
      <c r="A755" s="32"/>
      <c r="E755" s="149"/>
      <c r="H755" s="32"/>
    </row>
    <row r="756" spans="1:8" ht="12.5">
      <c r="A756" s="32"/>
      <c r="E756" s="149"/>
      <c r="H756" s="32"/>
    </row>
    <row r="757" spans="1:8" ht="12.5">
      <c r="A757" s="32"/>
      <c r="E757" s="149"/>
      <c r="H757" s="32"/>
    </row>
    <row r="758" spans="1:8" ht="12.5">
      <c r="A758" s="32"/>
      <c r="E758" s="149"/>
      <c r="H758" s="32"/>
    </row>
    <row r="759" spans="1:8" ht="12.5">
      <c r="A759" s="32"/>
      <c r="E759" s="149"/>
      <c r="H759" s="32"/>
    </row>
    <row r="760" spans="1:8" ht="12.5">
      <c r="A760" s="32"/>
      <c r="E760" s="149"/>
      <c r="H760" s="32"/>
    </row>
    <row r="761" spans="1:8" ht="12.5">
      <c r="A761" s="32"/>
      <c r="E761" s="149"/>
      <c r="H761" s="32"/>
    </row>
    <row r="762" spans="1:8" ht="12.5">
      <c r="A762" s="32"/>
      <c r="E762" s="149"/>
      <c r="H762" s="32"/>
    </row>
    <row r="763" spans="1:8" ht="12.5">
      <c r="A763" s="32"/>
      <c r="E763" s="149"/>
      <c r="H763" s="32"/>
    </row>
    <row r="764" spans="1:8" ht="12.5">
      <c r="A764" s="32"/>
      <c r="E764" s="149"/>
      <c r="H764" s="32"/>
    </row>
    <row r="765" spans="1:8" ht="12.5">
      <c r="A765" s="32"/>
      <c r="E765" s="149"/>
      <c r="H765" s="32"/>
    </row>
    <row r="766" spans="1:8" ht="12.5">
      <c r="A766" s="32"/>
      <c r="E766" s="149"/>
      <c r="H766" s="32"/>
    </row>
    <row r="767" spans="1:8" ht="12.5">
      <c r="A767" s="32"/>
      <c r="E767" s="149"/>
      <c r="H767" s="32"/>
    </row>
    <row r="768" spans="1:8" ht="12.5">
      <c r="A768" s="32"/>
      <c r="E768" s="149"/>
      <c r="H768" s="32"/>
    </row>
    <row r="769" spans="1:8" ht="12.5">
      <c r="A769" s="32"/>
      <c r="E769" s="149"/>
      <c r="H769" s="32"/>
    </row>
    <row r="770" spans="1:8" ht="12.5">
      <c r="A770" s="32"/>
      <c r="E770" s="149"/>
      <c r="H770" s="32"/>
    </row>
    <row r="771" spans="1:8" ht="12.5">
      <c r="A771" s="32"/>
      <c r="E771" s="149"/>
      <c r="H771" s="32"/>
    </row>
    <row r="772" spans="1:8" ht="12.5">
      <c r="A772" s="32"/>
      <c r="E772" s="149"/>
      <c r="H772" s="32"/>
    </row>
    <row r="773" spans="1:8" ht="12.5">
      <c r="A773" s="32"/>
      <c r="E773" s="149"/>
      <c r="H773" s="32"/>
    </row>
    <row r="774" spans="1:8" ht="12.5">
      <c r="A774" s="32"/>
      <c r="E774" s="149"/>
      <c r="H774" s="32"/>
    </row>
    <row r="775" spans="1:8" ht="12.5">
      <c r="A775" s="32"/>
      <c r="E775" s="149"/>
      <c r="H775" s="32"/>
    </row>
    <row r="776" spans="1:8" ht="12.5">
      <c r="A776" s="32"/>
      <c r="E776" s="149"/>
      <c r="H776" s="32"/>
    </row>
    <row r="777" spans="1:8" ht="12.5">
      <c r="A777" s="32"/>
      <c r="E777" s="149"/>
      <c r="H777" s="32"/>
    </row>
    <row r="778" spans="1:8" ht="12.5">
      <c r="A778" s="32"/>
      <c r="E778" s="149"/>
      <c r="H778" s="32"/>
    </row>
    <row r="779" spans="1:8" ht="12.5">
      <c r="A779" s="32"/>
      <c r="E779" s="149"/>
      <c r="H779" s="32"/>
    </row>
    <row r="780" spans="1:8" ht="12.5">
      <c r="A780" s="32"/>
      <c r="E780" s="149"/>
      <c r="H780" s="32"/>
    </row>
    <row r="781" spans="1:8" ht="12.5">
      <c r="A781" s="32"/>
      <c r="E781" s="149"/>
      <c r="H781" s="32"/>
    </row>
    <row r="782" spans="1:8" ht="12.5">
      <c r="A782" s="32"/>
      <c r="E782" s="149"/>
      <c r="H782" s="32"/>
    </row>
    <row r="783" spans="1:8" ht="12.5">
      <c r="A783" s="32"/>
      <c r="E783" s="149"/>
      <c r="H783" s="32"/>
    </row>
    <row r="784" spans="1:8" ht="12.5">
      <c r="A784" s="32"/>
      <c r="E784" s="149"/>
      <c r="H784" s="32"/>
    </row>
    <row r="785" spans="1:8" ht="12.5">
      <c r="A785" s="32"/>
      <c r="E785" s="149"/>
      <c r="H785" s="32"/>
    </row>
    <row r="786" spans="1:8" ht="12.5">
      <c r="A786" s="32"/>
      <c r="E786" s="149"/>
      <c r="H786" s="32"/>
    </row>
    <row r="787" spans="1:8" ht="12.5">
      <c r="A787" s="32"/>
      <c r="E787" s="149"/>
      <c r="H787" s="32"/>
    </row>
    <row r="788" spans="1:8" ht="12.5">
      <c r="A788" s="32"/>
      <c r="E788" s="149"/>
      <c r="H788" s="32"/>
    </row>
    <row r="789" spans="1:8" ht="12.5">
      <c r="A789" s="32"/>
      <c r="E789" s="149"/>
      <c r="H789" s="32"/>
    </row>
    <row r="790" spans="1:8" ht="12.5">
      <c r="A790" s="32"/>
      <c r="E790" s="149"/>
      <c r="H790" s="32"/>
    </row>
    <row r="791" spans="1:8" ht="12.5">
      <c r="A791" s="32"/>
      <c r="E791" s="149"/>
      <c r="H791" s="32"/>
    </row>
    <row r="792" spans="1:8" ht="12.5">
      <c r="A792" s="32"/>
      <c r="E792" s="149"/>
      <c r="H792" s="32"/>
    </row>
    <row r="793" spans="1:8" ht="12.5">
      <c r="A793" s="32"/>
      <c r="E793" s="149"/>
      <c r="H793" s="32"/>
    </row>
    <row r="794" spans="1:8" ht="12.5">
      <c r="A794" s="32"/>
      <c r="E794" s="149"/>
      <c r="H794" s="32"/>
    </row>
    <row r="795" spans="1:8" ht="12.5">
      <c r="A795" s="32"/>
      <c r="E795" s="149"/>
      <c r="H795" s="32"/>
    </row>
    <row r="796" spans="1:8" ht="12.5">
      <c r="A796" s="32"/>
      <c r="E796" s="149"/>
      <c r="H796" s="32"/>
    </row>
    <row r="797" spans="1:8" ht="12.5">
      <c r="A797" s="32"/>
      <c r="E797" s="149"/>
      <c r="H797" s="32"/>
    </row>
    <row r="798" spans="1:8" ht="12.5">
      <c r="A798" s="32"/>
      <c r="E798" s="149"/>
      <c r="H798" s="32"/>
    </row>
    <row r="799" spans="1:8" ht="12.5">
      <c r="A799" s="32"/>
      <c r="E799" s="149"/>
      <c r="H799" s="32"/>
    </row>
    <row r="800" spans="1:8" ht="12.5">
      <c r="A800" s="32"/>
      <c r="E800" s="149"/>
      <c r="H800" s="32"/>
    </row>
    <row r="801" spans="1:8" ht="12.5">
      <c r="A801" s="32"/>
      <c r="E801" s="149"/>
      <c r="H801" s="32"/>
    </row>
    <row r="802" spans="1:8" ht="12.5">
      <c r="A802" s="32"/>
      <c r="E802" s="149"/>
      <c r="H802" s="32"/>
    </row>
    <row r="803" spans="1:8" ht="12.5">
      <c r="A803" s="32"/>
      <c r="E803" s="149"/>
      <c r="H803" s="32"/>
    </row>
    <row r="804" spans="1:8" ht="12.5">
      <c r="A804" s="32"/>
      <c r="E804" s="149"/>
      <c r="H804" s="32"/>
    </row>
    <row r="805" spans="1:8" ht="12.5">
      <c r="A805" s="32"/>
      <c r="E805" s="149"/>
      <c r="H805" s="32"/>
    </row>
    <row r="806" spans="1:8" ht="12.5">
      <c r="A806" s="32"/>
      <c r="E806" s="149"/>
      <c r="H806" s="32"/>
    </row>
    <row r="807" spans="1:8" ht="12.5">
      <c r="A807" s="32"/>
      <c r="E807" s="149"/>
      <c r="H807" s="32"/>
    </row>
    <row r="808" spans="1:8" ht="12.5">
      <c r="A808" s="32"/>
      <c r="E808" s="149"/>
      <c r="H808" s="32"/>
    </row>
    <row r="809" spans="1:8" ht="12.5">
      <c r="A809" s="32"/>
      <c r="E809" s="149"/>
      <c r="H809" s="32"/>
    </row>
    <row r="810" spans="1:8" ht="12.5">
      <c r="A810" s="32"/>
      <c r="E810" s="149"/>
      <c r="H810" s="32"/>
    </row>
    <row r="811" spans="1:8" ht="12.5">
      <c r="A811" s="32"/>
      <c r="E811" s="149"/>
      <c r="H811" s="32"/>
    </row>
    <row r="812" spans="1:8" ht="12.5">
      <c r="A812" s="32"/>
      <c r="E812" s="149"/>
      <c r="H812" s="32"/>
    </row>
    <row r="813" spans="1:8" ht="12.5">
      <c r="A813" s="32"/>
      <c r="E813" s="149"/>
      <c r="H813" s="32"/>
    </row>
    <row r="814" spans="1:8" ht="12.5">
      <c r="A814" s="32"/>
      <c r="E814" s="149"/>
      <c r="H814" s="32"/>
    </row>
    <row r="815" spans="1:8" ht="12.5">
      <c r="A815" s="32"/>
      <c r="E815" s="149"/>
      <c r="H815" s="32"/>
    </row>
    <row r="816" spans="1:8" ht="12.5">
      <c r="A816" s="32"/>
      <c r="E816" s="149"/>
      <c r="H816" s="32"/>
    </row>
    <row r="817" spans="1:8" ht="12.5">
      <c r="A817" s="32"/>
      <c r="E817" s="149"/>
      <c r="H817" s="32"/>
    </row>
    <row r="818" spans="1:8" ht="12.5">
      <c r="A818" s="32"/>
      <c r="E818" s="149"/>
      <c r="H818" s="32"/>
    </row>
    <row r="819" spans="1:8" ht="12.5">
      <c r="A819" s="32"/>
      <c r="E819" s="149"/>
      <c r="H819" s="32"/>
    </row>
    <row r="820" spans="1:8" ht="12.5">
      <c r="A820" s="32"/>
      <c r="E820" s="149"/>
      <c r="H820" s="32"/>
    </row>
    <row r="821" spans="1:8" ht="12.5">
      <c r="A821" s="32"/>
      <c r="E821" s="149"/>
      <c r="H821" s="32"/>
    </row>
    <row r="822" spans="1:8" ht="12.5">
      <c r="A822" s="32"/>
      <c r="E822" s="149"/>
      <c r="H822" s="32"/>
    </row>
    <row r="823" spans="1:8" ht="12.5">
      <c r="A823" s="32"/>
      <c r="E823" s="149"/>
      <c r="H823" s="32"/>
    </row>
    <row r="824" spans="1:8" ht="12.5">
      <c r="A824" s="32"/>
      <c r="E824" s="149"/>
      <c r="H824" s="32"/>
    </row>
    <row r="825" spans="1:8" ht="12.5">
      <c r="A825" s="32"/>
      <c r="E825" s="149"/>
      <c r="H825" s="32"/>
    </row>
    <row r="826" spans="1:8" ht="12.5">
      <c r="A826" s="32"/>
      <c r="E826" s="149"/>
      <c r="H826" s="32"/>
    </row>
    <row r="827" spans="1:8" ht="12.5">
      <c r="A827" s="32"/>
      <c r="E827" s="149"/>
      <c r="H827" s="32"/>
    </row>
    <row r="828" spans="1:8" ht="12.5">
      <c r="A828" s="32"/>
      <c r="E828" s="149"/>
      <c r="H828" s="32"/>
    </row>
    <row r="829" spans="1:8" ht="12.5">
      <c r="A829" s="32"/>
      <c r="E829" s="149"/>
      <c r="H829" s="32"/>
    </row>
    <row r="830" spans="1:8" ht="12.5">
      <c r="A830" s="32"/>
      <c r="E830" s="149"/>
      <c r="H830" s="32"/>
    </row>
    <row r="831" spans="1:8" ht="12.5">
      <c r="A831" s="32"/>
      <c r="E831" s="149"/>
      <c r="H831" s="32"/>
    </row>
    <row r="832" spans="1:8" ht="12.5">
      <c r="A832" s="32"/>
      <c r="E832" s="149"/>
      <c r="H832" s="32"/>
    </row>
    <row r="833" spans="1:8" ht="12.5">
      <c r="A833" s="32"/>
      <c r="E833" s="149"/>
      <c r="H833" s="32"/>
    </row>
    <row r="834" spans="1:8" ht="12.5">
      <c r="A834" s="32"/>
      <c r="E834" s="149"/>
      <c r="H834" s="32"/>
    </row>
    <row r="835" spans="1:8" ht="12.5">
      <c r="A835" s="32"/>
      <c r="E835" s="149"/>
      <c r="H835" s="32"/>
    </row>
    <row r="836" spans="1:8" ht="12.5">
      <c r="A836" s="32"/>
      <c r="E836" s="149"/>
      <c r="H836" s="32"/>
    </row>
    <row r="837" spans="1:8" ht="12.5">
      <c r="A837" s="32"/>
      <c r="E837" s="149"/>
      <c r="H837" s="32"/>
    </row>
    <row r="838" spans="1:8" ht="12.5">
      <c r="A838" s="32"/>
      <c r="E838" s="149"/>
      <c r="H838" s="32"/>
    </row>
    <row r="839" spans="1:8" ht="12.5">
      <c r="A839" s="32"/>
      <c r="E839" s="149"/>
      <c r="H839" s="32"/>
    </row>
    <row r="840" spans="1:8" ht="12.5">
      <c r="A840" s="32"/>
      <c r="E840" s="149"/>
      <c r="H840" s="32"/>
    </row>
    <row r="841" spans="1:8" ht="12.5">
      <c r="A841" s="32"/>
      <c r="E841" s="149"/>
      <c r="H841" s="32"/>
    </row>
    <row r="842" spans="1:8" ht="12.5">
      <c r="A842" s="32"/>
      <c r="E842" s="149"/>
      <c r="H842" s="32"/>
    </row>
    <row r="843" spans="1:8" ht="12.5">
      <c r="A843" s="32"/>
      <c r="E843" s="149"/>
      <c r="H843" s="32"/>
    </row>
    <row r="844" spans="1:8" ht="12.5">
      <c r="A844" s="32"/>
      <c r="E844" s="149"/>
      <c r="H844" s="32"/>
    </row>
    <row r="845" spans="1:8" ht="12.5">
      <c r="A845" s="32"/>
      <c r="E845" s="149"/>
      <c r="H845" s="32"/>
    </row>
    <row r="846" spans="1:8" ht="12.5">
      <c r="A846" s="32"/>
      <c r="E846" s="149"/>
      <c r="H846" s="32"/>
    </row>
    <row r="847" spans="1:8" ht="12.5">
      <c r="A847" s="32"/>
      <c r="E847" s="149"/>
      <c r="H847" s="32"/>
    </row>
    <row r="848" spans="1:8" ht="12.5">
      <c r="A848" s="32"/>
      <c r="E848" s="149"/>
      <c r="H848" s="32"/>
    </row>
    <row r="849" spans="1:8" ht="12.5">
      <c r="A849" s="32"/>
      <c r="E849" s="149"/>
      <c r="H849" s="32"/>
    </row>
    <row r="850" spans="1:8" ht="12.5">
      <c r="A850" s="32"/>
      <c r="E850" s="149"/>
      <c r="H850" s="32"/>
    </row>
    <row r="851" spans="1:8" ht="12.5">
      <c r="A851" s="32"/>
      <c r="E851" s="149"/>
      <c r="H851" s="32"/>
    </row>
    <row r="852" spans="1:8" ht="12.5">
      <c r="A852" s="32"/>
      <c r="E852" s="149"/>
      <c r="H852" s="32"/>
    </row>
    <row r="853" spans="1:8" ht="12.5">
      <c r="A853" s="32"/>
      <c r="E853" s="149"/>
      <c r="H853" s="32"/>
    </row>
    <row r="854" spans="1:8" ht="12.5">
      <c r="A854" s="32"/>
      <c r="E854" s="149"/>
      <c r="H854" s="32"/>
    </row>
    <row r="855" spans="1:8" ht="12.5">
      <c r="A855" s="32"/>
      <c r="E855" s="149"/>
      <c r="H855" s="32"/>
    </row>
    <row r="856" spans="1:8" ht="12.5">
      <c r="A856" s="32"/>
      <c r="E856" s="149"/>
      <c r="H856" s="32"/>
    </row>
    <row r="857" spans="1:8" ht="12.5">
      <c r="A857" s="32"/>
      <c r="E857" s="149"/>
      <c r="H857" s="32"/>
    </row>
    <row r="858" spans="1:8" ht="12.5">
      <c r="A858" s="32"/>
      <c r="E858" s="149"/>
      <c r="H858" s="32"/>
    </row>
    <row r="859" spans="1:8" ht="12.5">
      <c r="A859" s="32"/>
      <c r="E859" s="149"/>
      <c r="H859" s="32"/>
    </row>
    <row r="860" spans="1:8" ht="12.5">
      <c r="A860" s="32"/>
      <c r="E860" s="149"/>
      <c r="H860" s="32"/>
    </row>
    <row r="861" spans="1:8" ht="12.5">
      <c r="A861" s="32"/>
      <c r="E861" s="149"/>
      <c r="H861" s="32"/>
    </row>
    <row r="862" spans="1:8" ht="12.5">
      <c r="A862" s="32"/>
      <c r="E862" s="149"/>
      <c r="H862" s="32"/>
    </row>
    <row r="863" spans="1:8" ht="12.5">
      <c r="A863" s="32"/>
      <c r="E863" s="149"/>
      <c r="H863" s="32"/>
    </row>
    <row r="864" spans="1:8" ht="12.5">
      <c r="A864" s="32"/>
      <c r="E864" s="149"/>
      <c r="H864" s="32"/>
    </row>
    <row r="865" spans="1:8" ht="12.5">
      <c r="A865" s="32"/>
      <c r="E865" s="149"/>
      <c r="H865" s="32"/>
    </row>
    <row r="866" spans="1:8" ht="12.5">
      <c r="A866" s="32"/>
      <c r="E866" s="149"/>
      <c r="H866" s="32"/>
    </row>
    <row r="867" spans="1:8" ht="12.5">
      <c r="A867" s="32"/>
      <c r="E867" s="149"/>
      <c r="H867" s="32"/>
    </row>
    <row r="868" spans="1:8" ht="12.5">
      <c r="A868" s="32"/>
      <c r="E868" s="149"/>
      <c r="H868" s="32"/>
    </row>
    <row r="869" spans="1:8" ht="12.5">
      <c r="A869" s="32"/>
      <c r="E869" s="149"/>
      <c r="H869" s="32"/>
    </row>
    <row r="870" spans="1:8" ht="12.5">
      <c r="A870" s="32"/>
      <c r="E870" s="149"/>
      <c r="H870" s="32"/>
    </row>
    <row r="871" spans="1:8" ht="12.5">
      <c r="A871" s="32"/>
      <c r="E871" s="149"/>
      <c r="H871" s="32"/>
    </row>
    <row r="872" spans="1:8" ht="12.5">
      <c r="A872" s="32"/>
      <c r="E872" s="149"/>
      <c r="H872" s="32"/>
    </row>
    <row r="873" spans="1:8" ht="12.5">
      <c r="A873" s="32"/>
      <c r="E873" s="149"/>
      <c r="H873" s="32"/>
    </row>
    <row r="874" spans="1:8" ht="12.5">
      <c r="A874" s="32"/>
      <c r="E874" s="149"/>
      <c r="H874" s="32"/>
    </row>
    <row r="875" spans="1:8" ht="12.5">
      <c r="A875" s="32"/>
      <c r="E875" s="149"/>
      <c r="H875" s="32"/>
    </row>
    <row r="876" spans="1:8" ht="12.5">
      <c r="A876" s="32"/>
      <c r="E876" s="149"/>
      <c r="H876" s="32"/>
    </row>
    <row r="877" spans="1:8" ht="12.5">
      <c r="A877" s="32"/>
      <c r="E877" s="149"/>
      <c r="H877" s="32"/>
    </row>
    <row r="878" spans="1:8" ht="12.5">
      <c r="A878" s="32"/>
      <c r="E878" s="149"/>
      <c r="H878" s="32"/>
    </row>
    <row r="879" spans="1:8" ht="12.5">
      <c r="A879" s="32"/>
      <c r="E879" s="149"/>
      <c r="H879" s="32"/>
    </row>
    <row r="880" spans="1:8" ht="12.5">
      <c r="A880" s="32"/>
      <c r="E880" s="149"/>
      <c r="H880" s="32"/>
    </row>
    <row r="881" spans="1:8" ht="12.5">
      <c r="A881" s="32"/>
      <c r="E881" s="149"/>
      <c r="H881" s="32"/>
    </row>
    <row r="882" spans="1:8" ht="12.5">
      <c r="A882" s="32"/>
      <c r="E882" s="149"/>
      <c r="H882" s="32"/>
    </row>
    <row r="883" spans="1:8" ht="12.5">
      <c r="A883" s="32"/>
      <c r="E883" s="149"/>
      <c r="H883" s="32"/>
    </row>
    <row r="884" spans="1:8" ht="12.5">
      <c r="A884" s="32"/>
      <c r="E884" s="149"/>
      <c r="H884" s="32"/>
    </row>
    <row r="885" spans="1:8" ht="12.5">
      <c r="A885" s="32"/>
      <c r="E885" s="149"/>
      <c r="H885" s="32"/>
    </row>
    <row r="886" spans="1:8" ht="12.5">
      <c r="A886" s="32"/>
      <c r="E886" s="149"/>
      <c r="H886" s="32"/>
    </row>
    <row r="887" spans="1:8" ht="12.5">
      <c r="A887" s="32"/>
      <c r="E887" s="149"/>
      <c r="H887" s="32"/>
    </row>
    <row r="888" spans="1:8" ht="12.5">
      <c r="A888" s="32"/>
      <c r="E888" s="149"/>
      <c r="H888" s="32"/>
    </row>
    <row r="889" spans="1:8" ht="12.5">
      <c r="A889" s="32"/>
      <c r="E889" s="149"/>
      <c r="H889" s="32"/>
    </row>
    <row r="890" spans="1:8" ht="12.5">
      <c r="A890" s="32"/>
      <c r="E890" s="149"/>
      <c r="H890" s="32"/>
    </row>
    <row r="891" spans="1:8" ht="12.5">
      <c r="A891" s="32"/>
      <c r="E891" s="149"/>
      <c r="H891" s="32"/>
    </row>
    <row r="892" spans="1:8" ht="12.5">
      <c r="A892" s="32"/>
      <c r="E892" s="149"/>
      <c r="H892" s="32"/>
    </row>
    <row r="893" spans="1:8" ht="12.5">
      <c r="A893" s="32"/>
      <c r="E893" s="149"/>
      <c r="H893" s="32"/>
    </row>
    <row r="894" spans="1:8" ht="12.5">
      <c r="A894" s="32"/>
      <c r="E894" s="149"/>
      <c r="H894" s="32"/>
    </row>
    <row r="895" spans="1:8" ht="12.5">
      <c r="A895" s="32"/>
      <c r="E895" s="149"/>
      <c r="H895" s="32"/>
    </row>
    <row r="896" spans="1:8" ht="12.5">
      <c r="A896" s="32"/>
      <c r="E896" s="149"/>
      <c r="H896" s="32"/>
    </row>
    <row r="897" spans="1:8" ht="12.5">
      <c r="A897" s="32"/>
      <c r="E897" s="149"/>
      <c r="H897" s="32"/>
    </row>
    <row r="898" spans="1:8" ht="12.5">
      <c r="A898" s="32"/>
      <c r="E898" s="149"/>
      <c r="H898" s="32"/>
    </row>
    <row r="899" spans="1:8" ht="12.5">
      <c r="A899" s="32"/>
      <c r="E899" s="149"/>
      <c r="H899" s="32"/>
    </row>
    <row r="900" spans="1:8" ht="12.5">
      <c r="A900" s="32"/>
      <c r="E900" s="149"/>
      <c r="H900" s="32"/>
    </row>
    <row r="901" spans="1:8" ht="12.5">
      <c r="A901" s="32"/>
      <c r="E901" s="149"/>
      <c r="H901" s="32"/>
    </row>
    <row r="902" spans="1:8" ht="12.5">
      <c r="A902" s="32"/>
      <c r="E902" s="149"/>
      <c r="H902" s="32"/>
    </row>
    <row r="903" spans="1:8" ht="12.5">
      <c r="A903" s="32"/>
      <c r="E903" s="149"/>
      <c r="H903" s="32"/>
    </row>
    <row r="904" spans="1:8" ht="12.5">
      <c r="A904" s="32"/>
      <c r="E904" s="149"/>
      <c r="H904" s="32"/>
    </row>
    <row r="905" spans="1:8" ht="12.5">
      <c r="A905" s="32"/>
      <c r="E905" s="149"/>
      <c r="H905" s="32"/>
    </row>
    <row r="906" spans="1:8" ht="12.5">
      <c r="A906" s="32"/>
      <c r="E906" s="149"/>
      <c r="H906" s="32"/>
    </row>
    <row r="907" spans="1:8" ht="12.5">
      <c r="A907" s="32"/>
      <c r="E907" s="149"/>
      <c r="H907" s="32"/>
    </row>
    <row r="908" spans="1:8" ht="12.5">
      <c r="A908" s="32"/>
      <c r="E908" s="149"/>
      <c r="H908" s="32"/>
    </row>
    <row r="909" spans="1:8" ht="12.5">
      <c r="A909" s="32"/>
      <c r="E909" s="149"/>
      <c r="H909" s="32"/>
    </row>
    <row r="910" spans="1:8" ht="12.5">
      <c r="A910" s="32"/>
      <c r="E910" s="149"/>
      <c r="H910" s="32"/>
    </row>
    <row r="911" spans="1:8" ht="12.5">
      <c r="A911" s="32"/>
      <c r="E911" s="149"/>
      <c r="H911" s="32"/>
    </row>
    <row r="912" spans="1:8" ht="12.5">
      <c r="A912" s="32"/>
      <c r="E912" s="149"/>
      <c r="H912" s="32"/>
    </row>
    <row r="913" spans="1:8" ht="12.5">
      <c r="A913" s="32"/>
      <c r="E913" s="149"/>
      <c r="H913" s="32"/>
    </row>
    <row r="914" spans="1:8" ht="12.5">
      <c r="A914" s="32"/>
      <c r="E914" s="149"/>
      <c r="H914" s="32"/>
    </row>
    <row r="915" spans="1:8" ht="12.5">
      <c r="A915" s="32"/>
      <c r="E915" s="149"/>
      <c r="H915" s="32"/>
    </row>
    <row r="916" spans="1:8" ht="12.5">
      <c r="A916" s="32"/>
      <c r="E916" s="149"/>
      <c r="H916" s="32"/>
    </row>
    <row r="917" spans="1:8" ht="12.5">
      <c r="A917" s="32"/>
      <c r="E917" s="149"/>
      <c r="H917" s="32"/>
    </row>
    <row r="918" spans="1:8" ht="12.5">
      <c r="A918" s="32"/>
      <c r="E918" s="149"/>
      <c r="H918" s="32"/>
    </row>
    <row r="919" spans="1:8" ht="12.5">
      <c r="A919" s="32"/>
      <c r="E919" s="149"/>
      <c r="H919" s="32"/>
    </row>
    <row r="920" spans="1:8" ht="12.5">
      <c r="A920" s="32"/>
      <c r="E920" s="149"/>
      <c r="H920" s="32"/>
    </row>
    <row r="921" spans="1:8" ht="12.5">
      <c r="A921" s="32"/>
      <c r="E921" s="149"/>
      <c r="H921" s="32"/>
    </row>
    <row r="922" spans="1:8" ht="12.5">
      <c r="A922" s="32"/>
      <c r="E922" s="149"/>
      <c r="H922" s="32"/>
    </row>
    <row r="923" spans="1:8" ht="12.5">
      <c r="A923" s="32"/>
      <c r="E923" s="149"/>
      <c r="H923" s="32"/>
    </row>
    <row r="924" spans="1:8" ht="12.5">
      <c r="A924" s="32"/>
      <c r="E924" s="149"/>
      <c r="H924" s="32"/>
    </row>
    <row r="925" spans="1:8" ht="12.5">
      <c r="A925" s="32"/>
      <c r="E925" s="149"/>
      <c r="H925" s="32"/>
    </row>
    <row r="926" spans="1:8" ht="12.5">
      <c r="A926" s="32"/>
      <c r="E926" s="149"/>
      <c r="H926" s="32"/>
    </row>
    <row r="927" spans="1:8" ht="12.5">
      <c r="A927" s="32"/>
      <c r="E927" s="149"/>
      <c r="H927" s="32"/>
    </row>
    <row r="928" spans="1:8" ht="12.5">
      <c r="A928" s="32"/>
      <c r="E928" s="149"/>
      <c r="H928" s="32"/>
    </row>
    <row r="929" spans="1:8" ht="12.5">
      <c r="A929" s="32"/>
      <c r="E929" s="149"/>
      <c r="H929" s="32"/>
    </row>
    <row r="930" spans="1:8" ht="12.5">
      <c r="A930" s="32"/>
      <c r="E930" s="149"/>
      <c r="H930" s="32"/>
    </row>
    <row r="931" spans="1:8" ht="12.5">
      <c r="A931" s="32"/>
      <c r="E931" s="149"/>
      <c r="H931" s="32"/>
    </row>
    <row r="932" spans="1:8" ht="12.5">
      <c r="A932" s="32"/>
      <c r="E932" s="149"/>
      <c r="H932" s="32"/>
    </row>
    <row r="933" spans="1:8" ht="12.5">
      <c r="A933" s="32"/>
      <c r="E933" s="149"/>
      <c r="H933" s="32"/>
    </row>
    <row r="934" spans="1:8" ht="12.5">
      <c r="A934" s="32"/>
      <c r="E934" s="149"/>
      <c r="H934" s="32"/>
    </row>
    <row r="935" spans="1:8" ht="12.5">
      <c r="A935" s="32"/>
      <c r="E935" s="149"/>
      <c r="H935" s="32"/>
    </row>
    <row r="936" spans="1:8" ht="12.5">
      <c r="A936" s="32"/>
      <c r="E936" s="149"/>
      <c r="H936" s="32"/>
    </row>
    <row r="937" spans="1:8" ht="12.5">
      <c r="A937" s="32"/>
      <c r="E937" s="149"/>
      <c r="H937" s="32"/>
    </row>
    <row r="938" spans="1:8" ht="12.5">
      <c r="A938" s="32"/>
      <c r="E938" s="149"/>
      <c r="H938" s="32"/>
    </row>
    <row r="939" spans="1:8" ht="12.5">
      <c r="A939" s="32"/>
      <c r="E939" s="149"/>
      <c r="H939" s="32"/>
    </row>
    <row r="940" spans="1:8" ht="12.5">
      <c r="A940" s="32"/>
      <c r="E940" s="149"/>
      <c r="H940" s="32"/>
    </row>
    <row r="941" spans="1:8" ht="12.5">
      <c r="A941" s="32"/>
      <c r="E941" s="149"/>
      <c r="H941" s="32"/>
    </row>
    <row r="942" spans="1:8" ht="12.5">
      <c r="A942" s="32"/>
      <c r="E942" s="149"/>
      <c r="H942" s="32"/>
    </row>
    <row r="943" spans="1:8" ht="12.5">
      <c r="A943" s="32"/>
      <c r="E943" s="149"/>
      <c r="H943" s="32"/>
    </row>
    <row r="944" spans="1:8" ht="12.5">
      <c r="A944" s="32"/>
      <c r="E944" s="149"/>
      <c r="H944" s="32"/>
    </row>
    <row r="945" spans="1:8" ht="12.5">
      <c r="A945" s="32"/>
      <c r="E945" s="149"/>
      <c r="H945" s="32"/>
    </row>
    <row r="946" spans="1:8" ht="12.5">
      <c r="A946" s="32"/>
      <c r="E946" s="149"/>
      <c r="H946" s="32"/>
    </row>
    <row r="947" spans="1:8" ht="12.5">
      <c r="A947" s="32"/>
      <c r="E947" s="149"/>
      <c r="H947" s="32"/>
    </row>
    <row r="948" spans="1:8" ht="12.5">
      <c r="A948" s="32"/>
      <c r="E948" s="149"/>
      <c r="H948" s="32"/>
    </row>
    <row r="949" spans="1:8" ht="12.5">
      <c r="A949" s="32"/>
      <c r="E949" s="149"/>
      <c r="H949" s="32"/>
    </row>
    <row r="950" spans="1:8" ht="12.5">
      <c r="A950" s="32"/>
      <c r="E950" s="149"/>
      <c r="H950" s="32"/>
    </row>
    <row r="951" spans="1:8" ht="12.5">
      <c r="A951" s="32"/>
      <c r="E951" s="149"/>
      <c r="H951" s="32"/>
    </row>
    <row r="952" spans="1:8" ht="12.5">
      <c r="A952" s="32"/>
      <c r="E952" s="149"/>
      <c r="H952" s="32"/>
    </row>
    <row r="953" spans="1:8" ht="12.5">
      <c r="A953" s="32"/>
      <c r="E953" s="149"/>
      <c r="H953" s="32"/>
    </row>
    <row r="954" spans="1:8" ht="12.5">
      <c r="A954" s="32"/>
      <c r="E954" s="149"/>
      <c r="H954" s="32"/>
    </row>
    <row r="955" spans="1:8" ht="12.5">
      <c r="A955" s="32"/>
      <c r="E955" s="149"/>
      <c r="H955" s="32"/>
    </row>
    <row r="956" spans="1:8" ht="12.5">
      <c r="A956" s="32"/>
      <c r="E956" s="149"/>
      <c r="H956" s="32"/>
    </row>
    <row r="957" spans="1:8" ht="12.5">
      <c r="A957" s="32"/>
      <c r="E957" s="149"/>
      <c r="H957" s="32"/>
    </row>
    <row r="958" spans="1:8" ht="12.5">
      <c r="A958" s="32"/>
      <c r="E958" s="149"/>
      <c r="H958" s="32"/>
    </row>
    <row r="959" spans="1:8" ht="12.5">
      <c r="A959" s="32"/>
      <c r="E959" s="149"/>
      <c r="H959" s="32"/>
    </row>
    <row r="960" spans="1:8" ht="12.5">
      <c r="A960" s="32"/>
      <c r="E960" s="149"/>
      <c r="H960" s="32"/>
    </row>
    <row r="961" spans="1:8" ht="12.5">
      <c r="A961" s="32"/>
      <c r="E961" s="149"/>
      <c r="H961" s="32"/>
    </row>
    <row r="962" spans="1:8" ht="12.5">
      <c r="A962" s="32"/>
      <c r="E962" s="149"/>
      <c r="H962" s="32"/>
    </row>
    <row r="963" spans="1:8" ht="12.5">
      <c r="A963" s="32"/>
      <c r="E963" s="149"/>
      <c r="H963" s="32"/>
    </row>
    <row r="964" spans="1:8" ht="12.5">
      <c r="A964" s="32"/>
      <c r="E964" s="149"/>
      <c r="H964" s="32"/>
    </row>
    <row r="965" spans="1:8" ht="12.5">
      <c r="A965" s="32"/>
      <c r="E965" s="149"/>
      <c r="H965" s="32"/>
    </row>
    <row r="966" spans="1:8" ht="12.5">
      <c r="A966" s="32"/>
      <c r="E966" s="149"/>
      <c r="H966" s="32"/>
    </row>
    <row r="967" spans="1:8" ht="12.5">
      <c r="A967" s="32"/>
      <c r="E967" s="149"/>
      <c r="H967" s="32"/>
    </row>
    <row r="968" spans="1:8" ht="12.5">
      <c r="A968" s="32"/>
      <c r="E968" s="149"/>
      <c r="H968" s="32"/>
    </row>
    <row r="969" spans="1:8" ht="12.5">
      <c r="A969" s="32"/>
      <c r="E969" s="149"/>
      <c r="H969" s="32"/>
    </row>
    <row r="970" spans="1:8" ht="12.5">
      <c r="A970" s="32"/>
      <c r="E970" s="149"/>
      <c r="H970" s="32"/>
    </row>
    <row r="971" spans="1:8" ht="12.5">
      <c r="A971" s="32"/>
      <c r="E971" s="149"/>
      <c r="H971" s="32"/>
    </row>
    <row r="972" spans="1:8" ht="12.5">
      <c r="A972" s="32"/>
      <c r="E972" s="149"/>
      <c r="H972" s="32"/>
    </row>
    <row r="973" spans="1:8" ht="12.5">
      <c r="A973" s="32"/>
      <c r="E973" s="149"/>
      <c r="H973" s="32"/>
    </row>
    <row r="974" spans="1:8" ht="12.5">
      <c r="A974" s="32"/>
      <c r="E974" s="149"/>
      <c r="H974" s="32"/>
    </row>
    <row r="975" spans="1:8" ht="12.5">
      <c r="A975" s="32"/>
      <c r="E975" s="149"/>
      <c r="H975" s="32"/>
    </row>
    <row r="976" spans="1:8" ht="12.5">
      <c r="A976" s="32"/>
      <c r="E976" s="149"/>
      <c r="H976" s="32"/>
    </row>
    <row r="977" spans="1:8" ht="12.5">
      <c r="A977" s="32"/>
      <c r="E977" s="149"/>
      <c r="H977" s="32"/>
    </row>
    <row r="978" spans="1:8" ht="12.5">
      <c r="A978" s="32"/>
      <c r="E978" s="149"/>
      <c r="H978" s="32"/>
    </row>
    <row r="979" spans="1:8" ht="12.5">
      <c r="A979" s="32"/>
      <c r="E979" s="149"/>
      <c r="H979" s="32"/>
    </row>
    <row r="980" spans="1:8" ht="12.5">
      <c r="A980" s="32"/>
      <c r="E980" s="149"/>
      <c r="H980" s="32"/>
    </row>
    <row r="981" spans="1:8" ht="12.5">
      <c r="A981" s="32"/>
      <c r="E981" s="149"/>
      <c r="H981" s="32"/>
    </row>
    <row r="982" spans="1:8" ht="12.5">
      <c r="A982" s="32"/>
      <c r="E982" s="149"/>
      <c r="H982" s="32"/>
    </row>
    <row r="983" spans="1:8" ht="12.5">
      <c r="A983" s="32"/>
      <c r="E983" s="149"/>
      <c r="H983" s="32"/>
    </row>
    <row r="984" spans="1:8" ht="12.5">
      <c r="A984" s="32"/>
      <c r="E984" s="149"/>
      <c r="H984" s="32"/>
    </row>
    <row r="985" spans="1:8" ht="12.5">
      <c r="A985" s="32"/>
      <c r="E985" s="149"/>
      <c r="H985" s="32"/>
    </row>
    <row r="986" spans="1:8" ht="12.5">
      <c r="A986" s="32"/>
      <c r="E986" s="149"/>
      <c r="H986" s="32"/>
    </row>
    <row r="987" spans="1:8" ht="12.5">
      <c r="A987" s="32"/>
      <c r="E987" s="149"/>
      <c r="H987" s="32"/>
    </row>
    <row r="988" spans="1:8" ht="12.5">
      <c r="A988" s="32"/>
      <c r="E988" s="149"/>
      <c r="H988" s="32"/>
    </row>
    <row r="989" spans="1:8" ht="12.5">
      <c r="A989" s="32"/>
      <c r="E989" s="149"/>
      <c r="H989" s="32"/>
    </row>
    <row r="990" spans="1:8" ht="12.5">
      <c r="A990" s="32"/>
      <c r="E990" s="149"/>
      <c r="H990" s="32"/>
    </row>
    <row r="991" spans="1:8" ht="12.5">
      <c r="A991" s="32"/>
      <c r="E991" s="149"/>
      <c r="H991" s="32"/>
    </row>
    <row r="992" spans="1:8" ht="12.5">
      <c r="A992" s="32"/>
      <c r="E992" s="149"/>
      <c r="H992" s="32"/>
    </row>
    <row r="993" spans="1:8" ht="12.5">
      <c r="A993" s="32"/>
      <c r="E993" s="149"/>
      <c r="H993" s="32"/>
    </row>
    <row r="994" spans="1:8" ht="12.5">
      <c r="A994" s="32"/>
      <c r="E994" s="149"/>
      <c r="H994" s="32"/>
    </row>
    <row r="995" spans="1:8" ht="12.5">
      <c r="A995" s="32"/>
      <c r="E995" s="149"/>
      <c r="H995" s="32"/>
    </row>
    <row r="996" spans="1:8" ht="12.5">
      <c r="A996" s="32"/>
      <c r="E996" s="149"/>
      <c r="H996" s="32"/>
    </row>
    <row r="997" spans="1:8" ht="12.5">
      <c r="A997" s="32"/>
      <c r="E997" s="149"/>
      <c r="H997" s="32"/>
    </row>
    <row r="998" spans="1:8" ht="12.5">
      <c r="A998" s="32"/>
      <c r="E998" s="149"/>
      <c r="H998" s="32"/>
    </row>
    <row r="999" spans="1:8" ht="12.5">
      <c r="A999" s="32"/>
      <c r="E999" s="149"/>
      <c r="H999" s="32"/>
    </row>
  </sheetData>
  <autoFilter ref="A1:H100"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88"/>
  <sheetViews>
    <sheetView workbookViewId="0"/>
  </sheetViews>
  <sheetFormatPr baseColWidth="10" defaultColWidth="12.6328125" defaultRowHeight="15.75" customHeight="1"/>
  <sheetData>
    <row r="1" spans="1:1">
      <c r="A1" s="68" t="s">
        <v>20</v>
      </c>
    </row>
    <row r="2" spans="1:1" ht="15.75" customHeight="1">
      <c r="A2" s="72" t="s">
        <v>86</v>
      </c>
    </row>
    <row r="3" spans="1:1" ht="15.75" customHeight="1">
      <c r="A3" s="72" t="s">
        <v>2032</v>
      </c>
    </row>
    <row r="4" spans="1:1" ht="15.75" customHeight="1">
      <c r="A4" s="72" t="s">
        <v>735</v>
      </c>
    </row>
    <row r="5" spans="1:1" ht="15.75" customHeight="1">
      <c r="A5" s="72" t="s">
        <v>4896</v>
      </c>
    </row>
    <row r="6" spans="1:1" ht="15.75" customHeight="1">
      <c r="A6" s="72" t="s">
        <v>4897</v>
      </c>
    </row>
    <row r="7" spans="1:1" ht="15.75" customHeight="1">
      <c r="A7" s="72" t="s">
        <v>777</v>
      </c>
    </row>
    <row r="8" spans="1:1" ht="15.75" customHeight="1">
      <c r="A8" s="72" t="s">
        <v>4898</v>
      </c>
    </row>
    <row r="9" spans="1:1" ht="15.75" customHeight="1">
      <c r="A9" s="72" t="s">
        <v>4899</v>
      </c>
    </row>
    <row r="10" spans="1:1" ht="15.75" customHeight="1">
      <c r="A10" s="72" t="s">
        <v>2043</v>
      </c>
    </row>
    <row r="11" spans="1:1" ht="15.75" customHeight="1">
      <c r="A11" s="72" t="s">
        <v>2076</v>
      </c>
    </row>
    <row r="12" spans="1:1" ht="15.75" customHeight="1">
      <c r="A12" s="72" t="s">
        <v>4900</v>
      </c>
    </row>
    <row r="13" spans="1:1" ht="15.75" customHeight="1">
      <c r="A13" s="72" t="s">
        <v>4901</v>
      </c>
    </row>
    <row r="14" spans="1:1" ht="15.75" customHeight="1">
      <c r="A14" s="72" t="s">
        <v>4902</v>
      </c>
    </row>
    <row r="15" spans="1:1" ht="15.75" customHeight="1">
      <c r="A15" s="72" t="s">
        <v>148</v>
      </c>
    </row>
    <row r="16" spans="1:1" ht="15.75" customHeight="1">
      <c r="A16" s="72" t="s">
        <v>1363</v>
      </c>
    </row>
    <row r="17" spans="1:1" ht="15.75" customHeight="1">
      <c r="A17" s="72" t="s">
        <v>4906</v>
      </c>
    </row>
    <row r="18" spans="1:1" ht="14.5">
      <c r="A18" s="72" t="s">
        <v>4907</v>
      </c>
    </row>
    <row r="19" spans="1:1" ht="14.5">
      <c r="A19" s="72" t="s">
        <v>4908</v>
      </c>
    </row>
    <row r="20" spans="1:1" ht="14.5">
      <c r="A20" s="72" t="s">
        <v>783</v>
      </c>
    </row>
    <row r="21" spans="1:1" ht="14.5">
      <c r="A21" s="72" t="s">
        <v>4910</v>
      </c>
    </row>
    <row r="22" spans="1:1" ht="14.5">
      <c r="A22" s="72" t="s">
        <v>4911</v>
      </c>
    </row>
    <row r="23" spans="1:1" ht="14.5">
      <c r="A23" s="72" t="s">
        <v>339</v>
      </c>
    </row>
    <row r="24" spans="1:1" ht="14.5">
      <c r="A24" s="72" t="s">
        <v>349</v>
      </c>
    </row>
    <row r="25" spans="1:1" ht="14.5">
      <c r="A25" s="72" t="s">
        <v>338</v>
      </c>
    </row>
    <row r="26" spans="1:1" ht="14.5">
      <c r="A26" s="72" t="s">
        <v>4912</v>
      </c>
    </row>
    <row r="27" spans="1:1" ht="14.5">
      <c r="A27" s="72" t="s">
        <v>137</v>
      </c>
    </row>
    <row r="28" spans="1:1" ht="14.5">
      <c r="A28" s="72" t="s">
        <v>4914</v>
      </c>
    </row>
    <row r="29" spans="1:1" ht="14.5">
      <c r="A29" s="72" t="s">
        <v>4916</v>
      </c>
    </row>
    <row r="30" spans="1:1" ht="14.5">
      <c r="A30" s="72" t="s">
        <v>1376</v>
      </c>
    </row>
    <row r="31" spans="1:1" ht="14.5">
      <c r="A31" s="72" t="s">
        <v>4917</v>
      </c>
    </row>
    <row r="32" spans="1:1" ht="14.5">
      <c r="A32" s="72" t="s">
        <v>4918</v>
      </c>
    </row>
    <row r="33" spans="1:1" ht="14.5">
      <c r="A33" s="72" t="s">
        <v>288</v>
      </c>
    </row>
    <row r="34" spans="1:1" ht="14.5">
      <c r="A34" s="72" t="s">
        <v>4919</v>
      </c>
    </row>
    <row r="35" spans="1:1" ht="14.5">
      <c r="A35" s="72" t="s">
        <v>1506</v>
      </c>
    </row>
    <row r="36" spans="1:1" ht="14.5">
      <c r="A36" s="72" t="s">
        <v>4921</v>
      </c>
    </row>
    <row r="37" spans="1:1" ht="14.5">
      <c r="A37" s="72" t="s">
        <v>216</v>
      </c>
    </row>
    <row r="38" spans="1:1" ht="14.5">
      <c r="A38" s="72" t="s">
        <v>4923</v>
      </c>
    </row>
    <row r="39" spans="1:1" ht="14.5">
      <c r="A39" s="72" t="s">
        <v>1159</v>
      </c>
    </row>
    <row r="40" spans="1:1" ht="14.5">
      <c r="A40" s="72" t="s">
        <v>367</v>
      </c>
    </row>
    <row r="41" spans="1:1" ht="14.5">
      <c r="A41" s="72" t="s">
        <v>1069</v>
      </c>
    </row>
    <row r="42" spans="1:1" ht="14.5">
      <c r="A42" s="72" t="s">
        <v>4927</v>
      </c>
    </row>
    <row r="43" spans="1:1" ht="14.5">
      <c r="A43" s="72" t="s">
        <v>221</v>
      </c>
    </row>
    <row r="44" spans="1:1" ht="14.5">
      <c r="A44" s="72" t="s">
        <v>308</v>
      </c>
    </row>
    <row r="45" spans="1:1" ht="14.5">
      <c r="A45" s="72" t="s">
        <v>160</v>
      </c>
    </row>
    <row r="46" spans="1:1" ht="14.5">
      <c r="A46" s="72" t="s">
        <v>497</v>
      </c>
    </row>
    <row r="47" spans="1:1" ht="14.5">
      <c r="A47" s="72" t="s">
        <v>184</v>
      </c>
    </row>
    <row r="48" spans="1:1" ht="14.5">
      <c r="A48" s="72" t="s">
        <v>4930</v>
      </c>
    </row>
    <row r="49" spans="1:1" ht="14.5">
      <c r="A49" s="72" t="s">
        <v>4931</v>
      </c>
    </row>
    <row r="50" spans="1:1" ht="14.5">
      <c r="A50" s="72" t="s">
        <v>1682</v>
      </c>
    </row>
    <row r="51" spans="1:1" ht="14.5">
      <c r="A51" s="72" t="s">
        <v>4932</v>
      </c>
    </row>
    <row r="52" spans="1:1" ht="14.5">
      <c r="A52" s="72" t="s">
        <v>4933</v>
      </c>
    </row>
    <row r="53" spans="1:1" ht="14.5">
      <c r="A53" s="72" t="s">
        <v>1039</v>
      </c>
    </row>
    <row r="54" spans="1:1" ht="14.5">
      <c r="A54" s="72" t="s">
        <v>4895</v>
      </c>
    </row>
    <row r="55" spans="1:1" ht="14.5">
      <c r="A55" s="72" t="s">
        <v>1040</v>
      </c>
    </row>
    <row r="56" spans="1:1" ht="14.5">
      <c r="A56" s="72" t="s">
        <v>1410</v>
      </c>
    </row>
    <row r="57" spans="1:1" ht="14.5">
      <c r="A57" s="72" t="s">
        <v>4934</v>
      </c>
    </row>
    <row r="58" spans="1:1" ht="14.5">
      <c r="A58" s="72" t="s">
        <v>4935</v>
      </c>
    </row>
    <row r="59" spans="1:1" ht="14.5">
      <c r="A59" s="72" t="s">
        <v>4936</v>
      </c>
    </row>
    <row r="60" spans="1:1" ht="14.5">
      <c r="A60" s="73" t="s">
        <v>307</v>
      </c>
    </row>
    <row r="61" spans="1:1" ht="14.5">
      <c r="A61" s="72" t="s">
        <v>834</v>
      </c>
    </row>
    <row r="62" spans="1:1" ht="14.5">
      <c r="A62" s="72" t="s">
        <v>4939</v>
      </c>
    </row>
    <row r="63" spans="1:1" ht="14.5">
      <c r="A63" s="72" t="s">
        <v>1889</v>
      </c>
    </row>
    <row r="64" spans="1:1" ht="14.5">
      <c r="A64" s="72" t="s">
        <v>507</v>
      </c>
    </row>
    <row r="65" spans="1:1" ht="14.5">
      <c r="A65" s="72" t="s">
        <v>598</v>
      </c>
    </row>
    <row r="66" spans="1:1" ht="14.5">
      <c r="A66" s="72" t="s">
        <v>4943</v>
      </c>
    </row>
    <row r="67" spans="1:1" ht="14.5">
      <c r="A67" s="72" t="s">
        <v>4945</v>
      </c>
    </row>
    <row r="68" spans="1:1" ht="14.5">
      <c r="A68" s="72" t="s">
        <v>4947</v>
      </c>
    </row>
    <row r="69" spans="1:1" ht="14.5">
      <c r="A69" s="72" t="s">
        <v>4948</v>
      </c>
    </row>
    <row r="70" spans="1:1" ht="14.5">
      <c r="A70" s="72" t="s">
        <v>1504</v>
      </c>
    </row>
    <row r="71" spans="1:1" ht="14.5">
      <c r="A71" s="72" t="s">
        <v>4949</v>
      </c>
    </row>
    <row r="72" spans="1:1" ht="14.5">
      <c r="A72" s="72" t="s">
        <v>4950</v>
      </c>
    </row>
    <row r="73" spans="1:1" ht="14.5">
      <c r="A73" s="72" t="s">
        <v>4951</v>
      </c>
    </row>
    <row r="74" spans="1:1" ht="14.5">
      <c r="A74" s="72" t="s">
        <v>4952</v>
      </c>
    </row>
    <row r="75" spans="1:1" ht="14.5">
      <c r="A75" s="72" t="s">
        <v>4953</v>
      </c>
    </row>
    <row r="76" spans="1:1" ht="14.5">
      <c r="A76" s="72" t="s">
        <v>4954</v>
      </c>
    </row>
    <row r="77" spans="1:1" ht="14.5">
      <c r="A77" s="72" t="s">
        <v>4955</v>
      </c>
    </row>
    <row r="78" spans="1:1" ht="14.5">
      <c r="A78" s="72" t="s">
        <v>4956</v>
      </c>
    </row>
    <row r="79" spans="1:1" ht="14.5">
      <c r="A79" s="72" t="s">
        <v>207</v>
      </c>
    </row>
    <row r="80" spans="1:1" ht="14.5">
      <c r="A80" s="72" t="s">
        <v>480</v>
      </c>
    </row>
    <row r="81" spans="1:1" ht="14.5">
      <c r="A81" s="72" t="s">
        <v>196</v>
      </c>
    </row>
    <row r="82" spans="1:1" ht="14.5">
      <c r="A82" s="72" t="s">
        <v>4957</v>
      </c>
    </row>
    <row r="83" spans="1:1" ht="12.5">
      <c r="A83" s="30" t="s">
        <v>166</v>
      </c>
    </row>
    <row r="84" spans="1:1" ht="12.5">
      <c r="A84" s="30" t="s">
        <v>1352</v>
      </c>
    </row>
    <row r="85" spans="1:1" ht="12.5">
      <c r="A85" s="30" t="s">
        <v>1373</v>
      </c>
    </row>
    <row r="86" spans="1:1" ht="12.5">
      <c r="A86" s="30" t="s">
        <v>1383</v>
      </c>
    </row>
    <row r="87" spans="1:1" ht="12.5">
      <c r="A87" s="30" t="s">
        <v>149</v>
      </c>
    </row>
    <row r="88" spans="1:1" ht="12.5">
      <c r="A88" s="30" t="s">
        <v>2006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4"/>
  <sheetViews>
    <sheetView workbookViewId="0"/>
  </sheetViews>
  <sheetFormatPr baseColWidth="10" defaultColWidth="12.6328125" defaultRowHeight="15.75" customHeight="1"/>
  <sheetData>
    <row r="1" spans="1:1">
      <c r="A1" s="68" t="s">
        <v>22</v>
      </c>
    </row>
    <row r="2" spans="1:1" ht="15.75" customHeight="1">
      <c r="A2" s="69" t="s">
        <v>88</v>
      </c>
    </row>
    <row r="3" spans="1:1" ht="15.75" customHeight="1">
      <c r="A3" s="69" t="s">
        <v>1374</v>
      </c>
    </row>
    <row r="4" spans="1:1" ht="15.75" customHeight="1">
      <c r="A4" s="69" t="s">
        <v>1041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3"/>
  <sheetViews>
    <sheetView workbookViewId="0"/>
  </sheetViews>
  <sheetFormatPr baseColWidth="10" defaultColWidth="12.6328125" defaultRowHeight="15.75" customHeight="1"/>
  <sheetData>
    <row r="1" spans="1:1">
      <c r="A1" s="68" t="s">
        <v>33</v>
      </c>
    </row>
    <row r="2" spans="1:1" ht="15.75" customHeight="1">
      <c r="A2" s="69" t="s">
        <v>91</v>
      </c>
    </row>
    <row r="3" spans="1:1" ht="15.75" customHeight="1">
      <c r="A3" s="69" t="s">
        <v>963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8"/>
  <sheetViews>
    <sheetView workbookViewId="0"/>
  </sheetViews>
  <sheetFormatPr baseColWidth="10" defaultColWidth="12.6328125" defaultRowHeight="15.75" customHeight="1"/>
  <sheetData>
    <row r="1" spans="1:1">
      <c r="A1" s="68" t="s">
        <v>3117</v>
      </c>
    </row>
    <row r="2" spans="1:1" ht="15.75" customHeight="1">
      <c r="A2" s="69" t="s">
        <v>3179</v>
      </c>
    </row>
    <row r="3" spans="1:1" ht="15.75" customHeight="1">
      <c r="A3" s="69" t="s">
        <v>3125</v>
      </c>
    </row>
    <row r="4" spans="1:1" ht="15.75" customHeight="1">
      <c r="A4" s="69" t="s">
        <v>3143</v>
      </c>
    </row>
    <row r="5" spans="1:1" ht="15.75" customHeight="1">
      <c r="A5" s="69" t="s">
        <v>3145</v>
      </c>
    </row>
    <row r="6" spans="1:1" ht="15.75" customHeight="1">
      <c r="A6" s="69" t="s">
        <v>3133</v>
      </c>
    </row>
    <row r="7" spans="1:1" ht="15.75" customHeight="1">
      <c r="A7" s="69" t="s">
        <v>3122</v>
      </c>
    </row>
    <row r="8" spans="1:1" ht="15.75" customHeight="1">
      <c r="A8" s="30" t="s">
        <v>3863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6"/>
  <sheetViews>
    <sheetView workbookViewId="0"/>
  </sheetViews>
  <sheetFormatPr baseColWidth="10" defaultColWidth="12.6328125" defaultRowHeight="15.75" customHeight="1"/>
  <sheetData>
    <row r="1" spans="1:1">
      <c r="A1" s="68" t="s">
        <v>3118</v>
      </c>
    </row>
    <row r="2" spans="1:1" ht="15.75" customHeight="1">
      <c r="A2" s="69" t="s">
        <v>3525</v>
      </c>
    </row>
    <row r="3" spans="1:1" ht="15.75" customHeight="1">
      <c r="A3" s="69" t="s">
        <v>3123</v>
      </c>
    </row>
    <row r="4" spans="1:1" ht="15.75" customHeight="1">
      <c r="A4" s="69" t="s">
        <v>5183</v>
      </c>
    </row>
    <row r="5" spans="1:1" ht="15.75" customHeight="1">
      <c r="A5" s="69" t="s">
        <v>3511</v>
      </c>
    </row>
    <row r="6" spans="1:1" ht="15.75" customHeight="1">
      <c r="A6" s="30" t="s">
        <v>3126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11"/>
  <sheetViews>
    <sheetView workbookViewId="0">
      <pane ySplit="1" topLeftCell="A2" activePane="bottomLeft" state="frozen"/>
      <selection pane="bottomLeft" activeCell="B3" sqref="B3"/>
    </sheetView>
  </sheetViews>
  <sheetFormatPr baseColWidth="10" defaultColWidth="12.6328125" defaultRowHeight="15.75" customHeight="1"/>
  <sheetData>
    <row r="1" spans="1:1">
      <c r="A1" s="68" t="s">
        <v>3119</v>
      </c>
    </row>
    <row r="2" spans="1:1" ht="15.75" customHeight="1">
      <c r="A2" s="150" t="s">
        <v>5184</v>
      </c>
    </row>
    <row r="3" spans="1:1" ht="15.75" customHeight="1">
      <c r="A3" s="150" t="s">
        <v>3929</v>
      </c>
    </row>
    <row r="4" spans="1:1" ht="15.75" customHeight="1">
      <c r="A4" s="150" t="s">
        <v>679</v>
      </c>
    </row>
    <row r="5" spans="1:1" ht="15.75" customHeight="1">
      <c r="A5" s="150" t="s">
        <v>1185</v>
      </c>
    </row>
    <row r="6" spans="1:1" ht="15.75" customHeight="1">
      <c r="A6" s="150" t="s">
        <v>698</v>
      </c>
    </row>
    <row r="7" spans="1:1" ht="15.75" customHeight="1">
      <c r="A7" s="150" t="s">
        <v>824</v>
      </c>
    </row>
    <row r="8" spans="1:1" ht="15.75" customHeight="1">
      <c r="A8" s="150" t="s">
        <v>3513</v>
      </c>
    </row>
    <row r="9" spans="1:1" ht="15.75" customHeight="1">
      <c r="A9" s="150" t="s">
        <v>112</v>
      </c>
    </row>
    <row r="10" spans="1:1" ht="15.75" customHeight="1">
      <c r="A10" s="150" t="s">
        <v>98</v>
      </c>
    </row>
    <row r="11" spans="1:1">
      <c r="A11" s="15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4"/>
  <sheetViews>
    <sheetView workbookViewId="0"/>
  </sheetViews>
  <sheetFormatPr baseColWidth="10" defaultColWidth="12.6328125" defaultRowHeight="15.75" customHeight="1"/>
  <sheetData>
    <row r="1" spans="1:1">
      <c r="A1" s="68" t="s">
        <v>2469</v>
      </c>
    </row>
    <row r="2" spans="1:1" ht="15.75" customHeight="1">
      <c r="A2" s="69" t="s">
        <v>2491</v>
      </c>
    </row>
    <row r="3" spans="1:1" ht="15.75" customHeight="1">
      <c r="A3" s="69" t="s">
        <v>2552</v>
      </c>
    </row>
    <row r="4" spans="1:1">
      <c r="A4" s="152" t="s">
        <v>2484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1000"/>
  <sheetViews>
    <sheetView workbookViewId="0">
      <pane ySplit="1" topLeftCell="A2" activePane="bottomLeft" state="frozen"/>
      <selection pane="bottomLeft" activeCell="B3" sqref="B3"/>
    </sheetView>
  </sheetViews>
  <sheetFormatPr baseColWidth="10" defaultColWidth="12.6328125" defaultRowHeight="15.75" customHeight="1"/>
  <sheetData>
    <row r="1" spans="1:1">
      <c r="A1" s="153" t="s">
        <v>2468</v>
      </c>
    </row>
    <row r="2" spans="1:1">
      <c r="A2" s="154" t="s">
        <v>2977</v>
      </c>
    </row>
    <row r="3" spans="1:1">
      <c r="A3" s="154" t="s">
        <v>2840</v>
      </c>
    </row>
    <row r="4" spans="1:1">
      <c r="A4" s="154" t="s">
        <v>2830</v>
      </c>
    </row>
    <row r="5" spans="1:1">
      <c r="A5" s="154" t="s">
        <v>5185</v>
      </c>
    </row>
    <row r="6" spans="1:1">
      <c r="A6" s="154" t="s">
        <v>3065</v>
      </c>
    </row>
    <row r="7" spans="1:1">
      <c r="A7" s="154" t="s">
        <v>5186</v>
      </c>
    </row>
    <row r="8" spans="1:1">
      <c r="A8" s="154" t="s">
        <v>5187</v>
      </c>
    </row>
    <row r="9" spans="1:1">
      <c r="A9" s="154" t="s">
        <v>2677</v>
      </c>
    </row>
    <row r="10" spans="1:1">
      <c r="A10" s="154" t="s">
        <v>2838</v>
      </c>
    </row>
    <row r="11" spans="1:1">
      <c r="A11" s="154" t="s">
        <v>5188</v>
      </c>
    </row>
    <row r="12" spans="1:1">
      <c r="A12" s="154" t="s">
        <v>5189</v>
      </c>
    </row>
    <row r="13" spans="1:1">
      <c r="A13" s="154" t="s">
        <v>3076</v>
      </c>
    </row>
    <row r="14" spans="1:1">
      <c r="A14" s="154" t="s">
        <v>3043</v>
      </c>
    </row>
    <row r="15" spans="1:1">
      <c r="A15" s="154" t="s">
        <v>3023</v>
      </c>
    </row>
    <row r="16" spans="1:1">
      <c r="A16" s="154" t="s">
        <v>2521</v>
      </c>
    </row>
    <row r="17" spans="1:1">
      <c r="A17" s="154" t="s">
        <v>2769</v>
      </c>
    </row>
    <row r="18" spans="1:1">
      <c r="A18" s="154" t="s">
        <v>5190</v>
      </c>
    </row>
    <row r="19" spans="1:1">
      <c r="A19" s="154" t="s">
        <v>2771</v>
      </c>
    </row>
    <row r="20" spans="1:1">
      <c r="A20" s="154" t="s">
        <v>3069</v>
      </c>
    </row>
    <row r="21" spans="1:1">
      <c r="A21" s="154" t="s">
        <v>2483</v>
      </c>
    </row>
    <row r="22" spans="1:1">
      <c r="A22" s="154" t="s">
        <v>5191</v>
      </c>
    </row>
    <row r="23" spans="1:1">
      <c r="A23" s="154" t="s">
        <v>5192</v>
      </c>
    </row>
    <row r="24" spans="1:1">
      <c r="A24" s="154" t="s">
        <v>5193</v>
      </c>
    </row>
    <row r="25" spans="1:1">
      <c r="A25" s="154" t="s">
        <v>5194</v>
      </c>
    </row>
    <row r="26" spans="1:1">
      <c r="A26" s="154" t="s">
        <v>2598</v>
      </c>
    </row>
    <row r="27" spans="1:1">
      <c r="A27" s="154" t="s">
        <v>5195</v>
      </c>
    </row>
    <row r="28" spans="1:1">
      <c r="A28" s="154" t="s">
        <v>2923</v>
      </c>
    </row>
    <row r="29" spans="1:1">
      <c r="A29" s="154" t="s">
        <v>2675</v>
      </c>
    </row>
    <row r="30" spans="1:1">
      <c r="A30" s="154" t="s">
        <v>5196</v>
      </c>
    </row>
    <row r="31" spans="1:1">
      <c r="A31" s="154" t="s">
        <v>3027</v>
      </c>
    </row>
    <row r="32" spans="1:1">
      <c r="A32" s="154" t="s">
        <v>2956</v>
      </c>
    </row>
    <row r="33" spans="1:1">
      <c r="A33" s="154" t="s">
        <v>5197</v>
      </c>
    </row>
    <row r="34" spans="1:1">
      <c r="A34" s="154" t="s">
        <v>2625</v>
      </c>
    </row>
    <row r="35" spans="1:1">
      <c r="A35" s="154" t="s">
        <v>2972</v>
      </c>
    </row>
    <row r="36" spans="1:1">
      <c r="A36" s="154" t="s">
        <v>5198</v>
      </c>
    </row>
    <row r="37" spans="1:1">
      <c r="A37" s="154" t="s">
        <v>5199</v>
      </c>
    </row>
    <row r="38" spans="1:1">
      <c r="A38" s="154" t="s">
        <v>2490</v>
      </c>
    </row>
    <row r="39" spans="1:1">
      <c r="A39" s="154" t="s">
        <v>5200</v>
      </c>
    </row>
    <row r="40" spans="1:1">
      <c r="A40" s="154" t="s">
        <v>5201</v>
      </c>
    </row>
    <row r="41" spans="1:1">
      <c r="A41" s="154" t="s">
        <v>2623</v>
      </c>
    </row>
    <row r="42" spans="1:1">
      <c r="A42" s="154" t="s">
        <v>3098</v>
      </c>
    </row>
    <row r="43" spans="1:1">
      <c r="A43" s="154" t="s">
        <v>3041</v>
      </c>
    </row>
    <row r="44" spans="1:1">
      <c r="A44" s="154" t="s">
        <v>5202</v>
      </c>
    </row>
    <row r="45" spans="1:1">
      <c r="A45" s="154" t="s">
        <v>2994</v>
      </c>
    </row>
    <row r="46" spans="1:1">
      <c r="A46" s="154" t="s">
        <v>5203</v>
      </c>
    </row>
    <row r="47" spans="1:1">
      <c r="A47" s="154" t="s">
        <v>5204</v>
      </c>
    </row>
    <row r="48" spans="1:1">
      <c r="A48" s="154" t="s">
        <v>2836</v>
      </c>
    </row>
    <row r="49" spans="1:2">
      <c r="A49" s="154"/>
      <c r="B49" s="29"/>
    </row>
    <row r="50" spans="1:2">
      <c r="A50" s="154"/>
    </row>
    <row r="51" spans="1:2">
      <c r="A51" s="154"/>
      <c r="B51" s="29"/>
    </row>
    <row r="52" spans="1:2">
      <c r="A52" s="154"/>
    </row>
    <row r="53" spans="1:2">
      <c r="A53" s="154"/>
      <c r="B53" s="29"/>
    </row>
    <row r="54" spans="1:2">
      <c r="A54" s="154"/>
    </row>
    <row r="55" spans="1:2">
      <c r="A55" s="154"/>
      <c r="B55" s="29"/>
    </row>
    <row r="56" spans="1:2">
      <c r="A56" s="154"/>
    </row>
    <row r="57" spans="1:2">
      <c r="A57" s="154"/>
      <c r="B57" s="29"/>
    </row>
    <row r="58" spans="1:2">
      <c r="A58" s="154"/>
    </row>
    <row r="59" spans="1:2">
      <c r="A59" s="154"/>
      <c r="B59" s="29"/>
    </row>
    <row r="60" spans="1:2">
      <c r="A60" s="154"/>
    </row>
    <row r="61" spans="1:2">
      <c r="A61" s="154"/>
    </row>
    <row r="62" spans="1:2">
      <c r="A62" s="154"/>
    </row>
    <row r="63" spans="1:2">
      <c r="A63" s="154"/>
    </row>
    <row r="64" spans="1:2">
      <c r="A64" s="154"/>
    </row>
    <row r="65" spans="1:1">
      <c r="A65" s="154"/>
    </row>
    <row r="66" spans="1:1">
      <c r="A66" s="154"/>
    </row>
    <row r="67" spans="1:1">
      <c r="A67" s="154"/>
    </row>
    <row r="68" spans="1:1">
      <c r="A68" s="154"/>
    </row>
    <row r="69" spans="1:1">
      <c r="A69" s="154"/>
    </row>
    <row r="70" spans="1:1">
      <c r="A70" s="154"/>
    </row>
    <row r="71" spans="1:1">
      <c r="A71" s="154"/>
    </row>
    <row r="72" spans="1:1">
      <c r="A72" s="154"/>
    </row>
    <row r="73" spans="1:1">
      <c r="A73" s="154"/>
    </row>
    <row r="74" spans="1:1">
      <c r="A74" s="154"/>
    </row>
    <row r="75" spans="1:1">
      <c r="A75" s="154"/>
    </row>
    <row r="76" spans="1:1">
      <c r="A76" s="154"/>
    </row>
    <row r="77" spans="1:1">
      <c r="A77" s="154"/>
    </row>
    <row r="78" spans="1:1">
      <c r="A78" s="154"/>
    </row>
    <row r="79" spans="1:1">
      <c r="A79" s="154"/>
    </row>
    <row r="80" spans="1:1">
      <c r="A80" s="154"/>
    </row>
    <row r="81" spans="1:1">
      <c r="A81" s="154"/>
    </row>
    <row r="82" spans="1:1">
      <c r="A82" s="154"/>
    </row>
    <row r="83" spans="1:1">
      <c r="A83" s="154"/>
    </row>
    <row r="84" spans="1:1">
      <c r="A84" s="154"/>
    </row>
    <row r="85" spans="1:1">
      <c r="A85" s="154"/>
    </row>
    <row r="86" spans="1:1">
      <c r="A86" s="154"/>
    </row>
    <row r="87" spans="1:1">
      <c r="A87" s="154"/>
    </row>
    <row r="88" spans="1:1">
      <c r="A88" s="154"/>
    </row>
    <row r="89" spans="1:1">
      <c r="A89" s="154"/>
    </row>
    <row r="90" spans="1:1">
      <c r="A90" s="154"/>
    </row>
    <row r="91" spans="1:1">
      <c r="A91" s="154"/>
    </row>
    <row r="92" spans="1:1">
      <c r="A92" s="154"/>
    </row>
    <row r="93" spans="1:1">
      <c r="A93" s="154"/>
    </row>
    <row r="94" spans="1:1">
      <c r="A94" s="154"/>
    </row>
    <row r="95" spans="1:1">
      <c r="A95" s="154"/>
    </row>
    <row r="96" spans="1:1">
      <c r="A96" s="154"/>
    </row>
    <row r="97" spans="1:1">
      <c r="A97" s="154"/>
    </row>
    <row r="98" spans="1:1">
      <c r="A98" s="154"/>
    </row>
    <row r="99" spans="1:1">
      <c r="A99" s="154"/>
    </row>
    <row r="100" spans="1:1">
      <c r="A100" s="154"/>
    </row>
    <row r="101" spans="1:1">
      <c r="A101" s="154"/>
    </row>
    <row r="102" spans="1:1">
      <c r="A102" s="154"/>
    </row>
    <row r="103" spans="1:1">
      <c r="A103" s="154"/>
    </row>
    <row r="104" spans="1:1">
      <c r="A104" s="154"/>
    </row>
    <row r="105" spans="1:1">
      <c r="A105" s="154"/>
    </row>
    <row r="106" spans="1:1">
      <c r="A106" s="154"/>
    </row>
    <row r="107" spans="1:1">
      <c r="A107" s="154"/>
    </row>
    <row r="108" spans="1:1">
      <c r="A108" s="154"/>
    </row>
    <row r="109" spans="1:1">
      <c r="A109" s="154"/>
    </row>
    <row r="110" spans="1:1">
      <c r="A110" s="154"/>
    </row>
    <row r="111" spans="1:1">
      <c r="A111" s="154"/>
    </row>
    <row r="112" spans="1:1">
      <c r="A112" s="154"/>
    </row>
    <row r="113" spans="1:1">
      <c r="A113" s="154"/>
    </row>
    <row r="114" spans="1:1">
      <c r="A114" s="154"/>
    </row>
    <row r="115" spans="1:1">
      <c r="A115" s="154"/>
    </row>
    <row r="116" spans="1:1">
      <c r="A116" s="154"/>
    </row>
    <row r="117" spans="1:1">
      <c r="A117" s="154"/>
    </row>
    <row r="118" spans="1:1">
      <c r="A118" s="154"/>
    </row>
    <row r="119" spans="1:1">
      <c r="A119" s="154"/>
    </row>
    <row r="120" spans="1:1">
      <c r="A120" s="154"/>
    </row>
    <row r="121" spans="1:1">
      <c r="A121" s="154"/>
    </row>
    <row r="122" spans="1:1">
      <c r="A122" s="154"/>
    </row>
    <row r="123" spans="1:1">
      <c r="A123" s="154"/>
    </row>
    <row r="124" spans="1:1">
      <c r="A124" s="154"/>
    </row>
    <row r="125" spans="1:1">
      <c r="A125" s="154"/>
    </row>
    <row r="126" spans="1:1">
      <c r="A126" s="154"/>
    </row>
    <row r="127" spans="1:1">
      <c r="A127" s="154"/>
    </row>
    <row r="128" spans="1:1">
      <c r="A128" s="154"/>
    </row>
    <row r="129" spans="1:1">
      <c r="A129" s="154"/>
    </row>
    <row r="130" spans="1:1">
      <c r="A130" s="154"/>
    </row>
    <row r="131" spans="1:1">
      <c r="A131" s="154"/>
    </row>
    <row r="132" spans="1:1">
      <c r="A132" s="154"/>
    </row>
    <row r="133" spans="1:1">
      <c r="A133" s="154"/>
    </row>
    <row r="134" spans="1:1">
      <c r="A134" s="154"/>
    </row>
    <row r="135" spans="1:1">
      <c r="A135" s="154"/>
    </row>
    <row r="136" spans="1:1">
      <c r="A136" s="154"/>
    </row>
    <row r="137" spans="1:1">
      <c r="A137" s="154"/>
    </row>
    <row r="138" spans="1:1">
      <c r="A138" s="154"/>
    </row>
    <row r="139" spans="1:1">
      <c r="A139" s="154"/>
    </row>
    <row r="140" spans="1:1">
      <c r="A140" s="154"/>
    </row>
    <row r="141" spans="1:1">
      <c r="A141" s="154"/>
    </row>
    <row r="142" spans="1:1">
      <c r="A142" s="154"/>
    </row>
    <row r="143" spans="1:1">
      <c r="A143" s="154"/>
    </row>
    <row r="144" spans="1:1">
      <c r="A144" s="154"/>
    </row>
    <row r="145" spans="1:1">
      <c r="A145" s="154"/>
    </row>
    <row r="146" spans="1:1">
      <c r="A146" s="154"/>
    </row>
    <row r="147" spans="1:1">
      <c r="A147" s="154"/>
    </row>
    <row r="148" spans="1:1">
      <c r="A148" s="154"/>
    </row>
    <row r="149" spans="1:1">
      <c r="A149" s="154"/>
    </row>
    <row r="150" spans="1:1">
      <c r="A150" s="154"/>
    </row>
    <row r="151" spans="1:1">
      <c r="A151" s="154"/>
    </row>
    <row r="152" spans="1:1">
      <c r="A152" s="154"/>
    </row>
    <row r="153" spans="1:1">
      <c r="A153" s="154"/>
    </row>
    <row r="154" spans="1:1">
      <c r="A154" s="154"/>
    </row>
    <row r="155" spans="1:1">
      <c r="A155" s="154"/>
    </row>
    <row r="156" spans="1:1">
      <c r="A156" s="154"/>
    </row>
    <row r="157" spans="1:1">
      <c r="A157" s="154"/>
    </row>
    <row r="158" spans="1:1">
      <c r="A158" s="154"/>
    </row>
    <row r="159" spans="1:1">
      <c r="A159" s="154"/>
    </row>
    <row r="160" spans="1:1">
      <c r="A160" s="154"/>
    </row>
    <row r="161" spans="1:1">
      <c r="A161" s="154"/>
    </row>
    <row r="162" spans="1:1">
      <c r="A162" s="154"/>
    </row>
    <row r="163" spans="1:1">
      <c r="A163" s="154"/>
    </row>
    <row r="164" spans="1:1">
      <c r="A164" s="154"/>
    </row>
    <row r="165" spans="1:1">
      <c r="A165" s="154"/>
    </row>
    <row r="166" spans="1:1">
      <c r="A166" s="154"/>
    </row>
    <row r="167" spans="1:1">
      <c r="A167" s="154"/>
    </row>
    <row r="168" spans="1:1">
      <c r="A168" s="154"/>
    </row>
    <row r="169" spans="1:1">
      <c r="A169" s="154"/>
    </row>
    <row r="170" spans="1:1">
      <c r="A170" s="154"/>
    </row>
    <row r="171" spans="1:1">
      <c r="A171" s="154"/>
    </row>
    <row r="172" spans="1:1">
      <c r="A172" s="154"/>
    </row>
    <row r="173" spans="1:1">
      <c r="A173" s="154"/>
    </row>
    <row r="174" spans="1:1">
      <c r="A174" s="154"/>
    </row>
    <row r="175" spans="1:1">
      <c r="A175" s="154"/>
    </row>
    <row r="176" spans="1:1">
      <c r="A176" s="154"/>
    </row>
    <row r="177" spans="1:1">
      <c r="A177" s="154"/>
    </row>
    <row r="178" spans="1:1">
      <c r="A178" s="154"/>
    </row>
    <row r="179" spans="1:1">
      <c r="A179" s="154"/>
    </row>
    <row r="180" spans="1:1">
      <c r="A180" s="154"/>
    </row>
    <row r="181" spans="1:1">
      <c r="A181" s="154"/>
    </row>
    <row r="182" spans="1:1">
      <c r="A182" s="154"/>
    </row>
    <row r="183" spans="1:1">
      <c r="A183" s="154"/>
    </row>
    <row r="184" spans="1:1">
      <c r="A184" s="154"/>
    </row>
    <row r="185" spans="1:1">
      <c r="A185" s="154"/>
    </row>
    <row r="186" spans="1:1">
      <c r="A186" s="154"/>
    </row>
    <row r="187" spans="1:1">
      <c r="A187" s="154"/>
    </row>
    <row r="188" spans="1:1">
      <c r="A188" s="154"/>
    </row>
    <row r="189" spans="1:1">
      <c r="A189" s="154"/>
    </row>
    <row r="190" spans="1:1">
      <c r="A190" s="154"/>
    </row>
    <row r="191" spans="1:1">
      <c r="A191" s="154"/>
    </row>
    <row r="192" spans="1:1">
      <c r="A192" s="154"/>
    </row>
    <row r="193" spans="1:1">
      <c r="A193" s="154"/>
    </row>
    <row r="194" spans="1:1">
      <c r="A194" s="154"/>
    </row>
    <row r="195" spans="1:1">
      <c r="A195" s="154"/>
    </row>
    <row r="196" spans="1:1">
      <c r="A196" s="154"/>
    </row>
    <row r="197" spans="1:1">
      <c r="A197" s="154"/>
    </row>
    <row r="198" spans="1:1">
      <c r="A198" s="154"/>
    </row>
    <row r="199" spans="1:1">
      <c r="A199" s="154"/>
    </row>
    <row r="200" spans="1:1">
      <c r="A200" s="154"/>
    </row>
    <row r="201" spans="1:1">
      <c r="A201" s="154"/>
    </row>
    <row r="202" spans="1:1">
      <c r="A202" s="154"/>
    </row>
    <row r="203" spans="1:1">
      <c r="A203" s="154"/>
    </row>
    <row r="204" spans="1:1">
      <c r="A204" s="154"/>
    </row>
    <row r="205" spans="1:1">
      <c r="A205" s="154"/>
    </row>
    <row r="206" spans="1:1">
      <c r="A206" s="154"/>
    </row>
    <row r="207" spans="1:1">
      <c r="A207" s="154"/>
    </row>
    <row r="208" spans="1:1">
      <c r="A208" s="154"/>
    </row>
    <row r="209" spans="1:1">
      <c r="A209" s="154"/>
    </row>
    <row r="210" spans="1:1">
      <c r="A210" s="154"/>
    </row>
    <row r="211" spans="1:1">
      <c r="A211" s="154"/>
    </row>
    <row r="212" spans="1:1">
      <c r="A212" s="154"/>
    </row>
    <row r="213" spans="1:1">
      <c r="A213" s="154"/>
    </row>
    <row r="214" spans="1:1">
      <c r="A214" s="154"/>
    </row>
    <row r="215" spans="1:1">
      <c r="A215" s="154"/>
    </row>
    <row r="216" spans="1:1">
      <c r="A216" s="154"/>
    </row>
    <row r="217" spans="1:1">
      <c r="A217" s="154"/>
    </row>
    <row r="218" spans="1:1">
      <c r="A218" s="154"/>
    </row>
    <row r="219" spans="1:1">
      <c r="A219" s="154"/>
    </row>
    <row r="220" spans="1:1">
      <c r="A220" s="154"/>
    </row>
    <row r="221" spans="1:1">
      <c r="A221" s="154"/>
    </row>
    <row r="222" spans="1:1">
      <c r="A222" s="154"/>
    </row>
    <row r="223" spans="1:1">
      <c r="A223" s="154"/>
    </row>
    <row r="224" spans="1:1">
      <c r="A224" s="154"/>
    </row>
    <row r="225" spans="1:1">
      <c r="A225" s="154"/>
    </row>
    <row r="226" spans="1:1">
      <c r="A226" s="154"/>
    </row>
    <row r="227" spans="1:1">
      <c r="A227" s="154"/>
    </row>
    <row r="228" spans="1:1">
      <c r="A228" s="154"/>
    </row>
    <row r="229" spans="1:1">
      <c r="A229" s="154"/>
    </row>
    <row r="230" spans="1:1">
      <c r="A230" s="154"/>
    </row>
    <row r="231" spans="1:1">
      <c r="A231" s="154"/>
    </row>
    <row r="232" spans="1:1">
      <c r="A232" s="154"/>
    </row>
    <row r="233" spans="1:1">
      <c r="A233" s="154"/>
    </row>
    <row r="234" spans="1:1">
      <c r="A234" s="154"/>
    </row>
    <row r="235" spans="1:1">
      <c r="A235" s="154"/>
    </row>
    <row r="236" spans="1:1">
      <c r="A236" s="154"/>
    </row>
    <row r="237" spans="1:1">
      <c r="A237" s="154"/>
    </row>
    <row r="238" spans="1:1">
      <c r="A238" s="154"/>
    </row>
    <row r="239" spans="1:1">
      <c r="A239" s="154"/>
    </row>
    <row r="240" spans="1:1">
      <c r="A240" s="154"/>
    </row>
    <row r="241" spans="1:1">
      <c r="A241" s="154"/>
    </row>
    <row r="242" spans="1:1">
      <c r="A242" s="154"/>
    </row>
    <row r="243" spans="1:1">
      <c r="A243" s="154"/>
    </row>
    <row r="244" spans="1:1">
      <c r="A244" s="154"/>
    </row>
    <row r="245" spans="1:1">
      <c r="A245" s="154"/>
    </row>
    <row r="246" spans="1:1">
      <c r="A246" s="154"/>
    </row>
    <row r="247" spans="1:1">
      <c r="A247" s="154"/>
    </row>
    <row r="248" spans="1:1">
      <c r="A248" s="154"/>
    </row>
    <row r="249" spans="1:1">
      <c r="A249" s="154"/>
    </row>
    <row r="250" spans="1:1">
      <c r="A250" s="154"/>
    </row>
    <row r="251" spans="1:1">
      <c r="A251" s="154"/>
    </row>
    <row r="252" spans="1:1">
      <c r="A252" s="154"/>
    </row>
    <row r="253" spans="1:1">
      <c r="A253" s="154"/>
    </row>
    <row r="254" spans="1:1">
      <c r="A254" s="154"/>
    </row>
    <row r="255" spans="1:1">
      <c r="A255" s="154"/>
    </row>
    <row r="256" spans="1:1">
      <c r="A256" s="154"/>
    </row>
    <row r="257" spans="1:1">
      <c r="A257" s="154"/>
    </row>
    <row r="258" spans="1:1">
      <c r="A258" s="154"/>
    </row>
    <row r="259" spans="1:1">
      <c r="A259" s="154"/>
    </row>
    <row r="260" spans="1:1">
      <c r="A260" s="154"/>
    </row>
    <row r="261" spans="1:1">
      <c r="A261" s="154"/>
    </row>
    <row r="262" spans="1:1">
      <c r="A262" s="154"/>
    </row>
    <row r="263" spans="1:1">
      <c r="A263" s="154"/>
    </row>
    <row r="264" spans="1:1">
      <c r="A264" s="154"/>
    </row>
    <row r="265" spans="1:1">
      <c r="A265" s="154"/>
    </row>
    <row r="266" spans="1:1">
      <c r="A266" s="154"/>
    </row>
    <row r="267" spans="1:1">
      <c r="A267" s="154"/>
    </row>
    <row r="268" spans="1:1">
      <c r="A268" s="154"/>
    </row>
    <row r="269" spans="1:1">
      <c r="A269" s="154"/>
    </row>
    <row r="270" spans="1:1">
      <c r="A270" s="154"/>
    </row>
    <row r="271" spans="1:1">
      <c r="A271" s="154"/>
    </row>
    <row r="272" spans="1:1">
      <c r="A272" s="154"/>
    </row>
    <row r="273" spans="1:1">
      <c r="A273" s="154"/>
    </row>
    <row r="274" spans="1:1">
      <c r="A274" s="154"/>
    </row>
    <row r="275" spans="1:1">
      <c r="A275" s="154"/>
    </row>
    <row r="276" spans="1:1">
      <c r="A276" s="154"/>
    </row>
    <row r="277" spans="1:1">
      <c r="A277" s="154"/>
    </row>
    <row r="278" spans="1:1">
      <c r="A278" s="154"/>
    </row>
    <row r="279" spans="1:1">
      <c r="A279" s="154"/>
    </row>
    <row r="280" spans="1:1">
      <c r="A280" s="154"/>
    </row>
    <row r="281" spans="1:1">
      <c r="A281" s="154"/>
    </row>
    <row r="282" spans="1:1">
      <c r="A282" s="154"/>
    </row>
    <row r="283" spans="1:1">
      <c r="A283" s="154"/>
    </row>
    <row r="284" spans="1:1">
      <c r="A284" s="154"/>
    </row>
    <row r="285" spans="1:1">
      <c r="A285" s="154"/>
    </row>
    <row r="286" spans="1:1">
      <c r="A286" s="154"/>
    </row>
    <row r="287" spans="1:1">
      <c r="A287" s="154"/>
    </row>
    <row r="288" spans="1:1">
      <c r="A288" s="154"/>
    </row>
    <row r="289" spans="1:1">
      <c r="A289" s="154"/>
    </row>
    <row r="290" spans="1:1">
      <c r="A290" s="154"/>
    </row>
    <row r="291" spans="1:1">
      <c r="A291" s="154"/>
    </row>
    <row r="292" spans="1:1">
      <c r="A292" s="154"/>
    </row>
    <row r="293" spans="1:1">
      <c r="A293" s="154"/>
    </row>
    <row r="294" spans="1:1">
      <c r="A294" s="154"/>
    </row>
    <row r="295" spans="1:1">
      <c r="A295" s="154"/>
    </row>
    <row r="296" spans="1:1">
      <c r="A296" s="154"/>
    </row>
    <row r="297" spans="1:1">
      <c r="A297" s="154"/>
    </row>
    <row r="298" spans="1:1">
      <c r="A298" s="154"/>
    </row>
    <row r="299" spans="1:1">
      <c r="A299" s="154"/>
    </row>
    <row r="300" spans="1:1">
      <c r="A300" s="154"/>
    </row>
    <row r="301" spans="1:1">
      <c r="A301" s="154"/>
    </row>
    <row r="302" spans="1:1">
      <c r="A302" s="154"/>
    </row>
    <row r="303" spans="1:1">
      <c r="A303" s="154"/>
    </row>
    <row r="304" spans="1:1">
      <c r="A304" s="154"/>
    </row>
    <row r="305" spans="1:1">
      <c r="A305" s="154"/>
    </row>
    <row r="306" spans="1:1">
      <c r="A306" s="154"/>
    </row>
    <row r="307" spans="1:1">
      <c r="A307" s="154"/>
    </row>
    <row r="308" spans="1:1">
      <c r="A308" s="154"/>
    </row>
    <row r="309" spans="1:1">
      <c r="A309" s="154"/>
    </row>
    <row r="310" spans="1:1">
      <c r="A310" s="154"/>
    </row>
    <row r="311" spans="1:1">
      <c r="A311" s="154"/>
    </row>
    <row r="312" spans="1:1">
      <c r="A312" s="154"/>
    </row>
    <row r="313" spans="1:1">
      <c r="A313" s="154"/>
    </row>
    <row r="314" spans="1:1">
      <c r="A314" s="154"/>
    </row>
    <row r="315" spans="1:1">
      <c r="A315" s="154"/>
    </row>
    <row r="316" spans="1:1">
      <c r="A316" s="154"/>
    </row>
    <row r="317" spans="1:1">
      <c r="A317" s="154"/>
    </row>
    <row r="318" spans="1:1">
      <c r="A318" s="154"/>
    </row>
    <row r="319" spans="1:1">
      <c r="A319" s="154"/>
    </row>
    <row r="320" spans="1:1">
      <c r="A320" s="154"/>
    </row>
    <row r="321" spans="1:1">
      <c r="A321" s="154"/>
    </row>
    <row r="322" spans="1:1">
      <c r="A322" s="154"/>
    </row>
    <row r="323" spans="1:1">
      <c r="A323" s="154"/>
    </row>
    <row r="324" spans="1:1">
      <c r="A324" s="154"/>
    </row>
    <row r="325" spans="1:1">
      <c r="A325" s="154"/>
    </row>
    <row r="326" spans="1:1">
      <c r="A326" s="154"/>
    </row>
    <row r="327" spans="1:1">
      <c r="A327" s="154"/>
    </row>
    <row r="328" spans="1:1">
      <c r="A328" s="154"/>
    </row>
    <row r="329" spans="1:1">
      <c r="A329" s="154"/>
    </row>
    <row r="330" spans="1:1">
      <c r="A330" s="154"/>
    </row>
    <row r="331" spans="1:1">
      <c r="A331" s="154"/>
    </row>
    <row r="332" spans="1:1">
      <c r="A332" s="154"/>
    </row>
    <row r="333" spans="1:1">
      <c r="A333" s="154"/>
    </row>
    <row r="334" spans="1:1">
      <c r="A334" s="154"/>
    </row>
    <row r="335" spans="1:1">
      <c r="A335" s="154"/>
    </row>
    <row r="336" spans="1:1">
      <c r="A336" s="154"/>
    </row>
    <row r="337" spans="1:1">
      <c r="A337" s="154"/>
    </row>
    <row r="338" spans="1:1">
      <c r="A338" s="154"/>
    </row>
    <row r="339" spans="1:1">
      <c r="A339" s="154"/>
    </row>
    <row r="340" spans="1:1">
      <c r="A340" s="154"/>
    </row>
    <row r="341" spans="1:1">
      <c r="A341" s="154"/>
    </row>
    <row r="342" spans="1:1">
      <c r="A342" s="154"/>
    </row>
    <row r="343" spans="1:1">
      <c r="A343" s="154"/>
    </row>
    <row r="344" spans="1:1">
      <c r="A344" s="154"/>
    </row>
    <row r="345" spans="1:1">
      <c r="A345" s="154"/>
    </row>
    <row r="346" spans="1:1">
      <c r="A346" s="154"/>
    </row>
    <row r="347" spans="1:1">
      <c r="A347" s="154"/>
    </row>
    <row r="348" spans="1:1">
      <c r="A348" s="154"/>
    </row>
    <row r="349" spans="1:1">
      <c r="A349" s="154"/>
    </row>
    <row r="350" spans="1:1">
      <c r="A350" s="154"/>
    </row>
    <row r="351" spans="1:1">
      <c r="A351" s="154"/>
    </row>
    <row r="352" spans="1:1">
      <c r="A352" s="154"/>
    </row>
    <row r="353" spans="1:1">
      <c r="A353" s="154"/>
    </row>
    <row r="354" spans="1:1">
      <c r="A354" s="154"/>
    </row>
    <row r="355" spans="1:1">
      <c r="A355" s="154"/>
    </row>
    <row r="356" spans="1:1">
      <c r="A356" s="154"/>
    </row>
    <row r="357" spans="1:1">
      <c r="A357" s="154"/>
    </row>
    <row r="358" spans="1:1">
      <c r="A358" s="154"/>
    </row>
    <row r="359" spans="1:1">
      <c r="A359" s="154"/>
    </row>
    <row r="360" spans="1:1">
      <c r="A360" s="154"/>
    </row>
    <row r="361" spans="1:1">
      <c r="A361" s="154"/>
    </row>
    <row r="362" spans="1:1">
      <c r="A362" s="154"/>
    </row>
    <row r="363" spans="1:1">
      <c r="A363" s="154"/>
    </row>
    <row r="364" spans="1:1">
      <c r="A364" s="154"/>
    </row>
    <row r="365" spans="1:1">
      <c r="A365" s="154"/>
    </row>
    <row r="366" spans="1:1">
      <c r="A366" s="154"/>
    </row>
    <row r="367" spans="1:1">
      <c r="A367" s="154"/>
    </row>
    <row r="368" spans="1:1">
      <c r="A368" s="154"/>
    </row>
    <row r="369" spans="1:1">
      <c r="A369" s="154"/>
    </row>
    <row r="370" spans="1:1">
      <c r="A370" s="154"/>
    </row>
    <row r="371" spans="1:1">
      <c r="A371" s="154"/>
    </row>
    <row r="372" spans="1:1">
      <c r="A372" s="154"/>
    </row>
    <row r="373" spans="1:1">
      <c r="A373" s="154"/>
    </row>
    <row r="374" spans="1:1">
      <c r="A374" s="154"/>
    </row>
    <row r="375" spans="1:1">
      <c r="A375" s="154"/>
    </row>
    <row r="376" spans="1:1">
      <c r="A376" s="154"/>
    </row>
    <row r="377" spans="1:1">
      <c r="A377" s="154"/>
    </row>
    <row r="378" spans="1:1">
      <c r="A378" s="154"/>
    </row>
    <row r="379" spans="1:1">
      <c r="A379" s="154"/>
    </row>
    <row r="380" spans="1:1">
      <c r="A380" s="154"/>
    </row>
    <row r="381" spans="1:1">
      <c r="A381" s="154"/>
    </row>
    <row r="382" spans="1:1">
      <c r="A382" s="154"/>
    </row>
    <row r="383" spans="1:1">
      <c r="A383" s="154"/>
    </row>
    <row r="384" spans="1:1">
      <c r="A384" s="154"/>
    </row>
    <row r="385" spans="1:1">
      <c r="A385" s="154"/>
    </row>
    <row r="386" spans="1:1">
      <c r="A386" s="154"/>
    </row>
    <row r="387" spans="1:1">
      <c r="A387" s="154"/>
    </row>
    <row r="388" spans="1:1">
      <c r="A388" s="154"/>
    </row>
    <row r="389" spans="1:1">
      <c r="A389" s="154"/>
    </row>
    <row r="390" spans="1:1">
      <c r="A390" s="154"/>
    </row>
    <row r="391" spans="1:1">
      <c r="A391" s="154"/>
    </row>
    <row r="392" spans="1:1">
      <c r="A392" s="154"/>
    </row>
    <row r="393" spans="1:1">
      <c r="A393" s="154"/>
    </row>
    <row r="394" spans="1:1">
      <c r="A394" s="154"/>
    </row>
    <row r="395" spans="1:1">
      <c r="A395" s="154"/>
    </row>
    <row r="396" spans="1:1">
      <c r="A396" s="154"/>
    </row>
    <row r="397" spans="1:1">
      <c r="A397" s="154"/>
    </row>
    <row r="398" spans="1:1">
      <c r="A398" s="154"/>
    </row>
    <row r="399" spans="1:1">
      <c r="A399" s="154"/>
    </row>
    <row r="400" spans="1:1">
      <c r="A400" s="154"/>
    </row>
    <row r="401" spans="1:1">
      <c r="A401" s="154"/>
    </row>
    <row r="402" spans="1:1">
      <c r="A402" s="154"/>
    </row>
    <row r="403" spans="1:1">
      <c r="A403" s="154"/>
    </row>
    <row r="404" spans="1:1">
      <c r="A404" s="154"/>
    </row>
    <row r="405" spans="1:1">
      <c r="A405" s="154"/>
    </row>
    <row r="406" spans="1:1">
      <c r="A406" s="154"/>
    </row>
    <row r="407" spans="1:1">
      <c r="A407" s="154"/>
    </row>
    <row r="408" spans="1:1">
      <c r="A408" s="154"/>
    </row>
    <row r="409" spans="1:1">
      <c r="A409" s="154"/>
    </row>
    <row r="410" spans="1:1">
      <c r="A410" s="154"/>
    </row>
    <row r="411" spans="1:1">
      <c r="A411" s="154"/>
    </row>
    <row r="412" spans="1:1">
      <c r="A412" s="154"/>
    </row>
    <row r="413" spans="1:1">
      <c r="A413" s="154"/>
    </row>
    <row r="414" spans="1:1">
      <c r="A414" s="154"/>
    </row>
    <row r="415" spans="1:1">
      <c r="A415" s="154"/>
    </row>
    <row r="416" spans="1:1">
      <c r="A416" s="154"/>
    </row>
    <row r="417" spans="1:1">
      <c r="A417" s="154"/>
    </row>
    <row r="418" spans="1:1">
      <c r="A418" s="154"/>
    </row>
    <row r="419" spans="1:1">
      <c r="A419" s="154"/>
    </row>
    <row r="420" spans="1:1">
      <c r="A420" s="154"/>
    </row>
    <row r="421" spans="1:1">
      <c r="A421" s="154"/>
    </row>
    <row r="422" spans="1:1">
      <c r="A422" s="154"/>
    </row>
    <row r="423" spans="1:1">
      <c r="A423" s="154"/>
    </row>
    <row r="424" spans="1:1">
      <c r="A424" s="154"/>
    </row>
    <row r="425" spans="1:1">
      <c r="A425" s="154"/>
    </row>
    <row r="426" spans="1:1">
      <c r="A426" s="154"/>
    </row>
    <row r="427" spans="1:1">
      <c r="A427" s="154"/>
    </row>
    <row r="428" spans="1:1">
      <c r="A428" s="154"/>
    </row>
    <row r="429" spans="1:1">
      <c r="A429" s="154"/>
    </row>
    <row r="430" spans="1:1">
      <c r="A430" s="154"/>
    </row>
    <row r="431" spans="1:1">
      <c r="A431" s="154"/>
    </row>
    <row r="432" spans="1:1">
      <c r="A432" s="154"/>
    </row>
    <row r="433" spans="1:1">
      <c r="A433" s="154"/>
    </row>
    <row r="434" spans="1:1">
      <c r="A434" s="154"/>
    </row>
    <row r="435" spans="1:1">
      <c r="A435" s="154"/>
    </row>
    <row r="436" spans="1:1">
      <c r="A436" s="154"/>
    </row>
    <row r="437" spans="1:1">
      <c r="A437" s="154"/>
    </row>
    <row r="438" spans="1:1">
      <c r="A438" s="154"/>
    </row>
    <row r="439" spans="1:1">
      <c r="A439" s="154"/>
    </row>
    <row r="440" spans="1:1">
      <c r="A440" s="154"/>
    </row>
    <row r="441" spans="1:1">
      <c r="A441" s="154"/>
    </row>
    <row r="442" spans="1:1">
      <c r="A442" s="154"/>
    </row>
    <row r="443" spans="1:1">
      <c r="A443" s="154"/>
    </row>
    <row r="444" spans="1:1">
      <c r="A444" s="154"/>
    </row>
    <row r="445" spans="1:1">
      <c r="A445" s="154"/>
    </row>
    <row r="446" spans="1:1">
      <c r="A446" s="154"/>
    </row>
    <row r="447" spans="1:1">
      <c r="A447" s="154"/>
    </row>
    <row r="448" spans="1:1">
      <c r="A448" s="154"/>
    </row>
    <row r="449" spans="1:1">
      <c r="A449" s="154"/>
    </row>
    <row r="450" spans="1:1">
      <c r="A450" s="154"/>
    </row>
    <row r="451" spans="1:1">
      <c r="A451" s="154"/>
    </row>
    <row r="452" spans="1:1">
      <c r="A452" s="154"/>
    </row>
    <row r="453" spans="1:1">
      <c r="A453" s="154"/>
    </row>
    <row r="454" spans="1:1">
      <c r="A454" s="154"/>
    </row>
    <row r="455" spans="1:1">
      <c r="A455" s="154"/>
    </row>
    <row r="456" spans="1:1">
      <c r="A456" s="154"/>
    </row>
    <row r="457" spans="1:1">
      <c r="A457" s="154"/>
    </row>
    <row r="458" spans="1:1">
      <c r="A458" s="154"/>
    </row>
    <row r="459" spans="1:1">
      <c r="A459" s="154"/>
    </row>
    <row r="460" spans="1:1">
      <c r="A460" s="154"/>
    </row>
    <row r="461" spans="1:1">
      <c r="A461" s="154"/>
    </row>
    <row r="462" spans="1:1">
      <c r="A462" s="154"/>
    </row>
    <row r="463" spans="1:1">
      <c r="A463" s="154"/>
    </row>
    <row r="464" spans="1:1">
      <c r="A464" s="154"/>
    </row>
    <row r="465" spans="1:1">
      <c r="A465" s="154"/>
    </row>
    <row r="466" spans="1:1">
      <c r="A466" s="154"/>
    </row>
    <row r="467" spans="1:1">
      <c r="A467" s="154"/>
    </row>
    <row r="468" spans="1:1">
      <c r="A468" s="154"/>
    </row>
    <row r="469" spans="1:1">
      <c r="A469" s="154"/>
    </row>
    <row r="470" spans="1:1">
      <c r="A470" s="154"/>
    </row>
    <row r="471" spans="1:1">
      <c r="A471" s="154"/>
    </row>
    <row r="472" spans="1:1">
      <c r="A472" s="154"/>
    </row>
    <row r="473" spans="1:1">
      <c r="A473" s="154"/>
    </row>
    <row r="474" spans="1:1">
      <c r="A474" s="154"/>
    </row>
    <row r="475" spans="1:1">
      <c r="A475" s="154"/>
    </row>
    <row r="476" spans="1:1">
      <c r="A476" s="154"/>
    </row>
    <row r="477" spans="1:1">
      <c r="A477" s="154"/>
    </row>
    <row r="478" spans="1:1">
      <c r="A478" s="154"/>
    </row>
    <row r="479" spans="1:1">
      <c r="A479" s="154"/>
    </row>
    <row r="480" spans="1:1">
      <c r="A480" s="154"/>
    </row>
    <row r="481" spans="1:1">
      <c r="A481" s="154"/>
    </row>
    <row r="482" spans="1:1">
      <c r="A482" s="154"/>
    </row>
    <row r="483" spans="1:1">
      <c r="A483" s="154"/>
    </row>
    <row r="484" spans="1:1">
      <c r="A484" s="154"/>
    </row>
    <row r="485" spans="1:1">
      <c r="A485" s="154"/>
    </row>
    <row r="486" spans="1:1">
      <c r="A486" s="154"/>
    </row>
    <row r="487" spans="1:1">
      <c r="A487" s="154"/>
    </row>
    <row r="488" spans="1:1">
      <c r="A488" s="154"/>
    </row>
    <row r="489" spans="1:1">
      <c r="A489" s="154"/>
    </row>
    <row r="490" spans="1:1">
      <c r="A490" s="154"/>
    </row>
    <row r="491" spans="1:1">
      <c r="A491" s="154"/>
    </row>
    <row r="492" spans="1:1">
      <c r="A492" s="154"/>
    </row>
    <row r="493" spans="1:1">
      <c r="A493" s="154"/>
    </row>
    <row r="494" spans="1:1">
      <c r="A494" s="154"/>
    </row>
    <row r="495" spans="1:1">
      <c r="A495" s="154"/>
    </row>
    <row r="496" spans="1:1">
      <c r="A496" s="154"/>
    </row>
    <row r="497" spans="1:1">
      <c r="A497" s="154"/>
    </row>
    <row r="498" spans="1:1">
      <c r="A498" s="154"/>
    </row>
    <row r="499" spans="1:1">
      <c r="A499" s="154"/>
    </row>
    <row r="500" spans="1:1">
      <c r="A500" s="154"/>
    </row>
    <row r="501" spans="1:1">
      <c r="A501" s="154"/>
    </row>
    <row r="502" spans="1:1">
      <c r="A502" s="154"/>
    </row>
    <row r="503" spans="1:1">
      <c r="A503" s="154"/>
    </row>
    <row r="504" spans="1:1">
      <c r="A504" s="154"/>
    </row>
    <row r="505" spans="1:1">
      <c r="A505" s="154"/>
    </row>
    <row r="506" spans="1:1">
      <c r="A506" s="154"/>
    </row>
    <row r="507" spans="1:1">
      <c r="A507" s="154"/>
    </row>
    <row r="508" spans="1:1">
      <c r="A508" s="154"/>
    </row>
    <row r="509" spans="1:1">
      <c r="A509" s="154"/>
    </row>
    <row r="510" spans="1:1">
      <c r="A510" s="154"/>
    </row>
    <row r="511" spans="1:1">
      <c r="A511" s="154"/>
    </row>
    <row r="512" spans="1:1">
      <c r="A512" s="154"/>
    </row>
    <row r="513" spans="1:1">
      <c r="A513" s="154"/>
    </row>
    <row r="514" spans="1:1">
      <c r="A514" s="154"/>
    </row>
    <row r="515" spans="1:1">
      <c r="A515" s="154"/>
    </row>
    <row r="516" spans="1:1">
      <c r="A516" s="154"/>
    </row>
    <row r="517" spans="1:1">
      <c r="A517" s="154"/>
    </row>
    <row r="518" spans="1:1">
      <c r="A518" s="154"/>
    </row>
    <row r="519" spans="1:1">
      <c r="A519" s="154"/>
    </row>
    <row r="520" spans="1:1">
      <c r="A520" s="154"/>
    </row>
    <row r="521" spans="1:1">
      <c r="A521" s="154"/>
    </row>
    <row r="522" spans="1:1">
      <c r="A522" s="154"/>
    </row>
    <row r="523" spans="1:1">
      <c r="A523" s="154"/>
    </row>
    <row r="524" spans="1:1">
      <c r="A524" s="154"/>
    </row>
    <row r="525" spans="1:1">
      <c r="A525" s="154"/>
    </row>
    <row r="526" spans="1:1">
      <c r="A526" s="154"/>
    </row>
    <row r="527" spans="1:1">
      <c r="A527" s="154"/>
    </row>
    <row r="528" spans="1:1">
      <c r="A528" s="154"/>
    </row>
    <row r="529" spans="1:1">
      <c r="A529" s="154"/>
    </row>
    <row r="530" spans="1:1">
      <c r="A530" s="154"/>
    </row>
    <row r="531" spans="1:1">
      <c r="A531" s="154"/>
    </row>
    <row r="532" spans="1:1">
      <c r="A532" s="154"/>
    </row>
    <row r="533" spans="1:1">
      <c r="A533" s="154"/>
    </row>
    <row r="534" spans="1:1">
      <c r="A534" s="154"/>
    </row>
    <row r="535" spans="1:1">
      <c r="A535" s="154"/>
    </row>
    <row r="536" spans="1:1">
      <c r="A536" s="154"/>
    </row>
    <row r="537" spans="1:1">
      <c r="A537" s="154"/>
    </row>
    <row r="538" spans="1:1">
      <c r="A538" s="154"/>
    </row>
    <row r="539" spans="1:1">
      <c r="A539" s="154"/>
    </row>
    <row r="540" spans="1:1">
      <c r="A540" s="154"/>
    </row>
    <row r="541" spans="1:1">
      <c r="A541" s="154"/>
    </row>
    <row r="542" spans="1:1">
      <c r="A542" s="154"/>
    </row>
    <row r="543" spans="1:1">
      <c r="A543" s="154"/>
    </row>
    <row r="544" spans="1:1">
      <c r="A544" s="154"/>
    </row>
    <row r="545" spans="1:1">
      <c r="A545" s="154"/>
    </row>
    <row r="546" spans="1:1">
      <c r="A546" s="154"/>
    </row>
    <row r="547" spans="1:1">
      <c r="A547" s="154"/>
    </row>
    <row r="548" spans="1:1">
      <c r="A548" s="154"/>
    </row>
    <row r="549" spans="1:1">
      <c r="A549" s="154"/>
    </row>
    <row r="550" spans="1:1">
      <c r="A550" s="154"/>
    </row>
    <row r="551" spans="1:1">
      <c r="A551" s="154"/>
    </row>
    <row r="552" spans="1:1">
      <c r="A552" s="154"/>
    </row>
    <row r="553" spans="1:1">
      <c r="A553" s="154"/>
    </row>
    <row r="554" spans="1:1">
      <c r="A554" s="154"/>
    </row>
    <row r="555" spans="1:1">
      <c r="A555" s="154"/>
    </row>
    <row r="556" spans="1:1">
      <c r="A556" s="154"/>
    </row>
    <row r="557" spans="1:1">
      <c r="A557" s="154"/>
    </row>
    <row r="558" spans="1:1">
      <c r="A558" s="154"/>
    </row>
    <row r="559" spans="1:1">
      <c r="A559" s="154"/>
    </row>
    <row r="560" spans="1:1">
      <c r="A560" s="154"/>
    </row>
    <row r="561" spans="1:1">
      <c r="A561" s="154"/>
    </row>
    <row r="562" spans="1:1">
      <c r="A562" s="154"/>
    </row>
    <row r="563" spans="1:1">
      <c r="A563" s="154"/>
    </row>
    <row r="564" spans="1:1">
      <c r="A564" s="154"/>
    </row>
    <row r="565" spans="1:1">
      <c r="A565" s="154"/>
    </row>
    <row r="566" spans="1:1">
      <c r="A566" s="154"/>
    </row>
    <row r="567" spans="1:1">
      <c r="A567" s="154"/>
    </row>
    <row r="568" spans="1:1">
      <c r="A568" s="154"/>
    </row>
    <row r="569" spans="1:1">
      <c r="A569" s="154"/>
    </row>
    <row r="570" spans="1:1">
      <c r="A570" s="154"/>
    </row>
    <row r="571" spans="1:1">
      <c r="A571" s="154"/>
    </row>
    <row r="572" spans="1:1">
      <c r="A572" s="154"/>
    </row>
    <row r="573" spans="1:1">
      <c r="A573" s="154"/>
    </row>
    <row r="574" spans="1:1">
      <c r="A574" s="154"/>
    </row>
    <row r="575" spans="1:1">
      <c r="A575" s="154"/>
    </row>
    <row r="576" spans="1:1">
      <c r="A576" s="154"/>
    </row>
    <row r="577" spans="1:1">
      <c r="A577" s="154"/>
    </row>
    <row r="578" spans="1:1">
      <c r="A578" s="154"/>
    </row>
    <row r="579" spans="1:1">
      <c r="A579" s="154"/>
    </row>
    <row r="580" spans="1:1">
      <c r="A580" s="154"/>
    </row>
    <row r="581" spans="1:1">
      <c r="A581" s="154"/>
    </row>
    <row r="582" spans="1:1">
      <c r="A582" s="154"/>
    </row>
    <row r="583" spans="1:1">
      <c r="A583" s="154"/>
    </row>
    <row r="584" spans="1:1">
      <c r="A584" s="154"/>
    </row>
    <row r="585" spans="1:1">
      <c r="A585" s="154"/>
    </row>
    <row r="586" spans="1:1">
      <c r="A586" s="154"/>
    </row>
    <row r="587" spans="1:1">
      <c r="A587" s="154"/>
    </row>
    <row r="588" spans="1:1">
      <c r="A588" s="154"/>
    </row>
    <row r="589" spans="1:1">
      <c r="A589" s="154"/>
    </row>
    <row r="590" spans="1:1">
      <c r="A590" s="154"/>
    </row>
    <row r="591" spans="1:1">
      <c r="A591" s="154"/>
    </row>
    <row r="592" spans="1:1">
      <c r="A592" s="154"/>
    </row>
    <row r="593" spans="1:1">
      <c r="A593" s="154"/>
    </row>
    <row r="594" spans="1:1">
      <c r="A594" s="154"/>
    </row>
    <row r="595" spans="1:1">
      <c r="A595" s="154"/>
    </row>
    <row r="596" spans="1:1">
      <c r="A596" s="154"/>
    </row>
    <row r="597" spans="1:1">
      <c r="A597" s="154"/>
    </row>
    <row r="598" spans="1:1">
      <c r="A598" s="154"/>
    </row>
    <row r="599" spans="1:1">
      <c r="A599" s="154"/>
    </row>
    <row r="600" spans="1:1">
      <c r="A600" s="154"/>
    </row>
    <row r="601" spans="1:1">
      <c r="A601" s="154"/>
    </row>
    <row r="602" spans="1:1">
      <c r="A602" s="154"/>
    </row>
    <row r="603" spans="1:1">
      <c r="A603" s="154"/>
    </row>
    <row r="604" spans="1:1">
      <c r="A604" s="154"/>
    </row>
    <row r="605" spans="1:1">
      <c r="A605" s="154"/>
    </row>
    <row r="606" spans="1:1">
      <c r="A606" s="154"/>
    </row>
    <row r="607" spans="1:1">
      <c r="A607" s="154"/>
    </row>
    <row r="608" spans="1:1">
      <c r="A608" s="154"/>
    </row>
    <row r="609" spans="1:1">
      <c r="A609" s="154"/>
    </row>
    <row r="610" spans="1:1">
      <c r="A610" s="154"/>
    </row>
    <row r="611" spans="1:1">
      <c r="A611" s="154"/>
    </row>
    <row r="612" spans="1:1">
      <c r="A612" s="154"/>
    </row>
    <row r="613" spans="1:1">
      <c r="A613" s="154"/>
    </row>
    <row r="614" spans="1:1">
      <c r="A614" s="154"/>
    </row>
    <row r="615" spans="1:1">
      <c r="A615" s="154"/>
    </row>
    <row r="616" spans="1:1">
      <c r="A616" s="154"/>
    </row>
    <row r="617" spans="1:1">
      <c r="A617" s="154"/>
    </row>
    <row r="618" spans="1:1">
      <c r="A618" s="154"/>
    </row>
    <row r="619" spans="1:1">
      <c r="A619" s="154"/>
    </row>
    <row r="620" spans="1:1">
      <c r="A620" s="154"/>
    </row>
    <row r="621" spans="1:1">
      <c r="A621" s="154"/>
    </row>
    <row r="622" spans="1:1">
      <c r="A622" s="154"/>
    </row>
    <row r="623" spans="1:1">
      <c r="A623" s="154"/>
    </row>
    <row r="624" spans="1:1">
      <c r="A624" s="154"/>
    </row>
    <row r="625" spans="1:1">
      <c r="A625" s="154"/>
    </row>
    <row r="626" spans="1:1">
      <c r="A626" s="154"/>
    </row>
    <row r="627" spans="1:1">
      <c r="A627" s="154"/>
    </row>
    <row r="628" spans="1:1">
      <c r="A628" s="154"/>
    </row>
    <row r="629" spans="1:1">
      <c r="A629" s="154"/>
    </row>
    <row r="630" spans="1:1">
      <c r="A630" s="154"/>
    </row>
    <row r="631" spans="1:1">
      <c r="A631" s="154"/>
    </row>
    <row r="632" spans="1:1">
      <c r="A632" s="154"/>
    </row>
    <row r="633" spans="1:1">
      <c r="A633" s="154"/>
    </row>
    <row r="634" spans="1:1">
      <c r="A634" s="154"/>
    </row>
    <row r="635" spans="1:1">
      <c r="A635" s="154"/>
    </row>
    <row r="636" spans="1:1">
      <c r="A636" s="154"/>
    </row>
    <row r="637" spans="1:1">
      <c r="A637" s="154"/>
    </row>
    <row r="638" spans="1:1">
      <c r="A638" s="154"/>
    </row>
    <row r="639" spans="1:1">
      <c r="A639" s="154"/>
    </row>
    <row r="640" spans="1:1">
      <c r="A640" s="154"/>
    </row>
    <row r="641" spans="1:1">
      <c r="A641" s="154"/>
    </row>
    <row r="642" spans="1:1">
      <c r="A642" s="154"/>
    </row>
    <row r="643" spans="1:1">
      <c r="A643" s="154"/>
    </row>
    <row r="644" spans="1:1">
      <c r="A644" s="154"/>
    </row>
    <row r="645" spans="1:1">
      <c r="A645" s="154"/>
    </row>
    <row r="646" spans="1:1">
      <c r="A646" s="154"/>
    </row>
    <row r="647" spans="1:1">
      <c r="A647" s="154"/>
    </row>
    <row r="648" spans="1:1">
      <c r="A648" s="154"/>
    </row>
    <row r="649" spans="1:1">
      <c r="A649" s="154"/>
    </row>
    <row r="650" spans="1:1">
      <c r="A650" s="154"/>
    </row>
    <row r="651" spans="1:1">
      <c r="A651" s="154"/>
    </row>
    <row r="652" spans="1:1">
      <c r="A652" s="154"/>
    </row>
    <row r="653" spans="1:1">
      <c r="A653" s="154"/>
    </row>
    <row r="654" spans="1:1">
      <c r="A654" s="154"/>
    </row>
    <row r="655" spans="1:1">
      <c r="A655" s="154"/>
    </row>
    <row r="656" spans="1:1">
      <c r="A656" s="154"/>
    </row>
    <row r="657" spans="1:1">
      <c r="A657" s="154"/>
    </row>
    <row r="658" spans="1:1">
      <c r="A658" s="154"/>
    </row>
    <row r="659" spans="1:1">
      <c r="A659" s="154"/>
    </row>
    <row r="660" spans="1:1">
      <c r="A660" s="154"/>
    </row>
    <row r="661" spans="1:1">
      <c r="A661" s="154"/>
    </row>
    <row r="662" spans="1:1">
      <c r="A662" s="154"/>
    </row>
    <row r="663" spans="1:1">
      <c r="A663" s="154"/>
    </row>
    <row r="664" spans="1:1">
      <c r="A664" s="154"/>
    </row>
    <row r="665" spans="1:1">
      <c r="A665" s="154"/>
    </row>
    <row r="666" spans="1:1">
      <c r="A666" s="154"/>
    </row>
    <row r="667" spans="1:1">
      <c r="A667" s="154"/>
    </row>
    <row r="668" spans="1:1">
      <c r="A668" s="154"/>
    </row>
    <row r="669" spans="1:1">
      <c r="A669" s="154"/>
    </row>
    <row r="670" spans="1:1">
      <c r="A670" s="154"/>
    </row>
    <row r="671" spans="1:1">
      <c r="A671" s="154"/>
    </row>
    <row r="672" spans="1:1">
      <c r="A672" s="154"/>
    </row>
    <row r="673" spans="1:1">
      <c r="A673" s="154"/>
    </row>
    <row r="674" spans="1:1">
      <c r="A674" s="154"/>
    </row>
    <row r="675" spans="1:1">
      <c r="A675" s="154"/>
    </row>
    <row r="676" spans="1:1">
      <c r="A676" s="154"/>
    </row>
    <row r="677" spans="1:1">
      <c r="A677" s="154"/>
    </row>
    <row r="678" spans="1:1">
      <c r="A678" s="154"/>
    </row>
    <row r="679" spans="1:1">
      <c r="A679" s="154"/>
    </row>
    <row r="680" spans="1:1">
      <c r="A680" s="154"/>
    </row>
    <row r="681" spans="1:1">
      <c r="A681" s="154"/>
    </row>
    <row r="682" spans="1:1">
      <c r="A682" s="154"/>
    </row>
    <row r="683" spans="1:1">
      <c r="A683" s="154"/>
    </row>
    <row r="684" spans="1:1">
      <c r="A684" s="154"/>
    </row>
    <row r="685" spans="1:1">
      <c r="A685" s="154"/>
    </row>
    <row r="686" spans="1:1">
      <c r="A686" s="154"/>
    </row>
    <row r="687" spans="1:1">
      <c r="A687" s="154"/>
    </row>
    <row r="688" spans="1:1">
      <c r="A688" s="154"/>
    </row>
    <row r="689" spans="1:1">
      <c r="A689" s="154"/>
    </row>
    <row r="690" spans="1:1">
      <c r="A690" s="154"/>
    </row>
    <row r="691" spans="1:1">
      <c r="A691" s="154"/>
    </row>
    <row r="692" spans="1:1">
      <c r="A692" s="154"/>
    </row>
    <row r="693" spans="1:1">
      <c r="A693" s="154"/>
    </row>
    <row r="694" spans="1:1">
      <c r="A694" s="154"/>
    </row>
    <row r="695" spans="1:1">
      <c r="A695" s="154"/>
    </row>
    <row r="696" spans="1:1">
      <c r="A696" s="154"/>
    </row>
    <row r="697" spans="1:1">
      <c r="A697" s="154"/>
    </row>
    <row r="698" spans="1:1">
      <c r="A698" s="154"/>
    </row>
    <row r="699" spans="1:1">
      <c r="A699" s="154"/>
    </row>
    <row r="700" spans="1:1">
      <c r="A700" s="154"/>
    </row>
    <row r="701" spans="1:1">
      <c r="A701" s="154"/>
    </row>
    <row r="702" spans="1:1">
      <c r="A702" s="154"/>
    </row>
    <row r="703" spans="1:1">
      <c r="A703" s="154"/>
    </row>
    <row r="704" spans="1:1">
      <c r="A704" s="154"/>
    </row>
    <row r="705" spans="1:1">
      <c r="A705" s="154"/>
    </row>
    <row r="706" spans="1:1">
      <c r="A706" s="154"/>
    </row>
    <row r="707" spans="1:1">
      <c r="A707" s="154"/>
    </row>
    <row r="708" spans="1:1">
      <c r="A708" s="154"/>
    </row>
    <row r="709" spans="1:1">
      <c r="A709" s="154"/>
    </row>
    <row r="710" spans="1:1">
      <c r="A710" s="154"/>
    </row>
    <row r="711" spans="1:1">
      <c r="A711" s="154"/>
    </row>
    <row r="712" spans="1:1">
      <c r="A712" s="154"/>
    </row>
    <row r="713" spans="1:1">
      <c r="A713" s="154"/>
    </row>
    <row r="714" spans="1:1">
      <c r="A714" s="154"/>
    </row>
    <row r="715" spans="1:1">
      <c r="A715" s="154"/>
    </row>
    <row r="716" spans="1:1">
      <c r="A716" s="154"/>
    </row>
    <row r="717" spans="1:1">
      <c r="A717" s="154"/>
    </row>
    <row r="718" spans="1:1">
      <c r="A718" s="154"/>
    </row>
    <row r="719" spans="1:1">
      <c r="A719" s="154"/>
    </row>
    <row r="720" spans="1:1">
      <c r="A720" s="154"/>
    </row>
    <row r="721" spans="1:1">
      <c r="A721" s="154"/>
    </row>
    <row r="722" spans="1:1">
      <c r="A722" s="154"/>
    </row>
    <row r="723" spans="1:1">
      <c r="A723" s="154"/>
    </row>
    <row r="724" spans="1:1">
      <c r="A724" s="154"/>
    </row>
    <row r="725" spans="1:1">
      <c r="A725" s="154"/>
    </row>
    <row r="726" spans="1:1">
      <c r="A726" s="154"/>
    </row>
    <row r="727" spans="1:1">
      <c r="A727" s="154"/>
    </row>
    <row r="728" spans="1:1">
      <c r="A728" s="154"/>
    </row>
    <row r="729" spans="1:1">
      <c r="A729" s="154"/>
    </row>
    <row r="730" spans="1:1">
      <c r="A730" s="154"/>
    </row>
    <row r="731" spans="1:1">
      <c r="A731" s="154"/>
    </row>
    <row r="732" spans="1:1">
      <c r="A732" s="154"/>
    </row>
    <row r="733" spans="1:1">
      <c r="A733" s="154"/>
    </row>
    <row r="734" spans="1:1">
      <c r="A734" s="154"/>
    </row>
    <row r="735" spans="1:1">
      <c r="A735" s="154"/>
    </row>
    <row r="736" spans="1:1">
      <c r="A736" s="154"/>
    </row>
    <row r="737" spans="1:1">
      <c r="A737" s="154"/>
    </row>
    <row r="738" spans="1:1">
      <c r="A738" s="154"/>
    </row>
    <row r="739" spans="1:1">
      <c r="A739" s="154"/>
    </row>
    <row r="740" spans="1:1">
      <c r="A740" s="154"/>
    </row>
    <row r="741" spans="1:1">
      <c r="A741" s="154"/>
    </row>
    <row r="742" spans="1:1">
      <c r="A742" s="154"/>
    </row>
    <row r="743" spans="1:1">
      <c r="A743" s="154"/>
    </row>
    <row r="744" spans="1:1">
      <c r="A744" s="154"/>
    </row>
    <row r="745" spans="1:1">
      <c r="A745" s="154"/>
    </row>
    <row r="746" spans="1:1">
      <c r="A746" s="154"/>
    </row>
    <row r="747" spans="1:1">
      <c r="A747" s="154"/>
    </row>
    <row r="748" spans="1:1">
      <c r="A748" s="154"/>
    </row>
    <row r="749" spans="1:1">
      <c r="A749" s="154"/>
    </row>
    <row r="750" spans="1:1">
      <c r="A750" s="154"/>
    </row>
    <row r="751" spans="1:1">
      <c r="A751" s="154"/>
    </row>
    <row r="752" spans="1:1">
      <c r="A752" s="154"/>
    </row>
    <row r="753" spans="1:1">
      <c r="A753" s="154"/>
    </row>
    <row r="754" spans="1:1">
      <c r="A754" s="154"/>
    </row>
    <row r="755" spans="1:1">
      <c r="A755" s="154"/>
    </row>
    <row r="756" spans="1:1">
      <c r="A756" s="154"/>
    </row>
    <row r="757" spans="1:1">
      <c r="A757" s="154"/>
    </row>
    <row r="758" spans="1:1">
      <c r="A758" s="154"/>
    </row>
    <row r="759" spans="1:1">
      <c r="A759" s="154"/>
    </row>
    <row r="760" spans="1:1">
      <c r="A760" s="154"/>
    </row>
    <row r="761" spans="1:1">
      <c r="A761" s="154"/>
    </row>
    <row r="762" spans="1:1">
      <c r="A762" s="154"/>
    </row>
    <row r="763" spans="1:1">
      <c r="A763" s="154"/>
    </row>
    <row r="764" spans="1:1">
      <c r="A764" s="154"/>
    </row>
    <row r="765" spans="1:1">
      <c r="A765" s="154"/>
    </row>
    <row r="766" spans="1:1">
      <c r="A766" s="154"/>
    </row>
    <row r="767" spans="1:1">
      <c r="A767" s="154"/>
    </row>
    <row r="768" spans="1:1">
      <c r="A768" s="154"/>
    </row>
    <row r="769" spans="1:1">
      <c r="A769" s="154"/>
    </row>
    <row r="770" spans="1:1">
      <c r="A770" s="154"/>
    </row>
    <row r="771" spans="1:1">
      <c r="A771" s="154"/>
    </row>
    <row r="772" spans="1:1">
      <c r="A772" s="154"/>
    </row>
    <row r="773" spans="1:1">
      <c r="A773" s="154"/>
    </row>
    <row r="774" spans="1:1">
      <c r="A774" s="154"/>
    </row>
    <row r="775" spans="1:1">
      <c r="A775" s="154"/>
    </row>
    <row r="776" spans="1:1">
      <c r="A776" s="154"/>
    </row>
    <row r="777" spans="1:1">
      <c r="A777" s="154"/>
    </row>
    <row r="778" spans="1:1">
      <c r="A778" s="154"/>
    </row>
    <row r="779" spans="1:1">
      <c r="A779" s="154"/>
    </row>
    <row r="780" spans="1:1">
      <c r="A780" s="154"/>
    </row>
    <row r="781" spans="1:1">
      <c r="A781" s="154"/>
    </row>
    <row r="782" spans="1:1">
      <c r="A782" s="154"/>
    </row>
    <row r="783" spans="1:1">
      <c r="A783" s="154"/>
    </row>
    <row r="784" spans="1:1">
      <c r="A784" s="154"/>
    </row>
    <row r="785" spans="1:1">
      <c r="A785" s="154"/>
    </row>
    <row r="786" spans="1:1">
      <c r="A786" s="154"/>
    </row>
    <row r="787" spans="1:1">
      <c r="A787" s="154"/>
    </row>
    <row r="788" spans="1:1">
      <c r="A788" s="154"/>
    </row>
    <row r="789" spans="1:1">
      <c r="A789" s="154"/>
    </row>
    <row r="790" spans="1:1">
      <c r="A790" s="154"/>
    </row>
    <row r="791" spans="1:1">
      <c r="A791" s="154"/>
    </row>
    <row r="792" spans="1:1">
      <c r="A792" s="154"/>
    </row>
    <row r="793" spans="1:1">
      <c r="A793" s="154"/>
    </row>
    <row r="794" spans="1:1">
      <c r="A794" s="154"/>
    </row>
    <row r="795" spans="1:1">
      <c r="A795" s="154"/>
    </row>
    <row r="796" spans="1:1">
      <c r="A796" s="154"/>
    </row>
    <row r="797" spans="1:1">
      <c r="A797" s="154"/>
    </row>
    <row r="798" spans="1:1">
      <c r="A798" s="154"/>
    </row>
    <row r="799" spans="1:1">
      <c r="A799" s="154"/>
    </row>
    <row r="800" spans="1:1">
      <c r="A800" s="154"/>
    </row>
    <row r="801" spans="1:1">
      <c r="A801" s="154"/>
    </row>
    <row r="802" spans="1:1">
      <c r="A802" s="154"/>
    </row>
    <row r="803" spans="1:1">
      <c r="A803" s="154"/>
    </row>
    <row r="804" spans="1:1">
      <c r="A804" s="154"/>
    </row>
    <row r="805" spans="1:1">
      <c r="A805" s="154"/>
    </row>
    <row r="806" spans="1:1">
      <c r="A806" s="154"/>
    </row>
    <row r="807" spans="1:1">
      <c r="A807" s="154"/>
    </row>
    <row r="808" spans="1:1">
      <c r="A808" s="154"/>
    </row>
    <row r="809" spans="1:1">
      <c r="A809" s="154"/>
    </row>
    <row r="810" spans="1:1">
      <c r="A810" s="154"/>
    </row>
    <row r="811" spans="1:1">
      <c r="A811" s="154"/>
    </row>
    <row r="812" spans="1:1">
      <c r="A812" s="154"/>
    </row>
    <row r="813" spans="1:1">
      <c r="A813" s="154"/>
    </row>
    <row r="814" spans="1:1">
      <c r="A814" s="154"/>
    </row>
    <row r="815" spans="1:1">
      <c r="A815" s="154"/>
    </row>
    <row r="816" spans="1:1">
      <c r="A816" s="154"/>
    </row>
    <row r="817" spans="1:1">
      <c r="A817" s="154"/>
    </row>
    <row r="818" spans="1:1">
      <c r="A818" s="154"/>
    </row>
    <row r="819" spans="1:1">
      <c r="A819" s="154"/>
    </row>
    <row r="820" spans="1:1">
      <c r="A820" s="154"/>
    </row>
    <row r="821" spans="1:1">
      <c r="A821" s="154"/>
    </row>
    <row r="822" spans="1:1">
      <c r="A822" s="154"/>
    </row>
    <row r="823" spans="1:1">
      <c r="A823" s="154"/>
    </row>
    <row r="824" spans="1:1">
      <c r="A824" s="154"/>
    </row>
    <row r="825" spans="1:1">
      <c r="A825" s="154"/>
    </row>
    <row r="826" spans="1:1">
      <c r="A826" s="154"/>
    </row>
    <row r="827" spans="1:1">
      <c r="A827" s="154"/>
    </row>
    <row r="828" spans="1:1">
      <c r="A828" s="154"/>
    </row>
    <row r="829" spans="1:1">
      <c r="A829" s="154"/>
    </row>
    <row r="830" spans="1:1">
      <c r="A830" s="154"/>
    </row>
    <row r="831" spans="1:1">
      <c r="A831" s="154"/>
    </row>
    <row r="832" spans="1:1">
      <c r="A832" s="154"/>
    </row>
    <row r="833" spans="1:1">
      <c r="A833" s="154"/>
    </row>
    <row r="834" spans="1:1">
      <c r="A834" s="154"/>
    </row>
    <row r="835" spans="1:1">
      <c r="A835" s="154"/>
    </row>
    <row r="836" spans="1:1">
      <c r="A836" s="154"/>
    </row>
    <row r="837" spans="1:1">
      <c r="A837" s="154"/>
    </row>
    <row r="838" spans="1:1">
      <c r="A838" s="154"/>
    </row>
    <row r="839" spans="1:1">
      <c r="A839" s="154"/>
    </row>
    <row r="840" spans="1:1">
      <c r="A840" s="154"/>
    </row>
    <row r="841" spans="1:1">
      <c r="A841" s="154"/>
    </row>
    <row r="842" spans="1:1">
      <c r="A842" s="154"/>
    </row>
    <row r="843" spans="1:1">
      <c r="A843" s="154"/>
    </row>
    <row r="844" spans="1:1">
      <c r="A844" s="154"/>
    </row>
    <row r="845" spans="1:1">
      <c r="A845" s="154"/>
    </row>
    <row r="846" spans="1:1">
      <c r="A846" s="154"/>
    </row>
    <row r="847" spans="1:1">
      <c r="A847" s="154"/>
    </row>
    <row r="848" spans="1:1">
      <c r="A848" s="154"/>
    </row>
    <row r="849" spans="1:1">
      <c r="A849" s="154"/>
    </row>
    <row r="850" spans="1:1">
      <c r="A850" s="154"/>
    </row>
    <row r="851" spans="1:1">
      <c r="A851" s="154"/>
    </row>
    <row r="852" spans="1:1">
      <c r="A852" s="154"/>
    </row>
    <row r="853" spans="1:1">
      <c r="A853" s="154"/>
    </row>
    <row r="854" spans="1:1">
      <c r="A854" s="154"/>
    </row>
    <row r="855" spans="1:1">
      <c r="A855" s="154"/>
    </row>
    <row r="856" spans="1:1">
      <c r="A856" s="154"/>
    </row>
    <row r="857" spans="1:1">
      <c r="A857" s="154"/>
    </row>
    <row r="858" spans="1:1">
      <c r="A858" s="154"/>
    </row>
    <row r="859" spans="1:1">
      <c r="A859" s="154"/>
    </row>
    <row r="860" spans="1:1">
      <c r="A860" s="154"/>
    </row>
    <row r="861" spans="1:1">
      <c r="A861" s="154"/>
    </row>
    <row r="862" spans="1:1">
      <c r="A862" s="154"/>
    </row>
    <row r="863" spans="1:1">
      <c r="A863" s="154"/>
    </row>
    <row r="864" spans="1:1">
      <c r="A864" s="154"/>
    </row>
    <row r="865" spans="1:1">
      <c r="A865" s="154"/>
    </row>
    <row r="866" spans="1:1">
      <c r="A866" s="154"/>
    </row>
    <row r="867" spans="1:1">
      <c r="A867" s="154"/>
    </row>
    <row r="868" spans="1:1">
      <c r="A868" s="154"/>
    </row>
    <row r="869" spans="1:1">
      <c r="A869" s="154"/>
    </row>
    <row r="870" spans="1:1">
      <c r="A870" s="154"/>
    </row>
    <row r="871" spans="1:1">
      <c r="A871" s="154"/>
    </row>
    <row r="872" spans="1:1">
      <c r="A872" s="154"/>
    </row>
    <row r="873" spans="1:1">
      <c r="A873" s="154"/>
    </row>
    <row r="874" spans="1:1">
      <c r="A874" s="154"/>
    </row>
    <row r="875" spans="1:1">
      <c r="A875" s="154"/>
    </row>
    <row r="876" spans="1:1">
      <c r="A876" s="154"/>
    </row>
    <row r="877" spans="1:1">
      <c r="A877" s="154"/>
    </row>
    <row r="878" spans="1:1">
      <c r="A878" s="154"/>
    </row>
    <row r="879" spans="1:1">
      <c r="A879" s="154"/>
    </row>
    <row r="880" spans="1:1">
      <c r="A880" s="154"/>
    </row>
    <row r="881" spans="1:1">
      <c r="A881" s="154"/>
    </row>
    <row r="882" spans="1:1">
      <c r="A882" s="154"/>
    </row>
    <row r="883" spans="1:1">
      <c r="A883" s="154"/>
    </row>
    <row r="884" spans="1:1">
      <c r="A884" s="154"/>
    </row>
    <row r="885" spans="1:1">
      <c r="A885" s="154"/>
    </row>
    <row r="886" spans="1:1">
      <c r="A886" s="154"/>
    </row>
    <row r="887" spans="1:1">
      <c r="A887" s="154"/>
    </row>
    <row r="888" spans="1:1">
      <c r="A888" s="154"/>
    </row>
    <row r="889" spans="1:1">
      <c r="A889" s="154"/>
    </row>
    <row r="890" spans="1:1">
      <c r="A890" s="154"/>
    </row>
    <row r="891" spans="1:1">
      <c r="A891" s="154"/>
    </row>
    <row r="892" spans="1:1">
      <c r="A892" s="154"/>
    </row>
    <row r="893" spans="1:1">
      <c r="A893" s="154"/>
    </row>
    <row r="894" spans="1:1">
      <c r="A894" s="154"/>
    </row>
    <row r="895" spans="1:1">
      <c r="A895" s="154"/>
    </row>
    <row r="896" spans="1:1">
      <c r="A896" s="154"/>
    </row>
    <row r="897" spans="1:1">
      <c r="A897" s="154"/>
    </row>
    <row r="898" spans="1:1">
      <c r="A898" s="154"/>
    </row>
    <row r="899" spans="1:1">
      <c r="A899" s="154"/>
    </row>
    <row r="900" spans="1:1">
      <c r="A900" s="154"/>
    </row>
    <row r="901" spans="1:1">
      <c r="A901" s="154"/>
    </row>
    <row r="902" spans="1:1">
      <c r="A902" s="154"/>
    </row>
    <row r="903" spans="1:1">
      <c r="A903" s="154"/>
    </row>
    <row r="904" spans="1:1">
      <c r="A904" s="154"/>
    </row>
    <row r="905" spans="1:1">
      <c r="A905" s="154"/>
    </row>
    <row r="906" spans="1:1">
      <c r="A906" s="154"/>
    </row>
    <row r="907" spans="1:1">
      <c r="A907" s="154"/>
    </row>
    <row r="908" spans="1:1">
      <c r="A908" s="154"/>
    </row>
    <row r="909" spans="1:1">
      <c r="A909" s="154"/>
    </row>
    <row r="910" spans="1:1">
      <c r="A910" s="154"/>
    </row>
    <row r="911" spans="1:1">
      <c r="A911" s="154"/>
    </row>
    <row r="912" spans="1:1">
      <c r="A912" s="154"/>
    </row>
    <row r="913" spans="1:1">
      <c r="A913" s="154"/>
    </row>
    <row r="914" spans="1:1">
      <c r="A914" s="154"/>
    </row>
    <row r="915" spans="1:1">
      <c r="A915" s="154"/>
    </row>
    <row r="916" spans="1:1">
      <c r="A916" s="154"/>
    </row>
    <row r="917" spans="1:1">
      <c r="A917" s="154"/>
    </row>
    <row r="918" spans="1:1">
      <c r="A918" s="154"/>
    </row>
    <row r="919" spans="1:1">
      <c r="A919" s="154"/>
    </row>
    <row r="920" spans="1:1">
      <c r="A920" s="154"/>
    </row>
    <row r="921" spans="1:1">
      <c r="A921" s="154"/>
    </row>
    <row r="922" spans="1:1">
      <c r="A922" s="154"/>
    </row>
    <row r="923" spans="1:1">
      <c r="A923" s="154"/>
    </row>
    <row r="924" spans="1:1">
      <c r="A924" s="154"/>
    </row>
    <row r="925" spans="1:1">
      <c r="A925" s="154"/>
    </row>
    <row r="926" spans="1:1">
      <c r="A926" s="154"/>
    </row>
    <row r="927" spans="1:1">
      <c r="A927" s="154"/>
    </row>
    <row r="928" spans="1:1">
      <c r="A928" s="154"/>
    </row>
    <row r="929" spans="1:1">
      <c r="A929" s="154"/>
    </row>
    <row r="930" spans="1:1">
      <c r="A930" s="154"/>
    </row>
    <row r="931" spans="1:1">
      <c r="A931" s="154"/>
    </row>
    <row r="932" spans="1:1">
      <c r="A932" s="154"/>
    </row>
    <row r="933" spans="1:1">
      <c r="A933" s="154"/>
    </row>
    <row r="934" spans="1:1">
      <c r="A934" s="154"/>
    </row>
    <row r="935" spans="1:1">
      <c r="A935" s="154"/>
    </row>
    <row r="936" spans="1:1">
      <c r="A936" s="154"/>
    </row>
    <row r="937" spans="1:1">
      <c r="A937" s="154"/>
    </row>
    <row r="938" spans="1:1">
      <c r="A938" s="154"/>
    </row>
    <row r="939" spans="1:1">
      <c r="A939" s="154"/>
    </row>
    <row r="940" spans="1:1">
      <c r="A940" s="154"/>
    </row>
    <row r="941" spans="1:1">
      <c r="A941" s="154"/>
    </row>
    <row r="942" spans="1:1">
      <c r="A942" s="154"/>
    </row>
    <row r="943" spans="1:1">
      <c r="A943" s="154"/>
    </row>
    <row r="944" spans="1:1">
      <c r="A944" s="154"/>
    </row>
    <row r="945" spans="1:1">
      <c r="A945" s="154"/>
    </row>
    <row r="946" spans="1:1">
      <c r="A946" s="154"/>
    </row>
    <row r="947" spans="1:1">
      <c r="A947" s="154"/>
    </row>
    <row r="948" spans="1:1">
      <c r="A948" s="154"/>
    </row>
    <row r="949" spans="1:1">
      <c r="A949" s="154"/>
    </row>
    <row r="950" spans="1:1">
      <c r="A950" s="154"/>
    </row>
    <row r="951" spans="1:1">
      <c r="A951" s="154"/>
    </row>
    <row r="952" spans="1:1">
      <c r="A952" s="154"/>
    </row>
    <row r="953" spans="1:1">
      <c r="A953" s="154"/>
    </row>
    <row r="954" spans="1:1">
      <c r="A954" s="154"/>
    </row>
    <row r="955" spans="1:1">
      <c r="A955" s="154"/>
    </row>
    <row r="956" spans="1:1">
      <c r="A956" s="154"/>
    </row>
    <row r="957" spans="1:1">
      <c r="A957" s="154"/>
    </row>
    <row r="958" spans="1:1">
      <c r="A958" s="154"/>
    </row>
    <row r="959" spans="1:1">
      <c r="A959" s="154"/>
    </row>
    <row r="960" spans="1:1">
      <c r="A960" s="154"/>
    </row>
    <row r="961" spans="1:1">
      <c r="A961" s="154"/>
    </row>
    <row r="962" spans="1:1">
      <c r="A962" s="154"/>
    </row>
    <row r="963" spans="1:1">
      <c r="A963" s="154"/>
    </row>
    <row r="964" spans="1:1">
      <c r="A964" s="154"/>
    </row>
    <row r="965" spans="1:1">
      <c r="A965" s="154"/>
    </row>
    <row r="966" spans="1:1">
      <c r="A966" s="154"/>
    </row>
    <row r="967" spans="1:1">
      <c r="A967" s="154"/>
    </row>
    <row r="968" spans="1:1">
      <c r="A968" s="154"/>
    </row>
    <row r="969" spans="1:1">
      <c r="A969" s="154"/>
    </row>
    <row r="970" spans="1:1">
      <c r="A970" s="154"/>
    </row>
    <row r="971" spans="1:1">
      <c r="A971" s="154"/>
    </row>
    <row r="972" spans="1:1">
      <c r="A972" s="154"/>
    </row>
    <row r="973" spans="1:1">
      <c r="A973" s="154"/>
    </row>
    <row r="974" spans="1:1">
      <c r="A974" s="154"/>
    </row>
    <row r="975" spans="1:1">
      <c r="A975" s="154"/>
    </row>
    <row r="976" spans="1:1">
      <c r="A976" s="154"/>
    </row>
    <row r="977" spans="1:1">
      <c r="A977" s="154"/>
    </row>
    <row r="978" spans="1:1">
      <c r="A978" s="154"/>
    </row>
    <row r="979" spans="1:1">
      <c r="A979" s="154"/>
    </row>
    <row r="980" spans="1:1">
      <c r="A980" s="154"/>
    </row>
    <row r="981" spans="1:1">
      <c r="A981" s="154"/>
    </row>
    <row r="982" spans="1:1">
      <c r="A982" s="154"/>
    </row>
    <row r="983" spans="1:1">
      <c r="A983" s="154"/>
    </row>
    <row r="984" spans="1:1">
      <c r="A984" s="154"/>
    </row>
    <row r="985" spans="1:1">
      <c r="A985" s="154"/>
    </row>
    <row r="986" spans="1:1">
      <c r="A986" s="154"/>
    </row>
    <row r="987" spans="1:1">
      <c r="A987" s="154"/>
    </row>
    <row r="988" spans="1:1">
      <c r="A988" s="154"/>
    </row>
    <row r="989" spans="1:1">
      <c r="A989" s="154"/>
    </row>
    <row r="990" spans="1:1">
      <c r="A990" s="154"/>
    </row>
    <row r="991" spans="1:1">
      <c r="A991" s="154"/>
    </row>
    <row r="992" spans="1:1">
      <c r="A992" s="154"/>
    </row>
    <row r="993" spans="1:1">
      <c r="A993" s="154"/>
    </row>
    <row r="994" spans="1:1">
      <c r="A994" s="154"/>
    </row>
    <row r="995" spans="1:1">
      <c r="A995" s="154"/>
    </row>
    <row r="996" spans="1:1">
      <c r="A996" s="154"/>
    </row>
    <row r="997" spans="1:1">
      <c r="A997" s="154"/>
    </row>
    <row r="998" spans="1:1">
      <c r="A998" s="154"/>
    </row>
    <row r="999" spans="1:1">
      <c r="A999" s="154"/>
    </row>
    <row r="1000" spans="1:1">
      <c r="A1000" s="15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35"/>
  <sheetViews>
    <sheetView workbookViewId="0">
      <pane ySplit="1" topLeftCell="A2" activePane="bottomLeft" state="frozen"/>
      <selection pane="bottomLeft" activeCell="B3" sqref="B3"/>
    </sheetView>
  </sheetViews>
  <sheetFormatPr baseColWidth="10" defaultColWidth="12.6328125" defaultRowHeight="15.75" customHeight="1"/>
  <cols>
    <col min="3" max="3" width="20.6328125" customWidth="1"/>
  </cols>
  <sheetData>
    <row r="1" spans="1:26">
      <c r="A1" s="9" t="s">
        <v>5205</v>
      </c>
      <c r="B1" s="8" t="s">
        <v>2468</v>
      </c>
      <c r="C1" s="8" t="s">
        <v>2470</v>
      </c>
      <c r="D1" s="9" t="s">
        <v>5206</v>
      </c>
      <c r="E1" s="8" t="s">
        <v>2474</v>
      </c>
      <c r="F1" s="8"/>
      <c r="G1" s="8"/>
      <c r="H1" s="8"/>
      <c r="I1" s="8"/>
      <c r="J1" s="8"/>
      <c r="K1" s="8"/>
      <c r="L1" s="8"/>
      <c r="M1" s="8"/>
      <c r="N1" s="8"/>
      <c r="O1" s="8"/>
      <c r="P1" s="8"/>
      <c r="Q1" s="8"/>
      <c r="R1" s="8"/>
      <c r="S1" s="8"/>
      <c r="T1" s="8"/>
      <c r="U1" s="8"/>
      <c r="V1" s="8"/>
      <c r="W1" s="8"/>
      <c r="X1" s="8"/>
      <c r="Y1" s="8"/>
      <c r="Z1" s="8"/>
    </row>
    <row r="2" spans="1:26" ht="15.75" customHeight="1">
      <c r="A2" s="32">
        <v>1</v>
      </c>
      <c r="B2" s="30" t="s">
        <v>2977</v>
      </c>
      <c r="C2" s="72" t="s">
        <v>5207</v>
      </c>
      <c r="D2" s="32" t="s">
        <v>5208</v>
      </c>
      <c r="E2" s="72" t="s">
        <v>5209</v>
      </c>
    </row>
    <row r="3" spans="1:26" ht="15.75" customHeight="1">
      <c r="A3" s="32">
        <v>2</v>
      </c>
      <c r="B3" s="30" t="s">
        <v>2977</v>
      </c>
      <c r="C3" s="72" t="s">
        <v>5210</v>
      </c>
      <c r="D3" s="32" t="s">
        <v>5211</v>
      </c>
      <c r="E3" s="72" t="s">
        <v>5212</v>
      </c>
    </row>
    <row r="4" spans="1:26" ht="15.75" customHeight="1">
      <c r="A4" s="32">
        <v>3</v>
      </c>
      <c r="B4" s="30" t="s">
        <v>2977</v>
      </c>
      <c r="C4" s="72" t="s">
        <v>2977</v>
      </c>
      <c r="D4" s="32" t="s">
        <v>5213</v>
      </c>
      <c r="E4" s="72" t="s">
        <v>5214</v>
      </c>
    </row>
    <row r="5" spans="1:26" ht="15.75" customHeight="1">
      <c r="A5" s="32">
        <v>4</v>
      </c>
      <c r="B5" s="30" t="s">
        <v>2977</v>
      </c>
      <c r="C5" s="72" t="s">
        <v>5215</v>
      </c>
      <c r="D5" s="32" t="s">
        <v>5216</v>
      </c>
      <c r="E5" s="72" t="s">
        <v>5217</v>
      </c>
    </row>
    <row r="6" spans="1:26" ht="15.75" customHeight="1">
      <c r="A6" s="32">
        <v>5</v>
      </c>
      <c r="B6" s="99" t="s">
        <v>2840</v>
      </c>
      <c r="C6" s="72" t="s">
        <v>5218</v>
      </c>
      <c r="D6" s="32" t="s">
        <v>5208</v>
      </c>
      <c r="E6" s="72" t="s">
        <v>5219</v>
      </c>
    </row>
    <row r="7" spans="1:26" ht="15.75" customHeight="1">
      <c r="A7" s="32">
        <v>6</v>
      </c>
      <c r="B7" s="99" t="s">
        <v>2840</v>
      </c>
      <c r="C7" s="72" t="s">
        <v>5220</v>
      </c>
      <c r="D7" s="32" t="s">
        <v>5211</v>
      </c>
      <c r="E7" s="72" t="s">
        <v>5221</v>
      </c>
    </row>
    <row r="8" spans="1:26" ht="15.75" customHeight="1">
      <c r="A8" s="32">
        <v>7</v>
      </c>
      <c r="B8" s="30" t="s">
        <v>2830</v>
      </c>
      <c r="C8" s="72" t="s">
        <v>2830</v>
      </c>
      <c r="D8" s="32" t="s">
        <v>5208</v>
      </c>
      <c r="E8" s="72" t="s">
        <v>5222</v>
      </c>
    </row>
    <row r="9" spans="1:26" ht="15.75" customHeight="1">
      <c r="A9" s="32">
        <v>8</v>
      </c>
      <c r="B9" s="30" t="s">
        <v>2830</v>
      </c>
      <c r="C9" s="72" t="s">
        <v>5223</v>
      </c>
      <c r="D9" s="32" t="s">
        <v>5211</v>
      </c>
      <c r="E9" s="72" t="s">
        <v>5224</v>
      </c>
    </row>
    <row r="10" spans="1:26" ht="15.75" customHeight="1">
      <c r="A10" s="32">
        <v>9</v>
      </c>
      <c r="B10" s="30" t="s">
        <v>5185</v>
      </c>
      <c r="C10" s="72" t="s">
        <v>5185</v>
      </c>
      <c r="D10" s="32" t="s">
        <v>5208</v>
      </c>
      <c r="E10" s="72" t="s">
        <v>5225</v>
      </c>
    </row>
    <row r="11" spans="1:26" ht="15.75" customHeight="1">
      <c r="A11" s="32">
        <v>10</v>
      </c>
      <c r="B11" s="30" t="s">
        <v>5185</v>
      </c>
      <c r="C11" s="72" t="s">
        <v>5226</v>
      </c>
      <c r="D11" s="32" t="s">
        <v>5211</v>
      </c>
      <c r="E11" s="72" t="s">
        <v>5227</v>
      </c>
    </row>
    <row r="12" spans="1:26" ht="15.75" customHeight="1">
      <c r="A12" s="32">
        <v>11</v>
      </c>
      <c r="B12" s="30" t="s">
        <v>3065</v>
      </c>
      <c r="C12" s="72" t="s">
        <v>3065</v>
      </c>
      <c r="D12" s="32" t="s">
        <v>5208</v>
      </c>
      <c r="E12" s="72" t="s">
        <v>5228</v>
      </c>
    </row>
    <row r="13" spans="1:26" ht="15.75" customHeight="1">
      <c r="A13" s="32">
        <v>12</v>
      </c>
      <c r="B13" s="30" t="s">
        <v>3065</v>
      </c>
      <c r="C13" s="72" t="s">
        <v>5229</v>
      </c>
      <c r="D13" s="32" t="s">
        <v>5211</v>
      </c>
      <c r="E13" s="72" t="s">
        <v>5230</v>
      </c>
    </row>
    <row r="14" spans="1:26" ht="15.75" customHeight="1">
      <c r="A14" s="32">
        <v>13</v>
      </c>
      <c r="B14" s="30" t="s">
        <v>5186</v>
      </c>
      <c r="C14" s="72" t="s">
        <v>5231</v>
      </c>
      <c r="D14" s="32" t="s">
        <v>5208</v>
      </c>
      <c r="E14" s="72" t="s">
        <v>5232</v>
      </c>
    </row>
    <row r="15" spans="1:26" ht="15.75" customHeight="1">
      <c r="A15" s="32">
        <v>14</v>
      </c>
      <c r="B15" s="30" t="s">
        <v>5186</v>
      </c>
      <c r="C15" s="72" t="s">
        <v>5186</v>
      </c>
      <c r="D15" s="32" t="s">
        <v>5211</v>
      </c>
      <c r="E15" s="72" t="s">
        <v>5233</v>
      </c>
    </row>
    <row r="16" spans="1:26" ht="15.75" customHeight="1">
      <c r="A16" s="32">
        <v>15</v>
      </c>
      <c r="B16" s="30" t="s">
        <v>5187</v>
      </c>
      <c r="C16" s="72" t="s">
        <v>5187</v>
      </c>
      <c r="D16" s="32" t="s">
        <v>5208</v>
      </c>
      <c r="E16" s="72" t="s">
        <v>5234</v>
      </c>
    </row>
    <row r="17" spans="1:5" ht="15.75" customHeight="1">
      <c r="A17" s="32">
        <v>16</v>
      </c>
      <c r="B17" s="30" t="s">
        <v>5187</v>
      </c>
      <c r="C17" s="72" t="s">
        <v>5235</v>
      </c>
      <c r="D17" s="32" t="s">
        <v>5211</v>
      </c>
      <c r="E17" s="72" t="s">
        <v>5236</v>
      </c>
    </row>
    <row r="18" spans="1:5" ht="15.75" customHeight="1">
      <c r="A18" s="32">
        <v>17</v>
      </c>
      <c r="B18" s="30" t="s">
        <v>3046</v>
      </c>
      <c r="C18" s="72" t="s">
        <v>3046</v>
      </c>
      <c r="D18" s="32" t="s">
        <v>5208</v>
      </c>
      <c r="E18" s="72" t="s">
        <v>5237</v>
      </c>
    </row>
    <row r="19" spans="1:5" ht="15.75" customHeight="1">
      <c r="A19" s="32">
        <v>18</v>
      </c>
      <c r="B19" s="30" t="s">
        <v>3046</v>
      </c>
      <c r="C19" s="72" t="s">
        <v>5238</v>
      </c>
      <c r="D19" s="32" t="s">
        <v>5211</v>
      </c>
      <c r="E19" s="72" t="s">
        <v>5239</v>
      </c>
    </row>
    <row r="20" spans="1:5" ht="14.5">
      <c r="A20" s="32">
        <v>19</v>
      </c>
      <c r="B20" s="30" t="s">
        <v>2838</v>
      </c>
      <c r="C20" s="72" t="s">
        <v>2838</v>
      </c>
      <c r="D20" s="32" t="s">
        <v>5208</v>
      </c>
      <c r="E20" s="72" t="s">
        <v>5240</v>
      </c>
    </row>
    <row r="21" spans="1:5" ht="14.5">
      <c r="A21" s="32">
        <v>20</v>
      </c>
      <c r="B21" s="30" t="s">
        <v>2838</v>
      </c>
      <c r="C21" s="72" t="s">
        <v>5241</v>
      </c>
      <c r="D21" s="32" t="s">
        <v>5211</v>
      </c>
      <c r="E21" s="72" t="s">
        <v>5242</v>
      </c>
    </row>
    <row r="22" spans="1:5" ht="14.5">
      <c r="A22" s="32">
        <v>21</v>
      </c>
      <c r="B22" s="30" t="s">
        <v>2838</v>
      </c>
      <c r="C22" s="72" t="s">
        <v>5243</v>
      </c>
      <c r="D22" s="32" t="s">
        <v>5213</v>
      </c>
      <c r="E22" s="72" t="s">
        <v>5244</v>
      </c>
    </row>
    <row r="23" spans="1:5" ht="14.5">
      <c r="A23" s="32">
        <v>22</v>
      </c>
      <c r="B23" s="30" t="s">
        <v>2838</v>
      </c>
      <c r="C23" s="72" t="s">
        <v>5245</v>
      </c>
      <c r="D23" s="32" t="s">
        <v>5216</v>
      </c>
      <c r="E23" s="72" t="s">
        <v>5246</v>
      </c>
    </row>
    <row r="24" spans="1:5" ht="14.5">
      <c r="A24" s="32">
        <v>23</v>
      </c>
      <c r="B24" s="30" t="s">
        <v>5188</v>
      </c>
      <c r="C24" s="72" t="s">
        <v>5188</v>
      </c>
      <c r="D24" s="32" t="s">
        <v>5208</v>
      </c>
      <c r="E24" s="72" t="s">
        <v>5247</v>
      </c>
    </row>
    <row r="25" spans="1:5" ht="14.5">
      <c r="A25" s="32">
        <v>24</v>
      </c>
      <c r="B25" s="30" t="s">
        <v>5188</v>
      </c>
      <c r="C25" s="72" t="s">
        <v>5248</v>
      </c>
      <c r="D25" s="32" t="s">
        <v>5211</v>
      </c>
      <c r="E25" s="72" t="s">
        <v>5249</v>
      </c>
    </row>
    <row r="26" spans="1:5" ht="14.5">
      <c r="A26" s="32">
        <v>25</v>
      </c>
      <c r="B26" s="30" t="s">
        <v>5189</v>
      </c>
      <c r="C26" s="72" t="s">
        <v>5189</v>
      </c>
      <c r="D26" s="32" t="s">
        <v>5208</v>
      </c>
      <c r="E26" s="72" t="s">
        <v>5250</v>
      </c>
    </row>
    <row r="27" spans="1:5" ht="14.5">
      <c r="A27" s="32">
        <v>26</v>
      </c>
      <c r="B27" s="30" t="s">
        <v>5189</v>
      </c>
      <c r="C27" s="72" t="s">
        <v>5251</v>
      </c>
      <c r="D27" s="32" t="s">
        <v>5211</v>
      </c>
      <c r="E27" s="72" t="s">
        <v>5252</v>
      </c>
    </row>
    <row r="28" spans="1:5" ht="14.5">
      <c r="A28" s="32">
        <v>27</v>
      </c>
      <c r="B28" s="30" t="s">
        <v>5189</v>
      </c>
      <c r="C28" s="72" t="s">
        <v>5253</v>
      </c>
      <c r="D28" s="32" t="s">
        <v>5213</v>
      </c>
      <c r="E28" s="72" t="s">
        <v>5254</v>
      </c>
    </row>
    <row r="29" spans="1:5" ht="14.5">
      <c r="A29" s="32">
        <v>28</v>
      </c>
      <c r="B29" s="30" t="s">
        <v>5189</v>
      </c>
      <c r="C29" s="72" t="s">
        <v>5255</v>
      </c>
      <c r="D29" s="32" t="s">
        <v>5216</v>
      </c>
      <c r="E29" s="72" t="s">
        <v>5256</v>
      </c>
    </row>
    <row r="30" spans="1:5" ht="14.5">
      <c r="A30" s="32">
        <v>29</v>
      </c>
      <c r="B30" s="99" t="s">
        <v>3076</v>
      </c>
      <c r="C30" s="72" t="s">
        <v>3077</v>
      </c>
      <c r="D30" s="32" t="s">
        <v>5208</v>
      </c>
      <c r="E30" s="72" t="s">
        <v>5257</v>
      </c>
    </row>
    <row r="31" spans="1:5" ht="14.5">
      <c r="A31" s="32">
        <v>30</v>
      </c>
      <c r="B31" s="99" t="s">
        <v>3076</v>
      </c>
      <c r="C31" s="72" t="s">
        <v>5258</v>
      </c>
      <c r="D31" s="32" t="s">
        <v>5211</v>
      </c>
      <c r="E31" s="72" t="s">
        <v>5259</v>
      </c>
    </row>
    <row r="32" spans="1:5" ht="14.5">
      <c r="A32" s="32">
        <v>31</v>
      </c>
      <c r="B32" s="30" t="s">
        <v>3043</v>
      </c>
      <c r="C32" s="72" t="s">
        <v>3043</v>
      </c>
      <c r="D32" s="32" t="s">
        <v>5208</v>
      </c>
      <c r="E32" s="72" t="s">
        <v>5260</v>
      </c>
    </row>
    <row r="33" spans="1:5" ht="14.5">
      <c r="A33" s="32">
        <v>32</v>
      </c>
      <c r="B33" s="30" t="s">
        <v>3043</v>
      </c>
      <c r="C33" s="72" t="s">
        <v>5261</v>
      </c>
      <c r="D33" s="32" t="s">
        <v>5211</v>
      </c>
      <c r="E33" s="72" t="s">
        <v>5262</v>
      </c>
    </row>
    <row r="34" spans="1:5" ht="14.5">
      <c r="A34" s="32">
        <v>33</v>
      </c>
      <c r="B34" s="30" t="s">
        <v>5263</v>
      </c>
      <c r="C34" s="72" t="s">
        <v>5264</v>
      </c>
      <c r="D34" s="32" t="s">
        <v>5208</v>
      </c>
      <c r="E34" s="72" t="s">
        <v>5265</v>
      </c>
    </row>
    <row r="35" spans="1:5" ht="14.5">
      <c r="A35" s="32">
        <v>34</v>
      </c>
      <c r="B35" s="30" t="s">
        <v>5263</v>
      </c>
      <c r="C35" s="72" t="s">
        <v>5266</v>
      </c>
      <c r="D35" s="32" t="s">
        <v>5211</v>
      </c>
      <c r="E35" s="72" t="s">
        <v>5267</v>
      </c>
    </row>
    <row r="36" spans="1:5" ht="14.5">
      <c r="A36" s="32">
        <v>35</v>
      </c>
      <c r="B36" s="30" t="s">
        <v>5263</v>
      </c>
      <c r="C36" s="72" t="s">
        <v>5268</v>
      </c>
      <c r="D36" s="32" t="s">
        <v>5213</v>
      </c>
      <c r="E36" s="72" t="s">
        <v>5269</v>
      </c>
    </row>
    <row r="37" spans="1:5" ht="14.5">
      <c r="A37" s="32">
        <v>36</v>
      </c>
      <c r="B37" s="30" t="s">
        <v>2521</v>
      </c>
      <c r="C37" s="72" t="s">
        <v>2521</v>
      </c>
      <c r="D37" s="32" t="s">
        <v>5208</v>
      </c>
      <c r="E37" s="72" t="s">
        <v>5270</v>
      </c>
    </row>
    <row r="38" spans="1:5" ht="14.5">
      <c r="A38" s="32">
        <v>37</v>
      </c>
      <c r="B38" s="30" t="s">
        <v>2521</v>
      </c>
      <c r="C38" s="72" t="s">
        <v>5271</v>
      </c>
      <c r="D38" s="32" t="s">
        <v>5211</v>
      </c>
      <c r="E38" s="72" t="s">
        <v>5272</v>
      </c>
    </row>
    <row r="39" spans="1:5" ht="14.5">
      <c r="A39" s="32">
        <v>38</v>
      </c>
      <c r="B39" s="30" t="s">
        <v>2521</v>
      </c>
      <c r="C39" s="72" t="s">
        <v>5273</v>
      </c>
      <c r="D39" s="32" t="s">
        <v>5213</v>
      </c>
      <c r="E39" s="72" t="s">
        <v>5274</v>
      </c>
    </row>
    <row r="40" spans="1:5" ht="14.5">
      <c r="A40" s="32">
        <v>39</v>
      </c>
      <c r="B40" s="30" t="s">
        <v>2521</v>
      </c>
      <c r="C40" s="72" t="s">
        <v>5275</v>
      </c>
      <c r="D40" s="32" t="s">
        <v>5216</v>
      </c>
      <c r="E40" s="72" t="s">
        <v>5276</v>
      </c>
    </row>
    <row r="41" spans="1:5" ht="14.5">
      <c r="A41" s="32">
        <v>40</v>
      </c>
      <c r="B41" s="30" t="s">
        <v>2521</v>
      </c>
      <c r="C41" s="72" t="s">
        <v>5277</v>
      </c>
      <c r="D41" s="32" t="s">
        <v>5278</v>
      </c>
      <c r="E41" s="72" t="s">
        <v>5279</v>
      </c>
    </row>
    <row r="42" spans="1:5" ht="14.5">
      <c r="A42" s="32">
        <v>41</v>
      </c>
      <c r="B42" s="99" t="s">
        <v>2769</v>
      </c>
      <c r="C42" s="99" t="s">
        <v>2769</v>
      </c>
      <c r="D42" s="32" t="s">
        <v>5208</v>
      </c>
      <c r="E42" s="72" t="s">
        <v>5280</v>
      </c>
    </row>
    <row r="43" spans="1:5" ht="14.5">
      <c r="A43" s="32">
        <v>42</v>
      </c>
      <c r="B43" s="99" t="s">
        <v>2769</v>
      </c>
      <c r="C43" s="72" t="s">
        <v>5281</v>
      </c>
      <c r="D43" s="32" t="s">
        <v>5211</v>
      </c>
      <c r="E43" s="72" t="s">
        <v>5282</v>
      </c>
    </row>
    <row r="44" spans="1:5" ht="14.5">
      <c r="A44" s="32">
        <v>43</v>
      </c>
      <c r="B44" s="30" t="s">
        <v>5190</v>
      </c>
      <c r="C44" s="72" t="s">
        <v>5283</v>
      </c>
      <c r="D44" s="32" t="s">
        <v>5208</v>
      </c>
      <c r="E44" s="72" t="s">
        <v>5284</v>
      </c>
    </row>
    <row r="45" spans="1:5" ht="14.5">
      <c r="A45" s="32">
        <v>44</v>
      </c>
      <c r="B45" s="30" t="s">
        <v>5190</v>
      </c>
      <c r="C45" s="72" t="s">
        <v>5285</v>
      </c>
      <c r="D45" s="32" t="s">
        <v>5211</v>
      </c>
      <c r="E45" s="72" t="s">
        <v>5286</v>
      </c>
    </row>
    <row r="46" spans="1:5" ht="14.5">
      <c r="A46" s="32">
        <v>45</v>
      </c>
      <c r="B46" s="30" t="s">
        <v>5190</v>
      </c>
      <c r="C46" s="72" t="s">
        <v>5287</v>
      </c>
      <c r="D46" s="32" t="s">
        <v>5213</v>
      </c>
      <c r="E46" s="72" t="s">
        <v>5288</v>
      </c>
    </row>
    <row r="47" spans="1:5" ht="14.5">
      <c r="A47" s="32">
        <v>46</v>
      </c>
      <c r="B47" s="30" t="s">
        <v>5190</v>
      </c>
      <c r="C47" s="72" t="s">
        <v>5289</v>
      </c>
      <c r="D47" s="32" t="s">
        <v>5216</v>
      </c>
      <c r="E47" s="72" t="s">
        <v>5290</v>
      </c>
    </row>
    <row r="48" spans="1:5" ht="14.5">
      <c r="A48" s="32">
        <v>47</v>
      </c>
      <c r="B48" s="30" t="s">
        <v>5190</v>
      </c>
      <c r="C48" s="72" t="s">
        <v>5291</v>
      </c>
      <c r="D48" s="32" t="s">
        <v>5278</v>
      </c>
      <c r="E48" s="72" t="s">
        <v>5292</v>
      </c>
    </row>
    <row r="49" spans="1:5" ht="14.5">
      <c r="A49" s="32">
        <v>48</v>
      </c>
      <c r="B49" s="30" t="s">
        <v>5190</v>
      </c>
      <c r="C49" s="72" t="s">
        <v>5293</v>
      </c>
      <c r="D49" s="32" t="s">
        <v>5294</v>
      </c>
      <c r="E49" s="72" t="s">
        <v>5295</v>
      </c>
    </row>
    <row r="50" spans="1:5" ht="14.5">
      <c r="A50" s="32">
        <v>49</v>
      </c>
      <c r="B50" s="30" t="s">
        <v>5190</v>
      </c>
      <c r="C50" s="72" t="s">
        <v>5296</v>
      </c>
      <c r="D50" s="32" t="s">
        <v>5297</v>
      </c>
      <c r="E50" s="72" t="s">
        <v>5298</v>
      </c>
    </row>
    <row r="51" spans="1:5" ht="14.5">
      <c r="A51" s="32">
        <v>50</v>
      </c>
      <c r="B51" s="30" t="s">
        <v>5190</v>
      </c>
      <c r="C51" s="72" t="s">
        <v>5299</v>
      </c>
      <c r="D51" s="32" t="s">
        <v>5300</v>
      </c>
      <c r="E51" s="72" t="s">
        <v>5301</v>
      </c>
    </row>
    <row r="52" spans="1:5" ht="14.5">
      <c r="A52" s="32">
        <v>51</v>
      </c>
      <c r="B52" s="30" t="s">
        <v>5190</v>
      </c>
      <c r="C52" s="72" t="s">
        <v>5302</v>
      </c>
      <c r="D52" s="32" t="s">
        <v>5303</v>
      </c>
      <c r="E52" s="72" t="s">
        <v>5304</v>
      </c>
    </row>
    <row r="53" spans="1:5" ht="14.5">
      <c r="A53" s="32">
        <v>52</v>
      </c>
      <c r="B53" s="30" t="s">
        <v>5190</v>
      </c>
      <c r="C53" s="72" t="s">
        <v>5305</v>
      </c>
      <c r="D53" s="32" t="s">
        <v>5306</v>
      </c>
      <c r="E53" s="72" t="s">
        <v>5307</v>
      </c>
    </row>
    <row r="54" spans="1:5" ht="14.5">
      <c r="A54" s="32">
        <v>53</v>
      </c>
      <c r="B54" s="30" t="s">
        <v>5190</v>
      </c>
      <c r="C54" s="72" t="s">
        <v>5308</v>
      </c>
      <c r="D54" s="32" t="s">
        <v>5309</v>
      </c>
      <c r="E54" s="72" t="s">
        <v>5310</v>
      </c>
    </row>
    <row r="55" spans="1:5" ht="14.5">
      <c r="A55" s="32">
        <v>54</v>
      </c>
      <c r="B55" s="30" t="s">
        <v>5190</v>
      </c>
      <c r="C55" s="72" t="s">
        <v>5311</v>
      </c>
      <c r="D55" s="32" t="s">
        <v>5312</v>
      </c>
      <c r="E55" s="72" t="s">
        <v>5313</v>
      </c>
    </row>
    <row r="56" spans="1:5" ht="14.5">
      <c r="A56" s="32">
        <v>55</v>
      </c>
      <c r="B56" s="30" t="s">
        <v>5190</v>
      </c>
      <c r="C56" s="72" t="s">
        <v>5314</v>
      </c>
      <c r="D56" s="32" t="s">
        <v>5315</v>
      </c>
      <c r="E56" s="72" t="s">
        <v>5316</v>
      </c>
    </row>
    <row r="57" spans="1:5" ht="14.5">
      <c r="A57" s="32">
        <v>56</v>
      </c>
      <c r="B57" s="30" t="s">
        <v>5190</v>
      </c>
      <c r="C57" s="72" t="s">
        <v>5317</v>
      </c>
      <c r="D57" s="32" t="s">
        <v>5318</v>
      </c>
      <c r="E57" s="72" t="s">
        <v>5319</v>
      </c>
    </row>
    <row r="58" spans="1:5" ht="14.5">
      <c r="A58" s="32">
        <v>57</v>
      </c>
      <c r="B58" s="30" t="s">
        <v>5190</v>
      </c>
      <c r="C58" s="72" t="s">
        <v>5320</v>
      </c>
      <c r="D58" s="32" t="s">
        <v>5321</v>
      </c>
      <c r="E58" s="72" t="s">
        <v>5322</v>
      </c>
    </row>
    <row r="59" spans="1:5" ht="14.5">
      <c r="A59" s="32">
        <v>58</v>
      </c>
      <c r="B59" s="30" t="s">
        <v>5190</v>
      </c>
      <c r="C59" s="72" t="s">
        <v>5323</v>
      </c>
      <c r="D59" s="32" t="s">
        <v>5324</v>
      </c>
      <c r="E59" s="72" t="s">
        <v>5325</v>
      </c>
    </row>
    <row r="60" spans="1:5" ht="14.5">
      <c r="A60" s="32">
        <v>59</v>
      </c>
      <c r="B60" s="30" t="s">
        <v>5190</v>
      </c>
      <c r="C60" s="72" t="s">
        <v>5326</v>
      </c>
      <c r="D60" s="32" t="s">
        <v>5327</v>
      </c>
      <c r="E60" s="84" t="s">
        <v>5328</v>
      </c>
    </row>
    <row r="61" spans="1:5" ht="14.5">
      <c r="A61" s="32">
        <v>60</v>
      </c>
      <c r="B61" s="30" t="s">
        <v>2771</v>
      </c>
      <c r="C61" s="72" t="s">
        <v>2771</v>
      </c>
      <c r="D61" s="32" t="s">
        <v>5208</v>
      </c>
      <c r="E61" s="72" t="s">
        <v>5329</v>
      </c>
    </row>
    <row r="62" spans="1:5" ht="14.5">
      <c r="A62" s="32">
        <v>61</v>
      </c>
      <c r="B62" s="30" t="s">
        <v>2771</v>
      </c>
      <c r="C62" s="72" t="s">
        <v>2973</v>
      </c>
      <c r="D62" s="32" t="s">
        <v>5211</v>
      </c>
      <c r="E62" s="72" t="s">
        <v>5330</v>
      </c>
    </row>
    <row r="63" spans="1:5" ht="14.5">
      <c r="A63" s="32">
        <v>62</v>
      </c>
      <c r="B63" s="30" t="s">
        <v>3069</v>
      </c>
      <c r="C63" s="72" t="s">
        <v>3070</v>
      </c>
      <c r="D63" s="32" t="s">
        <v>5208</v>
      </c>
      <c r="E63" s="72" t="s">
        <v>5331</v>
      </c>
    </row>
    <row r="64" spans="1:5" ht="14.5">
      <c r="A64" s="32">
        <v>63</v>
      </c>
      <c r="B64" s="30" t="s">
        <v>3069</v>
      </c>
      <c r="C64" s="72" t="s">
        <v>2973</v>
      </c>
      <c r="D64" s="32" t="s">
        <v>5211</v>
      </c>
      <c r="E64" s="72" t="s">
        <v>5332</v>
      </c>
    </row>
    <row r="65" spans="1:5" ht="14.5">
      <c r="A65" s="32">
        <v>64</v>
      </c>
      <c r="B65" s="30" t="s">
        <v>2483</v>
      </c>
      <c r="C65" s="72" t="s">
        <v>5333</v>
      </c>
      <c r="D65" s="32" t="s">
        <v>5208</v>
      </c>
      <c r="E65" s="72" t="s">
        <v>5334</v>
      </c>
    </row>
    <row r="66" spans="1:5" ht="14.5">
      <c r="A66" s="32">
        <v>65</v>
      </c>
      <c r="B66" s="30" t="s">
        <v>2483</v>
      </c>
      <c r="C66" s="72" t="s">
        <v>5335</v>
      </c>
      <c r="D66" s="32" t="s">
        <v>5208</v>
      </c>
      <c r="E66" s="72" t="s">
        <v>5336</v>
      </c>
    </row>
    <row r="67" spans="1:5" ht="14.5">
      <c r="A67" s="32">
        <v>66</v>
      </c>
      <c r="B67" s="30" t="s">
        <v>2483</v>
      </c>
      <c r="C67" s="72" t="s">
        <v>5337</v>
      </c>
      <c r="D67" s="32" t="s">
        <v>5208</v>
      </c>
      <c r="E67" s="72" t="s">
        <v>5338</v>
      </c>
    </row>
    <row r="68" spans="1:5" ht="14.5">
      <c r="A68" s="32">
        <v>67</v>
      </c>
      <c r="B68" s="30" t="s">
        <v>2483</v>
      </c>
      <c r="C68" s="72" t="s">
        <v>5339</v>
      </c>
      <c r="D68" s="32" t="s">
        <v>5211</v>
      </c>
      <c r="E68" s="72" t="s">
        <v>5340</v>
      </c>
    </row>
    <row r="69" spans="1:5" ht="14.5">
      <c r="A69" s="32">
        <v>68</v>
      </c>
      <c r="B69" s="30" t="s">
        <v>2483</v>
      </c>
      <c r="C69" s="72" t="s">
        <v>5341</v>
      </c>
      <c r="D69" s="32" t="s">
        <v>5211</v>
      </c>
      <c r="E69" s="72" t="s">
        <v>5342</v>
      </c>
    </row>
    <row r="70" spans="1:5" ht="14.5">
      <c r="A70" s="32">
        <v>69</v>
      </c>
      <c r="B70" s="30" t="s">
        <v>2483</v>
      </c>
      <c r="C70" s="72" t="s">
        <v>5343</v>
      </c>
      <c r="D70" s="32" t="s">
        <v>5211</v>
      </c>
      <c r="E70" s="72" t="s">
        <v>5344</v>
      </c>
    </row>
    <row r="71" spans="1:5" ht="14.5">
      <c r="A71" s="32">
        <v>70</v>
      </c>
      <c r="B71" s="30" t="s">
        <v>2483</v>
      </c>
      <c r="C71" s="72" t="s">
        <v>5345</v>
      </c>
      <c r="D71" s="32" t="s">
        <v>5213</v>
      </c>
      <c r="E71" s="72" t="s">
        <v>5346</v>
      </c>
    </row>
    <row r="72" spans="1:5" ht="14.5">
      <c r="A72" s="32">
        <v>71</v>
      </c>
      <c r="B72" s="30" t="s">
        <v>2483</v>
      </c>
      <c r="C72" s="72" t="s">
        <v>5347</v>
      </c>
      <c r="D72" s="32" t="s">
        <v>5213</v>
      </c>
      <c r="E72" s="72" t="s">
        <v>5348</v>
      </c>
    </row>
    <row r="73" spans="1:5" ht="14.5">
      <c r="A73" s="32">
        <v>72</v>
      </c>
      <c r="B73" s="30" t="s">
        <v>2483</v>
      </c>
      <c r="C73" s="72" t="s">
        <v>5349</v>
      </c>
      <c r="D73" s="32" t="s">
        <v>5213</v>
      </c>
      <c r="E73" s="72" t="s">
        <v>5350</v>
      </c>
    </row>
    <row r="74" spans="1:5" ht="14.5">
      <c r="A74" s="32">
        <v>73</v>
      </c>
      <c r="B74" s="30" t="s">
        <v>2483</v>
      </c>
      <c r="C74" s="72" t="s">
        <v>5351</v>
      </c>
      <c r="D74" s="32" t="s">
        <v>5216</v>
      </c>
      <c r="E74" s="72" t="s">
        <v>5352</v>
      </c>
    </row>
    <row r="75" spans="1:5" ht="14.5">
      <c r="A75" s="32">
        <v>74</v>
      </c>
      <c r="B75" s="30" t="s">
        <v>2483</v>
      </c>
      <c r="C75" s="72" t="s">
        <v>5353</v>
      </c>
      <c r="D75" s="32" t="s">
        <v>5216</v>
      </c>
      <c r="E75" s="72" t="s">
        <v>5354</v>
      </c>
    </row>
    <row r="76" spans="1:5" ht="14.5">
      <c r="A76" s="32">
        <v>75</v>
      </c>
      <c r="B76" s="30" t="s">
        <v>2483</v>
      </c>
      <c r="C76" s="72" t="s">
        <v>5355</v>
      </c>
      <c r="D76" s="32" t="s">
        <v>5278</v>
      </c>
      <c r="E76" s="72" t="s">
        <v>5356</v>
      </c>
    </row>
    <row r="77" spans="1:5" ht="14.5">
      <c r="A77" s="32">
        <v>76</v>
      </c>
      <c r="B77" s="30" t="s">
        <v>2483</v>
      </c>
      <c r="C77" s="72" t="s">
        <v>5357</v>
      </c>
      <c r="D77" s="32" t="s">
        <v>5294</v>
      </c>
      <c r="E77" s="72" t="s">
        <v>5358</v>
      </c>
    </row>
    <row r="78" spans="1:5" ht="14.5">
      <c r="A78" s="32">
        <v>77</v>
      </c>
      <c r="B78" s="30" t="s">
        <v>2483</v>
      </c>
      <c r="C78" s="72" t="s">
        <v>5359</v>
      </c>
      <c r="D78" s="32" t="s">
        <v>5294</v>
      </c>
      <c r="E78" s="72" t="s">
        <v>5360</v>
      </c>
    </row>
    <row r="79" spans="1:5" ht="14.5">
      <c r="A79" s="32">
        <v>78</v>
      </c>
      <c r="B79" s="30" t="s">
        <v>2483</v>
      </c>
      <c r="C79" s="72" t="s">
        <v>5361</v>
      </c>
      <c r="D79" s="32" t="s">
        <v>5294</v>
      </c>
      <c r="E79" s="72" t="s">
        <v>5362</v>
      </c>
    </row>
    <row r="80" spans="1:5" ht="14.5">
      <c r="A80" s="32">
        <v>79</v>
      </c>
      <c r="B80" s="30" t="s">
        <v>2483</v>
      </c>
      <c r="C80" s="72" t="s">
        <v>5363</v>
      </c>
      <c r="D80" s="32" t="s">
        <v>5297</v>
      </c>
      <c r="E80" s="72" t="s">
        <v>5364</v>
      </c>
    </row>
    <row r="81" spans="1:5" ht="14.5">
      <c r="A81" s="32">
        <v>80</v>
      </c>
      <c r="B81" s="30" t="s">
        <v>2483</v>
      </c>
      <c r="C81" s="72" t="s">
        <v>5365</v>
      </c>
      <c r="D81" s="32" t="s">
        <v>5297</v>
      </c>
      <c r="E81" s="72" t="s">
        <v>5366</v>
      </c>
    </row>
    <row r="82" spans="1:5" ht="14.5">
      <c r="A82" s="32">
        <v>81</v>
      </c>
      <c r="B82" s="30" t="s">
        <v>2483</v>
      </c>
      <c r="C82" s="72" t="s">
        <v>5367</v>
      </c>
      <c r="D82" s="32" t="s">
        <v>5297</v>
      </c>
      <c r="E82" s="72" t="s">
        <v>5368</v>
      </c>
    </row>
    <row r="83" spans="1:5" ht="14.5">
      <c r="A83" s="32">
        <v>82</v>
      </c>
      <c r="B83" s="30" t="s">
        <v>2483</v>
      </c>
      <c r="C83" s="72" t="s">
        <v>5369</v>
      </c>
      <c r="D83" s="32" t="s">
        <v>5300</v>
      </c>
      <c r="E83" s="72" t="s">
        <v>5370</v>
      </c>
    </row>
    <row r="84" spans="1:5" ht="14.5">
      <c r="A84" s="32">
        <v>83</v>
      </c>
      <c r="B84" s="30" t="s">
        <v>2483</v>
      </c>
      <c r="C84" s="72" t="s">
        <v>5371</v>
      </c>
      <c r="D84" s="32" t="s">
        <v>5300</v>
      </c>
      <c r="E84" s="72" t="s">
        <v>5372</v>
      </c>
    </row>
    <row r="85" spans="1:5" ht="14.5">
      <c r="A85" s="32">
        <v>84</v>
      </c>
      <c r="B85" s="30" t="s">
        <v>2483</v>
      </c>
      <c r="C85" s="72" t="s">
        <v>5373</v>
      </c>
      <c r="D85" s="32" t="s">
        <v>5300</v>
      </c>
      <c r="E85" s="72" t="s">
        <v>5374</v>
      </c>
    </row>
    <row r="86" spans="1:5" ht="14.5">
      <c r="A86" s="32">
        <v>85</v>
      </c>
      <c r="B86" s="30" t="s">
        <v>2483</v>
      </c>
      <c r="C86" s="72" t="s">
        <v>5375</v>
      </c>
      <c r="D86" s="32" t="s">
        <v>5303</v>
      </c>
      <c r="E86" s="72" t="s">
        <v>5376</v>
      </c>
    </row>
    <row r="87" spans="1:5" ht="14.5">
      <c r="A87" s="32">
        <v>86</v>
      </c>
      <c r="B87" s="30" t="s">
        <v>2483</v>
      </c>
      <c r="C87" s="72" t="s">
        <v>5377</v>
      </c>
      <c r="D87" s="32" t="s">
        <v>5303</v>
      </c>
      <c r="E87" s="72" t="s">
        <v>5378</v>
      </c>
    </row>
    <row r="88" spans="1:5" ht="14.5">
      <c r="A88" s="32">
        <v>87</v>
      </c>
      <c r="B88" s="30" t="s">
        <v>2483</v>
      </c>
      <c r="C88" s="72" t="s">
        <v>5379</v>
      </c>
      <c r="D88" s="32" t="s">
        <v>5303</v>
      </c>
      <c r="E88" s="72" t="s">
        <v>5380</v>
      </c>
    </row>
    <row r="89" spans="1:5" ht="14.5">
      <c r="A89" s="32">
        <v>88</v>
      </c>
      <c r="B89" s="30" t="s">
        <v>2483</v>
      </c>
      <c r="C89" s="72" t="s">
        <v>5381</v>
      </c>
      <c r="D89" s="32" t="s">
        <v>5306</v>
      </c>
      <c r="E89" s="72" t="s">
        <v>5382</v>
      </c>
    </row>
    <row r="90" spans="1:5" ht="14.5">
      <c r="A90" s="32">
        <v>89</v>
      </c>
      <c r="B90" s="30" t="s">
        <v>2483</v>
      </c>
      <c r="C90" s="72" t="s">
        <v>5383</v>
      </c>
      <c r="D90" s="32" t="s">
        <v>5309</v>
      </c>
      <c r="E90" s="72" t="s">
        <v>5384</v>
      </c>
    </row>
    <row r="91" spans="1:5" ht="14.5">
      <c r="A91" s="32">
        <v>90</v>
      </c>
      <c r="B91" s="30" t="s">
        <v>2483</v>
      </c>
      <c r="C91" s="72" t="s">
        <v>5385</v>
      </c>
      <c r="D91" s="32" t="s">
        <v>5309</v>
      </c>
      <c r="E91" s="72" t="s">
        <v>5386</v>
      </c>
    </row>
    <row r="92" spans="1:5" ht="14.5">
      <c r="A92" s="32">
        <v>91</v>
      </c>
      <c r="B92" s="30" t="s">
        <v>2483</v>
      </c>
      <c r="C92" s="72" t="s">
        <v>5387</v>
      </c>
      <c r="D92" s="32" t="s">
        <v>5309</v>
      </c>
      <c r="E92" s="72" t="s">
        <v>5388</v>
      </c>
    </row>
    <row r="93" spans="1:5" ht="14.5">
      <c r="A93" s="32">
        <v>92</v>
      </c>
      <c r="B93" s="30" t="s">
        <v>2483</v>
      </c>
      <c r="C93" s="72" t="s">
        <v>5389</v>
      </c>
      <c r="D93" s="32" t="s">
        <v>5312</v>
      </c>
      <c r="E93" s="72" t="s">
        <v>5390</v>
      </c>
    </row>
    <row r="94" spans="1:5" ht="14.5">
      <c r="A94" s="32">
        <v>93</v>
      </c>
      <c r="B94" s="30" t="s">
        <v>2483</v>
      </c>
      <c r="C94" s="72" t="s">
        <v>5391</v>
      </c>
      <c r="D94" s="32" t="s">
        <v>5312</v>
      </c>
      <c r="E94" s="72" t="s">
        <v>5392</v>
      </c>
    </row>
    <row r="95" spans="1:5" ht="14.5">
      <c r="A95" s="32">
        <v>94</v>
      </c>
      <c r="B95" s="30" t="s">
        <v>2483</v>
      </c>
      <c r="C95" s="72" t="s">
        <v>5393</v>
      </c>
      <c r="D95" s="32" t="s">
        <v>5312</v>
      </c>
      <c r="E95" s="72" t="s">
        <v>5394</v>
      </c>
    </row>
    <row r="96" spans="1:5" ht="14.5">
      <c r="A96" s="32">
        <v>95</v>
      </c>
      <c r="B96" s="30" t="s">
        <v>2483</v>
      </c>
      <c r="C96" s="72" t="s">
        <v>5395</v>
      </c>
      <c r="D96" s="32" t="s">
        <v>5315</v>
      </c>
      <c r="E96" s="72" t="s">
        <v>5396</v>
      </c>
    </row>
    <row r="97" spans="1:5" ht="14.5">
      <c r="A97" s="32">
        <v>96</v>
      </c>
      <c r="B97" s="30" t="s">
        <v>2483</v>
      </c>
      <c r="C97" s="72" t="s">
        <v>5397</v>
      </c>
      <c r="D97" s="32" t="s">
        <v>5315</v>
      </c>
      <c r="E97" s="72" t="s">
        <v>5398</v>
      </c>
    </row>
    <row r="98" spans="1:5" ht="14.5">
      <c r="A98" s="32">
        <v>97</v>
      </c>
      <c r="B98" s="30" t="s">
        <v>2483</v>
      </c>
      <c r="C98" s="72" t="s">
        <v>5399</v>
      </c>
      <c r="D98" s="32" t="s">
        <v>5315</v>
      </c>
      <c r="E98" s="72" t="s">
        <v>5400</v>
      </c>
    </row>
    <row r="99" spans="1:5" ht="14.5">
      <c r="A99" s="32">
        <v>98</v>
      </c>
      <c r="B99" s="30" t="s">
        <v>2483</v>
      </c>
      <c r="C99" s="72" t="s">
        <v>5401</v>
      </c>
      <c r="D99" s="32" t="s">
        <v>5318</v>
      </c>
      <c r="E99" s="72" t="s">
        <v>5402</v>
      </c>
    </row>
    <row r="100" spans="1:5" ht="14.5">
      <c r="A100" s="32">
        <v>99</v>
      </c>
      <c r="B100" s="30" t="s">
        <v>2483</v>
      </c>
      <c r="C100" s="72" t="s">
        <v>5403</v>
      </c>
      <c r="D100" s="32" t="s">
        <v>5318</v>
      </c>
      <c r="E100" s="72" t="s">
        <v>5404</v>
      </c>
    </row>
    <row r="101" spans="1:5" ht="14.5">
      <c r="A101" s="32">
        <v>100</v>
      </c>
      <c r="B101" s="30" t="s">
        <v>2483</v>
      </c>
      <c r="C101" s="72" t="s">
        <v>5405</v>
      </c>
      <c r="D101" s="32" t="s">
        <v>5318</v>
      </c>
      <c r="E101" s="72" t="s">
        <v>5406</v>
      </c>
    </row>
    <row r="102" spans="1:5" ht="14.5">
      <c r="A102" s="32">
        <v>101</v>
      </c>
      <c r="B102" s="30" t="s">
        <v>2483</v>
      </c>
      <c r="C102" s="72" t="s">
        <v>5407</v>
      </c>
      <c r="D102" s="32" t="s">
        <v>5321</v>
      </c>
      <c r="E102" s="72"/>
    </row>
    <row r="103" spans="1:5" ht="14.5">
      <c r="A103" s="32">
        <v>102</v>
      </c>
      <c r="B103" s="30" t="s">
        <v>2483</v>
      </c>
      <c r="C103" s="72" t="s">
        <v>5408</v>
      </c>
      <c r="D103" s="32" t="s">
        <v>5321</v>
      </c>
      <c r="E103" s="72"/>
    </row>
    <row r="104" spans="1:5" ht="14.5">
      <c r="A104" s="32">
        <v>103</v>
      </c>
      <c r="B104" s="30" t="s">
        <v>2483</v>
      </c>
      <c r="C104" s="72" t="s">
        <v>5409</v>
      </c>
      <c r="D104" s="32" t="s">
        <v>5321</v>
      </c>
      <c r="E104" s="72"/>
    </row>
    <row r="105" spans="1:5" ht="14.5">
      <c r="A105" s="32">
        <v>104</v>
      </c>
      <c r="B105" s="30" t="s">
        <v>2483</v>
      </c>
      <c r="C105" s="72" t="s">
        <v>5410</v>
      </c>
      <c r="D105" s="32" t="s">
        <v>5324</v>
      </c>
      <c r="E105" s="72"/>
    </row>
    <row r="106" spans="1:5" ht="14.5">
      <c r="A106" s="32">
        <v>105</v>
      </c>
      <c r="B106" s="30" t="s">
        <v>2483</v>
      </c>
      <c r="C106" s="72" t="s">
        <v>5411</v>
      </c>
      <c r="D106" s="32" t="s">
        <v>5324</v>
      </c>
      <c r="E106" s="72"/>
    </row>
    <row r="107" spans="1:5" ht="14.5">
      <c r="A107" s="32">
        <v>106</v>
      </c>
      <c r="B107" s="30" t="s">
        <v>2483</v>
      </c>
      <c r="C107" s="72" t="s">
        <v>5412</v>
      </c>
      <c r="D107" s="32" t="s">
        <v>5324</v>
      </c>
      <c r="E107" s="72"/>
    </row>
    <row r="108" spans="1:5" ht="14.5">
      <c r="A108" s="32">
        <v>107</v>
      </c>
      <c r="B108" s="30" t="s">
        <v>2483</v>
      </c>
      <c r="C108" s="72" t="s">
        <v>5413</v>
      </c>
      <c r="D108" s="32" t="s">
        <v>5327</v>
      </c>
      <c r="E108" s="72"/>
    </row>
    <row r="109" spans="1:5" ht="14.5">
      <c r="A109" s="32">
        <v>108</v>
      </c>
      <c r="B109" s="30" t="s">
        <v>2483</v>
      </c>
      <c r="C109" s="72" t="s">
        <v>5414</v>
      </c>
      <c r="D109" s="32" t="s">
        <v>5327</v>
      </c>
      <c r="E109" s="72"/>
    </row>
    <row r="110" spans="1:5" ht="14.5">
      <c r="A110" s="32">
        <v>109</v>
      </c>
      <c r="B110" s="30" t="s">
        <v>2483</v>
      </c>
      <c r="C110" s="72" t="s">
        <v>5415</v>
      </c>
      <c r="D110" s="32" t="s">
        <v>5327</v>
      </c>
      <c r="E110" s="72"/>
    </row>
    <row r="111" spans="1:5" ht="14.5">
      <c r="A111" s="32">
        <v>110</v>
      </c>
      <c r="B111" s="30" t="s">
        <v>2483</v>
      </c>
      <c r="C111" s="72" t="s">
        <v>5416</v>
      </c>
      <c r="D111" s="32" t="s">
        <v>5417</v>
      </c>
      <c r="E111" s="72"/>
    </row>
    <row r="112" spans="1:5" ht="14.5">
      <c r="A112" s="32">
        <v>111</v>
      </c>
      <c r="B112" s="30" t="s">
        <v>2483</v>
      </c>
      <c r="C112" s="72" t="s">
        <v>5418</v>
      </c>
      <c r="D112" s="32" t="s">
        <v>5417</v>
      </c>
      <c r="E112" s="72"/>
    </row>
    <row r="113" spans="1:5" ht="14.5">
      <c r="A113" s="32">
        <v>112</v>
      </c>
      <c r="B113" s="30" t="s">
        <v>2483</v>
      </c>
      <c r="C113" s="72" t="s">
        <v>5419</v>
      </c>
      <c r="D113" s="32" t="s">
        <v>5417</v>
      </c>
      <c r="E113" s="72"/>
    </row>
    <row r="114" spans="1:5" ht="14.5">
      <c r="A114" s="32">
        <v>113</v>
      </c>
      <c r="B114" s="30" t="s">
        <v>2483</v>
      </c>
      <c r="C114" s="72" t="s">
        <v>5420</v>
      </c>
      <c r="D114" s="32" t="s">
        <v>5421</v>
      </c>
      <c r="E114" s="72"/>
    </row>
    <row r="115" spans="1:5" ht="14.5">
      <c r="A115" s="32">
        <v>114</v>
      </c>
      <c r="B115" s="30" t="s">
        <v>2483</v>
      </c>
      <c r="C115" s="72" t="s">
        <v>5422</v>
      </c>
      <c r="D115" s="32" t="s">
        <v>5421</v>
      </c>
      <c r="E115" s="72"/>
    </row>
    <row r="116" spans="1:5" ht="14.5">
      <c r="A116" s="32">
        <v>115</v>
      </c>
      <c r="B116" s="30" t="s">
        <v>2483</v>
      </c>
      <c r="C116" s="72" t="s">
        <v>5423</v>
      </c>
      <c r="D116" s="32" t="s">
        <v>5421</v>
      </c>
      <c r="E116" s="72"/>
    </row>
    <row r="117" spans="1:5" ht="14.5">
      <c r="A117" s="32">
        <v>116</v>
      </c>
      <c r="B117" s="30" t="s">
        <v>2483</v>
      </c>
      <c r="C117" s="72" t="s">
        <v>5424</v>
      </c>
      <c r="D117" s="32" t="s">
        <v>5425</v>
      </c>
      <c r="E117" s="72"/>
    </row>
    <row r="118" spans="1:5" ht="14.5">
      <c r="A118" s="32">
        <v>117</v>
      </c>
      <c r="B118" s="30" t="s">
        <v>2483</v>
      </c>
      <c r="C118" s="72" t="s">
        <v>5426</v>
      </c>
      <c r="D118" s="32" t="s">
        <v>5425</v>
      </c>
      <c r="E118" s="72"/>
    </row>
    <row r="119" spans="1:5" ht="14.5">
      <c r="A119" s="32">
        <v>118</v>
      </c>
      <c r="B119" s="30" t="s">
        <v>2483</v>
      </c>
      <c r="C119" s="72" t="s">
        <v>5427</v>
      </c>
      <c r="D119" s="32" t="s">
        <v>5425</v>
      </c>
      <c r="E119" s="72"/>
    </row>
    <row r="120" spans="1:5" ht="14.5">
      <c r="A120" s="32">
        <v>119</v>
      </c>
      <c r="B120" s="30" t="s">
        <v>5191</v>
      </c>
      <c r="C120" s="72" t="s">
        <v>5428</v>
      </c>
      <c r="D120" s="32" t="s">
        <v>5208</v>
      </c>
      <c r="E120" s="72"/>
    </row>
    <row r="121" spans="1:5" ht="14.5">
      <c r="A121" s="32">
        <v>120</v>
      </c>
      <c r="B121" s="30" t="s">
        <v>5191</v>
      </c>
      <c r="C121" s="72" t="s">
        <v>5429</v>
      </c>
      <c r="D121" s="32" t="s">
        <v>5211</v>
      </c>
      <c r="E121" s="72"/>
    </row>
    <row r="122" spans="1:5" ht="14.5">
      <c r="A122" s="32">
        <v>121</v>
      </c>
      <c r="B122" s="30" t="s">
        <v>5192</v>
      </c>
      <c r="C122" s="72" t="s">
        <v>5192</v>
      </c>
      <c r="D122" s="32" t="s">
        <v>5208</v>
      </c>
      <c r="E122" s="72"/>
    </row>
    <row r="123" spans="1:5" ht="14.5">
      <c r="A123" s="32">
        <v>122</v>
      </c>
      <c r="B123" s="30" t="s">
        <v>5192</v>
      </c>
      <c r="C123" s="72" t="s">
        <v>5430</v>
      </c>
      <c r="D123" s="32" t="s">
        <v>5211</v>
      </c>
      <c r="E123" s="72"/>
    </row>
    <row r="124" spans="1:5" ht="14.5">
      <c r="A124" s="32">
        <v>123</v>
      </c>
      <c r="B124" s="30" t="s">
        <v>5193</v>
      </c>
      <c r="C124" s="72" t="s">
        <v>5431</v>
      </c>
      <c r="D124" s="32" t="s">
        <v>5208</v>
      </c>
      <c r="E124" s="72"/>
    </row>
    <row r="125" spans="1:5" ht="14.5">
      <c r="A125" s="32">
        <v>124</v>
      </c>
      <c r="B125" s="30" t="s">
        <v>5193</v>
      </c>
      <c r="C125" s="72" t="s">
        <v>5432</v>
      </c>
      <c r="D125" s="32" t="s">
        <v>5211</v>
      </c>
      <c r="E125" s="72"/>
    </row>
    <row r="126" spans="1:5" ht="14.5">
      <c r="A126" s="32">
        <v>125</v>
      </c>
      <c r="B126" s="30" t="s">
        <v>5193</v>
      </c>
      <c r="C126" s="72" t="s">
        <v>5433</v>
      </c>
      <c r="D126" s="32" t="s">
        <v>5213</v>
      </c>
      <c r="E126" s="72"/>
    </row>
    <row r="127" spans="1:5" ht="14.5">
      <c r="A127" s="32">
        <v>126</v>
      </c>
      <c r="B127" s="30" t="s">
        <v>5434</v>
      </c>
      <c r="C127" s="72" t="s">
        <v>5434</v>
      </c>
      <c r="D127" s="32" t="s">
        <v>5208</v>
      </c>
      <c r="E127" s="72"/>
    </row>
    <row r="128" spans="1:5" ht="14.5">
      <c r="A128" s="32">
        <v>127</v>
      </c>
      <c r="B128" s="30" t="s">
        <v>5434</v>
      </c>
      <c r="C128" s="72" t="s">
        <v>5435</v>
      </c>
      <c r="D128" s="32" t="s">
        <v>5211</v>
      </c>
      <c r="E128" s="72"/>
    </row>
    <row r="129" spans="1:5" ht="28.5">
      <c r="A129" s="32">
        <v>128</v>
      </c>
      <c r="B129" s="99" t="s">
        <v>2598</v>
      </c>
      <c r="C129" s="72" t="s">
        <v>2599</v>
      </c>
      <c r="D129" s="32" t="s">
        <v>5208</v>
      </c>
      <c r="E129" s="72"/>
    </row>
    <row r="130" spans="1:5" ht="28.5">
      <c r="A130" s="32">
        <v>129</v>
      </c>
      <c r="B130" s="99" t="s">
        <v>2598</v>
      </c>
      <c r="C130" s="72" t="s">
        <v>5436</v>
      </c>
      <c r="D130" s="32" t="s">
        <v>5211</v>
      </c>
      <c r="E130" s="72"/>
    </row>
    <row r="131" spans="1:5" ht="14.5">
      <c r="A131" s="32">
        <v>130</v>
      </c>
      <c r="B131" s="30" t="s">
        <v>5195</v>
      </c>
      <c r="C131" s="72" t="s">
        <v>5195</v>
      </c>
      <c r="D131" s="32" t="s">
        <v>5208</v>
      </c>
      <c r="E131" s="72"/>
    </row>
    <row r="132" spans="1:5" ht="14.5">
      <c r="A132" s="32">
        <v>131</v>
      </c>
      <c r="B132" s="30" t="s">
        <v>5195</v>
      </c>
      <c r="C132" s="72" t="s">
        <v>5437</v>
      </c>
      <c r="D132" s="32" t="s">
        <v>5211</v>
      </c>
      <c r="E132" s="72"/>
    </row>
    <row r="133" spans="1:5" ht="14.5">
      <c r="A133" s="32">
        <v>132</v>
      </c>
      <c r="B133" s="30" t="s">
        <v>2923</v>
      </c>
      <c r="C133" s="72" t="s">
        <v>2923</v>
      </c>
      <c r="D133" s="32" t="s">
        <v>5208</v>
      </c>
      <c r="E133" s="72"/>
    </row>
    <row r="134" spans="1:5" ht="14.5">
      <c r="A134" s="32">
        <v>133</v>
      </c>
      <c r="B134" s="30" t="s">
        <v>2923</v>
      </c>
      <c r="C134" s="72" t="s">
        <v>5438</v>
      </c>
      <c r="D134" s="32" t="s">
        <v>5211</v>
      </c>
      <c r="E134" s="72"/>
    </row>
    <row r="135" spans="1:5" ht="14.5">
      <c r="A135" s="32">
        <v>134</v>
      </c>
      <c r="B135" s="30" t="s">
        <v>2923</v>
      </c>
      <c r="C135" s="72" t="s">
        <v>5439</v>
      </c>
      <c r="D135" s="32" t="s">
        <v>5213</v>
      </c>
      <c r="E135" s="72"/>
    </row>
    <row r="136" spans="1:5" ht="14.5">
      <c r="A136" s="32">
        <v>135</v>
      </c>
      <c r="B136" s="30" t="s">
        <v>2675</v>
      </c>
      <c r="C136" s="72" t="s">
        <v>2675</v>
      </c>
      <c r="D136" s="32" t="s">
        <v>5208</v>
      </c>
      <c r="E136" s="72"/>
    </row>
    <row r="137" spans="1:5" ht="14.5">
      <c r="A137" s="32">
        <v>136</v>
      </c>
      <c r="B137" s="30" t="s">
        <v>2675</v>
      </c>
      <c r="C137" s="72" t="s">
        <v>5440</v>
      </c>
      <c r="D137" s="32" t="s">
        <v>5211</v>
      </c>
      <c r="E137" s="72"/>
    </row>
    <row r="138" spans="1:5" ht="14.5">
      <c r="A138" s="32">
        <v>137</v>
      </c>
      <c r="B138" s="30" t="s">
        <v>5196</v>
      </c>
      <c r="C138" s="72" t="s">
        <v>5196</v>
      </c>
      <c r="D138" s="32" t="s">
        <v>5208</v>
      </c>
      <c r="E138" s="72"/>
    </row>
    <row r="139" spans="1:5" ht="14.5">
      <c r="A139" s="32">
        <v>138</v>
      </c>
      <c r="B139" s="30" t="s">
        <v>5196</v>
      </c>
      <c r="C139" s="72" t="s">
        <v>2973</v>
      </c>
      <c r="D139" s="32" t="s">
        <v>5211</v>
      </c>
      <c r="E139" s="72"/>
    </row>
    <row r="140" spans="1:5" ht="14.5">
      <c r="A140" s="32">
        <v>139</v>
      </c>
      <c r="B140" s="30" t="s">
        <v>3027</v>
      </c>
      <c r="C140" s="72" t="s">
        <v>3027</v>
      </c>
      <c r="D140" s="32" t="s">
        <v>5208</v>
      </c>
      <c r="E140" s="72"/>
    </row>
    <row r="141" spans="1:5" ht="14.5">
      <c r="A141" s="32">
        <v>140</v>
      </c>
      <c r="B141" s="30" t="s">
        <v>3027</v>
      </c>
      <c r="C141" s="72" t="s">
        <v>5441</v>
      </c>
      <c r="D141" s="32" t="s">
        <v>5211</v>
      </c>
      <c r="E141" s="72"/>
    </row>
    <row r="142" spans="1:5" ht="14.5">
      <c r="A142" s="32">
        <v>141</v>
      </c>
      <c r="B142" s="30" t="s">
        <v>2956</v>
      </c>
      <c r="C142" s="72" t="s">
        <v>2957</v>
      </c>
      <c r="D142" s="32" t="s">
        <v>5208</v>
      </c>
      <c r="E142" s="72"/>
    </row>
    <row r="143" spans="1:5" ht="14.5">
      <c r="A143" s="32">
        <v>142</v>
      </c>
      <c r="B143" s="30" t="s">
        <v>2956</v>
      </c>
      <c r="C143" s="72" t="s">
        <v>5281</v>
      </c>
      <c r="D143" s="32" t="s">
        <v>5211</v>
      </c>
      <c r="E143" s="72"/>
    </row>
    <row r="144" spans="1:5" ht="14.5">
      <c r="A144" s="32">
        <v>143</v>
      </c>
      <c r="B144" s="30" t="s">
        <v>5197</v>
      </c>
      <c r="C144" s="30" t="s">
        <v>5197</v>
      </c>
      <c r="D144" s="32" t="s">
        <v>5208</v>
      </c>
      <c r="E144" s="72"/>
    </row>
    <row r="145" spans="1:5" ht="14.5">
      <c r="A145" s="32">
        <v>144</v>
      </c>
      <c r="B145" s="30" t="s">
        <v>5197</v>
      </c>
      <c r="C145" s="72" t="s">
        <v>5442</v>
      </c>
      <c r="D145" s="32" t="s">
        <v>5211</v>
      </c>
      <c r="E145" s="72"/>
    </row>
    <row r="146" spans="1:5" ht="14.5">
      <c r="A146" s="32">
        <v>145</v>
      </c>
      <c r="B146" s="30" t="s">
        <v>2625</v>
      </c>
      <c r="C146" s="72" t="s">
        <v>2625</v>
      </c>
      <c r="D146" s="32" t="s">
        <v>5208</v>
      </c>
      <c r="E146" s="72"/>
    </row>
    <row r="147" spans="1:5" ht="14.5">
      <c r="A147" s="32">
        <v>146</v>
      </c>
      <c r="B147" s="30" t="s">
        <v>2625</v>
      </c>
      <c r="C147" s="72" t="s">
        <v>5443</v>
      </c>
      <c r="D147" s="32" t="s">
        <v>5211</v>
      </c>
      <c r="E147" s="72"/>
    </row>
    <row r="148" spans="1:5" ht="26">
      <c r="A148" s="32">
        <v>147</v>
      </c>
      <c r="B148" s="155" t="s">
        <v>2972</v>
      </c>
      <c r="C148" s="72" t="s">
        <v>2972</v>
      </c>
      <c r="D148" s="32" t="s">
        <v>5208</v>
      </c>
      <c r="E148" s="72"/>
    </row>
    <row r="149" spans="1:5" ht="26">
      <c r="A149" s="32">
        <v>148</v>
      </c>
      <c r="B149" s="155" t="s">
        <v>2972</v>
      </c>
      <c r="C149" s="72" t="s">
        <v>2973</v>
      </c>
      <c r="D149" s="32" t="s">
        <v>5211</v>
      </c>
      <c r="E149" s="72"/>
    </row>
    <row r="150" spans="1:5" ht="14.5">
      <c r="A150" s="32">
        <v>149</v>
      </c>
      <c r="B150" s="30" t="s">
        <v>5198</v>
      </c>
      <c r="C150" s="72" t="s">
        <v>5444</v>
      </c>
      <c r="D150" s="32" t="s">
        <v>5208</v>
      </c>
      <c r="E150" s="72"/>
    </row>
    <row r="151" spans="1:5" ht="14.5">
      <c r="A151" s="32">
        <v>150</v>
      </c>
      <c r="B151" s="30" t="s">
        <v>5198</v>
      </c>
      <c r="C151" s="72" t="s">
        <v>2973</v>
      </c>
      <c r="D151" s="32" t="s">
        <v>5211</v>
      </c>
      <c r="E151" s="72"/>
    </row>
    <row r="152" spans="1:5" ht="26">
      <c r="A152" s="32">
        <v>151</v>
      </c>
      <c r="B152" s="155" t="s">
        <v>5199</v>
      </c>
      <c r="C152" s="72" t="s">
        <v>5445</v>
      </c>
      <c r="D152" s="32" t="s">
        <v>5208</v>
      </c>
      <c r="E152" s="72"/>
    </row>
    <row r="153" spans="1:5" ht="26">
      <c r="A153" s="32">
        <v>152</v>
      </c>
      <c r="B153" s="155" t="s">
        <v>5199</v>
      </c>
      <c r="C153" s="72" t="s">
        <v>2973</v>
      </c>
      <c r="D153" s="32" t="s">
        <v>5211</v>
      </c>
      <c r="E153" s="72"/>
    </row>
    <row r="154" spans="1:5" ht="14.5">
      <c r="A154" s="32">
        <v>153</v>
      </c>
      <c r="B154" s="30" t="s">
        <v>2490</v>
      </c>
      <c r="C154" s="72" t="s">
        <v>2492</v>
      </c>
      <c r="D154" s="32" t="s">
        <v>5208</v>
      </c>
      <c r="E154" s="72"/>
    </row>
    <row r="155" spans="1:5" ht="14.5">
      <c r="A155" s="32">
        <v>154</v>
      </c>
      <c r="B155" s="30" t="s">
        <v>2490</v>
      </c>
      <c r="C155" s="72" t="s">
        <v>5446</v>
      </c>
      <c r="D155" s="32" t="s">
        <v>5211</v>
      </c>
      <c r="E155" s="72"/>
    </row>
    <row r="156" spans="1:5" ht="14.5">
      <c r="A156" s="32">
        <v>155</v>
      </c>
      <c r="B156" s="72" t="s">
        <v>5200</v>
      </c>
      <c r="C156" s="72" t="s">
        <v>5200</v>
      </c>
      <c r="D156" s="32" t="s">
        <v>5208</v>
      </c>
      <c r="E156" s="72"/>
    </row>
    <row r="157" spans="1:5" ht="14.5">
      <c r="A157" s="32">
        <v>156</v>
      </c>
      <c r="B157" s="72" t="s">
        <v>5200</v>
      </c>
      <c r="C157" s="72" t="s">
        <v>2973</v>
      </c>
      <c r="D157" s="32" t="s">
        <v>5211</v>
      </c>
      <c r="E157" s="72"/>
    </row>
    <row r="158" spans="1:5" ht="14.5">
      <c r="A158" s="32">
        <v>157</v>
      </c>
      <c r="B158" s="30" t="s">
        <v>5201</v>
      </c>
      <c r="C158" s="72" t="s">
        <v>5201</v>
      </c>
      <c r="D158" s="32" t="s">
        <v>5208</v>
      </c>
      <c r="E158" s="72"/>
    </row>
    <row r="159" spans="1:5" ht="14.5">
      <c r="A159" s="32">
        <v>158</v>
      </c>
      <c r="B159" s="30" t="s">
        <v>5201</v>
      </c>
      <c r="C159" s="72" t="s">
        <v>5447</v>
      </c>
      <c r="D159" s="32" t="s">
        <v>5211</v>
      </c>
      <c r="E159" s="72"/>
    </row>
    <row r="160" spans="1:5" ht="14.5">
      <c r="A160" s="32">
        <v>159</v>
      </c>
      <c r="B160" s="30" t="s">
        <v>2623</v>
      </c>
      <c r="C160" s="72" t="s">
        <v>2623</v>
      </c>
      <c r="D160" s="32" t="s">
        <v>5208</v>
      </c>
      <c r="E160" s="72"/>
    </row>
    <row r="161" spans="1:5" ht="14.5">
      <c r="A161" s="32">
        <v>160</v>
      </c>
      <c r="B161" s="30" t="s">
        <v>2623</v>
      </c>
      <c r="C161" s="72" t="s">
        <v>2973</v>
      </c>
      <c r="D161" s="32" t="s">
        <v>5211</v>
      </c>
      <c r="E161" s="72"/>
    </row>
    <row r="162" spans="1:5" ht="14.5">
      <c r="A162" s="32">
        <v>161</v>
      </c>
      <c r="B162" s="30" t="s">
        <v>3098</v>
      </c>
      <c r="C162" s="72" t="s">
        <v>3098</v>
      </c>
      <c r="D162" s="32" t="s">
        <v>5208</v>
      </c>
      <c r="E162" s="72"/>
    </row>
    <row r="163" spans="1:5" ht="14.5">
      <c r="A163" s="32">
        <v>162</v>
      </c>
      <c r="B163" s="30" t="s">
        <v>3098</v>
      </c>
      <c r="C163" s="72" t="s">
        <v>2973</v>
      </c>
      <c r="D163" s="32" t="s">
        <v>5211</v>
      </c>
      <c r="E163" s="72"/>
    </row>
    <row r="164" spans="1:5" ht="14.5">
      <c r="A164" s="32">
        <v>163</v>
      </c>
      <c r="B164" s="30" t="s">
        <v>3041</v>
      </c>
      <c r="C164" s="72" t="s">
        <v>3041</v>
      </c>
      <c r="D164" s="32" t="s">
        <v>5208</v>
      </c>
      <c r="E164" s="72"/>
    </row>
    <row r="165" spans="1:5" ht="14.5">
      <c r="A165" s="32">
        <v>164</v>
      </c>
      <c r="B165" s="30" t="s">
        <v>3041</v>
      </c>
      <c r="C165" s="72" t="s">
        <v>5448</v>
      </c>
      <c r="D165" s="32" t="s">
        <v>5211</v>
      </c>
      <c r="E165" s="72"/>
    </row>
    <row r="166" spans="1:5" ht="14.5">
      <c r="A166" s="32">
        <v>165</v>
      </c>
      <c r="B166" s="30" t="s">
        <v>5202</v>
      </c>
      <c r="C166" s="72" t="s">
        <v>5202</v>
      </c>
      <c r="D166" s="32" t="s">
        <v>5208</v>
      </c>
      <c r="E166" s="72"/>
    </row>
    <row r="167" spans="1:5" ht="14.5">
      <c r="A167" s="32">
        <v>166</v>
      </c>
      <c r="B167" s="30" t="s">
        <v>5202</v>
      </c>
      <c r="C167" s="72" t="s">
        <v>2973</v>
      </c>
      <c r="D167" s="32" t="s">
        <v>5211</v>
      </c>
      <c r="E167" s="72"/>
    </row>
    <row r="168" spans="1:5" ht="14.5">
      <c r="A168" s="32">
        <v>167</v>
      </c>
      <c r="B168" s="30" t="s">
        <v>2994</v>
      </c>
      <c r="C168" s="30" t="s">
        <v>2994</v>
      </c>
      <c r="D168" s="32" t="s">
        <v>5208</v>
      </c>
      <c r="E168" s="72"/>
    </row>
    <row r="169" spans="1:5" ht="14.5">
      <c r="A169" s="32">
        <v>168</v>
      </c>
      <c r="B169" s="30" t="s">
        <v>2994</v>
      </c>
      <c r="C169" s="72" t="s">
        <v>5449</v>
      </c>
      <c r="D169" s="32" t="s">
        <v>5211</v>
      </c>
      <c r="E169" s="72"/>
    </row>
    <row r="170" spans="1:5" ht="14.5">
      <c r="A170" s="32">
        <v>169</v>
      </c>
      <c r="B170" s="30" t="s">
        <v>2994</v>
      </c>
      <c r="C170" s="72" t="s">
        <v>5450</v>
      </c>
      <c r="D170" s="32" t="s">
        <v>5213</v>
      </c>
      <c r="E170" s="72"/>
    </row>
    <row r="171" spans="1:5" ht="14.5">
      <c r="A171" s="32">
        <v>170</v>
      </c>
      <c r="B171" s="30" t="s">
        <v>5203</v>
      </c>
      <c r="C171" s="72" t="s">
        <v>5451</v>
      </c>
      <c r="D171" s="32" t="s">
        <v>5208</v>
      </c>
      <c r="E171" s="72"/>
    </row>
    <row r="172" spans="1:5" ht="14.5">
      <c r="A172" s="32">
        <v>171</v>
      </c>
      <c r="B172" s="30" t="s">
        <v>5204</v>
      </c>
      <c r="C172" s="72" t="s">
        <v>5452</v>
      </c>
      <c r="D172" s="32" t="s">
        <v>5208</v>
      </c>
      <c r="E172" s="72"/>
    </row>
    <row r="173" spans="1:5" ht="12.5">
      <c r="A173" s="32"/>
      <c r="D173" s="32"/>
    </row>
    <row r="174" spans="1:5" ht="12.5">
      <c r="A174" s="32"/>
      <c r="D174" s="32"/>
    </row>
    <row r="175" spans="1:5" ht="12.5">
      <c r="A175" s="32"/>
      <c r="D175" s="32"/>
    </row>
    <row r="176" spans="1:5" ht="12.5">
      <c r="A176" s="32"/>
      <c r="D176" s="32"/>
    </row>
    <row r="177" spans="1:4" ht="12.5">
      <c r="A177" s="32"/>
      <c r="D177" s="32"/>
    </row>
    <row r="178" spans="1:4" ht="12.5">
      <c r="A178" s="32"/>
      <c r="D178" s="32"/>
    </row>
    <row r="179" spans="1:4" ht="12.5">
      <c r="A179" s="32"/>
      <c r="D179" s="32"/>
    </row>
    <row r="180" spans="1:4" ht="12.5">
      <c r="A180" s="32"/>
      <c r="D180" s="32"/>
    </row>
    <row r="181" spans="1:4" ht="12.5">
      <c r="A181" s="32"/>
      <c r="D181" s="32"/>
    </row>
    <row r="182" spans="1:4" ht="12.5">
      <c r="A182" s="32"/>
      <c r="D182" s="32"/>
    </row>
    <row r="183" spans="1:4" ht="12.5">
      <c r="A183" s="32"/>
      <c r="D183" s="32"/>
    </row>
    <row r="184" spans="1:4" ht="12.5">
      <c r="A184" s="32"/>
      <c r="D184" s="32"/>
    </row>
    <row r="185" spans="1:4" ht="12.5">
      <c r="A185" s="32"/>
      <c r="D185" s="32"/>
    </row>
    <row r="186" spans="1:4" ht="12.5">
      <c r="A186" s="32"/>
      <c r="D186" s="32"/>
    </row>
    <row r="187" spans="1:4" ht="12.5">
      <c r="A187" s="32"/>
      <c r="D187" s="32"/>
    </row>
    <row r="188" spans="1:4" ht="12.5">
      <c r="A188" s="32"/>
      <c r="D188" s="32"/>
    </row>
    <row r="189" spans="1:4" ht="12.5">
      <c r="A189" s="32"/>
      <c r="D189" s="32"/>
    </row>
    <row r="190" spans="1:4" ht="12.5">
      <c r="A190" s="32"/>
      <c r="D190" s="32"/>
    </row>
    <row r="191" spans="1:4" ht="12.5">
      <c r="A191" s="32"/>
      <c r="D191" s="32"/>
    </row>
    <row r="192" spans="1:4" ht="12.5">
      <c r="A192" s="32"/>
      <c r="D192" s="32"/>
    </row>
    <row r="193" spans="1:4" ht="12.5">
      <c r="A193" s="32"/>
      <c r="D193" s="32"/>
    </row>
    <row r="194" spans="1:4" ht="12.5">
      <c r="A194" s="32"/>
      <c r="D194" s="32"/>
    </row>
    <row r="195" spans="1:4" ht="12.5">
      <c r="A195" s="32"/>
      <c r="D195" s="32"/>
    </row>
    <row r="196" spans="1:4" ht="12.5">
      <c r="A196" s="32"/>
      <c r="D196" s="32"/>
    </row>
    <row r="197" spans="1:4" ht="12.5">
      <c r="A197" s="32"/>
      <c r="D197" s="32"/>
    </row>
    <row r="198" spans="1:4" ht="12.5">
      <c r="A198" s="32"/>
      <c r="D198" s="32"/>
    </row>
    <row r="199" spans="1:4" ht="12.5">
      <c r="A199" s="32"/>
      <c r="D199" s="32"/>
    </row>
    <row r="200" spans="1:4" ht="12.5">
      <c r="A200" s="32"/>
      <c r="D200" s="32"/>
    </row>
    <row r="201" spans="1:4" ht="12.5">
      <c r="A201" s="32"/>
      <c r="D201" s="32"/>
    </row>
    <row r="202" spans="1:4" ht="12.5">
      <c r="A202" s="32"/>
      <c r="D202" s="32"/>
    </row>
    <row r="203" spans="1:4" ht="12.5">
      <c r="A203" s="32"/>
      <c r="D203" s="32"/>
    </row>
    <row r="204" spans="1:4" ht="12.5">
      <c r="A204" s="32"/>
      <c r="D204" s="32"/>
    </row>
    <row r="205" spans="1:4" ht="12.5">
      <c r="A205" s="32"/>
      <c r="D205" s="32"/>
    </row>
    <row r="206" spans="1:4" ht="12.5">
      <c r="A206" s="32"/>
      <c r="D206" s="32"/>
    </row>
    <row r="207" spans="1:4" ht="12.5">
      <c r="A207" s="32"/>
      <c r="D207" s="32"/>
    </row>
    <row r="208" spans="1:4" ht="12.5">
      <c r="A208" s="32"/>
      <c r="D208" s="32"/>
    </row>
    <row r="209" spans="1:4" ht="12.5">
      <c r="A209" s="32"/>
      <c r="D209" s="32"/>
    </row>
    <row r="210" spans="1:4" ht="12.5">
      <c r="A210" s="32"/>
      <c r="D210" s="32"/>
    </row>
    <row r="211" spans="1:4" ht="12.5">
      <c r="A211" s="32"/>
      <c r="D211" s="32"/>
    </row>
    <row r="212" spans="1:4" ht="12.5">
      <c r="A212" s="32"/>
      <c r="D212" s="32"/>
    </row>
    <row r="213" spans="1:4" ht="12.5">
      <c r="A213" s="32"/>
      <c r="D213" s="32"/>
    </row>
    <row r="214" spans="1:4" ht="12.5">
      <c r="A214" s="32"/>
      <c r="D214" s="32"/>
    </row>
    <row r="215" spans="1:4" ht="12.5">
      <c r="A215" s="32"/>
      <c r="D215" s="32"/>
    </row>
    <row r="216" spans="1:4" ht="12.5">
      <c r="A216" s="32"/>
      <c r="D216" s="32"/>
    </row>
    <row r="217" spans="1:4" ht="12.5">
      <c r="A217" s="32"/>
      <c r="D217" s="32"/>
    </row>
    <row r="218" spans="1:4" ht="12.5">
      <c r="A218" s="32"/>
      <c r="D218" s="32"/>
    </row>
    <row r="219" spans="1:4" ht="12.5">
      <c r="A219" s="32"/>
      <c r="D219" s="32"/>
    </row>
    <row r="220" spans="1:4" ht="12.5">
      <c r="A220" s="32"/>
      <c r="D220" s="32"/>
    </row>
    <row r="221" spans="1:4" ht="12.5">
      <c r="A221" s="32"/>
      <c r="D221" s="32"/>
    </row>
    <row r="222" spans="1:4" ht="12.5">
      <c r="A222" s="32"/>
      <c r="D222" s="32"/>
    </row>
    <row r="223" spans="1:4" ht="12.5">
      <c r="A223" s="32"/>
      <c r="D223" s="32"/>
    </row>
    <row r="224" spans="1:4" ht="12.5">
      <c r="A224" s="32"/>
      <c r="D224" s="32"/>
    </row>
    <row r="225" spans="1:4" ht="12.5">
      <c r="A225" s="32"/>
      <c r="D225" s="32"/>
    </row>
    <row r="226" spans="1:4" ht="12.5">
      <c r="A226" s="32"/>
      <c r="D226" s="32"/>
    </row>
    <row r="227" spans="1:4" ht="12.5">
      <c r="A227" s="32"/>
      <c r="D227" s="32"/>
    </row>
    <row r="228" spans="1:4" ht="12.5">
      <c r="A228" s="32"/>
      <c r="D228" s="32"/>
    </row>
    <row r="229" spans="1:4" ht="12.5">
      <c r="A229" s="32"/>
      <c r="D229" s="32"/>
    </row>
    <row r="230" spans="1:4" ht="12.5">
      <c r="A230" s="32"/>
      <c r="D230" s="32"/>
    </row>
    <row r="231" spans="1:4" ht="12.5">
      <c r="A231" s="32"/>
      <c r="D231" s="32"/>
    </row>
    <row r="232" spans="1:4" ht="12.5">
      <c r="A232" s="32"/>
      <c r="D232" s="32"/>
    </row>
    <row r="233" spans="1:4" ht="12.5">
      <c r="A233" s="32"/>
      <c r="D233" s="32"/>
    </row>
    <row r="234" spans="1:4" ht="12.5">
      <c r="A234" s="32"/>
      <c r="D234" s="32"/>
    </row>
    <row r="235" spans="1:4" ht="12.5">
      <c r="A235" s="32"/>
      <c r="D235" s="32"/>
    </row>
    <row r="236" spans="1:4" ht="12.5">
      <c r="A236" s="32"/>
      <c r="D236" s="32"/>
    </row>
    <row r="237" spans="1:4" ht="12.5">
      <c r="A237" s="32"/>
      <c r="D237" s="32"/>
    </row>
    <row r="238" spans="1:4" ht="12.5">
      <c r="A238" s="32"/>
      <c r="D238" s="32"/>
    </row>
    <row r="239" spans="1:4" ht="12.5">
      <c r="A239" s="32"/>
      <c r="D239" s="32"/>
    </row>
    <row r="240" spans="1:4" ht="12.5">
      <c r="A240" s="32"/>
      <c r="D240" s="32"/>
    </row>
    <row r="241" spans="1:4" ht="12.5">
      <c r="A241" s="32"/>
      <c r="D241" s="32"/>
    </row>
    <row r="242" spans="1:4" ht="12.5">
      <c r="A242" s="32"/>
      <c r="D242" s="32"/>
    </row>
    <row r="243" spans="1:4" ht="12.5">
      <c r="A243" s="32"/>
      <c r="D243" s="32"/>
    </row>
    <row r="244" spans="1:4" ht="12.5">
      <c r="A244" s="32"/>
      <c r="D244" s="32"/>
    </row>
    <row r="245" spans="1:4" ht="12.5">
      <c r="A245" s="32"/>
      <c r="D245" s="32"/>
    </row>
    <row r="246" spans="1:4" ht="12.5">
      <c r="A246" s="32"/>
      <c r="D246" s="32"/>
    </row>
    <row r="247" spans="1:4" ht="12.5">
      <c r="A247" s="32"/>
      <c r="D247" s="32"/>
    </row>
    <row r="248" spans="1:4" ht="12.5">
      <c r="A248" s="32"/>
      <c r="D248" s="32"/>
    </row>
    <row r="249" spans="1:4" ht="12.5">
      <c r="A249" s="32"/>
      <c r="D249" s="32"/>
    </row>
    <row r="250" spans="1:4" ht="12.5">
      <c r="A250" s="32"/>
      <c r="D250" s="32"/>
    </row>
    <row r="251" spans="1:4" ht="12.5">
      <c r="A251" s="32"/>
      <c r="D251" s="32"/>
    </row>
    <row r="252" spans="1:4" ht="12.5">
      <c r="A252" s="32"/>
      <c r="D252" s="32"/>
    </row>
    <row r="253" spans="1:4" ht="12.5">
      <c r="A253" s="32"/>
      <c r="D253" s="32"/>
    </row>
    <row r="254" spans="1:4" ht="12.5">
      <c r="A254" s="32"/>
      <c r="D254" s="32"/>
    </row>
    <row r="255" spans="1:4" ht="12.5">
      <c r="A255" s="32"/>
      <c r="D255" s="32"/>
    </row>
    <row r="256" spans="1:4" ht="12.5">
      <c r="A256" s="32"/>
      <c r="D256" s="32"/>
    </row>
    <row r="257" spans="1:4" ht="12.5">
      <c r="A257" s="32"/>
      <c r="D257" s="32"/>
    </row>
    <row r="258" spans="1:4" ht="12.5">
      <c r="A258" s="32"/>
      <c r="D258" s="32"/>
    </row>
    <row r="259" spans="1:4" ht="12.5">
      <c r="A259" s="32"/>
      <c r="D259" s="32"/>
    </row>
    <row r="260" spans="1:4" ht="12.5">
      <c r="A260" s="32"/>
      <c r="D260" s="32"/>
    </row>
    <row r="261" spans="1:4" ht="12.5">
      <c r="A261" s="32"/>
      <c r="D261" s="32"/>
    </row>
    <row r="262" spans="1:4" ht="12.5">
      <c r="A262" s="32"/>
      <c r="D262" s="32"/>
    </row>
    <row r="263" spans="1:4" ht="12.5">
      <c r="A263" s="32"/>
      <c r="D263" s="32"/>
    </row>
    <row r="264" spans="1:4" ht="12.5">
      <c r="A264" s="32"/>
      <c r="D264" s="32"/>
    </row>
    <row r="265" spans="1:4" ht="12.5">
      <c r="A265" s="32"/>
      <c r="D265" s="32"/>
    </row>
    <row r="266" spans="1:4" ht="12.5">
      <c r="A266" s="32"/>
      <c r="D266" s="32"/>
    </row>
    <row r="267" spans="1:4" ht="12.5">
      <c r="A267" s="32"/>
      <c r="D267" s="32"/>
    </row>
    <row r="268" spans="1:4" ht="12.5">
      <c r="A268" s="32"/>
      <c r="D268" s="32"/>
    </row>
    <row r="269" spans="1:4" ht="12.5">
      <c r="A269" s="32"/>
      <c r="D269" s="32"/>
    </row>
    <row r="270" spans="1:4" ht="12.5">
      <c r="A270" s="32"/>
      <c r="D270" s="32"/>
    </row>
    <row r="271" spans="1:4" ht="12.5">
      <c r="A271" s="32"/>
      <c r="D271" s="32"/>
    </row>
    <row r="272" spans="1:4" ht="12.5">
      <c r="A272" s="32"/>
      <c r="D272" s="32"/>
    </row>
    <row r="273" spans="1:4" ht="12.5">
      <c r="A273" s="32"/>
      <c r="D273" s="32"/>
    </row>
    <row r="274" spans="1:4" ht="12.5">
      <c r="A274" s="32"/>
      <c r="D274" s="32"/>
    </row>
    <row r="275" spans="1:4" ht="12.5">
      <c r="A275" s="32"/>
      <c r="D275" s="32"/>
    </row>
    <row r="276" spans="1:4" ht="12.5">
      <c r="A276" s="32"/>
      <c r="D276" s="32"/>
    </row>
    <row r="277" spans="1:4" ht="12.5">
      <c r="A277" s="32"/>
      <c r="D277" s="32"/>
    </row>
    <row r="278" spans="1:4" ht="12.5">
      <c r="A278" s="32"/>
      <c r="D278" s="32"/>
    </row>
    <row r="279" spans="1:4" ht="12.5">
      <c r="A279" s="32"/>
      <c r="D279" s="32"/>
    </row>
    <row r="280" spans="1:4" ht="12.5">
      <c r="A280" s="32"/>
      <c r="D280" s="32"/>
    </row>
    <row r="281" spans="1:4" ht="12.5">
      <c r="A281" s="32"/>
      <c r="D281" s="32"/>
    </row>
    <row r="282" spans="1:4" ht="12.5">
      <c r="A282" s="32"/>
      <c r="D282" s="32"/>
    </row>
    <row r="283" spans="1:4" ht="12.5">
      <c r="A283" s="32"/>
      <c r="D283" s="32"/>
    </row>
    <row r="284" spans="1:4" ht="12.5">
      <c r="A284" s="32"/>
      <c r="D284" s="32"/>
    </row>
    <row r="285" spans="1:4" ht="12.5">
      <c r="A285" s="32"/>
      <c r="D285" s="32"/>
    </row>
    <row r="286" spans="1:4" ht="12.5">
      <c r="A286" s="32"/>
      <c r="D286" s="32"/>
    </row>
    <row r="287" spans="1:4" ht="12.5">
      <c r="A287" s="32"/>
      <c r="D287" s="32"/>
    </row>
    <row r="288" spans="1:4" ht="12.5">
      <c r="A288" s="32"/>
      <c r="D288" s="32"/>
    </row>
    <row r="289" spans="1:4" ht="12.5">
      <c r="A289" s="32"/>
      <c r="D289" s="32"/>
    </row>
    <row r="290" spans="1:4" ht="12.5">
      <c r="A290" s="32"/>
      <c r="D290" s="32"/>
    </row>
    <row r="291" spans="1:4" ht="12.5">
      <c r="A291" s="32"/>
      <c r="D291" s="32"/>
    </row>
    <row r="292" spans="1:4" ht="12.5">
      <c r="A292" s="32"/>
      <c r="D292" s="32"/>
    </row>
    <row r="293" spans="1:4" ht="12.5">
      <c r="A293" s="32"/>
      <c r="D293" s="32"/>
    </row>
    <row r="294" spans="1:4" ht="12.5">
      <c r="A294" s="32"/>
      <c r="D294" s="32"/>
    </row>
    <row r="295" spans="1:4" ht="12.5">
      <c r="A295" s="32"/>
      <c r="D295" s="32"/>
    </row>
    <row r="296" spans="1:4" ht="12.5">
      <c r="A296" s="32"/>
      <c r="D296" s="32"/>
    </row>
    <row r="297" spans="1:4" ht="12.5">
      <c r="A297" s="32"/>
      <c r="D297" s="32"/>
    </row>
    <row r="298" spans="1:4" ht="12.5">
      <c r="A298" s="32"/>
      <c r="D298" s="32"/>
    </row>
    <row r="299" spans="1:4" ht="12.5">
      <c r="A299" s="32"/>
      <c r="D299" s="32"/>
    </row>
    <row r="300" spans="1:4" ht="12.5">
      <c r="A300" s="32"/>
      <c r="D300" s="32"/>
    </row>
    <row r="301" spans="1:4" ht="12.5">
      <c r="A301" s="32"/>
      <c r="D301" s="32"/>
    </row>
    <row r="302" spans="1:4" ht="12.5">
      <c r="A302" s="32"/>
      <c r="D302" s="32"/>
    </row>
    <row r="303" spans="1:4" ht="12.5">
      <c r="A303" s="32"/>
      <c r="D303" s="32"/>
    </row>
    <row r="304" spans="1:4" ht="12.5">
      <c r="A304" s="32"/>
      <c r="D304" s="32"/>
    </row>
    <row r="305" spans="1:4" ht="12.5">
      <c r="A305" s="32"/>
      <c r="D305" s="32"/>
    </row>
    <row r="306" spans="1:4" ht="12.5">
      <c r="A306" s="32"/>
      <c r="D306" s="32"/>
    </row>
    <row r="307" spans="1:4" ht="12.5">
      <c r="A307" s="32"/>
      <c r="D307" s="32"/>
    </row>
    <row r="308" spans="1:4" ht="12.5">
      <c r="A308" s="32"/>
      <c r="D308" s="32"/>
    </row>
    <row r="309" spans="1:4" ht="12.5">
      <c r="A309" s="32"/>
      <c r="D309" s="32"/>
    </row>
    <row r="310" spans="1:4" ht="12.5">
      <c r="A310" s="32"/>
      <c r="D310" s="32"/>
    </row>
    <row r="311" spans="1:4" ht="12.5">
      <c r="A311" s="32"/>
      <c r="D311" s="32"/>
    </row>
    <row r="312" spans="1:4" ht="12.5">
      <c r="A312" s="32"/>
      <c r="D312" s="32"/>
    </row>
    <row r="313" spans="1:4" ht="12.5">
      <c r="A313" s="32"/>
      <c r="D313" s="32"/>
    </row>
    <row r="314" spans="1:4" ht="12.5">
      <c r="A314" s="32"/>
      <c r="D314" s="32"/>
    </row>
    <row r="315" spans="1:4" ht="12.5">
      <c r="A315" s="32"/>
      <c r="D315" s="32"/>
    </row>
    <row r="316" spans="1:4" ht="12.5">
      <c r="A316" s="32"/>
      <c r="D316" s="32"/>
    </row>
    <row r="317" spans="1:4" ht="12.5">
      <c r="A317" s="32"/>
      <c r="D317" s="32"/>
    </row>
    <row r="318" spans="1:4" ht="12.5">
      <c r="A318" s="32"/>
      <c r="D318" s="32"/>
    </row>
    <row r="319" spans="1:4" ht="12.5">
      <c r="A319" s="32"/>
      <c r="D319" s="32"/>
    </row>
    <row r="320" spans="1:4" ht="12.5">
      <c r="A320" s="32"/>
      <c r="D320" s="32"/>
    </row>
    <row r="321" spans="1:4" ht="12.5">
      <c r="A321" s="32"/>
      <c r="D321" s="32"/>
    </row>
    <row r="322" spans="1:4" ht="12.5">
      <c r="A322" s="32"/>
      <c r="D322" s="32"/>
    </row>
    <row r="323" spans="1:4" ht="12.5">
      <c r="A323" s="32"/>
      <c r="D323" s="32"/>
    </row>
    <row r="324" spans="1:4" ht="12.5">
      <c r="A324" s="32"/>
      <c r="D324" s="32"/>
    </row>
    <row r="325" spans="1:4" ht="12.5">
      <c r="A325" s="32"/>
      <c r="D325" s="32"/>
    </row>
    <row r="326" spans="1:4" ht="12.5">
      <c r="A326" s="32"/>
      <c r="D326" s="32"/>
    </row>
    <row r="327" spans="1:4" ht="12.5">
      <c r="A327" s="32"/>
      <c r="D327" s="32"/>
    </row>
    <row r="328" spans="1:4" ht="12.5">
      <c r="A328" s="32"/>
      <c r="D328" s="32"/>
    </row>
    <row r="329" spans="1:4" ht="12.5">
      <c r="A329" s="32"/>
      <c r="D329" s="32"/>
    </row>
    <row r="330" spans="1:4" ht="12.5">
      <c r="A330" s="32"/>
      <c r="D330" s="32"/>
    </row>
    <row r="331" spans="1:4" ht="12.5">
      <c r="A331" s="32"/>
      <c r="D331" s="32"/>
    </row>
    <row r="332" spans="1:4" ht="12.5">
      <c r="A332" s="32"/>
      <c r="D332" s="32"/>
    </row>
    <row r="333" spans="1:4" ht="12.5">
      <c r="A333" s="32"/>
      <c r="D333" s="32"/>
    </row>
    <row r="334" spans="1:4" ht="12.5">
      <c r="A334" s="32"/>
      <c r="D334" s="32"/>
    </row>
    <row r="335" spans="1:4" ht="12.5">
      <c r="A335" s="32"/>
      <c r="D335" s="32"/>
    </row>
    <row r="336" spans="1:4" ht="12.5">
      <c r="A336" s="32"/>
      <c r="D336" s="32"/>
    </row>
    <row r="337" spans="1:4" ht="12.5">
      <c r="A337" s="32"/>
      <c r="D337" s="32"/>
    </row>
    <row r="338" spans="1:4" ht="12.5">
      <c r="A338" s="32"/>
      <c r="D338" s="32"/>
    </row>
    <row r="339" spans="1:4" ht="12.5">
      <c r="A339" s="32"/>
      <c r="D339" s="32"/>
    </row>
    <row r="340" spans="1:4" ht="12.5">
      <c r="A340" s="32"/>
      <c r="D340" s="32"/>
    </row>
    <row r="341" spans="1:4" ht="12.5">
      <c r="A341" s="32"/>
      <c r="D341" s="32"/>
    </row>
    <row r="342" spans="1:4" ht="12.5">
      <c r="A342" s="32"/>
      <c r="D342" s="32"/>
    </row>
    <row r="343" spans="1:4" ht="12.5">
      <c r="A343" s="32"/>
      <c r="D343" s="32"/>
    </row>
    <row r="344" spans="1:4" ht="12.5">
      <c r="A344" s="32"/>
      <c r="D344" s="32"/>
    </row>
    <row r="345" spans="1:4" ht="12.5">
      <c r="A345" s="32"/>
      <c r="D345" s="32"/>
    </row>
    <row r="346" spans="1:4" ht="12.5">
      <c r="A346" s="32"/>
      <c r="D346" s="32"/>
    </row>
    <row r="347" spans="1:4" ht="12.5">
      <c r="A347" s="32"/>
      <c r="D347" s="32"/>
    </row>
    <row r="348" spans="1:4" ht="12.5">
      <c r="A348" s="32"/>
      <c r="D348" s="32"/>
    </row>
    <row r="349" spans="1:4" ht="12.5">
      <c r="A349" s="32"/>
      <c r="D349" s="32"/>
    </row>
    <row r="350" spans="1:4" ht="12.5">
      <c r="A350" s="32"/>
      <c r="D350" s="32"/>
    </row>
    <row r="351" spans="1:4" ht="12.5">
      <c r="A351" s="32"/>
      <c r="D351" s="32"/>
    </row>
    <row r="352" spans="1:4" ht="12.5">
      <c r="A352" s="32"/>
      <c r="D352" s="32"/>
    </row>
    <row r="353" spans="1:4" ht="12.5">
      <c r="A353" s="32"/>
      <c r="D353" s="32"/>
    </row>
    <row r="354" spans="1:4" ht="12.5">
      <c r="A354" s="32"/>
      <c r="D354" s="32"/>
    </row>
    <row r="355" spans="1:4" ht="12.5">
      <c r="A355" s="32"/>
      <c r="D355" s="32"/>
    </row>
    <row r="356" spans="1:4" ht="12.5">
      <c r="A356" s="32"/>
      <c r="D356" s="32"/>
    </row>
    <row r="357" spans="1:4" ht="12.5">
      <c r="A357" s="32"/>
      <c r="D357" s="32"/>
    </row>
    <row r="358" spans="1:4" ht="12.5">
      <c r="A358" s="32"/>
      <c r="D358" s="32"/>
    </row>
    <row r="359" spans="1:4" ht="12.5">
      <c r="A359" s="32"/>
      <c r="D359" s="32"/>
    </row>
    <row r="360" spans="1:4" ht="12.5">
      <c r="A360" s="32"/>
      <c r="D360" s="32"/>
    </row>
    <row r="361" spans="1:4" ht="12.5">
      <c r="A361" s="32"/>
      <c r="D361" s="32"/>
    </row>
    <row r="362" spans="1:4" ht="12.5">
      <c r="A362" s="32"/>
      <c r="D362" s="32"/>
    </row>
    <row r="363" spans="1:4" ht="12.5">
      <c r="A363" s="32"/>
      <c r="D363" s="32"/>
    </row>
    <row r="364" spans="1:4" ht="12.5">
      <c r="A364" s="32"/>
      <c r="D364" s="32"/>
    </row>
    <row r="365" spans="1:4" ht="12.5">
      <c r="A365" s="32"/>
      <c r="D365" s="32"/>
    </row>
    <row r="366" spans="1:4" ht="12.5">
      <c r="A366" s="32"/>
      <c r="D366" s="32"/>
    </row>
    <row r="367" spans="1:4" ht="12.5">
      <c r="A367" s="32"/>
      <c r="D367" s="32"/>
    </row>
    <row r="368" spans="1:4" ht="12.5">
      <c r="A368" s="32"/>
      <c r="D368" s="32"/>
    </row>
    <row r="369" spans="1:4" ht="12.5">
      <c r="A369" s="32"/>
      <c r="D369" s="32"/>
    </row>
    <row r="370" spans="1:4" ht="12.5">
      <c r="A370" s="32"/>
      <c r="D370" s="32"/>
    </row>
    <row r="371" spans="1:4" ht="12.5">
      <c r="A371" s="32"/>
      <c r="D371" s="32"/>
    </row>
    <row r="372" spans="1:4" ht="12.5">
      <c r="A372" s="32"/>
      <c r="D372" s="32"/>
    </row>
    <row r="373" spans="1:4" ht="12.5">
      <c r="A373" s="32"/>
      <c r="D373" s="32"/>
    </row>
    <row r="374" spans="1:4" ht="12.5">
      <c r="A374" s="32"/>
      <c r="D374" s="32"/>
    </row>
    <row r="375" spans="1:4" ht="12.5">
      <c r="A375" s="32"/>
      <c r="D375" s="32"/>
    </row>
    <row r="376" spans="1:4" ht="12.5">
      <c r="A376" s="32"/>
      <c r="D376" s="32"/>
    </row>
    <row r="377" spans="1:4" ht="12.5">
      <c r="A377" s="32"/>
      <c r="D377" s="32"/>
    </row>
    <row r="378" spans="1:4" ht="12.5">
      <c r="A378" s="32"/>
      <c r="D378" s="32"/>
    </row>
    <row r="379" spans="1:4" ht="12.5">
      <c r="A379" s="32"/>
      <c r="D379" s="32"/>
    </row>
    <row r="380" spans="1:4" ht="12.5">
      <c r="A380" s="32"/>
      <c r="D380" s="32"/>
    </row>
    <row r="381" spans="1:4" ht="12.5">
      <c r="A381" s="32"/>
      <c r="D381" s="32"/>
    </row>
    <row r="382" spans="1:4" ht="12.5">
      <c r="A382" s="32"/>
      <c r="D382" s="32"/>
    </row>
    <row r="383" spans="1:4" ht="12.5">
      <c r="A383" s="32"/>
      <c r="D383" s="32"/>
    </row>
    <row r="384" spans="1:4" ht="12.5">
      <c r="A384" s="32"/>
      <c r="D384" s="32"/>
    </row>
    <row r="385" spans="1:4" ht="12.5">
      <c r="A385" s="32"/>
      <c r="D385" s="32"/>
    </row>
    <row r="386" spans="1:4" ht="12.5">
      <c r="A386" s="32"/>
      <c r="D386" s="32"/>
    </row>
    <row r="387" spans="1:4" ht="12.5">
      <c r="A387" s="32"/>
      <c r="D387" s="32"/>
    </row>
    <row r="388" spans="1:4" ht="12.5">
      <c r="A388" s="32"/>
      <c r="D388" s="32"/>
    </row>
    <row r="389" spans="1:4" ht="12.5">
      <c r="A389" s="32"/>
      <c r="D389" s="32"/>
    </row>
    <row r="390" spans="1:4" ht="12.5">
      <c r="A390" s="32"/>
      <c r="D390" s="32"/>
    </row>
    <row r="391" spans="1:4" ht="12.5">
      <c r="A391" s="32"/>
      <c r="D391" s="32"/>
    </row>
    <row r="392" spans="1:4" ht="12.5">
      <c r="A392" s="32"/>
      <c r="D392" s="32"/>
    </row>
    <row r="393" spans="1:4" ht="12.5">
      <c r="A393" s="32"/>
      <c r="D393" s="32"/>
    </row>
    <row r="394" spans="1:4" ht="12.5">
      <c r="A394" s="32"/>
      <c r="D394" s="32"/>
    </row>
    <row r="395" spans="1:4" ht="12.5">
      <c r="A395" s="32"/>
      <c r="D395" s="32"/>
    </row>
    <row r="396" spans="1:4" ht="12.5">
      <c r="A396" s="32"/>
      <c r="D396" s="32"/>
    </row>
    <row r="397" spans="1:4" ht="12.5">
      <c r="A397" s="32"/>
      <c r="D397" s="32"/>
    </row>
    <row r="398" spans="1:4" ht="12.5">
      <c r="A398" s="32"/>
      <c r="D398" s="32"/>
    </row>
    <row r="399" spans="1:4" ht="12.5">
      <c r="A399" s="32"/>
      <c r="D399" s="32"/>
    </row>
    <row r="400" spans="1:4" ht="12.5">
      <c r="A400" s="32"/>
      <c r="D400" s="32"/>
    </row>
    <row r="401" spans="1:4" ht="12.5">
      <c r="A401" s="32"/>
      <c r="D401" s="32"/>
    </row>
    <row r="402" spans="1:4" ht="12.5">
      <c r="A402" s="32"/>
      <c r="D402" s="32"/>
    </row>
    <row r="403" spans="1:4" ht="12.5">
      <c r="A403" s="32"/>
      <c r="D403" s="32"/>
    </row>
    <row r="404" spans="1:4" ht="12.5">
      <c r="A404" s="32"/>
      <c r="D404" s="32"/>
    </row>
    <row r="405" spans="1:4" ht="12.5">
      <c r="A405" s="32"/>
      <c r="D405" s="32"/>
    </row>
    <row r="406" spans="1:4" ht="12.5">
      <c r="A406" s="32"/>
      <c r="D406" s="32"/>
    </row>
    <row r="407" spans="1:4" ht="12.5">
      <c r="A407" s="32"/>
      <c r="D407" s="32"/>
    </row>
    <row r="408" spans="1:4" ht="12.5">
      <c r="A408" s="32"/>
      <c r="D408" s="32"/>
    </row>
    <row r="409" spans="1:4" ht="12.5">
      <c r="A409" s="32"/>
      <c r="D409" s="32"/>
    </row>
    <row r="410" spans="1:4" ht="12.5">
      <c r="A410" s="32"/>
      <c r="D410" s="32"/>
    </row>
    <row r="411" spans="1:4" ht="12.5">
      <c r="A411" s="32"/>
      <c r="D411" s="32"/>
    </row>
    <row r="412" spans="1:4" ht="12.5">
      <c r="A412" s="32"/>
      <c r="D412" s="32"/>
    </row>
    <row r="413" spans="1:4" ht="12.5">
      <c r="A413" s="32"/>
      <c r="D413" s="32"/>
    </row>
    <row r="414" spans="1:4" ht="12.5">
      <c r="A414" s="32"/>
      <c r="D414" s="32"/>
    </row>
    <row r="415" spans="1:4" ht="12.5">
      <c r="A415" s="32"/>
      <c r="D415" s="32"/>
    </row>
    <row r="416" spans="1:4" ht="12.5">
      <c r="A416" s="32"/>
      <c r="D416" s="32"/>
    </row>
    <row r="417" spans="1:4" ht="12.5">
      <c r="A417" s="32"/>
      <c r="D417" s="32"/>
    </row>
    <row r="418" spans="1:4" ht="12.5">
      <c r="A418" s="32"/>
      <c r="D418" s="32"/>
    </row>
    <row r="419" spans="1:4" ht="12.5">
      <c r="A419" s="32"/>
      <c r="D419" s="32"/>
    </row>
    <row r="420" spans="1:4" ht="12.5">
      <c r="A420" s="32"/>
      <c r="D420" s="32"/>
    </row>
    <row r="421" spans="1:4" ht="12.5">
      <c r="A421" s="32"/>
      <c r="D421" s="32"/>
    </row>
    <row r="422" spans="1:4" ht="12.5">
      <c r="A422" s="32"/>
      <c r="D422" s="32"/>
    </row>
    <row r="423" spans="1:4" ht="12.5">
      <c r="A423" s="32"/>
      <c r="D423" s="32"/>
    </row>
    <row r="424" spans="1:4" ht="12.5">
      <c r="A424" s="32"/>
      <c r="D424" s="32"/>
    </row>
    <row r="425" spans="1:4" ht="12.5">
      <c r="A425" s="32"/>
      <c r="D425" s="32"/>
    </row>
    <row r="426" spans="1:4" ht="12.5">
      <c r="A426" s="32"/>
      <c r="D426" s="32"/>
    </row>
    <row r="427" spans="1:4" ht="12.5">
      <c r="A427" s="32"/>
      <c r="D427" s="32"/>
    </row>
    <row r="428" spans="1:4" ht="12.5">
      <c r="A428" s="32"/>
      <c r="D428" s="32"/>
    </row>
    <row r="429" spans="1:4" ht="12.5">
      <c r="A429" s="32"/>
      <c r="D429" s="32"/>
    </row>
    <row r="430" spans="1:4" ht="12.5">
      <c r="A430" s="32"/>
      <c r="D430" s="32"/>
    </row>
    <row r="431" spans="1:4" ht="12.5">
      <c r="A431" s="32"/>
      <c r="D431" s="32"/>
    </row>
    <row r="432" spans="1:4" ht="12.5">
      <c r="A432" s="32"/>
      <c r="D432" s="32"/>
    </row>
    <row r="433" spans="1:4" ht="12.5">
      <c r="A433" s="32"/>
      <c r="D433" s="32"/>
    </row>
    <row r="434" spans="1:4" ht="12.5">
      <c r="A434" s="32"/>
      <c r="D434" s="32"/>
    </row>
    <row r="435" spans="1:4" ht="12.5">
      <c r="A435" s="32"/>
      <c r="D435" s="32"/>
    </row>
    <row r="436" spans="1:4" ht="12.5">
      <c r="A436" s="32"/>
      <c r="D436" s="32"/>
    </row>
    <row r="437" spans="1:4" ht="12.5">
      <c r="A437" s="32"/>
      <c r="D437" s="32"/>
    </row>
    <row r="438" spans="1:4" ht="12.5">
      <c r="A438" s="32"/>
      <c r="D438" s="32"/>
    </row>
    <row r="439" spans="1:4" ht="12.5">
      <c r="A439" s="32"/>
      <c r="D439" s="32"/>
    </row>
    <row r="440" spans="1:4" ht="12.5">
      <c r="A440" s="32"/>
      <c r="D440" s="32"/>
    </row>
    <row r="441" spans="1:4" ht="12.5">
      <c r="A441" s="32"/>
      <c r="D441" s="32"/>
    </row>
    <row r="442" spans="1:4" ht="12.5">
      <c r="A442" s="32"/>
      <c r="D442" s="32"/>
    </row>
    <row r="443" spans="1:4" ht="12.5">
      <c r="A443" s="32"/>
      <c r="D443" s="32"/>
    </row>
    <row r="444" spans="1:4" ht="12.5">
      <c r="A444" s="32"/>
      <c r="D444" s="32"/>
    </row>
    <row r="445" spans="1:4" ht="12.5">
      <c r="A445" s="32"/>
      <c r="D445" s="32"/>
    </row>
    <row r="446" spans="1:4" ht="12.5">
      <c r="A446" s="32"/>
      <c r="D446" s="32"/>
    </row>
    <row r="447" spans="1:4" ht="12.5">
      <c r="A447" s="32"/>
      <c r="D447" s="32"/>
    </row>
    <row r="448" spans="1:4" ht="12.5">
      <c r="A448" s="32"/>
      <c r="D448" s="32"/>
    </row>
    <row r="449" spans="1:4" ht="12.5">
      <c r="A449" s="32"/>
      <c r="D449" s="32"/>
    </row>
    <row r="450" spans="1:4" ht="12.5">
      <c r="A450" s="32"/>
      <c r="D450" s="32"/>
    </row>
    <row r="451" spans="1:4" ht="12.5">
      <c r="A451" s="32"/>
      <c r="D451" s="32"/>
    </row>
    <row r="452" spans="1:4" ht="12.5">
      <c r="A452" s="32"/>
      <c r="D452" s="32"/>
    </row>
    <row r="453" spans="1:4" ht="12.5">
      <c r="A453" s="32"/>
      <c r="D453" s="32"/>
    </row>
    <row r="454" spans="1:4" ht="12.5">
      <c r="A454" s="32"/>
      <c r="D454" s="32"/>
    </row>
    <row r="455" spans="1:4" ht="12.5">
      <c r="A455" s="32"/>
      <c r="D455" s="32"/>
    </row>
    <row r="456" spans="1:4" ht="12.5">
      <c r="A456" s="32"/>
      <c r="D456" s="32"/>
    </row>
    <row r="457" spans="1:4" ht="12.5">
      <c r="A457" s="32"/>
      <c r="D457" s="32"/>
    </row>
    <row r="458" spans="1:4" ht="12.5">
      <c r="A458" s="32"/>
      <c r="D458" s="32"/>
    </row>
    <row r="459" spans="1:4" ht="12.5">
      <c r="A459" s="32"/>
      <c r="D459" s="32"/>
    </row>
    <row r="460" spans="1:4" ht="12.5">
      <c r="A460" s="32"/>
      <c r="D460" s="32"/>
    </row>
    <row r="461" spans="1:4" ht="12.5">
      <c r="A461" s="32"/>
      <c r="D461" s="32"/>
    </row>
    <row r="462" spans="1:4" ht="12.5">
      <c r="A462" s="32"/>
      <c r="D462" s="32"/>
    </row>
    <row r="463" spans="1:4" ht="12.5">
      <c r="A463" s="32"/>
      <c r="D463" s="32"/>
    </row>
    <row r="464" spans="1:4" ht="12.5">
      <c r="A464" s="32"/>
      <c r="D464" s="32"/>
    </row>
    <row r="465" spans="1:4" ht="12.5">
      <c r="A465" s="32"/>
      <c r="D465" s="32"/>
    </row>
    <row r="466" spans="1:4" ht="12.5">
      <c r="A466" s="32"/>
      <c r="D466" s="32"/>
    </row>
    <row r="467" spans="1:4" ht="12.5">
      <c r="A467" s="32"/>
      <c r="D467" s="32"/>
    </row>
    <row r="468" spans="1:4" ht="12.5">
      <c r="A468" s="32"/>
      <c r="D468" s="32"/>
    </row>
    <row r="469" spans="1:4" ht="12.5">
      <c r="A469" s="32"/>
      <c r="D469" s="32"/>
    </row>
    <row r="470" spans="1:4" ht="12.5">
      <c r="A470" s="32"/>
      <c r="D470" s="32"/>
    </row>
    <row r="471" spans="1:4" ht="12.5">
      <c r="A471" s="32"/>
      <c r="D471" s="32"/>
    </row>
    <row r="472" spans="1:4" ht="12.5">
      <c r="A472" s="32"/>
      <c r="D472" s="32"/>
    </row>
    <row r="473" spans="1:4" ht="12.5">
      <c r="A473" s="32"/>
      <c r="D473" s="32"/>
    </row>
    <row r="474" spans="1:4" ht="12.5">
      <c r="A474" s="32"/>
      <c r="D474" s="32"/>
    </row>
    <row r="475" spans="1:4" ht="12.5">
      <c r="A475" s="32"/>
      <c r="D475" s="32"/>
    </row>
    <row r="476" spans="1:4" ht="12.5">
      <c r="A476" s="32"/>
      <c r="D476" s="32"/>
    </row>
    <row r="477" spans="1:4" ht="12.5">
      <c r="A477" s="32"/>
      <c r="D477" s="32"/>
    </row>
    <row r="478" spans="1:4" ht="12.5">
      <c r="A478" s="32"/>
      <c r="D478" s="32"/>
    </row>
    <row r="479" spans="1:4" ht="12.5">
      <c r="A479" s="32"/>
      <c r="D479" s="32"/>
    </row>
    <row r="480" spans="1:4" ht="12.5">
      <c r="A480" s="32"/>
      <c r="D480" s="32"/>
    </row>
    <row r="481" spans="1:4" ht="12.5">
      <c r="A481" s="32"/>
      <c r="D481" s="32"/>
    </row>
    <row r="482" spans="1:4" ht="12.5">
      <c r="A482" s="32"/>
      <c r="D482" s="32"/>
    </row>
    <row r="483" spans="1:4" ht="12.5">
      <c r="A483" s="32"/>
      <c r="D483" s="32"/>
    </row>
    <row r="484" spans="1:4" ht="12.5">
      <c r="A484" s="32"/>
      <c r="D484" s="32"/>
    </row>
    <row r="485" spans="1:4" ht="12.5">
      <c r="A485" s="32"/>
      <c r="D485" s="32"/>
    </row>
    <row r="486" spans="1:4" ht="12.5">
      <c r="A486" s="32"/>
      <c r="D486" s="32"/>
    </row>
    <row r="487" spans="1:4" ht="12.5">
      <c r="A487" s="32"/>
      <c r="D487" s="32"/>
    </row>
    <row r="488" spans="1:4" ht="12.5">
      <c r="A488" s="32"/>
      <c r="D488" s="32"/>
    </row>
    <row r="489" spans="1:4" ht="12.5">
      <c r="A489" s="32"/>
      <c r="D489" s="32"/>
    </row>
    <row r="490" spans="1:4" ht="12.5">
      <c r="A490" s="32"/>
      <c r="D490" s="32"/>
    </row>
    <row r="491" spans="1:4" ht="12.5">
      <c r="A491" s="32"/>
      <c r="D491" s="32"/>
    </row>
    <row r="492" spans="1:4" ht="12.5">
      <c r="A492" s="32"/>
      <c r="D492" s="32"/>
    </row>
    <row r="493" spans="1:4" ht="12.5">
      <c r="A493" s="32"/>
      <c r="D493" s="32"/>
    </row>
    <row r="494" spans="1:4" ht="12.5">
      <c r="A494" s="32"/>
      <c r="D494" s="32"/>
    </row>
    <row r="495" spans="1:4" ht="12.5">
      <c r="A495" s="32"/>
      <c r="D495" s="32"/>
    </row>
    <row r="496" spans="1:4" ht="12.5">
      <c r="A496" s="32"/>
      <c r="D496" s="32"/>
    </row>
    <row r="497" spans="1:4" ht="12.5">
      <c r="A497" s="32"/>
      <c r="D497" s="32"/>
    </row>
    <row r="498" spans="1:4" ht="12.5">
      <c r="A498" s="32"/>
      <c r="D498" s="32"/>
    </row>
    <row r="499" spans="1:4" ht="12.5">
      <c r="A499" s="32"/>
      <c r="D499" s="32"/>
    </row>
    <row r="500" spans="1:4" ht="12.5">
      <c r="A500" s="32"/>
      <c r="D500" s="32"/>
    </row>
    <row r="501" spans="1:4" ht="12.5">
      <c r="A501" s="32"/>
      <c r="D501" s="32"/>
    </row>
    <row r="502" spans="1:4" ht="12.5">
      <c r="A502" s="32"/>
      <c r="D502" s="32"/>
    </row>
    <row r="503" spans="1:4" ht="12.5">
      <c r="A503" s="32"/>
      <c r="D503" s="32"/>
    </row>
    <row r="504" spans="1:4" ht="12.5">
      <c r="A504" s="32"/>
      <c r="D504" s="32"/>
    </row>
    <row r="505" spans="1:4" ht="12.5">
      <c r="A505" s="32"/>
      <c r="D505" s="32"/>
    </row>
    <row r="506" spans="1:4" ht="12.5">
      <c r="A506" s="32"/>
      <c r="D506" s="32"/>
    </row>
    <row r="507" spans="1:4" ht="12.5">
      <c r="A507" s="32"/>
      <c r="D507" s="32"/>
    </row>
    <row r="508" spans="1:4" ht="12.5">
      <c r="A508" s="32"/>
      <c r="D508" s="32"/>
    </row>
    <row r="509" spans="1:4" ht="12.5">
      <c r="A509" s="32"/>
      <c r="D509" s="32"/>
    </row>
    <row r="510" spans="1:4" ht="12.5">
      <c r="A510" s="32"/>
      <c r="D510" s="32"/>
    </row>
    <row r="511" spans="1:4" ht="12.5">
      <c r="A511" s="32"/>
      <c r="D511" s="32"/>
    </row>
    <row r="512" spans="1:4" ht="12.5">
      <c r="A512" s="32"/>
      <c r="D512" s="32"/>
    </row>
    <row r="513" spans="1:4" ht="12.5">
      <c r="A513" s="32"/>
      <c r="D513" s="32"/>
    </row>
    <row r="514" spans="1:4" ht="12.5">
      <c r="A514" s="32"/>
      <c r="D514" s="32"/>
    </row>
    <row r="515" spans="1:4" ht="12.5">
      <c r="A515" s="32"/>
      <c r="D515" s="32"/>
    </row>
    <row r="516" spans="1:4" ht="12.5">
      <c r="A516" s="32"/>
      <c r="D516" s="32"/>
    </row>
    <row r="517" spans="1:4" ht="12.5">
      <c r="A517" s="32"/>
      <c r="D517" s="32"/>
    </row>
    <row r="518" spans="1:4" ht="12.5">
      <c r="A518" s="32"/>
      <c r="D518" s="32"/>
    </row>
    <row r="519" spans="1:4" ht="12.5">
      <c r="A519" s="32"/>
      <c r="D519" s="32"/>
    </row>
    <row r="520" spans="1:4" ht="12.5">
      <c r="A520" s="32"/>
      <c r="D520" s="32"/>
    </row>
    <row r="521" spans="1:4" ht="12.5">
      <c r="A521" s="32"/>
      <c r="D521" s="32"/>
    </row>
    <row r="522" spans="1:4" ht="12.5">
      <c r="A522" s="32"/>
      <c r="D522" s="32"/>
    </row>
    <row r="523" spans="1:4" ht="12.5">
      <c r="A523" s="32"/>
      <c r="D523" s="32"/>
    </row>
    <row r="524" spans="1:4" ht="12.5">
      <c r="A524" s="32"/>
      <c r="D524" s="32"/>
    </row>
    <row r="525" spans="1:4" ht="12.5">
      <c r="A525" s="32"/>
      <c r="D525" s="32"/>
    </row>
    <row r="526" spans="1:4" ht="12.5">
      <c r="A526" s="32"/>
      <c r="D526" s="32"/>
    </row>
    <row r="527" spans="1:4" ht="12.5">
      <c r="A527" s="32"/>
      <c r="D527" s="32"/>
    </row>
    <row r="528" spans="1:4" ht="12.5">
      <c r="A528" s="32"/>
      <c r="D528" s="32"/>
    </row>
    <row r="529" spans="1:4" ht="12.5">
      <c r="A529" s="32"/>
      <c r="D529" s="32"/>
    </row>
    <row r="530" spans="1:4" ht="12.5">
      <c r="A530" s="32"/>
      <c r="D530" s="32"/>
    </row>
    <row r="531" spans="1:4" ht="12.5">
      <c r="A531" s="32"/>
      <c r="D531" s="32"/>
    </row>
    <row r="532" spans="1:4" ht="12.5">
      <c r="A532" s="32"/>
      <c r="D532" s="32"/>
    </row>
    <row r="533" spans="1:4" ht="12.5">
      <c r="A533" s="32"/>
      <c r="D533" s="32"/>
    </row>
    <row r="534" spans="1:4" ht="12.5">
      <c r="A534" s="32"/>
      <c r="D534" s="32"/>
    </row>
    <row r="535" spans="1:4" ht="12.5">
      <c r="A535" s="32"/>
      <c r="D535" s="32"/>
    </row>
    <row r="536" spans="1:4" ht="12.5">
      <c r="A536" s="32"/>
      <c r="D536" s="32"/>
    </row>
    <row r="537" spans="1:4" ht="12.5">
      <c r="A537" s="32"/>
      <c r="D537" s="32"/>
    </row>
    <row r="538" spans="1:4" ht="12.5">
      <c r="A538" s="32"/>
      <c r="D538" s="32"/>
    </row>
    <row r="539" spans="1:4" ht="12.5">
      <c r="A539" s="32"/>
      <c r="D539" s="32"/>
    </row>
    <row r="540" spans="1:4" ht="12.5">
      <c r="A540" s="32"/>
      <c r="D540" s="32"/>
    </row>
    <row r="541" spans="1:4" ht="12.5">
      <c r="A541" s="32"/>
      <c r="D541" s="32"/>
    </row>
    <row r="542" spans="1:4" ht="12.5">
      <c r="A542" s="32"/>
      <c r="D542" s="32"/>
    </row>
    <row r="543" spans="1:4" ht="12.5">
      <c r="A543" s="32"/>
      <c r="D543" s="32"/>
    </row>
    <row r="544" spans="1:4" ht="12.5">
      <c r="A544" s="32"/>
      <c r="D544" s="32"/>
    </row>
    <row r="545" spans="1:4" ht="12.5">
      <c r="A545" s="32"/>
      <c r="D545" s="32"/>
    </row>
    <row r="546" spans="1:4" ht="12.5">
      <c r="A546" s="32"/>
      <c r="D546" s="32"/>
    </row>
    <row r="547" spans="1:4" ht="12.5">
      <c r="A547" s="32"/>
      <c r="D547" s="32"/>
    </row>
    <row r="548" spans="1:4" ht="12.5">
      <c r="A548" s="32"/>
      <c r="D548" s="32"/>
    </row>
    <row r="549" spans="1:4" ht="12.5">
      <c r="A549" s="32"/>
      <c r="D549" s="32"/>
    </row>
    <row r="550" spans="1:4" ht="12.5">
      <c r="A550" s="32"/>
      <c r="D550" s="32"/>
    </row>
    <row r="551" spans="1:4" ht="12.5">
      <c r="A551" s="32"/>
      <c r="D551" s="32"/>
    </row>
    <row r="552" spans="1:4" ht="12.5">
      <c r="A552" s="32"/>
      <c r="D552" s="32"/>
    </row>
    <row r="553" spans="1:4" ht="12.5">
      <c r="A553" s="32"/>
      <c r="D553" s="32"/>
    </row>
    <row r="554" spans="1:4" ht="12.5">
      <c r="A554" s="32"/>
      <c r="D554" s="32"/>
    </row>
    <row r="555" spans="1:4" ht="12.5">
      <c r="A555" s="32"/>
      <c r="D555" s="32"/>
    </row>
    <row r="556" spans="1:4" ht="12.5">
      <c r="A556" s="32"/>
      <c r="D556" s="32"/>
    </row>
    <row r="557" spans="1:4" ht="12.5">
      <c r="A557" s="32"/>
      <c r="D557" s="32"/>
    </row>
    <row r="558" spans="1:4" ht="12.5">
      <c r="A558" s="32"/>
      <c r="D558" s="32"/>
    </row>
    <row r="559" spans="1:4" ht="12.5">
      <c r="A559" s="32"/>
      <c r="D559" s="32"/>
    </row>
    <row r="560" spans="1:4" ht="12.5">
      <c r="A560" s="32"/>
      <c r="D560" s="32"/>
    </row>
    <row r="561" spans="1:4" ht="12.5">
      <c r="A561" s="32"/>
      <c r="D561" s="32"/>
    </row>
    <row r="562" spans="1:4" ht="12.5">
      <c r="A562" s="32"/>
      <c r="D562" s="32"/>
    </row>
    <row r="563" spans="1:4" ht="12.5">
      <c r="A563" s="32"/>
      <c r="D563" s="32"/>
    </row>
    <row r="564" spans="1:4" ht="12.5">
      <c r="A564" s="32"/>
      <c r="D564" s="32"/>
    </row>
    <row r="565" spans="1:4" ht="12.5">
      <c r="A565" s="32"/>
      <c r="D565" s="32"/>
    </row>
    <row r="566" spans="1:4" ht="12.5">
      <c r="A566" s="32"/>
      <c r="D566" s="32"/>
    </row>
    <row r="567" spans="1:4" ht="12.5">
      <c r="A567" s="32"/>
      <c r="D567" s="32"/>
    </row>
    <row r="568" spans="1:4" ht="12.5">
      <c r="A568" s="32"/>
      <c r="D568" s="32"/>
    </row>
    <row r="569" spans="1:4" ht="12.5">
      <c r="A569" s="32"/>
      <c r="D569" s="32"/>
    </row>
    <row r="570" spans="1:4" ht="12.5">
      <c r="A570" s="32"/>
      <c r="D570" s="32"/>
    </row>
    <row r="571" spans="1:4" ht="12.5">
      <c r="A571" s="32"/>
      <c r="D571" s="32"/>
    </row>
    <row r="572" spans="1:4" ht="12.5">
      <c r="A572" s="32"/>
      <c r="D572" s="32"/>
    </row>
    <row r="573" spans="1:4" ht="12.5">
      <c r="A573" s="32"/>
      <c r="D573" s="32"/>
    </row>
    <row r="574" spans="1:4" ht="12.5">
      <c r="A574" s="32"/>
      <c r="D574" s="32"/>
    </row>
    <row r="575" spans="1:4" ht="12.5">
      <c r="A575" s="32"/>
      <c r="D575" s="32"/>
    </row>
    <row r="576" spans="1:4" ht="12.5">
      <c r="A576" s="32"/>
      <c r="D576" s="32"/>
    </row>
    <row r="577" spans="1:4" ht="12.5">
      <c r="A577" s="32"/>
      <c r="D577" s="32"/>
    </row>
    <row r="578" spans="1:4" ht="12.5">
      <c r="A578" s="32"/>
      <c r="D578" s="32"/>
    </row>
    <row r="579" spans="1:4" ht="12.5">
      <c r="A579" s="32"/>
      <c r="D579" s="32"/>
    </row>
    <row r="580" spans="1:4" ht="12.5">
      <c r="A580" s="32"/>
      <c r="D580" s="32"/>
    </row>
    <row r="581" spans="1:4" ht="12.5">
      <c r="A581" s="32"/>
      <c r="D581" s="32"/>
    </row>
    <row r="582" spans="1:4" ht="12.5">
      <c r="A582" s="32"/>
      <c r="D582" s="32"/>
    </row>
    <row r="583" spans="1:4" ht="12.5">
      <c r="A583" s="32"/>
      <c r="D583" s="32"/>
    </row>
    <row r="584" spans="1:4" ht="12.5">
      <c r="A584" s="32"/>
      <c r="D584" s="32"/>
    </row>
    <row r="585" spans="1:4" ht="12.5">
      <c r="A585" s="32"/>
      <c r="D585" s="32"/>
    </row>
    <row r="586" spans="1:4" ht="12.5">
      <c r="A586" s="32"/>
      <c r="D586" s="32"/>
    </row>
    <row r="587" spans="1:4" ht="12.5">
      <c r="A587" s="32"/>
      <c r="D587" s="32"/>
    </row>
    <row r="588" spans="1:4" ht="12.5">
      <c r="A588" s="32"/>
      <c r="D588" s="32"/>
    </row>
    <row r="589" spans="1:4" ht="12.5">
      <c r="A589" s="32"/>
      <c r="D589" s="32"/>
    </row>
    <row r="590" spans="1:4" ht="12.5">
      <c r="A590" s="32"/>
      <c r="D590" s="32"/>
    </row>
    <row r="591" spans="1:4" ht="12.5">
      <c r="A591" s="32"/>
      <c r="D591" s="32"/>
    </row>
    <row r="592" spans="1:4" ht="12.5">
      <c r="A592" s="32"/>
      <c r="D592" s="32"/>
    </row>
    <row r="593" spans="1:4" ht="12.5">
      <c r="A593" s="32"/>
      <c r="D593" s="32"/>
    </row>
    <row r="594" spans="1:4" ht="12.5">
      <c r="A594" s="32"/>
      <c r="D594" s="32"/>
    </row>
    <row r="595" spans="1:4" ht="12.5">
      <c r="A595" s="32"/>
      <c r="D595" s="32"/>
    </row>
    <row r="596" spans="1:4" ht="12.5">
      <c r="A596" s="32"/>
      <c r="D596" s="32"/>
    </row>
    <row r="597" spans="1:4" ht="12.5">
      <c r="A597" s="32"/>
      <c r="D597" s="32"/>
    </row>
    <row r="598" spans="1:4" ht="12.5">
      <c r="A598" s="32"/>
      <c r="D598" s="32"/>
    </row>
    <row r="599" spans="1:4" ht="12.5">
      <c r="A599" s="32"/>
      <c r="D599" s="32"/>
    </row>
    <row r="600" spans="1:4" ht="12.5">
      <c r="A600" s="32"/>
      <c r="D600" s="32"/>
    </row>
    <row r="601" spans="1:4" ht="12.5">
      <c r="A601" s="32"/>
      <c r="D601" s="32"/>
    </row>
    <row r="602" spans="1:4" ht="12.5">
      <c r="A602" s="32"/>
      <c r="D602" s="32"/>
    </row>
    <row r="603" spans="1:4" ht="12.5">
      <c r="A603" s="32"/>
      <c r="D603" s="32"/>
    </row>
    <row r="604" spans="1:4" ht="12.5">
      <c r="A604" s="32"/>
      <c r="D604" s="32"/>
    </row>
    <row r="605" spans="1:4" ht="12.5">
      <c r="A605" s="32"/>
      <c r="D605" s="32"/>
    </row>
    <row r="606" spans="1:4" ht="12.5">
      <c r="A606" s="32"/>
      <c r="D606" s="32"/>
    </row>
    <row r="607" spans="1:4" ht="12.5">
      <c r="A607" s="32"/>
      <c r="D607" s="32"/>
    </row>
    <row r="608" spans="1:4" ht="12.5">
      <c r="A608" s="32"/>
      <c r="D608" s="32"/>
    </row>
    <row r="609" spans="1:4" ht="12.5">
      <c r="A609" s="32"/>
      <c r="D609" s="32"/>
    </row>
    <row r="610" spans="1:4" ht="12.5">
      <c r="A610" s="32"/>
      <c r="D610" s="32"/>
    </row>
    <row r="611" spans="1:4" ht="12.5">
      <c r="A611" s="32"/>
      <c r="D611" s="32"/>
    </row>
    <row r="612" spans="1:4" ht="12.5">
      <c r="A612" s="32"/>
      <c r="D612" s="32"/>
    </row>
    <row r="613" spans="1:4" ht="12.5">
      <c r="A613" s="32"/>
      <c r="D613" s="32"/>
    </row>
    <row r="614" spans="1:4" ht="12.5">
      <c r="A614" s="32"/>
      <c r="D614" s="32"/>
    </row>
    <row r="615" spans="1:4" ht="12.5">
      <c r="A615" s="32"/>
      <c r="D615" s="32"/>
    </row>
    <row r="616" spans="1:4" ht="12.5">
      <c r="A616" s="32"/>
      <c r="D616" s="32"/>
    </row>
    <row r="617" spans="1:4" ht="12.5">
      <c r="A617" s="32"/>
      <c r="D617" s="32"/>
    </row>
    <row r="618" spans="1:4" ht="12.5">
      <c r="A618" s="32"/>
      <c r="D618" s="32"/>
    </row>
    <row r="619" spans="1:4" ht="12.5">
      <c r="A619" s="32"/>
      <c r="D619" s="32"/>
    </row>
    <row r="620" spans="1:4" ht="12.5">
      <c r="A620" s="32"/>
      <c r="D620" s="32"/>
    </row>
    <row r="621" spans="1:4" ht="12.5">
      <c r="A621" s="32"/>
      <c r="D621" s="32"/>
    </row>
    <row r="622" spans="1:4" ht="12.5">
      <c r="A622" s="32"/>
      <c r="D622" s="32"/>
    </row>
    <row r="623" spans="1:4" ht="12.5">
      <c r="A623" s="32"/>
      <c r="D623" s="32"/>
    </row>
    <row r="624" spans="1:4" ht="12.5">
      <c r="A624" s="32"/>
      <c r="D624" s="32"/>
    </row>
    <row r="625" spans="1:4" ht="12.5">
      <c r="A625" s="32"/>
      <c r="D625" s="32"/>
    </row>
    <row r="626" spans="1:4" ht="12.5">
      <c r="A626" s="32"/>
      <c r="D626" s="32"/>
    </row>
    <row r="627" spans="1:4" ht="12.5">
      <c r="A627" s="32"/>
      <c r="D627" s="32"/>
    </row>
    <row r="628" spans="1:4" ht="12.5">
      <c r="A628" s="32"/>
      <c r="D628" s="32"/>
    </row>
    <row r="629" spans="1:4" ht="12.5">
      <c r="A629" s="32"/>
      <c r="D629" s="32"/>
    </row>
    <row r="630" spans="1:4" ht="12.5">
      <c r="A630" s="32"/>
      <c r="D630" s="32"/>
    </row>
    <row r="631" spans="1:4" ht="12.5">
      <c r="A631" s="32"/>
      <c r="D631" s="32"/>
    </row>
    <row r="632" spans="1:4" ht="12.5">
      <c r="A632" s="32"/>
      <c r="D632" s="32"/>
    </row>
    <row r="633" spans="1:4" ht="12.5">
      <c r="A633" s="32"/>
      <c r="D633" s="32"/>
    </row>
    <row r="634" spans="1:4" ht="12.5">
      <c r="A634" s="32"/>
      <c r="D634" s="32"/>
    </row>
    <row r="635" spans="1:4" ht="12.5">
      <c r="A635" s="32"/>
      <c r="D635" s="32"/>
    </row>
    <row r="636" spans="1:4" ht="12.5">
      <c r="A636" s="32"/>
      <c r="D636" s="32"/>
    </row>
    <row r="637" spans="1:4" ht="12.5">
      <c r="A637" s="32"/>
      <c r="D637" s="32"/>
    </row>
    <row r="638" spans="1:4" ht="12.5">
      <c r="A638" s="32"/>
      <c r="D638" s="32"/>
    </row>
    <row r="639" spans="1:4" ht="12.5">
      <c r="A639" s="32"/>
      <c r="D639" s="32"/>
    </row>
    <row r="640" spans="1:4" ht="12.5">
      <c r="A640" s="32"/>
      <c r="D640" s="32"/>
    </row>
    <row r="641" spans="1:4" ht="12.5">
      <c r="A641" s="32"/>
      <c r="D641" s="32"/>
    </row>
    <row r="642" spans="1:4" ht="12.5">
      <c r="A642" s="32"/>
      <c r="D642" s="32"/>
    </row>
    <row r="643" spans="1:4" ht="12.5">
      <c r="A643" s="32"/>
      <c r="D643" s="32"/>
    </row>
    <row r="644" spans="1:4" ht="12.5">
      <c r="A644" s="32"/>
      <c r="D644" s="32"/>
    </row>
    <row r="645" spans="1:4" ht="12.5">
      <c r="A645" s="32"/>
      <c r="D645" s="32"/>
    </row>
    <row r="646" spans="1:4" ht="12.5">
      <c r="A646" s="32"/>
      <c r="D646" s="32"/>
    </row>
    <row r="647" spans="1:4" ht="12.5">
      <c r="A647" s="32"/>
      <c r="D647" s="32"/>
    </row>
    <row r="648" spans="1:4" ht="12.5">
      <c r="A648" s="32"/>
      <c r="D648" s="32"/>
    </row>
    <row r="649" spans="1:4" ht="12.5">
      <c r="A649" s="32"/>
      <c r="D649" s="32"/>
    </row>
    <row r="650" spans="1:4" ht="12.5">
      <c r="A650" s="32"/>
      <c r="D650" s="32"/>
    </row>
    <row r="651" spans="1:4" ht="12.5">
      <c r="A651" s="32"/>
      <c r="D651" s="32"/>
    </row>
    <row r="652" spans="1:4" ht="12.5">
      <c r="A652" s="32"/>
      <c r="D652" s="32"/>
    </row>
    <row r="653" spans="1:4" ht="12.5">
      <c r="A653" s="32"/>
      <c r="D653" s="32"/>
    </row>
    <row r="654" spans="1:4" ht="12.5">
      <c r="A654" s="32"/>
      <c r="D654" s="32"/>
    </row>
    <row r="655" spans="1:4" ht="12.5">
      <c r="A655" s="32"/>
      <c r="D655" s="32"/>
    </row>
    <row r="656" spans="1:4" ht="12.5">
      <c r="A656" s="32"/>
      <c r="D656" s="32"/>
    </row>
    <row r="657" spans="1:4" ht="12.5">
      <c r="A657" s="32"/>
      <c r="D657" s="32"/>
    </row>
    <row r="658" spans="1:4" ht="12.5">
      <c r="A658" s="32"/>
      <c r="D658" s="32"/>
    </row>
    <row r="659" spans="1:4" ht="12.5">
      <c r="A659" s="32"/>
      <c r="D659" s="32"/>
    </row>
    <row r="660" spans="1:4" ht="12.5">
      <c r="A660" s="32"/>
      <c r="D660" s="32"/>
    </row>
    <row r="661" spans="1:4" ht="12.5">
      <c r="A661" s="32"/>
      <c r="D661" s="32"/>
    </row>
    <row r="662" spans="1:4" ht="12.5">
      <c r="A662" s="32"/>
      <c r="D662" s="32"/>
    </row>
    <row r="663" spans="1:4" ht="12.5">
      <c r="A663" s="32"/>
      <c r="D663" s="32"/>
    </row>
    <row r="664" spans="1:4" ht="12.5">
      <c r="A664" s="32"/>
      <c r="D664" s="32"/>
    </row>
    <row r="665" spans="1:4" ht="12.5">
      <c r="A665" s="32"/>
      <c r="D665" s="32"/>
    </row>
    <row r="666" spans="1:4" ht="12.5">
      <c r="A666" s="32"/>
      <c r="D666" s="32"/>
    </row>
    <row r="667" spans="1:4" ht="12.5">
      <c r="A667" s="32"/>
      <c r="D667" s="32"/>
    </row>
    <row r="668" spans="1:4" ht="12.5">
      <c r="A668" s="32"/>
      <c r="D668" s="32"/>
    </row>
    <row r="669" spans="1:4" ht="12.5">
      <c r="A669" s="32"/>
      <c r="D669" s="32"/>
    </row>
    <row r="670" spans="1:4" ht="12.5">
      <c r="A670" s="32"/>
      <c r="D670" s="32"/>
    </row>
    <row r="671" spans="1:4" ht="12.5">
      <c r="A671" s="32"/>
      <c r="D671" s="32"/>
    </row>
    <row r="672" spans="1:4" ht="12.5">
      <c r="A672" s="32"/>
      <c r="D672" s="32"/>
    </row>
    <row r="673" spans="1:4" ht="12.5">
      <c r="A673" s="32"/>
      <c r="D673" s="32"/>
    </row>
    <row r="674" spans="1:4" ht="12.5">
      <c r="A674" s="32"/>
      <c r="D674" s="32"/>
    </row>
    <row r="675" spans="1:4" ht="12.5">
      <c r="A675" s="32"/>
      <c r="D675" s="32"/>
    </row>
    <row r="676" spans="1:4" ht="12.5">
      <c r="A676" s="32"/>
      <c r="D676" s="32"/>
    </row>
    <row r="677" spans="1:4" ht="12.5">
      <c r="A677" s="32"/>
      <c r="D677" s="32"/>
    </row>
    <row r="678" spans="1:4" ht="12.5">
      <c r="A678" s="32"/>
      <c r="D678" s="32"/>
    </row>
    <row r="679" spans="1:4" ht="12.5">
      <c r="A679" s="32"/>
      <c r="D679" s="32"/>
    </row>
    <row r="680" spans="1:4" ht="12.5">
      <c r="A680" s="32"/>
      <c r="D680" s="32"/>
    </row>
    <row r="681" spans="1:4" ht="12.5">
      <c r="A681" s="32"/>
      <c r="D681" s="32"/>
    </row>
    <row r="682" spans="1:4" ht="12.5">
      <c r="A682" s="32"/>
      <c r="D682" s="32"/>
    </row>
    <row r="683" spans="1:4" ht="12.5">
      <c r="A683" s="32"/>
      <c r="D683" s="32"/>
    </row>
    <row r="684" spans="1:4" ht="12.5">
      <c r="A684" s="32"/>
      <c r="D684" s="32"/>
    </row>
    <row r="685" spans="1:4" ht="12.5">
      <c r="A685" s="32"/>
      <c r="D685" s="32"/>
    </row>
    <row r="686" spans="1:4" ht="12.5">
      <c r="A686" s="32"/>
      <c r="D686" s="32"/>
    </row>
    <row r="687" spans="1:4" ht="12.5">
      <c r="A687" s="32"/>
      <c r="D687" s="32"/>
    </row>
    <row r="688" spans="1:4" ht="12.5">
      <c r="A688" s="32"/>
      <c r="D688" s="32"/>
    </row>
    <row r="689" spans="1:4" ht="12.5">
      <c r="A689" s="32"/>
      <c r="D689" s="32"/>
    </row>
    <row r="690" spans="1:4" ht="12.5">
      <c r="A690" s="32"/>
      <c r="D690" s="32"/>
    </row>
    <row r="691" spans="1:4" ht="12.5">
      <c r="A691" s="32"/>
      <c r="D691" s="32"/>
    </row>
    <row r="692" spans="1:4" ht="12.5">
      <c r="A692" s="32"/>
      <c r="D692" s="32"/>
    </row>
    <row r="693" spans="1:4" ht="12.5">
      <c r="A693" s="32"/>
      <c r="D693" s="32"/>
    </row>
    <row r="694" spans="1:4" ht="12.5">
      <c r="A694" s="32"/>
      <c r="D694" s="32"/>
    </row>
    <row r="695" spans="1:4" ht="12.5">
      <c r="A695" s="32"/>
      <c r="D695" s="32"/>
    </row>
    <row r="696" spans="1:4" ht="12.5">
      <c r="A696" s="32"/>
      <c r="D696" s="32"/>
    </row>
    <row r="697" spans="1:4" ht="12.5">
      <c r="A697" s="32"/>
      <c r="D697" s="32"/>
    </row>
    <row r="698" spans="1:4" ht="12.5">
      <c r="A698" s="32"/>
      <c r="D698" s="32"/>
    </row>
    <row r="699" spans="1:4" ht="12.5">
      <c r="A699" s="32"/>
      <c r="D699" s="32"/>
    </row>
    <row r="700" spans="1:4" ht="12.5">
      <c r="A700" s="32"/>
      <c r="D700" s="32"/>
    </row>
    <row r="701" spans="1:4" ht="12.5">
      <c r="A701" s="32"/>
      <c r="D701" s="32"/>
    </row>
    <row r="702" spans="1:4" ht="12.5">
      <c r="A702" s="32"/>
      <c r="D702" s="32"/>
    </row>
    <row r="703" spans="1:4" ht="12.5">
      <c r="A703" s="32"/>
      <c r="D703" s="32"/>
    </row>
    <row r="704" spans="1:4" ht="12.5">
      <c r="A704" s="32"/>
      <c r="D704" s="32"/>
    </row>
    <row r="705" spans="1:4" ht="12.5">
      <c r="A705" s="32"/>
      <c r="D705" s="32"/>
    </row>
    <row r="706" spans="1:4" ht="12.5">
      <c r="A706" s="32"/>
      <c r="D706" s="32"/>
    </row>
    <row r="707" spans="1:4" ht="12.5">
      <c r="A707" s="32"/>
      <c r="D707" s="32"/>
    </row>
    <row r="708" spans="1:4" ht="12.5">
      <c r="A708" s="32"/>
      <c r="D708" s="32"/>
    </row>
    <row r="709" spans="1:4" ht="12.5">
      <c r="A709" s="32"/>
      <c r="D709" s="32"/>
    </row>
    <row r="710" spans="1:4" ht="12.5">
      <c r="A710" s="32"/>
      <c r="D710" s="32"/>
    </row>
    <row r="711" spans="1:4" ht="12.5">
      <c r="A711" s="32"/>
      <c r="D711" s="32"/>
    </row>
    <row r="712" spans="1:4" ht="12.5">
      <c r="A712" s="32"/>
      <c r="D712" s="32"/>
    </row>
    <row r="713" spans="1:4" ht="12.5">
      <c r="A713" s="32"/>
      <c r="D713" s="32"/>
    </row>
    <row r="714" spans="1:4" ht="12.5">
      <c r="A714" s="32"/>
      <c r="D714" s="32"/>
    </row>
    <row r="715" spans="1:4" ht="12.5">
      <c r="A715" s="32"/>
      <c r="D715" s="32"/>
    </row>
    <row r="716" spans="1:4" ht="12.5">
      <c r="A716" s="32"/>
      <c r="D716" s="32"/>
    </row>
    <row r="717" spans="1:4" ht="12.5">
      <c r="A717" s="32"/>
      <c r="D717" s="32"/>
    </row>
    <row r="718" spans="1:4" ht="12.5">
      <c r="A718" s="32"/>
      <c r="D718" s="32"/>
    </row>
    <row r="719" spans="1:4" ht="12.5">
      <c r="A719" s="32"/>
      <c r="D719" s="32"/>
    </row>
    <row r="720" spans="1:4" ht="12.5">
      <c r="A720" s="32"/>
      <c r="D720" s="32"/>
    </row>
    <row r="721" spans="1:4" ht="12.5">
      <c r="A721" s="32"/>
      <c r="D721" s="32"/>
    </row>
    <row r="722" spans="1:4" ht="12.5">
      <c r="A722" s="32"/>
      <c r="D722" s="32"/>
    </row>
    <row r="723" spans="1:4" ht="12.5">
      <c r="A723" s="32"/>
      <c r="D723" s="32"/>
    </row>
    <row r="724" spans="1:4" ht="12.5">
      <c r="A724" s="32"/>
      <c r="D724" s="32"/>
    </row>
    <row r="725" spans="1:4" ht="12.5">
      <c r="A725" s="32"/>
      <c r="D725" s="32"/>
    </row>
    <row r="726" spans="1:4" ht="12.5">
      <c r="A726" s="32"/>
      <c r="D726" s="32"/>
    </row>
    <row r="727" spans="1:4" ht="12.5">
      <c r="A727" s="32"/>
      <c r="D727" s="32"/>
    </row>
    <row r="728" spans="1:4" ht="12.5">
      <c r="A728" s="32"/>
      <c r="D728" s="32"/>
    </row>
    <row r="729" spans="1:4" ht="12.5">
      <c r="A729" s="32"/>
      <c r="D729" s="32"/>
    </row>
    <row r="730" spans="1:4" ht="12.5">
      <c r="A730" s="32"/>
      <c r="D730" s="32"/>
    </row>
    <row r="731" spans="1:4" ht="12.5">
      <c r="A731" s="32"/>
      <c r="D731" s="32"/>
    </row>
    <row r="732" spans="1:4" ht="12.5">
      <c r="A732" s="32"/>
      <c r="D732" s="32"/>
    </row>
    <row r="733" spans="1:4" ht="12.5">
      <c r="A733" s="32"/>
      <c r="D733" s="32"/>
    </row>
    <row r="734" spans="1:4" ht="12.5">
      <c r="A734" s="32"/>
      <c r="D734" s="32"/>
    </row>
    <row r="735" spans="1:4" ht="12.5">
      <c r="A735" s="32"/>
      <c r="D735" s="32"/>
    </row>
    <row r="736" spans="1:4" ht="12.5">
      <c r="A736" s="32"/>
      <c r="D736" s="32"/>
    </row>
    <row r="737" spans="1:4" ht="12.5">
      <c r="A737" s="32"/>
      <c r="D737" s="32"/>
    </row>
    <row r="738" spans="1:4" ht="12.5">
      <c r="A738" s="32"/>
      <c r="D738" s="32"/>
    </row>
    <row r="739" spans="1:4" ht="12.5">
      <c r="A739" s="32"/>
      <c r="D739" s="32"/>
    </row>
    <row r="740" spans="1:4" ht="12.5">
      <c r="A740" s="32"/>
      <c r="D740" s="32"/>
    </row>
    <row r="741" spans="1:4" ht="12.5">
      <c r="A741" s="32"/>
      <c r="D741" s="32"/>
    </row>
    <row r="742" spans="1:4" ht="12.5">
      <c r="A742" s="32"/>
      <c r="D742" s="32"/>
    </row>
    <row r="743" spans="1:4" ht="12.5">
      <c r="A743" s="32"/>
      <c r="D743" s="32"/>
    </row>
    <row r="744" spans="1:4" ht="12.5">
      <c r="A744" s="32"/>
      <c r="D744" s="32"/>
    </row>
    <row r="745" spans="1:4" ht="12.5">
      <c r="A745" s="32"/>
      <c r="D745" s="32"/>
    </row>
    <row r="746" spans="1:4" ht="12.5">
      <c r="A746" s="32"/>
      <c r="D746" s="32"/>
    </row>
    <row r="747" spans="1:4" ht="12.5">
      <c r="A747" s="32"/>
      <c r="D747" s="32"/>
    </row>
    <row r="748" spans="1:4" ht="12.5">
      <c r="A748" s="32"/>
      <c r="D748" s="32"/>
    </row>
    <row r="749" spans="1:4" ht="12.5">
      <c r="A749" s="32"/>
      <c r="D749" s="32"/>
    </row>
    <row r="750" spans="1:4" ht="12.5">
      <c r="A750" s="32"/>
      <c r="D750" s="32"/>
    </row>
    <row r="751" spans="1:4" ht="12.5">
      <c r="A751" s="32"/>
      <c r="D751" s="32"/>
    </row>
    <row r="752" spans="1:4" ht="12.5">
      <c r="A752" s="32"/>
      <c r="D752" s="32"/>
    </row>
    <row r="753" spans="1:4" ht="12.5">
      <c r="A753" s="32"/>
      <c r="D753" s="32"/>
    </row>
    <row r="754" spans="1:4" ht="12.5">
      <c r="A754" s="32"/>
      <c r="D754" s="32"/>
    </row>
    <row r="755" spans="1:4" ht="12.5">
      <c r="A755" s="32"/>
      <c r="D755" s="32"/>
    </row>
    <row r="756" spans="1:4" ht="12.5">
      <c r="A756" s="32"/>
      <c r="D756" s="32"/>
    </row>
    <row r="757" spans="1:4" ht="12.5">
      <c r="A757" s="32"/>
      <c r="D757" s="32"/>
    </row>
    <row r="758" spans="1:4" ht="12.5">
      <c r="A758" s="32"/>
      <c r="D758" s="32"/>
    </row>
    <row r="759" spans="1:4" ht="12.5">
      <c r="A759" s="32"/>
      <c r="D759" s="32"/>
    </row>
    <row r="760" spans="1:4" ht="12.5">
      <c r="A760" s="32"/>
      <c r="D760" s="32"/>
    </row>
    <row r="761" spans="1:4" ht="12.5">
      <c r="A761" s="32"/>
      <c r="D761" s="32"/>
    </row>
    <row r="762" spans="1:4" ht="12.5">
      <c r="A762" s="32"/>
      <c r="D762" s="32"/>
    </row>
    <row r="763" spans="1:4" ht="12.5">
      <c r="A763" s="32"/>
      <c r="D763" s="32"/>
    </row>
    <row r="764" spans="1:4" ht="12.5">
      <c r="A764" s="32"/>
      <c r="D764" s="32"/>
    </row>
    <row r="765" spans="1:4" ht="12.5">
      <c r="A765" s="32"/>
      <c r="D765" s="32"/>
    </row>
    <row r="766" spans="1:4" ht="12.5">
      <c r="A766" s="32"/>
      <c r="D766" s="32"/>
    </row>
    <row r="767" spans="1:4" ht="12.5">
      <c r="A767" s="32"/>
      <c r="D767" s="32"/>
    </row>
    <row r="768" spans="1:4" ht="12.5">
      <c r="A768" s="32"/>
      <c r="D768" s="32"/>
    </row>
    <row r="769" spans="1:4" ht="12.5">
      <c r="A769" s="32"/>
      <c r="D769" s="32"/>
    </row>
    <row r="770" spans="1:4" ht="12.5">
      <c r="A770" s="32"/>
      <c r="D770" s="32"/>
    </row>
    <row r="771" spans="1:4" ht="12.5">
      <c r="A771" s="32"/>
      <c r="D771" s="32"/>
    </row>
    <row r="772" spans="1:4" ht="12.5">
      <c r="A772" s="32"/>
      <c r="D772" s="32"/>
    </row>
    <row r="773" spans="1:4" ht="12.5">
      <c r="A773" s="32"/>
      <c r="D773" s="32"/>
    </row>
    <row r="774" spans="1:4" ht="12.5">
      <c r="A774" s="32"/>
      <c r="D774" s="32"/>
    </row>
    <row r="775" spans="1:4" ht="12.5">
      <c r="A775" s="32"/>
      <c r="D775" s="32"/>
    </row>
    <row r="776" spans="1:4" ht="12.5">
      <c r="A776" s="32"/>
      <c r="D776" s="32"/>
    </row>
    <row r="777" spans="1:4" ht="12.5">
      <c r="A777" s="32"/>
      <c r="D777" s="32"/>
    </row>
    <row r="778" spans="1:4" ht="12.5">
      <c r="A778" s="32"/>
      <c r="D778" s="32"/>
    </row>
    <row r="779" spans="1:4" ht="12.5">
      <c r="A779" s="32"/>
      <c r="D779" s="32"/>
    </row>
    <row r="780" spans="1:4" ht="12.5">
      <c r="A780" s="32"/>
      <c r="D780" s="32"/>
    </row>
    <row r="781" spans="1:4" ht="12.5">
      <c r="A781" s="32"/>
      <c r="D781" s="32"/>
    </row>
    <row r="782" spans="1:4" ht="12.5">
      <c r="A782" s="32"/>
      <c r="D782" s="32"/>
    </row>
    <row r="783" spans="1:4" ht="12.5">
      <c r="A783" s="32"/>
      <c r="D783" s="32"/>
    </row>
    <row r="784" spans="1:4" ht="12.5">
      <c r="A784" s="32"/>
      <c r="D784" s="32"/>
    </row>
    <row r="785" spans="1:4" ht="12.5">
      <c r="A785" s="32"/>
      <c r="D785" s="32"/>
    </row>
    <row r="786" spans="1:4" ht="12.5">
      <c r="A786" s="32"/>
      <c r="D786" s="32"/>
    </row>
    <row r="787" spans="1:4" ht="12.5">
      <c r="A787" s="32"/>
      <c r="D787" s="32"/>
    </row>
    <row r="788" spans="1:4" ht="12.5">
      <c r="A788" s="32"/>
      <c r="D788" s="32"/>
    </row>
    <row r="789" spans="1:4" ht="12.5">
      <c r="A789" s="32"/>
      <c r="D789" s="32"/>
    </row>
    <row r="790" spans="1:4" ht="12.5">
      <c r="A790" s="32"/>
      <c r="D790" s="32"/>
    </row>
    <row r="791" spans="1:4" ht="12.5">
      <c r="A791" s="32"/>
      <c r="D791" s="32"/>
    </row>
    <row r="792" spans="1:4" ht="12.5">
      <c r="A792" s="32"/>
      <c r="D792" s="32"/>
    </row>
    <row r="793" spans="1:4" ht="12.5">
      <c r="A793" s="32"/>
      <c r="D793" s="32"/>
    </row>
    <row r="794" spans="1:4" ht="12.5">
      <c r="A794" s="32"/>
      <c r="D794" s="32"/>
    </row>
    <row r="795" spans="1:4" ht="12.5">
      <c r="A795" s="32"/>
      <c r="D795" s="32"/>
    </row>
    <row r="796" spans="1:4" ht="12.5">
      <c r="A796" s="32"/>
      <c r="D796" s="32"/>
    </row>
    <row r="797" spans="1:4" ht="12.5">
      <c r="A797" s="32"/>
      <c r="D797" s="32"/>
    </row>
    <row r="798" spans="1:4" ht="12.5">
      <c r="A798" s="32"/>
      <c r="D798" s="32"/>
    </row>
    <row r="799" spans="1:4" ht="12.5">
      <c r="A799" s="32"/>
      <c r="D799" s="32"/>
    </row>
    <row r="800" spans="1:4" ht="12.5">
      <c r="A800" s="32"/>
      <c r="D800" s="32"/>
    </row>
    <row r="801" spans="1:4" ht="12.5">
      <c r="A801" s="32"/>
      <c r="D801" s="32"/>
    </row>
    <row r="802" spans="1:4" ht="12.5">
      <c r="A802" s="32"/>
      <c r="D802" s="32"/>
    </row>
    <row r="803" spans="1:4" ht="12.5">
      <c r="A803" s="32"/>
      <c r="D803" s="32"/>
    </row>
    <row r="804" spans="1:4" ht="12.5">
      <c r="A804" s="32"/>
      <c r="D804" s="32"/>
    </row>
    <row r="805" spans="1:4" ht="12.5">
      <c r="A805" s="32"/>
      <c r="D805" s="32"/>
    </row>
    <row r="806" spans="1:4" ht="12.5">
      <c r="A806" s="32"/>
      <c r="D806" s="32"/>
    </row>
    <row r="807" spans="1:4" ht="12.5">
      <c r="A807" s="32"/>
      <c r="D807" s="32"/>
    </row>
    <row r="808" spans="1:4" ht="12.5">
      <c r="A808" s="32"/>
      <c r="D808" s="32"/>
    </row>
    <row r="809" spans="1:4" ht="12.5">
      <c r="A809" s="32"/>
      <c r="D809" s="32"/>
    </row>
    <row r="810" spans="1:4" ht="12.5">
      <c r="A810" s="32"/>
      <c r="D810" s="32"/>
    </row>
    <row r="811" spans="1:4" ht="12.5">
      <c r="A811" s="32"/>
      <c r="D811" s="32"/>
    </row>
    <row r="812" spans="1:4" ht="12.5">
      <c r="A812" s="32"/>
      <c r="D812" s="32"/>
    </row>
    <row r="813" spans="1:4" ht="12.5">
      <c r="A813" s="32"/>
      <c r="D813" s="32"/>
    </row>
    <row r="814" spans="1:4" ht="12.5">
      <c r="A814" s="32"/>
      <c r="D814" s="32"/>
    </row>
    <row r="815" spans="1:4" ht="12.5">
      <c r="A815" s="32"/>
      <c r="D815" s="32"/>
    </row>
    <row r="816" spans="1:4" ht="12.5">
      <c r="A816" s="32"/>
      <c r="D816" s="32"/>
    </row>
    <row r="817" spans="1:4" ht="12.5">
      <c r="A817" s="32"/>
      <c r="D817" s="32"/>
    </row>
    <row r="818" spans="1:4" ht="12.5">
      <c r="A818" s="32"/>
      <c r="D818" s="32"/>
    </row>
    <row r="819" spans="1:4" ht="12.5">
      <c r="A819" s="32"/>
      <c r="D819" s="32"/>
    </row>
    <row r="820" spans="1:4" ht="12.5">
      <c r="A820" s="32"/>
      <c r="D820" s="32"/>
    </row>
    <row r="821" spans="1:4" ht="12.5">
      <c r="A821" s="32"/>
      <c r="D821" s="32"/>
    </row>
    <row r="822" spans="1:4" ht="12.5">
      <c r="A822" s="32"/>
      <c r="D822" s="32"/>
    </row>
    <row r="823" spans="1:4" ht="12.5">
      <c r="A823" s="32"/>
      <c r="D823" s="32"/>
    </row>
    <row r="824" spans="1:4" ht="12.5">
      <c r="A824" s="32"/>
      <c r="D824" s="32"/>
    </row>
    <row r="825" spans="1:4" ht="12.5">
      <c r="A825" s="32"/>
      <c r="D825" s="32"/>
    </row>
    <row r="826" spans="1:4" ht="12.5">
      <c r="A826" s="32"/>
      <c r="D826" s="32"/>
    </row>
    <row r="827" spans="1:4" ht="12.5">
      <c r="A827" s="32"/>
      <c r="D827" s="32"/>
    </row>
    <row r="828" spans="1:4" ht="12.5">
      <c r="A828" s="32"/>
      <c r="D828" s="32"/>
    </row>
    <row r="829" spans="1:4" ht="12.5">
      <c r="A829" s="32"/>
      <c r="D829" s="32"/>
    </row>
    <row r="830" spans="1:4" ht="12.5">
      <c r="A830" s="32"/>
      <c r="D830" s="32"/>
    </row>
    <row r="831" spans="1:4" ht="12.5">
      <c r="A831" s="32"/>
      <c r="D831" s="32"/>
    </row>
    <row r="832" spans="1:4" ht="12.5">
      <c r="A832" s="32"/>
      <c r="D832" s="32"/>
    </row>
    <row r="833" spans="1:4" ht="12.5">
      <c r="A833" s="32"/>
      <c r="D833" s="32"/>
    </row>
    <row r="834" spans="1:4" ht="12.5">
      <c r="A834" s="32"/>
      <c r="D834" s="32"/>
    </row>
    <row r="835" spans="1:4" ht="12.5">
      <c r="A835" s="32"/>
      <c r="D835" s="32"/>
    </row>
    <row r="836" spans="1:4" ht="12.5">
      <c r="A836" s="32"/>
      <c r="D836" s="32"/>
    </row>
    <row r="837" spans="1:4" ht="12.5">
      <c r="A837" s="32"/>
      <c r="D837" s="32"/>
    </row>
    <row r="838" spans="1:4" ht="12.5">
      <c r="A838" s="32"/>
      <c r="D838" s="32"/>
    </row>
    <row r="839" spans="1:4" ht="12.5">
      <c r="A839" s="32"/>
      <c r="D839" s="32"/>
    </row>
    <row r="840" spans="1:4" ht="12.5">
      <c r="A840" s="32"/>
      <c r="D840" s="32"/>
    </row>
    <row r="841" spans="1:4" ht="12.5">
      <c r="A841" s="32"/>
      <c r="D841" s="32"/>
    </row>
    <row r="842" spans="1:4" ht="12.5">
      <c r="A842" s="32"/>
      <c r="D842" s="32"/>
    </row>
    <row r="843" spans="1:4" ht="12.5">
      <c r="A843" s="32"/>
      <c r="D843" s="32"/>
    </row>
    <row r="844" spans="1:4" ht="12.5">
      <c r="A844" s="32"/>
      <c r="D844" s="32"/>
    </row>
    <row r="845" spans="1:4" ht="12.5">
      <c r="A845" s="32"/>
      <c r="D845" s="32"/>
    </row>
    <row r="846" spans="1:4" ht="12.5">
      <c r="A846" s="32"/>
      <c r="D846" s="32"/>
    </row>
    <row r="847" spans="1:4" ht="12.5">
      <c r="A847" s="32"/>
      <c r="D847" s="32"/>
    </row>
    <row r="848" spans="1:4" ht="12.5">
      <c r="A848" s="32"/>
      <c r="D848" s="32"/>
    </row>
    <row r="849" spans="1:4" ht="12.5">
      <c r="A849" s="32"/>
      <c r="D849" s="32"/>
    </row>
    <row r="850" spans="1:4" ht="12.5">
      <c r="A850" s="32"/>
      <c r="D850" s="32"/>
    </row>
    <row r="851" spans="1:4" ht="12.5">
      <c r="A851" s="32"/>
      <c r="D851" s="32"/>
    </row>
    <row r="852" spans="1:4" ht="12.5">
      <c r="A852" s="32"/>
      <c r="D852" s="32"/>
    </row>
    <row r="853" spans="1:4" ht="12.5">
      <c r="A853" s="32"/>
      <c r="D853" s="32"/>
    </row>
    <row r="854" spans="1:4" ht="12.5">
      <c r="A854" s="32"/>
      <c r="D854" s="32"/>
    </row>
    <row r="855" spans="1:4" ht="12.5">
      <c r="A855" s="32"/>
      <c r="D855" s="32"/>
    </row>
    <row r="856" spans="1:4" ht="12.5">
      <c r="A856" s="32"/>
      <c r="D856" s="32"/>
    </row>
    <row r="857" spans="1:4" ht="12.5">
      <c r="A857" s="32"/>
      <c r="D857" s="32"/>
    </row>
    <row r="858" spans="1:4" ht="12.5">
      <c r="A858" s="32"/>
      <c r="D858" s="32"/>
    </row>
    <row r="859" spans="1:4" ht="12.5">
      <c r="A859" s="32"/>
      <c r="D859" s="32"/>
    </row>
    <row r="860" spans="1:4" ht="12.5">
      <c r="A860" s="32"/>
      <c r="D860" s="32"/>
    </row>
    <row r="861" spans="1:4" ht="12.5">
      <c r="A861" s="32"/>
      <c r="D861" s="32"/>
    </row>
    <row r="862" spans="1:4" ht="12.5">
      <c r="A862" s="32"/>
      <c r="D862" s="32"/>
    </row>
    <row r="863" spans="1:4" ht="12.5">
      <c r="A863" s="32"/>
      <c r="D863" s="32"/>
    </row>
    <row r="864" spans="1:4" ht="12.5">
      <c r="A864" s="32"/>
      <c r="D864" s="32"/>
    </row>
    <row r="865" spans="1:4" ht="12.5">
      <c r="A865" s="32"/>
      <c r="D865" s="32"/>
    </row>
    <row r="866" spans="1:4" ht="12.5">
      <c r="A866" s="32"/>
      <c r="D866" s="32"/>
    </row>
    <row r="867" spans="1:4" ht="12.5">
      <c r="A867" s="32"/>
      <c r="D867" s="32"/>
    </row>
    <row r="868" spans="1:4" ht="12.5">
      <c r="A868" s="32"/>
      <c r="D868" s="32"/>
    </row>
    <row r="869" spans="1:4" ht="12.5">
      <c r="A869" s="32"/>
      <c r="D869" s="32"/>
    </row>
    <row r="870" spans="1:4" ht="12.5">
      <c r="A870" s="32"/>
      <c r="D870" s="32"/>
    </row>
    <row r="871" spans="1:4" ht="12.5">
      <c r="A871" s="32"/>
      <c r="D871" s="32"/>
    </row>
    <row r="872" spans="1:4" ht="12.5">
      <c r="A872" s="32"/>
      <c r="D872" s="32"/>
    </row>
    <row r="873" spans="1:4" ht="12.5">
      <c r="A873" s="32"/>
      <c r="D873" s="32"/>
    </row>
    <row r="874" spans="1:4" ht="12.5">
      <c r="A874" s="32"/>
      <c r="D874" s="32"/>
    </row>
    <row r="875" spans="1:4" ht="12.5">
      <c r="A875" s="32"/>
      <c r="D875" s="32"/>
    </row>
    <row r="876" spans="1:4" ht="12.5">
      <c r="A876" s="32"/>
      <c r="D876" s="32"/>
    </row>
    <row r="877" spans="1:4" ht="12.5">
      <c r="A877" s="32"/>
      <c r="D877" s="32"/>
    </row>
    <row r="878" spans="1:4" ht="12.5">
      <c r="A878" s="32"/>
      <c r="D878" s="32"/>
    </row>
    <row r="879" spans="1:4" ht="12.5">
      <c r="A879" s="32"/>
      <c r="D879" s="32"/>
    </row>
    <row r="880" spans="1:4" ht="12.5">
      <c r="A880" s="32"/>
      <c r="D880" s="32"/>
    </row>
    <row r="881" spans="1:4" ht="12.5">
      <c r="A881" s="32"/>
      <c r="D881" s="32"/>
    </row>
    <row r="882" spans="1:4" ht="12.5">
      <c r="A882" s="32"/>
      <c r="D882" s="32"/>
    </row>
    <row r="883" spans="1:4" ht="12.5">
      <c r="A883" s="32"/>
      <c r="D883" s="32"/>
    </row>
    <row r="884" spans="1:4" ht="12.5">
      <c r="A884" s="32"/>
      <c r="D884" s="32"/>
    </row>
    <row r="885" spans="1:4" ht="12.5">
      <c r="A885" s="32"/>
      <c r="D885" s="32"/>
    </row>
    <row r="886" spans="1:4" ht="12.5">
      <c r="A886" s="32"/>
      <c r="D886" s="32"/>
    </row>
    <row r="887" spans="1:4" ht="12.5">
      <c r="A887" s="32"/>
      <c r="D887" s="32"/>
    </row>
    <row r="888" spans="1:4" ht="12.5">
      <c r="A888" s="32"/>
      <c r="D888" s="32"/>
    </row>
    <row r="889" spans="1:4" ht="12.5">
      <c r="A889" s="32"/>
      <c r="D889" s="32"/>
    </row>
    <row r="890" spans="1:4" ht="12.5">
      <c r="A890" s="32"/>
      <c r="D890" s="32"/>
    </row>
    <row r="891" spans="1:4" ht="12.5">
      <c r="A891" s="32"/>
      <c r="D891" s="32"/>
    </row>
    <row r="892" spans="1:4" ht="12.5">
      <c r="A892" s="32"/>
      <c r="D892" s="32"/>
    </row>
    <row r="893" spans="1:4" ht="12.5">
      <c r="A893" s="32"/>
      <c r="D893" s="32"/>
    </row>
    <row r="894" spans="1:4" ht="12.5">
      <c r="A894" s="32"/>
      <c r="D894" s="32"/>
    </row>
    <row r="895" spans="1:4" ht="12.5">
      <c r="A895" s="32"/>
      <c r="D895" s="32"/>
    </row>
    <row r="896" spans="1:4" ht="12.5">
      <c r="A896" s="32"/>
      <c r="D896" s="32"/>
    </row>
    <row r="897" spans="1:4" ht="12.5">
      <c r="A897" s="32"/>
      <c r="D897" s="32"/>
    </row>
    <row r="898" spans="1:4" ht="12.5">
      <c r="A898" s="32"/>
      <c r="D898" s="32"/>
    </row>
    <row r="899" spans="1:4" ht="12.5">
      <c r="A899" s="32"/>
      <c r="D899" s="32"/>
    </row>
    <row r="900" spans="1:4" ht="12.5">
      <c r="A900" s="32"/>
      <c r="D900" s="32"/>
    </row>
    <row r="901" spans="1:4" ht="12.5">
      <c r="A901" s="32"/>
      <c r="D901" s="32"/>
    </row>
    <row r="902" spans="1:4" ht="12.5">
      <c r="A902" s="32"/>
      <c r="D902" s="32"/>
    </row>
    <row r="903" spans="1:4" ht="12.5">
      <c r="A903" s="32"/>
      <c r="D903" s="32"/>
    </row>
    <row r="904" spans="1:4" ht="12.5">
      <c r="A904" s="32"/>
      <c r="D904" s="32"/>
    </row>
    <row r="905" spans="1:4" ht="12.5">
      <c r="A905" s="32"/>
      <c r="D905" s="32"/>
    </row>
    <row r="906" spans="1:4" ht="12.5">
      <c r="A906" s="32"/>
      <c r="D906" s="32"/>
    </row>
    <row r="907" spans="1:4" ht="12.5">
      <c r="A907" s="32"/>
      <c r="D907" s="32"/>
    </row>
    <row r="908" spans="1:4" ht="12.5">
      <c r="A908" s="32"/>
      <c r="D908" s="32"/>
    </row>
    <row r="909" spans="1:4" ht="12.5">
      <c r="A909" s="32"/>
      <c r="D909" s="32"/>
    </row>
    <row r="910" spans="1:4" ht="12.5">
      <c r="A910" s="32"/>
      <c r="D910" s="32"/>
    </row>
    <row r="911" spans="1:4" ht="12.5">
      <c r="A911" s="32"/>
      <c r="D911" s="32"/>
    </row>
    <row r="912" spans="1:4" ht="12.5">
      <c r="A912" s="32"/>
      <c r="D912" s="32"/>
    </row>
    <row r="913" spans="1:4" ht="12.5">
      <c r="A913" s="32"/>
      <c r="D913" s="32"/>
    </row>
    <row r="914" spans="1:4" ht="12.5">
      <c r="A914" s="32"/>
      <c r="D914" s="32"/>
    </row>
    <row r="915" spans="1:4" ht="12.5">
      <c r="A915" s="32"/>
      <c r="D915" s="32"/>
    </row>
    <row r="916" spans="1:4" ht="12.5">
      <c r="A916" s="32"/>
      <c r="D916" s="32"/>
    </row>
    <row r="917" spans="1:4" ht="12.5">
      <c r="A917" s="32"/>
      <c r="D917" s="32"/>
    </row>
    <row r="918" spans="1:4" ht="12.5">
      <c r="A918" s="32"/>
      <c r="D918" s="32"/>
    </row>
    <row r="919" spans="1:4" ht="12.5">
      <c r="A919" s="32"/>
      <c r="D919" s="32"/>
    </row>
    <row r="920" spans="1:4" ht="12.5">
      <c r="A920" s="32"/>
      <c r="D920" s="32"/>
    </row>
    <row r="921" spans="1:4" ht="12.5">
      <c r="A921" s="32"/>
      <c r="D921" s="32"/>
    </row>
    <row r="922" spans="1:4" ht="12.5">
      <c r="A922" s="32"/>
      <c r="D922" s="32"/>
    </row>
    <row r="923" spans="1:4" ht="12.5">
      <c r="A923" s="32"/>
      <c r="D923" s="32"/>
    </row>
    <row r="924" spans="1:4" ht="12.5">
      <c r="A924" s="32"/>
      <c r="D924" s="32"/>
    </row>
    <row r="925" spans="1:4" ht="12.5">
      <c r="A925" s="32"/>
      <c r="D925" s="32"/>
    </row>
    <row r="926" spans="1:4" ht="12.5">
      <c r="A926" s="32"/>
      <c r="D926" s="32"/>
    </row>
    <row r="927" spans="1:4" ht="12.5">
      <c r="A927" s="32"/>
      <c r="D927" s="32"/>
    </row>
    <row r="928" spans="1:4" ht="12.5">
      <c r="A928" s="32"/>
      <c r="D928" s="32"/>
    </row>
    <row r="929" spans="1:4" ht="12.5">
      <c r="A929" s="32"/>
      <c r="D929" s="32"/>
    </row>
    <row r="930" spans="1:4" ht="12.5">
      <c r="A930" s="32"/>
      <c r="D930" s="32"/>
    </row>
    <row r="931" spans="1:4" ht="12.5">
      <c r="A931" s="32"/>
      <c r="D931" s="32"/>
    </row>
    <row r="932" spans="1:4" ht="12.5">
      <c r="A932" s="32"/>
      <c r="D932" s="32"/>
    </row>
    <row r="933" spans="1:4" ht="12.5">
      <c r="A933" s="32"/>
      <c r="D933" s="32"/>
    </row>
    <row r="934" spans="1:4" ht="12.5">
      <c r="A934" s="32"/>
      <c r="D934" s="32"/>
    </row>
    <row r="935" spans="1:4" ht="12.5">
      <c r="A935" s="32"/>
      <c r="D935" s="32"/>
    </row>
    <row r="936" spans="1:4" ht="12.5">
      <c r="A936" s="32"/>
      <c r="D936" s="32"/>
    </row>
    <row r="937" spans="1:4" ht="12.5">
      <c r="A937" s="32"/>
      <c r="D937" s="32"/>
    </row>
    <row r="938" spans="1:4" ht="12.5">
      <c r="A938" s="32"/>
      <c r="D938" s="32"/>
    </row>
    <row r="939" spans="1:4" ht="12.5">
      <c r="A939" s="32"/>
      <c r="D939" s="32"/>
    </row>
    <row r="940" spans="1:4" ht="12.5">
      <c r="A940" s="32"/>
      <c r="D940" s="32"/>
    </row>
    <row r="941" spans="1:4" ht="12.5">
      <c r="A941" s="32"/>
      <c r="D941" s="32"/>
    </row>
    <row r="942" spans="1:4" ht="12.5">
      <c r="A942" s="32"/>
      <c r="D942" s="32"/>
    </row>
    <row r="943" spans="1:4" ht="12.5">
      <c r="A943" s="32"/>
      <c r="D943" s="32"/>
    </row>
    <row r="944" spans="1:4" ht="12.5">
      <c r="A944" s="32"/>
      <c r="D944" s="32"/>
    </row>
    <row r="945" spans="1:4" ht="12.5">
      <c r="A945" s="32"/>
      <c r="D945" s="32"/>
    </row>
    <row r="946" spans="1:4" ht="12.5">
      <c r="A946" s="32"/>
      <c r="D946" s="32"/>
    </row>
    <row r="947" spans="1:4" ht="12.5">
      <c r="A947" s="32"/>
      <c r="D947" s="32"/>
    </row>
    <row r="948" spans="1:4" ht="12.5">
      <c r="A948" s="32"/>
      <c r="D948" s="32"/>
    </row>
    <row r="949" spans="1:4" ht="12.5">
      <c r="A949" s="32"/>
      <c r="D949" s="32"/>
    </row>
    <row r="950" spans="1:4" ht="12.5">
      <c r="A950" s="32"/>
      <c r="D950" s="32"/>
    </row>
    <row r="951" spans="1:4" ht="12.5">
      <c r="A951" s="32"/>
      <c r="D951" s="32"/>
    </row>
    <row r="952" spans="1:4" ht="12.5">
      <c r="A952" s="32"/>
      <c r="D952" s="32"/>
    </row>
    <row r="953" spans="1:4" ht="12.5">
      <c r="A953" s="32"/>
      <c r="D953" s="32"/>
    </row>
    <row r="954" spans="1:4" ht="12.5">
      <c r="A954" s="32"/>
      <c r="D954" s="32"/>
    </row>
    <row r="955" spans="1:4" ht="12.5">
      <c r="A955" s="32"/>
      <c r="D955" s="32"/>
    </row>
    <row r="956" spans="1:4" ht="12.5">
      <c r="A956" s="32"/>
      <c r="D956" s="32"/>
    </row>
    <row r="957" spans="1:4" ht="12.5">
      <c r="A957" s="32"/>
      <c r="D957" s="32"/>
    </row>
    <row r="958" spans="1:4" ht="12.5">
      <c r="A958" s="32"/>
      <c r="D958" s="32"/>
    </row>
    <row r="959" spans="1:4" ht="12.5">
      <c r="A959" s="32"/>
      <c r="D959" s="32"/>
    </row>
    <row r="960" spans="1:4" ht="12.5">
      <c r="A960" s="32"/>
      <c r="D960" s="32"/>
    </row>
    <row r="961" spans="1:4" ht="12.5">
      <c r="A961" s="32"/>
      <c r="D961" s="32"/>
    </row>
    <row r="962" spans="1:4" ht="12.5">
      <c r="A962" s="32"/>
      <c r="D962" s="32"/>
    </row>
    <row r="963" spans="1:4" ht="12.5">
      <c r="A963" s="32"/>
      <c r="D963" s="32"/>
    </row>
    <row r="964" spans="1:4" ht="12.5">
      <c r="A964" s="32"/>
      <c r="D964" s="32"/>
    </row>
    <row r="965" spans="1:4" ht="12.5">
      <c r="A965" s="32"/>
      <c r="D965" s="32"/>
    </row>
    <row r="966" spans="1:4" ht="12.5">
      <c r="A966" s="32"/>
      <c r="D966" s="32"/>
    </row>
    <row r="967" spans="1:4" ht="12.5">
      <c r="A967" s="32"/>
      <c r="D967" s="32"/>
    </row>
    <row r="968" spans="1:4" ht="12.5">
      <c r="A968" s="32"/>
      <c r="D968" s="32"/>
    </row>
    <row r="969" spans="1:4" ht="12.5">
      <c r="A969" s="32"/>
      <c r="D969" s="32"/>
    </row>
    <row r="970" spans="1:4" ht="12.5">
      <c r="A970" s="32"/>
      <c r="D970" s="32"/>
    </row>
    <row r="971" spans="1:4" ht="12.5">
      <c r="A971" s="32"/>
      <c r="D971" s="32"/>
    </row>
    <row r="972" spans="1:4" ht="12.5">
      <c r="A972" s="32"/>
      <c r="D972" s="32"/>
    </row>
    <row r="973" spans="1:4" ht="12.5">
      <c r="A973" s="32"/>
      <c r="D973" s="32"/>
    </row>
    <row r="974" spans="1:4" ht="12.5">
      <c r="A974" s="32"/>
      <c r="D974" s="32"/>
    </row>
    <row r="975" spans="1:4" ht="12.5">
      <c r="A975" s="32"/>
      <c r="D975" s="32"/>
    </row>
    <row r="976" spans="1:4" ht="12.5">
      <c r="A976" s="32"/>
      <c r="D976" s="32"/>
    </row>
    <row r="977" spans="1:4" ht="12.5">
      <c r="A977" s="32"/>
      <c r="D977" s="32"/>
    </row>
    <row r="978" spans="1:4" ht="12.5">
      <c r="A978" s="32"/>
      <c r="D978" s="32"/>
    </row>
    <row r="979" spans="1:4" ht="12.5">
      <c r="A979" s="32"/>
      <c r="D979" s="32"/>
    </row>
    <row r="980" spans="1:4" ht="12.5">
      <c r="A980" s="32"/>
      <c r="D980" s="32"/>
    </row>
    <row r="981" spans="1:4" ht="12.5">
      <c r="A981" s="32"/>
      <c r="D981" s="32"/>
    </row>
    <row r="982" spans="1:4" ht="12.5">
      <c r="A982" s="32"/>
      <c r="D982" s="32"/>
    </row>
    <row r="983" spans="1:4" ht="12.5">
      <c r="A983" s="32"/>
      <c r="D983" s="32"/>
    </row>
    <row r="984" spans="1:4" ht="12.5">
      <c r="A984" s="32"/>
      <c r="D984" s="32"/>
    </row>
    <row r="985" spans="1:4" ht="12.5">
      <c r="A985" s="32"/>
      <c r="D985" s="32"/>
    </row>
    <row r="986" spans="1:4" ht="12.5">
      <c r="A986" s="32"/>
      <c r="D986" s="32"/>
    </row>
    <row r="987" spans="1:4" ht="12.5">
      <c r="A987" s="32"/>
      <c r="D987" s="32"/>
    </row>
    <row r="988" spans="1:4" ht="12.5">
      <c r="A988" s="32"/>
      <c r="D988" s="32"/>
    </row>
    <row r="989" spans="1:4" ht="12.5">
      <c r="A989" s="32"/>
      <c r="D989" s="32"/>
    </row>
    <row r="990" spans="1:4" ht="12.5">
      <c r="A990" s="32"/>
      <c r="D990" s="32"/>
    </row>
    <row r="991" spans="1:4" ht="12.5">
      <c r="A991" s="32"/>
      <c r="D991" s="32"/>
    </row>
    <row r="992" spans="1:4" ht="12.5">
      <c r="A992" s="32"/>
      <c r="D992" s="32"/>
    </row>
    <row r="993" spans="1:4" ht="12.5">
      <c r="A993" s="32"/>
      <c r="D993" s="32"/>
    </row>
    <row r="994" spans="1:4" ht="12.5">
      <c r="A994" s="32"/>
      <c r="D994" s="32"/>
    </row>
    <row r="995" spans="1:4" ht="12.5">
      <c r="A995" s="32"/>
      <c r="D995" s="32"/>
    </row>
    <row r="996" spans="1:4" ht="12.5">
      <c r="A996" s="32"/>
      <c r="D996" s="32"/>
    </row>
    <row r="997" spans="1:4" ht="12.5">
      <c r="A997" s="32"/>
      <c r="D997" s="32"/>
    </row>
    <row r="998" spans="1:4" ht="12.5">
      <c r="A998" s="32"/>
      <c r="D998" s="32"/>
    </row>
    <row r="999" spans="1:4" ht="12.5">
      <c r="A999" s="32"/>
      <c r="D999" s="32"/>
    </row>
    <row r="1000" spans="1:4" ht="12.5">
      <c r="A1000" s="32"/>
      <c r="D1000" s="32"/>
    </row>
    <row r="1001" spans="1:4" ht="12.5">
      <c r="A1001" s="32"/>
      <c r="D1001" s="32"/>
    </row>
    <row r="1002" spans="1:4" ht="12.5">
      <c r="A1002" s="32"/>
      <c r="D1002" s="32"/>
    </row>
    <row r="1003" spans="1:4" ht="12.5">
      <c r="A1003" s="32"/>
      <c r="D1003" s="32"/>
    </row>
    <row r="1004" spans="1:4" ht="12.5">
      <c r="A1004" s="32"/>
      <c r="D1004" s="32"/>
    </row>
    <row r="1005" spans="1:4" ht="12.5">
      <c r="A1005" s="32"/>
      <c r="D1005" s="32"/>
    </row>
    <row r="1006" spans="1:4" ht="12.5">
      <c r="A1006" s="32"/>
      <c r="D1006" s="32"/>
    </row>
    <row r="1007" spans="1:4" ht="12.5">
      <c r="A1007" s="32"/>
      <c r="D1007" s="32"/>
    </row>
    <row r="1008" spans="1:4" ht="12.5">
      <c r="A1008" s="32"/>
      <c r="D1008" s="32"/>
    </row>
    <row r="1009" spans="1:4" ht="12.5">
      <c r="A1009" s="32"/>
      <c r="D1009" s="32"/>
    </row>
    <row r="1010" spans="1:4" ht="12.5">
      <c r="A1010" s="32"/>
      <c r="D1010" s="32"/>
    </row>
    <row r="1011" spans="1:4" ht="12.5">
      <c r="A1011" s="32"/>
      <c r="D1011" s="32"/>
    </row>
    <row r="1012" spans="1:4" ht="12.5">
      <c r="A1012" s="32"/>
      <c r="D1012" s="32"/>
    </row>
    <row r="1013" spans="1:4" ht="12.5">
      <c r="A1013" s="32"/>
      <c r="D1013" s="32"/>
    </row>
    <row r="1014" spans="1:4" ht="12.5">
      <c r="A1014" s="32"/>
      <c r="D1014" s="32"/>
    </row>
    <row r="1015" spans="1:4" ht="12.5">
      <c r="A1015" s="32"/>
      <c r="D1015" s="32"/>
    </row>
    <row r="1016" spans="1:4" ht="12.5">
      <c r="A1016" s="32"/>
      <c r="D1016" s="32"/>
    </row>
    <row r="1017" spans="1:4" ht="12.5">
      <c r="A1017" s="32"/>
      <c r="D1017" s="32"/>
    </row>
    <row r="1018" spans="1:4" ht="12.5">
      <c r="A1018" s="32"/>
      <c r="D1018" s="32"/>
    </row>
    <row r="1019" spans="1:4" ht="12.5">
      <c r="A1019" s="32"/>
      <c r="D1019" s="32"/>
    </row>
    <row r="1020" spans="1:4" ht="12.5">
      <c r="A1020" s="32"/>
      <c r="D1020" s="32"/>
    </row>
    <row r="1021" spans="1:4" ht="12.5">
      <c r="A1021" s="32"/>
      <c r="D1021" s="32"/>
    </row>
    <row r="1022" spans="1:4" ht="12.5">
      <c r="A1022" s="32"/>
      <c r="D1022" s="32"/>
    </row>
    <row r="1023" spans="1:4" ht="12.5">
      <c r="A1023" s="32"/>
      <c r="D1023" s="32"/>
    </row>
    <row r="1024" spans="1:4" ht="12.5">
      <c r="A1024" s="32"/>
      <c r="D1024" s="32"/>
    </row>
    <row r="1025" spans="1:4" ht="12.5">
      <c r="A1025" s="32"/>
      <c r="D1025" s="32"/>
    </row>
    <row r="1026" spans="1:4" ht="12.5">
      <c r="A1026" s="32"/>
      <c r="D1026" s="32"/>
    </row>
    <row r="1027" spans="1:4" ht="12.5">
      <c r="A1027" s="32"/>
      <c r="D1027" s="32"/>
    </row>
    <row r="1028" spans="1:4" ht="12.5">
      <c r="A1028" s="32"/>
      <c r="D1028" s="32"/>
    </row>
    <row r="1029" spans="1:4" ht="12.5">
      <c r="A1029" s="32"/>
      <c r="D1029" s="32"/>
    </row>
    <row r="1030" spans="1:4" ht="12.5">
      <c r="A1030" s="32"/>
      <c r="D1030" s="32"/>
    </row>
    <row r="1031" spans="1:4" ht="12.5">
      <c r="A1031" s="32"/>
      <c r="D1031" s="32"/>
    </row>
    <row r="1032" spans="1:4" ht="12.5">
      <c r="A1032" s="32"/>
      <c r="D1032" s="32"/>
    </row>
    <row r="1033" spans="1:4" ht="12.5">
      <c r="A1033" s="32"/>
      <c r="D1033" s="32"/>
    </row>
    <row r="1034" spans="1:4" ht="12.5">
      <c r="A1034" s="32"/>
      <c r="D1034" s="32"/>
    </row>
    <row r="1035" spans="1:4" ht="12.5">
      <c r="A1035" s="32"/>
      <c r="D1035" s="3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F728"/>
  <sheetViews>
    <sheetView workbookViewId="0">
      <pane ySplit="1" topLeftCell="A2" activePane="bottomLeft" state="frozen"/>
      <selection pane="bottomLeft" activeCell="B3" sqref="B3"/>
    </sheetView>
  </sheetViews>
  <sheetFormatPr baseColWidth="10" defaultColWidth="12.6328125" defaultRowHeight="15.75" customHeight="1"/>
  <sheetData>
    <row r="1" spans="1:6">
      <c r="A1" s="156" t="s">
        <v>5205</v>
      </c>
      <c r="B1" s="10" t="s">
        <v>2468</v>
      </c>
      <c r="C1" s="157" t="s">
        <v>2470</v>
      </c>
      <c r="D1" s="40" t="s">
        <v>5206</v>
      </c>
      <c r="E1" s="40" t="s">
        <v>5453</v>
      </c>
      <c r="F1" s="40" t="s">
        <v>2474</v>
      </c>
    </row>
    <row r="2" spans="1:6">
      <c r="A2" s="158">
        <v>1</v>
      </c>
      <c r="B2" s="159" t="s">
        <v>2977</v>
      </c>
      <c r="C2" s="159" t="s">
        <v>5207</v>
      </c>
      <c r="D2" s="159" t="s">
        <v>5208</v>
      </c>
      <c r="E2" s="158" t="s">
        <v>2486</v>
      </c>
      <c r="F2" s="158" t="s">
        <v>168</v>
      </c>
    </row>
    <row r="3" spans="1:6">
      <c r="A3" s="158">
        <v>2</v>
      </c>
      <c r="B3" s="159" t="s">
        <v>2977</v>
      </c>
      <c r="C3" s="159" t="s">
        <v>5210</v>
      </c>
      <c r="D3" s="159" t="s">
        <v>5211</v>
      </c>
      <c r="E3" s="158" t="s">
        <v>2486</v>
      </c>
      <c r="F3" s="158" t="s">
        <v>168</v>
      </c>
    </row>
    <row r="4" spans="1:6">
      <c r="A4" s="158">
        <v>3</v>
      </c>
      <c r="B4" s="159" t="s">
        <v>2977</v>
      </c>
      <c r="C4" s="159" t="s">
        <v>2977</v>
      </c>
      <c r="D4" s="159" t="s">
        <v>5213</v>
      </c>
      <c r="E4" s="158" t="s">
        <v>2486</v>
      </c>
      <c r="F4" s="158" t="s">
        <v>2486</v>
      </c>
    </row>
    <row r="5" spans="1:6">
      <c r="A5" s="158">
        <v>4</v>
      </c>
      <c r="B5" s="159" t="s">
        <v>2977</v>
      </c>
      <c r="C5" s="159" t="s">
        <v>5215</v>
      </c>
      <c r="D5" s="159" t="s">
        <v>5216</v>
      </c>
      <c r="E5" s="158" t="s">
        <v>2486</v>
      </c>
      <c r="F5" s="158" t="s">
        <v>168</v>
      </c>
    </row>
    <row r="6" spans="1:6">
      <c r="A6" s="158">
        <v>5</v>
      </c>
      <c r="B6" s="159" t="s">
        <v>2977</v>
      </c>
      <c r="C6" s="159" t="s">
        <v>5454</v>
      </c>
      <c r="D6" s="159" t="s">
        <v>5278</v>
      </c>
      <c r="E6" s="158" t="s">
        <v>168</v>
      </c>
      <c r="F6" s="158" t="s">
        <v>2486</v>
      </c>
    </row>
    <row r="7" spans="1:6">
      <c r="A7" s="158">
        <v>6</v>
      </c>
      <c r="B7" s="159" t="s">
        <v>2840</v>
      </c>
      <c r="C7" s="159" t="s">
        <v>5218</v>
      </c>
      <c r="D7" s="159" t="s">
        <v>5208</v>
      </c>
      <c r="E7" s="158" t="s">
        <v>2486</v>
      </c>
      <c r="F7" s="158" t="s">
        <v>168</v>
      </c>
    </row>
    <row r="8" spans="1:6">
      <c r="A8" s="158">
        <v>7</v>
      </c>
      <c r="B8" s="159" t="s">
        <v>2840</v>
      </c>
      <c r="C8" s="159" t="s">
        <v>5220</v>
      </c>
      <c r="D8" s="159" t="s">
        <v>5211</v>
      </c>
      <c r="E8" s="158" t="s">
        <v>2486</v>
      </c>
      <c r="F8" s="158" t="s">
        <v>2486</v>
      </c>
    </row>
    <row r="9" spans="1:6">
      <c r="A9" s="158">
        <v>8</v>
      </c>
      <c r="B9" s="159" t="s">
        <v>2840</v>
      </c>
      <c r="C9" s="159" t="s">
        <v>5455</v>
      </c>
      <c r="D9" s="159" t="s">
        <v>5213</v>
      </c>
      <c r="E9" s="158" t="s">
        <v>168</v>
      </c>
      <c r="F9" s="158" t="s">
        <v>2486</v>
      </c>
    </row>
    <row r="10" spans="1:6">
      <c r="A10" s="158">
        <v>9</v>
      </c>
      <c r="B10" s="159" t="s">
        <v>5185</v>
      </c>
      <c r="C10" s="159" t="s">
        <v>5185</v>
      </c>
      <c r="D10" s="159" t="s">
        <v>5208</v>
      </c>
      <c r="E10" s="158" t="s">
        <v>2486</v>
      </c>
      <c r="F10" s="158" t="s">
        <v>168</v>
      </c>
    </row>
    <row r="11" spans="1:6">
      <c r="A11" s="158">
        <v>10</v>
      </c>
      <c r="B11" s="159" t="s">
        <v>5185</v>
      </c>
      <c r="C11" s="159" t="s">
        <v>5226</v>
      </c>
      <c r="D11" s="159" t="s">
        <v>5211</v>
      </c>
      <c r="E11" s="158" t="s">
        <v>2486</v>
      </c>
      <c r="F11" s="158" t="s">
        <v>168</v>
      </c>
    </row>
    <row r="12" spans="1:6">
      <c r="A12" s="158">
        <v>11</v>
      </c>
      <c r="B12" s="159" t="s">
        <v>5185</v>
      </c>
      <c r="C12" s="159" t="s">
        <v>5456</v>
      </c>
      <c r="D12" s="159" t="s">
        <v>5213</v>
      </c>
      <c r="E12" s="158" t="s">
        <v>168</v>
      </c>
      <c r="F12" s="158" t="s">
        <v>2486</v>
      </c>
    </row>
    <row r="13" spans="1:6">
      <c r="A13" s="158">
        <v>12</v>
      </c>
      <c r="B13" s="159" t="s">
        <v>3065</v>
      </c>
      <c r="C13" s="159" t="s">
        <v>3065</v>
      </c>
      <c r="D13" s="159" t="s">
        <v>5208</v>
      </c>
      <c r="E13" s="158" t="s">
        <v>2486</v>
      </c>
      <c r="F13" s="158" t="s">
        <v>2486</v>
      </c>
    </row>
    <row r="14" spans="1:6">
      <c r="A14" s="158">
        <v>13</v>
      </c>
      <c r="B14" s="159" t="s">
        <v>3065</v>
      </c>
      <c r="C14" s="159" t="s">
        <v>5229</v>
      </c>
      <c r="D14" s="159" t="s">
        <v>5211</v>
      </c>
      <c r="E14" s="158" t="s">
        <v>2486</v>
      </c>
      <c r="F14" s="158" t="s">
        <v>168</v>
      </c>
    </row>
    <row r="15" spans="1:6">
      <c r="A15" s="158">
        <v>14</v>
      </c>
      <c r="B15" s="159" t="s">
        <v>3065</v>
      </c>
      <c r="C15" s="159" t="s">
        <v>5457</v>
      </c>
      <c r="D15" s="159" t="s">
        <v>5213</v>
      </c>
      <c r="E15" s="158" t="s">
        <v>168</v>
      </c>
      <c r="F15" s="158" t="s">
        <v>2486</v>
      </c>
    </row>
    <row r="16" spans="1:6">
      <c r="A16" s="158">
        <v>15</v>
      </c>
      <c r="B16" s="159" t="s">
        <v>5186</v>
      </c>
      <c r="C16" s="159" t="s">
        <v>5231</v>
      </c>
      <c r="D16" s="159" t="s">
        <v>5208</v>
      </c>
      <c r="E16" s="158" t="s">
        <v>2486</v>
      </c>
      <c r="F16" s="158" t="s">
        <v>168</v>
      </c>
    </row>
    <row r="17" spans="1:6">
      <c r="A17" s="158">
        <v>16</v>
      </c>
      <c r="B17" s="159" t="s">
        <v>5186</v>
      </c>
      <c r="C17" s="159" t="s">
        <v>5186</v>
      </c>
      <c r="D17" s="159" t="s">
        <v>5211</v>
      </c>
      <c r="E17" s="158" t="s">
        <v>2486</v>
      </c>
      <c r="F17" s="158" t="s">
        <v>168</v>
      </c>
    </row>
    <row r="18" spans="1:6">
      <c r="A18" s="158">
        <v>17</v>
      </c>
      <c r="B18" s="159" t="s">
        <v>5187</v>
      </c>
      <c r="C18" s="159" t="s">
        <v>5187</v>
      </c>
      <c r="D18" s="159" t="s">
        <v>5208</v>
      </c>
      <c r="E18" s="158" t="s">
        <v>2486</v>
      </c>
      <c r="F18" s="158" t="s">
        <v>2486</v>
      </c>
    </row>
    <row r="19" spans="1:6">
      <c r="A19" s="158">
        <v>18</v>
      </c>
      <c r="B19" s="159" t="s">
        <v>5187</v>
      </c>
      <c r="C19" s="159" t="s">
        <v>5235</v>
      </c>
      <c r="D19" s="159" t="s">
        <v>5211</v>
      </c>
      <c r="E19" s="158" t="s">
        <v>2486</v>
      </c>
      <c r="F19" s="158" t="s">
        <v>168</v>
      </c>
    </row>
    <row r="20" spans="1:6">
      <c r="A20" s="158">
        <v>19</v>
      </c>
      <c r="B20" s="159" t="s">
        <v>5187</v>
      </c>
      <c r="C20" s="159" t="s">
        <v>5458</v>
      </c>
      <c r="D20" s="159" t="s">
        <v>5213</v>
      </c>
      <c r="E20" s="158" t="s">
        <v>168</v>
      </c>
      <c r="F20" s="158" t="s">
        <v>2486</v>
      </c>
    </row>
    <row r="21" spans="1:6">
      <c r="A21" s="158">
        <v>20</v>
      </c>
      <c r="B21" s="159" t="s">
        <v>5187</v>
      </c>
      <c r="C21" s="159" t="s">
        <v>5459</v>
      </c>
      <c r="D21" s="159" t="s">
        <v>5216</v>
      </c>
      <c r="E21" s="158" t="s">
        <v>168</v>
      </c>
      <c r="F21" s="158" t="s">
        <v>2486</v>
      </c>
    </row>
    <row r="22" spans="1:6">
      <c r="A22" s="158">
        <v>21</v>
      </c>
      <c r="B22" s="159" t="s">
        <v>5187</v>
      </c>
      <c r="C22" s="159" t="s">
        <v>5460</v>
      </c>
      <c r="D22" s="159" t="s">
        <v>5278</v>
      </c>
      <c r="E22" s="158" t="s">
        <v>168</v>
      </c>
      <c r="F22" s="158" t="s">
        <v>2486</v>
      </c>
    </row>
    <row r="23" spans="1:6">
      <c r="A23" s="158">
        <v>22</v>
      </c>
      <c r="B23" s="159" t="s">
        <v>5187</v>
      </c>
      <c r="C23" s="159" t="s">
        <v>5461</v>
      </c>
      <c r="D23" s="159" t="s">
        <v>5294</v>
      </c>
      <c r="E23" s="158" t="s">
        <v>168</v>
      </c>
      <c r="F23" s="158" t="s">
        <v>2486</v>
      </c>
    </row>
    <row r="24" spans="1:6">
      <c r="A24" s="158">
        <v>23</v>
      </c>
      <c r="B24" s="159" t="s">
        <v>5187</v>
      </c>
      <c r="C24" s="159" t="s">
        <v>5462</v>
      </c>
      <c r="D24" s="159" t="s">
        <v>5297</v>
      </c>
      <c r="E24" s="158" t="s">
        <v>168</v>
      </c>
      <c r="F24" s="158" t="s">
        <v>2486</v>
      </c>
    </row>
    <row r="25" spans="1:6">
      <c r="A25" s="158">
        <v>24</v>
      </c>
      <c r="B25" s="159" t="s">
        <v>5187</v>
      </c>
      <c r="C25" s="159" t="s">
        <v>5463</v>
      </c>
      <c r="D25" s="159" t="s">
        <v>5300</v>
      </c>
      <c r="E25" s="158" t="s">
        <v>168</v>
      </c>
      <c r="F25" s="158" t="s">
        <v>2486</v>
      </c>
    </row>
    <row r="26" spans="1:6">
      <c r="A26" s="158">
        <v>25</v>
      </c>
      <c r="B26" s="159" t="s">
        <v>5187</v>
      </c>
      <c r="C26" s="159" t="s">
        <v>5464</v>
      </c>
      <c r="D26" s="159" t="s">
        <v>5303</v>
      </c>
      <c r="E26" s="158" t="s">
        <v>168</v>
      </c>
      <c r="F26" s="158" t="s">
        <v>2486</v>
      </c>
    </row>
    <row r="27" spans="1:6">
      <c r="A27" s="158">
        <v>26</v>
      </c>
      <c r="B27" s="159" t="s">
        <v>5187</v>
      </c>
      <c r="C27" s="159" t="s">
        <v>5465</v>
      </c>
      <c r="D27" s="159" t="s">
        <v>5306</v>
      </c>
      <c r="E27" s="158" t="s">
        <v>168</v>
      </c>
      <c r="F27" s="158" t="s">
        <v>2486</v>
      </c>
    </row>
    <row r="28" spans="1:6">
      <c r="A28" s="158">
        <v>27</v>
      </c>
      <c r="B28" s="159" t="s">
        <v>5187</v>
      </c>
      <c r="C28" s="159" t="s">
        <v>5466</v>
      </c>
      <c r="D28" s="159" t="s">
        <v>5309</v>
      </c>
      <c r="E28" s="158" t="s">
        <v>168</v>
      </c>
      <c r="F28" s="158" t="s">
        <v>2486</v>
      </c>
    </row>
    <row r="29" spans="1:6">
      <c r="A29" s="158">
        <v>28</v>
      </c>
      <c r="B29" s="159" t="s">
        <v>2838</v>
      </c>
      <c r="C29" s="159" t="s">
        <v>2838</v>
      </c>
      <c r="D29" s="159" t="s">
        <v>5208</v>
      </c>
      <c r="E29" s="158" t="s">
        <v>2486</v>
      </c>
      <c r="F29" s="158" t="s">
        <v>2486</v>
      </c>
    </row>
    <row r="30" spans="1:6">
      <c r="A30" s="158">
        <v>29</v>
      </c>
      <c r="B30" s="159" t="s">
        <v>2838</v>
      </c>
      <c r="C30" s="159" t="s">
        <v>5241</v>
      </c>
      <c r="D30" s="159" t="s">
        <v>5211</v>
      </c>
      <c r="E30" s="158" t="s">
        <v>2486</v>
      </c>
      <c r="F30" s="158" t="s">
        <v>168</v>
      </c>
    </row>
    <row r="31" spans="1:6">
      <c r="A31" s="158">
        <v>30</v>
      </c>
      <c r="B31" s="159" t="s">
        <v>2838</v>
      </c>
      <c r="C31" s="159" t="s">
        <v>5243</v>
      </c>
      <c r="D31" s="159" t="s">
        <v>5213</v>
      </c>
      <c r="E31" s="158" t="s">
        <v>2486</v>
      </c>
      <c r="F31" s="158" t="s">
        <v>168</v>
      </c>
    </row>
    <row r="32" spans="1:6">
      <c r="A32" s="158">
        <v>31</v>
      </c>
      <c r="B32" s="159" t="s">
        <v>2838</v>
      </c>
      <c r="C32" s="159" t="s">
        <v>5245</v>
      </c>
      <c r="D32" s="159" t="s">
        <v>5216</v>
      </c>
      <c r="E32" s="158" t="s">
        <v>2486</v>
      </c>
      <c r="F32" s="158" t="s">
        <v>168</v>
      </c>
    </row>
    <row r="33" spans="1:6">
      <c r="A33" s="158">
        <v>32</v>
      </c>
      <c r="B33" s="159" t="s">
        <v>5188</v>
      </c>
      <c r="C33" s="159" t="s">
        <v>5188</v>
      </c>
      <c r="D33" s="159" t="s">
        <v>5208</v>
      </c>
      <c r="E33" s="158" t="s">
        <v>2486</v>
      </c>
      <c r="F33" s="158" t="s">
        <v>168</v>
      </c>
    </row>
    <row r="34" spans="1:6">
      <c r="A34" s="158">
        <v>33</v>
      </c>
      <c r="B34" s="159" t="s">
        <v>5188</v>
      </c>
      <c r="C34" s="159" t="s">
        <v>5248</v>
      </c>
      <c r="D34" s="159" t="s">
        <v>5211</v>
      </c>
      <c r="E34" s="158" t="s">
        <v>2486</v>
      </c>
      <c r="F34" s="158" t="s">
        <v>168</v>
      </c>
    </row>
    <row r="35" spans="1:6">
      <c r="A35" s="158">
        <v>34</v>
      </c>
      <c r="B35" s="159" t="s">
        <v>5189</v>
      </c>
      <c r="C35" s="159" t="s">
        <v>5189</v>
      </c>
      <c r="D35" s="159" t="s">
        <v>5208</v>
      </c>
      <c r="E35" s="158" t="s">
        <v>2486</v>
      </c>
      <c r="F35" s="158" t="s">
        <v>2486</v>
      </c>
    </row>
    <row r="36" spans="1:6">
      <c r="A36" s="158">
        <v>35</v>
      </c>
      <c r="B36" s="159" t="s">
        <v>5189</v>
      </c>
      <c r="C36" s="159" t="s">
        <v>5251</v>
      </c>
      <c r="D36" s="159" t="s">
        <v>5211</v>
      </c>
      <c r="E36" s="158" t="s">
        <v>2486</v>
      </c>
      <c r="F36" s="158" t="s">
        <v>168</v>
      </c>
    </row>
    <row r="37" spans="1:6">
      <c r="A37" s="158">
        <v>36</v>
      </c>
      <c r="B37" s="159" t="s">
        <v>5189</v>
      </c>
      <c r="C37" s="159" t="s">
        <v>5253</v>
      </c>
      <c r="D37" s="159" t="s">
        <v>5213</v>
      </c>
      <c r="E37" s="158" t="s">
        <v>2486</v>
      </c>
      <c r="F37" s="158" t="s">
        <v>168</v>
      </c>
    </row>
    <row r="38" spans="1:6">
      <c r="A38" s="158">
        <v>37</v>
      </c>
      <c r="B38" s="159" t="s">
        <v>5189</v>
      </c>
      <c r="C38" s="159" t="s">
        <v>5255</v>
      </c>
      <c r="D38" s="159" t="s">
        <v>5216</v>
      </c>
      <c r="E38" s="158" t="s">
        <v>2486</v>
      </c>
      <c r="F38" s="158" t="s">
        <v>168</v>
      </c>
    </row>
    <row r="39" spans="1:6">
      <c r="A39" s="158">
        <v>38</v>
      </c>
      <c r="B39" s="159" t="s">
        <v>5189</v>
      </c>
      <c r="C39" s="159" t="s">
        <v>5467</v>
      </c>
      <c r="D39" s="159" t="s">
        <v>5278</v>
      </c>
      <c r="E39" s="158" t="s">
        <v>168</v>
      </c>
      <c r="F39" s="158" t="s">
        <v>2486</v>
      </c>
    </row>
    <row r="40" spans="1:6">
      <c r="A40" s="158">
        <v>39</v>
      </c>
      <c r="B40" s="159" t="s">
        <v>3076</v>
      </c>
      <c r="C40" s="159" t="s">
        <v>3077</v>
      </c>
      <c r="D40" s="159" t="s">
        <v>5208</v>
      </c>
      <c r="E40" s="158" t="s">
        <v>2486</v>
      </c>
      <c r="F40" s="158" t="s">
        <v>168</v>
      </c>
    </row>
    <row r="41" spans="1:6">
      <c r="A41" s="158">
        <v>40</v>
      </c>
      <c r="B41" s="159" t="s">
        <v>3076</v>
      </c>
      <c r="C41" s="159" t="s">
        <v>5258</v>
      </c>
      <c r="D41" s="159" t="s">
        <v>5211</v>
      </c>
      <c r="E41" s="158" t="s">
        <v>2486</v>
      </c>
      <c r="F41" s="158" t="s">
        <v>168</v>
      </c>
    </row>
    <row r="42" spans="1:6">
      <c r="A42" s="158">
        <v>41</v>
      </c>
      <c r="B42" s="159" t="s">
        <v>3043</v>
      </c>
      <c r="C42" s="159" t="s">
        <v>3043</v>
      </c>
      <c r="D42" s="159" t="s">
        <v>5208</v>
      </c>
      <c r="E42" s="158" t="s">
        <v>2486</v>
      </c>
      <c r="F42" s="158" t="s">
        <v>168</v>
      </c>
    </row>
    <row r="43" spans="1:6">
      <c r="A43" s="158">
        <v>42</v>
      </c>
      <c r="B43" s="159" t="s">
        <v>3043</v>
      </c>
      <c r="C43" s="159" t="s">
        <v>5261</v>
      </c>
      <c r="D43" s="159" t="s">
        <v>5211</v>
      </c>
      <c r="E43" s="158" t="s">
        <v>2486</v>
      </c>
      <c r="F43" s="158" t="s">
        <v>168</v>
      </c>
    </row>
    <row r="44" spans="1:6">
      <c r="A44" s="158">
        <v>43</v>
      </c>
      <c r="B44" s="159" t="s">
        <v>5263</v>
      </c>
      <c r="C44" s="159" t="s">
        <v>5264</v>
      </c>
      <c r="D44" s="159" t="s">
        <v>5208</v>
      </c>
      <c r="E44" s="158" t="s">
        <v>2486</v>
      </c>
      <c r="F44" s="158" t="s">
        <v>168</v>
      </c>
    </row>
    <row r="45" spans="1:6">
      <c r="A45" s="158">
        <v>44</v>
      </c>
      <c r="B45" s="159" t="s">
        <v>5263</v>
      </c>
      <c r="C45" s="159" t="s">
        <v>5266</v>
      </c>
      <c r="D45" s="159" t="s">
        <v>5211</v>
      </c>
      <c r="E45" s="158" t="s">
        <v>2486</v>
      </c>
      <c r="F45" s="158" t="s">
        <v>168</v>
      </c>
    </row>
    <row r="46" spans="1:6">
      <c r="A46" s="158">
        <v>45</v>
      </c>
      <c r="B46" s="159" t="s">
        <v>5263</v>
      </c>
      <c r="C46" s="159" t="s">
        <v>5268</v>
      </c>
      <c r="D46" s="159" t="s">
        <v>5213</v>
      </c>
      <c r="E46" s="158" t="s">
        <v>2486</v>
      </c>
      <c r="F46" s="158" t="s">
        <v>168</v>
      </c>
    </row>
    <row r="47" spans="1:6">
      <c r="A47" s="158">
        <v>46</v>
      </c>
      <c r="B47" s="159" t="s">
        <v>5263</v>
      </c>
      <c r="C47" s="159" t="s">
        <v>5468</v>
      </c>
      <c r="D47" s="159" t="s">
        <v>5216</v>
      </c>
      <c r="E47" s="158" t="s">
        <v>168</v>
      </c>
      <c r="F47" s="158" t="s">
        <v>2486</v>
      </c>
    </row>
    <row r="48" spans="1:6">
      <c r="A48" s="158">
        <v>47</v>
      </c>
      <c r="B48" s="159" t="s">
        <v>5263</v>
      </c>
      <c r="C48" s="159" t="s">
        <v>5469</v>
      </c>
      <c r="D48" s="159" t="s">
        <v>5278</v>
      </c>
      <c r="E48" s="158" t="s">
        <v>168</v>
      </c>
      <c r="F48" s="158" t="s">
        <v>2486</v>
      </c>
    </row>
    <row r="49" spans="1:6">
      <c r="A49" s="158">
        <v>48</v>
      </c>
      <c r="B49" s="159" t="s">
        <v>5263</v>
      </c>
      <c r="C49" s="159" t="s">
        <v>5470</v>
      </c>
      <c r="D49" s="159" t="s">
        <v>5294</v>
      </c>
      <c r="E49" s="158" t="s">
        <v>168</v>
      </c>
      <c r="F49" s="158" t="s">
        <v>2486</v>
      </c>
    </row>
    <row r="50" spans="1:6">
      <c r="A50" s="158">
        <v>49</v>
      </c>
      <c r="B50" s="159" t="s">
        <v>2521</v>
      </c>
      <c r="C50" s="159" t="s">
        <v>2521</v>
      </c>
      <c r="D50" s="159" t="s">
        <v>5208</v>
      </c>
      <c r="E50" s="158" t="s">
        <v>2486</v>
      </c>
      <c r="F50" s="158" t="s">
        <v>2486</v>
      </c>
    </row>
    <row r="51" spans="1:6">
      <c r="A51" s="158">
        <v>50</v>
      </c>
      <c r="B51" s="159" t="s">
        <v>2521</v>
      </c>
      <c r="C51" s="159" t="s">
        <v>5271</v>
      </c>
      <c r="D51" s="159" t="s">
        <v>5211</v>
      </c>
      <c r="E51" s="158" t="s">
        <v>2486</v>
      </c>
      <c r="F51" s="158" t="s">
        <v>2486</v>
      </c>
    </row>
    <row r="52" spans="1:6">
      <c r="A52" s="158">
        <v>51</v>
      </c>
      <c r="B52" s="159" t="s">
        <v>2521</v>
      </c>
      <c r="C52" s="159" t="s">
        <v>5273</v>
      </c>
      <c r="D52" s="159" t="s">
        <v>5213</v>
      </c>
      <c r="E52" s="158" t="s">
        <v>2486</v>
      </c>
      <c r="F52" s="158" t="s">
        <v>168</v>
      </c>
    </row>
    <row r="53" spans="1:6">
      <c r="A53" s="158">
        <v>52</v>
      </c>
      <c r="B53" s="159" t="s">
        <v>2521</v>
      </c>
      <c r="C53" s="159" t="s">
        <v>5275</v>
      </c>
      <c r="D53" s="159" t="s">
        <v>5216</v>
      </c>
      <c r="E53" s="158" t="s">
        <v>2486</v>
      </c>
      <c r="F53" s="158" t="s">
        <v>168</v>
      </c>
    </row>
    <row r="54" spans="1:6">
      <c r="A54" s="158">
        <v>53</v>
      </c>
      <c r="B54" s="159" t="s">
        <v>2521</v>
      </c>
      <c r="C54" s="159" t="s">
        <v>5277</v>
      </c>
      <c r="D54" s="159" t="s">
        <v>5278</v>
      </c>
      <c r="E54" s="158" t="s">
        <v>2486</v>
      </c>
      <c r="F54" s="158" t="s">
        <v>168</v>
      </c>
    </row>
    <row r="55" spans="1:6">
      <c r="A55" s="158">
        <v>54</v>
      </c>
      <c r="B55" s="159" t="s">
        <v>2521</v>
      </c>
      <c r="C55" s="159" t="s">
        <v>5471</v>
      </c>
      <c r="D55" s="159" t="s">
        <v>5294</v>
      </c>
      <c r="E55" s="158" t="s">
        <v>168</v>
      </c>
      <c r="F55" s="158" t="s">
        <v>2486</v>
      </c>
    </row>
    <row r="56" spans="1:6">
      <c r="A56" s="158">
        <v>55</v>
      </c>
      <c r="B56" s="159" t="s">
        <v>2769</v>
      </c>
      <c r="C56" s="159" t="s">
        <v>2769</v>
      </c>
      <c r="D56" s="159" t="s">
        <v>5208</v>
      </c>
      <c r="E56" s="158" t="s">
        <v>2486</v>
      </c>
      <c r="F56" s="158" t="s">
        <v>168</v>
      </c>
    </row>
    <row r="57" spans="1:6">
      <c r="A57" s="158">
        <v>56</v>
      </c>
      <c r="B57" s="159" t="s">
        <v>2769</v>
      </c>
      <c r="C57" s="159" t="s">
        <v>5281</v>
      </c>
      <c r="D57" s="159" t="s">
        <v>5211</v>
      </c>
      <c r="E57" s="158" t="s">
        <v>2486</v>
      </c>
      <c r="F57" s="158" t="s">
        <v>168</v>
      </c>
    </row>
    <row r="58" spans="1:6">
      <c r="A58" s="158">
        <v>57</v>
      </c>
      <c r="B58" s="159" t="s">
        <v>5190</v>
      </c>
      <c r="C58" s="159" t="s">
        <v>5283</v>
      </c>
      <c r="D58" s="159" t="s">
        <v>5208</v>
      </c>
      <c r="E58" s="158" t="s">
        <v>2486</v>
      </c>
      <c r="F58" s="158" t="s">
        <v>168</v>
      </c>
    </row>
    <row r="59" spans="1:6">
      <c r="A59" s="158">
        <v>58</v>
      </c>
      <c r="B59" s="159" t="s">
        <v>5190</v>
      </c>
      <c r="C59" s="159" t="s">
        <v>5285</v>
      </c>
      <c r="D59" s="159" t="s">
        <v>5211</v>
      </c>
      <c r="E59" s="158" t="s">
        <v>2486</v>
      </c>
      <c r="F59" s="158" t="s">
        <v>168</v>
      </c>
    </row>
    <row r="60" spans="1:6">
      <c r="A60" s="158">
        <v>59</v>
      </c>
      <c r="B60" s="159" t="s">
        <v>5190</v>
      </c>
      <c r="C60" s="159" t="s">
        <v>5287</v>
      </c>
      <c r="D60" s="159" t="s">
        <v>5213</v>
      </c>
      <c r="E60" s="158" t="s">
        <v>2486</v>
      </c>
      <c r="F60" s="158" t="s">
        <v>168</v>
      </c>
    </row>
    <row r="61" spans="1:6">
      <c r="A61" s="158">
        <v>60</v>
      </c>
      <c r="B61" s="159" t="s">
        <v>5190</v>
      </c>
      <c r="C61" s="159" t="s">
        <v>5289</v>
      </c>
      <c r="D61" s="159" t="s">
        <v>5216</v>
      </c>
      <c r="E61" s="158" t="s">
        <v>2486</v>
      </c>
      <c r="F61" s="158" t="s">
        <v>168</v>
      </c>
    </row>
    <row r="62" spans="1:6">
      <c r="A62" s="158">
        <v>61</v>
      </c>
      <c r="B62" s="159" t="s">
        <v>5190</v>
      </c>
      <c r="C62" s="159" t="s">
        <v>5291</v>
      </c>
      <c r="D62" s="159" t="s">
        <v>5278</v>
      </c>
      <c r="E62" s="158" t="s">
        <v>2486</v>
      </c>
      <c r="F62" s="158" t="s">
        <v>168</v>
      </c>
    </row>
    <row r="63" spans="1:6">
      <c r="A63" s="158">
        <v>62</v>
      </c>
      <c r="B63" s="159" t="s">
        <v>5190</v>
      </c>
      <c r="C63" s="159" t="s">
        <v>5293</v>
      </c>
      <c r="D63" s="159" t="s">
        <v>5294</v>
      </c>
      <c r="E63" s="158" t="s">
        <v>2486</v>
      </c>
      <c r="F63" s="158" t="s">
        <v>168</v>
      </c>
    </row>
    <row r="64" spans="1:6">
      <c r="A64" s="158">
        <v>63</v>
      </c>
      <c r="B64" s="159" t="s">
        <v>5190</v>
      </c>
      <c r="C64" s="159" t="s">
        <v>5296</v>
      </c>
      <c r="D64" s="159" t="s">
        <v>5297</v>
      </c>
      <c r="E64" s="158" t="s">
        <v>2486</v>
      </c>
      <c r="F64" s="158" t="s">
        <v>168</v>
      </c>
    </row>
    <row r="65" spans="1:6">
      <c r="A65" s="158">
        <v>64</v>
      </c>
      <c r="B65" s="159" t="s">
        <v>5190</v>
      </c>
      <c r="C65" s="159" t="s">
        <v>5299</v>
      </c>
      <c r="D65" s="159" t="s">
        <v>5300</v>
      </c>
      <c r="E65" s="158" t="s">
        <v>2486</v>
      </c>
      <c r="F65" s="158" t="s">
        <v>168</v>
      </c>
    </row>
    <row r="66" spans="1:6">
      <c r="A66" s="158">
        <v>65</v>
      </c>
      <c r="B66" s="159" t="s">
        <v>5190</v>
      </c>
      <c r="C66" s="159" t="s">
        <v>5302</v>
      </c>
      <c r="D66" s="159" t="s">
        <v>5303</v>
      </c>
      <c r="E66" s="158" t="s">
        <v>2486</v>
      </c>
      <c r="F66" s="158" t="s">
        <v>168</v>
      </c>
    </row>
    <row r="67" spans="1:6">
      <c r="A67" s="158">
        <v>66</v>
      </c>
      <c r="B67" s="159" t="s">
        <v>5190</v>
      </c>
      <c r="C67" s="159" t="s">
        <v>5305</v>
      </c>
      <c r="D67" s="159" t="s">
        <v>5306</v>
      </c>
      <c r="E67" s="158" t="s">
        <v>2486</v>
      </c>
      <c r="F67" s="158" t="s">
        <v>168</v>
      </c>
    </row>
    <row r="68" spans="1:6">
      <c r="A68" s="158">
        <v>67</v>
      </c>
      <c r="B68" s="159" t="s">
        <v>5190</v>
      </c>
      <c r="C68" s="159" t="s">
        <v>5308</v>
      </c>
      <c r="D68" s="159" t="s">
        <v>5309</v>
      </c>
      <c r="E68" s="158" t="s">
        <v>2486</v>
      </c>
      <c r="F68" s="158" t="s">
        <v>168</v>
      </c>
    </row>
    <row r="69" spans="1:6">
      <c r="A69" s="158">
        <v>68</v>
      </c>
      <c r="B69" s="159" t="s">
        <v>5190</v>
      </c>
      <c r="C69" s="159" t="s">
        <v>5311</v>
      </c>
      <c r="D69" s="159" t="s">
        <v>5312</v>
      </c>
      <c r="E69" s="158" t="s">
        <v>2486</v>
      </c>
      <c r="F69" s="158" t="s">
        <v>168</v>
      </c>
    </row>
    <row r="70" spans="1:6">
      <c r="A70" s="158">
        <v>69</v>
      </c>
      <c r="B70" s="159" t="s">
        <v>5190</v>
      </c>
      <c r="C70" s="159" t="s">
        <v>5314</v>
      </c>
      <c r="D70" s="159" t="s">
        <v>5315</v>
      </c>
      <c r="E70" s="158" t="s">
        <v>2486</v>
      </c>
      <c r="F70" s="158" t="s">
        <v>168</v>
      </c>
    </row>
    <row r="71" spans="1:6">
      <c r="A71" s="158">
        <v>70</v>
      </c>
      <c r="B71" s="159" t="s">
        <v>5190</v>
      </c>
      <c r="C71" s="159" t="s">
        <v>5317</v>
      </c>
      <c r="D71" s="159" t="s">
        <v>5318</v>
      </c>
      <c r="E71" s="158" t="s">
        <v>2486</v>
      </c>
      <c r="F71" s="158" t="s">
        <v>168</v>
      </c>
    </row>
    <row r="72" spans="1:6">
      <c r="A72" s="158">
        <v>71</v>
      </c>
      <c r="B72" s="159" t="s">
        <v>5190</v>
      </c>
      <c r="C72" s="159" t="s">
        <v>5320</v>
      </c>
      <c r="D72" s="159" t="s">
        <v>5321</v>
      </c>
      <c r="E72" s="158" t="s">
        <v>2486</v>
      </c>
      <c r="F72" s="158" t="s">
        <v>168</v>
      </c>
    </row>
    <row r="73" spans="1:6">
      <c r="A73" s="158">
        <v>72</v>
      </c>
      <c r="B73" s="159" t="s">
        <v>5190</v>
      </c>
      <c r="C73" s="159" t="s">
        <v>5323</v>
      </c>
      <c r="D73" s="159" t="s">
        <v>5324</v>
      </c>
      <c r="E73" s="158" t="s">
        <v>2486</v>
      </c>
      <c r="F73" s="158" t="s">
        <v>168</v>
      </c>
    </row>
    <row r="74" spans="1:6">
      <c r="A74" s="158">
        <v>73</v>
      </c>
      <c r="B74" s="159" t="s">
        <v>5190</v>
      </c>
      <c r="C74" s="159" t="s">
        <v>5326</v>
      </c>
      <c r="D74" s="159" t="s">
        <v>5327</v>
      </c>
      <c r="E74" s="158" t="s">
        <v>2486</v>
      </c>
      <c r="F74" s="158" t="s">
        <v>168</v>
      </c>
    </row>
    <row r="75" spans="1:6">
      <c r="A75" s="158">
        <v>74</v>
      </c>
      <c r="B75" s="159" t="s">
        <v>5190</v>
      </c>
      <c r="C75" s="159" t="s">
        <v>5472</v>
      </c>
      <c r="D75" s="159" t="s">
        <v>5417</v>
      </c>
      <c r="E75" s="158" t="s">
        <v>168</v>
      </c>
      <c r="F75" s="158" t="s">
        <v>2486</v>
      </c>
    </row>
    <row r="76" spans="1:6">
      <c r="A76" s="158">
        <v>75</v>
      </c>
      <c r="B76" s="159" t="s">
        <v>5190</v>
      </c>
      <c r="C76" s="159" t="s">
        <v>5473</v>
      </c>
      <c r="D76" s="159" t="s">
        <v>5421</v>
      </c>
      <c r="E76" s="158" t="s">
        <v>168</v>
      </c>
      <c r="F76" s="158" t="s">
        <v>2486</v>
      </c>
    </row>
    <row r="77" spans="1:6">
      <c r="A77" s="158">
        <v>76</v>
      </c>
      <c r="B77" s="159" t="s">
        <v>5190</v>
      </c>
      <c r="C77" s="159" t="s">
        <v>5474</v>
      </c>
      <c r="D77" s="159" t="s">
        <v>5425</v>
      </c>
      <c r="E77" s="158" t="s">
        <v>168</v>
      </c>
      <c r="F77" s="158" t="s">
        <v>2486</v>
      </c>
    </row>
    <row r="78" spans="1:6">
      <c r="A78" s="158">
        <v>77</v>
      </c>
      <c r="B78" s="159" t="s">
        <v>5190</v>
      </c>
      <c r="C78" s="159" t="s">
        <v>5475</v>
      </c>
      <c r="D78" s="159" t="s">
        <v>5476</v>
      </c>
      <c r="E78" s="158" t="s">
        <v>168</v>
      </c>
      <c r="F78" s="158" t="s">
        <v>2486</v>
      </c>
    </row>
    <row r="79" spans="1:6">
      <c r="A79" s="158">
        <v>78</v>
      </c>
      <c r="B79" s="159" t="s">
        <v>5190</v>
      </c>
      <c r="C79" s="159" t="s">
        <v>5477</v>
      </c>
      <c r="D79" s="159" t="s">
        <v>5478</v>
      </c>
      <c r="E79" s="158" t="s">
        <v>168</v>
      </c>
      <c r="F79" s="158" t="s">
        <v>2486</v>
      </c>
    </row>
    <row r="80" spans="1:6">
      <c r="A80" s="158">
        <v>79</v>
      </c>
      <c r="B80" s="159" t="s">
        <v>5190</v>
      </c>
      <c r="C80" s="159" t="s">
        <v>5479</v>
      </c>
      <c r="D80" s="159" t="s">
        <v>5480</v>
      </c>
      <c r="E80" s="158" t="s">
        <v>168</v>
      </c>
      <c r="F80" s="158" t="s">
        <v>2486</v>
      </c>
    </row>
    <row r="81" spans="1:6">
      <c r="A81" s="158">
        <v>80</v>
      </c>
      <c r="B81" s="159" t="s">
        <v>5190</v>
      </c>
      <c r="C81" s="159" t="s">
        <v>5481</v>
      </c>
      <c r="D81" s="159" t="s">
        <v>5482</v>
      </c>
      <c r="E81" s="158" t="s">
        <v>168</v>
      </c>
      <c r="F81" s="158" t="s">
        <v>2486</v>
      </c>
    </row>
    <row r="82" spans="1:6">
      <c r="A82" s="158">
        <v>81</v>
      </c>
      <c r="B82" s="159" t="s">
        <v>5190</v>
      </c>
      <c r="C82" s="159" t="s">
        <v>5483</v>
      </c>
      <c r="D82" s="159" t="s">
        <v>5484</v>
      </c>
      <c r="E82" s="158" t="s">
        <v>168</v>
      </c>
      <c r="F82" s="158" t="s">
        <v>2486</v>
      </c>
    </row>
    <row r="83" spans="1:6">
      <c r="A83" s="158">
        <v>82</v>
      </c>
      <c r="B83" s="159" t="s">
        <v>5190</v>
      </c>
      <c r="C83" s="159" t="s">
        <v>5485</v>
      </c>
      <c r="D83" s="159" t="s">
        <v>5486</v>
      </c>
      <c r="E83" s="158" t="s">
        <v>168</v>
      </c>
      <c r="F83" s="158" t="s">
        <v>2486</v>
      </c>
    </row>
    <row r="84" spans="1:6">
      <c r="A84" s="158">
        <v>83</v>
      </c>
      <c r="B84" s="159" t="s">
        <v>5190</v>
      </c>
      <c r="C84" s="159" t="s">
        <v>5487</v>
      </c>
      <c r="D84" s="159" t="s">
        <v>5488</v>
      </c>
      <c r="E84" s="158" t="s">
        <v>168</v>
      </c>
      <c r="F84" s="158" t="s">
        <v>2486</v>
      </c>
    </row>
    <row r="85" spans="1:6">
      <c r="A85" s="158">
        <v>84</v>
      </c>
      <c r="B85" s="159" t="s">
        <v>2771</v>
      </c>
      <c r="C85" s="159" t="s">
        <v>2771</v>
      </c>
      <c r="D85" s="159" t="s">
        <v>5208</v>
      </c>
      <c r="E85" s="158" t="s">
        <v>2486</v>
      </c>
      <c r="F85" s="158" t="s">
        <v>2486</v>
      </c>
    </row>
    <row r="86" spans="1:6">
      <c r="A86" s="158">
        <v>85</v>
      </c>
      <c r="B86" s="159" t="s">
        <v>2771</v>
      </c>
      <c r="C86" s="159" t="s">
        <v>2973</v>
      </c>
      <c r="D86" s="159" t="s">
        <v>5211</v>
      </c>
      <c r="E86" s="158" t="s">
        <v>2486</v>
      </c>
      <c r="F86" s="158" t="s">
        <v>168</v>
      </c>
    </row>
    <row r="87" spans="1:6">
      <c r="A87" s="158">
        <v>86</v>
      </c>
      <c r="B87" s="159" t="s">
        <v>3069</v>
      </c>
      <c r="C87" s="159" t="s">
        <v>3070</v>
      </c>
      <c r="D87" s="159" t="s">
        <v>5208</v>
      </c>
      <c r="E87" s="158" t="s">
        <v>2486</v>
      </c>
      <c r="F87" s="158" t="s">
        <v>168</v>
      </c>
    </row>
    <row r="88" spans="1:6">
      <c r="A88" s="158">
        <v>87</v>
      </c>
      <c r="B88" s="159" t="s">
        <v>3069</v>
      </c>
      <c r="C88" s="159" t="s">
        <v>2973</v>
      </c>
      <c r="D88" s="159" t="s">
        <v>5211</v>
      </c>
      <c r="E88" s="158" t="s">
        <v>2486</v>
      </c>
      <c r="F88" s="158" t="s">
        <v>168</v>
      </c>
    </row>
    <row r="89" spans="1:6">
      <c r="A89" s="158">
        <v>88</v>
      </c>
      <c r="B89" s="159" t="s">
        <v>2483</v>
      </c>
      <c r="C89" s="159" t="s">
        <v>5489</v>
      </c>
      <c r="D89" s="159" t="s">
        <v>5208</v>
      </c>
      <c r="E89" s="158" t="s">
        <v>2486</v>
      </c>
      <c r="F89" s="158" t="s">
        <v>168</v>
      </c>
    </row>
    <row r="90" spans="1:6">
      <c r="A90" s="158">
        <v>89</v>
      </c>
      <c r="B90" s="159" t="s">
        <v>2483</v>
      </c>
      <c r="C90" s="159" t="s">
        <v>5490</v>
      </c>
      <c r="D90" s="159" t="s">
        <v>5208</v>
      </c>
      <c r="E90" s="158" t="s">
        <v>2486</v>
      </c>
      <c r="F90" s="158" t="s">
        <v>168</v>
      </c>
    </row>
    <row r="91" spans="1:6">
      <c r="A91" s="158">
        <v>90</v>
      </c>
      <c r="B91" s="159" t="s">
        <v>2483</v>
      </c>
      <c r="C91" s="159" t="s">
        <v>5491</v>
      </c>
      <c r="D91" s="159" t="s">
        <v>5208</v>
      </c>
      <c r="E91" s="158" t="s">
        <v>2486</v>
      </c>
      <c r="F91" s="158" t="s">
        <v>168</v>
      </c>
    </row>
    <row r="92" spans="1:6">
      <c r="A92" s="158">
        <v>91</v>
      </c>
      <c r="B92" s="159" t="s">
        <v>2483</v>
      </c>
      <c r="C92" s="159" t="s">
        <v>5492</v>
      </c>
      <c r="D92" s="159" t="s">
        <v>5211</v>
      </c>
      <c r="E92" s="158" t="s">
        <v>2486</v>
      </c>
      <c r="F92" s="158" t="s">
        <v>168</v>
      </c>
    </row>
    <row r="93" spans="1:6">
      <c r="A93" s="158">
        <v>92</v>
      </c>
      <c r="B93" s="159" t="s">
        <v>2483</v>
      </c>
      <c r="C93" s="159" t="s">
        <v>5493</v>
      </c>
      <c r="D93" s="159" t="s">
        <v>5211</v>
      </c>
      <c r="E93" s="158" t="s">
        <v>2486</v>
      </c>
      <c r="F93" s="158" t="s">
        <v>168</v>
      </c>
    </row>
    <row r="94" spans="1:6">
      <c r="A94" s="158">
        <v>93</v>
      </c>
      <c r="B94" s="159" t="s">
        <v>2483</v>
      </c>
      <c r="C94" s="159" t="s">
        <v>2832</v>
      </c>
      <c r="D94" s="159" t="s">
        <v>5211</v>
      </c>
      <c r="E94" s="158" t="s">
        <v>2486</v>
      </c>
      <c r="F94" s="158" t="s">
        <v>2486</v>
      </c>
    </row>
    <row r="95" spans="1:6">
      <c r="A95" s="158">
        <v>94</v>
      </c>
      <c r="B95" s="159" t="s">
        <v>2483</v>
      </c>
      <c r="C95" s="159" t="s">
        <v>5494</v>
      </c>
      <c r="D95" s="159" t="s">
        <v>5213</v>
      </c>
      <c r="E95" s="158" t="s">
        <v>2486</v>
      </c>
      <c r="F95" s="158" t="s">
        <v>168</v>
      </c>
    </row>
    <row r="96" spans="1:6">
      <c r="A96" s="158">
        <v>95</v>
      </c>
      <c r="B96" s="159" t="s">
        <v>2483</v>
      </c>
      <c r="C96" s="159" t="s">
        <v>5495</v>
      </c>
      <c r="D96" s="159" t="s">
        <v>5213</v>
      </c>
      <c r="E96" s="158" t="s">
        <v>2486</v>
      </c>
      <c r="F96" s="158" t="s">
        <v>168</v>
      </c>
    </row>
    <row r="97" spans="1:6">
      <c r="A97" s="158">
        <v>96</v>
      </c>
      <c r="B97" s="159" t="s">
        <v>2483</v>
      </c>
      <c r="C97" s="159" t="s">
        <v>5496</v>
      </c>
      <c r="D97" s="159" t="s">
        <v>5213</v>
      </c>
      <c r="E97" s="158" t="s">
        <v>2486</v>
      </c>
      <c r="F97" s="158" t="s">
        <v>168</v>
      </c>
    </row>
    <row r="98" spans="1:6">
      <c r="A98" s="158">
        <v>97</v>
      </c>
      <c r="B98" s="159" t="s">
        <v>2483</v>
      </c>
      <c r="C98" s="159" t="s">
        <v>5497</v>
      </c>
      <c r="D98" s="159" t="s">
        <v>5216</v>
      </c>
      <c r="E98" s="158" t="s">
        <v>2486</v>
      </c>
      <c r="F98" s="158" t="s">
        <v>2486</v>
      </c>
    </row>
    <row r="99" spans="1:6">
      <c r="A99" s="158">
        <v>98</v>
      </c>
      <c r="B99" s="159" t="s">
        <v>2483</v>
      </c>
      <c r="C99" s="159" t="s">
        <v>5498</v>
      </c>
      <c r="D99" s="159" t="s">
        <v>5216</v>
      </c>
      <c r="E99" s="158" t="s">
        <v>2486</v>
      </c>
      <c r="F99" s="158" t="s">
        <v>168</v>
      </c>
    </row>
    <row r="100" spans="1:6">
      <c r="A100" s="158">
        <v>99</v>
      </c>
      <c r="B100" s="159" t="s">
        <v>2483</v>
      </c>
      <c r="C100" s="159" t="s">
        <v>5499</v>
      </c>
      <c r="D100" s="159" t="s">
        <v>5278</v>
      </c>
      <c r="E100" s="158" t="s">
        <v>2486</v>
      </c>
      <c r="F100" s="158" t="s">
        <v>168</v>
      </c>
    </row>
    <row r="101" spans="1:6">
      <c r="A101" s="158">
        <v>100</v>
      </c>
      <c r="B101" s="159" t="s">
        <v>2483</v>
      </c>
      <c r="C101" s="159" t="s">
        <v>2485</v>
      </c>
      <c r="D101" s="159" t="s">
        <v>5294</v>
      </c>
      <c r="E101" s="158" t="s">
        <v>2486</v>
      </c>
      <c r="F101" s="158" t="s">
        <v>168</v>
      </c>
    </row>
    <row r="102" spans="1:6">
      <c r="A102" s="158">
        <v>101</v>
      </c>
      <c r="B102" s="159" t="s">
        <v>2483</v>
      </c>
      <c r="C102" s="159" t="s">
        <v>5500</v>
      </c>
      <c r="D102" s="159" t="s">
        <v>5294</v>
      </c>
      <c r="E102" s="158" t="s">
        <v>2486</v>
      </c>
      <c r="F102" s="158" t="s">
        <v>168</v>
      </c>
    </row>
    <row r="103" spans="1:6">
      <c r="A103" s="158">
        <v>102</v>
      </c>
      <c r="B103" s="159" t="s">
        <v>2483</v>
      </c>
      <c r="C103" s="159" t="s">
        <v>5501</v>
      </c>
      <c r="D103" s="159" t="s">
        <v>5294</v>
      </c>
      <c r="E103" s="158" t="s">
        <v>2486</v>
      </c>
      <c r="F103" s="158" t="s">
        <v>168</v>
      </c>
    </row>
    <row r="104" spans="1:6">
      <c r="A104" s="158">
        <v>103</v>
      </c>
      <c r="B104" s="159" t="s">
        <v>2483</v>
      </c>
      <c r="C104" s="159" t="s">
        <v>5502</v>
      </c>
      <c r="D104" s="159" t="s">
        <v>5297</v>
      </c>
      <c r="E104" s="158" t="s">
        <v>2486</v>
      </c>
      <c r="F104" s="158" t="s">
        <v>168</v>
      </c>
    </row>
    <row r="105" spans="1:6">
      <c r="A105" s="158">
        <v>104</v>
      </c>
      <c r="B105" s="159" t="s">
        <v>2483</v>
      </c>
      <c r="C105" s="159" t="s">
        <v>5503</v>
      </c>
      <c r="D105" s="159" t="s">
        <v>5297</v>
      </c>
      <c r="E105" s="158" t="s">
        <v>2486</v>
      </c>
      <c r="F105" s="158" t="s">
        <v>2486</v>
      </c>
    </row>
    <row r="106" spans="1:6">
      <c r="A106" s="158">
        <v>105</v>
      </c>
      <c r="B106" s="159" t="s">
        <v>2483</v>
      </c>
      <c r="C106" s="159" t="s">
        <v>5504</v>
      </c>
      <c r="D106" s="159" t="s">
        <v>5297</v>
      </c>
      <c r="E106" s="158" t="s">
        <v>2486</v>
      </c>
      <c r="F106" s="158" t="s">
        <v>2486</v>
      </c>
    </row>
    <row r="107" spans="1:6">
      <c r="A107" s="158">
        <v>106</v>
      </c>
      <c r="B107" s="159" t="s">
        <v>2483</v>
      </c>
      <c r="C107" s="159" t="s">
        <v>5455</v>
      </c>
      <c r="D107" s="159" t="s">
        <v>5300</v>
      </c>
      <c r="E107" s="158" t="s">
        <v>2486</v>
      </c>
      <c r="F107" s="158" t="s">
        <v>168</v>
      </c>
    </row>
    <row r="108" spans="1:6">
      <c r="A108" s="158">
        <v>107</v>
      </c>
      <c r="B108" s="159" t="s">
        <v>2483</v>
      </c>
      <c r="C108" s="159" t="s">
        <v>5505</v>
      </c>
      <c r="D108" s="159" t="s">
        <v>5300</v>
      </c>
      <c r="E108" s="158" t="s">
        <v>2486</v>
      </c>
      <c r="F108" s="158" t="s">
        <v>2486</v>
      </c>
    </row>
    <row r="109" spans="1:6">
      <c r="A109" s="158">
        <v>108</v>
      </c>
      <c r="B109" s="159" t="s">
        <v>2483</v>
      </c>
      <c r="C109" s="159" t="s">
        <v>5506</v>
      </c>
      <c r="D109" s="159" t="s">
        <v>5300</v>
      </c>
      <c r="E109" s="158" t="s">
        <v>2486</v>
      </c>
      <c r="F109" s="158" t="s">
        <v>168</v>
      </c>
    </row>
    <row r="110" spans="1:6">
      <c r="A110" s="158">
        <v>109</v>
      </c>
      <c r="B110" s="159" t="s">
        <v>2483</v>
      </c>
      <c r="C110" s="159" t="s">
        <v>5507</v>
      </c>
      <c r="D110" s="159" t="s">
        <v>5303</v>
      </c>
      <c r="E110" s="158" t="s">
        <v>2486</v>
      </c>
      <c r="F110" s="158" t="s">
        <v>168</v>
      </c>
    </row>
    <row r="111" spans="1:6">
      <c r="A111" s="158">
        <v>110</v>
      </c>
      <c r="B111" s="159" t="s">
        <v>2483</v>
      </c>
      <c r="C111" s="159" t="s">
        <v>5508</v>
      </c>
      <c r="D111" s="159" t="s">
        <v>5303</v>
      </c>
      <c r="E111" s="158" t="s">
        <v>2486</v>
      </c>
      <c r="F111" s="158" t="s">
        <v>168</v>
      </c>
    </row>
    <row r="112" spans="1:6">
      <c r="A112" s="158">
        <v>111</v>
      </c>
      <c r="B112" s="159" t="s">
        <v>2483</v>
      </c>
      <c r="C112" s="159" t="s">
        <v>5509</v>
      </c>
      <c r="D112" s="159" t="s">
        <v>5303</v>
      </c>
      <c r="E112" s="158" t="s">
        <v>2486</v>
      </c>
      <c r="F112" s="158" t="s">
        <v>168</v>
      </c>
    </row>
    <row r="113" spans="1:6">
      <c r="A113" s="158">
        <v>112</v>
      </c>
      <c r="B113" s="159" t="s">
        <v>2483</v>
      </c>
      <c r="C113" s="159" t="s">
        <v>5510</v>
      </c>
      <c r="D113" s="159" t="s">
        <v>5306</v>
      </c>
      <c r="E113" s="158" t="s">
        <v>2486</v>
      </c>
      <c r="F113" s="158" t="s">
        <v>2486</v>
      </c>
    </row>
    <row r="114" spans="1:6">
      <c r="A114" s="158">
        <v>113</v>
      </c>
      <c r="B114" s="159" t="s">
        <v>2483</v>
      </c>
      <c r="C114" s="159" t="s">
        <v>5511</v>
      </c>
      <c r="D114" s="159" t="s">
        <v>5309</v>
      </c>
      <c r="E114" s="158" t="s">
        <v>2486</v>
      </c>
      <c r="F114" s="158" t="s">
        <v>2486</v>
      </c>
    </row>
    <row r="115" spans="1:6">
      <c r="A115" s="158">
        <v>114</v>
      </c>
      <c r="B115" s="159" t="s">
        <v>2483</v>
      </c>
      <c r="C115" s="159" t="s">
        <v>5512</v>
      </c>
      <c r="D115" s="159" t="s">
        <v>5309</v>
      </c>
      <c r="E115" s="158" t="s">
        <v>2486</v>
      </c>
      <c r="F115" s="158" t="s">
        <v>168</v>
      </c>
    </row>
    <row r="116" spans="1:6">
      <c r="A116" s="158">
        <v>115</v>
      </c>
      <c r="B116" s="159" t="s">
        <v>2483</v>
      </c>
      <c r="C116" s="159" t="s">
        <v>2488</v>
      </c>
      <c r="D116" s="159" t="s">
        <v>5309</v>
      </c>
      <c r="E116" s="158" t="s">
        <v>2486</v>
      </c>
      <c r="F116" s="158" t="s">
        <v>168</v>
      </c>
    </row>
    <row r="117" spans="1:6">
      <c r="A117" s="158">
        <v>116</v>
      </c>
      <c r="B117" s="159" t="s">
        <v>2483</v>
      </c>
      <c r="C117" s="159" t="s">
        <v>5513</v>
      </c>
      <c r="D117" s="159" t="s">
        <v>5312</v>
      </c>
      <c r="E117" s="158" t="s">
        <v>2486</v>
      </c>
      <c r="F117" s="158" t="s">
        <v>168</v>
      </c>
    </row>
    <row r="118" spans="1:6">
      <c r="A118" s="158">
        <v>117</v>
      </c>
      <c r="B118" s="159" t="s">
        <v>2483</v>
      </c>
      <c r="C118" s="159" t="s">
        <v>5514</v>
      </c>
      <c r="D118" s="159" t="s">
        <v>5312</v>
      </c>
      <c r="E118" s="158" t="s">
        <v>2486</v>
      </c>
      <c r="F118" s="158" t="s">
        <v>168</v>
      </c>
    </row>
    <row r="119" spans="1:6">
      <c r="A119" s="158">
        <v>118</v>
      </c>
      <c r="B119" s="159" t="s">
        <v>2483</v>
      </c>
      <c r="C119" s="159" t="s">
        <v>5515</v>
      </c>
      <c r="D119" s="159" t="s">
        <v>5312</v>
      </c>
      <c r="E119" s="158" t="s">
        <v>2486</v>
      </c>
      <c r="F119" s="158" t="s">
        <v>168</v>
      </c>
    </row>
    <row r="120" spans="1:6">
      <c r="A120" s="158">
        <v>119</v>
      </c>
      <c r="B120" s="159" t="s">
        <v>2483</v>
      </c>
      <c r="C120" s="159" t="s">
        <v>5516</v>
      </c>
      <c r="D120" s="159" t="s">
        <v>5315</v>
      </c>
      <c r="E120" s="158" t="s">
        <v>2486</v>
      </c>
      <c r="F120" s="158" t="s">
        <v>168</v>
      </c>
    </row>
    <row r="121" spans="1:6">
      <c r="A121" s="158">
        <v>120</v>
      </c>
      <c r="B121" s="159" t="s">
        <v>2483</v>
      </c>
      <c r="C121" s="159" t="s">
        <v>5517</v>
      </c>
      <c r="D121" s="159" t="s">
        <v>5315</v>
      </c>
      <c r="E121" s="158" t="s">
        <v>2486</v>
      </c>
      <c r="F121" s="158" t="s">
        <v>168</v>
      </c>
    </row>
    <row r="122" spans="1:6">
      <c r="A122" s="158">
        <v>121</v>
      </c>
      <c r="B122" s="159" t="s">
        <v>2483</v>
      </c>
      <c r="C122" s="159" t="s">
        <v>5518</v>
      </c>
      <c r="D122" s="159" t="s">
        <v>5315</v>
      </c>
      <c r="E122" s="158" t="s">
        <v>2486</v>
      </c>
      <c r="F122" s="158" t="s">
        <v>168</v>
      </c>
    </row>
    <row r="123" spans="1:6">
      <c r="A123" s="158">
        <v>122</v>
      </c>
      <c r="B123" s="159" t="s">
        <v>2483</v>
      </c>
      <c r="C123" s="159" t="s">
        <v>5519</v>
      </c>
      <c r="D123" s="159" t="s">
        <v>5318</v>
      </c>
      <c r="E123" s="158" t="s">
        <v>2486</v>
      </c>
      <c r="F123" s="158" t="s">
        <v>168</v>
      </c>
    </row>
    <row r="124" spans="1:6">
      <c r="A124" s="158">
        <v>123</v>
      </c>
      <c r="B124" s="159" t="s">
        <v>2483</v>
      </c>
      <c r="C124" s="159" t="s">
        <v>5520</v>
      </c>
      <c r="D124" s="159" t="s">
        <v>5318</v>
      </c>
      <c r="E124" s="158" t="s">
        <v>2486</v>
      </c>
      <c r="F124" s="158" t="s">
        <v>168</v>
      </c>
    </row>
    <row r="125" spans="1:6">
      <c r="A125" s="158">
        <v>124</v>
      </c>
      <c r="B125" s="159" t="s">
        <v>2483</v>
      </c>
      <c r="C125" s="159" t="s">
        <v>5521</v>
      </c>
      <c r="D125" s="159" t="s">
        <v>5318</v>
      </c>
      <c r="E125" s="158" t="s">
        <v>2486</v>
      </c>
      <c r="F125" s="158" t="s">
        <v>168</v>
      </c>
    </row>
    <row r="126" spans="1:6">
      <c r="A126" s="158">
        <v>125</v>
      </c>
      <c r="B126" s="159" t="s">
        <v>2483</v>
      </c>
      <c r="C126" s="159" t="s">
        <v>5522</v>
      </c>
      <c r="D126" s="159" t="s">
        <v>5321</v>
      </c>
      <c r="E126" s="158" t="s">
        <v>2486</v>
      </c>
      <c r="F126" s="158" t="s">
        <v>168</v>
      </c>
    </row>
    <row r="127" spans="1:6">
      <c r="A127" s="158">
        <v>126</v>
      </c>
      <c r="B127" s="159" t="s">
        <v>2483</v>
      </c>
      <c r="C127" s="159" t="s">
        <v>5523</v>
      </c>
      <c r="D127" s="159" t="s">
        <v>5321</v>
      </c>
      <c r="E127" s="158" t="s">
        <v>2486</v>
      </c>
      <c r="F127" s="158" t="s">
        <v>168</v>
      </c>
    </row>
    <row r="128" spans="1:6">
      <c r="A128" s="158">
        <v>127</v>
      </c>
      <c r="B128" s="159" t="s">
        <v>2483</v>
      </c>
      <c r="C128" s="159" t="s">
        <v>5524</v>
      </c>
      <c r="D128" s="159" t="s">
        <v>5321</v>
      </c>
      <c r="E128" s="158" t="s">
        <v>2486</v>
      </c>
      <c r="F128" s="158" t="s">
        <v>168</v>
      </c>
    </row>
    <row r="129" spans="1:6">
      <c r="A129" s="158">
        <v>128</v>
      </c>
      <c r="B129" s="159" t="s">
        <v>2483</v>
      </c>
      <c r="C129" s="159" t="s">
        <v>5525</v>
      </c>
      <c r="D129" s="159" t="s">
        <v>5324</v>
      </c>
      <c r="E129" s="158" t="s">
        <v>2486</v>
      </c>
      <c r="F129" s="158" t="s">
        <v>168</v>
      </c>
    </row>
    <row r="130" spans="1:6">
      <c r="A130" s="158">
        <v>129</v>
      </c>
      <c r="B130" s="159" t="s">
        <v>2483</v>
      </c>
      <c r="C130" s="159" t="s">
        <v>5526</v>
      </c>
      <c r="D130" s="159" t="s">
        <v>5324</v>
      </c>
      <c r="E130" s="158" t="s">
        <v>2486</v>
      </c>
      <c r="F130" s="158" t="s">
        <v>168</v>
      </c>
    </row>
    <row r="131" spans="1:6">
      <c r="A131" s="158">
        <v>130</v>
      </c>
      <c r="B131" s="159" t="s">
        <v>2483</v>
      </c>
      <c r="C131" s="159" t="s">
        <v>5527</v>
      </c>
      <c r="D131" s="159" t="s">
        <v>5324</v>
      </c>
      <c r="E131" s="158" t="s">
        <v>2486</v>
      </c>
      <c r="F131" s="158" t="s">
        <v>168</v>
      </c>
    </row>
    <row r="132" spans="1:6">
      <c r="A132" s="158">
        <v>131</v>
      </c>
      <c r="B132" s="159" t="s">
        <v>2483</v>
      </c>
      <c r="C132" s="159" t="s">
        <v>5528</v>
      </c>
      <c r="D132" s="159" t="s">
        <v>5327</v>
      </c>
      <c r="E132" s="158" t="s">
        <v>2486</v>
      </c>
      <c r="F132" s="158" t="s">
        <v>168</v>
      </c>
    </row>
    <row r="133" spans="1:6">
      <c r="A133" s="158">
        <v>132</v>
      </c>
      <c r="B133" s="159" t="s">
        <v>2483</v>
      </c>
      <c r="C133" s="159" t="s">
        <v>5529</v>
      </c>
      <c r="D133" s="159" t="s">
        <v>5327</v>
      </c>
      <c r="E133" s="158" t="s">
        <v>2486</v>
      </c>
      <c r="F133" s="158" t="s">
        <v>168</v>
      </c>
    </row>
    <row r="134" spans="1:6">
      <c r="A134" s="158">
        <v>133</v>
      </c>
      <c r="B134" s="159" t="s">
        <v>2483</v>
      </c>
      <c r="C134" s="159" t="s">
        <v>5530</v>
      </c>
      <c r="D134" s="159" t="s">
        <v>5327</v>
      </c>
      <c r="E134" s="158" t="s">
        <v>2486</v>
      </c>
      <c r="F134" s="158" t="s">
        <v>168</v>
      </c>
    </row>
    <row r="135" spans="1:6">
      <c r="A135" s="158">
        <v>134</v>
      </c>
      <c r="B135" s="159" t="s">
        <v>2483</v>
      </c>
      <c r="C135" s="159" t="s">
        <v>5531</v>
      </c>
      <c r="D135" s="159" t="s">
        <v>5417</v>
      </c>
      <c r="E135" s="158" t="s">
        <v>2486</v>
      </c>
      <c r="F135" s="158" t="s">
        <v>168</v>
      </c>
    </row>
    <row r="136" spans="1:6">
      <c r="A136" s="158">
        <v>135</v>
      </c>
      <c r="B136" s="159" t="s">
        <v>2483</v>
      </c>
      <c r="C136" s="159" t="s">
        <v>5532</v>
      </c>
      <c r="D136" s="159" t="s">
        <v>5417</v>
      </c>
      <c r="E136" s="158" t="s">
        <v>2486</v>
      </c>
      <c r="F136" s="158" t="s">
        <v>168</v>
      </c>
    </row>
    <row r="137" spans="1:6">
      <c r="A137" s="158">
        <v>136</v>
      </c>
      <c r="B137" s="159" t="s">
        <v>2483</v>
      </c>
      <c r="C137" s="159" t="s">
        <v>5533</v>
      </c>
      <c r="D137" s="159" t="s">
        <v>5417</v>
      </c>
      <c r="E137" s="158" t="s">
        <v>2486</v>
      </c>
      <c r="F137" s="158" t="s">
        <v>168</v>
      </c>
    </row>
    <row r="138" spans="1:6">
      <c r="A138" s="158">
        <v>137</v>
      </c>
      <c r="B138" s="159" t="s">
        <v>2483</v>
      </c>
      <c r="C138" s="159" t="s">
        <v>5472</v>
      </c>
      <c r="D138" s="159" t="s">
        <v>5421</v>
      </c>
      <c r="E138" s="158" t="s">
        <v>2486</v>
      </c>
      <c r="F138" s="158" t="s">
        <v>168</v>
      </c>
    </row>
    <row r="139" spans="1:6">
      <c r="A139" s="158">
        <v>138</v>
      </c>
      <c r="B139" s="159" t="s">
        <v>2483</v>
      </c>
      <c r="C139" s="159" t="s">
        <v>5534</v>
      </c>
      <c r="D139" s="159" t="s">
        <v>5421</v>
      </c>
      <c r="E139" s="158" t="s">
        <v>2486</v>
      </c>
      <c r="F139" s="158" t="s">
        <v>168</v>
      </c>
    </row>
    <row r="140" spans="1:6">
      <c r="A140" s="158">
        <v>139</v>
      </c>
      <c r="B140" s="159" t="s">
        <v>2483</v>
      </c>
      <c r="C140" s="159" t="s">
        <v>5535</v>
      </c>
      <c r="D140" s="159" t="s">
        <v>5421</v>
      </c>
      <c r="E140" s="158" t="s">
        <v>2486</v>
      </c>
      <c r="F140" s="158" t="s">
        <v>168</v>
      </c>
    </row>
    <row r="141" spans="1:6">
      <c r="A141" s="158">
        <v>140</v>
      </c>
      <c r="B141" s="159" t="s">
        <v>2483</v>
      </c>
      <c r="C141" s="159" t="s">
        <v>5536</v>
      </c>
      <c r="D141" s="159" t="s">
        <v>5425</v>
      </c>
      <c r="E141" s="158" t="s">
        <v>2486</v>
      </c>
      <c r="F141" s="158" t="s">
        <v>168</v>
      </c>
    </row>
    <row r="142" spans="1:6">
      <c r="A142" s="158">
        <v>141</v>
      </c>
      <c r="B142" s="159" t="s">
        <v>2483</v>
      </c>
      <c r="C142" s="159" t="s">
        <v>5537</v>
      </c>
      <c r="D142" s="159" t="s">
        <v>5425</v>
      </c>
      <c r="E142" s="158" t="s">
        <v>2486</v>
      </c>
      <c r="F142" s="158" t="s">
        <v>168</v>
      </c>
    </row>
    <row r="143" spans="1:6">
      <c r="A143" s="158">
        <v>142</v>
      </c>
      <c r="B143" s="159" t="s">
        <v>2483</v>
      </c>
      <c r="C143" s="159" t="s">
        <v>5538</v>
      </c>
      <c r="D143" s="159" t="s">
        <v>5425</v>
      </c>
      <c r="E143" s="158" t="s">
        <v>2486</v>
      </c>
      <c r="F143" s="158" t="s">
        <v>168</v>
      </c>
    </row>
    <row r="144" spans="1:6">
      <c r="A144" s="158">
        <v>143</v>
      </c>
      <c r="B144" s="159" t="s">
        <v>2483</v>
      </c>
      <c r="C144" s="159" t="s">
        <v>5539</v>
      </c>
      <c r="D144" s="159" t="s">
        <v>5540</v>
      </c>
      <c r="E144" s="158" t="s">
        <v>168</v>
      </c>
      <c r="F144" s="158" t="s">
        <v>2486</v>
      </c>
    </row>
    <row r="145" spans="1:6">
      <c r="A145" s="158">
        <v>144</v>
      </c>
      <c r="B145" s="159" t="s">
        <v>2483</v>
      </c>
      <c r="C145" s="159" t="s">
        <v>5541</v>
      </c>
      <c r="D145" s="159" t="s">
        <v>5542</v>
      </c>
      <c r="E145" s="158" t="s">
        <v>168</v>
      </c>
      <c r="F145" s="158" t="s">
        <v>2486</v>
      </c>
    </row>
    <row r="146" spans="1:6">
      <c r="A146" s="158">
        <v>145</v>
      </c>
      <c r="B146" s="159" t="s">
        <v>2483</v>
      </c>
      <c r="C146" s="159" t="s">
        <v>5543</v>
      </c>
      <c r="D146" s="159" t="s">
        <v>5544</v>
      </c>
      <c r="E146" s="158" t="s">
        <v>168</v>
      </c>
      <c r="F146" s="158" t="s">
        <v>2486</v>
      </c>
    </row>
    <row r="147" spans="1:6">
      <c r="A147" s="158">
        <v>146</v>
      </c>
      <c r="B147" s="159" t="s">
        <v>2483</v>
      </c>
      <c r="C147" s="159" t="s">
        <v>5451</v>
      </c>
      <c r="D147" s="159" t="s">
        <v>5545</v>
      </c>
      <c r="E147" s="158" t="s">
        <v>168</v>
      </c>
      <c r="F147" s="158" t="s">
        <v>2486</v>
      </c>
    </row>
    <row r="148" spans="1:6">
      <c r="A148" s="158">
        <v>147</v>
      </c>
      <c r="B148" s="159" t="s">
        <v>2483</v>
      </c>
      <c r="C148" s="159" t="s">
        <v>5546</v>
      </c>
      <c r="D148" s="159" t="s">
        <v>5547</v>
      </c>
      <c r="E148" s="158" t="s">
        <v>168</v>
      </c>
      <c r="F148" s="158" t="s">
        <v>2486</v>
      </c>
    </row>
    <row r="149" spans="1:6">
      <c r="A149" s="158">
        <v>148</v>
      </c>
      <c r="B149" s="159" t="s">
        <v>2483</v>
      </c>
      <c r="C149" s="159" t="s">
        <v>5548</v>
      </c>
      <c r="D149" s="159" t="s">
        <v>5549</v>
      </c>
      <c r="E149" s="158" t="s">
        <v>168</v>
      </c>
      <c r="F149" s="158" t="s">
        <v>2486</v>
      </c>
    </row>
    <row r="150" spans="1:6">
      <c r="A150" s="158">
        <v>149</v>
      </c>
      <c r="B150" s="159" t="s">
        <v>2483</v>
      </c>
      <c r="C150" s="160">
        <v>46152</v>
      </c>
      <c r="D150" s="159" t="s">
        <v>5550</v>
      </c>
      <c r="E150" s="158" t="s">
        <v>168</v>
      </c>
      <c r="F150" s="158" t="s">
        <v>2486</v>
      </c>
    </row>
    <row r="151" spans="1:6">
      <c r="A151" s="158">
        <v>150</v>
      </c>
      <c r="B151" s="159" t="s">
        <v>2483</v>
      </c>
      <c r="C151" s="159" t="s">
        <v>5551</v>
      </c>
      <c r="D151" s="159" t="s">
        <v>5552</v>
      </c>
      <c r="E151" s="158" t="s">
        <v>168</v>
      </c>
      <c r="F151" s="158" t="s">
        <v>2486</v>
      </c>
    </row>
    <row r="152" spans="1:6">
      <c r="A152" s="158">
        <v>151</v>
      </c>
      <c r="B152" s="159" t="s">
        <v>2483</v>
      </c>
      <c r="C152" s="159" t="s">
        <v>5553</v>
      </c>
      <c r="D152" s="159" t="s">
        <v>5554</v>
      </c>
      <c r="E152" s="158" t="s">
        <v>168</v>
      </c>
      <c r="F152" s="158" t="s">
        <v>2486</v>
      </c>
    </row>
    <row r="153" spans="1:6">
      <c r="A153" s="158">
        <v>152</v>
      </c>
      <c r="B153" s="159" t="s">
        <v>2483</v>
      </c>
      <c r="C153" s="159" t="s">
        <v>5555</v>
      </c>
      <c r="D153" s="159" t="s">
        <v>5556</v>
      </c>
      <c r="E153" s="158" t="s">
        <v>168</v>
      </c>
      <c r="F153" s="158" t="s">
        <v>2486</v>
      </c>
    </row>
    <row r="154" spans="1:6">
      <c r="A154" s="158">
        <v>153</v>
      </c>
      <c r="B154" s="159" t="s">
        <v>2483</v>
      </c>
      <c r="C154" s="159" t="s">
        <v>5557</v>
      </c>
      <c r="D154" s="159" t="s">
        <v>5558</v>
      </c>
      <c r="E154" s="158" t="s">
        <v>168</v>
      </c>
      <c r="F154" s="158" t="s">
        <v>2486</v>
      </c>
    </row>
    <row r="155" spans="1:6">
      <c r="A155" s="158">
        <v>154</v>
      </c>
      <c r="B155" s="159" t="s">
        <v>2483</v>
      </c>
      <c r="C155" s="159" t="s">
        <v>5559</v>
      </c>
      <c r="D155" s="159" t="s">
        <v>5560</v>
      </c>
      <c r="E155" s="158" t="s">
        <v>168</v>
      </c>
      <c r="F155" s="158" t="s">
        <v>2486</v>
      </c>
    </row>
    <row r="156" spans="1:6">
      <c r="A156" s="158">
        <v>155</v>
      </c>
      <c r="B156" s="159" t="s">
        <v>2483</v>
      </c>
      <c r="C156" s="159" t="s">
        <v>5561</v>
      </c>
      <c r="D156" s="159" t="s">
        <v>5562</v>
      </c>
      <c r="E156" s="158" t="s">
        <v>168</v>
      </c>
      <c r="F156" s="158" t="s">
        <v>2486</v>
      </c>
    </row>
    <row r="157" spans="1:6">
      <c r="A157" s="158">
        <v>156</v>
      </c>
      <c r="B157" s="159" t="s">
        <v>2483</v>
      </c>
      <c r="C157" s="159" t="s">
        <v>5563</v>
      </c>
      <c r="D157" s="159" t="s">
        <v>5564</v>
      </c>
      <c r="E157" s="158" t="s">
        <v>168</v>
      </c>
      <c r="F157" s="158" t="s">
        <v>2486</v>
      </c>
    </row>
    <row r="158" spans="1:6">
      <c r="A158" s="158">
        <v>157</v>
      </c>
      <c r="B158" s="159" t="s">
        <v>2483</v>
      </c>
      <c r="C158" s="159" t="s">
        <v>5565</v>
      </c>
      <c r="D158" s="159" t="s">
        <v>5566</v>
      </c>
      <c r="E158" s="158" t="s">
        <v>168</v>
      </c>
      <c r="F158" s="158" t="s">
        <v>2486</v>
      </c>
    </row>
    <row r="159" spans="1:6">
      <c r="A159" s="158">
        <v>158</v>
      </c>
      <c r="B159" s="159" t="s">
        <v>2483</v>
      </c>
      <c r="C159" s="159" t="s">
        <v>5567</v>
      </c>
      <c r="D159" s="159" t="s">
        <v>5568</v>
      </c>
      <c r="E159" s="158" t="s">
        <v>168</v>
      </c>
      <c r="F159" s="158" t="s">
        <v>2486</v>
      </c>
    </row>
    <row r="160" spans="1:6">
      <c r="A160" s="158">
        <v>159</v>
      </c>
      <c r="B160" s="159" t="s">
        <v>2483</v>
      </c>
      <c r="C160" s="159" t="s">
        <v>5569</v>
      </c>
      <c r="D160" s="159" t="s">
        <v>5570</v>
      </c>
      <c r="E160" s="158" t="s">
        <v>168</v>
      </c>
      <c r="F160" s="158" t="s">
        <v>2486</v>
      </c>
    </row>
    <row r="161" spans="1:6">
      <c r="A161" s="158">
        <v>160</v>
      </c>
      <c r="B161" s="159" t="s">
        <v>2483</v>
      </c>
      <c r="C161" s="159" t="s">
        <v>5571</v>
      </c>
      <c r="D161" s="159" t="s">
        <v>5572</v>
      </c>
      <c r="E161" s="158" t="s">
        <v>168</v>
      </c>
      <c r="F161" s="158" t="s">
        <v>2486</v>
      </c>
    </row>
    <row r="162" spans="1:6">
      <c r="A162" s="158">
        <v>161</v>
      </c>
      <c r="B162" s="159" t="s">
        <v>2483</v>
      </c>
      <c r="C162" s="159" t="s">
        <v>5573</v>
      </c>
      <c r="D162" s="159" t="s">
        <v>5574</v>
      </c>
      <c r="E162" s="158" t="s">
        <v>168</v>
      </c>
      <c r="F162" s="158" t="s">
        <v>2486</v>
      </c>
    </row>
    <row r="163" spans="1:6">
      <c r="A163" s="158">
        <v>162</v>
      </c>
      <c r="B163" s="159" t="s">
        <v>2483</v>
      </c>
      <c r="C163" s="159" t="s">
        <v>5575</v>
      </c>
      <c r="D163" s="159" t="s">
        <v>5576</v>
      </c>
      <c r="E163" s="158" t="s">
        <v>168</v>
      </c>
      <c r="F163" s="158" t="s">
        <v>2486</v>
      </c>
    </row>
    <row r="164" spans="1:6">
      <c r="A164" s="158">
        <v>163</v>
      </c>
      <c r="B164" s="159" t="s">
        <v>3046</v>
      </c>
      <c r="C164" s="159" t="s">
        <v>3046</v>
      </c>
      <c r="D164" s="159" t="s">
        <v>5208</v>
      </c>
      <c r="E164" s="158" t="s">
        <v>2486</v>
      </c>
      <c r="F164" s="158" t="s">
        <v>2486</v>
      </c>
    </row>
    <row r="165" spans="1:6">
      <c r="A165" s="158">
        <v>164</v>
      </c>
      <c r="B165" s="159" t="s">
        <v>3046</v>
      </c>
      <c r="C165" s="159" t="s">
        <v>5238</v>
      </c>
      <c r="D165" s="159" t="s">
        <v>5211</v>
      </c>
      <c r="E165" s="158" t="s">
        <v>2486</v>
      </c>
      <c r="F165" s="158" t="s">
        <v>168</v>
      </c>
    </row>
    <row r="166" spans="1:6">
      <c r="A166" s="158">
        <v>165</v>
      </c>
      <c r="B166" s="159" t="s">
        <v>5191</v>
      </c>
      <c r="C166" s="159" t="s">
        <v>5428</v>
      </c>
      <c r="D166" s="159" t="s">
        <v>5208</v>
      </c>
      <c r="E166" s="158" t="s">
        <v>2486</v>
      </c>
      <c r="F166" s="158" t="s">
        <v>2486</v>
      </c>
    </row>
    <row r="167" spans="1:6">
      <c r="A167" s="158">
        <v>166</v>
      </c>
      <c r="B167" s="159" t="s">
        <v>5191</v>
      </c>
      <c r="C167" s="159" t="s">
        <v>5429</v>
      </c>
      <c r="D167" s="159" t="s">
        <v>5211</v>
      </c>
      <c r="E167" s="158" t="s">
        <v>2486</v>
      </c>
      <c r="F167" s="158" t="s">
        <v>168</v>
      </c>
    </row>
    <row r="168" spans="1:6">
      <c r="A168" s="158">
        <v>167</v>
      </c>
      <c r="B168" s="159" t="s">
        <v>5192</v>
      </c>
      <c r="C168" s="159" t="s">
        <v>5192</v>
      </c>
      <c r="D168" s="159" t="s">
        <v>5208</v>
      </c>
      <c r="E168" s="158" t="s">
        <v>2486</v>
      </c>
      <c r="F168" s="158" t="s">
        <v>168</v>
      </c>
    </row>
    <row r="169" spans="1:6">
      <c r="A169" s="158">
        <v>168</v>
      </c>
      <c r="B169" s="159" t="s">
        <v>5192</v>
      </c>
      <c r="C169" s="159" t="s">
        <v>5430</v>
      </c>
      <c r="D169" s="159" t="s">
        <v>5211</v>
      </c>
      <c r="E169" s="158" t="s">
        <v>2486</v>
      </c>
      <c r="F169" s="158" t="s">
        <v>168</v>
      </c>
    </row>
    <row r="170" spans="1:6">
      <c r="A170" s="158">
        <v>169</v>
      </c>
      <c r="B170" s="159" t="s">
        <v>5434</v>
      </c>
      <c r="C170" s="159" t="s">
        <v>5434</v>
      </c>
      <c r="D170" s="159" t="s">
        <v>5208</v>
      </c>
      <c r="E170" s="158" t="s">
        <v>2486</v>
      </c>
      <c r="F170" s="158" t="s">
        <v>168</v>
      </c>
    </row>
    <row r="171" spans="1:6">
      <c r="A171" s="158">
        <v>170</v>
      </c>
      <c r="B171" s="159" t="s">
        <v>5434</v>
      </c>
      <c r="C171" s="159" t="s">
        <v>5435</v>
      </c>
      <c r="D171" s="159" t="s">
        <v>5211</v>
      </c>
      <c r="E171" s="158" t="s">
        <v>2486</v>
      </c>
      <c r="F171" s="158" t="s">
        <v>168</v>
      </c>
    </row>
    <row r="172" spans="1:6">
      <c r="A172" s="158">
        <v>171</v>
      </c>
      <c r="B172" s="159" t="s">
        <v>2598</v>
      </c>
      <c r="C172" s="159" t="s">
        <v>2599</v>
      </c>
      <c r="D172" s="159" t="s">
        <v>5208</v>
      </c>
      <c r="E172" s="158" t="s">
        <v>2486</v>
      </c>
      <c r="F172" s="158" t="s">
        <v>168</v>
      </c>
    </row>
    <row r="173" spans="1:6">
      <c r="A173" s="158">
        <v>172</v>
      </c>
      <c r="B173" s="159" t="s">
        <v>2598</v>
      </c>
      <c r="C173" s="159" t="s">
        <v>5436</v>
      </c>
      <c r="D173" s="159" t="s">
        <v>5211</v>
      </c>
      <c r="E173" s="158" t="s">
        <v>2486</v>
      </c>
      <c r="F173" s="158" t="s">
        <v>168</v>
      </c>
    </row>
    <row r="174" spans="1:6">
      <c r="A174" s="158">
        <v>173</v>
      </c>
      <c r="B174" s="159" t="s">
        <v>2598</v>
      </c>
      <c r="C174" s="159" t="s">
        <v>5577</v>
      </c>
      <c r="D174" s="159" t="s">
        <v>5213</v>
      </c>
      <c r="E174" s="158" t="s">
        <v>168</v>
      </c>
      <c r="F174" s="158" t="s">
        <v>2486</v>
      </c>
    </row>
    <row r="175" spans="1:6">
      <c r="A175" s="158">
        <v>174</v>
      </c>
      <c r="B175" s="159" t="s">
        <v>5193</v>
      </c>
      <c r="C175" s="159" t="s">
        <v>5431</v>
      </c>
      <c r="D175" s="159" t="s">
        <v>5208</v>
      </c>
      <c r="E175" s="158" t="s">
        <v>2486</v>
      </c>
      <c r="F175" s="158" t="s">
        <v>2486</v>
      </c>
    </row>
    <row r="176" spans="1:6">
      <c r="A176" s="158">
        <v>175</v>
      </c>
      <c r="B176" s="159" t="s">
        <v>5193</v>
      </c>
      <c r="C176" s="159" t="s">
        <v>5432</v>
      </c>
      <c r="D176" s="159" t="s">
        <v>5211</v>
      </c>
      <c r="E176" s="158" t="s">
        <v>2486</v>
      </c>
      <c r="F176" s="158" t="s">
        <v>168</v>
      </c>
    </row>
    <row r="177" spans="1:6">
      <c r="A177" s="158">
        <v>176</v>
      </c>
      <c r="B177" s="159" t="s">
        <v>5193</v>
      </c>
      <c r="C177" s="159" t="s">
        <v>5433</v>
      </c>
      <c r="D177" s="159" t="s">
        <v>5213</v>
      </c>
      <c r="E177" s="158" t="s">
        <v>2486</v>
      </c>
      <c r="F177" s="158" t="s">
        <v>168</v>
      </c>
    </row>
    <row r="178" spans="1:6">
      <c r="A178" s="158">
        <v>177</v>
      </c>
      <c r="B178" s="159" t="s">
        <v>5193</v>
      </c>
      <c r="C178" s="159" t="s">
        <v>5578</v>
      </c>
      <c r="D178" s="159" t="s">
        <v>5216</v>
      </c>
      <c r="E178" s="158" t="s">
        <v>168</v>
      </c>
      <c r="F178" s="158" t="s">
        <v>2486</v>
      </c>
    </row>
    <row r="179" spans="1:6">
      <c r="A179" s="158">
        <v>178</v>
      </c>
      <c r="B179" s="159" t="s">
        <v>5193</v>
      </c>
      <c r="C179" s="159" t="s">
        <v>5579</v>
      </c>
      <c r="D179" s="159" t="s">
        <v>5278</v>
      </c>
      <c r="E179" s="158" t="s">
        <v>168</v>
      </c>
      <c r="F179" s="158" t="s">
        <v>2486</v>
      </c>
    </row>
    <row r="180" spans="1:6">
      <c r="A180" s="158">
        <v>179</v>
      </c>
      <c r="B180" s="159" t="s">
        <v>5195</v>
      </c>
      <c r="C180" s="159" t="s">
        <v>5195</v>
      </c>
      <c r="D180" s="159" t="s">
        <v>5208</v>
      </c>
      <c r="E180" s="158" t="s">
        <v>2486</v>
      </c>
      <c r="F180" s="158" t="s">
        <v>2486</v>
      </c>
    </row>
    <row r="181" spans="1:6">
      <c r="A181" s="158">
        <v>180</v>
      </c>
      <c r="B181" s="159" t="s">
        <v>5195</v>
      </c>
      <c r="C181" s="159" t="s">
        <v>5437</v>
      </c>
      <c r="D181" s="159" t="s">
        <v>5211</v>
      </c>
      <c r="E181" s="158" t="s">
        <v>2486</v>
      </c>
      <c r="F181" s="158" t="s">
        <v>168</v>
      </c>
    </row>
    <row r="182" spans="1:6">
      <c r="A182" s="158">
        <v>181</v>
      </c>
      <c r="B182" s="159" t="s">
        <v>2923</v>
      </c>
      <c r="C182" s="159" t="s">
        <v>2923</v>
      </c>
      <c r="D182" s="159" t="s">
        <v>5208</v>
      </c>
      <c r="E182" s="158" t="s">
        <v>2486</v>
      </c>
      <c r="F182" s="158" t="s">
        <v>2486</v>
      </c>
    </row>
    <row r="183" spans="1:6">
      <c r="A183" s="158">
        <v>182</v>
      </c>
      <c r="B183" s="159" t="s">
        <v>2923</v>
      </c>
      <c r="C183" s="159" t="s">
        <v>5438</v>
      </c>
      <c r="D183" s="159" t="s">
        <v>5211</v>
      </c>
      <c r="E183" s="158" t="s">
        <v>2486</v>
      </c>
      <c r="F183" s="158" t="s">
        <v>2486</v>
      </c>
    </row>
    <row r="184" spans="1:6">
      <c r="A184" s="158">
        <v>183</v>
      </c>
      <c r="B184" s="159" t="s">
        <v>2923</v>
      </c>
      <c r="C184" s="159" t="s">
        <v>5439</v>
      </c>
      <c r="D184" s="159" t="s">
        <v>5213</v>
      </c>
      <c r="E184" s="158" t="s">
        <v>2486</v>
      </c>
      <c r="F184" s="158" t="s">
        <v>168</v>
      </c>
    </row>
    <row r="185" spans="1:6">
      <c r="A185" s="158">
        <v>184</v>
      </c>
      <c r="B185" s="159" t="s">
        <v>2923</v>
      </c>
      <c r="C185" s="159" t="s">
        <v>5580</v>
      </c>
      <c r="D185" s="159" t="s">
        <v>5216</v>
      </c>
      <c r="E185" s="158" t="s">
        <v>168</v>
      </c>
      <c r="F185" s="158" t="s">
        <v>2486</v>
      </c>
    </row>
    <row r="186" spans="1:6">
      <c r="A186" s="158">
        <v>185</v>
      </c>
      <c r="B186" s="159" t="s">
        <v>2923</v>
      </c>
      <c r="C186" s="159" t="s">
        <v>5581</v>
      </c>
      <c r="D186" s="159" t="s">
        <v>5278</v>
      </c>
      <c r="E186" s="158" t="s">
        <v>168</v>
      </c>
      <c r="F186" s="158" t="s">
        <v>2486</v>
      </c>
    </row>
    <row r="187" spans="1:6">
      <c r="A187" s="158">
        <v>186</v>
      </c>
      <c r="B187" s="159" t="s">
        <v>2923</v>
      </c>
      <c r="C187" s="159" t="s">
        <v>2521</v>
      </c>
      <c r="D187" s="159" t="s">
        <v>5294</v>
      </c>
      <c r="E187" s="158" t="s">
        <v>168</v>
      </c>
      <c r="F187" s="158" t="s">
        <v>2486</v>
      </c>
    </row>
    <row r="188" spans="1:6">
      <c r="A188" s="158">
        <v>187</v>
      </c>
      <c r="B188" s="159" t="s">
        <v>2675</v>
      </c>
      <c r="C188" s="159" t="s">
        <v>2675</v>
      </c>
      <c r="D188" s="159" t="s">
        <v>5208</v>
      </c>
      <c r="E188" s="158" t="s">
        <v>2486</v>
      </c>
      <c r="F188" s="158" t="s">
        <v>2486</v>
      </c>
    </row>
    <row r="189" spans="1:6">
      <c r="A189" s="158">
        <v>188</v>
      </c>
      <c r="B189" s="159" t="s">
        <v>2675</v>
      </c>
      <c r="C189" s="159" t="s">
        <v>5440</v>
      </c>
      <c r="D189" s="159" t="s">
        <v>5211</v>
      </c>
      <c r="E189" s="158" t="s">
        <v>2486</v>
      </c>
      <c r="F189" s="158" t="s">
        <v>168</v>
      </c>
    </row>
    <row r="190" spans="1:6">
      <c r="A190" s="158">
        <v>189</v>
      </c>
      <c r="B190" s="159" t="s">
        <v>2675</v>
      </c>
      <c r="C190" s="159" t="s">
        <v>5582</v>
      </c>
      <c r="D190" s="159" t="s">
        <v>5213</v>
      </c>
      <c r="E190" s="158" t="s">
        <v>168</v>
      </c>
      <c r="F190" s="158" t="s">
        <v>2486</v>
      </c>
    </row>
    <row r="191" spans="1:6">
      <c r="A191" s="158">
        <v>190</v>
      </c>
      <c r="B191" s="159" t="s">
        <v>5196</v>
      </c>
      <c r="C191" s="159" t="s">
        <v>5196</v>
      </c>
      <c r="D191" s="159" t="s">
        <v>5208</v>
      </c>
      <c r="E191" s="158" t="s">
        <v>2486</v>
      </c>
      <c r="F191" s="158" t="s">
        <v>2486</v>
      </c>
    </row>
    <row r="192" spans="1:6">
      <c r="A192" s="158">
        <v>191</v>
      </c>
      <c r="B192" s="159" t="s">
        <v>5196</v>
      </c>
      <c r="C192" s="159" t="s">
        <v>2973</v>
      </c>
      <c r="D192" s="159" t="s">
        <v>5211</v>
      </c>
      <c r="E192" s="158" t="s">
        <v>2486</v>
      </c>
      <c r="F192" s="158" t="s">
        <v>168</v>
      </c>
    </row>
    <row r="193" spans="1:6">
      <c r="A193" s="158">
        <v>192</v>
      </c>
      <c r="B193" s="159" t="s">
        <v>3027</v>
      </c>
      <c r="C193" s="159" t="s">
        <v>3027</v>
      </c>
      <c r="D193" s="159" t="s">
        <v>5208</v>
      </c>
      <c r="E193" s="158" t="s">
        <v>2486</v>
      </c>
      <c r="F193" s="158" t="s">
        <v>2486</v>
      </c>
    </row>
    <row r="194" spans="1:6">
      <c r="A194" s="158">
        <v>193</v>
      </c>
      <c r="B194" s="159" t="s">
        <v>3027</v>
      </c>
      <c r="C194" s="159" t="s">
        <v>5441</v>
      </c>
      <c r="D194" s="159" t="s">
        <v>5211</v>
      </c>
      <c r="E194" s="158" t="s">
        <v>2486</v>
      </c>
      <c r="F194" s="158" t="s">
        <v>168</v>
      </c>
    </row>
    <row r="195" spans="1:6">
      <c r="A195" s="158">
        <v>194</v>
      </c>
      <c r="B195" s="159" t="s">
        <v>3027</v>
      </c>
      <c r="C195" s="159" t="s">
        <v>5513</v>
      </c>
      <c r="D195" s="159" t="s">
        <v>5213</v>
      </c>
      <c r="E195" s="158" t="s">
        <v>168</v>
      </c>
      <c r="F195" s="158" t="s">
        <v>2486</v>
      </c>
    </row>
    <row r="196" spans="1:6">
      <c r="A196" s="158">
        <v>195</v>
      </c>
      <c r="B196" s="159" t="s">
        <v>2956</v>
      </c>
      <c r="C196" s="159" t="s">
        <v>2957</v>
      </c>
      <c r="D196" s="159" t="s">
        <v>5208</v>
      </c>
      <c r="E196" s="158" t="s">
        <v>2486</v>
      </c>
      <c r="F196" s="158" t="s">
        <v>168</v>
      </c>
    </row>
    <row r="197" spans="1:6">
      <c r="A197" s="158">
        <v>196</v>
      </c>
      <c r="B197" s="159" t="s">
        <v>2956</v>
      </c>
      <c r="C197" s="159" t="s">
        <v>5281</v>
      </c>
      <c r="D197" s="159" t="s">
        <v>5211</v>
      </c>
      <c r="E197" s="158" t="s">
        <v>2486</v>
      </c>
      <c r="F197" s="158" t="s">
        <v>168</v>
      </c>
    </row>
    <row r="198" spans="1:6">
      <c r="A198" s="158">
        <v>197</v>
      </c>
      <c r="B198" s="159" t="s">
        <v>2956</v>
      </c>
      <c r="C198" s="159" t="s">
        <v>5451</v>
      </c>
      <c r="D198" s="159" t="s">
        <v>5213</v>
      </c>
      <c r="E198" s="158" t="s">
        <v>168</v>
      </c>
      <c r="F198" s="158" t="s">
        <v>2486</v>
      </c>
    </row>
    <row r="199" spans="1:6">
      <c r="A199" s="158">
        <v>198</v>
      </c>
      <c r="B199" s="159" t="s">
        <v>2956</v>
      </c>
      <c r="C199" s="159" t="s">
        <v>5513</v>
      </c>
      <c r="D199" s="159" t="s">
        <v>5216</v>
      </c>
      <c r="E199" s="158" t="s">
        <v>168</v>
      </c>
      <c r="F199" s="158" t="s">
        <v>2486</v>
      </c>
    </row>
    <row r="200" spans="1:6">
      <c r="A200" s="158">
        <v>199</v>
      </c>
      <c r="B200" s="159" t="s">
        <v>5197</v>
      </c>
      <c r="C200" s="159" t="s">
        <v>5197</v>
      </c>
      <c r="D200" s="159" t="s">
        <v>5208</v>
      </c>
      <c r="E200" s="158" t="s">
        <v>2486</v>
      </c>
      <c r="F200" s="158" t="s">
        <v>2486</v>
      </c>
    </row>
    <row r="201" spans="1:6">
      <c r="A201" s="158">
        <v>200</v>
      </c>
      <c r="B201" s="159" t="s">
        <v>5197</v>
      </c>
      <c r="C201" s="159" t="s">
        <v>5442</v>
      </c>
      <c r="D201" s="159" t="s">
        <v>5211</v>
      </c>
      <c r="E201" s="158" t="s">
        <v>2486</v>
      </c>
      <c r="F201" s="158" t="s">
        <v>168</v>
      </c>
    </row>
    <row r="202" spans="1:6">
      <c r="A202" s="158">
        <v>201</v>
      </c>
      <c r="B202" s="159" t="s">
        <v>2625</v>
      </c>
      <c r="C202" s="159" t="s">
        <v>2625</v>
      </c>
      <c r="D202" s="159" t="s">
        <v>5208</v>
      </c>
      <c r="E202" s="158" t="s">
        <v>2486</v>
      </c>
      <c r="F202" s="158" t="s">
        <v>2486</v>
      </c>
    </row>
    <row r="203" spans="1:6">
      <c r="A203" s="158">
        <v>202</v>
      </c>
      <c r="B203" s="159" t="s">
        <v>2625</v>
      </c>
      <c r="C203" s="159" t="s">
        <v>5443</v>
      </c>
      <c r="D203" s="159" t="s">
        <v>5211</v>
      </c>
      <c r="E203" s="158" t="s">
        <v>2486</v>
      </c>
      <c r="F203" s="158" t="s">
        <v>168</v>
      </c>
    </row>
    <row r="204" spans="1:6">
      <c r="A204" s="158">
        <v>203</v>
      </c>
      <c r="B204" s="159" t="s">
        <v>2625</v>
      </c>
      <c r="C204" s="159" t="s">
        <v>5583</v>
      </c>
      <c r="D204" s="159" t="s">
        <v>5213</v>
      </c>
      <c r="E204" s="158" t="s">
        <v>168</v>
      </c>
      <c r="F204" s="158" t="s">
        <v>2486</v>
      </c>
    </row>
    <row r="205" spans="1:6">
      <c r="A205" s="158">
        <v>204</v>
      </c>
      <c r="B205" s="159" t="s">
        <v>2830</v>
      </c>
      <c r="C205" s="159" t="s">
        <v>2830</v>
      </c>
      <c r="D205" s="159" t="s">
        <v>5208</v>
      </c>
      <c r="E205" s="158" t="s">
        <v>2486</v>
      </c>
      <c r="F205" s="158" t="s">
        <v>2486</v>
      </c>
    </row>
    <row r="206" spans="1:6">
      <c r="A206" s="158">
        <v>205</v>
      </c>
      <c r="B206" s="159" t="s">
        <v>2830</v>
      </c>
      <c r="C206" s="159" t="s">
        <v>5223</v>
      </c>
      <c r="D206" s="159" t="s">
        <v>5211</v>
      </c>
      <c r="E206" s="158" t="s">
        <v>2486</v>
      </c>
      <c r="F206" s="158" t="s">
        <v>168</v>
      </c>
    </row>
    <row r="207" spans="1:6">
      <c r="A207" s="158">
        <v>206</v>
      </c>
      <c r="B207" s="159" t="s">
        <v>2830</v>
      </c>
      <c r="C207" s="159" t="s">
        <v>5584</v>
      </c>
      <c r="D207" s="159" t="s">
        <v>5213</v>
      </c>
      <c r="E207" s="158" t="s">
        <v>168</v>
      </c>
      <c r="F207" s="158" t="s">
        <v>2486</v>
      </c>
    </row>
    <row r="208" spans="1:6">
      <c r="A208" s="158">
        <v>207</v>
      </c>
      <c r="B208" s="159" t="s">
        <v>2830</v>
      </c>
      <c r="C208" s="159" t="s">
        <v>5585</v>
      </c>
      <c r="D208" s="159" t="s">
        <v>5216</v>
      </c>
      <c r="E208" s="158" t="s">
        <v>168</v>
      </c>
      <c r="F208" s="158" t="s">
        <v>2486</v>
      </c>
    </row>
    <row r="209" spans="1:6">
      <c r="A209" s="158">
        <v>208</v>
      </c>
      <c r="B209" s="159" t="s">
        <v>2972</v>
      </c>
      <c r="C209" s="159" t="s">
        <v>2972</v>
      </c>
      <c r="D209" s="159" t="s">
        <v>5208</v>
      </c>
      <c r="E209" s="158" t="s">
        <v>2486</v>
      </c>
      <c r="F209" s="158" t="s">
        <v>168</v>
      </c>
    </row>
    <row r="210" spans="1:6">
      <c r="A210" s="158">
        <v>209</v>
      </c>
      <c r="B210" s="159" t="s">
        <v>2972</v>
      </c>
      <c r="C210" s="159" t="s">
        <v>2973</v>
      </c>
      <c r="D210" s="159" t="s">
        <v>5211</v>
      </c>
      <c r="E210" s="158" t="s">
        <v>2486</v>
      </c>
      <c r="F210" s="158" t="s">
        <v>168</v>
      </c>
    </row>
    <row r="211" spans="1:6">
      <c r="A211" s="158">
        <v>210</v>
      </c>
      <c r="B211" s="159" t="s">
        <v>5198</v>
      </c>
      <c r="C211" s="159" t="s">
        <v>5444</v>
      </c>
      <c r="D211" s="159" t="s">
        <v>5208</v>
      </c>
      <c r="E211" s="158" t="s">
        <v>2486</v>
      </c>
      <c r="F211" s="158" t="s">
        <v>168</v>
      </c>
    </row>
    <row r="212" spans="1:6">
      <c r="A212" s="158">
        <v>211</v>
      </c>
      <c r="B212" s="159" t="s">
        <v>5198</v>
      </c>
      <c r="C212" s="159" t="s">
        <v>2973</v>
      </c>
      <c r="D212" s="159" t="s">
        <v>5211</v>
      </c>
      <c r="E212" s="158" t="s">
        <v>2486</v>
      </c>
      <c r="F212" s="158" t="s">
        <v>168</v>
      </c>
    </row>
    <row r="213" spans="1:6">
      <c r="A213" s="158">
        <v>212</v>
      </c>
      <c r="B213" s="159" t="s">
        <v>5198</v>
      </c>
      <c r="C213" s="159" t="s">
        <v>5451</v>
      </c>
      <c r="D213" s="159" t="s">
        <v>5213</v>
      </c>
      <c r="E213" s="158" t="s">
        <v>168</v>
      </c>
      <c r="F213" s="158" t="s">
        <v>2486</v>
      </c>
    </row>
    <row r="214" spans="1:6">
      <c r="A214" s="158">
        <v>213</v>
      </c>
      <c r="B214" s="159" t="s">
        <v>5199</v>
      </c>
      <c r="C214" s="159" t="s">
        <v>5445</v>
      </c>
      <c r="D214" s="159" t="s">
        <v>5208</v>
      </c>
      <c r="E214" s="158" t="s">
        <v>2486</v>
      </c>
      <c r="F214" s="158" t="s">
        <v>168</v>
      </c>
    </row>
    <row r="215" spans="1:6">
      <c r="A215" s="158">
        <v>214</v>
      </c>
      <c r="B215" s="159" t="s">
        <v>5199</v>
      </c>
      <c r="C215" s="159" t="s">
        <v>2973</v>
      </c>
      <c r="D215" s="159" t="s">
        <v>5211</v>
      </c>
      <c r="E215" s="158" t="s">
        <v>2486</v>
      </c>
      <c r="F215" s="158" t="s">
        <v>168</v>
      </c>
    </row>
    <row r="216" spans="1:6">
      <c r="A216" s="158">
        <v>215</v>
      </c>
      <c r="B216" s="159" t="s">
        <v>2490</v>
      </c>
      <c r="C216" s="159" t="s">
        <v>2492</v>
      </c>
      <c r="D216" s="159" t="s">
        <v>5208</v>
      </c>
      <c r="E216" s="158" t="s">
        <v>2486</v>
      </c>
      <c r="F216" s="158" t="s">
        <v>2486</v>
      </c>
    </row>
    <row r="217" spans="1:6">
      <c r="A217" s="158">
        <v>216</v>
      </c>
      <c r="B217" s="159" t="s">
        <v>2490</v>
      </c>
      <c r="C217" s="159" t="s">
        <v>5446</v>
      </c>
      <c r="D217" s="159" t="s">
        <v>5211</v>
      </c>
      <c r="E217" s="158" t="s">
        <v>2486</v>
      </c>
      <c r="F217" s="158" t="s">
        <v>168</v>
      </c>
    </row>
    <row r="218" spans="1:6">
      <c r="A218" s="158">
        <v>217</v>
      </c>
      <c r="B218" s="159" t="s">
        <v>2490</v>
      </c>
      <c r="C218" s="159" t="s">
        <v>5586</v>
      </c>
      <c r="D218" s="159" t="s">
        <v>5213</v>
      </c>
      <c r="E218" s="158" t="s">
        <v>168</v>
      </c>
      <c r="F218" s="158" t="s">
        <v>2486</v>
      </c>
    </row>
    <row r="219" spans="1:6">
      <c r="A219" s="158">
        <v>218</v>
      </c>
      <c r="B219" s="159" t="s">
        <v>2490</v>
      </c>
      <c r="C219" s="159" t="s">
        <v>5587</v>
      </c>
      <c r="D219" s="159" t="s">
        <v>5216</v>
      </c>
      <c r="E219" s="158" t="s">
        <v>168</v>
      </c>
      <c r="F219" s="158" t="s">
        <v>2486</v>
      </c>
    </row>
    <row r="220" spans="1:6">
      <c r="A220" s="158">
        <v>219</v>
      </c>
      <c r="B220" s="159" t="s">
        <v>5200</v>
      </c>
      <c r="C220" s="159" t="s">
        <v>5200</v>
      </c>
      <c r="D220" s="159" t="s">
        <v>5208</v>
      </c>
      <c r="E220" s="158" t="s">
        <v>2486</v>
      </c>
      <c r="F220" s="158" t="s">
        <v>168</v>
      </c>
    </row>
    <row r="221" spans="1:6">
      <c r="A221" s="158">
        <v>220</v>
      </c>
      <c r="B221" s="159" t="s">
        <v>5200</v>
      </c>
      <c r="C221" s="159" t="s">
        <v>2973</v>
      </c>
      <c r="D221" s="159" t="s">
        <v>5211</v>
      </c>
      <c r="E221" s="158" t="s">
        <v>2486</v>
      </c>
      <c r="F221" s="158" t="s">
        <v>168</v>
      </c>
    </row>
    <row r="222" spans="1:6">
      <c r="A222" s="158">
        <v>221</v>
      </c>
      <c r="B222" s="159" t="s">
        <v>5201</v>
      </c>
      <c r="C222" s="159" t="s">
        <v>5201</v>
      </c>
      <c r="D222" s="159" t="s">
        <v>5208</v>
      </c>
      <c r="E222" s="158" t="s">
        <v>2486</v>
      </c>
      <c r="F222" s="158" t="s">
        <v>2486</v>
      </c>
    </row>
    <row r="223" spans="1:6">
      <c r="A223" s="158">
        <v>222</v>
      </c>
      <c r="B223" s="159" t="s">
        <v>5201</v>
      </c>
      <c r="C223" s="159" t="s">
        <v>5588</v>
      </c>
      <c r="D223" s="159" t="s">
        <v>5211</v>
      </c>
      <c r="E223" s="158" t="s">
        <v>2486</v>
      </c>
      <c r="F223" s="158" t="s">
        <v>168</v>
      </c>
    </row>
    <row r="224" spans="1:6">
      <c r="A224" s="158">
        <v>223</v>
      </c>
      <c r="B224" s="159" t="s">
        <v>2623</v>
      </c>
      <c r="C224" s="159" t="s">
        <v>2623</v>
      </c>
      <c r="D224" s="159" t="s">
        <v>5208</v>
      </c>
      <c r="E224" s="158" t="s">
        <v>2486</v>
      </c>
      <c r="F224" s="158" t="s">
        <v>168</v>
      </c>
    </row>
    <row r="225" spans="1:6">
      <c r="A225" s="158">
        <v>224</v>
      </c>
      <c r="B225" s="159" t="s">
        <v>2623</v>
      </c>
      <c r="C225" s="159" t="s">
        <v>2973</v>
      </c>
      <c r="D225" s="159" t="s">
        <v>5211</v>
      </c>
      <c r="E225" s="158" t="s">
        <v>2486</v>
      </c>
      <c r="F225" s="158" t="s">
        <v>168</v>
      </c>
    </row>
    <row r="226" spans="1:6">
      <c r="A226" s="158">
        <v>225</v>
      </c>
      <c r="B226" s="159" t="s">
        <v>3098</v>
      </c>
      <c r="C226" s="159" t="s">
        <v>3098</v>
      </c>
      <c r="D226" s="159" t="s">
        <v>5208</v>
      </c>
      <c r="E226" s="158" t="s">
        <v>2486</v>
      </c>
      <c r="F226" s="158" t="s">
        <v>2486</v>
      </c>
    </row>
    <row r="227" spans="1:6">
      <c r="A227" s="158">
        <v>226</v>
      </c>
      <c r="B227" s="159" t="s">
        <v>3098</v>
      </c>
      <c r="C227" s="159" t="s">
        <v>2973</v>
      </c>
      <c r="D227" s="159" t="s">
        <v>5211</v>
      </c>
      <c r="E227" s="158" t="s">
        <v>2486</v>
      </c>
      <c r="F227" s="158" t="s">
        <v>168</v>
      </c>
    </row>
    <row r="228" spans="1:6">
      <c r="A228" s="158">
        <v>227</v>
      </c>
      <c r="B228" s="159" t="s">
        <v>3041</v>
      </c>
      <c r="C228" s="159" t="s">
        <v>3041</v>
      </c>
      <c r="D228" s="159" t="s">
        <v>5208</v>
      </c>
      <c r="E228" s="158" t="s">
        <v>2486</v>
      </c>
      <c r="F228" s="158" t="s">
        <v>2486</v>
      </c>
    </row>
    <row r="229" spans="1:6">
      <c r="A229" s="158">
        <v>228</v>
      </c>
      <c r="B229" s="159" t="s">
        <v>3041</v>
      </c>
      <c r="C229" s="159" t="s">
        <v>5448</v>
      </c>
      <c r="D229" s="159" t="s">
        <v>5211</v>
      </c>
      <c r="E229" s="158" t="s">
        <v>2486</v>
      </c>
      <c r="F229" s="158" t="s">
        <v>168</v>
      </c>
    </row>
    <row r="230" spans="1:6">
      <c r="A230" s="158">
        <v>229</v>
      </c>
      <c r="B230" s="159" t="s">
        <v>3041</v>
      </c>
      <c r="C230" s="159" t="s">
        <v>5589</v>
      </c>
      <c r="D230" s="159" t="s">
        <v>5213</v>
      </c>
      <c r="E230" s="158" t="s">
        <v>168</v>
      </c>
      <c r="F230" s="158" t="s">
        <v>2486</v>
      </c>
    </row>
    <row r="231" spans="1:6">
      <c r="A231" s="158">
        <v>230</v>
      </c>
      <c r="B231" s="159" t="s">
        <v>5202</v>
      </c>
      <c r="C231" s="159" t="s">
        <v>5202</v>
      </c>
      <c r="D231" s="159" t="s">
        <v>5208</v>
      </c>
      <c r="E231" s="158" t="s">
        <v>2486</v>
      </c>
      <c r="F231" s="158" t="s">
        <v>168</v>
      </c>
    </row>
    <row r="232" spans="1:6">
      <c r="A232" s="158">
        <v>231</v>
      </c>
      <c r="B232" s="159" t="s">
        <v>5202</v>
      </c>
      <c r="C232" s="159" t="s">
        <v>2973</v>
      </c>
      <c r="D232" s="159" t="s">
        <v>5211</v>
      </c>
      <c r="E232" s="158" t="s">
        <v>2486</v>
      </c>
      <c r="F232" s="158" t="s">
        <v>168</v>
      </c>
    </row>
    <row r="233" spans="1:6">
      <c r="A233" s="158">
        <v>232</v>
      </c>
      <c r="B233" s="159" t="s">
        <v>2994</v>
      </c>
      <c r="C233" s="159" t="s">
        <v>2994</v>
      </c>
      <c r="D233" s="159" t="s">
        <v>5208</v>
      </c>
      <c r="E233" s="158" t="s">
        <v>2486</v>
      </c>
      <c r="F233" s="158" t="s">
        <v>2486</v>
      </c>
    </row>
    <row r="234" spans="1:6">
      <c r="A234" s="158">
        <v>233</v>
      </c>
      <c r="B234" s="159" t="s">
        <v>2994</v>
      </c>
      <c r="C234" s="159" t="s">
        <v>5449</v>
      </c>
      <c r="D234" s="159" t="s">
        <v>5211</v>
      </c>
      <c r="E234" s="158" t="s">
        <v>2486</v>
      </c>
      <c r="F234" s="158" t="s">
        <v>168</v>
      </c>
    </row>
    <row r="235" spans="1:6">
      <c r="A235" s="158">
        <v>234</v>
      </c>
      <c r="B235" s="159" t="s">
        <v>2994</v>
      </c>
      <c r="C235" s="159" t="s">
        <v>5450</v>
      </c>
      <c r="D235" s="159" t="s">
        <v>5213</v>
      </c>
      <c r="E235" s="158" t="s">
        <v>2486</v>
      </c>
      <c r="F235" s="158" t="s">
        <v>168</v>
      </c>
    </row>
    <row r="236" spans="1:6">
      <c r="A236" s="158">
        <v>235</v>
      </c>
      <c r="B236" s="159" t="s">
        <v>2994</v>
      </c>
      <c r="C236" s="159" t="s">
        <v>5590</v>
      </c>
      <c r="D236" s="159" t="s">
        <v>5216</v>
      </c>
      <c r="E236" s="158" t="s">
        <v>168</v>
      </c>
      <c r="F236" s="158" t="s">
        <v>2486</v>
      </c>
    </row>
    <row r="237" spans="1:6">
      <c r="A237" s="158">
        <v>236</v>
      </c>
      <c r="B237" s="159" t="s">
        <v>5203</v>
      </c>
      <c r="C237" s="159" t="s">
        <v>5451</v>
      </c>
      <c r="D237" s="159" t="s">
        <v>5208</v>
      </c>
      <c r="E237" s="158" t="s">
        <v>2486</v>
      </c>
      <c r="F237" s="158" t="s">
        <v>168</v>
      </c>
    </row>
    <row r="238" spans="1:6">
      <c r="A238" s="158">
        <v>237</v>
      </c>
      <c r="B238" s="159" t="s">
        <v>5204</v>
      </c>
      <c r="C238" s="159" t="s">
        <v>5452</v>
      </c>
      <c r="D238" s="159" t="s">
        <v>5208</v>
      </c>
      <c r="E238" s="158" t="s">
        <v>2486</v>
      </c>
      <c r="F238" s="158" t="s">
        <v>168</v>
      </c>
    </row>
    <row r="239" spans="1:6">
      <c r="A239" s="158">
        <v>238</v>
      </c>
      <c r="B239" s="159" t="s">
        <v>5204</v>
      </c>
      <c r="C239" s="159" t="s">
        <v>5451</v>
      </c>
      <c r="D239" s="159" t="s">
        <v>5211</v>
      </c>
      <c r="E239" s="158" t="s">
        <v>168</v>
      </c>
      <c r="F239" s="158" t="s">
        <v>2486</v>
      </c>
    </row>
    <row r="240" spans="1:6" ht="15.75" customHeight="1">
      <c r="A240" s="32">
        <v>805</v>
      </c>
      <c r="B240" s="161" t="s">
        <v>5193</v>
      </c>
      <c r="C240" s="162" t="s">
        <v>5591</v>
      </c>
      <c r="D240" s="163"/>
      <c r="E240" s="163"/>
      <c r="F240" s="163"/>
    </row>
    <row r="241" spans="1:6" ht="15.75" customHeight="1">
      <c r="A241" s="32"/>
      <c r="B241" s="161"/>
      <c r="C241" s="162"/>
      <c r="D241" s="163"/>
      <c r="E241" s="163"/>
      <c r="F241" s="163"/>
    </row>
    <row r="242" spans="1:6" ht="15.75" customHeight="1">
      <c r="A242" s="32"/>
      <c r="B242" s="161"/>
      <c r="C242" s="162"/>
      <c r="D242" s="163"/>
      <c r="E242" s="163"/>
      <c r="F242" s="163"/>
    </row>
    <row r="243" spans="1:6" ht="15.75" customHeight="1">
      <c r="A243" s="32"/>
      <c r="B243" s="161"/>
      <c r="C243" s="162"/>
      <c r="D243" s="163"/>
      <c r="E243" s="163"/>
      <c r="F243" s="163"/>
    </row>
    <row r="244" spans="1:6" ht="15.75" customHeight="1">
      <c r="A244" s="32"/>
      <c r="B244" s="161"/>
      <c r="C244" s="162"/>
      <c r="D244" s="163"/>
      <c r="E244" s="163"/>
      <c r="F244" s="163"/>
    </row>
    <row r="245" spans="1:6" ht="15.75" customHeight="1">
      <c r="A245" s="32"/>
      <c r="B245" s="161"/>
      <c r="C245" s="162"/>
      <c r="D245" s="163"/>
      <c r="E245" s="163"/>
      <c r="F245" s="163"/>
    </row>
    <row r="246" spans="1:6" ht="15.75" customHeight="1">
      <c r="A246" s="32"/>
      <c r="B246" s="161"/>
      <c r="C246" s="162"/>
      <c r="D246" s="163"/>
      <c r="E246" s="163"/>
      <c r="F246" s="163"/>
    </row>
    <row r="247" spans="1:6" ht="15.75" customHeight="1">
      <c r="A247" s="32"/>
      <c r="B247" s="161"/>
      <c r="C247" s="162"/>
      <c r="D247" s="163"/>
      <c r="E247" s="163"/>
      <c r="F247" s="163"/>
    </row>
    <row r="248" spans="1:6" ht="15.75" customHeight="1">
      <c r="A248" s="32"/>
      <c r="B248" s="161"/>
      <c r="C248" s="162"/>
      <c r="D248" s="163"/>
      <c r="E248" s="163"/>
      <c r="F248" s="163"/>
    </row>
    <row r="249" spans="1:6" ht="15.75" customHeight="1">
      <c r="A249" s="32"/>
      <c r="B249" s="161"/>
      <c r="C249" s="162"/>
      <c r="D249" s="163"/>
      <c r="E249" s="163"/>
      <c r="F249" s="163"/>
    </row>
    <row r="250" spans="1:6" ht="15.75" customHeight="1">
      <c r="A250" s="32"/>
      <c r="B250" s="161"/>
      <c r="C250" s="162"/>
      <c r="D250" s="163"/>
      <c r="E250" s="163"/>
      <c r="F250" s="163"/>
    </row>
    <row r="251" spans="1:6" ht="15.75" customHeight="1">
      <c r="A251" s="32"/>
      <c r="B251" s="161"/>
      <c r="C251" s="162"/>
      <c r="D251" s="163"/>
      <c r="E251" s="163"/>
      <c r="F251" s="163"/>
    </row>
    <row r="252" spans="1:6" ht="15.75" customHeight="1">
      <c r="A252" s="32"/>
      <c r="B252" s="161"/>
      <c r="C252" s="162"/>
      <c r="D252" s="163"/>
      <c r="E252" s="163"/>
      <c r="F252" s="163"/>
    </row>
    <row r="253" spans="1:6" ht="15.75" customHeight="1">
      <c r="A253" s="32"/>
      <c r="B253" s="161"/>
      <c r="C253" s="162"/>
      <c r="D253" s="163"/>
      <c r="E253" s="163"/>
      <c r="F253" s="163"/>
    </row>
    <row r="254" spans="1:6" ht="15.75" customHeight="1">
      <c r="A254" s="32"/>
      <c r="B254" s="161"/>
      <c r="C254" s="162"/>
      <c r="D254" s="163"/>
      <c r="E254" s="163"/>
      <c r="F254" s="163"/>
    </row>
    <row r="255" spans="1:6" ht="15.75" customHeight="1">
      <c r="A255" s="32"/>
      <c r="B255" s="161"/>
      <c r="C255" s="162"/>
      <c r="D255" s="163"/>
      <c r="E255" s="163"/>
      <c r="F255" s="163"/>
    </row>
    <row r="256" spans="1:6" ht="15.75" customHeight="1">
      <c r="A256" s="32"/>
      <c r="B256" s="161"/>
      <c r="C256" s="162"/>
      <c r="D256" s="163"/>
      <c r="E256" s="163"/>
      <c r="F256" s="163"/>
    </row>
    <row r="257" spans="1:6" ht="15.75" customHeight="1">
      <c r="A257" s="32"/>
      <c r="B257" s="161"/>
      <c r="C257" s="162"/>
      <c r="D257" s="163"/>
      <c r="E257" s="163"/>
      <c r="F257" s="163"/>
    </row>
    <row r="258" spans="1:6" ht="15.75" customHeight="1">
      <c r="A258" s="32"/>
      <c r="B258" s="161"/>
      <c r="C258" s="162"/>
      <c r="D258" s="163"/>
      <c r="E258" s="163"/>
      <c r="F258" s="163"/>
    </row>
    <row r="259" spans="1:6" ht="15.75" customHeight="1">
      <c r="A259" s="32"/>
      <c r="B259" s="161"/>
      <c r="C259" s="162"/>
      <c r="D259" s="163"/>
      <c r="E259" s="163"/>
      <c r="F259" s="163"/>
    </row>
    <row r="260" spans="1:6" ht="15.75" customHeight="1">
      <c r="A260" s="32"/>
      <c r="B260" s="161"/>
      <c r="C260" s="162"/>
      <c r="D260" s="163"/>
      <c r="E260" s="163"/>
      <c r="F260" s="163"/>
    </row>
    <row r="261" spans="1:6" ht="15.75" customHeight="1">
      <c r="A261" s="32"/>
      <c r="B261" s="161"/>
      <c r="C261" s="162"/>
      <c r="D261" s="163"/>
      <c r="E261" s="163"/>
      <c r="F261" s="163"/>
    </row>
    <row r="262" spans="1:6" ht="15.75" customHeight="1">
      <c r="A262" s="32"/>
      <c r="B262" s="161"/>
      <c r="C262" s="162"/>
      <c r="D262" s="163"/>
      <c r="E262" s="163"/>
      <c r="F262" s="163"/>
    </row>
    <row r="263" spans="1:6" ht="15.75" customHeight="1">
      <c r="A263" s="32"/>
      <c r="B263" s="161"/>
      <c r="C263" s="162"/>
      <c r="D263" s="163"/>
      <c r="E263" s="163"/>
      <c r="F263" s="163"/>
    </row>
    <row r="264" spans="1:6" ht="15.75" customHeight="1">
      <c r="A264" s="32"/>
      <c r="B264" s="161"/>
      <c r="C264" s="162"/>
      <c r="D264" s="163"/>
      <c r="E264" s="163"/>
      <c r="F264" s="163"/>
    </row>
    <row r="265" spans="1:6" ht="15.75" customHeight="1">
      <c r="A265" s="32"/>
      <c r="B265" s="161"/>
      <c r="C265" s="162"/>
      <c r="D265" s="163"/>
      <c r="E265" s="163"/>
      <c r="F265" s="163"/>
    </row>
    <row r="266" spans="1:6" ht="15.75" customHeight="1">
      <c r="A266" s="32"/>
      <c r="B266" s="161"/>
      <c r="C266" s="162"/>
      <c r="D266" s="163"/>
      <c r="E266" s="163"/>
      <c r="F266" s="163"/>
    </row>
    <row r="267" spans="1:6" ht="15.75" customHeight="1">
      <c r="A267" s="32"/>
      <c r="B267" s="161"/>
      <c r="C267" s="162"/>
      <c r="D267" s="163"/>
      <c r="E267" s="163"/>
      <c r="F267" s="163"/>
    </row>
    <row r="268" spans="1:6" ht="15.75" customHeight="1">
      <c r="A268" s="32"/>
      <c r="B268" s="161"/>
      <c r="C268" s="162"/>
      <c r="D268" s="163"/>
      <c r="E268" s="163"/>
      <c r="F268" s="163"/>
    </row>
    <row r="269" spans="1:6" ht="15.75" customHeight="1">
      <c r="A269" s="32"/>
      <c r="B269" s="161"/>
      <c r="C269" s="162"/>
      <c r="D269" s="163"/>
      <c r="E269" s="163"/>
      <c r="F269" s="163"/>
    </row>
    <row r="270" spans="1:6" ht="15.75" customHeight="1">
      <c r="A270" s="32"/>
      <c r="B270" s="161"/>
      <c r="C270" s="162"/>
      <c r="D270" s="163"/>
      <c r="E270" s="163"/>
      <c r="F270" s="163"/>
    </row>
    <row r="271" spans="1:6" ht="15.75" customHeight="1">
      <c r="A271" s="32"/>
      <c r="B271" s="161"/>
      <c r="C271" s="162"/>
      <c r="D271" s="163"/>
      <c r="E271" s="163"/>
      <c r="F271" s="163"/>
    </row>
    <row r="272" spans="1:6" ht="15.75" customHeight="1">
      <c r="A272" s="32"/>
      <c r="B272" s="161"/>
      <c r="C272" s="162"/>
      <c r="D272" s="163"/>
      <c r="E272" s="163"/>
      <c r="F272" s="163"/>
    </row>
    <row r="273" spans="1:6" ht="15.75" customHeight="1">
      <c r="A273" s="32"/>
      <c r="B273" s="161"/>
      <c r="C273" s="162"/>
      <c r="D273" s="163"/>
      <c r="E273" s="163"/>
      <c r="F273" s="163"/>
    </row>
    <row r="274" spans="1:6" ht="15.75" customHeight="1">
      <c r="A274" s="32"/>
      <c r="B274" s="161"/>
      <c r="C274" s="162"/>
      <c r="D274" s="163"/>
      <c r="E274" s="163"/>
      <c r="F274" s="163"/>
    </row>
    <row r="275" spans="1:6" ht="15.75" customHeight="1">
      <c r="A275" s="32"/>
      <c r="B275" s="161"/>
      <c r="C275" s="162"/>
      <c r="D275" s="163"/>
      <c r="E275" s="163"/>
      <c r="F275" s="163"/>
    </row>
    <row r="276" spans="1:6" ht="15.75" customHeight="1">
      <c r="A276" s="32"/>
      <c r="B276" s="161"/>
      <c r="C276" s="162"/>
      <c r="D276" s="163"/>
      <c r="E276" s="163"/>
      <c r="F276" s="163"/>
    </row>
    <row r="277" spans="1:6" ht="15.75" customHeight="1">
      <c r="A277" s="32"/>
      <c r="B277" s="161"/>
      <c r="C277" s="162"/>
      <c r="D277" s="163"/>
      <c r="E277" s="163"/>
      <c r="F277" s="163"/>
    </row>
    <row r="278" spans="1:6" ht="15.75" customHeight="1">
      <c r="A278" s="32"/>
      <c r="B278" s="161"/>
      <c r="C278" s="162"/>
      <c r="D278" s="163"/>
      <c r="E278" s="163"/>
      <c r="F278" s="163"/>
    </row>
    <row r="279" spans="1:6" ht="15.75" customHeight="1">
      <c r="A279" s="32"/>
      <c r="B279" s="161"/>
      <c r="C279" s="162"/>
      <c r="D279" s="163"/>
      <c r="E279" s="163"/>
      <c r="F279" s="163"/>
    </row>
    <row r="280" spans="1:6" ht="15.75" customHeight="1">
      <c r="A280" s="32"/>
      <c r="B280" s="161"/>
      <c r="C280" s="162"/>
      <c r="D280" s="163"/>
      <c r="E280" s="163"/>
      <c r="F280" s="163"/>
    </row>
    <row r="281" spans="1:6" ht="15.75" customHeight="1">
      <c r="A281" s="32"/>
      <c r="B281" s="161"/>
      <c r="C281" s="162"/>
      <c r="D281" s="163"/>
      <c r="E281" s="163"/>
      <c r="F281" s="163"/>
    </row>
    <row r="282" spans="1:6" ht="15.75" customHeight="1">
      <c r="A282" s="32"/>
      <c r="B282" s="161"/>
      <c r="C282" s="162"/>
      <c r="D282" s="163"/>
      <c r="E282" s="163"/>
      <c r="F282" s="163"/>
    </row>
    <row r="283" spans="1:6" ht="15.75" customHeight="1">
      <c r="A283" s="32"/>
      <c r="B283" s="161"/>
      <c r="C283" s="162"/>
      <c r="D283" s="163"/>
      <c r="E283" s="163"/>
      <c r="F283" s="163"/>
    </row>
    <row r="284" spans="1:6" ht="15.75" customHeight="1">
      <c r="A284" s="32"/>
      <c r="B284" s="161"/>
      <c r="C284" s="162"/>
      <c r="D284" s="163"/>
      <c r="E284" s="163"/>
      <c r="F284" s="163"/>
    </row>
    <row r="285" spans="1:6" ht="15.75" customHeight="1">
      <c r="A285" s="32"/>
      <c r="B285" s="161"/>
      <c r="C285" s="162"/>
      <c r="D285" s="163"/>
      <c r="E285" s="163"/>
      <c r="F285" s="163"/>
    </row>
    <row r="286" spans="1:6" ht="15.75" customHeight="1">
      <c r="A286" s="32"/>
      <c r="B286" s="161"/>
      <c r="C286" s="162"/>
      <c r="D286" s="163"/>
      <c r="E286" s="163"/>
      <c r="F286" s="163"/>
    </row>
    <row r="287" spans="1:6" ht="15.75" customHeight="1">
      <c r="A287" s="32"/>
      <c r="B287" s="161"/>
      <c r="C287" s="162"/>
      <c r="D287" s="163"/>
      <c r="E287" s="163"/>
      <c r="F287" s="163"/>
    </row>
    <row r="288" spans="1:6" ht="15.75" customHeight="1">
      <c r="A288" s="32"/>
      <c r="B288" s="161"/>
      <c r="C288" s="162"/>
      <c r="D288" s="163"/>
      <c r="E288" s="163"/>
      <c r="F288" s="163"/>
    </row>
    <row r="289" spans="1:6" ht="15.75" customHeight="1">
      <c r="A289" s="32"/>
      <c r="B289" s="161"/>
      <c r="C289" s="162"/>
      <c r="D289" s="163"/>
      <c r="E289" s="163"/>
      <c r="F289" s="163"/>
    </row>
    <row r="290" spans="1:6" ht="15.75" customHeight="1">
      <c r="A290" s="32"/>
      <c r="B290" s="161"/>
      <c r="C290" s="162"/>
      <c r="D290" s="163"/>
      <c r="E290" s="163"/>
      <c r="F290" s="163"/>
    </row>
    <row r="291" spans="1:6" ht="15.75" customHeight="1">
      <c r="A291" s="32"/>
      <c r="B291" s="161"/>
      <c r="C291" s="162"/>
      <c r="D291" s="163"/>
      <c r="E291" s="163"/>
      <c r="F291" s="163"/>
    </row>
    <row r="292" spans="1:6" ht="15.75" customHeight="1">
      <c r="A292" s="32"/>
      <c r="B292" s="161"/>
      <c r="C292" s="162"/>
      <c r="D292" s="163"/>
      <c r="E292" s="163"/>
      <c r="F292" s="163"/>
    </row>
    <row r="293" spans="1:6" ht="15.75" customHeight="1">
      <c r="A293" s="32"/>
      <c r="B293" s="161"/>
      <c r="C293" s="162"/>
      <c r="D293" s="163"/>
      <c r="E293" s="163"/>
      <c r="F293" s="163"/>
    </row>
    <row r="294" spans="1:6" ht="15.75" customHeight="1">
      <c r="A294" s="32"/>
      <c r="B294" s="161"/>
      <c r="C294" s="162"/>
      <c r="D294" s="163"/>
      <c r="E294" s="163"/>
      <c r="F294" s="163"/>
    </row>
    <row r="295" spans="1:6" ht="15.75" customHeight="1">
      <c r="A295" s="32"/>
      <c r="B295" s="161"/>
      <c r="C295" s="162"/>
      <c r="D295" s="163"/>
      <c r="E295" s="163"/>
      <c r="F295" s="163"/>
    </row>
    <row r="296" spans="1:6" ht="15.75" customHeight="1">
      <c r="A296" s="32"/>
      <c r="B296" s="161"/>
      <c r="C296" s="162"/>
      <c r="D296" s="163"/>
      <c r="E296" s="163"/>
      <c r="F296" s="163"/>
    </row>
    <row r="297" spans="1:6" ht="15.75" customHeight="1">
      <c r="A297" s="32"/>
      <c r="B297" s="161"/>
      <c r="C297" s="162"/>
      <c r="D297" s="163"/>
      <c r="E297" s="163"/>
      <c r="F297" s="163"/>
    </row>
    <row r="298" spans="1:6" ht="15.75" customHeight="1">
      <c r="A298" s="32"/>
      <c r="B298" s="161"/>
      <c r="C298" s="162"/>
      <c r="D298" s="163"/>
      <c r="E298" s="163"/>
      <c r="F298" s="163"/>
    </row>
    <row r="299" spans="1:6" ht="15.75" customHeight="1">
      <c r="A299" s="32"/>
      <c r="B299" s="161"/>
      <c r="C299" s="162"/>
      <c r="D299" s="163"/>
      <c r="E299" s="163"/>
      <c r="F299" s="163"/>
    </row>
    <row r="300" spans="1:6" ht="15.75" customHeight="1">
      <c r="A300" s="32"/>
      <c r="B300" s="161"/>
      <c r="C300" s="162"/>
      <c r="D300" s="163"/>
      <c r="E300" s="163"/>
      <c r="F300" s="163"/>
    </row>
    <row r="301" spans="1:6" ht="15.75" customHeight="1">
      <c r="A301" s="32"/>
      <c r="B301" s="161"/>
      <c r="C301" s="162"/>
      <c r="D301" s="163"/>
      <c r="E301" s="163"/>
      <c r="F301" s="163"/>
    </row>
    <row r="302" spans="1:6" ht="15.75" customHeight="1">
      <c r="A302" s="32"/>
      <c r="B302" s="161"/>
      <c r="C302" s="162"/>
      <c r="D302" s="163"/>
      <c r="E302" s="163"/>
      <c r="F302" s="163"/>
    </row>
    <row r="303" spans="1:6" ht="15.75" customHeight="1">
      <c r="A303" s="32"/>
      <c r="B303" s="161"/>
      <c r="C303" s="162"/>
      <c r="D303" s="163"/>
      <c r="E303" s="163"/>
      <c r="F303" s="163"/>
    </row>
    <row r="304" spans="1:6" ht="15.75" customHeight="1">
      <c r="A304" s="32"/>
      <c r="B304" s="161"/>
      <c r="C304" s="162"/>
      <c r="D304" s="163"/>
      <c r="E304" s="163"/>
      <c r="F304" s="163"/>
    </row>
    <row r="305" spans="1:6" ht="15.75" customHeight="1">
      <c r="A305" s="32"/>
      <c r="B305" s="161"/>
      <c r="C305" s="162"/>
      <c r="D305" s="163"/>
      <c r="E305" s="163"/>
      <c r="F305" s="163"/>
    </row>
    <row r="306" spans="1:6" ht="15.75" customHeight="1">
      <c r="A306" s="32"/>
      <c r="B306" s="161"/>
      <c r="C306" s="162"/>
      <c r="D306" s="163"/>
      <c r="E306" s="163"/>
      <c r="F306" s="163"/>
    </row>
    <row r="307" spans="1:6" ht="15.75" customHeight="1">
      <c r="A307" s="32"/>
      <c r="B307" s="161"/>
      <c r="C307" s="162"/>
      <c r="D307" s="163"/>
      <c r="E307" s="163"/>
      <c r="F307" s="163"/>
    </row>
    <row r="308" spans="1:6" ht="15.75" customHeight="1">
      <c r="A308" s="32"/>
      <c r="B308" s="161"/>
      <c r="C308" s="162"/>
      <c r="D308" s="163"/>
      <c r="E308" s="163"/>
      <c r="F308" s="163"/>
    </row>
    <row r="309" spans="1:6" ht="15.75" customHeight="1">
      <c r="A309" s="32"/>
      <c r="B309" s="161"/>
      <c r="C309" s="162"/>
      <c r="D309" s="163"/>
      <c r="E309" s="163"/>
      <c r="F309" s="163"/>
    </row>
    <row r="310" spans="1:6" ht="15.75" customHeight="1">
      <c r="A310" s="32"/>
      <c r="B310" s="161"/>
      <c r="C310" s="162"/>
      <c r="D310" s="163"/>
      <c r="E310" s="163"/>
      <c r="F310" s="163"/>
    </row>
    <row r="311" spans="1:6" ht="15.75" customHeight="1">
      <c r="A311" s="32"/>
      <c r="B311" s="161"/>
      <c r="C311" s="162"/>
      <c r="D311" s="163"/>
      <c r="E311" s="163"/>
      <c r="F311" s="163"/>
    </row>
    <row r="312" spans="1:6" ht="15.75" customHeight="1">
      <c r="A312" s="32"/>
      <c r="B312" s="161"/>
      <c r="C312" s="162"/>
      <c r="D312" s="163"/>
      <c r="E312" s="163"/>
      <c r="F312" s="163"/>
    </row>
    <row r="313" spans="1:6" ht="15.75" customHeight="1">
      <c r="A313" s="32"/>
      <c r="B313" s="161"/>
      <c r="C313" s="162"/>
      <c r="D313" s="163"/>
      <c r="E313" s="163"/>
      <c r="F313" s="163"/>
    </row>
    <row r="314" spans="1:6" ht="15.75" customHeight="1">
      <c r="A314" s="32"/>
      <c r="B314" s="161"/>
      <c r="C314" s="162"/>
      <c r="D314" s="163"/>
      <c r="E314" s="163"/>
      <c r="F314" s="163"/>
    </row>
    <row r="315" spans="1:6" ht="15.75" customHeight="1">
      <c r="A315" s="32"/>
      <c r="B315" s="161"/>
      <c r="C315" s="162"/>
      <c r="D315" s="163"/>
      <c r="E315" s="163"/>
      <c r="F315" s="163"/>
    </row>
    <row r="316" spans="1:6" ht="15.75" customHeight="1">
      <c r="A316" s="32"/>
      <c r="B316" s="161"/>
      <c r="C316" s="162"/>
      <c r="D316" s="163"/>
      <c r="E316" s="163"/>
      <c r="F316" s="163"/>
    </row>
    <row r="317" spans="1:6" ht="15.75" customHeight="1">
      <c r="A317" s="32"/>
      <c r="B317" s="161"/>
      <c r="C317" s="162"/>
      <c r="D317" s="163"/>
      <c r="E317" s="163"/>
      <c r="F317" s="163"/>
    </row>
    <row r="318" spans="1:6" ht="15.75" customHeight="1">
      <c r="A318" s="32"/>
      <c r="B318" s="161"/>
      <c r="C318" s="162"/>
      <c r="D318" s="163"/>
      <c r="E318" s="163"/>
      <c r="F318" s="163"/>
    </row>
    <row r="319" spans="1:6" ht="15.75" customHeight="1">
      <c r="A319" s="32"/>
      <c r="B319" s="161"/>
      <c r="C319" s="162"/>
      <c r="D319" s="163"/>
      <c r="E319" s="163"/>
      <c r="F319" s="163"/>
    </row>
    <row r="320" spans="1:6" ht="15.75" customHeight="1">
      <c r="A320" s="32"/>
      <c r="B320" s="161"/>
      <c r="C320" s="162"/>
      <c r="D320" s="163"/>
      <c r="E320" s="163"/>
      <c r="F320" s="163"/>
    </row>
    <row r="321" spans="1:6" ht="15.75" customHeight="1">
      <c r="A321" s="32"/>
      <c r="B321" s="161"/>
      <c r="C321" s="162"/>
      <c r="D321" s="163"/>
      <c r="E321" s="163"/>
      <c r="F321" s="163"/>
    </row>
    <row r="322" spans="1:6" ht="15.75" customHeight="1">
      <c r="A322" s="32"/>
      <c r="B322" s="161"/>
      <c r="C322" s="162"/>
      <c r="D322" s="163"/>
      <c r="E322" s="163"/>
      <c r="F322" s="163"/>
    </row>
    <row r="323" spans="1:6" ht="15.75" customHeight="1">
      <c r="A323" s="32"/>
      <c r="B323" s="161"/>
      <c r="C323" s="162"/>
      <c r="D323" s="163"/>
      <c r="E323" s="163"/>
      <c r="F323" s="163"/>
    </row>
    <row r="324" spans="1:6" ht="15.75" customHeight="1">
      <c r="A324" s="32"/>
      <c r="B324" s="161"/>
      <c r="C324" s="162"/>
      <c r="D324" s="163"/>
      <c r="E324" s="163"/>
      <c r="F324" s="163"/>
    </row>
    <row r="325" spans="1:6" ht="15.75" customHeight="1">
      <c r="A325" s="32"/>
      <c r="B325" s="161"/>
      <c r="C325" s="162"/>
      <c r="D325" s="163"/>
      <c r="E325" s="163"/>
      <c r="F325" s="163"/>
    </row>
    <row r="326" spans="1:6" ht="15.75" customHeight="1">
      <c r="A326" s="32"/>
      <c r="B326" s="161"/>
      <c r="C326" s="162"/>
      <c r="D326" s="163"/>
      <c r="E326" s="163"/>
      <c r="F326" s="163"/>
    </row>
    <row r="327" spans="1:6" ht="15.75" customHeight="1">
      <c r="A327" s="32"/>
      <c r="B327" s="161"/>
      <c r="C327" s="162"/>
      <c r="D327" s="163"/>
      <c r="E327" s="163"/>
      <c r="F327" s="163"/>
    </row>
    <row r="328" spans="1:6" ht="15.75" customHeight="1">
      <c r="A328" s="32"/>
      <c r="B328" s="161"/>
      <c r="C328" s="162"/>
      <c r="D328" s="163"/>
      <c r="E328" s="163"/>
      <c r="F328" s="163"/>
    </row>
    <row r="329" spans="1:6" ht="15.75" customHeight="1">
      <c r="A329" s="32"/>
      <c r="B329" s="161"/>
      <c r="C329" s="162"/>
      <c r="D329" s="163"/>
      <c r="E329" s="163"/>
      <c r="F329" s="163"/>
    </row>
    <row r="330" spans="1:6" ht="15.75" customHeight="1">
      <c r="A330" s="32"/>
      <c r="B330" s="161"/>
      <c r="C330" s="162"/>
      <c r="D330" s="163"/>
      <c r="E330" s="163"/>
      <c r="F330" s="163"/>
    </row>
    <row r="331" spans="1:6" ht="15.75" customHeight="1">
      <c r="A331" s="32"/>
      <c r="B331" s="161"/>
      <c r="C331" s="162"/>
      <c r="D331" s="163"/>
      <c r="E331" s="163"/>
      <c r="F331" s="163"/>
    </row>
    <row r="332" spans="1:6" ht="15.75" customHeight="1">
      <c r="A332" s="32"/>
      <c r="B332" s="161"/>
      <c r="C332" s="162"/>
      <c r="D332" s="163"/>
      <c r="E332" s="163"/>
      <c r="F332" s="163"/>
    </row>
    <row r="333" spans="1:6" ht="15.75" customHeight="1">
      <c r="A333" s="32"/>
      <c r="B333" s="161"/>
      <c r="C333" s="162"/>
      <c r="D333" s="163"/>
      <c r="E333" s="163"/>
      <c r="F333" s="163"/>
    </row>
    <row r="334" spans="1:6" ht="15.75" customHeight="1">
      <c r="A334" s="32"/>
      <c r="B334" s="161"/>
      <c r="C334" s="162"/>
      <c r="D334" s="163"/>
      <c r="E334" s="163"/>
      <c r="F334" s="163"/>
    </row>
    <row r="335" spans="1:6" ht="15.75" customHeight="1">
      <c r="A335" s="32"/>
      <c r="B335" s="161"/>
      <c r="C335" s="162"/>
      <c r="D335" s="163"/>
      <c r="E335" s="163"/>
      <c r="F335" s="163"/>
    </row>
    <row r="336" spans="1:6" ht="15.75" customHeight="1">
      <c r="A336" s="32"/>
      <c r="B336" s="161"/>
      <c r="C336" s="162"/>
      <c r="D336" s="163"/>
      <c r="E336" s="163"/>
      <c r="F336" s="163"/>
    </row>
    <row r="337" spans="1:6" ht="15.75" customHeight="1">
      <c r="A337" s="32"/>
      <c r="B337" s="161"/>
      <c r="C337" s="162"/>
      <c r="D337" s="163"/>
      <c r="E337" s="163"/>
      <c r="F337" s="163"/>
    </row>
    <row r="338" spans="1:6" ht="15.75" customHeight="1">
      <c r="A338" s="32"/>
      <c r="B338" s="161"/>
      <c r="C338" s="162"/>
      <c r="D338" s="163"/>
      <c r="E338" s="163"/>
      <c r="F338" s="163"/>
    </row>
    <row r="339" spans="1:6" ht="15.75" customHeight="1">
      <c r="A339" s="32"/>
      <c r="B339" s="161"/>
      <c r="C339" s="162"/>
      <c r="D339" s="163"/>
      <c r="E339" s="163"/>
      <c r="F339" s="163"/>
    </row>
    <row r="340" spans="1:6" ht="15.75" customHeight="1">
      <c r="A340" s="32"/>
      <c r="B340" s="161"/>
      <c r="C340" s="162"/>
      <c r="D340" s="163"/>
      <c r="E340" s="163"/>
      <c r="F340" s="163"/>
    </row>
    <row r="341" spans="1:6" ht="15.75" customHeight="1">
      <c r="A341" s="32"/>
      <c r="B341" s="161"/>
      <c r="C341" s="162"/>
      <c r="D341" s="163"/>
      <c r="E341" s="163"/>
      <c r="F341" s="163"/>
    </row>
    <row r="342" spans="1:6" ht="15.75" customHeight="1">
      <c r="A342" s="32"/>
      <c r="B342" s="161"/>
      <c r="C342" s="162"/>
      <c r="D342" s="163"/>
      <c r="E342" s="163"/>
      <c r="F342" s="163"/>
    </row>
    <row r="343" spans="1:6" ht="15.75" customHeight="1">
      <c r="A343" s="32"/>
      <c r="B343" s="161"/>
      <c r="C343" s="162"/>
      <c r="D343" s="163"/>
      <c r="E343" s="163"/>
      <c r="F343" s="163"/>
    </row>
    <row r="344" spans="1:6" ht="15.75" customHeight="1">
      <c r="A344" s="32"/>
      <c r="B344" s="161"/>
      <c r="C344" s="162"/>
      <c r="D344" s="163"/>
      <c r="E344" s="163"/>
      <c r="F344" s="163"/>
    </row>
    <row r="345" spans="1:6" ht="15.75" customHeight="1">
      <c r="A345" s="32"/>
      <c r="B345" s="161"/>
      <c r="C345" s="162"/>
      <c r="D345" s="163"/>
      <c r="E345" s="163"/>
      <c r="F345" s="163"/>
    </row>
    <row r="346" spans="1:6" ht="15.75" customHeight="1">
      <c r="A346" s="32"/>
      <c r="B346" s="161"/>
      <c r="C346" s="162"/>
      <c r="D346" s="163"/>
      <c r="E346" s="163"/>
      <c r="F346" s="163"/>
    </row>
    <row r="347" spans="1:6" ht="15.75" customHeight="1">
      <c r="A347" s="32"/>
      <c r="B347" s="161"/>
      <c r="C347" s="162"/>
      <c r="D347" s="163"/>
      <c r="E347" s="163"/>
      <c r="F347" s="163"/>
    </row>
    <row r="348" spans="1:6" ht="15.75" customHeight="1">
      <c r="A348" s="32"/>
      <c r="B348" s="161"/>
      <c r="C348" s="162"/>
      <c r="D348" s="163"/>
      <c r="E348" s="163"/>
      <c r="F348" s="163"/>
    </row>
    <row r="349" spans="1:6" ht="15.75" customHeight="1">
      <c r="A349" s="32"/>
      <c r="B349" s="161"/>
      <c r="C349" s="162"/>
      <c r="D349" s="163"/>
      <c r="E349" s="163"/>
      <c r="F349" s="163"/>
    </row>
    <row r="350" spans="1:6" ht="15.75" customHeight="1">
      <c r="A350" s="32"/>
      <c r="B350" s="161"/>
      <c r="C350" s="162"/>
      <c r="D350" s="163"/>
      <c r="E350" s="163"/>
      <c r="F350" s="163"/>
    </row>
    <row r="351" spans="1:6" ht="15.75" customHeight="1">
      <c r="A351" s="32"/>
      <c r="B351" s="161"/>
      <c r="C351" s="162"/>
      <c r="D351" s="163"/>
      <c r="E351" s="163"/>
      <c r="F351" s="163"/>
    </row>
    <row r="352" spans="1:6" ht="15.75" customHeight="1">
      <c r="A352" s="32"/>
      <c r="B352" s="161"/>
      <c r="C352" s="162"/>
      <c r="D352" s="163"/>
      <c r="E352" s="163"/>
      <c r="F352" s="163"/>
    </row>
    <row r="353" spans="1:6" ht="15.75" customHeight="1">
      <c r="A353" s="32"/>
      <c r="B353" s="161"/>
      <c r="C353" s="162"/>
      <c r="D353" s="163"/>
      <c r="E353" s="163"/>
      <c r="F353" s="163"/>
    </row>
    <row r="354" spans="1:6" ht="15.75" customHeight="1">
      <c r="A354" s="32"/>
      <c r="B354" s="161"/>
      <c r="C354" s="162"/>
      <c r="D354" s="163"/>
      <c r="E354" s="163"/>
      <c r="F354" s="163"/>
    </row>
    <row r="355" spans="1:6" ht="15.75" customHeight="1">
      <c r="A355" s="32"/>
      <c r="B355" s="161"/>
      <c r="C355" s="162"/>
      <c r="D355" s="163"/>
      <c r="E355" s="163"/>
      <c r="F355" s="163"/>
    </row>
    <row r="356" spans="1:6" ht="15.75" customHeight="1">
      <c r="A356" s="32"/>
      <c r="B356" s="161"/>
      <c r="C356" s="162"/>
      <c r="D356" s="163"/>
      <c r="E356" s="163"/>
      <c r="F356" s="163"/>
    </row>
    <row r="357" spans="1:6" ht="15.75" customHeight="1">
      <c r="A357" s="32"/>
      <c r="B357" s="161"/>
      <c r="C357" s="162"/>
      <c r="D357" s="163"/>
      <c r="E357" s="163"/>
      <c r="F357" s="163"/>
    </row>
    <row r="358" spans="1:6" ht="15.75" customHeight="1">
      <c r="A358" s="32"/>
      <c r="B358" s="161"/>
      <c r="C358" s="162"/>
      <c r="D358" s="163"/>
      <c r="E358" s="163"/>
      <c r="F358" s="163"/>
    </row>
    <row r="359" spans="1:6" ht="15.75" customHeight="1">
      <c r="A359" s="32"/>
      <c r="B359" s="161"/>
      <c r="C359" s="162"/>
      <c r="D359" s="163"/>
      <c r="E359" s="163"/>
      <c r="F359" s="163"/>
    </row>
    <row r="360" spans="1:6" ht="15.75" customHeight="1">
      <c r="A360" s="32"/>
      <c r="B360" s="161"/>
      <c r="C360" s="162"/>
      <c r="D360" s="163"/>
      <c r="E360" s="163"/>
      <c r="F360" s="163"/>
    </row>
    <row r="361" spans="1:6" ht="15.75" customHeight="1">
      <c r="A361" s="32"/>
      <c r="B361" s="161"/>
      <c r="C361" s="162"/>
      <c r="D361" s="163"/>
      <c r="E361" s="163"/>
      <c r="F361" s="163"/>
    </row>
    <row r="362" spans="1:6" ht="15.75" customHeight="1">
      <c r="A362" s="32"/>
      <c r="B362" s="161"/>
      <c r="C362" s="162"/>
      <c r="D362" s="163"/>
      <c r="E362" s="163"/>
      <c r="F362" s="163"/>
    </row>
    <row r="363" spans="1:6" ht="15.75" customHeight="1">
      <c r="A363" s="32"/>
      <c r="B363" s="161"/>
      <c r="C363" s="162"/>
      <c r="D363" s="163"/>
      <c r="E363" s="163"/>
      <c r="F363" s="163"/>
    </row>
    <row r="364" spans="1:6" ht="15.75" customHeight="1">
      <c r="A364" s="32"/>
      <c r="B364" s="161"/>
      <c r="C364" s="162"/>
      <c r="D364" s="163"/>
      <c r="E364" s="163"/>
      <c r="F364" s="163"/>
    </row>
    <row r="365" spans="1:6" ht="15.75" customHeight="1">
      <c r="A365" s="32"/>
      <c r="B365" s="161"/>
      <c r="C365" s="162"/>
      <c r="D365" s="163"/>
      <c r="E365" s="163"/>
      <c r="F365" s="163"/>
    </row>
    <row r="366" spans="1:6" ht="15.75" customHeight="1">
      <c r="A366" s="32"/>
      <c r="B366" s="161"/>
      <c r="C366" s="162"/>
      <c r="D366" s="163"/>
      <c r="E366" s="163"/>
      <c r="F366" s="163"/>
    </row>
    <row r="367" spans="1:6" ht="15.75" customHeight="1">
      <c r="A367" s="32"/>
      <c r="B367" s="161"/>
      <c r="C367" s="162"/>
      <c r="D367" s="163"/>
      <c r="E367" s="163"/>
      <c r="F367" s="163"/>
    </row>
    <row r="368" spans="1:6" ht="15.75" customHeight="1">
      <c r="A368" s="32"/>
      <c r="B368" s="161"/>
      <c r="C368" s="162"/>
      <c r="D368" s="163"/>
      <c r="E368" s="163"/>
      <c r="F368" s="163"/>
    </row>
    <row r="369" spans="1:6" ht="15.75" customHeight="1">
      <c r="A369" s="32"/>
      <c r="B369" s="161"/>
      <c r="C369" s="162"/>
      <c r="D369" s="163"/>
      <c r="E369" s="163"/>
      <c r="F369" s="163"/>
    </row>
    <row r="370" spans="1:6" ht="15.75" customHeight="1">
      <c r="A370" s="32"/>
      <c r="B370" s="161"/>
      <c r="C370" s="162"/>
      <c r="D370" s="163"/>
      <c r="E370" s="163"/>
      <c r="F370" s="163"/>
    </row>
    <row r="371" spans="1:6" ht="15.75" customHeight="1">
      <c r="A371" s="32"/>
      <c r="B371" s="161"/>
      <c r="C371" s="162"/>
      <c r="D371" s="163"/>
      <c r="E371" s="163"/>
      <c r="F371" s="163"/>
    </row>
    <row r="372" spans="1:6" ht="15.75" customHeight="1">
      <c r="A372" s="32"/>
      <c r="B372" s="161"/>
      <c r="C372" s="162"/>
      <c r="D372" s="163"/>
      <c r="E372" s="163"/>
      <c r="F372" s="163"/>
    </row>
    <row r="373" spans="1:6" ht="15.75" customHeight="1">
      <c r="A373" s="32"/>
      <c r="B373" s="161"/>
      <c r="C373" s="162"/>
      <c r="D373" s="163"/>
      <c r="E373" s="163"/>
      <c r="F373" s="163"/>
    </row>
    <row r="374" spans="1:6" ht="15.75" customHeight="1">
      <c r="A374" s="32"/>
      <c r="B374" s="161"/>
      <c r="C374" s="162"/>
      <c r="D374" s="163"/>
      <c r="E374" s="163"/>
      <c r="F374" s="163"/>
    </row>
    <row r="375" spans="1:6" ht="15.75" customHeight="1">
      <c r="A375" s="32"/>
      <c r="B375" s="161"/>
      <c r="C375" s="162"/>
      <c r="D375" s="163"/>
      <c r="E375" s="163"/>
      <c r="F375" s="163"/>
    </row>
    <row r="376" spans="1:6" ht="15.75" customHeight="1">
      <c r="A376" s="32"/>
      <c r="B376" s="161"/>
      <c r="C376" s="162"/>
      <c r="D376" s="163"/>
      <c r="E376" s="163"/>
      <c r="F376" s="163"/>
    </row>
    <row r="377" spans="1:6" ht="15.75" customHeight="1">
      <c r="A377" s="32"/>
      <c r="B377" s="161"/>
      <c r="C377" s="162"/>
      <c r="D377" s="163"/>
      <c r="E377" s="163"/>
      <c r="F377" s="163"/>
    </row>
    <row r="378" spans="1:6" ht="15.75" customHeight="1">
      <c r="A378" s="32"/>
      <c r="B378" s="161"/>
      <c r="C378" s="162"/>
      <c r="D378" s="163"/>
      <c r="E378" s="163"/>
      <c r="F378" s="163"/>
    </row>
    <row r="379" spans="1:6" ht="15.75" customHeight="1">
      <c r="A379" s="32"/>
      <c r="B379" s="161"/>
      <c r="C379" s="162"/>
      <c r="D379" s="163"/>
      <c r="E379" s="163"/>
      <c r="F379" s="163"/>
    </row>
    <row r="380" spans="1:6" ht="15.75" customHeight="1">
      <c r="A380" s="32"/>
      <c r="B380" s="161"/>
      <c r="C380" s="162"/>
      <c r="D380" s="163"/>
      <c r="E380" s="163"/>
      <c r="F380" s="163"/>
    </row>
    <row r="381" spans="1:6" ht="15.75" customHeight="1">
      <c r="A381" s="32"/>
      <c r="B381" s="161"/>
      <c r="C381" s="162"/>
      <c r="D381" s="163"/>
      <c r="E381" s="163"/>
      <c r="F381" s="163"/>
    </row>
    <row r="382" spans="1:6" ht="15.75" customHeight="1">
      <c r="A382" s="32"/>
      <c r="B382" s="161"/>
      <c r="C382" s="162"/>
      <c r="D382" s="163"/>
      <c r="E382" s="163"/>
      <c r="F382" s="163"/>
    </row>
    <row r="383" spans="1:6" ht="15.75" customHeight="1">
      <c r="A383" s="32"/>
      <c r="B383" s="161"/>
      <c r="C383" s="162"/>
      <c r="D383" s="163"/>
      <c r="E383" s="163"/>
      <c r="F383" s="163"/>
    </row>
    <row r="384" spans="1:6" ht="15.75" customHeight="1">
      <c r="A384" s="32"/>
      <c r="B384" s="161"/>
      <c r="C384" s="162"/>
      <c r="D384" s="163"/>
      <c r="E384" s="163"/>
      <c r="F384" s="163"/>
    </row>
    <row r="385" spans="1:6" ht="15.75" customHeight="1">
      <c r="A385" s="32"/>
      <c r="B385" s="161"/>
      <c r="C385" s="162"/>
      <c r="D385" s="163"/>
      <c r="E385" s="163"/>
      <c r="F385" s="163"/>
    </row>
    <row r="386" spans="1:6" ht="15.75" customHeight="1">
      <c r="A386" s="32"/>
      <c r="B386" s="161"/>
      <c r="C386" s="162"/>
      <c r="D386" s="163"/>
      <c r="E386" s="163"/>
      <c r="F386" s="163"/>
    </row>
    <row r="387" spans="1:6" ht="15.75" customHeight="1">
      <c r="A387" s="32"/>
      <c r="B387" s="161"/>
      <c r="C387" s="162"/>
      <c r="D387" s="163"/>
      <c r="E387" s="163"/>
      <c r="F387" s="163"/>
    </row>
    <row r="388" spans="1:6" ht="15.75" customHeight="1">
      <c r="A388" s="32"/>
      <c r="B388" s="161"/>
      <c r="C388" s="162"/>
      <c r="D388" s="163"/>
      <c r="E388" s="163"/>
      <c r="F388" s="163"/>
    </row>
    <row r="389" spans="1:6" ht="15.75" customHeight="1">
      <c r="A389" s="32"/>
      <c r="B389" s="161"/>
      <c r="C389" s="162"/>
      <c r="D389" s="163"/>
      <c r="E389" s="163"/>
      <c r="F389" s="163"/>
    </row>
    <row r="390" spans="1:6" ht="15.75" customHeight="1">
      <c r="A390" s="32"/>
      <c r="B390" s="161"/>
      <c r="C390" s="162"/>
      <c r="D390" s="163"/>
      <c r="E390" s="163"/>
      <c r="F390" s="163"/>
    </row>
    <row r="391" spans="1:6" ht="15.75" customHeight="1">
      <c r="A391" s="32"/>
      <c r="B391" s="161"/>
      <c r="C391" s="162"/>
      <c r="D391" s="163"/>
      <c r="E391" s="163"/>
      <c r="F391" s="163"/>
    </row>
    <row r="392" spans="1:6" ht="15.75" customHeight="1">
      <c r="A392" s="32"/>
      <c r="B392" s="161"/>
      <c r="C392" s="162"/>
      <c r="D392" s="163"/>
      <c r="E392" s="163"/>
      <c r="F392" s="163"/>
    </row>
    <row r="393" spans="1:6" ht="15.75" customHeight="1">
      <c r="A393" s="32"/>
      <c r="B393" s="161"/>
      <c r="C393" s="162"/>
      <c r="D393" s="163"/>
      <c r="E393" s="163"/>
      <c r="F393" s="163"/>
    </row>
    <row r="394" spans="1:6" ht="15.75" customHeight="1">
      <c r="A394" s="32"/>
      <c r="B394" s="161"/>
      <c r="C394" s="162"/>
      <c r="D394" s="163"/>
      <c r="E394" s="163"/>
      <c r="F394" s="163"/>
    </row>
    <row r="395" spans="1:6" ht="15.75" customHeight="1">
      <c r="A395" s="32"/>
      <c r="B395" s="161"/>
      <c r="C395" s="162"/>
      <c r="D395" s="163"/>
      <c r="E395" s="163"/>
      <c r="F395" s="163"/>
    </row>
    <row r="396" spans="1:6" ht="15.75" customHeight="1">
      <c r="A396" s="32"/>
      <c r="B396" s="161"/>
      <c r="C396" s="162"/>
      <c r="D396" s="163"/>
      <c r="E396" s="163"/>
      <c r="F396" s="163"/>
    </row>
    <row r="397" spans="1:6" ht="15.75" customHeight="1">
      <c r="A397" s="32"/>
      <c r="B397" s="161"/>
      <c r="C397" s="162"/>
      <c r="D397" s="163"/>
      <c r="E397" s="163"/>
      <c r="F397" s="163"/>
    </row>
    <row r="398" spans="1:6" ht="15.75" customHeight="1">
      <c r="A398" s="32"/>
      <c r="B398" s="161"/>
      <c r="C398" s="162"/>
      <c r="D398" s="163"/>
      <c r="E398" s="163"/>
      <c r="F398" s="163"/>
    </row>
    <row r="399" spans="1:6" ht="15.75" customHeight="1">
      <c r="A399" s="32"/>
      <c r="B399" s="161"/>
      <c r="C399" s="162"/>
      <c r="D399" s="163"/>
      <c r="E399" s="163"/>
      <c r="F399" s="163"/>
    </row>
    <row r="400" spans="1:6" ht="15.75" customHeight="1">
      <c r="A400" s="32"/>
      <c r="B400" s="161"/>
      <c r="C400" s="162"/>
      <c r="D400" s="163"/>
      <c r="E400" s="163"/>
      <c r="F400" s="163"/>
    </row>
    <row r="401" spans="1:6" ht="15.75" customHeight="1">
      <c r="A401" s="32"/>
      <c r="B401" s="161"/>
      <c r="C401" s="162"/>
      <c r="D401" s="163"/>
      <c r="E401" s="163"/>
      <c r="F401" s="163"/>
    </row>
    <row r="402" spans="1:6" ht="15.75" customHeight="1">
      <c r="A402" s="32"/>
      <c r="B402" s="161"/>
      <c r="C402" s="162"/>
      <c r="D402" s="163"/>
      <c r="E402" s="163"/>
      <c r="F402" s="163"/>
    </row>
    <row r="403" spans="1:6" ht="15.75" customHeight="1">
      <c r="A403" s="32"/>
      <c r="B403" s="161"/>
      <c r="C403" s="162"/>
      <c r="D403" s="163"/>
      <c r="E403" s="163"/>
      <c r="F403" s="163"/>
    </row>
    <row r="404" spans="1:6" ht="15.75" customHeight="1">
      <c r="A404" s="32"/>
      <c r="B404" s="161"/>
      <c r="C404" s="162"/>
      <c r="D404" s="163"/>
      <c r="E404" s="163"/>
      <c r="F404" s="163"/>
    </row>
    <row r="405" spans="1:6" ht="15.75" customHeight="1">
      <c r="A405" s="32"/>
      <c r="B405" s="161"/>
      <c r="C405" s="162"/>
      <c r="D405" s="163"/>
      <c r="E405" s="163"/>
      <c r="F405" s="163"/>
    </row>
    <row r="406" spans="1:6" ht="15.75" customHeight="1">
      <c r="A406" s="32"/>
      <c r="B406" s="161"/>
      <c r="C406" s="162"/>
      <c r="D406" s="163"/>
      <c r="E406" s="163"/>
      <c r="F406" s="163"/>
    </row>
    <row r="407" spans="1:6" ht="15.75" customHeight="1">
      <c r="A407" s="32"/>
      <c r="B407" s="161"/>
      <c r="C407" s="162"/>
      <c r="D407" s="163"/>
      <c r="E407" s="163"/>
      <c r="F407" s="163"/>
    </row>
    <row r="408" spans="1:6" ht="15.75" customHeight="1">
      <c r="A408" s="32"/>
      <c r="B408" s="161"/>
      <c r="C408" s="162"/>
      <c r="D408" s="163"/>
      <c r="E408" s="163"/>
      <c r="F408" s="163"/>
    </row>
    <row r="409" spans="1:6" ht="15.75" customHeight="1">
      <c r="A409" s="32"/>
      <c r="B409" s="161"/>
      <c r="C409" s="162"/>
      <c r="D409" s="163"/>
      <c r="E409" s="163"/>
      <c r="F409" s="163"/>
    </row>
    <row r="410" spans="1:6" ht="15.75" customHeight="1">
      <c r="A410" s="32"/>
      <c r="B410" s="161"/>
      <c r="C410" s="162"/>
      <c r="D410" s="163"/>
      <c r="E410" s="163"/>
      <c r="F410" s="163"/>
    </row>
    <row r="411" spans="1:6" ht="15.75" customHeight="1">
      <c r="A411" s="32"/>
      <c r="B411" s="161"/>
      <c r="C411" s="162"/>
      <c r="D411" s="163"/>
      <c r="E411" s="163"/>
      <c r="F411" s="163"/>
    </row>
    <row r="412" spans="1:6" ht="15.75" customHeight="1">
      <c r="A412" s="32"/>
      <c r="B412" s="161"/>
      <c r="C412" s="162"/>
      <c r="D412" s="163"/>
      <c r="E412" s="163"/>
      <c r="F412" s="163"/>
    </row>
    <row r="413" spans="1:6" ht="15.75" customHeight="1">
      <c r="A413" s="32"/>
      <c r="B413" s="161"/>
      <c r="C413" s="162"/>
      <c r="D413" s="163"/>
      <c r="E413" s="163"/>
      <c r="F413" s="163"/>
    </row>
    <row r="414" spans="1:6" ht="15.75" customHeight="1">
      <c r="A414" s="32"/>
      <c r="B414" s="161"/>
      <c r="C414" s="162"/>
      <c r="D414" s="163"/>
      <c r="E414" s="163"/>
      <c r="F414" s="163"/>
    </row>
    <row r="415" spans="1:6" ht="15.75" customHeight="1">
      <c r="A415" s="32"/>
      <c r="B415" s="161"/>
      <c r="C415" s="162"/>
      <c r="D415" s="163"/>
      <c r="E415" s="163"/>
      <c r="F415" s="163"/>
    </row>
    <row r="416" spans="1:6" ht="15.75" customHeight="1">
      <c r="A416" s="32"/>
      <c r="B416" s="161"/>
      <c r="C416" s="162"/>
      <c r="D416" s="163"/>
      <c r="E416" s="163"/>
      <c r="F416" s="163"/>
    </row>
    <row r="417" spans="1:6" ht="15.75" customHeight="1">
      <c r="A417" s="32"/>
      <c r="B417" s="161"/>
      <c r="C417" s="162"/>
      <c r="D417" s="163"/>
      <c r="E417" s="163"/>
      <c r="F417" s="163"/>
    </row>
    <row r="418" spans="1:6" ht="15.75" customHeight="1">
      <c r="A418" s="32"/>
      <c r="B418" s="161"/>
      <c r="C418" s="162"/>
      <c r="D418" s="163"/>
      <c r="E418" s="163"/>
      <c r="F418" s="163"/>
    </row>
    <row r="419" spans="1:6" ht="15.75" customHeight="1">
      <c r="A419" s="32"/>
      <c r="B419" s="161"/>
      <c r="C419" s="162"/>
      <c r="D419" s="163"/>
      <c r="E419" s="163"/>
      <c r="F419" s="163"/>
    </row>
    <row r="420" spans="1:6" ht="15.75" customHeight="1">
      <c r="A420" s="32"/>
      <c r="B420" s="161"/>
      <c r="C420" s="162"/>
      <c r="D420" s="163"/>
      <c r="E420" s="163"/>
      <c r="F420" s="163"/>
    </row>
    <row r="421" spans="1:6" ht="15.75" customHeight="1">
      <c r="A421" s="32"/>
      <c r="B421" s="161"/>
      <c r="C421" s="162"/>
      <c r="D421" s="163"/>
      <c r="E421" s="163"/>
      <c r="F421" s="163"/>
    </row>
    <row r="422" spans="1:6" ht="15.75" customHeight="1">
      <c r="A422" s="32"/>
      <c r="B422" s="161"/>
      <c r="C422" s="162"/>
      <c r="D422" s="163"/>
      <c r="E422" s="163"/>
      <c r="F422" s="163"/>
    </row>
    <row r="423" spans="1:6" ht="15.75" customHeight="1">
      <c r="A423" s="32"/>
      <c r="B423" s="161"/>
      <c r="C423" s="162"/>
      <c r="D423" s="163"/>
      <c r="E423" s="163"/>
      <c r="F423" s="163"/>
    </row>
    <row r="424" spans="1:6" ht="15.75" customHeight="1">
      <c r="A424" s="32"/>
      <c r="B424" s="161"/>
      <c r="C424" s="162"/>
      <c r="D424" s="163"/>
      <c r="E424" s="163"/>
      <c r="F424" s="163"/>
    </row>
    <row r="425" spans="1:6" ht="15.75" customHeight="1">
      <c r="A425" s="32"/>
      <c r="B425" s="161"/>
      <c r="C425" s="162"/>
      <c r="D425" s="163"/>
      <c r="E425" s="163"/>
      <c r="F425" s="163"/>
    </row>
    <row r="426" spans="1:6" ht="15.75" customHeight="1">
      <c r="A426" s="32"/>
      <c r="B426" s="161"/>
      <c r="C426" s="162"/>
      <c r="D426" s="163"/>
      <c r="E426" s="163"/>
      <c r="F426" s="163"/>
    </row>
    <row r="427" spans="1:6" ht="15.75" customHeight="1">
      <c r="A427" s="32"/>
      <c r="B427" s="161"/>
      <c r="C427" s="162"/>
      <c r="D427" s="163"/>
      <c r="E427" s="163"/>
      <c r="F427" s="163"/>
    </row>
    <row r="428" spans="1:6" ht="15.75" customHeight="1">
      <c r="A428" s="32"/>
      <c r="B428" s="161"/>
      <c r="C428" s="162"/>
      <c r="D428" s="163"/>
      <c r="E428" s="163"/>
      <c r="F428" s="163"/>
    </row>
    <row r="429" spans="1:6" ht="15.75" customHeight="1">
      <c r="A429" s="32"/>
      <c r="B429" s="161"/>
      <c r="C429" s="162"/>
      <c r="D429" s="163"/>
      <c r="E429" s="163"/>
      <c r="F429" s="163"/>
    </row>
    <row r="430" spans="1:6" ht="15.75" customHeight="1">
      <c r="A430" s="32"/>
      <c r="B430" s="161"/>
      <c r="C430" s="162"/>
      <c r="D430" s="163"/>
      <c r="E430" s="163"/>
      <c r="F430" s="163"/>
    </row>
    <row r="431" spans="1:6" ht="15.75" customHeight="1">
      <c r="A431" s="32"/>
      <c r="B431" s="161"/>
      <c r="C431" s="162"/>
      <c r="D431" s="163"/>
      <c r="E431" s="163"/>
      <c r="F431" s="163"/>
    </row>
    <row r="432" spans="1:6" ht="15.75" customHeight="1">
      <c r="A432" s="32"/>
      <c r="B432" s="161"/>
      <c r="C432" s="162"/>
      <c r="D432" s="163"/>
      <c r="E432" s="163"/>
      <c r="F432" s="163"/>
    </row>
    <row r="433" spans="1:6" ht="15.75" customHeight="1">
      <c r="A433" s="32"/>
      <c r="B433" s="161"/>
      <c r="C433" s="162"/>
      <c r="D433" s="163"/>
      <c r="E433" s="163"/>
      <c r="F433" s="163"/>
    </row>
    <row r="434" spans="1:6" ht="15.75" customHeight="1">
      <c r="A434" s="32"/>
      <c r="B434" s="161"/>
      <c r="C434" s="162"/>
      <c r="D434" s="163"/>
      <c r="E434" s="163"/>
      <c r="F434" s="163"/>
    </row>
    <row r="435" spans="1:6" ht="15.75" customHeight="1">
      <c r="A435" s="32"/>
      <c r="B435" s="161"/>
      <c r="C435" s="162"/>
      <c r="D435" s="163"/>
      <c r="E435" s="163"/>
      <c r="F435" s="163"/>
    </row>
    <row r="436" spans="1:6" ht="15.75" customHeight="1">
      <c r="A436" s="32"/>
      <c r="B436" s="161"/>
      <c r="C436" s="162"/>
      <c r="D436" s="163"/>
      <c r="E436" s="163"/>
      <c r="F436" s="163"/>
    </row>
    <row r="437" spans="1:6" ht="15.75" customHeight="1">
      <c r="A437" s="32"/>
      <c r="B437" s="161"/>
      <c r="C437" s="162"/>
      <c r="D437" s="163"/>
      <c r="E437" s="163"/>
      <c r="F437" s="163"/>
    </row>
    <row r="438" spans="1:6" ht="15.75" customHeight="1">
      <c r="A438" s="32"/>
      <c r="B438" s="161"/>
      <c r="C438" s="162"/>
      <c r="D438" s="163"/>
      <c r="E438" s="163"/>
      <c r="F438" s="163"/>
    </row>
    <row r="439" spans="1:6" ht="15.75" customHeight="1">
      <c r="A439" s="32"/>
      <c r="B439" s="161"/>
      <c r="C439" s="162"/>
      <c r="D439" s="163"/>
      <c r="E439" s="163"/>
      <c r="F439" s="163"/>
    </row>
    <row r="440" spans="1:6" ht="15.75" customHeight="1">
      <c r="A440" s="32"/>
      <c r="B440" s="161"/>
      <c r="C440" s="162"/>
      <c r="D440" s="163"/>
      <c r="E440" s="163"/>
      <c r="F440" s="163"/>
    </row>
    <row r="441" spans="1:6" ht="15.75" customHeight="1">
      <c r="A441" s="32"/>
      <c r="B441" s="161"/>
      <c r="C441" s="162"/>
      <c r="D441" s="163"/>
      <c r="E441" s="163"/>
      <c r="F441" s="163"/>
    </row>
    <row r="442" spans="1:6" ht="15.75" customHeight="1">
      <c r="A442" s="32"/>
      <c r="B442" s="161"/>
      <c r="C442" s="162"/>
      <c r="D442" s="163"/>
      <c r="E442" s="163"/>
      <c r="F442" s="163"/>
    </row>
    <row r="443" spans="1:6" ht="15.75" customHeight="1">
      <c r="A443" s="32"/>
      <c r="B443" s="161"/>
      <c r="C443" s="162"/>
      <c r="D443" s="163"/>
      <c r="E443" s="163"/>
      <c r="F443" s="163"/>
    </row>
    <row r="444" spans="1:6" ht="15.75" customHeight="1">
      <c r="A444" s="32"/>
      <c r="B444" s="161"/>
      <c r="C444" s="162"/>
      <c r="D444" s="163"/>
      <c r="E444" s="163"/>
      <c r="F444" s="163"/>
    </row>
    <row r="445" spans="1:6" ht="15.75" customHeight="1">
      <c r="A445" s="32"/>
      <c r="B445" s="161"/>
      <c r="C445" s="162"/>
      <c r="D445" s="163"/>
      <c r="E445" s="163"/>
      <c r="F445" s="163"/>
    </row>
    <row r="446" spans="1:6" ht="15.75" customHeight="1">
      <c r="A446" s="32"/>
      <c r="B446" s="161"/>
      <c r="C446" s="162"/>
      <c r="D446" s="163"/>
      <c r="E446" s="163"/>
      <c r="F446" s="163"/>
    </row>
    <row r="447" spans="1:6" ht="15.75" customHeight="1">
      <c r="A447" s="32"/>
      <c r="B447" s="161"/>
      <c r="C447" s="162"/>
      <c r="D447" s="163"/>
      <c r="E447" s="163"/>
      <c r="F447" s="163"/>
    </row>
    <row r="448" spans="1:6" ht="15.75" customHeight="1">
      <c r="A448" s="32"/>
      <c r="B448" s="161"/>
      <c r="C448" s="162"/>
      <c r="D448" s="163"/>
      <c r="E448" s="163"/>
      <c r="F448" s="163"/>
    </row>
    <row r="449" spans="1:6" ht="15.75" customHeight="1">
      <c r="A449" s="32"/>
      <c r="B449" s="161"/>
      <c r="C449" s="162"/>
      <c r="D449" s="163"/>
      <c r="E449" s="163"/>
      <c r="F449" s="163"/>
    </row>
    <row r="450" spans="1:6" ht="15.75" customHeight="1">
      <c r="A450" s="32"/>
      <c r="B450" s="161"/>
      <c r="C450" s="162"/>
      <c r="D450" s="163"/>
      <c r="E450" s="163"/>
      <c r="F450" s="163"/>
    </row>
    <row r="451" spans="1:6" ht="15.75" customHeight="1">
      <c r="A451" s="32"/>
      <c r="B451" s="161"/>
      <c r="C451" s="162"/>
      <c r="D451" s="163"/>
      <c r="E451" s="163"/>
      <c r="F451" s="163"/>
    </row>
    <row r="452" spans="1:6" ht="15.75" customHeight="1">
      <c r="A452" s="32"/>
      <c r="B452" s="161"/>
      <c r="C452" s="162"/>
      <c r="D452" s="163"/>
      <c r="E452" s="163"/>
      <c r="F452" s="163"/>
    </row>
    <row r="453" spans="1:6" ht="15.75" customHeight="1">
      <c r="A453" s="32"/>
      <c r="B453" s="161"/>
      <c r="C453" s="162"/>
      <c r="D453" s="163"/>
      <c r="E453" s="163"/>
      <c r="F453" s="163"/>
    </row>
    <row r="454" spans="1:6" ht="15.75" customHeight="1">
      <c r="A454" s="32"/>
      <c r="B454" s="161"/>
      <c r="C454" s="162"/>
      <c r="D454" s="163"/>
      <c r="E454" s="163"/>
      <c r="F454" s="163"/>
    </row>
    <row r="455" spans="1:6" ht="15.75" customHeight="1">
      <c r="A455" s="32"/>
      <c r="B455" s="161"/>
      <c r="C455" s="162"/>
      <c r="D455" s="163"/>
      <c r="E455" s="163"/>
      <c r="F455" s="163"/>
    </row>
    <row r="456" spans="1:6" ht="15.75" customHeight="1">
      <c r="A456" s="32"/>
      <c r="B456" s="161"/>
      <c r="C456" s="162"/>
      <c r="D456" s="163"/>
      <c r="E456" s="163"/>
      <c r="F456" s="163"/>
    </row>
    <row r="457" spans="1:6" ht="15.75" customHeight="1">
      <c r="A457" s="32"/>
      <c r="B457" s="161"/>
      <c r="C457" s="162"/>
      <c r="D457" s="163"/>
      <c r="E457" s="163"/>
      <c r="F457" s="163"/>
    </row>
    <row r="458" spans="1:6" ht="15.75" customHeight="1">
      <c r="A458" s="32"/>
      <c r="B458" s="161"/>
      <c r="C458" s="162"/>
      <c r="D458" s="163"/>
      <c r="E458" s="163"/>
      <c r="F458" s="163"/>
    </row>
    <row r="459" spans="1:6" ht="15.75" customHeight="1">
      <c r="A459" s="32"/>
      <c r="B459" s="161"/>
      <c r="C459" s="162"/>
      <c r="D459" s="163"/>
      <c r="E459" s="163"/>
      <c r="F459" s="163"/>
    </row>
    <row r="460" spans="1:6" ht="15.75" customHeight="1">
      <c r="A460" s="32"/>
      <c r="B460" s="161"/>
      <c r="C460" s="162"/>
      <c r="D460" s="163"/>
      <c r="E460" s="163"/>
      <c r="F460" s="163"/>
    </row>
    <row r="461" spans="1:6" ht="15.75" customHeight="1">
      <c r="A461" s="32"/>
      <c r="B461" s="161"/>
      <c r="C461" s="162"/>
      <c r="D461" s="163"/>
      <c r="E461" s="163"/>
      <c r="F461" s="163"/>
    </row>
    <row r="462" spans="1:6" ht="15.75" customHeight="1">
      <c r="A462" s="32"/>
      <c r="B462" s="161"/>
      <c r="C462" s="162"/>
      <c r="D462" s="163"/>
      <c r="E462" s="163"/>
      <c r="F462" s="163"/>
    </row>
    <row r="463" spans="1:6" ht="15.75" customHeight="1">
      <c r="A463" s="32"/>
      <c r="B463" s="161"/>
      <c r="C463" s="162"/>
      <c r="D463" s="163"/>
      <c r="E463" s="163"/>
      <c r="F463" s="163"/>
    </row>
    <row r="464" spans="1:6" ht="15.75" customHeight="1">
      <c r="A464" s="32"/>
      <c r="B464" s="161"/>
      <c r="C464" s="162"/>
      <c r="D464" s="163"/>
      <c r="E464" s="163"/>
      <c r="F464" s="163"/>
    </row>
    <row r="465" spans="1:6" ht="15.75" customHeight="1">
      <c r="A465" s="32"/>
      <c r="B465" s="161"/>
      <c r="C465" s="162"/>
      <c r="D465" s="163"/>
      <c r="E465" s="163"/>
      <c r="F465" s="163"/>
    </row>
    <row r="466" spans="1:6" ht="15.75" customHeight="1">
      <c r="A466" s="32"/>
      <c r="B466" s="161"/>
      <c r="C466" s="162"/>
      <c r="D466" s="163"/>
      <c r="E466" s="163"/>
      <c r="F466" s="163"/>
    </row>
    <row r="467" spans="1:6" ht="15.75" customHeight="1">
      <c r="A467" s="32"/>
      <c r="B467" s="161"/>
      <c r="C467" s="162"/>
      <c r="D467" s="163"/>
      <c r="E467" s="163"/>
      <c r="F467" s="163"/>
    </row>
    <row r="468" spans="1:6" ht="15.75" customHeight="1">
      <c r="A468" s="32"/>
      <c r="B468" s="161"/>
      <c r="C468" s="162"/>
      <c r="D468" s="163"/>
      <c r="E468" s="163"/>
      <c r="F468" s="163"/>
    </row>
    <row r="469" spans="1:6" ht="15.75" customHeight="1">
      <c r="A469" s="32"/>
      <c r="B469" s="161"/>
      <c r="C469" s="162"/>
      <c r="D469" s="163"/>
      <c r="E469" s="163"/>
      <c r="F469" s="163"/>
    </row>
    <row r="470" spans="1:6" ht="15.75" customHeight="1">
      <c r="A470" s="32"/>
      <c r="B470" s="161"/>
      <c r="C470" s="162"/>
      <c r="D470" s="163"/>
      <c r="E470" s="163"/>
      <c r="F470" s="163"/>
    </row>
    <row r="471" spans="1:6" ht="15.75" customHeight="1">
      <c r="A471" s="32"/>
      <c r="B471" s="161"/>
      <c r="C471" s="162"/>
      <c r="D471" s="163"/>
      <c r="E471" s="163"/>
      <c r="F471" s="163"/>
    </row>
    <row r="472" spans="1:6" ht="15.75" customHeight="1">
      <c r="A472" s="32"/>
      <c r="B472" s="161"/>
      <c r="C472" s="162"/>
      <c r="D472" s="163"/>
      <c r="E472" s="163"/>
      <c r="F472" s="163"/>
    </row>
    <row r="473" spans="1:6" ht="15.75" customHeight="1">
      <c r="A473" s="32"/>
      <c r="B473" s="161"/>
      <c r="C473" s="162"/>
      <c r="D473" s="163"/>
      <c r="E473" s="163"/>
      <c r="F473" s="163"/>
    </row>
    <row r="474" spans="1:6" ht="15.75" customHeight="1">
      <c r="A474" s="32"/>
      <c r="B474" s="161"/>
      <c r="C474" s="162"/>
      <c r="D474" s="163"/>
      <c r="E474" s="163"/>
      <c r="F474" s="163"/>
    </row>
    <row r="475" spans="1:6" ht="15.75" customHeight="1">
      <c r="A475" s="32"/>
      <c r="B475" s="161"/>
      <c r="C475" s="162"/>
      <c r="D475" s="163"/>
      <c r="E475" s="163"/>
      <c r="F475" s="163"/>
    </row>
    <row r="476" spans="1:6" ht="15.75" customHeight="1">
      <c r="A476" s="32"/>
      <c r="B476" s="161"/>
      <c r="C476" s="162"/>
      <c r="D476" s="163"/>
      <c r="E476" s="163"/>
      <c r="F476" s="163"/>
    </row>
    <row r="477" spans="1:6" ht="15.75" customHeight="1">
      <c r="A477" s="32"/>
      <c r="B477" s="161"/>
      <c r="C477" s="162"/>
      <c r="D477" s="163"/>
      <c r="E477" s="163"/>
      <c r="F477" s="163"/>
    </row>
    <row r="478" spans="1:6" ht="15.75" customHeight="1">
      <c r="A478" s="32"/>
      <c r="B478" s="161"/>
      <c r="C478" s="162"/>
      <c r="D478" s="163"/>
      <c r="E478" s="163"/>
      <c r="F478" s="163"/>
    </row>
    <row r="479" spans="1:6" ht="15.75" customHeight="1">
      <c r="A479" s="32"/>
      <c r="B479" s="161"/>
      <c r="C479" s="162"/>
      <c r="D479" s="163"/>
      <c r="E479" s="163"/>
      <c r="F479" s="163"/>
    </row>
    <row r="480" spans="1:6" ht="15.75" customHeight="1">
      <c r="A480" s="32"/>
      <c r="B480" s="161"/>
      <c r="C480" s="162"/>
      <c r="D480" s="163"/>
      <c r="E480" s="163"/>
      <c r="F480" s="163"/>
    </row>
    <row r="481" spans="1:6" ht="15.75" customHeight="1">
      <c r="A481" s="32"/>
      <c r="B481" s="161"/>
      <c r="C481" s="162"/>
      <c r="D481" s="163"/>
      <c r="E481" s="163"/>
      <c r="F481" s="163"/>
    </row>
    <row r="482" spans="1:6" ht="15.75" customHeight="1">
      <c r="A482" s="32"/>
      <c r="B482" s="161"/>
      <c r="C482" s="162"/>
      <c r="D482" s="163"/>
      <c r="E482" s="163"/>
      <c r="F482" s="163"/>
    </row>
    <row r="483" spans="1:6" ht="15.75" customHeight="1">
      <c r="A483" s="32"/>
      <c r="B483" s="161"/>
      <c r="C483" s="162"/>
      <c r="D483" s="163"/>
      <c r="E483" s="163"/>
      <c r="F483" s="163"/>
    </row>
    <row r="484" spans="1:6" ht="15.75" customHeight="1">
      <c r="A484" s="32"/>
      <c r="B484" s="161"/>
      <c r="C484" s="162"/>
      <c r="D484" s="163"/>
      <c r="E484" s="163"/>
      <c r="F484" s="163"/>
    </row>
    <row r="485" spans="1:6" ht="15.75" customHeight="1">
      <c r="A485" s="32"/>
      <c r="B485" s="161"/>
      <c r="C485" s="162"/>
      <c r="D485" s="163"/>
      <c r="E485" s="163"/>
      <c r="F485" s="163"/>
    </row>
    <row r="486" spans="1:6" ht="15.75" customHeight="1">
      <c r="A486" s="32"/>
      <c r="B486" s="161"/>
      <c r="C486" s="162"/>
      <c r="D486" s="163"/>
      <c r="E486" s="163"/>
      <c r="F486" s="163"/>
    </row>
    <row r="487" spans="1:6" ht="15.75" customHeight="1">
      <c r="A487" s="32"/>
      <c r="B487" s="161"/>
      <c r="C487" s="162"/>
      <c r="D487" s="163"/>
      <c r="E487" s="163"/>
      <c r="F487" s="163"/>
    </row>
    <row r="488" spans="1:6" ht="15.75" customHeight="1">
      <c r="A488" s="32"/>
      <c r="B488" s="161"/>
      <c r="C488" s="162"/>
      <c r="D488" s="163"/>
      <c r="E488" s="163"/>
      <c r="F488" s="163"/>
    </row>
    <row r="489" spans="1:6" ht="15.75" customHeight="1">
      <c r="A489" s="32"/>
      <c r="B489" s="161"/>
      <c r="C489" s="162"/>
      <c r="D489" s="163"/>
      <c r="E489" s="163"/>
      <c r="F489" s="163"/>
    </row>
    <row r="490" spans="1:6" ht="15.75" customHeight="1">
      <c r="A490" s="32"/>
      <c r="B490" s="161"/>
      <c r="C490" s="162"/>
      <c r="D490" s="163"/>
      <c r="E490" s="163"/>
      <c r="F490" s="163"/>
    </row>
    <row r="491" spans="1:6" ht="15.75" customHeight="1">
      <c r="A491" s="32"/>
      <c r="B491" s="161"/>
      <c r="C491" s="162"/>
      <c r="D491" s="163"/>
      <c r="E491" s="163"/>
      <c r="F491" s="163"/>
    </row>
    <row r="492" spans="1:6" ht="15.75" customHeight="1">
      <c r="A492" s="32"/>
      <c r="B492" s="161"/>
      <c r="C492" s="162"/>
      <c r="D492" s="163"/>
      <c r="E492" s="163"/>
      <c r="F492" s="163"/>
    </row>
    <row r="493" spans="1:6" ht="15.75" customHeight="1">
      <c r="A493" s="32"/>
      <c r="B493" s="161"/>
      <c r="C493" s="162"/>
      <c r="D493" s="163"/>
      <c r="E493" s="163"/>
      <c r="F493" s="163"/>
    </row>
    <row r="494" spans="1:6" ht="15.75" customHeight="1">
      <c r="A494" s="32"/>
      <c r="B494" s="161"/>
      <c r="C494" s="162"/>
      <c r="D494" s="163"/>
      <c r="E494" s="163"/>
      <c r="F494" s="163"/>
    </row>
    <row r="495" spans="1:6" ht="15.75" customHeight="1">
      <c r="A495" s="32"/>
      <c r="B495" s="161"/>
      <c r="C495" s="162"/>
      <c r="D495" s="163"/>
      <c r="E495" s="163"/>
      <c r="F495" s="163"/>
    </row>
    <row r="496" spans="1:6" ht="15.75" customHeight="1">
      <c r="A496" s="32"/>
      <c r="B496" s="161"/>
      <c r="C496" s="162"/>
      <c r="D496" s="163"/>
      <c r="E496" s="163"/>
      <c r="F496" s="163"/>
    </row>
    <row r="497" spans="1:6" ht="15.75" customHeight="1">
      <c r="A497" s="32"/>
      <c r="B497" s="161"/>
      <c r="C497" s="162"/>
      <c r="D497" s="163"/>
      <c r="E497" s="163"/>
      <c r="F497" s="163"/>
    </row>
    <row r="498" spans="1:6" ht="15.75" customHeight="1">
      <c r="A498" s="32"/>
      <c r="B498" s="161"/>
      <c r="C498" s="162"/>
      <c r="D498" s="163"/>
      <c r="E498" s="163"/>
      <c r="F498" s="163"/>
    </row>
    <row r="499" spans="1:6" ht="15.75" customHeight="1">
      <c r="A499" s="32"/>
      <c r="B499" s="161"/>
      <c r="C499" s="162"/>
      <c r="D499" s="163"/>
      <c r="E499" s="163"/>
      <c r="F499" s="163"/>
    </row>
    <row r="500" spans="1:6" ht="15.75" customHeight="1">
      <c r="A500" s="32"/>
      <c r="B500" s="161"/>
      <c r="C500" s="162"/>
      <c r="D500" s="163"/>
      <c r="E500" s="163"/>
      <c r="F500" s="163"/>
    </row>
    <row r="501" spans="1:6" ht="15.75" customHeight="1">
      <c r="A501" s="32"/>
      <c r="B501" s="161"/>
      <c r="C501" s="162"/>
      <c r="D501" s="163"/>
      <c r="E501" s="163"/>
      <c r="F501" s="163"/>
    </row>
    <row r="502" spans="1:6" ht="15.75" customHeight="1">
      <c r="A502" s="32"/>
      <c r="B502" s="161"/>
      <c r="C502" s="162"/>
      <c r="D502" s="163"/>
      <c r="E502" s="163"/>
      <c r="F502" s="163"/>
    </row>
    <row r="503" spans="1:6" ht="15.75" customHeight="1">
      <c r="A503" s="32"/>
      <c r="B503" s="161"/>
      <c r="C503" s="162"/>
      <c r="D503" s="163"/>
      <c r="E503" s="163"/>
      <c r="F503" s="163"/>
    </row>
    <row r="504" spans="1:6" ht="15.75" customHeight="1">
      <c r="A504" s="32"/>
      <c r="B504" s="161"/>
      <c r="C504" s="162"/>
      <c r="D504" s="163"/>
      <c r="E504" s="163"/>
      <c r="F504" s="163"/>
    </row>
    <row r="505" spans="1:6" ht="15.75" customHeight="1">
      <c r="A505" s="32"/>
      <c r="B505" s="161"/>
      <c r="C505" s="162"/>
      <c r="D505" s="163"/>
      <c r="E505" s="163"/>
      <c r="F505" s="163"/>
    </row>
    <row r="506" spans="1:6" ht="15.75" customHeight="1">
      <c r="A506" s="32"/>
      <c r="B506" s="161"/>
      <c r="C506" s="162"/>
      <c r="D506" s="163"/>
      <c r="E506" s="163"/>
      <c r="F506" s="163"/>
    </row>
    <row r="507" spans="1:6" ht="15.75" customHeight="1">
      <c r="A507" s="32"/>
      <c r="B507" s="161"/>
      <c r="C507" s="162"/>
      <c r="D507" s="163"/>
      <c r="E507" s="163"/>
      <c r="F507" s="163"/>
    </row>
    <row r="508" spans="1:6" ht="15.75" customHeight="1">
      <c r="A508" s="32"/>
      <c r="B508" s="161"/>
      <c r="C508" s="162"/>
      <c r="D508" s="163"/>
      <c r="E508" s="163"/>
      <c r="F508" s="163"/>
    </row>
    <row r="509" spans="1:6" ht="15.75" customHeight="1">
      <c r="A509" s="32"/>
      <c r="B509" s="161"/>
      <c r="C509" s="162"/>
      <c r="D509" s="163"/>
      <c r="E509" s="163"/>
      <c r="F509" s="163"/>
    </row>
    <row r="510" spans="1:6" ht="15.75" customHeight="1">
      <c r="A510" s="32"/>
      <c r="B510" s="161"/>
      <c r="C510" s="162"/>
      <c r="D510" s="163"/>
      <c r="E510" s="163"/>
      <c r="F510" s="163"/>
    </row>
    <row r="511" spans="1:6" ht="15.75" customHeight="1">
      <c r="A511" s="32"/>
      <c r="B511" s="161"/>
      <c r="C511" s="162"/>
      <c r="D511" s="163"/>
      <c r="E511" s="163"/>
      <c r="F511" s="163"/>
    </row>
    <row r="512" spans="1:6" ht="15.75" customHeight="1">
      <c r="A512" s="32"/>
      <c r="B512" s="161"/>
      <c r="C512" s="162"/>
      <c r="D512" s="163"/>
      <c r="E512" s="163"/>
      <c r="F512" s="163"/>
    </row>
    <row r="513" spans="1:6" ht="15.75" customHeight="1">
      <c r="A513" s="32"/>
      <c r="B513" s="161"/>
      <c r="C513" s="162"/>
      <c r="D513" s="163"/>
      <c r="E513" s="163"/>
      <c r="F513" s="163"/>
    </row>
    <row r="514" spans="1:6" ht="15.75" customHeight="1">
      <c r="A514" s="32"/>
      <c r="B514" s="161"/>
      <c r="C514" s="162"/>
      <c r="D514" s="163"/>
      <c r="E514" s="163"/>
      <c r="F514" s="163"/>
    </row>
    <row r="515" spans="1:6" ht="15.75" customHeight="1">
      <c r="A515" s="32"/>
      <c r="B515" s="161"/>
      <c r="C515" s="162"/>
      <c r="D515" s="163"/>
      <c r="E515" s="163"/>
      <c r="F515" s="163"/>
    </row>
    <row r="516" spans="1:6" ht="15.75" customHeight="1">
      <c r="A516" s="32"/>
      <c r="B516" s="161"/>
      <c r="C516" s="162"/>
      <c r="D516" s="163"/>
      <c r="E516" s="163"/>
      <c r="F516" s="163"/>
    </row>
    <row r="517" spans="1:6" ht="15.75" customHeight="1">
      <c r="A517" s="32"/>
      <c r="B517" s="161"/>
      <c r="C517" s="162"/>
      <c r="D517" s="163"/>
      <c r="E517" s="163"/>
      <c r="F517" s="163"/>
    </row>
    <row r="518" spans="1:6" ht="15.75" customHeight="1">
      <c r="A518" s="32"/>
      <c r="B518" s="161"/>
      <c r="C518" s="162"/>
      <c r="D518" s="163"/>
      <c r="E518" s="163"/>
      <c r="F518" s="163"/>
    </row>
    <row r="519" spans="1:6" ht="15.75" customHeight="1">
      <c r="A519" s="32"/>
      <c r="B519" s="161"/>
      <c r="C519" s="162"/>
      <c r="D519" s="163"/>
      <c r="E519" s="163"/>
      <c r="F519" s="163"/>
    </row>
    <row r="520" spans="1:6" ht="15.75" customHeight="1">
      <c r="A520" s="32"/>
      <c r="B520" s="161"/>
      <c r="C520" s="162"/>
      <c r="D520" s="163"/>
      <c r="E520" s="163"/>
      <c r="F520" s="163"/>
    </row>
    <row r="521" spans="1:6" ht="15.75" customHeight="1">
      <c r="A521" s="32"/>
      <c r="B521" s="161"/>
      <c r="C521" s="162"/>
      <c r="D521" s="163"/>
      <c r="E521" s="163"/>
      <c r="F521" s="163"/>
    </row>
    <row r="522" spans="1:6" ht="15.75" customHeight="1">
      <c r="A522" s="32"/>
      <c r="B522" s="161"/>
      <c r="C522" s="162"/>
      <c r="D522" s="163"/>
      <c r="E522" s="163"/>
      <c r="F522" s="163"/>
    </row>
    <row r="523" spans="1:6" ht="15.75" customHeight="1">
      <c r="A523" s="32"/>
      <c r="B523" s="161"/>
      <c r="C523" s="162"/>
      <c r="D523" s="163"/>
      <c r="E523" s="163"/>
      <c r="F523" s="163"/>
    </row>
    <row r="524" spans="1:6" ht="15.75" customHeight="1">
      <c r="A524" s="32"/>
      <c r="B524" s="161"/>
      <c r="C524" s="162"/>
      <c r="D524" s="163"/>
      <c r="E524" s="163"/>
      <c r="F524" s="163"/>
    </row>
    <row r="525" spans="1:6" ht="15.75" customHeight="1">
      <c r="A525" s="32"/>
      <c r="B525" s="161"/>
      <c r="C525" s="162"/>
      <c r="D525" s="163"/>
      <c r="E525" s="163"/>
      <c r="F525" s="163"/>
    </row>
    <row r="526" spans="1:6" ht="15.75" customHeight="1">
      <c r="A526" s="32"/>
      <c r="B526" s="161"/>
      <c r="C526" s="162"/>
      <c r="D526" s="163"/>
      <c r="E526" s="163"/>
      <c r="F526" s="163"/>
    </row>
    <row r="527" spans="1:6" ht="15.75" customHeight="1">
      <c r="A527" s="32"/>
      <c r="B527" s="161"/>
      <c r="C527" s="162"/>
      <c r="D527" s="163"/>
      <c r="E527" s="163"/>
      <c r="F527" s="163"/>
    </row>
    <row r="528" spans="1:6" ht="15.75" customHeight="1">
      <c r="A528" s="32"/>
      <c r="B528" s="161"/>
      <c r="C528" s="162"/>
      <c r="D528" s="163"/>
      <c r="E528" s="163"/>
      <c r="F528" s="163"/>
    </row>
    <row r="529" spans="1:6" ht="15.75" customHeight="1">
      <c r="A529" s="32"/>
      <c r="B529" s="161"/>
      <c r="C529" s="162"/>
      <c r="D529" s="163"/>
      <c r="E529" s="163"/>
      <c r="F529" s="163"/>
    </row>
    <row r="530" spans="1:6" ht="15.75" customHeight="1">
      <c r="A530" s="32"/>
      <c r="B530" s="161"/>
      <c r="C530" s="162"/>
      <c r="D530" s="163"/>
      <c r="E530" s="163"/>
      <c r="F530" s="163"/>
    </row>
    <row r="531" spans="1:6" ht="15.75" customHeight="1">
      <c r="A531" s="32"/>
      <c r="B531" s="161"/>
      <c r="C531" s="162"/>
      <c r="D531" s="163"/>
      <c r="E531" s="163"/>
      <c r="F531" s="163"/>
    </row>
    <row r="532" spans="1:6" ht="15.75" customHeight="1">
      <c r="A532" s="32"/>
      <c r="B532" s="161"/>
      <c r="C532" s="162"/>
      <c r="D532" s="163"/>
      <c r="E532" s="163"/>
      <c r="F532" s="163"/>
    </row>
    <row r="533" spans="1:6" ht="15.75" customHeight="1">
      <c r="A533" s="32"/>
      <c r="B533" s="161"/>
      <c r="C533" s="162"/>
      <c r="D533" s="163"/>
      <c r="E533" s="163"/>
      <c r="F533" s="163"/>
    </row>
    <row r="534" spans="1:6" ht="15.75" customHeight="1">
      <c r="A534" s="32"/>
      <c r="B534" s="161"/>
      <c r="C534" s="162"/>
      <c r="D534" s="163"/>
      <c r="E534" s="163"/>
      <c r="F534" s="163"/>
    </row>
    <row r="535" spans="1:6" ht="15.75" customHeight="1">
      <c r="A535" s="32"/>
      <c r="B535" s="161"/>
      <c r="C535" s="162"/>
      <c r="D535" s="163"/>
      <c r="E535" s="163"/>
      <c r="F535" s="163"/>
    </row>
    <row r="536" spans="1:6" ht="15.75" customHeight="1">
      <c r="A536" s="32"/>
      <c r="B536" s="161"/>
      <c r="C536" s="162"/>
      <c r="D536" s="163"/>
      <c r="E536" s="163"/>
      <c r="F536" s="163"/>
    </row>
    <row r="537" spans="1:6" ht="15.75" customHeight="1">
      <c r="A537" s="32"/>
      <c r="B537" s="161"/>
      <c r="C537" s="162"/>
      <c r="D537" s="163"/>
      <c r="E537" s="163"/>
      <c r="F537" s="163"/>
    </row>
    <row r="538" spans="1:6" ht="15.75" customHeight="1">
      <c r="A538" s="32"/>
      <c r="B538" s="161"/>
      <c r="C538" s="162"/>
      <c r="D538" s="163"/>
      <c r="E538" s="163"/>
      <c r="F538" s="163"/>
    </row>
    <row r="539" spans="1:6" ht="15.75" customHeight="1">
      <c r="A539" s="32"/>
      <c r="B539" s="161"/>
      <c r="C539" s="162"/>
      <c r="D539" s="163"/>
      <c r="E539" s="163"/>
      <c r="F539" s="163"/>
    </row>
    <row r="540" spans="1:6" ht="15.75" customHeight="1">
      <c r="A540" s="32"/>
      <c r="B540" s="161"/>
      <c r="C540" s="162"/>
      <c r="D540" s="163"/>
      <c r="E540" s="163"/>
      <c r="F540" s="163"/>
    </row>
    <row r="541" spans="1:6" ht="15.75" customHeight="1">
      <c r="A541" s="32"/>
      <c r="B541" s="161"/>
      <c r="C541" s="162"/>
      <c r="D541" s="163"/>
      <c r="E541" s="163"/>
      <c r="F541" s="163"/>
    </row>
    <row r="542" spans="1:6" ht="15.75" customHeight="1">
      <c r="A542" s="32"/>
      <c r="B542" s="161"/>
      <c r="C542" s="162"/>
      <c r="D542" s="163"/>
      <c r="E542" s="163"/>
      <c r="F542" s="163"/>
    </row>
    <row r="543" spans="1:6" ht="15.75" customHeight="1">
      <c r="A543" s="32"/>
      <c r="B543" s="161"/>
      <c r="C543" s="162"/>
      <c r="D543" s="163"/>
      <c r="E543" s="163"/>
      <c r="F543" s="163"/>
    </row>
    <row r="544" spans="1:6" ht="15.75" customHeight="1">
      <c r="A544" s="32"/>
      <c r="B544" s="161"/>
      <c r="C544" s="162"/>
      <c r="D544" s="163"/>
      <c r="E544" s="163"/>
      <c r="F544" s="163"/>
    </row>
    <row r="545" spans="1:6" ht="15.75" customHeight="1">
      <c r="A545" s="32"/>
      <c r="B545" s="161"/>
      <c r="C545" s="162"/>
      <c r="D545" s="163"/>
      <c r="E545" s="163"/>
      <c r="F545" s="163"/>
    </row>
    <row r="546" spans="1:6" ht="15.75" customHeight="1">
      <c r="A546" s="32"/>
      <c r="B546" s="161"/>
      <c r="C546" s="162"/>
      <c r="D546" s="163"/>
      <c r="E546" s="163"/>
      <c r="F546" s="163"/>
    </row>
    <row r="547" spans="1:6" ht="15.75" customHeight="1">
      <c r="A547" s="32"/>
      <c r="B547" s="161"/>
      <c r="C547" s="162"/>
      <c r="D547" s="163"/>
      <c r="E547" s="163"/>
      <c r="F547" s="163"/>
    </row>
    <row r="548" spans="1:6" ht="15.75" customHeight="1">
      <c r="A548" s="32"/>
      <c r="B548" s="161"/>
      <c r="C548" s="162"/>
      <c r="D548" s="163"/>
      <c r="E548" s="163"/>
      <c r="F548" s="163"/>
    </row>
    <row r="549" spans="1:6" ht="15.75" customHeight="1">
      <c r="A549" s="32"/>
      <c r="B549" s="161"/>
      <c r="C549" s="162"/>
      <c r="D549" s="163"/>
      <c r="E549" s="163"/>
      <c r="F549" s="163"/>
    </row>
    <row r="550" spans="1:6" ht="15.75" customHeight="1">
      <c r="A550" s="32"/>
      <c r="B550" s="161"/>
      <c r="C550" s="162"/>
      <c r="D550" s="163"/>
      <c r="E550" s="163"/>
      <c r="F550" s="163"/>
    </row>
    <row r="551" spans="1:6" ht="15.75" customHeight="1">
      <c r="A551" s="32"/>
      <c r="B551" s="161"/>
      <c r="C551" s="162"/>
      <c r="D551" s="163"/>
      <c r="E551" s="163"/>
      <c r="F551" s="163"/>
    </row>
    <row r="552" spans="1:6" ht="15.75" customHeight="1">
      <c r="A552" s="32"/>
      <c r="B552" s="161"/>
      <c r="C552" s="162"/>
      <c r="D552" s="163"/>
      <c r="E552" s="163"/>
      <c r="F552" s="163"/>
    </row>
    <row r="553" spans="1:6" ht="15.75" customHeight="1">
      <c r="A553" s="32"/>
      <c r="B553" s="161"/>
      <c r="C553" s="162"/>
      <c r="D553" s="163"/>
      <c r="E553" s="163"/>
      <c r="F553" s="163"/>
    </row>
    <row r="554" spans="1:6" ht="15.75" customHeight="1">
      <c r="A554" s="32"/>
      <c r="B554" s="161"/>
      <c r="C554" s="162"/>
      <c r="D554" s="163"/>
      <c r="E554" s="163"/>
      <c r="F554" s="163"/>
    </row>
    <row r="555" spans="1:6" ht="15.75" customHeight="1">
      <c r="A555" s="32"/>
      <c r="B555" s="161"/>
      <c r="C555" s="162"/>
      <c r="D555" s="163"/>
      <c r="E555" s="163"/>
      <c r="F555" s="163"/>
    </row>
    <row r="556" spans="1:6" ht="15.75" customHeight="1">
      <c r="A556" s="32"/>
      <c r="B556" s="161"/>
      <c r="C556" s="162"/>
      <c r="D556" s="163"/>
      <c r="E556" s="163"/>
      <c r="F556" s="163"/>
    </row>
    <row r="557" spans="1:6" ht="15.75" customHeight="1">
      <c r="A557" s="32"/>
      <c r="B557" s="161"/>
      <c r="C557" s="162"/>
      <c r="D557" s="163"/>
      <c r="E557" s="163"/>
      <c r="F557" s="163"/>
    </row>
    <row r="558" spans="1:6" ht="15.75" customHeight="1">
      <c r="A558" s="32"/>
      <c r="B558" s="161"/>
      <c r="C558" s="162"/>
      <c r="D558" s="163"/>
      <c r="E558" s="163"/>
      <c r="F558" s="163"/>
    </row>
    <row r="559" spans="1:6" ht="15.75" customHeight="1">
      <c r="A559" s="32"/>
      <c r="B559" s="161"/>
      <c r="C559" s="162"/>
      <c r="D559" s="163"/>
      <c r="E559" s="163"/>
      <c r="F559" s="163"/>
    </row>
    <row r="560" spans="1:6" ht="15.75" customHeight="1">
      <c r="A560" s="32"/>
      <c r="B560" s="161"/>
      <c r="C560" s="162"/>
      <c r="D560" s="163"/>
      <c r="E560" s="163"/>
      <c r="F560" s="163"/>
    </row>
    <row r="561" spans="1:6" ht="15.75" customHeight="1">
      <c r="A561" s="32"/>
      <c r="B561" s="161"/>
      <c r="C561" s="162"/>
      <c r="D561" s="163"/>
      <c r="E561" s="163"/>
      <c r="F561" s="163"/>
    </row>
    <row r="562" spans="1:6" ht="15.75" customHeight="1">
      <c r="A562" s="32"/>
      <c r="B562" s="161"/>
      <c r="C562" s="162"/>
      <c r="D562" s="163"/>
      <c r="E562" s="163"/>
      <c r="F562" s="163"/>
    </row>
    <row r="563" spans="1:6" ht="15.75" customHeight="1">
      <c r="A563" s="32"/>
      <c r="B563" s="161"/>
      <c r="C563" s="162"/>
      <c r="D563" s="163"/>
      <c r="E563" s="163"/>
      <c r="F563" s="163"/>
    </row>
    <row r="564" spans="1:6" ht="15.75" customHeight="1">
      <c r="A564" s="32"/>
      <c r="B564" s="161"/>
      <c r="C564" s="162"/>
      <c r="D564" s="163"/>
      <c r="E564" s="163"/>
      <c r="F564" s="163"/>
    </row>
    <row r="565" spans="1:6" ht="15.75" customHeight="1">
      <c r="A565" s="32"/>
      <c r="B565" s="161"/>
      <c r="C565" s="162"/>
      <c r="D565" s="163"/>
      <c r="E565" s="163"/>
      <c r="F565" s="163"/>
    </row>
    <row r="566" spans="1:6" ht="15.75" customHeight="1">
      <c r="A566" s="32"/>
      <c r="B566" s="161"/>
      <c r="C566" s="162"/>
      <c r="D566" s="163"/>
      <c r="E566" s="163"/>
      <c r="F566" s="163"/>
    </row>
    <row r="567" spans="1:6" ht="15.75" customHeight="1">
      <c r="A567" s="32"/>
      <c r="B567" s="161"/>
      <c r="C567" s="162"/>
      <c r="D567" s="163"/>
      <c r="E567" s="163"/>
      <c r="F567" s="163"/>
    </row>
    <row r="568" spans="1:6" ht="15.75" customHeight="1">
      <c r="A568" s="32"/>
      <c r="B568" s="161"/>
      <c r="C568" s="162"/>
      <c r="D568" s="163"/>
      <c r="E568" s="163"/>
      <c r="F568" s="163"/>
    </row>
    <row r="569" spans="1:6" ht="15.75" customHeight="1">
      <c r="A569" s="32"/>
      <c r="B569" s="161"/>
      <c r="C569" s="162"/>
      <c r="D569" s="163"/>
      <c r="E569" s="163"/>
      <c r="F569" s="163"/>
    </row>
    <row r="570" spans="1:6" ht="15.75" customHeight="1">
      <c r="A570" s="32"/>
      <c r="B570" s="161"/>
      <c r="C570" s="162"/>
      <c r="D570" s="163"/>
      <c r="E570" s="163"/>
      <c r="F570" s="163"/>
    </row>
    <row r="571" spans="1:6" ht="15.75" customHeight="1">
      <c r="A571" s="32"/>
      <c r="B571" s="161"/>
      <c r="C571" s="162"/>
      <c r="D571" s="163"/>
      <c r="E571" s="163"/>
      <c r="F571" s="163"/>
    </row>
    <row r="572" spans="1:6" ht="15.75" customHeight="1">
      <c r="A572" s="32"/>
      <c r="B572" s="161"/>
      <c r="C572" s="162"/>
      <c r="D572" s="163"/>
      <c r="E572" s="163"/>
      <c r="F572" s="163"/>
    </row>
    <row r="573" spans="1:6" ht="15.75" customHeight="1">
      <c r="A573" s="32"/>
      <c r="B573" s="161"/>
      <c r="C573" s="162"/>
      <c r="D573" s="163"/>
      <c r="E573" s="163"/>
      <c r="F573" s="163"/>
    </row>
    <row r="574" spans="1:6" ht="15.75" customHeight="1">
      <c r="A574" s="32"/>
      <c r="B574" s="161"/>
      <c r="C574" s="162"/>
      <c r="D574" s="163"/>
      <c r="E574" s="163"/>
      <c r="F574" s="163"/>
    </row>
    <row r="575" spans="1:6" ht="15.75" customHeight="1">
      <c r="A575" s="32"/>
      <c r="B575" s="161"/>
      <c r="C575" s="162"/>
      <c r="D575" s="163"/>
      <c r="E575" s="163"/>
      <c r="F575" s="163"/>
    </row>
    <row r="576" spans="1:6" ht="15.75" customHeight="1">
      <c r="A576" s="32"/>
      <c r="B576" s="161"/>
      <c r="C576" s="162"/>
      <c r="D576" s="163"/>
      <c r="E576" s="163"/>
      <c r="F576" s="163"/>
    </row>
    <row r="577" spans="1:6" ht="15.75" customHeight="1">
      <c r="A577" s="32"/>
      <c r="B577" s="161"/>
      <c r="C577" s="162"/>
      <c r="D577" s="163"/>
      <c r="E577" s="163"/>
      <c r="F577" s="163"/>
    </row>
    <row r="578" spans="1:6" ht="15.75" customHeight="1">
      <c r="A578" s="32"/>
      <c r="B578" s="161"/>
      <c r="C578" s="162"/>
      <c r="D578" s="163"/>
      <c r="E578" s="163"/>
      <c r="F578" s="163"/>
    </row>
    <row r="579" spans="1:6" ht="15.75" customHeight="1">
      <c r="A579" s="32"/>
      <c r="B579" s="161"/>
      <c r="C579" s="162"/>
      <c r="D579" s="163"/>
      <c r="E579" s="163"/>
      <c r="F579" s="163"/>
    </row>
    <row r="580" spans="1:6" ht="15.75" customHeight="1">
      <c r="A580" s="32"/>
      <c r="B580" s="161"/>
      <c r="C580" s="162"/>
      <c r="D580" s="163"/>
      <c r="E580" s="163"/>
      <c r="F580" s="163"/>
    </row>
    <row r="581" spans="1:6" ht="15.75" customHeight="1">
      <c r="A581" s="32"/>
      <c r="B581" s="161"/>
      <c r="C581" s="162"/>
      <c r="D581" s="163"/>
      <c r="E581" s="163"/>
      <c r="F581" s="163"/>
    </row>
    <row r="582" spans="1:6" ht="15.75" customHeight="1">
      <c r="A582" s="32"/>
      <c r="B582" s="161"/>
      <c r="C582" s="162"/>
      <c r="D582" s="163"/>
      <c r="E582" s="163"/>
      <c r="F582" s="163"/>
    </row>
    <row r="583" spans="1:6" ht="15.75" customHeight="1">
      <c r="A583" s="32"/>
      <c r="B583" s="161"/>
      <c r="C583" s="162"/>
      <c r="D583" s="163"/>
      <c r="E583" s="163"/>
      <c r="F583" s="163"/>
    </row>
    <row r="584" spans="1:6" ht="15.75" customHeight="1">
      <c r="A584" s="32"/>
      <c r="B584" s="161"/>
      <c r="C584" s="162"/>
      <c r="D584" s="163"/>
      <c r="E584" s="163"/>
      <c r="F584" s="163"/>
    </row>
    <row r="585" spans="1:6" ht="15.75" customHeight="1">
      <c r="A585" s="32"/>
      <c r="B585" s="161"/>
      <c r="C585" s="162"/>
      <c r="D585" s="163"/>
      <c r="E585" s="163"/>
      <c r="F585" s="163"/>
    </row>
    <row r="586" spans="1:6" ht="15.75" customHeight="1">
      <c r="A586" s="32"/>
      <c r="B586" s="161"/>
      <c r="C586" s="162"/>
      <c r="D586" s="163"/>
      <c r="E586" s="163"/>
      <c r="F586" s="163"/>
    </row>
    <row r="587" spans="1:6" ht="15.75" customHeight="1">
      <c r="A587" s="32"/>
      <c r="B587" s="161"/>
      <c r="C587" s="162"/>
      <c r="D587" s="163"/>
      <c r="E587" s="163"/>
      <c r="F587" s="163"/>
    </row>
    <row r="588" spans="1:6" ht="15.75" customHeight="1">
      <c r="A588" s="32"/>
      <c r="B588" s="161"/>
      <c r="C588" s="162"/>
      <c r="D588" s="163"/>
      <c r="E588" s="163"/>
      <c r="F588" s="163"/>
    </row>
    <row r="589" spans="1:6" ht="15.75" customHeight="1">
      <c r="A589" s="32"/>
      <c r="B589" s="161"/>
      <c r="C589" s="162"/>
      <c r="D589" s="163"/>
      <c r="E589" s="163"/>
      <c r="F589" s="163"/>
    </row>
    <row r="590" spans="1:6" ht="15.75" customHeight="1">
      <c r="A590" s="32"/>
      <c r="B590" s="161"/>
      <c r="C590" s="162"/>
      <c r="D590" s="163"/>
      <c r="E590" s="163"/>
      <c r="F590" s="163"/>
    </row>
    <row r="591" spans="1:6" ht="15.75" customHeight="1">
      <c r="A591" s="32"/>
      <c r="B591" s="161"/>
      <c r="C591" s="162"/>
      <c r="D591" s="163"/>
      <c r="E591" s="163"/>
      <c r="F591" s="163"/>
    </row>
    <row r="592" spans="1:6" ht="15.75" customHeight="1">
      <c r="A592" s="32"/>
      <c r="B592" s="161"/>
      <c r="C592" s="162"/>
      <c r="D592" s="163"/>
      <c r="E592" s="163"/>
      <c r="F592" s="163"/>
    </row>
    <row r="593" spans="1:6" ht="15.75" customHeight="1">
      <c r="A593" s="32"/>
      <c r="B593" s="161"/>
      <c r="C593" s="162"/>
      <c r="D593" s="163"/>
      <c r="E593" s="163"/>
      <c r="F593" s="163"/>
    </row>
    <row r="594" spans="1:6" ht="15.75" customHeight="1">
      <c r="A594" s="32"/>
      <c r="B594" s="161"/>
      <c r="C594" s="162"/>
      <c r="D594" s="163"/>
      <c r="E594" s="163"/>
      <c r="F594" s="163"/>
    </row>
    <row r="595" spans="1:6" ht="15.75" customHeight="1">
      <c r="A595" s="32"/>
      <c r="B595" s="161"/>
      <c r="C595" s="162"/>
      <c r="D595" s="163"/>
      <c r="E595" s="163"/>
      <c r="F595" s="163"/>
    </row>
    <row r="596" spans="1:6" ht="15.75" customHeight="1">
      <c r="A596" s="32"/>
      <c r="B596" s="161"/>
      <c r="C596" s="162"/>
      <c r="D596" s="163"/>
      <c r="E596" s="163"/>
      <c r="F596" s="163"/>
    </row>
    <row r="597" spans="1:6" ht="15.75" customHeight="1">
      <c r="A597" s="32"/>
      <c r="B597" s="161"/>
      <c r="C597" s="162"/>
      <c r="D597" s="163"/>
      <c r="E597" s="163"/>
      <c r="F597" s="163"/>
    </row>
    <row r="598" spans="1:6" ht="15.75" customHeight="1">
      <c r="A598" s="32"/>
      <c r="B598" s="161"/>
      <c r="C598" s="162"/>
      <c r="D598" s="163"/>
      <c r="E598" s="163"/>
      <c r="F598" s="163"/>
    </row>
    <row r="599" spans="1:6" ht="15.75" customHeight="1">
      <c r="A599" s="32"/>
      <c r="B599" s="161"/>
      <c r="C599" s="162"/>
      <c r="D599" s="163"/>
      <c r="E599" s="163"/>
      <c r="F599" s="163"/>
    </row>
    <row r="600" spans="1:6" ht="15.75" customHeight="1">
      <c r="A600" s="32"/>
      <c r="B600" s="161"/>
      <c r="C600" s="162"/>
      <c r="D600" s="163"/>
      <c r="E600" s="163"/>
      <c r="F600" s="163"/>
    </row>
    <row r="601" spans="1:6" ht="15.75" customHeight="1">
      <c r="A601" s="32"/>
      <c r="B601" s="161"/>
      <c r="C601" s="162"/>
      <c r="D601" s="163"/>
      <c r="E601" s="163"/>
      <c r="F601" s="163"/>
    </row>
    <row r="602" spans="1:6" ht="15.75" customHeight="1">
      <c r="A602" s="32"/>
      <c r="B602" s="161"/>
      <c r="C602" s="162"/>
      <c r="D602" s="163"/>
      <c r="E602" s="163"/>
      <c r="F602" s="163"/>
    </row>
    <row r="603" spans="1:6" ht="15.75" customHeight="1">
      <c r="A603" s="32"/>
      <c r="B603" s="161"/>
      <c r="C603" s="162"/>
      <c r="D603" s="163"/>
      <c r="E603" s="163"/>
      <c r="F603" s="163"/>
    </row>
    <row r="604" spans="1:6" ht="15.75" customHeight="1">
      <c r="A604" s="32"/>
      <c r="B604" s="161"/>
      <c r="C604" s="162"/>
      <c r="D604" s="163"/>
      <c r="E604" s="163"/>
      <c r="F604" s="163"/>
    </row>
    <row r="605" spans="1:6" ht="15.75" customHeight="1">
      <c r="A605" s="32"/>
      <c r="B605" s="161"/>
      <c r="C605" s="162"/>
      <c r="D605" s="163"/>
      <c r="E605" s="163"/>
      <c r="F605" s="163"/>
    </row>
    <row r="606" spans="1:6" ht="15.75" customHeight="1">
      <c r="A606" s="32"/>
      <c r="B606" s="161"/>
      <c r="C606" s="162"/>
      <c r="D606" s="163"/>
      <c r="E606" s="163"/>
      <c r="F606" s="163"/>
    </row>
    <row r="607" spans="1:6" ht="15.75" customHeight="1">
      <c r="A607" s="32"/>
      <c r="B607" s="161"/>
      <c r="C607" s="162"/>
      <c r="D607" s="163"/>
      <c r="E607" s="163"/>
      <c r="F607" s="163"/>
    </row>
    <row r="608" spans="1:6" ht="15.75" customHeight="1">
      <c r="A608" s="32"/>
      <c r="B608" s="161"/>
      <c r="C608" s="162"/>
      <c r="D608" s="163"/>
      <c r="E608" s="163"/>
      <c r="F608" s="163"/>
    </row>
    <row r="609" spans="1:6" ht="15.75" customHeight="1">
      <c r="A609" s="32"/>
      <c r="B609" s="161"/>
      <c r="C609" s="162"/>
      <c r="D609" s="163"/>
      <c r="E609" s="163"/>
      <c r="F609" s="163"/>
    </row>
    <row r="610" spans="1:6" ht="15.75" customHeight="1">
      <c r="A610" s="32"/>
      <c r="B610" s="161"/>
      <c r="C610" s="162"/>
      <c r="D610" s="163"/>
      <c r="E610" s="163"/>
      <c r="F610" s="163"/>
    </row>
    <row r="611" spans="1:6" ht="15.75" customHeight="1">
      <c r="A611" s="32"/>
      <c r="B611" s="161"/>
      <c r="C611" s="162"/>
      <c r="D611" s="163"/>
      <c r="E611" s="163"/>
      <c r="F611" s="163"/>
    </row>
    <row r="612" spans="1:6" ht="15.75" customHeight="1">
      <c r="A612" s="32"/>
      <c r="B612" s="161"/>
      <c r="C612" s="162"/>
      <c r="D612" s="163"/>
      <c r="E612" s="163"/>
      <c r="F612" s="163"/>
    </row>
    <row r="613" spans="1:6" ht="15.75" customHeight="1">
      <c r="A613" s="32"/>
      <c r="B613" s="161"/>
      <c r="C613" s="162"/>
      <c r="D613" s="163"/>
      <c r="E613" s="163"/>
      <c r="F613" s="163"/>
    </row>
    <row r="614" spans="1:6" ht="15.75" customHeight="1">
      <c r="A614" s="32"/>
      <c r="B614" s="161"/>
      <c r="C614" s="162"/>
      <c r="D614" s="163"/>
      <c r="E614" s="163"/>
      <c r="F614" s="163"/>
    </row>
    <row r="615" spans="1:6" ht="15.75" customHeight="1">
      <c r="A615" s="32"/>
      <c r="B615" s="161"/>
      <c r="C615" s="162"/>
      <c r="D615" s="163"/>
      <c r="E615" s="163"/>
      <c r="F615" s="163"/>
    </row>
    <row r="616" spans="1:6" ht="15.75" customHeight="1">
      <c r="A616" s="32"/>
      <c r="B616" s="161"/>
      <c r="C616" s="162"/>
      <c r="D616" s="163"/>
      <c r="E616" s="163"/>
      <c r="F616" s="163"/>
    </row>
    <row r="617" spans="1:6" ht="15.75" customHeight="1">
      <c r="A617" s="32"/>
      <c r="B617" s="161"/>
      <c r="C617" s="162"/>
      <c r="D617" s="163"/>
      <c r="E617" s="163"/>
      <c r="F617" s="163"/>
    </row>
    <row r="618" spans="1:6" ht="15.75" customHeight="1">
      <c r="A618" s="32"/>
      <c r="B618" s="161"/>
      <c r="C618" s="162"/>
      <c r="D618" s="163"/>
      <c r="E618" s="163"/>
      <c r="F618" s="163"/>
    </row>
    <row r="619" spans="1:6" ht="15.75" customHeight="1">
      <c r="A619" s="32"/>
      <c r="B619" s="161"/>
      <c r="C619" s="162"/>
      <c r="D619" s="163"/>
      <c r="E619" s="163"/>
      <c r="F619" s="163"/>
    </row>
    <row r="620" spans="1:6" ht="15.75" customHeight="1">
      <c r="A620" s="32"/>
      <c r="B620" s="161"/>
      <c r="C620" s="162"/>
      <c r="D620" s="163"/>
      <c r="E620" s="163"/>
      <c r="F620" s="163"/>
    </row>
    <row r="621" spans="1:6" ht="15.75" customHeight="1">
      <c r="A621" s="32"/>
      <c r="B621" s="161"/>
      <c r="C621" s="162"/>
      <c r="D621" s="163"/>
      <c r="E621" s="163"/>
      <c r="F621" s="163"/>
    </row>
    <row r="622" spans="1:6" ht="15.75" customHeight="1">
      <c r="A622" s="32"/>
      <c r="B622" s="161"/>
      <c r="C622" s="162"/>
      <c r="D622" s="163"/>
      <c r="E622" s="163"/>
      <c r="F622" s="163"/>
    </row>
    <row r="623" spans="1:6" ht="15.75" customHeight="1">
      <c r="A623" s="32"/>
      <c r="B623" s="161"/>
      <c r="C623" s="162"/>
      <c r="D623" s="163"/>
      <c r="E623" s="163"/>
      <c r="F623" s="163"/>
    </row>
    <row r="624" spans="1:6" ht="15.75" customHeight="1">
      <c r="A624" s="32"/>
      <c r="B624" s="161"/>
      <c r="C624" s="162"/>
      <c r="D624" s="163"/>
      <c r="E624" s="163"/>
      <c r="F624" s="163"/>
    </row>
    <row r="625" spans="1:6" ht="15.75" customHeight="1">
      <c r="A625" s="32"/>
      <c r="B625" s="161"/>
      <c r="C625" s="162"/>
      <c r="D625" s="163"/>
      <c r="E625" s="163"/>
      <c r="F625" s="163"/>
    </row>
    <row r="626" spans="1:6" ht="15.75" customHeight="1">
      <c r="A626" s="32"/>
      <c r="B626" s="161"/>
      <c r="C626" s="162"/>
      <c r="D626" s="163"/>
      <c r="E626" s="163"/>
      <c r="F626" s="163"/>
    </row>
    <row r="627" spans="1:6" ht="15.75" customHeight="1">
      <c r="A627" s="32"/>
      <c r="B627" s="161"/>
      <c r="C627" s="162"/>
      <c r="D627" s="163"/>
      <c r="E627" s="163"/>
      <c r="F627" s="163"/>
    </row>
    <row r="628" spans="1:6" ht="15.75" customHeight="1">
      <c r="A628" s="32"/>
      <c r="B628" s="161"/>
      <c r="C628" s="162"/>
      <c r="D628" s="163"/>
      <c r="E628" s="163"/>
      <c r="F628" s="163"/>
    </row>
    <row r="629" spans="1:6" ht="15.75" customHeight="1">
      <c r="A629" s="32"/>
      <c r="B629" s="161"/>
      <c r="C629" s="162"/>
      <c r="D629" s="163"/>
      <c r="E629" s="163"/>
      <c r="F629" s="163"/>
    </row>
    <row r="630" spans="1:6" ht="15.75" customHeight="1">
      <c r="A630" s="32"/>
      <c r="B630" s="161"/>
      <c r="C630" s="162"/>
      <c r="D630" s="163"/>
      <c r="E630" s="163"/>
      <c r="F630" s="163"/>
    </row>
    <row r="631" spans="1:6" ht="15.75" customHeight="1">
      <c r="A631" s="32"/>
      <c r="B631" s="161"/>
      <c r="C631" s="162"/>
      <c r="D631" s="163"/>
      <c r="E631" s="163"/>
      <c r="F631" s="163"/>
    </row>
    <row r="632" spans="1:6" ht="15.75" customHeight="1">
      <c r="A632" s="32"/>
      <c r="B632" s="161"/>
      <c r="C632" s="162"/>
      <c r="D632" s="163"/>
      <c r="E632" s="163"/>
      <c r="F632" s="163"/>
    </row>
    <row r="633" spans="1:6" ht="15.75" customHeight="1">
      <c r="A633" s="32"/>
      <c r="B633" s="161"/>
      <c r="C633" s="162"/>
      <c r="D633" s="163"/>
      <c r="E633" s="163"/>
      <c r="F633" s="163"/>
    </row>
    <row r="634" spans="1:6" ht="15.75" customHeight="1">
      <c r="A634" s="32"/>
      <c r="B634" s="161"/>
      <c r="C634" s="162"/>
      <c r="D634" s="163"/>
      <c r="E634" s="163"/>
      <c r="F634" s="163"/>
    </row>
    <row r="635" spans="1:6" ht="15.75" customHeight="1">
      <c r="A635" s="32"/>
      <c r="B635" s="161"/>
      <c r="C635" s="162"/>
      <c r="D635" s="163"/>
      <c r="E635" s="163"/>
      <c r="F635" s="163"/>
    </row>
    <row r="636" spans="1:6" ht="15.75" customHeight="1">
      <c r="A636" s="32"/>
      <c r="B636" s="161"/>
      <c r="C636" s="162"/>
      <c r="D636" s="163"/>
      <c r="E636" s="163"/>
      <c r="F636" s="163"/>
    </row>
    <row r="637" spans="1:6" ht="15.75" customHeight="1">
      <c r="A637" s="32"/>
      <c r="B637" s="161"/>
      <c r="C637" s="162"/>
      <c r="D637" s="163"/>
      <c r="E637" s="163"/>
      <c r="F637" s="163"/>
    </row>
    <row r="638" spans="1:6" ht="15.75" customHeight="1">
      <c r="A638" s="32"/>
      <c r="B638" s="161"/>
      <c r="C638" s="162"/>
      <c r="D638" s="163"/>
      <c r="E638" s="163"/>
      <c r="F638" s="163"/>
    </row>
    <row r="639" spans="1:6" ht="15.75" customHeight="1">
      <c r="A639" s="32"/>
      <c r="B639" s="161"/>
      <c r="C639" s="162"/>
      <c r="D639" s="163"/>
      <c r="E639" s="163"/>
      <c r="F639" s="163"/>
    </row>
    <row r="640" spans="1:6" ht="15.75" customHeight="1">
      <c r="A640" s="32"/>
      <c r="B640" s="161"/>
      <c r="C640" s="162"/>
      <c r="D640" s="163"/>
      <c r="E640" s="163"/>
      <c r="F640" s="163"/>
    </row>
    <row r="641" spans="1:6" ht="15.75" customHeight="1">
      <c r="A641" s="32"/>
      <c r="B641" s="161"/>
      <c r="C641" s="162"/>
      <c r="D641" s="163"/>
      <c r="E641" s="163"/>
      <c r="F641" s="163"/>
    </row>
    <row r="642" spans="1:6" ht="15.75" customHeight="1">
      <c r="A642" s="32"/>
      <c r="B642" s="161"/>
      <c r="C642" s="162"/>
      <c r="D642" s="163"/>
      <c r="E642" s="163"/>
      <c r="F642" s="163"/>
    </row>
    <row r="643" spans="1:6" ht="15.75" customHeight="1">
      <c r="A643" s="32"/>
      <c r="B643" s="161"/>
      <c r="C643" s="162"/>
      <c r="D643" s="163"/>
      <c r="E643" s="163"/>
      <c r="F643" s="163"/>
    </row>
    <row r="644" spans="1:6" ht="15.75" customHeight="1">
      <c r="A644" s="32"/>
      <c r="B644" s="161"/>
      <c r="C644" s="162"/>
      <c r="D644" s="163"/>
      <c r="E644" s="163"/>
      <c r="F644" s="163"/>
    </row>
    <row r="645" spans="1:6" ht="15.75" customHeight="1">
      <c r="A645" s="32"/>
      <c r="B645" s="161"/>
      <c r="C645" s="162"/>
      <c r="D645" s="163"/>
      <c r="E645" s="163"/>
      <c r="F645" s="163"/>
    </row>
    <row r="646" spans="1:6" ht="15.75" customHeight="1">
      <c r="A646" s="32"/>
      <c r="B646" s="161"/>
      <c r="C646" s="162"/>
      <c r="D646" s="163"/>
      <c r="E646" s="163"/>
      <c r="F646" s="163"/>
    </row>
    <row r="647" spans="1:6" ht="15.75" customHeight="1">
      <c r="A647" s="32"/>
      <c r="B647" s="161"/>
      <c r="C647" s="162"/>
      <c r="D647" s="163"/>
      <c r="E647" s="163"/>
      <c r="F647" s="163"/>
    </row>
    <row r="648" spans="1:6" ht="15.75" customHeight="1">
      <c r="A648" s="32"/>
      <c r="B648" s="161"/>
      <c r="C648" s="162"/>
      <c r="D648" s="163"/>
      <c r="E648" s="163"/>
      <c r="F648" s="163"/>
    </row>
    <row r="649" spans="1:6" ht="15.75" customHeight="1">
      <c r="A649" s="32"/>
      <c r="B649" s="161"/>
      <c r="C649" s="162"/>
      <c r="D649" s="163"/>
      <c r="E649" s="163"/>
      <c r="F649" s="163"/>
    </row>
    <row r="650" spans="1:6" ht="15.75" customHeight="1">
      <c r="A650" s="32"/>
      <c r="B650" s="161"/>
      <c r="C650" s="162"/>
      <c r="D650" s="163"/>
      <c r="E650" s="163"/>
      <c r="F650" s="163"/>
    </row>
    <row r="651" spans="1:6" ht="15.75" customHeight="1">
      <c r="A651" s="32"/>
      <c r="B651" s="161"/>
      <c r="C651" s="162"/>
      <c r="D651" s="163"/>
      <c r="E651" s="163"/>
      <c r="F651" s="163"/>
    </row>
    <row r="652" spans="1:6" ht="15.75" customHeight="1">
      <c r="A652" s="32"/>
      <c r="B652" s="161"/>
      <c r="C652" s="162"/>
      <c r="D652" s="163"/>
      <c r="E652" s="163"/>
      <c r="F652" s="163"/>
    </row>
    <row r="653" spans="1:6" ht="15.75" customHeight="1">
      <c r="A653" s="32"/>
      <c r="B653" s="161"/>
      <c r="C653" s="162"/>
      <c r="D653" s="163"/>
      <c r="E653" s="163"/>
      <c r="F653" s="163"/>
    </row>
    <row r="654" spans="1:6" ht="15.75" customHeight="1">
      <c r="A654" s="32"/>
      <c r="B654" s="161"/>
      <c r="C654" s="162"/>
      <c r="D654" s="163"/>
      <c r="E654" s="163"/>
      <c r="F654" s="163"/>
    </row>
    <row r="655" spans="1:6" ht="15.75" customHeight="1">
      <c r="A655" s="32"/>
      <c r="B655" s="161"/>
      <c r="C655" s="162"/>
      <c r="D655" s="163"/>
      <c r="E655" s="163"/>
      <c r="F655" s="163"/>
    </row>
    <row r="656" spans="1:6" ht="15.75" customHeight="1">
      <c r="A656" s="32"/>
      <c r="B656" s="161"/>
      <c r="C656" s="162"/>
      <c r="D656" s="163"/>
      <c r="E656" s="163"/>
      <c r="F656" s="163"/>
    </row>
    <row r="657" spans="1:6" ht="15.75" customHeight="1">
      <c r="A657" s="32"/>
      <c r="B657" s="161"/>
      <c r="C657" s="162"/>
      <c r="D657" s="163"/>
      <c r="E657" s="163"/>
      <c r="F657" s="163"/>
    </row>
    <row r="658" spans="1:6" ht="15.75" customHeight="1">
      <c r="A658" s="32"/>
      <c r="B658" s="161"/>
      <c r="C658" s="162"/>
      <c r="D658" s="163"/>
      <c r="E658" s="163"/>
      <c r="F658" s="163"/>
    </row>
    <row r="659" spans="1:6" ht="15.75" customHeight="1">
      <c r="A659" s="32"/>
      <c r="B659" s="161"/>
      <c r="C659" s="162"/>
      <c r="D659" s="163"/>
      <c r="E659" s="163"/>
      <c r="F659" s="163"/>
    </row>
    <row r="660" spans="1:6" ht="15.75" customHeight="1">
      <c r="A660" s="32"/>
      <c r="B660" s="161"/>
      <c r="C660" s="162"/>
      <c r="D660" s="163"/>
      <c r="E660" s="163"/>
      <c r="F660" s="163"/>
    </row>
    <row r="661" spans="1:6" ht="15.75" customHeight="1">
      <c r="A661" s="32"/>
      <c r="B661" s="161"/>
      <c r="C661" s="162"/>
      <c r="D661" s="163"/>
      <c r="E661" s="163"/>
      <c r="F661" s="163"/>
    </row>
    <row r="662" spans="1:6" ht="15.75" customHeight="1">
      <c r="A662" s="32"/>
      <c r="B662" s="161"/>
      <c r="C662" s="162"/>
      <c r="D662" s="163"/>
      <c r="E662" s="163"/>
      <c r="F662" s="163"/>
    </row>
    <row r="663" spans="1:6" ht="15.75" customHeight="1">
      <c r="A663" s="32"/>
      <c r="B663" s="161"/>
      <c r="C663" s="162"/>
      <c r="D663" s="163"/>
      <c r="E663" s="163"/>
      <c r="F663" s="163"/>
    </row>
    <row r="664" spans="1:6" ht="15.75" customHeight="1">
      <c r="A664" s="32"/>
      <c r="B664" s="161"/>
      <c r="C664" s="162"/>
      <c r="D664" s="163"/>
      <c r="E664" s="163"/>
      <c r="F664" s="163"/>
    </row>
    <row r="665" spans="1:6" ht="15.75" customHeight="1">
      <c r="A665" s="32"/>
      <c r="B665" s="161"/>
      <c r="C665" s="162"/>
      <c r="D665" s="163"/>
      <c r="E665" s="163"/>
      <c r="F665" s="163"/>
    </row>
    <row r="666" spans="1:6" ht="15.75" customHeight="1">
      <c r="A666" s="32"/>
      <c r="B666" s="161"/>
      <c r="C666" s="162"/>
      <c r="D666" s="163"/>
      <c r="E666" s="163"/>
      <c r="F666" s="163"/>
    </row>
    <row r="667" spans="1:6" ht="15.75" customHeight="1">
      <c r="A667" s="32"/>
      <c r="B667" s="161"/>
      <c r="C667" s="162"/>
      <c r="D667" s="163"/>
      <c r="E667" s="163"/>
      <c r="F667" s="163"/>
    </row>
    <row r="668" spans="1:6" ht="15.75" customHeight="1">
      <c r="A668" s="32"/>
      <c r="B668" s="161"/>
      <c r="C668" s="162"/>
      <c r="D668" s="163"/>
      <c r="E668" s="163"/>
      <c r="F668" s="163"/>
    </row>
    <row r="669" spans="1:6" ht="15.75" customHeight="1">
      <c r="A669" s="32"/>
      <c r="B669" s="161"/>
      <c r="C669" s="162"/>
      <c r="D669" s="163"/>
      <c r="E669" s="163"/>
      <c r="F669" s="163"/>
    </row>
    <row r="670" spans="1:6" ht="15.75" customHeight="1">
      <c r="A670" s="32"/>
      <c r="B670" s="161"/>
      <c r="C670" s="162"/>
      <c r="D670" s="163"/>
      <c r="E670" s="163"/>
      <c r="F670" s="163"/>
    </row>
    <row r="671" spans="1:6" ht="15.75" customHeight="1">
      <c r="A671" s="32"/>
      <c r="B671" s="161"/>
      <c r="C671" s="162"/>
      <c r="D671" s="163"/>
      <c r="E671" s="163"/>
      <c r="F671" s="163"/>
    </row>
    <row r="672" spans="1:6" ht="15.75" customHeight="1">
      <c r="A672" s="32"/>
      <c r="B672" s="161"/>
      <c r="C672" s="162"/>
      <c r="D672" s="163"/>
      <c r="E672" s="163"/>
      <c r="F672" s="163"/>
    </row>
    <row r="673" spans="1:6" ht="15.75" customHeight="1">
      <c r="A673" s="32"/>
      <c r="B673" s="161"/>
      <c r="C673" s="162"/>
      <c r="D673" s="163"/>
      <c r="E673" s="163"/>
      <c r="F673" s="163"/>
    </row>
    <row r="674" spans="1:6" ht="15.75" customHeight="1">
      <c r="A674" s="32"/>
      <c r="B674" s="161"/>
      <c r="C674" s="162"/>
      <c r="D674" s="163"/>
      <c r="E674" s="163"/>
      <c r="F674" s="163"/>
    </row>
    <row r="675" spans="1:6" ht="15.75" customHeight="1">
      <c r="A675" s="32"/>
      <c r="B675" s="161"/>
      <c r="C675" s="162"/>
      <c r="D675" s="163"/>
      <c r="E675" s="163"/>
      <c r="F675" s="163"/>
    </row>
    <row r="676" spans="1:6" ht="15.75" customHeight="1">
      <c r="A676" s="32"/>
      <c r="B676" s="161"/>
      <c r="C676" s="162"/>
      <c r="D676" s="163"/>
      <c r="E676" s="163"/>
      <c r="F676" s="163"/>
    </row>
    <row r="677" spans="1:6" ht="15.75" customHeight="1">
      <c r="A677" s="32"/>
      <c r="B677" s="161"/>
      <c r="C677" s="162"/>
      <c r="D677" s="163"/>
      <c r="E677" s="163"/>
      <c r="F677" s="163"/>
    </row>
    <row r="678" spans="1:6" ht="15.75" customHeight="1">
      <c r="A678" s="32"/>
      <c r="B678" s="161"/>
      <c r="C678" s="162"/>
      <c r="D678" s="163"/>
      <c r="E678" s="163"/>
      <c r="F678" s="163"/>
    </row>
    <row r="679" spans="1:6" ht="15.75" customHeight="1">
      <c r="A679" s="32"/>
      <c r="B679" s="161"/>
      <c r="C679" s="162"/>
      <c r="D679" s="163"/>
      <c r="E679" s="163"/>
      <c r="F679" s="163"/>
    </row>
    <row r="680" spans="1:6" ht="15.75" customHeight="1">
      <c r="A680" s="32"/>
      <c r="B680" s="161"/>
      <c r="C680" s="162"/>
      <c r="D680" s="163"/>
      <c r="E680" s="163"/>
      <c r="F680" s="163"/>
    </row>
    <row r="681" spans="1:6" ht="15.75" customHeight="1">
      <c r="A681" s="32"/>
      <c r="B681" s="161"/>
      <c r="C681" s="162"/>
      <c r="D681" s="163"/>
      <c r="E681" s="163"/>
      <c r="F681" s="163"/>
    </row>
    <row r="682" spans="1:6" ht="15.75" customHeight="1">
      <c r="A682" s="32"/>
      <c r="B682" s="161"/>
      <c r="C682" s="162"/>
      <c r="D682" s="163"/>
      <c r="E682" s="163"/>
      <c r="F682" s="163"/>
    </row>
    <row r="683" spans="1:6" ht="15.75" customHeight="1">
      <c r="A683" s="32"/>
      <c r="B683" s="161"/>
      <c r="C683" s="162"/>
      <c r="D683" s="163"/>
      <c r="E683" s="163"/>
      <c r="F683" s="163"/>
    </row>
    <row r="684" spans="1:6" ht="15.75" customHeight="1">
      <c r="A684" s="32"/>
      <c r="B684" s="161"/>
      <c r="C684" s="162"/>
      <c r="D684" s="163"/>
      <c r="E684" s="163"/>
      <c r="F684" s="163"/>
    </row>
    <row r="685" spans="1:6" ht="15.75" customHeight="1">
      <c r="A685" s="32"/>
      <c r="B685" s="161"/>
      <c r="C685" s="162"/>
      <c r="D685" s="163"/>
      <c r="E685" s="163"/>
      <c r="F685" s="163"/>
    </row>
    <row r="686" spans="1:6" ht="15.75" customHeight="1">
      <c r="A686" s="32"/>
      <c r="B686" s="161"/>
      <c r="C686" s="162"/>
      <c r="D686" s="163"/>
      <c r="E686" s="163"/>
      <c r="F686" s="163"/>
    </row>
    <row r="687" spans="1:6" ht="15.75" customHeight="1">
      <c r="A687" s="32"/>
      <c r="B687" s="161"/>
      <c r="C687" s="162"/>
      <c r="D687" s="163"/>
      <c r="E687" s="163"/>
      <c r="F687" s="163"/>
    </row>
    <row r="688" spans="1:6" ht="15.75" customHeight="1">
      <c r="A688" s="32"/>
      <c r="B688" s="161"/>
      <c r="C688" s="162"/>
      <c r="D688" s="163"/>
      <c r="E688" s="163"/>
      <c r="F688" s="163"/>
    </row>
    <row r="689" spans="1:6" ht="15.75" customHeight="1">
      <c r="A689" s="32"/>
      <c r="B689" s="161"/>
      <c r="C689" s="162"/>
      <c r="D689" s="163"/>
      <c r="E689" s="163"/>
      <c r="F689" s="163"/>
    </row>
    <row r="690" spans="1:6" ht="15.75" customHeight="1">
      <c r="A690" s="32"/>
      <c r="B690" s="161"/>
      <c r="C690" s="162"/>
      <c r="D690" s="163"/>
      <c r="E690" s="163"/>
      <c r="F690" s="163"/>
    </row>
    <row r="691" spans="1:6" ht="15.75" customHeight="1">
      <c r="A691" s="32"/>
      <c r="B691" s="161"/>
      <c r="C691" s="162"/>
      <c r="D691" s="163"/>
      <c r="E691" s="163"/>
      <c r="F691" s="163"/>
    </row>
    <row r="692" spans="1:6" ht="15.75" customHeight="1">
      <c r="A692" s="32"/>
      <c r="B692" s="161"/>
      <c r="C692" s="162"/>
      <c r="D692" s="163"/>
      <c r="E692" s="163"/>
      <c r="F692" s="163"/>
    </row>
    <row r="693" spans="1:6" ht="15.75" customHeight="1">
      <c r="A693" s="32"/>
      <c r="B693" s="161"/>
      <c r="C693" s="162"/>
      <c r="D693" s="163"/>
      <c r="E693" s="163"/>
      <c r="F693" s="163"/>
    </row>
    <row r="694" spans="1:6" ht="15.75" customHeight="1">
      <c r="A694" s="32"/>
      <c r="B694" s="161"/>
      <c r="C694" s="162"/>
      <c r="D694" s="163"/>
      <c r="E694" s="163"/>
      <c r="F694" s="163"/>
    </row>
    <row r="695" spans="1:6" ht="15.75" customHeight="1">
      <c r="A695" s="32"/>
      <c r="B695" s="161"/>
      <c r="C695" s="162"/>
      <c r="D695" s="163"/>
      <c r="E695" s="163"/>
      <c r="F695" s="163"/>
    </row>
    <row r="696" spans="1:6" ht="15.75" customHeight="1">
      <c r="A696" s="32"/>
      <c r="B696" s="161"/>
      <c r="C696" s="162"/>
      <c r="D696" s="163"/>
      <c r="E696" s="163"/>
      <c r="F696" s="163"/>
    </row>
    <row r="697" spans="1:6" ht="15.75" customHeight="1">
      <c r="A697" s="32"/>
      <c r="B697" s="161"/>
      <c r="C697" s="162"/>
      <c r="D697" s="163"/>
      <c r="E697" s="163"/>
      <c r="F697" s="163"/>
    </row>
    <row r="698" spans="1:6" ht="15.75" customHeight="1">
      <c r="A698" s="32"/>
      <c r="B698" s="161"/>
      <c r="C698" s="162"/>
      <c r="D698" s="163"/>
      <c r="E698" s="163"/>
      <c r="F698" s="163"/>
    </row>
    <row r="699" spans="1:6" ht="15.75" customHeight="1">
      <c r="A699" s="32"/>
      <c r="B699" s="161"/>
      <c r="C699" s="162"/>
      <c r="D699" s="163"/>
      <c r="E699" s="163"/>
      <c r="F699" s="163"/>
    </row>
    <row r="700" spans="1:6" ht="15.75" customHeight="1">
      <c r="A700" s="32"/>
      <c r="B700" s="161"/>
      <c r="C700" s="162"/>
      <c r="D700" s="163"/>
      <c r="E700" s="163"/>
      <c r="F700" s="163"/>
    </row>
    <row r="701" spans="1:6" ht="15.75" customHeight="1">
      <c r="A701" s="32"/>
      <c r="B701" s="161"/>
      <c r="C701" s="162"/>
      <c r="D701" s="163"/>
      <c r="E701" s="163"/>
      <c r="F701" s="163"/>
    </row>
    <row r="702" spans="1:6" ht="15.75" customHeight="1">
      <c r="A702" s="32"/>
      <c r="B702" s="161"/>
      <c r="C702" s="162"/>
      <c r="D702" s="163"/>
      <c r="E702" s="163"/>
      <c r="F702" s="163"/>
    </row>
    <row r="703" spans="1:6" ht="15.75" customHeight="1">
      <c r="A703" s="32"/>
      <c r="B703" s="161"/>
      <c r="C703" s="162"/>
      <c r="D703" s="163"/>
      <c r="E703" s="163"/>
      <c r="F703" s="163"/>
    </row>
    <row r="704" spans="1:6" ht="15.75" customHeight="1">
      <c r="A704" s="32"/>
      <c r="B704" s="161"/>
      <c r="C704" s="162"/>
      <c r="D704" s="163"/>
      <c r="E704" s="163"/>
      <c r="F704" s="163"/>
    </row>
    <row r="705" spans="1:6" ht="15.75" customHeight="1">
      <c r="A705" s="32"/>
      <c r="B705" s="161"/>
      <c r="C705" s="162"/>
      <c r="D705" s="163"/>
      <c r="E705" s="163"/>
      <c r="F705" s="163"/>
    </row>
    <row r="706" spans="1:6" ht="15.75" customHeight="1">
      <c r="A706" s="32"/>
      <c r="B706" s="161"/>
      <c r="C706" s="162"/>
      <c r="D706" s="163"/>
      <c r="E706" s="163"/>
      <c r="F706" s="163"/>
    </row>
    <row r="707" spans="1:6" ht="15.75" customHeight="1">
      <c r="A707" s="32"/>
      <c r="B707" s="161"/>
      <c r="C707" s="162"/>
      <c r="D707" s="163"/>
      <c r="E707" s="163"/>
      <c r="F707" s="163"/>
    </row>
    <row r="708" spans="1:6" ht="15.75" customHeight="1">
      <c r="A708" s="32"/>
      <c r="B708" s="161"/>
      <c r="C708" s="162"/>
      <c r="D708" s="163"/>
      <c r="E708" s="163"/>
      <c r="F708" s="163"/>
    </row>
    <row r="709" spans="1:6" ht="15.75" customHeight="1">
      <c r="A709" s="32"/>
      <c r="B709" s="161"/>
      <c r="C709" s="162"/>
      <c r="D709" s="163"/>
      <c r="E709" s="163"/>
      <c r="F709" s="163"/>
    </row>
    <row r="710" spans="1:6" ht="15.75" customHeight="1">
      <c r="A710" s="32"/>
      <c r="B710" s="161"/>
      <c r="C710" s="162"/>
      <c r="D710" s="163"/>
      <c r="E710" s="163"/>
      <c r="F710" s="163"/>
    </row>
    <row r="711" spans="1:6" ht="15.75" customHeight="1">
      <c r="A711" s="32"/>
      <c r="B711" s="161"/>
      <c r="C711" s="162"/>
      <c r="D711" s="163"/>
      <c r="E711" s="163"/>
      <c r="F711" s="163"/>
    </row>
    <row r="712" spans="1:6" ht="15.75" customHeight="1">
      <c r="A712" s="32"/>
      <c r="B712" s="161"/>
      <c r="C712" s="162"/>
      <c r="D712" s="163"/>
      <c r="E712" s="163"/>
      <c r="F712" s="163"/>
    </row>
    <row r="713" spans="1:6" ht="15.75" customHeight="1">
      <c r="A713" s="32"/>
      <c r="B713" s="161"/>
      <c r="C713" s="162"/>
      <c r="D713" s="163"/>
      <c r="E713" s="163"/>
      <c r="F713" s="163"/>
    </row>
    <row r="714" spans="1:6" ht="15.75" customHeight="1">
      <c r="A714" s="32"/>
      <c r="B714" s="161"/>
      <c r="C714" s="162"/>
      <c r="D714" s="163"/>
      <c r="E714" s="163"/>
      <c r="F714" s="163"/>
    </row>
    <row r="715" spans="1:6" ht="15.75" customHeight="1">
      <c r="A715" s="32"/>
      <c r="B715" s="161"/>
      <c r="C715" s="162"/>
      <c r="D715" s="163"/>
      <c r="E715" s="163"/>
      <c r="F715" s="163"/>
    </row>
    <row r="716" spans="1:6" ht="15.75" customHeight="1">
      <c r="A716" s="32"/>
      <c r="B716" s="161"/>
      <c r="C716" s="162"/>
      <c r="D716" s="163"/>
      <c r="E716" s="163"/>
      <c r="F716" s="163"/>
    </row>
    <row r="717" spans="1:6" ht="15.75" customHeight="1">
      <c r="A717" s="32"/>
      <c r="B717" s="161"/>
      <c r="C717" s="162"/>
      <c r="D717" s="163"/>
      <c r="E717" s="163"/>
      <c r="F717" s="163"/>
    </row>
    <row r="718" spans="1:6" ht="15.75" customHeight="1">
      <c r="A718" s="32"/>
      <c r="B718" s="161"/>
      <c r="C718" s="162"/>
      <c r="D718" s="163"/>
      <c r="E718" s="163"/>
      <c r="F718" s="163"/>
    </row>
    <row r="719" spans="1:6" ht="15.75" customHeight="1">
      <c r="A719" s="32"/>
      <c r="B719" s="161"/>
      <c r="C719" s="162"/>
      <c r="D719" s="163"/>
      <c r="E719" s="163"/>
      <c r="F719" s="163"/>
    </row>
    <row r="720" spans="1:6" ht="15.75" customHeight="1">
      <c r="A720" s="32"/>
      <c r="B720" s="161"/>
      <c r="C720" s="162"/>
      <c r="D720" s="163"/>
      <c r="E720" s="163"/>
      <c r="F720" s="163"/>
    </row>
    <row r="721" spans="1:6" ht="15.75" customHeight="1">
      <c r="A721" s="32"/>
      <c r="B721" s="161"/>
      <c r="C721" s="162"/>
      <c r="D721" s="163"/>
      <c r="E721" s="163"/>
      <c r="F721" s="163"/>
    </row>
    <row r="722" spans="1:6" ht="15.75" customHeight="1">
      <c r="A722" s="32"/>
      <c r="B722" s="161"/>
      <c r="C722" s="162"/>
      <c r="D722" s="163"/>
      <c r="E722" s="163"/>
      <c r="F722" s="163"/>
    </row>
    <row r="723" spans="1:6" ht="15.75" customHeight="1">
      <c r="A723" s="32"/>
      <c r="B723" s="161"/>
      <c r="C723" s="162"/>
      <c r="D723" s="163"/>
      <c r="E723" s="163"/>
      <c r="F723" s="163"/>
    </row>
    <row r="724" spans="1:6" ht="15.75" customHeight="1">
      <c r="A724" s="32"/>
      <c r="B724" s="161"/>
      <c r="C724" s="162"/>
      <c r="D724" s="163"/>
      <c r="E724" s="163"/>
      <c r="F724" s="163"/>
    </row>
    <row r="725" spans="1:6" ht="15.75" customHeight="1">
      <c r="A725" s="32"/>
      <c r="B725" s="161"/>
      <c r="C725" s="162"/>
      <c r="D725" s="163"/>
      <c r="E725" s="163"/>
      <c r="F725" s="163"/>
    </row>
    <row r="726" spans="1:6" ht="15.75" customHeight="1">
      <c r="A726" s="32"/>
      <c r="B726" s="161"/>
      <c r="C726" s="162"/>
      <c r="D726" s="163"/>
      <c r="E726" s="163"/>
      <c r="F726" s="163"/>
    </row>
    <row r="727" spans="1:6" ht="15.75" customHeight="1">
      <c r="A727" s="32"/>
      <c r="B727" s="161"/>
      <c r="C727" s="162"/>
      <c r="D727" s="163"/>
      <c r="E727" s="163"/>
      <c r="F727" s="163"/>
    </row>
    <row r="728" spans="1:6" ht="15.75" customHeight="1">
      <c r="A728" s="32"/>
      <c r="B728" s="161"/>
      <c r="C728" s="162"/>
      <c r="D728" s="163"/>
      <c r="E728" s="163"/>
      <c r="F728" s="1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Registro_Actividades</vt:lpstr>
      <vt:lpstr>Registro_Territorio</vt:lpstr>
      <vt:lpstr>Registro_Poblacion</vt:lpstr>
      <vt:lpstr>Regitro_Evidencia</vt:lpstr>
      <vt:lpstr>Dashboard_Master</vt:lpstr>
      <vt:lpstr>Cat_Recintos</vt:lpstr>
      <vt:lpstr>Cat_Tipo_Espacio</vt:lpstr>
      <vt:lpstr>Cat_Agentes_Culturales</vt:lpstr>
      <vt:lpstr>Cat_Disciplina</vt:lpstr>
      <vt:lpstr>Cat_Actividades</vt:lpstr>
      <vt:lpstr>Cat_Indicadores</vt:lpstr>
      <vt:lpstr>Cat_Enfoque</vt:lpstr>
      <vt:lpstr>Cat_Alineacion</vt:lpstr>
      <vt:lpstr>Cat_Tipo_Actividad</vt:lpstr>
      <vt:lpstr>Cat_Formato</vt:lpstr>
      <vt:lpstr>Cat_Costo</vt:lpstr>
      <vt:lpstr>Cat_Grupo_Etario</vt:lpstr>
      <vt:lpstr>Cat_Genero</vt:lpstr>
      <vt:lpstr>Cat_Grupo_Prioritario</vt:lpstr>
      <vt:lpstr>Cat_Tipo_Asentamiento</vt:lpstr>
      <vt:lpstr>Cat_Municipio</vt:lpstr>
      <vt:lpstr>Cat_Comunidades</vt:lpstr>
      <vt:lpstr>Cat_Comunidades_Limpio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Angel Duran Alvarez</dc:creator>
  <cp:lastModifiedBy>la.duranalvarez</cp:lastModifiedBy>
  <dcterms:modified xsi:type="dcterms:W3CDTF">2026-10-24T01:07:28Z</dcterms:modified>
</cp:coreProperties>
</file>